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3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Anniken/Documents/Erik/Master/"/>
    </mc:Choice>
  </mc:AlternateContent>
  <bookViews>
    <workbookView xWindow="1780" yWindow="460" windowWidth="22920" windowHeight="14160" activeTab="3"/>
  </bookViews>
  <sheets>
    <sheet name="Data" sheetId="2" r:id="rId1"/>
    <sheet name="Underwriter descriptive" sheetId="28" r:id="rId2"/>
    <sheet name="Sentiment" sheetId="20" r:id="rId3"/>
    <sheet name="Descriptive" sheetId="13" r:id="rId4"/>
    <sheet name="Tech SIC" sheetId="3" r:id="rId5"/>
    <sheet name="DK index" sheetId="7" r:id="rId6"/>
    <sheet name="SE index" sheetId="6" r:id="rId7"/>
    <sheet name="FI index" sheetId="8" r:id="rId8"/>
    <sheet name="NO index" sheetId="5" r:id="rId9"/>
    <sheet name="SE CPI" sheetId="10" r:id="rId10"/>
    <sheet name="DK CPI" sheetId="11" r:id="rId11"/>
    <sheet name="FI CPI" sheetId="12" r:id="rId12"/>
    <sheet name="NO CPI" sheetId="9" r:id="rId13"/>
    <sheet name="SE FX" sheetId="26" r:id="rId14"/>
    <sheet name="DK FX" sheetId="24" r:id="rId15"/>
    <sheet name="FI FX" sheetId="25" r:id="rId16"/>
    <sheet name="NO FX" sheetId="22" r:id="rId17"/>
  </sheets>
  <definedNames>
    <definedName name="PREMIUM">#REF!</definedName>
    <definedName name="S_Annual">#REF!</definedName>
    <definedName name="S_Monthly">#REF!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2" i="7" l="1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G32" i="7"/>
  <c r="D1" i="11"/>
  <c r="D2" i="11"/>
  <c r="E37" i="6"/>
  <c r="G2" i="2"/>
  <c r="H2" i="2"/>
  <c r="Y9" i="13"/>
  <c r="M8" i="13"/>
  <c r="M9" i="13"/>
  <c r="M13" i="13"/>
  <c r="AM3" i="2"/>
  <c r="AL3" i="2"/>
  <c r="AE12" i="2"/>
  <c r="L3" i="2"/>
  <c r="L136" i="2"/>
  <c r="K4" i="2"/>
  <c r="L4" i="2"/>
  <c r="M4" i="2"/>
  <c r="M3" i="2"/>
  <c r="K80" i="2"/>
  <c r="AG86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J35" i="28"/>
  <c r="K198" i="2"/>
  <c r="L198" i="2"/>
  <c r="M198" i="2"/>
  <c r="AM2" i="2"/>
  <c r="AK4" i="2"/>
  <c r="AM4" i="2"/>
  <c r="AK5" i="2"/>
  <c r="AM5" i="2"/>
  <c r="AM6" i="2"/>
  <c r="AM7" i="2"/>
  <c r="AM8" i="2"/>
  <c r="AM9" i="2"/>
  <c r="AK10" i="2"/>
  <c r="AM10" i="2"/>
  <c r="AM11" i="2"/>
  <c r="AK12" i="2"/>
  <c r="AM12" i="2"/>
  <c r="AK13" i="2"/>
  <c r="AM13" i="2"/>
  <c r="AK14" i="2"/>
  <c r="AM14" i="2"/>
  <c r="AK15" i="2"/>
  <c r="AM15" i="2"/>
  <c r="AK16" i="2"/>
  <c r="AM16" i="2"/>
  <c r="AK17" i="2"/>
  <c r="AM17" i="2"/>
  <c r="AK18" i="2"/>
  <c r="AM18" i="2"/>
  <c r="AM19" i="2"/>
  <c r="AM20" i="2"/>
  <c r="AK21" i="2"/>
  <c r="AM21" i="2"/>
  <c r="AK22" i="2"/>
  <c r="AM22" i="2"/>
  <c r="AK23" i="2"/>
  <c r="AM23" i="2"/>
  <c r="AM24" i="2"/>
  <c r="AM25" i="2"/>
  <c r="AM26" i="2"/>
  <c r="AM27" i="2"/>
  <c r="AK28" i="2"/>
  <c r="AM28" i="2"/>
  <c r="AK29" i="2"/>
  <c r="AM29" i="2"/>
  <c r="AM30" i="2"/>
  <c r="AK31" i="2"/>
  <c r="AM31" i="2"/>
  <c r="AM32" i="2"/>
  <c r="AK33" i="2"/>
  <c r="AM33" i="2"/>
  <c r="AK34" i="2"/>
  <c r="AM34" i="2"/>
  <c r="AM35" i="2"/>
  <c r="AK36" i="2"/>
  <c r="AM36" i="2"/>
  <c r="AM37" i="2"/>
  <c r="AK38" i="2"/>
  <c r="AM38" i="2"/>
  <c r="AK39" i="2"/>
  <c r="AM39" i="2"/>
  <c r="AK40" i="2"/>
  <c r="AM40" i="2"/>
  <c r="AK41" i="2"/>
  <c r="AM41" i="2"/>
  <c r="AK42" i="2"/>
  <c r="AM42" i="2"/>
  <c r="AK43" i="2"/>
  <c r="AM43" i="2"/>
  <c r="AM44" i="2"/>
  <c r="AK45" i="2"/>
  <c r="AM45" i="2"/>
  <c r="AK46" i="2"/>
  <c r="AM46" i="2"/>
  <c r="AK47" i="2"/>
  <c r="AM47" i="2"/>
  <c r="AM48" i="2"/>
  <c r="AM49" i="2"/>
  <c r="AK50" i="2"/>
  <c r="AM50" i="2"/>
  <c r="AM51" i="2"/>
  <c r="AK52" i="2"/>
  <c r="AM52" i="2"/>
  <c r="AM53" i="2"/>
  <c r="AM54" i="2"/>
  <c r="AM55" i="2"/>
  <c r="AK56" i="2"/>
  <c r="AM56" i="2"/>
  <c r="AK57" i="2"/>
  <c r="AM57" i="2"/>
  <c r="AM58" i="2"/>
  <c r="AK59" i="2"/>
  <c r="AM59" i="2"/>
  <c r="AK60" i="2"/>
  <c r="AM60" i="2"/>
  <c r="AM61" i="2"/>
  <c r="AM62" i="2"/>
  <c r="AM63" i="2"/>
  <c r="AK64" i="2"/>
  <c r="AM64" i="2"/>
  <c r="AK65" i="2"/>
  <c r="AM65" i="2"/>
  <c r="AK66" i="2"/>
  <c r="AM66" i="2"/>
  <c r="AK67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K122" i="2"/>
  <c r="AM122" i="2"/>
  <c r="AM123" i="2"/>
  <c r="AK124" i="2"/>
  <c r="AM124" i="2"/>
  <c r="AM125" i="2"/>
  <c r="AK126" i="2"/>
  <c r="AM126" i="2"/>
  <c r="AM127" i="2"/>
  <c r="AM128" i="2"/>
  <c r="AK129" i="2"/>
  <c r="AM129" i="2"/>
  <c r="AM130" i="2"/>
  <c r="AM131" i="2"/>
  <c r="AM132" i="2"/>
  <c r="AK133" i="2"/>
  <c r="AM133" i="2"/>
  <c r="AK134" i="2"/>
  <c r="AM134" i="2"/>
  <c r="AM135" i="2"/>
  <c r="AK136" i="2"/>
  <c r="AM136" i="2"/>
  <c r="AK137" i="2"/>
  <c r="AM137" i="2"/>
  <c r="AM138" i="2"/>
  <c r="AM139" i="2"/>
  <c r="AM140" i="2"/>
  <c r="AK141" i="2"/>
  <c r="AM141" i="2"/>
  <c r="AK142" i="2"/>
  <c r="AM142" i="2"/>
  <c r="AM143" i="2"/>
  <c r="AK144" i="2"/>
  <c r="AM144" i="2"/>
  <c r="AM145" i="2"/>
  <c r="AM146" i="2"/>
  <c r="AK147" i="2"/>
  <c r="AM147" i="2"/>
  <c r="AM148" i="2"/>
  <c r="AM149" i="2"/>
  <c r="AM150" i="2"/>
  <c r="AM151" i="2"/>
  <c r="AM152" i="2"/>
  <c r="AM153" i="2"/>
  <c r="AM154" i="2"/>
  <c r="AK155" i="2"/>
  <c r="AM155" i="2"/>
  <c r="AK156" i="2"/>
  <c r="AM156" i="2"/>
  <c r="AM157" i="2"/>
  <c r="AK158" i="2"/>
  <c r="AM158" i="2"/>
  <c r="AK159" i="2"/>
  <c r="AM159" i="2"/>
  <c r="AM160" i="2"/>
  <c r="AK161" i="2"/>
  <c r="AM161" i="2"/>
  <c r="AM162" i="2"/>
  <c r="AM163" i="2"/>
  <c r="AM164" i="2"/>
  <c r="AM165" i="2"/>
  <c r="AK166" i="2"/>
  <c r="AM166" i="2"/>
  <c r="AM167" i="2"/>
  <c r="AM168" i="2"/>
  <c r="AK169" i="2"/>
  <c r="AM169" i="2"/>
  <c r="AK170" i="2"/>
  <c r="AM170" i="2"/>
  <c r="AK171" i="2"/>
  <c r="AM171" i="2"/>
  <c r="AK172" i="2"/>
  <c r="AM172" i="2"/>
  <c r="AK173" i="2"/>
  <c r="AM173" i="2"/>
  <c r="AM174" i="2"/>
  <c r="AM175" i="2"/>
  <c r="AK176" i="2"/>
  <c r="AM176" i="2"/>
  <c r="AK177" i="2"/>
  <c r="AM177" i="2"/>
  <c r="AM178" i="2"/>
  <c r="AM179" i="2"/>
  <c r="AK180" i="2"/>
  <c r="AM180" i="2"/>
  <c r="AK181" i="2"/>
  <c r="AM181" i="2"/>
  <c r="AM182" i="2"/>
  <c r="AM183" i="2"/>
  <c r="AM184" i="2"/>
  <c r="AM185" i="2"/>
  <c r="AM186" i="2"/>
  <c r="AK187" i="2"/>
  <c r="AM187" i="2"/>
  <c r="AM188" i="2"/>
  <c r="AK189" i="2"/>
  <c r="AM189" i="2"/>
  <c r="AM190" i="2"/>
  <c r="AM191" i="2"/>
  <c r="AM192" i="2"/>
  <c r="AK193" i="2"/>
  <c r="AM193" i="2"/>
  <c r="AK194" i="2"/>
  <c r="AM194" i="2"/>
  <c r="AM195" i="2"/>
  <c r="AK196" i="2"/>
  <c r="AM196" i="2"/>
  <c r="AM197" i="2"/>
  <c r="AM198" i="2"/>
  <c r="AM199" i="2"/>
  <c r="AK200" i="2"/>
  <c r="AM200" i="2"/>
  <c r="AM201" i="2"/>
  <c r="AK202" i="2"/>
  <c r="AM202" i="2"/>
  <c r="AM203" i="2"/>
  <c r="AM204" i="2"/>
  <c r="AM205" i="2"/>
  <c r="AK206" i="2"/>
  <c r="AM206" i="2"/>
  <c r="AM207" i="2"/>
  <c r="AM208" i="2"/>
  <c r="AK209" i="2"/>
  <c r="AM209" i="2"/>
  <c r="AK210" i="2"/>
  <c r="AM210" i="2"/>
  <c r="AK211" i="2"/>
  <c r="AM211" i="2"/>
  <c r="AM212" i="2"/>
  <c r="AK213" i="2"/>
  <c r="AM213" i="2"/>
  <c r="AK214" i="2"/>
  <c r="AM214" i="2"/>
  <c r="AM215" i="2"/>
  <c r="AM216" i="2"/>
  <c r="AM217" i="2"/>
  <c r="AM218" i="2"/>
  <c r="AM219" i="2"/>
  <c r="AM220" i="2"/>
  <c r="AL4" i="2"/>
  <c r="L8" i="2"/>
  <c r="M8" i="2"/>
  <c r="AP4" i="2"/>
  <c r="AG2" i="2"/>
  <c r="AG3" i="2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J32" i="28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B86" i="13"/>
  <c r="A61" i="13"/>
  <c r="A83" i="13"/>
  <c r="A87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B82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C60" i="13"/>
  <c r="L133" i="2"/>
  <c r="L113" i="2"/>
  <c r="L114" i="2"/>
  <c r="L115" i="2"/>
  <c r="L116" i="2"/>
  <c r="K117" i="2"/>
  <c r="L117" i="2"/>
  <c r="L118" i="2"/>
  <c r="N119" i="2"/>
  <c r="K119" i="2"/>
  <c r="L119" i="2"/>
  <c r="L120" i="2"/>
  <c r="L121" i="2"/>
  <c r="L122" i="2"/>
  <c r="L123" i="2"/>
  <c r="L124" i="2"/>
  <c r="L125" i="2"/>
  <c r="K126" i="2"/>
  <c r="L126" i="2"/>
  <c r="L127" i="2"/>
  <c r="L128" i="2"/>
  <c r="L129" i="2"/>
  <c r="L130" i="2"/>
  <c r="L131" i="2"/>
  <c r="L132" i="2"/>
  <c r="AL2" i="2"/>
  <c r="R53" i="13"/>
  <c r="R52" i="13"/>
  <c r="R51" i="13"/>
  <c r="R50" i="13"/>
  <c r="X4" i="13"/>
  <c r="D5" i="12"/>
  <c r="AG118" i="2"/>
  <c r="AG119" i="2"/>
  <c r="AG87" i="2"/>
  <c r="AG88" i="2"/>
  <c r="AG122" i="2"/>
  <c r="AG109" i="2"/>
  <c r="AG96" i="2"/>
  <c r="AG132" i="2"/>
  <c r="AG103" i="2"/>
  <c r="AG128" i="2"/>
  <c r="AG129" i="2"/>
  <c r="AG116" i="2"/>
  <c r="AG108" i="2"/>
  <c r="AG131" i="2"/>
  <c r="AG105" i="2"/>
  <c r="AG112" i="2"/>
  <c r="AG114" i="2"/>
  <c r="AG101" i="2"/>
  <c r="AG106" i="2"/>
  <c r="AG117" i="2"/>
  <c r="AG125" i="2"/>
  <c r="AG90" i="2"/>
  <c r="AG102" i="2"/>
  <c r="AG110" i="2"/>
  <c r="AG123" i="2"/>
  <c r="AG124" i="2"/>
  <c r="AG107" i="2"/>
  <c r="AG126" i="2"/>
  <c r="AG127" i="2"/>
  <c r="AG130" i="2"/>
  <c r="AG111" i="2"/>
  <c r="AG133" i="2"/>
  <c r="AG113" i="2"/>
  <c r="AG94" i="2"/>
  <c r="AG92" i="2"/>
  <c r="AG121" i="2"/>
  <c r="AG95" i="2"/>
  <c r="AG89" i="2"/>
  <c r="AG120" i="2"/>
  <c r="AG115" i="2"/>
  <c r="AG104" i="2"/>
  <c r="AG93" i="2"/>
  <c r="AG91" i="2"/>
  <c r="J34" i="28"/>
  <c r="AG98" i="2"/>
  <c r="AG97" i="2"/>
  <c r="AG99" i="2"/>
  <c r="AG100" i="2"/>
  <c r="J33" i="2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G1160" i="8"/>
  <c r="U119" i="2"/>
  <c r="F1160" i="8"/>
  <c r="T119" i="2"/>
  <c r="F3080" i="8"/>
  <c r="T124" i="2"/>
  <c r="R119" i="2"/>
  <c r="D6" i="12"/>
  <c r="M119" i="2"/>
  <c r="G119" i="2"/>
  <c r="H119" i="2"/>
  <c r="G128" i="2"/>
  <c r="E3475" i="8"/>
  <c r="H128" i="2"/>
  <c r="P119" i="2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G106" i="6"/>
  <c r="U3" i="2"/>
  <c r="F106" i="6"/>
  <c r="T3" i="2"/>
  <c r="F3881" i="6"/>
  <c r="T79" i="2"/>
  <c r="R79" i="2"/>
  <c r="P3" i="2"/>
  <c r="G3" i="2"/>
  <c r="H3" i="2"/>
  <c r="G48" i="2"/>
  <c r="E3384" i="6"/>
  <c r="H48" i="2"/>
  <c r="AP119" i="2"/>
  <c r="AL119" i="2"/>
  <c r="AE119" i="2"/>
  <c r="AA119" i="2"/>
  <c r="AB119" i="2"/>
  <c r="R3" i="2"/>
  <c r="D1" i="9"/>
  <c r="D15" i="9"/>
  <c r="L215" i="2"/>
  <c r="K220" i="2"/>
  <c r="D16" i="9"/>
  <c r="L220" i="2"/>
  <c r="AP3" i="2"/>
  <c r="AE3" i="2"/>
  <c r="AA3" i="2"/>
  <c r="AB3" i="2"/>
  <c r="F5253" i="5"/>
  <c r="T220" i="2"/>
  <c r="R220" i="2"/>
  <c r="F33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G33" i="5"/>
  <c r="F34" i="5"/>
  <c r="E34" i="5"/>
  <c r="G34" i="5"/>
  <c r="F35" i="5"/>
  <c r="E35" i="5"/>
  <c r="G35" i="5"/>
  <c r="F36" i="5"/>
  <c r="E36" i="5"/>
  <c r="G36" i="5"/>
  <c r="F37" i="5"/>
  <c r="E37" i="5"/>
  <c r="G37" i="5"/>
  <c r="F38" i="5"/>
  <c r="E38" i="5"/>
  <c r="G38" i="5"/>
  <c r="F39" i="5"/>
  <c r="E39" i="5"/>
  <c r="G39" i="5"/>
  <c r="F40" i="5"/>
  <c r="E40" i="5"/>
  <c r="G40" i="5"/>
  <c r="F41" i="5"/>
  <c r="E41" i="5"/>
  <c r="G41" i="5"/>
  <c r="F42" i="5"/>
  <c r="E42" i="5"/>
  <c r="G42" i="5"/>
  <c r="F43" i="5"/>
  <c r="E43" i="5"/>
  <c r="G43" i="5"/>
  <c r="F44" i="5"/>
  <c r="E44" i="5"/>
  <c r="G44" i="5"/>
  <c r="F45" i="5"/>
  <c r="E45" i="5"/>
  <c r="G45" i="5"/>
  <c r="F46" i="5"/>
  <c r="E46" i="5"/>
  <c r="G46" i="5"/>
  <c r="F47" i="5"/>
  <c r="E47" i="5"/>
  <c r="G47" i="5"/>
  <c r="F48" i="5"/>
  <c r="E48" i="5"/>
  <c r="G48" i="5"/>
  <c r="F49" i="5"/>
  <c r="E49" i="5"/>
  <c r="G49" i="5"/>
  <c r="F50" i="5"/>
  <c r="E50" i="5"/>
  <c r="G50" i="5"/>
  <c r="F51" i="5"/>
  <c r="E51" i="5"/>
  <c r="G51" i="5"/>
  <c r="F52" i="5"/>
  <c r="E52" i="5"/>
  <c r="G52" i="5"/>
  <c r="F53" i="5"/>
  <c r="E53" i="5"/>
  <c r="G53" i="5"/>
  <c r="F54" i="5"/>
  <c r="E54" i="5"/>
  <c r="G54" i="5"/>
  <c r="F55" i="5"/>
  <c r="E55" i="5"/>
  <c r="G55" i="5"/>
  <c r="F56" i="5"/>
  <c r="E56" i="5"/>
  <c r="G56" i="5"/>
  <c r="F57" i="5"/>
  <c r="E57" i="5"/>
  <c r="G57" i="5"/>
  <c r="F58" i="5"/>
  <c r="E58" i="5"/>
  <c r="G58" i="5"/>
  <c r="F59" i="5"/>
  <c r="E59" i="5"/>
  <c r="G59" i="5"/>
  <c r="F60" i="5"/>
  <c r="E60" i="5"/>
  <c r="G60" i="5"/>
  <c r="F61" i="5"/>
  <c r="E61" i="5"/>
  <c r="G61" i="5"/>
  <c r="F62" i="5"/>
  <c r="E62" i="5"/>
  <c r="G62" i="5"/>
  <c r="F63" i="5"/>
  <c r="E63" i="5"/>
  <c r="G63" i="5"/>
  <c r="F64" i="5"/>
  <c r="E64" i="5"/>
  <c r="G64" i="5"/>
  <c r="F65" i="5"/>
  <c r="E65" i="5"/>
  <c r="G65" i="5"/>
  <c r="F66" i="5"/>
  <c r="E66" i="5"/>
  <c r="G66" i="5"/>
  <c r="F67" i="5"/>
  <c r="E67" i="5"/>
  <c r="G67" i="5"/>
  <c r="F68" i="5"/>
  <c r="E68" i="5"/>
  <c r="G68" i="5"/>
  <c r="F69" i="5"/>
  <c r="E69" i="5"/>
  <c r="G69" i="5"/>
  <c r="F70" i="5"/>
  <c r="E70" i="5"/>
  <c r="G70" i="5"/>
  <c r="F71" i="5"/>
  <c r="E71" i="5"/>
  <c r="G71" i="5"/>
  <c r="F72" i="5"/>
  <c r="E72" i="5"/>
  <c r="G72" i="5"/>
  <c r="F73" i="5"/>
  <c r="E73" i="5"/>
  <c r="G73" i="5"/>
  <c r="F74" i="5"/>
  <c r="E74" i="5"/>
  <c r="G74" i="5"/>
  <c r="F75" i="5"/>
  <c r="E75" i="5"/>
  <c r="G75" i="5"/>
  <c r="F76" i="5"/>
  <c r="E76" i="5"/>
  <c r="G76" i="5"/>
  <c r="F77" i="5"/>
  <c r="E77" i="5"/>
  <c r="G77" i="5"/>
  <c r="F78" i="5"/>
  <c r="E78" i="5"/>
  <c r="G78" i="5"/>
  <c r="F79" i="5"/>
  <c r="E79" i="5"/>
  <c r="G79" i="5"/>
  <c r="F80" i="5"/>
  <c r="E80" i="5"/>
  <c r="G80" i="5"/>
  <c r="F81" i="5"/>
  <c r="E81" i="5"/>
  <c r="G81" i="5"/>
  <c r="F82" i="5"/>
  <c r="E82" i="5"/>
  <c r="G82" i="5"/>
  <c r="F83" i="5"/>
  <c r="E83" i="5"/>
  <c r="G83" i="5"/>
  <c r="F84" i="5"/>
  <c r="E84" i="5"/>
  <c r="G84" i="5"/>
  <c r="F85" i="5"/>
  <c r="E85" i="5"/>
  <c r="G85" i="5"/>
  <c r="F86" i="5"/>
  <c r="E86" i="5"/>
  <c r="G86" i="5"/>
  <c r="F87" i="5"/>
  <c r="E87" i="5"/>
  <c r="G87" i="5"/>
  <c r="F88" i="5"/>
  <c r="E88" i="5"/>
  <c r="G88" i="5"/>
  <c r="F89" i="5"/>
  <c r="E89" i="5"/>
  <c r="G89" i="5"/>
  <c r="F90" i="5"/>
  <c r="E90" i="5"/>
  <c r="G90" i="5"/>
  <c r="F91" i="5"/>
  <c r="E91" i="5"/>
  <c r="G91" i="5"/>
  <c r="F92" i="5"/>
  <c r="E92" i="5"/>
  <c r="G92" i="5"/>
  <c r="F93" i="5"/>
  <c r="E93" i="5"/>
  <c r="G93" i="5"/>
  <c r="F94" i="5"/>
  <c r="E94" i="5"/>
  <c r="G94" i="5"/>
  <c r="F95" i="5"/>
  <c r="E95" i="5"/>
  <c r="G95" i="5"/>
  <c r="F96" i="5"/>
  <c r="E96" i="5"/>
  <c r="G96" i="5"/>
  <c r="F97" i="5"/>
  <c r="E97" i="5"/>
  <c r="G97" i="5"/>
  <c r="F98" i="5"/>
  <c r="E98" i="5"/>
  <c r="G98" i="5"/>
  <c r="F99" i="5"/>
  <c r="E99" i="5"/>
  <c r="G99" i="5"/>
  <c r="F100" i="5"/>
  <c r="E100" i="5"/>
  <c r="G100" i="5"/>
  <c r="F101" i="5"/>
  <c r="E101" i="5"/>
  <c r="G101" i="5"/>
  <c r="F102" i="5"/>
  <c r="E102" i="5"/>
  <c r="G102" i="5"/>
  <c r="F103" i="5"/>
  <c r="E103" i="5"/>
  <c r="G103" i="5"/>
  <c r="F104" i="5"/>
  <c r="E104" i="5"/>
  <c r="G104" i="5"/>
  <c r="F105" i="5"/>
  <c r="E105" i="5"/>
  <c r="G105" i="5"/>
  <c r="F106" i="5"/>
  <c r="E106" i="5"/>
  <c r="G106" i="5"/>
  <c r="F107" i="5"/>
  <c r="E107" i="5"/>
  <c r="G107" i="5"/>
  <c r="F108" i="5"/>
  <c r="E108" i="5"/>
  <c r="G108" i="5"/>
  <c r="F109" i="5"/>
  <c r="E109" i="5"/>
  <c r="G109" i="5"/>
  <c r="F110" i="5"/>
  <c r="E110" i="5"/>
  <c r="G110" i="5"/>
  <c r="F111" i="5"/>
  <c r="E111" i="5"/>
  <c r="G111" i="5"/>
  <c r="F112" i="5"/>
  <c r="E112" i="5"/>
  <c r="G112" i="5"/>
  <c r="F113" i="5"/>
  <c r="E113" i="5"/>
  <c r="G113" i="5"/>
  <c r="F114" i="5"/>
  <c r="E114" i="5"/>
  <c r="G114" i="5"/>
  <c r="F115" i="5"/>
  <c r="E115" i="5"/>
  <c r="G115" i="5"/>
  <c r="F116" i="5"/>
  <c r="E116" i="5"/>
  <c r="G116" i="5"/>
  <c r="F117" i="5"/>
  <c r="E117" i="5"/>
  <c r="G117" i="5"/>
  <c r="F118" i="5"/>
  <c r="E118" i="5"/>
  <c r="G118" i="5"/>
  <c r="F119" i="5"/>
  <c r="E119" i="5"/>
  <c r="G119" i="5"/>
  <c r="F120" i="5"/>
  <c r="E120" i="5"/>
  <c r="G120" i="5"/>
  <c r="F121" i="5"/>
  <c r="E121" i="5"/>
  <c r="G121" i="5"/>
  <c r="F122" i="5"/>
  <c r="E122" i="5"/>
  <c r="G122" i="5"/>
  <c r="F123" i="5"/>
  <c r="E123" i="5"/>
  <c r="G123" i="5"/>
  <c r="F124" i="5"/>
  <c r="E124" i="5"/>
  <c r="G124" i="5"/>
  <c r="F125" i="5"/>
  <c r="E125" i="5"/>
  <c r="G125" i="5"/>
  <c r="F126" i="5"/>
  <c r="E126" i="5"/>
  <c r="G126" i="5"/>
  <c r="F127" i="5"/>
  <c r="E127" i="5"/>
  <c r="G127" i="5"/>
  <c r="F128" i="5"/>
  <c r="E128" i="5"/>
  <c r="G128" i="5"/>
  <c r="F129" i="5"/>
  <c r="E129" i="5"/>
  <c r="G129" i="5"/>
  <c r="F130" i="5"/>
  <c r="E130" i="5"/>
  <c r="G130" i="5"/>
  <c r="F131" i="5"/>
  <c r="E131" i="5"/>
  <c r="G131" i="5"/>
  <c r="F132" i="5"/>
  <c r="E132" i="5"/>
  <c r="G132" i="5"/>
  <c r="F133" i="5"/>
  <c r="E133" i="5"/>
  <c r="G133" i="5"/>
  <c r="F134" i="5"/>
  <c r="E134" i="5"/>
  <c r="G134" i="5"/>
  <c r="F135" i="5"/>
  <c r="E135" i="5"/>
  <c r="G135" i="5"/>
  <c r="F136" i="5"/>
  <c r="E136" i="5"/>
  <c r="G136" i="5"/>
  <c r="F137" i="5"/>
  <c r="E137" i="5"/>
  <c r="G137" i="5"/>
  <c r="F138" i="5"/>
  <c r="E138" i="5"/>
  <c r="G138" i="5"/>
  <c r="F139" i="5"/>
  <c r="E139" i="5"/>
  <c r="G139" i="5"/>
  <c r="F140" i="5"/>
  <c r="E140" i="5"/>
  <c r="G140" i="5"/>
  <c r="F141" i="5"/>
  <c r="E141" i="5"/>
  <c r="G141" i="5"/>
  <c r="F142" i="5"/>
  <c r="E142" i="5"/>
  <c r="G142" i="5"/>
  <c r="F143" i="5"/>
  <c r="E143" i="5"/>
  <c r="G143" i="5"/>
  <c r="F144" i="5"/>
  <c r="E144" i="5"/>
  <c r="G144" i="5"/>
  <c r="F145" i="5"/>
  <c r="E145" i="5"/>
  <c r="G145" i="5"/>
  <c r="F146" i="5"/>
  <c r="E146" i="5"/>
  <c r="G146" i="5"/>
  <c r="F147" i="5"/>
  <c r="E147" i="5"/>
  <c r="G147" i="5"/>
  <c r="F148" i="5"/>
  <c r="E148" i="5"/>
  <c r="G148" i="5"/>
  <c r="F149" i="5"/>
  <c r="E149" i="5"/>
  <c r="G149" i="5"/>
  <c r="F150" i="5"/>
  <c r="E150" i="5"/>
  <c r="G150" i="5"/>
  <c r="F151" i="5"/>
  <c r="E151" i="5"/>
  <c r="G151" i="5"/>
  <c r="F152" i="5"/>
  <c r="E152" i="5"/>
  <c r="G152" i="5"/>
  <c r="F153" i="5"/>
  <c r="E153" i="5"/>
  <c r="G153" i="5"/>
  <c r="F154" i="5"/>
  <c r="E154" i="5"/>
  <c r="G154" i="5"/>
  <c r="F155" i="5"/>
  <c r="E155" i="5"/>
  <c r="G155" i="5"/>
  <c r="F156" i="5"/>
  <c r="E156" i="5"/>
  <c r="G156" i="5"/>
  <c r="F157" i="5"/>
  <c r="E157" i="5"/>
  <c r="G157" i="5"/>
  <c r="F158" i="5"/>
  <c r="E158" i="5"/>
  <c r="G158" i="5"/>
  <c r="F159" i="5"/>
  <c r="E159" i="5"/>
  <c r="G159" i="5"/>
  <c r="F160" i="5"/>
  <c r="E160" i="5"/>
  <c r="G160" i="5"/>
  <c r="F161" i="5"/>
  <c r="E161" i="5"/>
  <c r="G161" i="5"/>
  <c r="F162" i="5"/>
  <c r="E162" i="5"/>
  <c r="G162" i="5"/>
  <c r="F163" i="5"/>
  <c r="E163" i="5"/>
  <c r="G163" i="5"/>
  <c r="F164" i="5"/>
  <c r="E164" i="5"/>
  <c r="G164" i="5"/>
  <c r="F165" i="5"/>
  <c r="E165" i="5"/>
  <c r="G165" i="5"/>
  <c r="F166" i="5"/>
  <c r="E166" i="5"/>
  <c r="G166" i="5"/>
  <c r="F167" i="5"/>
  <c r="E167" i="5"/>
  <c r="G167" i="5"/>
  <c r="F168" i="5"/>
  <c r="E168" i="5"/>
  <c r="G168" i="5"/>
  <c r="F169" i="5"/>
  <c r="E169" i="5"/>
  <c r="G169" i="5"/>
  <c r="F170" i="5"/>
  <c r="E170" i="5"/>
  <c r="G170" i="5"/>
  <c r="F171" i="5"/>
  <c r="E171" i="5"/>
  <c r="G171" i="5"/>
  <c r="F172" i="5"/>
  <c r="E172" i="5"/>
  <c r="G172" i="5"/>
  <c r="F173" i="5"/>
  <c r="E173" i="5"/>
  <c r="G173" i="5"/>
  <c r="F174" i="5"/>
  <c r="E174" i="5"/>
  <c r="G174" i="5"/>
  <c r="F175" i="5"/>
  <c r="E175" i="5"/>
  <c r="G175" i="5"/>
  <c r="F176" i="5"/>
  <c r="E176" i="5"/>
  <c r="G176" i="5"/>
  <c r="F177" i="5"/>
  <c r="E177" i="5"/>
  <c r="G177" i="5"/>
  <c r="F178" i="5"/>
  <c r="E178" i="5"/>
  <c r="G178" i="5"/>
  <c r="F179" i="5"/>
  <c r="E179" i="5"/>
  <c r="G179" i="5"/>
  <c r="F180" i="5"/>
  <c r="E180" i="5"/>
  <c r="G180" i="5"/>
  <c r="F181" i="5"/>
  <c r="E181" i="5"/>
  <c r="G181" i="5"/>
  <c r="F182" i="5"/>
  <c r="E182" i="5"/>
  <c r="G182" i="5"/>
  <c r="F183" i="5"/>
  <c r="E183" i="5"/>
  <c r="G183" i="5"/>
  <c r="F184" i="5"/>
  <c r="E184" i="5"/>
  <c r="G184" i="5"/>
  <c r="F185" i="5"/>
  <c r="E185" i="5"/>
  <c r="G185" i="5"/>
  <c r="F186" i="5"/>
  <c r="E186" i="5"/>
  <c r="G186" i="5"/>
  <c r="F187" i="5"/>
  <c r="E187" i="5"/>
  <c r="G187" i="5"/>
  <c r="F188" i="5"/>
  <c r="E188" i="5"/>
  <c r="G188" i="5"/>
  <c r="F189" i="5"/>
  <c r="E189" i="5"/>
  <c r="G189" i="5"/>
  <c r="F190" i="5"/>
  <c r="E190" i="5"/>
  <c r="G190" i="5"/>
  <c r="F191" i="5"/>
  <c r="E191" i="5"/>
  <c r="G191" i="5"/>
  <c r="F192" i="5"/>
  <c r="E192" i="5"/>
  <c r="G192" i="5"/>
  <c r="F193" i="5"/>
  <c r="E193" i="5"/>
  <c r="G193" i="5"/>
  <c r="F194" i="5"/>
  <c r="E194" i="5"/>
  <c r="G194" i="5"/>
  <c r="F195" i="5"/>
  <c r="E195" i="5"/>
  <c r="G195" i="5"/>
  <c r="F196" i="5"/>
  <c r="E196" i="5"/>
  <c r="G196" i="5"/>
  <c r="F197" i="5"/>
  <c r="E197" i="5"/>
  <c r="G197" i="5"/>
  <c r="F198" i="5"/>
  <c r="E198" i="5"/>
  <c r="G198" i="5"/>
  <c r="F199" i="5"/>
  <c r="E199" i="5"/>
  <c r="G199" i="5"/>
  <c r="F200" i="5"/>
  <c r="E200" i="5"/>
  <c r="G200" i="5"/>
  <c r="F201" i="5"/>
  <c r="E201" i="5"/>
  <c r="G201" i="5"/>
  <c r="F202" i="5"/>
  <c r="E202" i="5"/>
  <c r="G202" i="5"/>
  <c r="F203" i="5"/>
  <c r="E203" i="5"/>
  <c r="G203" i="5"/>
  <c r="F204" i="5"/>
  <c r="E204" i="5"/>
  <c r="G204" i="5"/>
  <c r="F205" i="5"/>
  <c r="E205" i="5"/>
  <c r="G205" i="5"/>
  <c r="F206" i="5"/>
  <c r="E206" i="5"/>
  <c r="G206" i="5"/>
  <c r="F207" i="5"/>
  <c r="E207" i="5"/>
  <c r="G207" i="5"/>
  <c r="F208" i="5"/>
  <c r="E208" i="5"/>
  <c r="G208" i="5"/>
  <c r="F209" i="5"/>
  <c r="E209" i="5"/>
  <c r="G209" i="5"/>
  <c r="F210" i="5"/>
  <c r="E210" i="5"/>
  <c r="G210" i="5"/>
  <c r="F211" i="5"/>
  <c r="E211" i="5"/>
  <c r="G211" i="5"/>
  <c r="F212" i="5"/>
  <c r="E212" i="5"/>
  <c r="G212" i="5"/>
  <c r="F213" i="5"/>
  <c r="E213" i="5"/>
  <c r="G213" i="5"/>
  <c r="F214" i="5"/>
  <c r="E214" i="5"/>
  <c r="G214" i="5"/>
  <c r="F215" i="5"/>
  <c r="E215" i="5"/>
  <c r="G215" i="5"/>
  <c r="F216" i="5"/>
  <c r="E216" i="5"/>
  <c r="G216" i="5"/>
  <c r="F217" i="5"/>
  <c r="E217" i="5"/>
  <c r="G217" i="5"/>
  <c r="F218" i="5"/>
  <c r="E218" i="5"/>
  <c r="G218" i="5"/>
  <c r="F219" i="5"/>
  <c r="E219" i="5"/>
  <c r="G219" i="5"/>
  <c r="F220" i="5"/>
  <c r="E220" i="5"/>
  <c r="G220" i="5"/>
  <c r="F221" i="5"/>
  <c r="E221" i="5"/>
  <c r="G221" i="5"/>
  <c r="F222" i="5"/>
  <c r="E222" i="5"/>
  <c r="G222" i="5"/>
  <c r="F223" i="5"/>
  <c r="E223" i="5"/>
  <c r="G223" i="5"/>
  <c r="F224" i="5"/>
  <c r="E224" i="5"/>
  <c r="G224" i="5"/>
  <c r="F225" i="5"/>
  <c r="E225" i="5"/>
  <c r="G225" i="5"/>
  <c r="F226" i="5"/>
  <c r="E226" i="5"/>
  <c r="G226" i="5"/>
  <c r="F227" i="5"/>
  <c r="E227" i="5"/>
  <c r="G227" i="5"/>
  <c r="F228" i="5"/>
  <c r="E228" i="5"/>
  <c r="G228" i="5"/>
  <c r="F229" i="5"/>
  <c r="E229" i="5"/>
  <c r="G229" i="5"/>
  <c r="F230" i="5"/>
  <c r="E230" i="5"/>
  <c r="G230" i="5"/>
  <c r="F231" i="5"/>
  <c r="E231" i="5"/>
  <c r="G231" i="5"/>
  <c r="F232" i="5"/>
  <c r="E232" i="5"/>
  <c r="G232" i="5"/>
  <c r="F233" i="5"/>
  <c r="E233" i="5"/>
  <c r="G233" i="5"/>
  <c r="F234" i="5"/>
  <c r="E234" i="5"/>
  <c r="G234" i="5"/>
  <c r="F235" i="5"/>
  <c r="E235" i="5"/>
  <c r="G235" i="5"/>
  <c r="F236" i="5"/>
  <c r="E236" i="5"/>
  <c r="G236" i="5"/>
  <c r="F237" i="5"/>
  <c r="E237" i="5"/>
  <c r="G237" i="5"/>
  <c r="F238" i="5"/>
  <c r="E238" i="5"/>
  <c r="G238" i="5"/>
  <c r="F239" i="5"/>
  <c r="E239" i="5"/>
  <c r="G239" i="5"/>
  <c r="F240" i="5"/>
  <c r="E240" i="5"/>
  <c r="G240" i="5"/>
  <c r="F241" i="5"/>
  <c r="E241" i="5"/>
  <c r="G241" i="5"/>
  <c r="F242" i="5"/>
  <c r="E242" i="5"/>
  <c r="G242" i="5"/>
  <c r="F243" i="5"/>
  <c r="E243" i="5"/>
  <c r="G243" i="5"/>
  <c r="F244" i="5"/>
  <c r="E244" i="5"/>
  <c r="G244" i="5"/>
  <c r="F245" i="5"/>
  <c r="E245" i="5"/>
  <c r="G245" i="5"/>
  <c r="F246" i="5"/>
  <c r="E246" i="5"/>
  <c r="G246" i="5"/>
  <c r="F247" i="5"/>
  <c r="E247" i="5"/>
  <c r="G247" i="5"/>
  <c r="F248" i="5"/>
  <c r="E248" i="5"/>
  <c r="G248" i="5"/>
  <c r="F249" i="5"/>
  <c r="E249" i="5"/>
  <c r="G249" i="5"/>
  <c r="F250" i="5"/>
  <c r="E250" i="5"/>
  <c r="G250" i="5"/>
  <c r="F251" i="5"/>
  <c r="E251" i="5"/>
  <c r="G251" i="5"/>
  <c r="F252" i="5"/>
  <c r="E252" i="5"/>
  <c r="G252" i="5"/>
  <c r="F253" i="5"/>
  <c r="E253" i="5"/>
  <c r="G253" i="5"/>
  <c r="F254" i="5"/>
  <c r="E254" i="5"/>
  <c r="G254" i="5"/>
  <c r="F255" i="5"/>
  <c r="E255" i="5"/>
  <c r="G255" i="5"/>
  <c r="F256" i="5"/>
  <c r="E256" i="5"/>
  <c r="G256" i="5"/>
  <c r="F257" i="5"/>
  <c r="E257" i="5"/>
  <c r="G257" i="5"/>
  <c r="F258" i="5"/>
  <c r="E258" i="5"/>
  <c r="G258" i="5"/>
  <c r="F259" i="5"/>
  <c r="E259" i="5"/>
  <c r="G259" i="5"/>
  <c r="F260" i="5"/>
  <c r="E260" i="5"/>
  <c r="G260" i="5"/>
  <c r="F261" i="5"/>
  <c r="E261" i="5"/>
  <c r="G261" i="5"/>
  <c r="F262" i="5"/>
  <c r="E262" i="5"/>
  <c r="G262" i="5"/>
  <c r="F263" i="5"/>
  <c r="E263" i="5"/>
  <c r="G263" i="5"/>
  <c r="F264" i="5"/>
  <c r="E264" i="5"/>
  <c r="G264" i="5"/>
  <c r="F265" i="5"/>
  <c r="E265" i="5"/>
  <c r="G265" i="5"/>
  <c r="F266" i="5"/>
  <c r="E266" i="5"/>
  <c r="G266" i="5"/>
  <c r="F267" i="5"/>
  <c r="E267" i="5"/>
  <c r="G267" i="5"/>
  <c r="F268" i="5"/>
  <c r="E268" i="5"/>
  <c r="G268" i="5"/>
  <c r="F269" i="5"/>
  <c r="E269" i="5"/>
  <c r="G269" i="5"/>
  <c r="F270" i="5"/>
  <c r="E270" i="5"/>
  <c r="G270" i="5"/>
  <c r="F271" i="5"/>
  <c r="E271" i="5"/>
  <c r="G271" i="5"/>
  <c r="F272" i="5"/>
  <c r="E272" i="5"/>
  <c r="G272" i="5"/>
  <c r="F273" i="5"/>
  <c r="E273" i="5"/>
  <c r="G273" i="5"/>
  <c r="F274" i="5"/>
  <c r="E274" i="5"/>
  <c r="G274" i="5"/>
  <c r="F275" i="5"/>
  <c r="E275" i="5"/>
  <c r="G275" i="5"/>
  <c r="F276" i="5"/>
  <c r="E276" i="5"/>
  <c r="G276" i="5"/>
  <c r="F277" i="5"/>
  <c r="E277" i="5"/>
  <c r="G277" i="5"/>
  <c r="F278" i="5"/>
  <c r="E278" i="5"/>
  <c r="G278" i="5"/>
  <c r="F279" i="5"/>
  <c r="E279" i="5"/>
  <c r="G279" i="5"/>
  <c r="F280" i="5"/>
  <c r="E280" i="5"/>
  <c r="G280" i="5"/>
  <c r="F281" i="5"/>
  <c r="E281" i="5"/>
  <c r="G281" i="5"/>
  <c r="F282" i="5"/>
  <c r="E282" i="5"/>
  <c r="G282" i="5"/>
  <c r="F283" i="5"/>
  <c r="E283" i="5"/>
  <c r="G283" i="5"/>
  <c r="F284" i="5"/>
  <c r="E284" i="5"/>
  <c r="G284" i="5"/>
  <c r="F285" i="5"/>
  <c r="E285" i="5"/>
  <c r="G285" i="5"/>
  <c r="F286" i="5"/>
  <c r="E286" i="5"/>
  <c r="G286" i="5"/>
  <c r="F287" i="5"/>
  <c r="E287" i="5"/>
  <c r="G287" i="5"/>
  <c r="F288" i="5"/>
  <c r="E288" i="5"/>
  <c r="G288" i="5"/>
  <c r="F289" i="5"/>
  <c r="E289" i="5"/>
  <c r="G289" i="5"/>
  <c r="F290" i="5"/>
  <c r="E290" i="5"/>
  <c r="G290" i="5"/>
  <c r="F291" i="5"/>
  <c r="E291" i="5"/>
  <c r="G291" i="5"/>
  <c r="F292" i="5"/>
  <c r="E292" i="5"/>
  <c r="G292" i="5"/>
  <c r="F293" i="5"/>
  <c r="E293" i="5"/>
  <c r="G293" i="5"/>
  <c r="F294" i="5"/>
  <c r="E294" i="5"/>
  <c r="G294" i="5"/>
  <c r="F295" i="5"/>
  <c r="E295" i="5"/>
  <c r="G295" i="5"/>
  <c r="F296" i="5"/>
  <c r="E296" i="5"/>
  <c r="G296" i="5"/>
  <c r="F297" i="5"/>
  <c r="E297" i="5"/>
  <c r="G297" i="5"/>
  <c r="F298" i="5"/>
  <c r="E298" i="5"/>
  <c r="G298" i="5"/>
  <c r="F299" i="5"/>
  <c r="E299" i="5"/>
  <c r="G299" i="5"/>
  <c r="F300" i="5"/>
  <c r="E300" i="5"/>
  <c r="G300" i="5"/>
  <c r="F301" i="5"/>
  <c r="E301" i="5"/>
  <c r="G301" i="5"/>
  <c r="F302" i="5"/>
  <c r="E302" i="5"/>
  <c r="G302" i="5"/>
  <c r="F303" i="5"/>
  <c r="E303" i="5"/>
  <c r="G303" i="5"/>
  <c r="F304" i="5"/>
  <c r="E304" i="5"/>
  <c r="G304" i="5"/>
  <c r="F305" i="5"/>
  <c r="E305" i="5"/>
  <c r="G305" i="5"/>
  <c r="F306" i="5"/>
  <c r="E306" i="5"/>
  <c r="G306" i="5"/>
  <c r="F307" i="5"/>
  <c r="E307" i="5"/>
  <c r="G307" i="5"/>
  <c r="F308" i="5"/>
  <c r="E308" i="5"/>
  <c r="G308" i="5"/>
  <c r="F309" i="5"/>
  <c r="E309" i="5"/>
  <c r="G309" i="5"/>
  <c r="F310" i="5"/>
  <c r="E310" i="5"/>
  <c r="G310" i="5"/>
  <c r="F311" i="5"/>
  <c r="E311" i="5"/>
  <c r="G311" i="5"/>
  <c r="F312" i="5"/>
  <c r="E312" i="5"/>
  <c r="G312" i="5"/>
  <c r="F313" i="5"/>
  <c r="E313" i="5"/>
  <c r="G313" i="5"/>
  <c r="F314" i="5"/>
  <c r="E314" i="5"/>
  <c r="G314" i="5"/>
  <c r="F315" i="5"/>
  <c r="E315" i="5"/>
  <c r="G315" i="5"/>
  <c r="F316" i="5"/>
  <c r="E316" i="5"/>
  <c r="G316" i="5"/>
  <c r="F317" i="5"/>
  <c r="E317" i="5"/>
  <c r="G317" i="5"/>
  <c r="F318" i="5"/>
  <c r="E318" i="5"/>
  <c r="G318" i="5"/>
  <c r="F319" i="5"/>
  <c r="E319" i="5"/>
  <c r="G319" i="5"/>
  <c r="F320" i="5"/>
  <c r="E320" i="5"/>
  <c r="G320" i="5"/>
  <c r="F321" i="5"/>
  <c r="E321" i="5"/>
  <c r="G321" i="5"/>
  <c r="F322" i="5"/>
  <c r="E322" i="5"/>
  <c r="G322" i="5"/>
  <c r="F323" i="5"/>
  <c r="E323" i="5"/>
  <c r="G323" i="5"/>
  <c r="F324" i="5"/>
  <c r="E324" i="5"/>
  <c r="G324" i="5"/>
  <c r="F325" i="5"/>
  <c r="E325" i="5"/>
  <c r="G325" i="5"/>
  <c r="F326" i="5"/>
  <c r="E326" i="5"/>
  <c r="G326" i="5"/>
  <c r="F327" i="5"/>
  <c r="E327" i="5"/>
  <c r="G327" i="5"/>
  <c r="F328" i="5"/>
  <c r="E328" i="5"/>
  <c r="G328" i="5"/>
  <c r="F329" i="5"/>
  <c r="E329" i="5"/>
  <c r="G329" i="5"/>
  <c r="F330" i="5"/>
  <c r="E330" i="5"/>
  <c r="G330" i="5"/>
  <c r="F331" i="5"/>
  <c r="E331" i="5"/>
  <c r="G331" i="5"/>
  <c r="F332" i="5"/>
  <c r="E332" i="5"/>
  <c r="G332" i="5"/>
  <c r="F333" i="5"/>
  <c r="E333" i="5"/>
  <c r="G333" i="5"/>
  <c r="F334" i="5"/>
  <c r="E334" i="5"/>
  <c r="G334" i="5"/>
  <c r="F335" i="5"/>
  <c r="E335" i="5"/>
  <c r="G335" i="5"/>
  <c r="F336" i="5"/>
  <c r="E336" i="5"/>
  <c r="G336" i="5"/>
  <c r="F337" i="5"/>
  <c r="E337" i="5"/>
  <c r="G337" i="5"/>
  <c r="F338" i="5"/>
  <c r="E338" i="5"/>
  <c r="G338" i="5"/>
  <c r="F339" i="5"/>
  <c r="E339" i="5"/>
  <c r="G339" i="5"/>
  <c r="F340" i="5"/>
  <c r="E340" i="5"/>
  <c r="G340" i="5"/>
  <c r="F341" i="5"/>
  <c r="E341" i="5"/>
  <c r="G341" i="5"/>
  <c r="F342" i="5"/>
  <c r="E342" i="5"/>
  <c r="G342" i="5"/>
  <c r="F343" i="5"/>
  <c r="E343" i="5"/>
  <c r="G343" i="5"/>
  <c r="F344" i="5"/>
  <c r="E344" i="5"/>
  <c r="G344" i="5"/>
  <c r="F345" i="5"/>
  <c r="E345" i="5"/>
  <c r="G345" i="5"/>
  <c r="F346" i="5"/>
  <c r="E346" i="5"/>
  <c r="G346" i="5"/>
  <c r="F347" i="5"/>
  <c r="E347" i="5"/>
  <c r="G347" i="5"/>
  <c r="F348" i="5"/>
  <c r="E348" i="5"/>
  <c r="G348" i="5"/>
  <c r="F349" i="5"/>
  <c r="E349" i="5"/>
  <c r="G349" i="5"/>
  <c r="F350" i="5"/>
  <c r="E350" i="5"/>
  <c r="G350" i="5"/>
  <c r="F351" i="5"/>
  <c r="E351" i="5"/>
  <c r="G351" i="5"/>
  <c r="F352" i="5"/>
  <c r="E352" i="5"/>
  <c r="G352" i="5"/>
  <c r="F353" i="5"/>
  <c r="E353" i="5"/>
  <c r="G353" i="5"/>
  <c r="F354" i="5"/>
  <c r="E354" i="5"/>
  <c r="G354" i="5"/>
  <c r="F355" i="5"/>
  <c r="E355" i="5"/>
  <c r="G355" i="5"/>
  <c r="F356" i="5"/>
  <c r="E356" i="5"/>
  <c r="G356" i="5"/>
  <c r="F357" i="5"/>
  <c r="E357" i="5"/>
  <c r="G357" i="5"/>
  <c r="F358" i="5"/>
  <c r="E358" i="5"/>
  <c r="G358" i="5"/>
  <c r="F359" i="5"/>
  <c r="E359" i="5"/>
  <c r="G359" i="5"/>
  <c r="F360" i="5"/>
  <c r="E360" i="5"/>
  <c r="G360" i="5"/>
  <c r="F361" i="5"/>
  <c r="E361" i="5"/>
  <c r="G361" i="5"/>
  <c r="F362" i="5"/>
  <c r="E362" i="5"/>
  <c r="G362" i="5"/>
  <c r="F363" i="5"/>
  <c r="E363" i="5"/>
  <c r="G363" i="5"/>
  <c r="F364" i="5"/>
  <c r="E364" i="5"/>
  <c r="G364" i="5"/>
  <c r="F365" i="5"/>
  <c r="E365" i="5"/>
  <c r="G365" i="5"/>
  <c r="F366" i="5"/>
  <c r="E366" i="5"/>
  <c r="G366" i="5"/>
  <c r="F367" i="5"/>
  <c r="E367" i="5"/>
  <c r="G367" i="5"/>
  <c r="F368" i="5"/>
  <c r="E368" i="5"/>
  <c r="G368" i="5"/>
  <c r="F369" i="5"/>
  <c r="E369" i="5"/>
  <c r="G369" i="5"/>
  <c r="F370" i="5"/>
  <c r="E370" i="5"/>
  <c r="G370" i="5"/>
  <c r="F371" i="5"/>
  <c r="E371" i="5"/>
  <c r="G371" i="5"/>
  <c r="F372" i="5"/>
  <c r="E372" i="5"/>
  <c r="G372" i="5"/>
  <c r="F373" i="5"/>
  <c r="E373" i="5"/>
  <c r="G373" i="5"/>
  <c r="F374" i="5"/>
  <c r="E374" i="5"/>
  <c r="G374" i="5"/>
  <c r="F375" i="5"/>
  <c r="E375" i="5"/>
  <c r="G375" i="5"/>
  <c r="F376" i="5"/>
  <c r="E376" i="5"/>
  <c r="G376" i="5"/>
  <c r="F377" i="5"/>
  <c r="E377" i="5"/>
  <c r="G377" i="5"/>
  <c r="F378" i="5"/>
  <c r="E378" i="5"/>
  <c r="G378" i="5"/>
  <c r="F379" i="5"/>
  <c r="E379" i="5"/>
  <c r="G379" i="5"/>
  <c r="F380" i="5"/>
  <c r="E380" i="5"/>
  <c r="G380" i="5"/>
  <c r="F381" i="5"/>
  <c r="E381" i="5"/>
  <c r="G381" i="5"/>
  <c r="F382" i="5"/>
  <c r="E382" i="5"/>
  <c r="G382" i="5"/>
  <c r="F383" i="5"/>
  <c r="E383" i="5"/>
  <c r="G383" i="5"/>
  <c r="F384" i="5"/>
  <c r="E384" i="5"/>
  <c r="G384" i="5"/>
  <c r="F385" i="5"/>
  <c r="E385" i="5"/>
  <c r="G385" i="5"/>
  <c r="F386" i="5"/>
  <c r="E386" i="5"/>
  <c r="G386" i="5"/>
  <c r="F387" i="5"/>
  <c r="E387" i="5"/>
  <c r="G387" i="5"/>
  <c r="F388" i="5"/>
  <c r="E388" i="5"/>
  <c r="G388" i="5"/>
  <c r="F389" i="5"/>
  <c r="E389" i="5"/>
  <c r="G389" i="5"/>
  <c r="F390" i="5"/>
  <c r="E390" i="5"/>
  <c r="G390" i="5"/>
  <c r="F391" i="5"/>
  <c r="E391" i="5"/>
  <c r="G391" i="5"/>
  <c r="F392" i="5"/>
  <c r="E392" i="5"/>
  <c r="G392" i="5"/>
  <c r="F393" i="5"/>
  <c r="E393" i="5"/>
  <c r="G393" i="5"/>
  <c r="F394" i="5"/>
  <c r="E394" i="5"/>
  <c r="G394" i="5"/>
  <c r="F395" i="5"/>
  <c r="E395" i="5"/>
  <c r="G395" i="5"/>
  <c r="F396" i="5"/>
  <c r="E396" i="5"/>
  <c r="G396" i="5"/>
  <c r="F397" i="5"/>
  <c r="E397" i="5"/>
  <c r="G397" i="5"/>
  <c r="F398" i="5"/>
  <c r="E398" i="5"/>
  <c r="G398" i="5"/>
  <c r="F399" i="5"/>
  <c r="E399" i="5"/>
  <c r="G399" i="5"/>
  <c r="F400" i="5"/>
  <c r="E400" i="5"/>
  <c r="G400" i="5"/>
  <c r="F401" i="5"/>
  <c r="E401" i="5"/>
  <c r="G401" i="5"/>
  <c r="F402" i="5"/>
  <c r="E402" i="5"/>
  <c r="G402" i="5"/>
  <c r="F403" i="5"/>
  <c r="E403" i="5"/>
  <c r="G403" i="5"/>
  <c r="F404" i="5"/>
  <c r="E404" i="5"/>
  <c r="G404" i="5"/>
  <c r="F405" i="5"/>
  <c r="E405" i="5"/>
  <c r="G405" i="5"/>
  <c r="F406" i="5"/>
  <c r="E406" i="5"/>
  <c r="G406" i="5"/>
  <c r="F407" i="5"/>
  <c r="E407" i="5"/>
  <c r="G407" i="5"/>
  <c r="F408" i="5"/>
  <c r="E408" i="5"/>
  <c r="G408" i="5"/>
  <c r="F409" i="5"/>
  <c r="E409" i="5"/>
  <c r="G409" i="5"/>
  <c r="F410" i="5"/>
  <c r="E410" i="5"/>
  <c r="G410" i="5"/>
  <c r="F411" i="5"/>
  <c r="E411" i="5"/>
  <c r="G411" i="5"/>
  <c r="F412" i="5"/>
  <c r="E412" i="5"/>
  <c r="G412" i="5"/>
  <c r="F413" i="5"/>
  <c r="E413" i="5"/>
  <c r="G413" i="5"/>
  <c r="F414" i="5"/>
  <c r="E414" i="5"/>
  <c r="G414" i="5"/>
  <c r="F415" i="5"/>
  <c r="E415" i="5"/>
  <c r="G415" i="5"/>
  <c r="F416" i="5"/>
  <c r="E416" i="5"/>
  <c r="G416" i="5"/>
  <c r="F417" i="5"/>
  <c r="E417" i="5"/>
  <c r="G417" i="5"/>
  <c r="F418" i="5"/>
  <c r="E418" i="5"/>
  <c r="G418" i="5"/>
  <c r="F419" i="5"/>
  <c r="E419" i="5"/>
  <c r="G419" i="5"/>
  <c r="F420" i="5"/>
  <c r="E420" i="5"/>
  <c r="G420" i="5"/>
  <c r="F421" i="5"/>
  <c r="E421" i="5"/>
  <c r="G421" i="5"/>
  <c r="F422" i="5"/>
  <c r="E422" i="5"/>
  <c r="G422" i="5"/>
  <c r="F423" i="5"/>
  <c r="E423" i="5"/>
  <c r="G423" i="5"/>
  <c r="F424" i="5"/>
  <c r="E424" i="5"/>
  <c r="G424" i="5"/>
  <c r="F425" i="5"/>
  <c r="E425" i="5"/>
  <c r="G425" i="5"/>
  <c r="F426" i="5"/>
  <c r="E426" i="5"/>
  <c r="G426" i="5"/>
  <c r="F427" i="5"/>
  <c r="E427" i="5"/>
  <c r="G427" i="5"/>
  <c r="F428" i="5"/>
  <c r="E428" i="5"/>
  <c r="G428" i="5"/>
  <c r="F429" i="5"/>
  <c r="E429" i="5"/>
  <c r="G429" i="5"/>
  <c r="F430" i="5"/>
  <c r="E430" i="5"/>
  <c r="G430" i="5"/>
  <c r="F431" i="5"/>
  <c r="E431" i="5"/>
  <c r="G431" i="5"/>
  <c r="F432" i="5"/>
  <c r="E432" i="5"/>
  <c r="G432" i="5"/>
  <c r="F433" i="5"/>
  <c r="E433" i="5"/>
  <c r="G433" i="5"/>
  <c r="F434" i="5"/>
  <c r="E434" i="5"/>
  <c r="G434" i="5"/>
  <c r="F435" i="5"/>
  <c r="E435" i="5"/>
  <c r="G435" i="5"/>
  <c r="F436" i="5"/>
  <c r="E436" i="5"/>
  <c r="G436" i="5"/>
  <c r="F437" i="5"/>
  <c r="E437" i="5"/>
  <c r="G437" i="5"/>
  <c r="F438" i="5"/>
  <c r="E438" i="5"/>
  <c r="G438" i="5"/>
  <c r="F439" i="5"/>
  <c r="E439" i="5"/>
  <c r="G439" i="5"/>
  <c r="F440" i="5"/>
  <c r="E440" i="5"/>
  <c r="G440" i="5"/>
  <c r="F441" i="5"/>
  <c r="E441" i="5"/>
  <c r="G441" i="5"/>
  <c r="F442" i="5"/>
  <c r="E442" i="5"/>
  <c r="G442" i="5"/>
  <c r="F443" i="5"/>
  <c r="E443" i="5"/>
  <c r="G443" i="5"/>
  <c r="F444" i="5"/>
  <c r="E444" i="5"/>
  <c r="G444" i="5"/>
  <c r="F445" i="5"/>
  <c r="E445" i="5"/>
  <c r="G445" i="5"/>
  <c r="F446" i="5"/>
  <c r="E446" i="5"/>
  <c r="G446" i="5"/>
  <c r="F447" i="5"/>
  <c r="E447" i="5"/>
  <c r="G447" i="5"/>
  <c r="F448" i="5"/>
  <c r="E448" i="5"/>
  <c r="G448" i="5"/>
  <c r="F449" i="5"/>
  <c r="E449" i="5"/>
  <c r="G449" i="5"/>
  <c r="F450" i="5"/>
  <c r="E450" i="5"/>
  <c r="G450" i="5"/>
  <c r="F451" i="5"/>
  <c r="E451" i="5"/>
  <c r="G451" i="5"/>
  <c r="F452" i="5"/>
  <c r="E452" i="5"/>
  <c r="G452" i="5"/>
  <c r="F453" i="5"/>
  <c r="E453" i="5"/>
  <c r="G453" i="5"/>
  <c r="F454" i="5"/>
  <c r="E454" i="5"/>
  <c r="G454" i="5"/>
  <c r="F455" i="5"/>
  <c r="E455" i="5"/>
  <c r="G455" i="5"/>
  <c r="F456" i="5"/>
  <c r="E456" i="5"/>
  <c r="G456" i="5"/>
  <c r="F457" i="5"/>
  <c r="E457" i="5"/>
  <c r="G457" i="5"/>
  <c r="F458" i="5"/>
  <c r="E458" i="5"/>
  <c r="G458" i="5"/>
  <c r="F459" i="5"/>
  <c r="E459" i="5"/>
  <c r="G459" i="5"/>
  <c r="F460" i="5"/>
  <c r="E460" i="5"/>
  <c r="G460" i="5"/>
  <c r="F461" i="5"/>
  <c r="E461" i="5"/>
  <c r="G461" i="5"/>
  <c r="F462" i="5"/>
  <c r="E462" i="5"/>
  <c r="G462" i="5"/>
  <c r="F463" i="5"/>
  <c r="E463" i="5"/>
  <c r="G463" i="5"/>
  <c r="F464" i="5"/>
  <c r="E464" i="5"/>
  <c r="G464" i="5"/>
  <c r="F465" i="5"/>
  <c r="E465" i="5"/>
  <c r="G465" i="5"/>
  <c r="F466" i="5"/>
  <c r="E466" i="5"/>
  <c r="G466" i="5"/>
  <c r="F467" i="5"/>
  <c r="E467" i="5"/>
  <c r="G467" i="5"/>
  <c r="F468" i="5"/>
  <c r="E468" i="5"/>
  <c r="G468" i="5"/>
  <c r="F469" i="5"/>
  <c r="E469" i="5"/>
  <c r="G469" i="5"/>
  <c r="F470" i="5"/>
  <c r="E470" i="5"/>
  <c r="G470" i="5"/>
  <c r="F471" i="5"/>
  <c r="E471" i="5"/>
  <c r="G471" i="5"/>
  <c r="F472" i="5"/>
  <c r="E472" i="5"/>
  <c r="G472" i="5"/>
  <c r="F473" i="5"/>
  <c r="E473" i="5"/>
  <c r="G473" i="5"/>
  <c r="F474" i="5"/>
  <c r="E474" i="5"/>
  <c r="G474" i="5"/>
  <c r="F475" i="5"/>
  <c r="E475" i="5"/>
  <c r="G475" i="5"/>
  <c r="F476" i="5"/>
  <c r="E476" i="5"/>
  <c r="G476" i="5"/>
  <c r="F477" i="5"/>
  <c r="E477" i="5"/>
  <c r="G477" i="5"/>
  <c r="F478" i="5"/>
  <c r="E478" i="5"/>
  <c r="G478" i="5"/>
  <c r="F479" i="5"/>
  <c r="E479" i="5"/>
  <c r="G479" i="5"/>
  <c r="F480" i="5"/>
  <c r="E480" i="5"/>
  <c r="G480" i="5"/>
  <c r="F481" i="5"/>
  <c r="E481" i="5"/>
  <c r="G481" i="5"/>
  <c r="F482" i="5"/>
  <c r="E482" i="5"/>
  <c r="G482" i="5"/>
  <c r="F483" i="5"/>
  <c r="E483" i="5"/>
  <c r="G483" i="5"/>
  <c r="F484" i="5"/>
  <c r="E484" i="5"/>
  <c r="G484" i="5"/>
  <c r="F485" i="5"/>
  <c r="E485" i="5"/>
  <c r="G485" i="5"/>
  <c r="F486" i="5"/>
  <c r="E486" i="5"/>
  <c r="G486" i="5"/>
  <c r="F487" i="5"/>
  <c r="E487" i="5"/>
  <c r="G487" i="5"/>
  <c r="F488" i="5"/>
  <c r="E488" i="5"/>
  <c r="G488" i="5"/>
  <c r="F489" i="5"/>
  <c r="E489" i="5"/>
  <c r="G489" i="5"/>
  <c r="F490" i="5"/>
  <c r="E490" i="5"/>
  <c r="G490" i="5"/>
  <c r="F491" i="5"/>
  <c r="E491" i="5"/>
  <c r="G491" i="5"/>
  <c r="F492" i="5"/>
  <c r="E492" i="5"/>
  <c r="G492" i="5"/>
  <c r="F493" i="5"/>
  <c r="E493" i="5"/>
  <c r="G493" i="5"/>
  <c r="F494" i="5"/>
  <c r="E494" i="5"/>
  <c r="G494" i="5"/>
  <c r="F495" i="5"/>
  <c r="E495" i="5"/>
  <c r="G495" i="5"/>
  <c r="F496" i="5"/>
  <c r="E496" i="5"/>
  <c r="G496" i="5"/>
  <c r="F497" i="5"/>
  <c r="E497" i="5"/>
  <c r="G497" i="5"/>
  <c r="F498" i="5"/>
  <c r="E498" i="5"/>
  <c r="G498" i="5"/>
  <c r="F499" i="5"/>
  <c r="E499" i="5"/>
  <c r="G499" i="5"/>
  <c r="F500" i="5"/>
  <c r="E500" i="5"/>
  <c r="G500" i="5"/>
  <c r="F501" i="5"/>
  <c r="E501" i="5"/>
  <c r="G501" i="5"/>
  <c r="F502" i="5"/>
  <c r="E502" i="5"/>
  <c r="G502" i="5"/>
  <c r="F503" i="5"/>
  <c r="E503" i="5"/>
  <c r="G503" i="5"/>
  <c r="F504" i="5"/>
  <c r="E504" i="5"/>
  <c r="G504" i="5"/>
  <c r="F505" i="5"/>
  <c r="E505" i="5"/>
  <c r="G505" i="5"/>
  <c r="F506" i="5"/>
  <c r="E506" i="5"/>
  <c r="G506" i="5"/>
  <c r="F507" i="5"/>
  <c r="E507" i="5"/>
  <c r="G507" i="5"/>
  <c r="F508" i="5"/>
  <c r="E508" i="5"/>
  <c r="G508" i="5"/>
  <c r="F509" i="5"/>
  <c r="E509" i="5"/>
  <c r="G509" i="5"/>
  <c r="F510" i="5"/>
  <c r="E510" i="5"/>
  <c r="G510" i="5"/>
  <c r="F511" i="5"/>
  <c r="E511" i="5"/>
  <c r="G511" i="5"/>
  <c r="F512" i="5"/>
  <c r="E512" i="5"/>
  <c r="G512" i="5"/>
  <c r="F513" i="5"/>
  <c r="E513" i="5"/>
  <c r="G513" i="5"/>
  <c r="F514" i="5"/>
  <c r="E514" i="5"/>
  <c r="G514" i="5"/>
  <c r="F515" i="5"/>
  <c r="E515" i="5"/>
  <c r="G515" i="5"/>
  <c r="F516" i="5"/>
  <c r="E516" i="5"/>
  <c r="G516" i="5"/>
  <c r="F517" i="5"/>
  <c r="E517" i="5"/>
  <c r="G517" i="5"/>
  <c r="F518" i="5"/>
  <c r="E518" i="5"/>
  <c r="G518" i="5"/>
  <c r="F519" i="5"/>
  <c r="E519" i="5"/>
  <c r="G519" i="5"/>
  <c r="F520" i="5"/>
  <c r="E520" i="5"/>
  <c r="G520" i="5"/>
  <c r="F521" i="5"/>
  <c r="E521" i="5"/>
  <c r="G521" i="5"/>
  <c r="F522" i="5"/>
  <c r="E522" i="5"/>
  <c r="G522" i="5"/>
  <c r="F523" i="5"/>
  <c r="E523" i="5"/>
  <c r="G523" i="5"/>
  <c r="F524" i="5"/>
  <c r="E524" i="5"/>
  <c r="G524" i="5"/>
  <c r="F525" i="5"/>
  <c r="E525" i="5"/>
  <c r="G525" i="5"/>
  <c r="F526" i="5"/>
  <c r="E526" i="5"/>
  <c r="G526" i="5"/>
  <c r="F527" i="5"/>
  <c r="E527" i="5"/>
  <c r="G527" i="5"/>
  <c r="F528" i="5"/>
  <c r="E528" i="5"/>
  <c r="G528" i="5"/>
  <c r="F529" i="5"/>
  <c r="E529" i="5"/>
  <c r="G529" i="5"/>
  <c r="F530" i="5"/>
  <c r="E530" i="5"/>
  <c r="G530" i="5"/>
  <c r="F531" i="5"/>
  <c r="E531" i="5"/>
  <c r="G531" i="5"/>
  <c r="F532" i="5"/>
  <c r="E532" i="5"/>
  <c r="G532" i="5"/>
  <c r="F533" i="5"/>
  <c r="E533" i="5"/>
  <c r="G533" i="5"/>
  <c r="F534" i="5"/>
  <c r="E534" i="5"/>
  <c r="G534" i="5"/>
  <c r="F535" i="5"/>
  <c r="E535" i="5"/>
  <c r="G535" i="5"/>
  <c r="F536" i="5"/>
  <c r="E536" i="5"/>
  <c r="G536" i="5"/>
  <c r="F537" i="5"/>
  <c r="E537" i="5"/>
  <c r="G537" i="5"/>
  <c r="F538" i="5"/>
  <c r="E538" i="5"/>
  <c r="G538" i="5"/>
  <c r="F539" i="5"/>
  <c r="E539" i="5"/>
  <c r="G539" i="5"/>
  <c r="F540" i="5"/>
  <c r="E540" i="5"/>
  <c r="G540" i="5"/>
  <c r="F541" i="5"/>
  <c r="E541" i="5"/>
  <c r="G541" i="5"/>
  <c r="F542" i="5"/>
  <c r="E542" i="5"/>
  <c r="G542" i="5"/>
  <c r="F543" i="5"/>
  <c r="E543" i="5"/>
  <c r="G543" i="5"/>
  <c r="F544" i="5"/>
  <c r="E544" i="5"/>
  <c r="G544" i="5"/>
  <c r="F545" i="5"/>
  <c r="E545" i="5"/>
  <c r="G545" i="5"/>
  <c r="F546" i="5"/>
  <c r="E546" i="5"/>
  <c r="G546" i="5"/>
  <c r="F547" i="5"/>
  <c r="E547" i="5"/>
  <c r="G547" i="5"/>
  <c r="F548" i="5"/>
  <c r="E548" i="5"/>
  <c r="G548" i="5"/>
  <c r="F549" i="5"/>
  <c r="E549" i="5"/>
  <c r="G549" i="5"/>
  <c r="F550" i="5"/>
  <c r="E550" i="5"/>
  <c r="G550" i="5"/>
  <c r="F551" i="5"/>
  <c r="E551" i="5"/>
  <c r="G551" i="5"/>
  <c r="F552" i="5"/>
  <c r="E552" i="5"/>
  <c r="G552" i="5"/>
  <c r="F553" i="5"/>
  <c r="E553" i="5"/>
  <c r="G553" i="5"/>
  <c r="F554" i="5"/>
  <c r="E554" i="5"/>
  <c r="G554" i="5"/>
  <c r="F555" i="5"/>
  <c r="E555" i="5"/>
  <c r="G555" i="5"/>
  <c r="F556" i="5"/>
  <c r="E556" i="5"/>
  <c r="G556" i="5"/>
  <c r="F557" i="5"/>
  <c r="E557" i="5"/>
  <c r="G557" i="5"/>
  <c r="F558" i="5"/>
  <c r="E558" i="5"/>
  <c r="G558" i="5"/>
  <c r="F559" i="5"/>
  <c r="E559" i="5"/>
  <c r="G559" i="5"/>
  <c r="F560" i="5"/>
  <c r="E560" i="5"/>
  <c r="G560" i="5"/>
  <c r="F561" i="5"/>
  <c r="E561" i="5"/>
  <c r="G561" i="5"/>
  <c r="F562" i="5"/>
  <c r="E562" i="5"/>
  <c r="G562" i="5"/>
  <c r="F563" i="5"/>
  <c r="E563" i="5"/>
  <c r="G563" i="5"/>
  <c r="F564" i="5"/>
  <c r="E564" i="5"/>
  <c r="G564" i="5"/>
  <c r="F565" i="5"/>
  <c r="E565" i="5"/>
  <c r="G565" i="5"/>
  <c r="F566" i="5"/>
  <c r="E566" i="5"/>
  <c r="G566" i="5"/>
  <c r="F567" i="5"/>
  <c r="E567" i="5"/>
  <c r="G567" i="5"/>
  <c r="F568" i="5"/>
  <c r="E568" i="5"/>
  <c r="G568" i="5"/>
  <c r="F569" i="5"/>
  <c r="E569" i="5"/>
  <c r="G569" i="5"/>
  <c r="F570" i="5"/>
  <c r="E570" i="5"/>
  <c r="G570" i="5"/>
  <c r="F571" i="5"/>
  <c r="E571" i="5"/>
  <c r="G571" i="5"/>
  <c r="F572" i="5"/>
  <c r="E572" i="5"/>
  <c r="G572" i="5"/>
  <c r="F573" i="5"/>
  <c r="E573" i="5"/>
  <c r="G573" i="5"/>
  <c r="F574" i="5"/>
  <c r="E574" i="5"/>
  <c r="G574" i="5"/>
  <c r="F575" i="5"/>
  <c r="E575" i="5"/>
  <c r="G575" i="5"/>
  <c r="F576" i="5"/>
  <c r="E576" i="5"/>
  <c r="G576" i="5"/>
  <c r="F577" i="5"/>
  <c r="E577" i="5"/>
  <c r="G577" i="5"/>
  <c r="F578" i="5"/>
  <c r="E578" i="5"/>
  <c r="G578" i="5"/>
  <c r="F579" i="5"/>
  <c r="E579" i="5"/>
  <c r="G579" i="5"/>
  <c r="F580" i="5"/>
  <c r="E580" i="5"/>
  <c r="G580" i="5"/>
  <c r="F581" i="5"/>
  <c r="E581" i="5"/>
  <c r="G581" i="5"/>
  <c r="F582" i="5"/>
  <c r="E582" i="5"/>
  <c r="G582" i="5"/>
  <c r="F583" i="5"/>
  <c r="E583" i="5"/>
  <c r="G583" i="5"/>
  <c r="F584" i="5"/>
  <c r="E584" i="5"/>
  <c r="G584" i="5"/>
  <c r="F585" i="5"/>
  <c r="E585" i="5"/>
  <c r="G585" i="5"/>
  <c r="F586" i="5"/>
  <c r="E586" i="5"/>
  <c r="G586" i="5"/>
  <c r="F587" i="5"/>
  <c r="E587" i="5"/>
  <c r="G587" i="5"/>
  <c r="F588" i="5"/>
  <c r="E588" i="5"/>
  <c r="G588" i="5"/>
  <c r="F589" i="5"/>
  <c r="E589" i="5"/>
  <c r="G589" i="5"/>
  <c r="F590" i="5"/>
  <c r="E590" i="5"/>
  <c r="G590" i="5"/>
  <c r="F591" i="5"/>
  <c r="E591" i="5"/>
  <c r="G591" i="5"/>
  <c r="F592" i="5"/>
  <c r="E592" i="5"/>
  <c r="G592" i="5"/>
  <c r="F593" i="5"/>
  <c r="E593" i="5"/>
  <c r="G593" i="5"/>
  <c r="F594" i="5"/>
  <c r="E594" i="5"/>
  <c r="G594" i="5"/>
  <c r="F595" i="5"/>
  <c r="E595" i="5"/>
  <c r="G595" i="5"/>
  <c r="F596" i="5"/>
  <c r="E596" i="5"/>
  <c r="G596" i="5"/>
  <c r="F597" i="5"/>
  <c r="E597" i="5"/>
  <c r="G597" i="5"/>
  <c r="F598" i="5"/>
  <c r="E598" i="5"/>
  <c r="G598" i="5"/>
  <c r="F599" i="5"/>
  <c r="E599" i="5"/>
  <c r="G599" i="5"/>
  <c r="F600" i="5"/>
  <c r="E600" i="5"/>
  <c r="G600" i="5"/>
  <c r="F601" i="5"/>
  <c r="E601" i="5"/>
  <c r="G601" i="5"/>
  <c r="F602" i="5"/>
  <c r="E602" i="5"/>
  <c r="G602" i="5"/>
  <c r="F603" i="5"/>
  <c r="E603" i="5"/>
  <c r="G603" i="5"/>
  <c r="F604" i="5"/>
  <c r="E604" i="5"/>
  <c r="G604" i="5"/>
  <c r="F605" i="5"/>
  <c r="E605" i="5"/>
  <c r="G605" i="5"/>
  <c r="F606" i="5"/>
  <c r="E606" i="5"/>
  <c r="G606" i="5"/>
  <c r="F607" i="5"/>
  <c r="E607" i="5"/>
  <c r="G607" i="5"/>
  <c r="F608" i="5"/>
  <c r="E608" i="5"/>
  <c r="G608" i="5"/>
  <c r="F609" i="5"/>
  <c r="E609" i="5"/>
  <c r="G609" i="5"/>
  <c r="F610" i="5"/>
  <c r="E610" i="5"/>
  <c r="G610" i="5"/>
  <c r="F611" i="5"/>
  <c r="E611" i="5"/>
  <c r="G611" i="5"/>
  <c r="F612" i="5"/>
  <c r="E612" i="5"/>
  <c r="G612" i="5"/>
  <c r="F613" i="5"/>
  <c r="E613" i="5"/>
  <c r="G613" i="5"/>
  <c r="F614" i="5"/>
  <c r="E614" i="5"/>
  <c r="G614" i="5"/>
  <c r="F615" i="5"/>
  <c r="E615" i="5"/>
  <c r="G615" i="5"/>
  <c r="F616" i="5"/>
  <c r="E616" i="5"/>
  <c r="G616" i="5"/>
  <c r="F617" i="5"/>
  <c r="E617" i="5"/>
  <c r="G617" i="5"/>
  <c r="F618" i="5"/>
  <c r="E618" i="5"/>
  <c r="G618" i="5"/>
  <c r="F619" i="5"/>
  <c r="E619" i="5"/>
  <c r="G619" i="5"/>
  <c r="F620" i="5"/>
  <c r="E620" i="5"/>
  <c r="G620" i="5"/>
  <c r="F621" i="5"/>
  <c r="E621" i="5"/>
  <c r="G621" i="5"/>
  <c r="F622" i="5"/>
  <c r="E622" i="5"/>
  <c r="G622" i="5"/>
  <c r="F623" i="5"/>
  <c r="E623" i="5"/>
  <c r="G623" i="5"/>
  <c r="F624" i="5"/>
  <c r="E624" i="5"/>
  <c r="G624" i="5"/>
  <c r="F625" i="5"/>
  <c r="E625" i="5"/>
  <c r="G625" i="5"/>
  <c r="F626" i="5"/>
  <c r="E626" i="5"/>
  <c r="G626" i="5"/>
  <c r="F627" i="5"/>
  <c r="E627" i="5"/>
  <c r="G627" i="5"/>
  <c r="F628" i="5"/>
  <c r="E628" i="5"/>
  <c r="G628" i="5"/>
  <c r="F629" i="5"/>
  <c r="E629" i="5"/>
  <c r="G629" i="5"/>
  <c r="F630" i="5"/>
  <c r="E630" i="5"/>
  <c r="G630" i="5"/>
  <c r="F631" i="5"/>
  <c r="E631" i="5"/>
  <c r="G631" i="5"/>
  <c r="F632" i="5"/>
  <c r="E632" i="5"/>
  <c r="G632" i="5"/>
  <c r="F633" i="5"/>
  <c r="E633" i="5"/>
  <c r="G633" i="5"/>
  <c r="F634" i="5"/>
  <c r="E634" i="5"/>
  <c r="G634" i="5"/>
  <c r="F635" i="5"/>
  <c r="E635" i="5"/>
  <c r="G635" i="5"/>
  <c r="F636" i="5"/>
  <c r="E636" i="5"/>
  <c r="G636" i="5"/>
  <c r="F637" i="5"/>
  <c r="E637" i="5"/>
  <c r="G637" i="5"/>
  <c r="F638" i="5"/>
  <c r="E638" i="5"/>
  <c r="G638" i="5"/>
  <c r="F639" i="5"/>
  <c r="E639" i="5"/>
  <c r="G639" i="5"/>
  <c r="F640" i="5"/>
  <c r="E640" i="5"/>
  <c r="G640" i="5"/>
  <c r="F641" i="5"/>
  <c r="E641" i="5"/>
  <c r="G641" i="5"/>
  <c r="F642" i="5"/>
  <c r="E642" i="5"/>
  <c r="G642" i="5"/>
  <c r="F643" i="5"/>
  <c r="E643" i="5"/>
  <c r="G643" i="5"/>
  <c r="F644" i="5"/>
  <c r="E644" i="5"/>
  <c r="G644" i="5"/>
  <c r="F645" i="5"/>
  <c r="E645" i="5"/>
  <c r="G645" i="5"/>
  <c r="F646" i="5"/>
  <c r="E646" i="5"/>
  <c r="G646" i="5"/>
  <c r="F647" i="5"/>
  <c r="E647" i="5"/>
  <c r="G647" i="5"/>
  <c r="F648" i="5"/>
  <c r="E648" i="5"/>
  <c r="G648" i="5"/>
  <c r="F649" i="5"/>
  <c r="E649" i="5"/>
  <c r="G649" i="5"/>
  <c r="F650" i="5"/>
  <c r="E650" i="5"/>
  <c r="G650" i="5"/>
  <c r="F651" i="5"/>
  <c r="E651" i="5"/>
  <c r="G651" i="5"/>
  <c r="F652" i="5"/>
  <c r="E652" i="5"/>
  <c r="G652" i="5"/>
  <c r="F653" i="5"/>
  <c r="E653" i="5"/>
  <c r="G653" i="5"/>
  <c r="F654" i="5"/>
  <c r="E654" i="5"/>
  <c r="G654" i="5"/>
  <c r="F655" i="5"/>
  <c r="E655" i="5"/>
  <c r="G655" i="5"/>
  <c r="F656" i="5"/>
  <c r="E656" i="5"/>
  <c r="G656" i="5"/>
  <c r="F657" i="5"/>
  <c r="E657" i="5"/>
  <c r="G657" i="5"/>
  <c r="F658" i="5"/>
  <c r="E658" i="5"/>
  <c r="G658" i="5"/>
  <c r="F659" i="5"/>
  <c r="E659" i="5"/>
  <c r="G659" i="5"/>
  <c r="F660" i="5"/>
  <c r="E660" i="5"/>
  <c r="G660" i="5"/>
  <c r="F661" i="5"/>
  <c r="E661" i="5"/>
  <c r="G661" i="5"/>
  <c r="F662" i="5"/>
  <c r="E662" i="5"/>
  <c r="G662" i="5"/>
  <c r="F663" i="5"/>
  <c r="E663" i="5"/>
  <c r="G663" i="5"/>
  <c r="F664" i="5"/>
  <c r="E664" i="5"/>
  <c r="G664" i="5"/>
  <c r="F665" i="5"/>
  <c r="E665" i="5"/>
  <c r="G665" i="5"/>
  <c r="F666" i="5"/>
  <c r="E666" i="5"/>
  <c r="G666" i="5"/>
  <c r="F667" i="5"/>
  <c r="E667" i="5"/>
  <c r="G667" i="5"/>
  <c r="F668" i="5"/>
  <c r="E668" i="5"/>
  <c r="G668" i="5"/>
  <c r="F669" i="5"/>
  <c r="E669" i="5"/>
  <c r="G669" i="5"/>
  <c r="F670" i="5"/>
  <c r="E670" i="5"/>
  <c r="G670" i="5"/>
  <c r="F671" i="5"/>
  <c r="E671" i="5"/>
  <c r="G671" i="5"/>
  <c r="F672" i="5"/>
  <c r="E672" i="5"/>
  <c r="G672" i="5"/>
  <c r="F673" i="5"/>
  <c r="E673" i="5"/>
  <c r="G673" i="5"/>
  <c r="F674" i="5"/>
  <c r="E674" i="5"/>
  <c r="G674" i="5"/>
  <c r="F675" i="5"/>
  <c r="E675" i="5"/>
  <c r="G675" i="5"/>
  <c r="F676" i="5"/>
  <c r="E676" i="5"/>
  <c r="G676" i="5"/>
  <c r="F677" i="5"/>
  <c r="E677" i="5"/>
  <c r="G677" i="5"/>
  <c r="F678" i="5"/>
  <c r="E678" i="5"/>
  <c r="G678" i="5"/>
  <c r="F679" i="5"/>
  <c r="E679" i="5"/>
  <c r="G679" i="5"/>
  <c r="F680" i="5"/>
  <c r="E680" i="5"/>
  <c r="G680" i="5"/>
  <c r="F681" i="5"/>
  <c r="E681" i="5"/>
  <c r="G681" i="5"/>
  <c r="F682" i="5"/>
  <c r="E682" i="5"/>
  <c r="G682" i="5"/>
  <c r="F683" i="5"/>
  <c r="E683" i="5"/>
  <c r="G683" i="5"/>
  <c r="F684" i="5"/>
  <c r="E684" i="5"/>
  <c r="G684" i="5"/>
  <c r="F685" i="5"/>
  <c r="E685" i="5"/>
  <c r="G685" i="5"/>
  <c r="F686" i="5"/>
  <c r="E686" i="5"/>
  <c r="G686" i="5"/>
  <c r="F687" i="5"/>
  <c r="E687" i="5"/>
  <c r="G687" i="5"/>
  <c r="F688" i="5"/>
  <c r="E688" i="5"/>
  <c r="G688" i="5"/>
  <c r="F689" i="5"/>
  <c r="E689" i="5"/>
  <c r="G689" i="5"/>
  <c r="F690" i="5"/>
  <c r="E690" i="5"/>
  <c r="G690" i="5"/>
  <c r="F691" i="5"/>
  <c r="E691" i="5"/>
  <c r="G691" i="5"/>
  <c r="F692" i="5"/>
  <c r="E692" i="5"/>
  <c r="G692" i="5"/>
  <c r="F693" i="5"/>
  <c r="E693" i="5"/>
  <c r="G693" i="5"/>
  <c r="F694" i="5"/>
  <c r="E694" i="5"/>
  <c r="G694" i="5"/>
  <c r="F695" i="5"/>
  <c r="E695" i="5"/>
  <c r="G695" i="5"/>
  <c r="F696" i="5"/>
  <c r="E696" i="5"/>
  <c r="G696" i="5"/>
  <c r="F697" i="5"/>
  <c r="E697" i="5"/>
  <c r="G697" i="5"/>
  <c r="F698" i="5"/>
  <c r="E698" i="5"/>
  <c r="G698" i="5"/>
  <c r="F699" i="5"/>
  <c r="E699" i="5"/>
  <c r="G699" i="5"/>
  <c r="F700" i="5"/>
  <c r="E700" i="5"/>
  <c r="G700" i="5"/>
  <c r="F701" i="5"/>
  <c r="E701" i="5"/>
  <c r="G701" i="5"/>
  <c r="F702" i="5"/>
  <c r="E702" i="5"/>
  <c r="G702" i="5"/>
  <c r="F703" i="5"/>
  <c r="E703" i="5"/>
  <c r="G703" i="5"/>
  <c r="F704" i="5"/>
  <c r="E704" i="5"/>
  <c r="G704" i="5"/>
  <c r="F705" i="5"/>
  <c r="E705" i="5"/>
  <c r="G705" i="5"/>
  <c r="F706" i="5"/>
  <c r="E706" i="5"/>
  <c r="G706" i="5"/>
  <c r="F707" i="5"/>
  <c r="E707" i="5"/>
  <c r="G707" i="5"/>
  <c r="F708" i="5"/>
  <c r="E708" i="5"/>
  <c r="G708" i="5"/>
  <c r="F709" i="5"/>
  <c r="E709" i="5"/>
  <c r="G709" i="5"/>
  <c r="F710" i="5"/>
  <c r="E710" i="5"/>
  <c r="G710" i="5"/>
  <c r="F711" i="5"/>
  <c r="E711" i="5"/>
  <c r="G711" i="5"/>
  <c r="F712" i="5"/>
  <c r="E712" i="5"/>
  <c r="G712" i="5"/>
  <c r="F713" i="5"/>
  <c r="E713" i="5"/>
  <c r="G713" i="5"/>
  <c r="F714" i="5"/>
  <c r="E714" i="5"/>
  <c r="G714" i="5"/>
  <c r="F715" i="5"/>
  <c r="E715" i="5"/>
  <c r="G715" i="5"/>
  <c r="F716" i="5"/>
  <c r="E716" i="5"/>
  <c r="G716" i="5"/>
  <c r="F717" i="5"/>
  <c r="E717" i="5"/>
  <c r="G717" i="5"/>
  <c r="F718" i="5"/>
  <c r="E718" i="5"/>
  <c r="G718" i="5"/>
  <c r="F719" i="5"/>
  <c r="E719" i="5"/>
  <c r="G719" i="5"/>
  <c r="F720" i="5"/>
  <c r="E720" i="5"/>
  <c r="G720" i="5"/>
  <c r="F721" i="5"/>
  <c r="E721" i="5"/>
  <c r="G721" i="5"/>
  <c r="F722" i="5"/>
  <c r="E722" i="5"/>
  <c r="G722" i="5"/>
  <c r="F723" i="5"/>
  <c r="E723" i="5"/>
  <c r="G723" i="5"/>
  <c r="F724" i="5"/>
  <c r="E724" i="5"/>
  <c r="G724" i="5"/>
  <c r="F725" i="5"/>
  <c r="E725" i="5"/>
  <c r="G725" i="5"/>
  <c r="F726" i="5"/>
  <c r="E726" i="5"/>
  <c r="G726" i="5"/>
  <c r="F727" i="5"/>
  <c r="E727" i="5"/>
  <c r="G727" i="5"/>
  <c r="F728" i="5"/>
  <c r="E728" i="5"/>
  <c r="G728" i="5"/>
  <c r="F729" i="5"/>
  <c r="E729" i="5"/>
  <c r="G729" i="5"/>
  <c r="F730" i="5"/>
  <c r="E730" i="5"/>
  <c r="G730" i="5"/>
  <c r="F731" i="5"/>
  <c r="E731" i="5"/>
  <c r="G731" i="5"/>
  <c r="F732" i="5"/>
  <c r="E732" i="5"/>
  <c r="G732" i="5"/>
  <c r="F733" i="5"/>
  <c r="E733" i="5"/>
  <c r="G733" i="5"/>
  <c r="F734" i="5"/>
  <c r="E734" i="5"/>
  <c r="G734" i="5"/>
  <c r="F735" i="5"/>
  <c r="E735" i="5"/>
  <c r="G735" i="5"/>
  <c r="F736" i="5"/>
  <c r="E736" i="5"/>
  <c r="G736" i="5"/>
  <c r="F737" i="5"/>
  <c r="E737" i="5"/>
  <c r="G737" i="5"/>
  <c r="F738" i="5"/>
  <c r="E738" i="5"/>
  <c r="G738" i="5"/>
  <c r="F739" i="5"/>
  <c r="E739" i="5"/>
  <c r="G739" i="5"/>
  <c r="F740" i="5"/>
  <c r="E740" i="5"/>
  <c r="G740" i="5"/>
  <c r="F741" i="5"/>
  <c r="E741" i="5"/>
  <c r="G741" i="5"/>
  <c r="F742" i="5"/>
  <c r="E742" i="5"/>
  <c r="G742" i="5"/>
  <c r="F743" i="5"/>
  <c r="E743" i="5"/>
  <c r="G743" i="5"/>
  <c r="F744" i="5"/>
  <c r="E744" i="5"/>
  <c r="G744" i="5"/>
  <c r="F745" i="5"/>
  <c r="E745" i="5"/>
  <c r="G745" i="5"/>
  <c r="F746" i="5"/>
  <c r="E746" i="5"/>
  <c r="G746" i="5"/>
  <c r="F747" i="5"/>
  <c r="E747" i="5"/>
  <c r="G747" i="5"/>
  <c r="F748" i="5"/>
  <c r="E748" i="5"/>
  <c r="G748" i="5"/>
  <c r="F749" i="5"/>
  <c r="E749" i="5"/>
  <c r="G749" i="5"/>
  <c r="F750" i="5"/>
  <c r="E750" i="5"/>
  <c r="G750" i="5"/>
  <c r="F751" i="5"/>
  <c r="E751" i="5"/>
  <c r="G751" i="5"/>
  <c r="F752" i="5"/>
  <c r="E752" i="5"/>
  <c r="G752" i="5"/>
  <c r="F753" i="5"/>
  <c r="E753" i="5"/>
  <c r="G753" i="5"/>
  <c r="F754" i="5"/>
  <c r="E754" i="5"/>
  <c r="G754" i="5"/>
  <c r="F755" i="5"/>
  <c r="E755" i="5"/>
  <c r="G755" i="5"/>
  <c r="F756" i="5"/>
  <c r="E756" i="5"/>
  <c r="G756" i="5"/>
  <c r="F757" i="5"/>
  <c r="E757" i="5"/>
  <c r="G757" i="5"/>
  <c r="F758" i="5"/>
  <c r="E758" i="5"/>
  <c r="G758" i="5"/>
  <c r="F759" i="5"/>
  <c r="E759" i="5"/>
  <c r="G759" i="5"/>
  <c r="F760" i="5"/>
  <c r="E760" i="5"/>
  <c r="G760" i="5"/>
  <c r="F761" i="5"/>
  <c r="E761" i="5"/>
  <c r="G761" i="5"/>
  <c r="F762" i="5"/>
  <c r="E762" i="5"/>
  <c r="G762" i="5"/>
  <c r="F763" i="5"/>
  <c r="E763" i="5"/>
  <c r="G763" i="5"/>
  <c r="F764" i="5"/>
  <c r="E764" i="5"/>
  <c r="G764" i="5"/>
  <c r="F765" i="5"/>
  <c r="E765" i="5"/>
  <c r="G765" i="5"/>
  <c r="F766" i="5"/>
  <c r="E766" i="5"/>
  <c r="G766" i="5"/>
  <c r="F767" i="5"/>
  <c r="E767" i="5"/>
  <c r="G767" i="5"/>
  <c r="F768" i="5"/>
  <c r="E768" i="5"/>
  <c r="G768" i="5"/>
  <c r="F769" i="5"/>
  <c r="E769" i="5"/>
  <c r="G769" i="5"/>
  <c r="F770" i="5"/>
  <c r="E770" i="5"/>
  <c r="G770" i="5"/>
  <c r="F771" i="5"/>
  <c r="E771" i="5"/>
  <c r="G771" i="5"/>
  <c r="F772" i="5"/>
  <c r="E772" i="5"/>
  <c r="G772" i="5"/>
  <c r="F773" i="5"/>
  <c r="E773" i="5"/>
  <c r="G773" i="5"/>
  <c r="F774" i="5"/>
  <c r="E774" i="5"/>
  <c r="G774" i="5"/>
  <c r="F775" i="5"/>
  <c r="E775" i="5"/>
  <c r="G775" i="5"/>
  <c r="F776" i="5"/>
  <c r="E776" i="5"/>
  <c r="G776" i="5"/>
  <c r="F777" i="5"/>
  <c r="E777" i="5"/>
  <c r="G777" i="5"/>
  <c r="F778" i="5"/>
  <c r="E778" i="5"/>
  <c r="G778" i="5"/>
  <c r="F779" i="5"/>
  <c r="E779" i="5"/>
  <c r="G779" i="5"/>
  <c r="F780" i="5"/>
  <c r="E780" i="5"/>
  <c r="G780" i="5"/>
  <c r="F781" i="5"/>
  <c r="E781" i="5"/>
  <c r="G781" i="5"/>
  <c r="F782" i="5"/>
  <c r="E782" i="5"/>
  <c r="G782" i="5"/>
  <c r="F783" i="5"/>
  <c r="E783" i="5"/>
  <c r="G783" i="5"/>
  <c r="F784" i="5"/>
  <c r="E784" i="5"/>
  <c r="G784" i="5"/>
  <c r="F785" i="5"/>
  <c r="E785" i="5"/>
  <c r="G785" i="5"/>
  <c r="F786" i="5"/>
  <c r="E786" i="5"/>
  <c r="G786" i="5"/>
  <c r="F787" i="5"/>
  <c r="E787" i="5"/>
  <c r="G787" i="5"/>
  <c r="F788" i="5"/>
  <c r="E788" i="5"/>
  <c r="G788" i="5"/>
  <c r="F789" i="5"/>
  <c r="E789" i="5"/>
  <c r="G789" i="5"/>
  <c r="F790" i="5"/>
  <c r="E790" i="5"/>
  <c r="G790" i="5"/>
  <c r="F791" i="5"/>
  <c r="E791" i="5"/>
  <c r="G791" i="5"/>
  <c r="F792" i="5"/>
  <c r="E792" i="5"/>
  <c r="G792" i="5"/>
  <c r="F793" i="5"/>
  <c r="E793" i="5"/>
  <c r="G793" i="5"/>
  <c r="F794" i="5"/>
  <c r="E794" i="5"/>
  <c r="G794" i="5"/>
  <c r="F795" i="5"/>
  <c r="E795" i="5"/>
  <c r="G795" i="5"/>
  <c r="F796" i="5"/>
  <c r="E796" i="5"/>
  <c r="G796" i="5"/>
  <c r="F797" i="5"/>
  <c r="E797" i="5"/>
  <c r="G797" i="5"/>
  <c r="F798" i="5"/>
  <c r="E798" i="5"/>
  <c r="G798" i="5"/>
  <c r="F799" i="5"/>
  <c r="E799" i="5"/>
  <c r="G799" i="5"/>
  <c r="F800" i="5"/>
  <c r="E800" i="5"/>
  <c r="G800" i="5"/>
  <c r="F801" i="5"/>
  <c r="E801" i="5"/>
  <c r="G801" i="5"/>
  <c r="F802" i="5"/>
  <c r="E802" i="5"/>
  <c r="G802" i="5"/>
  <c r="F803" i="5"/>
  <c r="E803" i="5"/>
  <c r="G803" i="5"/>
  <c r="F804" i="5"/>
  <c r="E804" i="5"/>
  <c r="G804" i="5"/>
  <c r="F805" i="5"/>
  <c r="E805" i="5"/>
  <c r="G805" i="5"/>
  <c r="F806" i="5"/>
  <c r="E806" i="5"/>
  <c r="G806" i="5"/>
  <c r="F807" i="5"/>
  <c r="E807" i="5"/>
  <c r="G807" i="5"/>
  <c r="F808" i="5"/>
  <c r="E808" i="5"/>
  <c r="G808" i="5"/>
  <c r="F809" i="5"/>
  <c r="E809" i="5"/>
  <c r="G809" i="5"/>
  <c r="F810" i="5"/>
  <c r="E810" i="5"/>
  <c r="G810" i="5"/>
  <c r="F811" i="5"/>
  <c r="E811" i="5"/>
  <c r="G811" i="5"/>
  <c r="F812" i="5"/>
  <c r="E812" i="5"/>
  <c r="G812" i="5"/>
  <c r="F813" i="5"/>
  <c r="E813" i="5"/>
  <c r="G813" i="5"/>
  <c r="F814" i="5"/>
  <c r="E814" i="5"/>
  <c r="G814" i="5"/>
  <c r="F815" i="5"/>
  <c r="E815" i="5"/>
  <c r="G815" i="5"/>
  <c r="F816" i="5"/>
  <c r="E816" i="5"/>
  <c r="G816" i="5"/>
  <c r="F817" i="5"/>
  <c r="E817" i="5"/>
  <c r="G817" i="5"/>
  <c r="F818" i="5"/>
  <c r="E818" i="5"/>
  <c r="G818" i="5"/>
  <c r="F819" i="5"/>
  <c r="E819" i="5"/>
  <c r="G819" i="5"/>
  <c r="F820" i="5"/>
  <c r="E820" i="5"/>
  <c r="G820" i="5"/>
  <c r="F821" i="5"/>
  <c r="E821" i="5"/>
  <c r="G821" i="5"/>
  <c r="F822" i="5"/>
  <c r="E822" i="5"/>
  <c r="G822" i="5"/>
  <c r="F823" i="5"/>
  <c r="E823" i="5"/>
  <c r="G823" i="5"/>
  <c r="F824" i="5"/>
  <c r="E824" i="5"/>
  <c r="G824" i="5"/>
  <c r="F825" i="5"/>
  <c r="E825" i="5"/>
  <c r="G825" i="5"/>
  <c r="F826" i="5"/>
  <c r="E826" i="5"/>
  <c r="G826" i="5"/>
  <c r="F827" i="5"/>
  <c r="E827" i="5"/>
  <c r="G827" i="5"/>
  <c r="F828" i="5"/>
  <c r="E828" i="5"/>
  <c r="G828" i="5"/>
  <c r="F829" i="5"/>
  <c r="E829" i="5"/>
  <c r="G829" i="5"/>
  <c r="F830" i="5"/>
  <c r="E830" i="5"/>
  <c r="G830" i="5"/>
  <c r="F831" i="5"/>
  <c r="E831" i="5"/>
  <c r="G831" i="5"/>
  <c r="F832" i="5"/>
  <c r="E832" i="5"/>
  <c r="G832" i="5"/>
  <c r="F833" i="5"/>
  <c r="E833" i="5"/>
  <c r="G833" i="5"/>
  <c r="F834" i="5"/>
  <c r="E834" i="5"/>
  <c r="G834" i="5"/>
  <c r="F835" i="5"/>
  <c r="E835" i="5"/>
  <c r="G835" i="5"/>
  <c r="F836" i="5"/>
  <c r="E836" i="5"/>
  <c r="G836" i="5"/>
  <c r="F837" i="5"/>
  <c r="E837" i="5"/>
  <c r="G837" i="5"/>
  <c r="F838" i="5"/>
  <c r="E838" i="5"/>
  <c r="G838" i="5"/>
  <c r="F839" i="5"/>
  <c r="E839" i="5"/>
  <c r="G839" i="5"/>
  <c r="F840" i="5"/>
  <c r="E840" i="5"/>
  <c r="G840" i="5"/>
  <c r="F841" i="5"/>
  <c r="E841" i="5"/>
  <c r="G841" i="5"/>
  <c r="F842" i="5"/>
  <c r="E842" i="5"/>
  <c r="G842" i="5"/>
  <c r="F843" i="5"/>
  <c r="E843" i="5"/>
  <c r="G843" i="5"/>
  <c r="F844" i="5"/>
  <c r="E844" i="5"/>
  <c r="G844" i="5"/>
  <c r="F845" i="5"/>
  <c r="E845" i="5"/>
  <c r="G845" i="5"/>
  <c r="F846" i="5"/>
  <c r="E846" i="5"/>
  <c r="G846" i="5"/>
  <c r="F847" i="5"/>
  <c r="E847" i="5"/>
  <c r="G847" i="5"/>
  <c r="F848" i="5"/>
  <c r="E848" i="5"/>
  <c r="G848" i="5"/>
  <c r="F849" i="5"/>
  <c r="E849" i="5"/>
  <c r="G849" i="5"/>
  <c r="F850" i="5"/>
  <c r="E850" i="5"/>
  <c r="G850" i="5"/>
  <c r="F851" i="5"/>
  <c r="E851" i="5"/>
  <c r="G851" i="5"/>
  <c r="F852" i="5"/>
  <c r="E852" i="5"/>
  <c r="G852" i="5"/>
  <c r="F853" i="5"/>
  <c r="E853" i="5"/>
  <c r="G853" i="5"/>
  <c r="F854" i="5"/>
  <c r="E854" i="5"/>
  <c r="G854" i="5"/>
  <c r="F855" i="5"/>
  <c r="E855" i="5"/>
  <c r="G855" i="5"/>
  <c r="F856" i="5"/>
  <c r="E856" i="5"/>
  <c r="G856" i="5"/>
  <c r="F857" i="5"/>
  <c r="E857" i="5"/>
  <c r="G857" i="5"/>
  <c r="F858" i="5"/>
  <c r="E858" i="5"/>
  <c r="G858" i="5"/>
  <c r="F859" i="5"/>
  <c r="E859" i="5"/>
  <c r="G859" i="5"/>
  <c r="F860" i="5"/>
  <c r="E860" i="5"/>
  <c r="G860" i="5"/>
  <c r="F861" i="5"/>
  <c r="E861" i="5"/>
  <c r="G861" i="5"/>
  <c r="F862" i="5"/>
  <c r="E862" i="5"/>
  <c r="G862" i="5"/>
  <c r="F863" i="5"/>
  <c r="E863" i="5"/>
  <c r="G863" i="5"/>
  <c r="F864" i="5"/>
  <c r="E864" i="5"/>
  <c r="G864" i="5"/>
  <c r="F865" i="5"/>
  <c r="E865" i="5"/>
  <c r="G865" i="5"/>
  <c r="F866" i="5"/>
  <c r="E866" i="5"/>
  <c r="G866" i="5"/>
  <c r="F867" i="5"/>
  <c r="E867" i="5"/>
  <c r="G867" i="5"/>
  <c r="F868" i="5"/>
  <c r="E868" i="5"/>
  <c r="G868" i="5"/>
  <c r="F869" i="5"/>
  <c r="E869" i="5"/>
  <c r="G869" i="5"/>
  <c r="F870" i="5"/>
  <c r="E870" i="5"/>
  <c r="G870" i="5"/>
  <c r="F871" i="5"/>
  <c r="E871" i="5"/>
  <c r="G871" i="5"/>
  <c r="F872" i="5"/>
  <c r="E872" i="5"/>
  <c r="G872" i="5"/>
  <c r="F873" i="5"/>
  <c r="E873" i="5"/>
  <c r="G873" i="5"/>
  <c r="F874" i="5"/>
  <c r="E874" i="5"/>
  <c r="G874" i="5"/>
  <c r="F875" i="5"/>
  <c r="E875" i="5"/>
  <c r="G875" i="5"/>
  <c r="F876" i="5"/>
  <c r="E876" i="5"/>
  <c r="G876" i="5"/>
  <c r="F877" i="5"/>
  <c r="E877" i="5"/>
  <c r="G877" i="5"/>
  <c r="F878" i="5"/>
  <c r="E878" i="5"/>
  <c r="G878" i="5"/>
  <c r="F879" i="5"/>
  <c r="E879" i="5"/>
  <c r="G879" i="5"/>
  <c r="F880" i="5"/>
  <c r="E880" i="5"/>
  <c r="G880" i="5"/>
  <c r="F881" i="5"/>
  <c r="E881" i="5"/>
  <c r="G881" i="5"/>
  <c r="F882" i="5"/>
  <c r="E882" i="5"/>
  <c r="G882" i="5"/>
  <c r="F883" i="5"/>
  <c r="E883" i="5"/>
  <c r="G883" i="5"/>
  <c r="F884" i="5"/>
  <c r="E884" i="5"/>
  <c r="G884" i="5"/>
  <c r="F885" i="5"/>
  <c r="E885" i="5"/>
  <c r="G885" i="5"/>
  <c r="F886" i="5"/>
  <c r="E886" i="5"/>
  <c r="G886" i="5"/>
  <c r="F887" i="5"/>
  <c r="E887" i="5"/>
  <c r="G887" i="5"/>
  <c r="F888" i="5"/>
  <c r="E888" i="5"/>
  <c r="G888" i="5"/>
  <c r="F889" i="5"/>
  <c r="E889" i="5"/>
  <c r="G889" i="5"/>
  <c r="F890" i="5"/>
  <c r="E890" i="5"/>
  <c r="G890" i="5"/>
  <c r="F891" i="5"/>
  <c r="E891" i="5"/>
  <c r="G891" i="5"/>
  <c r="F892" i="5"/>
  <c r="E892" i="5"/>
  <c r="G892" i="5"/>
  <c r="F893" i="5"/>
  <c r="E893" i="5"/>
  <c r="G893" i="5"/>
  <c r="F894" i="5"/>
  <c r="E894" i="5"/>
  <c r="G894" i="5"/>
  <c r="F895" i="5"/>
  <c r="E895" i="5"/>
  <c r="G895" i="5"/>
  <c r="F896" i="5"/>
  <c r="E896" i="5"/>
  <c r="G896" i="5"/>
  <c r="F897" i="5"/>
  <c r="E897" i="5"/>
  <c r="G897" i="5"/>
  <c r="F898" i="5"/>
  <c r="E898" i="5"/>
  <c r="G898" i="5"/>
  <c r="F899" i="5"/>
  <c r="E899" i="5"/>
  <c r="G899" i="5"/>
  <c r="F900" i="5"/>
  <c r="E900" i="5"/>
  <c r="G900" i="5"/>
  <c r="F901" i="5"/>
  <c r="E901" i="5"/>
  <c r="G901" i="5"/>
  <c r="F902" i="5"/>
  <c r="E902" i="5"/>
  <c r="G902" i="5"/>
  <c r="F903" i="5"/>
  <c r="E903" i="5"/>
  <c r="G903" i="5"/>
  <c r="F904" i="5"/>
  <c r="E904" i="5"/>
  <c r="G904" i="5"/>
  <c r="F905" i="5"/>
  <c r="E905" i="5"/>
  <c r="G905" i="5"/>
  <c r="F906" i="5"/>
  <c r="E906" i="5"/>
  <c r="G906" i="5"/>
  <c r="F907" i="5"/>
  <c r="E907" i="5"/>
  <c r="G907" i="5"/>
  <c r="F908" i="5"/>
  <c r="E908" i="5"/>
  <c r="G908" i="5"/>
  <c r="F909" i="5"/>
  <c r="E909" i="5"/>
  <c r="G909" i="5"/>
  <c r="F910" i="5"/>
  <c r="E910" i="5"/>
  <c r="G910" i="5"/>
  <c r="F911" i="5"/>
  <c r="E911" i="5"/>
  <c r="G911" i="5"/>
  <c r="F912" i="5"/>
  <c r="E912" i="5"/>
  <c r="G912" i="5"/>
  <c r="F913" i="5"/>
  <c r="E913" i="5"/>
  <c r="G913" i="5"/>
  <c r="F914" i="5"/>
  <c r="E914" i="5"/>
  <c r="G914" i="5"/>
  <c r="F915" i="5"/>
  <c r="E915" i="5"/>
  <c r="G915" i="5"/>
  <c r="F916" i="5"/>
  <c r="E916" i="5"/>
  <c r="G916" i="5"/>
  <c r="F917" i="5"/>
  <c r="E917" i="5"/>
  <c r="G917" i="5"/>
  <c r="F918" i="5"/>
  <c r="E918" i="5"/>
  <c r="G918" i="5"/>
  <c r="F919" i="5"/>
  <c r="E919" i="5"/>
  <c r="G919" i="5"/>
  <c r="F920" i="5"/>
  <c r="E920" i="5"/>
  <c r="G920" i="5"/>
  <c r="F921" i="5"/>
  <c r="E921" i="5"/>
  <c r="G921" i="5"/>
  <c r="F922" i="5"/>
  <c r="E922" i="5"/>
  <c r="G922" i="5"/>
  <c r="F923" i="5"/>
  <c r="E923" i="5"/>
  <c r="G923" i="5"/>
  <c r="F924" i="5"/>
  <c r="E924" i="5"/>
  <c r="G924" i="5"/>
  <c r="F925" i="5"/>
  <c r="E925" i="5"/>
  <c r="G925" i="5"/>
  <c r="F926" i="5"/>
  <c r="E926" i="5"/>
  <c r="G926" i="5"/>
  <c r="F927" i="5"/>
  <c r="E927" i="5"/>
  <c r="G927" i="5"/>
  <c r="F928" i="5"/>
  <c r="E928" i="5"/>
  <c r="G928" i="5"/>
  <c r="F929" i="5"/>
  <c r="E929" i="5"/>
  <c r="G929" i="5"/>
  <c r="F930" i="5"/>
  <c r="E930" i="5"/>
  <c r="G930" i="5"/>
  <c r="F931" i="5"/>
  <c r="E931" i="5"/>
  <c r="G931" i="5"/>
  <c r="F932" i="5"/>
  <c r="E932" i="5"/>
  <c r="G932" i="5"/>
  <c r="F933" i="5"/>
  <c r="E933" i="5"/>
  <c r="G933" i="5"/>
  <c r="F934" i="5"/>
  <c r="E934" i="5"/>
  <c r="G934" i="5"/>
  <c r="F935" i="5"/>
  <c r="E935" i="5"/>
  <c r="G935" i="5"/>
  <c r="F936" i="5"/>
  <c r="E936" i="5"/>
  <c r="G936" i="5"/>
  <c r="F937" i="5"/>
  <c r="E937" i="5"/>
  <c r="G937" i="5"/>
  <c r="F938" i="5"/>
  <c r="E938" i="5"/>
  <c r="G938" i="5"/>
  <c r="F939" i="5"/>
  <c r="E939" i="5"/>
  <c r="G939" i="5"/>
  <c r="F940" i="5"/>
  <c r="E940" i="5"/>
  <c r="G940" i="5"/>
  <c r="F941" i="5"/>
  <c r="E941" i="5"/>
  <c r="G941" i="5"/>
  <c r="F942" i="5"/>
  <c r="E942" i="5"/>
  <c r="G942" i="5"/>
  <c r="F943" i="5"/>
  <c r="E943" i="5"/>
  <c r="G943" i="5"/>
  <c r="F944" i="5"/>
  <c r="E944" i="5"/>
  <c r="G944" i="5"/>
  <c r="F945" i="5"/>
  <c r="E945" i="5"/>
  <c r="G945" i="5"/>
  <c r="F946" i="5"/>
  <c r="E946" i="5"/>
  <c r="G946" i="5"/>
  <c r="F947" i="5"/>
  <c r="E947" i="5"/>
  <c r="G947" i="5"/>
  <c r="F948" i="5"/>
  <c r="E948" i="5"/>
  <c r="G948" i="5"/>
  <c r="F949" i="5"/>
  <c r="E949" i="5"/>
  <c r="G949" i="5"/>
  <c r="F950" i="5"/>
  <c r="E950" i="5"/>
  <c r="G950" i="5"/>
  <c r="F951" i="5"/>
  <c r="E951" i="5"/>
  <c r="G951" i="5"/>
  <c r="F952" i="5"/>
  <c r="E952" i="5"/>
  <c r="G952" i="5"/>
  <c r="F953" i="5"/>
  <c r="E953" i="5"/>
  <c r="G953" i="5"/>
  <c r="F954" i="5"/>
  <c r="E954" i="5"/>
  <c r="G954" i="5"/>
  <c r="F955" i="5"/>
  <c r="E955" i="5"/>
  <c r="G955" i="5"/>
  <c r="F956" i="5"/>
  <c r="E956" i="5"/>
  <c r="G956" i="5"/>
  <c r="F957" i="5"/>
  <c r="E957" i="5"/>
  <c r="G957" i="5"/>
  <c r="F958" i="5"/>
  <c r="E958" i="5"/>
  <c r="G958" i="5"/>
  <c r="F959" i="5"/>
  <c r="E959" i="5"/>
  <c r="G959" i="5"/>
  <c r="F960" i="5"/>
  <c r="E960" i="5"/>
  <c r="G960" i="5"/>
  <c r="F961" i="5"/>
  <c r="E961" i="5"/>
  <c r="G961" i="5"/>
  <c r="F962" i="5"/>
  <c r="E962" i="5"/>
  <c r="G962" i="5"/>
  <c r="F963" i="5"/>
  <c r="E963" i="5"/>
  <c r="G963" i="5"/>
  <c r="F964" i="5"/>
  <c r="E964" i="5"/>
  <c r="G964" i="5"/>
  <c r="F965" i="5"/>
  <c r="E965" i="5"/>
  <c r="G965" i="5"/>
  <c r="F966" i="5"/>
  <c r="E966" i="5"/>
  <c r="G966" i="5"/>
  <c r="F967" i="5"/>
  <c r="E967" i="5"/>
  <c r="G967" i="5"/>
  <c r="F968" i="5"/>
  <c r="E968" i="5"/>
  <c r="G968" i="5"/>
  <c r="F969" i="5"/>
  <c r="E969" i="5"/>
  <c r="G969" i="5"/>
  <c r="F970" i="5"/>
  <c r="E970" i="5"/>
  <c r="G970" i="5"/>
  <c r="F971" i="5"/>
  <c r="E971" i="5"/>
  <c r="G971" i="5"/>
  <c r="F972" i="5"/>
  <c r="E972" i="5"/>
  <c r="G972" i="5"/>
  <c r="F973" i="5"/>
  <c r="E973" i="5"/>
  <c r="G973" i="5"/>
  <c r="F974" i="5"/>
  <c r="E974" i="5"/>
  <c r="G974" i="5"/>
  <c r="F975" i="5"/>
  <c r="E975" i="5"/>
  <c r="G975" i="5"/>
  <c r="F976" i="5"/>
  <c r="E976" i="5"/>
  <c r="G976" i="5"/>
  <c r="F977" i="5"/>
  <c r="E977" i="5"/>
  <c r="G977" i="5"/>
  <c r="F978" i="5"/>
  <c r="E978" i="5"/>
  <c r="G978" i="5"/>
  <c r="F979" i="5"/>
  <c r="E979" i="5"/>
  <c r="G979" i="5"/>
  <c r="F980" i="5"/>
  <c r="E980" i="5"/>
  <c r="G980" i="5"/>
  <c r="F981" i="5"/>
  <c r="E981" i="5"/>
  <c r="G981" i="5"/>
  <c r="F982" i="5"/>
  <c r="E982" i="5"/>
  <c r="G982" i="5"/>
  <c r="F983" i="5"/>
  <c r="E983" i="5"/>
  <c r="G983" i="5"/>
  <c r="F984" i="5"/>
  <c r="E984" i="5"/>
  <c r="G984" i="5"/>
  <c r="F985" i="5"/>
  <c r="E985" i="5"/>
  <c r="G985" i="5"/>
  <c r="F986" i="5"/>
  <c r="E986" i="5"/>
  <c r="G986" i="5"/>
  <c r="F987" i="5"/>
  <c r="E987" i="5"/>
  <c r="G987" i="5"/>
  <c r="F988" i="5"/>
  <c r="E988" i="5"/>
  <c r="G988" i="5"/>
  <c r="F989" i="5"/>
  <c r="E989" i="5"/>
  <c r="G989" i="5"/>
  <c r="F990" i="5"/>
  <c r="E990" i="5"/>
  <c r="G990" i="5"/>
  <c r="F991" i="5"/>
  <c r="E991" i="5"/>
  <c r="G991" i="5"/>
  <c r="F992" i="5"/>
  <c r="E992" i="5"/>
  <c r="G992" i="5"/>
  <c r="F993" i="5"/>
  <c r="E993" i="5"/>
  <c r="G993" i="5"/>
  <c r="F994" i="5"/>
  <c r="E994" i="5"/>
  <c r="G994" i="5"/>
  <c r="F995" i="5"/>
  <c r="E995" i="5"/>
  <c r="G995" i="5"/>
  <c r="F996" i="5"/>
  <c r="E996" i="5"/>
  <c r="G996" i="5"/>
  <c r="F997" i="5"/>
  <c r="E997" i="5"/>
  <c r="G997" i="5"/>
  <c r="F998" i="5"/>
  <c r="E998" i="5"/>
  <c r="G998" i="5"/>
  <c r="F999" i="5"/>
  <c r="E999" i="5"/>
  <c r="G999" i="5"/>
  <c r="F1000" i="5"/>
  <c r="E1000" i="5"/>
  <c r="G1000" i="5"/>
  <c r="F1001" i="5"/>
  <c r="E1001" i="5"/>
  <c r="G1001" i="5"/>
  <c r="F1002" i="5"/>
  <c r="E1002" i="5"/>
  <c r="G1002" i="5"/>
  <c r="F1003" i="5"/>
  <c r="E1003" i="5"/>
  <c r="G1003" i="5"/>
  <c r="F1004" i="5"/>
  <c r="E1004" i="5"/>
  <c r="G1004" i="5"/>
  <c r="F1005" i="5"/>
  <c r="E1005" i="5"/>
  <c r="G1005" i="5"/>
  <c r="F1006" i="5"/>
  <c r="E1006" i="5"/>
  <c r="G1006" i="5"/>
  <c r="F1007" i="5"/>
  <c r="E1007" i="5"/>
  <c r="G1007" i="5"/>
  <c r="F1008" i="5"/>
  <c r="E1008" i="5"/>
  <c r="G1008" i="5"/>
  <c r="F1009" i="5"/>
  <c r="E1009" i="5"/>
  <c r="G1009" i="5"/>
  <c r="F1010" i="5"/>
  <c r="E1010" i="5"/>
  <c r="G1010" i="5"/>
  <c r="F1011" i="5"/>
  <c r="E1011" i="5"/>
  <c r="G1011" i="5"/>
  <c r="F1012" i="5"/>
  <c r="E1012" i="5"/>
  <c r="G1012" i="5"/>
  <c r="F1013" i="5"/>
  <c r="E1013" i="5"/>
  <c r="G1013" i="5"/>
  <c r="F1014" i="5"/>
  <c r="E1014" i="5"/>
  <c r="G1014" i="5"/>
  <c r="F1015" i="5"/>
  <c r="E1015" i="5"/>
  <c r="G1015" i="5"/>
  <c r="F1016" i="5"/>
  <c r="E1016" i="5"/>
  <c r="G1016" i="5"/>
  <c r="F1017" i="5"/>
  <c r="E1017" i="5"/>
  <c r="G1017" i="5"/>
  <c r="F1018" i="5"/>
  <c r="E1018" i="5"/>
  <c r="G1018" i="5"/>
  <c r="F1019" i="5"/>
  <c r="E1019" i="5"/>
  <c r="G1019" i="5"/>
  <c r="F1020" i="5"/>
  <c r="E1020" i="5"/>
  <c r="G1020" i="5"/>
  <c r="F1021" i="5"/>
  <c r="E1021" i="5"/>
  <c r="G1021" i="5"/>
  <c r="F1022" i="5"/>
  <c r="E1022" i="5"/>
  <c r="G1022" i="5"/>
  <c r="F1023" i="5"/>
  <c r="E1023" i="5"/>
  <c r="G1023" i="5"/>
  <c r="F1024" i="5"/>
  <c r="E1024" i="5"/>
  <c r="G1024" i="5"/>
  <c r="F1025" i="5"/>
  <c r="E1025" i="5"/>
  <c r="G1025" i="5"/>
  <c r="F1026" i="5"/>
  <c r="E1026" i="5"/>
  <c r="G1026" i="5"/>
  <c r="F1027" i="5"/>
  <c r="E1027" i="5"/>
  <c r="G1027" i="5"/>
  <c r="F1028" i="5"/>
  <c r="E1028" i="5"/>
  <c r="G1028" i="5"/>
  <c r="F1029" i="5"/>
  <c r="E1029" i="5"/>
  <c r="G1029" i="5"/>
  <c r="F1030" i="5"/>
  <c r="E1030" i="5"/>
  <c r="G1030" i="5"/>
  <c r="F1031" i="5"/>
  <c r="E1031" i="5"/>
  <c r="G1031" i="5"/>
  <c r="F1032" i="5"/>
  <c r="E1032" i="5"/>
  <c r="G1032" i="5"/>
  <c r="F1033" i="5"/>
  <c r="E1033" i="5"/>
  <c r="G1033" i="5"/>
  <c r="F1034" i="5"/>
  <c r="E1034" i="5"/>
  <c r="G1034" i="5"/>
  <c r="F1035" i="5"/>
  <c r="E1035" i="5"/>
  <c r="G1035" i="5"/>
  <c r="F1036" i="5"/>
  <c r="E1036" i="5"/>
  <c r="G1036" i="5"/>
  <c r="F1037" i="5"/>
  <c r="E1037" i="5"/>
  <c r="G1037" i="5"/>
  <c r="F1038" i="5"/>
  <c r="E1038" i="5"/>
  <c r="G1038" i="5"/>
  <c r="F1039" i="5"/>
  <c r="E1039" i="5"/>
  <c r="G1039" i="5"/>
  <c r="F1040" i="5"/>
  <c r="E1040" i="5"/>
  <c r="G1040" i="5"/>
  <c r="F1041" i="5"/>
  <c r="E1041" i="5"/>
  <c r="G1041" i="5"/>
  <c r="F1042" i="5"/>
  <c r="E1042" i="5"/>
  <c r="G1042" i="5"/>
  <c r="F1043" i="5"/>
  <c r="E1043" i="5"/>
  <c r="G1043" i="5"/>
  <c r="F1044" i="5"/>
  <c r="E1044" i="5"/>
  <c r="G1044" i="5"/>
  <c r="F1045" i="5"/>
  <c r="E1045" i="5"/>
  <c r="G1045" i="5"/>
  <c r="F1046" i="5"/>
  <c r="E1046" i="5"/>
  <c r="G1046" i="5"/>
  <c r="F1047" i="5"/>
  <c r="E1047" i="5"/>
  <c r="G1047" i="5"/>
  <c r="F1048" i="5"/>
  <c r="E1048" i="5"/>
  <c r="G1048" i="5"/>
  <c r="F1049" i="5"/>
  <c r="E1049" i="5"/>
  <c r="G1049" i="5"/>
  <c r="F1050" i="5"/>
  <c r="E1050" i="5"/>
  <c r="G1050" i="5"/>
  <c r="F1051" i="5"/>
  <c r="E1051" i="5"/>
  <c r="G1051" i="5"/>
  <c r="F1052" i="5"/>
  <c r="E1052" i="5"/>
  <c r="G1052" i="5"/>
  <c r="F1053" i="5"/>
  <c r="E1053" i="5"/>
  <c r="G1053" i="5"/>
  <c r="F1054" i="5"/>
  <c r="E1054" i="5"/>
  <c r="G1054" i="5"/>
  <c r="F1055" i="5"/>
  <c r="E1055" i="5"/>
  <c r="G1055" i="5"/>
  <c r="F1056" i="5"/>
  <c r="E1056" i="5"/>
  <c r="G1056" i="5"/>
  <c r="F1057" i="5"/>
  <c r="E1057" i="5"/>
  <c r="G1057" i="5"/>
  <c r="F1058" i="5"/>
  <c r="E1058" i="5"/>
  <c r="G1058" i="5"/>
  <c r="F1059" i="5"/>
  <c r="E1059" i="5"/>
  <c r="G1059" i="5"/>
  <c r="F1060" i="5"/>
  <c r="E1060" i="5"/>
  <c r="G1060" i="5"/>
  <c r="F1061" i="5"/>
  <c r="E1061" i="5"/>
  <c r="G1061" i="5"/>
  <c r="F1062" i="5"/>
  <c r="E1062" i="5"/>
  <c r="G1062" i="5"/>
  <c r="F1063" i="5"/>
  <c r="E1063" i="5"/>
  <c r="G1063" i="5"/>
  <c r="F1064" i="5"/>
  <c r="E1064" i="5"/>
  <c r="G1064" i="5"/>
  <c r="F1065" i="5"/>
  <c r="E1065" i="5"/>
  <c r="G1065" i="5"/>
  <c r="F1066" i="5"/>
  <c r="E1066" i="5"/>
  <c r="G1066" i="5"/>
  <c r="F1067" i="5"/>
  <c r="E1067" i="5"/>
  <c r="G1067" i="5"/>
  <c r="F1068" i="5"/>
  <c r="E1068" i="5"/>
  <c r="G1068" i="5"/>
  <c r="F1069" i="5"/>
  <c r="E1069" i="5"/>
  <c r="G1069" i="5"/>
  <c r="F1070" i="5"/>
  <c r="E1070" i="5"/>
  <c r="G1070" i="5"/>
  <c r="F1071" i="5"/>
  <c r="E1071" i="5"/>
  <c r="G1071" i="5"/>
  <c r="F1072" i="5"/>
  <c r="E1072" i="5"/>
  <c r="G1072" i="5"/>
  <c r="F1073" i="5"/>
  <c r="E1073" i="5"/>
  <c r="G1073" i="5"/>
  <c r="F1074" i="5"/>
  <c r="E1074" i="5"/>
  <c r="G1074" i="5"/>
  <c r="F1075" i="5"/>
  <c r="E1075" i="5"/>
  <c r="G1075" i="5"/>
  <c r="F1076" i="5"/>
  <c r="E1076" i="5"/>
  <c r="G1076" i="5"/>
  <c r="F1077" i="5"/>
  <c r="E1077" i="5"/>
  <c r="G1077" i="5"/>
  <c r="F1078" i="5"/>
  <c r="E1078" i="5"/>
  <c r="G1078" i="5"/>
  <c r="F1079" i="5"/>
  <c r="E1079" i="5"/>
  <c r="G1079" i="5"/>
  <c r="F1080" i="5"/>
  <c r="E1080" i="5"/>
  <c r="G1080" i="5"/>
  <c r="F1081" i="5"/>
  <c r="E1081" i="5"/>
  <c r="G1081" i="5"/>
  <c r="F1082" i="5"/>
  <c r="E1082" i="5"/>
  <c r="G1082" i="5"/>
  <c r="F1083" i="5"/>
  <c r="E1083" i="5"/>
  <c r="G1083" i="5"/>
  <c r="F1084" i="5"/>
  <c r="E1084" i="5"/>
  <c r="G1084" i="5"/>
  <c r="F1085" i="5"/>
  <c r="E1085" i="5"/>
  <c r="G1085" i="5"/>
  <c r="F1086" i="5"/>
  <c r="E1086" i="5"/>
  <c r="G1086" i="5"/>
  <c r="F1087" i="5"/>
  <c r="E1087" i="5"/>
  <c r="G1087" i="5"/>
  <c r="F1088" i="5"/>
  <c r="E1088" i="5"/>
  <c r="G1088" i="5"/>
  <c r="F1089" i="5"/>
  <c r="E1089" i="5"/>
  <c r="G1089" i="5"/>
  <c r="F1090" i="5"/>
  <c r="E1090" i="5"/>
  <c r="G1090" i="5"/>
  <c r="F1091" i="5"/>
  <c r="E1091" i="5"/>
  <c r="G1091" i="5"/>
  <c r="F1092" i="5"/>
  <c r="E1092" i="5"/>
  <c r="G1092" i="5"/>
  <c r="F1093" i="5"/>
  <c r="E1093" i="5"/>
  <c r="G1093" i="5"/>
  <c r="F1094" i="5"/>
  <c r="E1094" i="5"/>
  <c r="G1094" i="5"/>
  <c r="F1095" i="5"/>
  <c r="E1095" i="5"/>
  <c r="G1095" i="5"/>
  <c r="F1096" i="5"/>
  <c r="E1096" i="5"/>
  <c r="G1096" i="5"/>
  <c r="F1097" i="5"/>
  <c r="E1097" i="5"/>
  <c r="G1097" i="5"/>
  <c r="F1098" i="5"/>
  <c r="E1098" i="5"/>
  <c r="G1098" i="5"/>
  <c r="F1099" i="5"/>
  <c r="E1099" i="5"/>
  <c r="G1099" i="5"/>
  <c r="F1100" i="5"/>
  <c r="E1100" i="5"/>
  <c r="G1100" i="5"/>
  <c r="F1101" i="5"/>
  <c r="E1101" i="5"/>
  <c r="G1101" i="5"/>
  <c r="F1102" i="5"/>
  <c r="E1102" i="5"/>
  <c r="G1102" i="5"/>
  <c r="F1103" i="5"/>
  <c r="E1103" i="5"/>
  <c r="G1103" i="5"/>
  <c r="F1104" i="5"/>
  <c r="E1104" i="5"/>
  <c r="G1104" i="5"/>
  <c r="F1105" i="5"/>
  <c r="E1105" i="5"/>
  <c r="G1105" i="5"/>
  <c r="F1106" i="5"/>
  <c r="E1106" i="5"/>
  <c r="G1106" i="5"/>
  <c r="F1107" i="5"/>
  <c r="E1107" i="5"/>
  <c r="G1107" i="5"/>
  <c r="F1108" i="5"/>
  <c r="E1108" i="5"/>
  <c r="G1108" i="5"/>
  <c r="F1109" i="5"/>
  <c r="E1109" i="5"/>
  <c r="G1109" i="5"/>
  <c r="F1110" i="5"/>
  <c r="E1110" i="5"/>
  <c r="G1110" i="5"/>
  <c r="F1111" i="5"/>
  <c r="E1111" i="5"/>
  <c r="G1111" i="5"/>
  <c r="F1112" i="5"/>
  <c r="E1112" i="5"/>
  <c r="G1112" i="5"/>
  <c r="F1113" i="5"/>
  <c r="E1113" i="5"/>
  <c r="G1113" i="5"/>
  <c r="F1114" i="5"/>
  <c r="E1114" i="5"/>
  <c r="G1114" i="5"/>
  <c r="F1115" i="5"/>
  <c r="E1115" i="5"/>
  <c r="G1115" i="5"/>
  <c r="F1116" i="5"/>
  <c r="E1116" i="5"/>
  <c r="G1116" i="5"/>
  <c r="F1117" i="5"/>
  <c r="E1117" i="5"/>
  <c r="G1117" i="5"/>
  <c r="F1118" i="5"/>
  <c r="E1118" i="5"/>
  <c r="G1118" i="5"/>
  <c r="F1119" i="5"/>
  <c r="E1119" i="5"/>
  <c r="G1119" i="5"/>
  <c r="F1120" i="5"/>
  <c r="E1120" i="5"/>
  <c r="G1120" i="5"/>
  <c r="F1121" i="5"/>
  <c r="E1121" i="5"/>
  <c r="G1121" i="5"/>
  <c r="F1122" i="5"/>
  <c r="E1122" i="5"/>
  <c r="G1122" i="5"/>
  <c r="F1123" i="5"/>
  <c r="E1123" i="5"/>
  <c r="G1123" i="5"/>
  <c r="F1124" i="5"/>
  <c r="E1124" i="5"/>
  <c r="G1124" i="5"/>
  <c r="F1125" i="5"/>
  <c r="E1125" i="5"/>
  <c r="G1125" i="5"/>
  <c r="F1126" i="5"/>
  <c r="E1126" i="5"/>
  <c r="G1126" i="5"/>
  <c r="F1127" i="5"/>
  <c r="E1127" i="5"/>
  <c r="G1127" i="5"/>
  <c r="F1128" i="5"/>
  <c r="E1128" i="5"/>
  <c r="G1128" i="5"/>
  <c r="F1129" i="5"/>
  <c r="E1129" i="5"/>
  <c r="G1129" i="5"/>
  <c r="F1130" i="5"/>
  <c r="E1130" i="5"/>
  <c r="G1130" i="5"/>
  <c r="F1131" i="5"/>
  <c r="E1131" i="5"/>
  <c r="G1131" i="5"/>
  <c r="F1132" i="5"/>
  <c r="E1132" i="5"/>
  <c r="G1132" i="5"/>
  <c r="F1133" i="5"/>
  <c r="E1133" i="5"/>
  <c r="G1133" i="5"/>
  <c r="F1134" i="5"/>
  <c r="E1134" i="5"/>
  <c r="G1134" i="5"/>
  <c r="F1135" i="5"/>
  <c r="E1135" i="5"/>
  <c r="G1135" i="5"/>
  <c r="F1136" i="5"/>
  <c r="E1136" i="5"/>
  <c r="G1136" i="5"/>
  <c r="F1137" i="5"/>
  <c r="E1137" i="5"/>
  <c r="G1137" i="5"/>
  <c r="F1138" i="5"/>
  <c r="E1138" i="5"/>
  <c r="G1138" i="5"/>
  <c r="F1139" i="5"/>
  <c r="E1139" i="5"/>
  <c r="G1139" i="5"/>
  <c r="F1140" i="5"/>
  <c r="E1140" i="5"/>
  <c r="G1140" i="5"/>
  <c r="F1141" i="5"/>
  <c r="E1141" i="5"/>
  <c r="G1141" i="5"/>
  <c r="F1142" i="5"/>
  <c r="E1142" i="5"/>
  <c r="G1142" i="5"/>
  <c r="F1143" i="5"/>
  <c r="E1143" i="5"/>
  <c r="G1143" i="5"/>
  <c r="F1144" i="5"/>
  <c r="E1144" i="5"/>
  <c r="G1144" i="5"/>
  <c r="F1145" i="5"/>
  <c r="E1145" i="5"/>
  <c r="G1145" i="5"/>
  <c r="F1146" i="5"/>
  <c r="E1146" i="5"/>
  <c r="G1146" i="5"/>
  <c r="F1147" i="5"/>
  <c r="E1147" i="5"/>
  <c r="G1147" i="5"/>
  <c r="F1148" i="5"/>
  <c r="E1148" i="5"/>
  <c r="G1148" i="5"/>
  <c r="F1149" i="5"/>
  <c r="E1149" i="5"/>
  <c r="G1149" i="5"/>
  <c r="F1150" i="5"/>
  <c r="E1150" i="5"/>
  <c r="G1150" i="5"/>
  <c r="F1151" i="5"/>
  <c r="E1151" i="5"/>
  <c r="G1151" i="5"/>
  <c r="F1152" i="5"/>
  <c r="E1152" i="5"/>
  <c r="G1152" i="5"/>
  <c r="F1153" i="5"/>
  <c r="E1153" i="5"/>
  <c r="G1153" i="5"/>
  <c r="F1154" i="5"/>
  <c r="E1154" i="5"/>
  <c r="G1154" i="5"/>
  <c r="F1155" i="5"/>
  <c r="E1155" i="5"/>
  <c r="G1155" i="5"/>
  <c r="F1156" i="5"/>
  <c r="E1156" i="5"/>
  <c r="G1156" i="5"/>
  <c r="F1157" i="5"/>
  <c r="E1157" i="5"/>
  <c r="G1157" i="5"/>
  <c r="F1158" i="5"/>
  <c r="E1158" i="5"/>
  <c r="G1158" i="5"/>
  <c r="F1159" i="5"/>
  <c r="E1159" i="5"/>
  <c r="G1159" i="5"/>
  <c r="F1160" i="5"/>
  <c r="E1160" i="5"/>
  <c r="G1160" i="5"/>
  <c r="F1161" i="5"/>
  <c r="E1161" i="5"/>
  <c r="G1161" i="5"/>
  <c r="F1162" i="5"/>
  <c r="E1162" i="5"/>
  <c r="G1162" i="5"/>
  <c r="F1163" i="5"/>
  <c r="E1163" i="5"/>
  <c r="G1163" i="5"/>
  <c r="F1164" i="5"/>
  <c r="E1164" i="5"/>
  <c r="G1164" i="5"/>
  <c r="F1165" i="5"/>
  <c r="E1165" i="5"/>
  <c r="G1165" i="5"/>
  <c r="F1166" i="5"/>
  <c r="E1166" i="5"/>
  <c r="G1166" i="5"/>
  <c r="F1167" i="5"/>
  <c r="E1167" i="5"/>
  <c r="G1167" i="5"/>
  <c r="F1168" i="5"/>
  <c r="E1168" i="5"/>
  <c r="G1168" i="5"/>
  <c r="F1169" i="5"/>
  <c r="E1169" i="5"/>
  <c r="G1169" i="5"/>
  <c r="F1170" i="5"/>
  <c r="E1170" i="5"/>
  <c r="G1170" i="5"/>
  <c r="F1171" i="5"/>
  <c r="E1171" i="5"/>
  <c r="G1171" i="5"/>
  <c r="F1172" i="5"/>
  <c r="E1172" i="5"/>
  <c r="G1172" i="5"/>
  <c r="F1173" i="5"/>
  <c r="E1173" i="5"/>
  <c r="G1173" i="5"/>
  <c r="F1174" i="5"/>
  <c r="E1174" i="5"/>
  <c r="G1174" i="5"/>
  <c r="F1175" i="5"/>
  <c r="E1175" i="5"/>
  <c r="G1175" i="5"/>
  <c r="F1176" i="5"/>
  <c r="E1176" i="5"/>
  <c r="G1176" i="5"/>
  <c r="F1177" i="5"/>
  <c r="E1177" i="5"/>
  <c r="G1177" i="5"/>
  <c r="F1178" i="5"/>
  <c r="E1178" i="5"/>
  <c r="G1178" i="5"/>
  <c r="F1179" i="5"/>
  <c r="E1179" i="5"/>
  <c r="G1179" i="5"/>
  <c r="F1180" i="5"/>
  <c r="E1180" i="5"/>
  <c r="G1180" i="5"/>
  <c r="F1181" i="5"/>
  <c r="E1181" i="5"/>
  <c r="G1181" i="5"/>
  <c r="F1182" i="5"/>
  <c r="E1182" i="5"/>
  <c r="G1182" i="5"/>
  <c r="F1183" i="5"/>
  <c r="E1183" i="5"/>
  <c r="G1183" i="5"/>
  <c r="F1184" i="5"/>
  <c r="E1184" i="5"/>
  <c r="G1184" i="5"/>
  <c r="F1185" i="5"/>
  <c r="E1185" i="5"/>
  <c r="G1185" i="5"/>
  <c r="F1186" i="5"/>
  <c r="E1186" i="5"/>
  <c r="G1186" i="5"/>
  <c r="F1187" i="5"/>
  <c r="E1187" i="5"/>
  <c r="G1187" i="5"/>
  <c r="F1188" i="5"/>
  <c r="E1188" i="5"/>
  <c r="G1188" i="5"/>
  <c r="F1189" i="5"/>
  <c r="E1189" i="5"/>
  <c r="G1189" i="5"/>
  <c r="F1190" i="5"/>
  <c r="E1190" i="5"/>
  <c r="G1190" i="5"/>
  <c r="F1191" i="5"/>
  <c r="E1191" i="5"/>
  <c r="G1191" i="5"/>
  <c r="F1192" i="5"/>
  <c r="E1192" i="5"/>
  <c r="G1192" i="5"/>
  <c r="F1193" i="5"/>
  <c r="E1193" i="5"/>
  <c r="G1193" i="5"/>
  <c r="F1194" i="5"/>
  <c r="E1194" i="5"/>
  <c r="G1194" i="5"/>
  <c r="F1195" i="5"/>
  <c r="E1195" i="5"/>
  <c r="G1195" i="5"/>
  <c r="F1196" i="5"/>
  <c r="E1196" i="5"/>
  <c r="G1196" i="5"/>
  <c r="F1197" i="5"/>
  <c r="E1197" i="5"/>
  <c r="G1197" i="5"/>
  <c r="F1198" i="5"/>
  <c r="E1198" i="5"/>
  <c r="G1198" i="5"/>
  <c r="F1199" i="5"/>
  <c r="E1199" i="5"/>
  <c r="G1199" i="5"/>
  <c r="F1200" i="5"/>
  <c r="E1200" i="5"/>
  <c r="G1200" i="5"/>
  <c r="F1201" i="5"/>
  <c r="E1201" i="5"/>
  <c r="G1201" i="5"/>
  <c r="F1202" i="5"/>
  <c r="E1202" i="5"/>
  <c r="G1202" i="5"/>
  <c r="F1203" i="5"/>
  <c r="E1203" i="5"/>
  <c r="G1203" i="5"/>
  <c r="F1204" i="5"/>
  <c r="E1204" i="5"/>
  <c r="G1204" i="5"/>
  <c r="F1205" i="5"/>
  <c r="E1205" i="5"/>
  <c r="G1205" i="5"/>
  <c r="F1206" i="5"/>
  <c r="E1206" i="5"/>
  <c r="G1206" i="5"/>
  <c r="F1207" i="5"/>
  <c r="E1207" i="5"/>
  <c r="G1207" i="5"/>
  <c r="F1208" i="5"/>
  <c r="E1208" i="5"/>
  <c r="G1208" i="5"/>
  <c r="F1209" i="5"/>
  <c r="E1209" i="5"/>
  <c r="G1209" i="5"/>
  <c r="F1210" i="5"/>
  <c r="E1210" i="5"/>
  <c r="G1210" i="5"/>
  <c r="F1211" i="5"/>
  <c r="E1211" i="5"/>
  <c r="G1211" i="5"/>
  <c r="F1212" i="5"/>
  <c r="E1212" i="5"/>
  <c r="G1212" i="5"/>
  <c r="F1213" i="5"/>
  <c r="E1213" i="5"/>
  <c r="G1213" i="5"/>
  <c r="F1214" i="5"/>
  <c r="E1214" i="5"/>
  <c r="G1214" i="5"/>
  <c r="F1215" i="5"/>
  <c r="E1215" i="5"/>
  <c r="G1215" i="5"/>
  <c r="F1216" i="5"/>
  <c r="E1216" i="5"/>
  <c r="G1216" i="5"/>
  <c r="F1217" i="5"/>
  <c r="E1217" i="5"/>
  <c r="G1217" i="5"/>
  <c r="F1218" i="5"/>
  <c r="E1218" i="5"/>
  <c r="G1218" i="5"/>
  <c r="F1219" i="5"/>
  <c r="E1219" i="5"/>
  <c r="G1219" i="5"/>
  <c r="F1220" i="5"/>
  <c r="E1220" i="5"/>
  <c r="G1220" i="5"/>
  <c r="F1221" i="5"/>
  <c r="E1221" i="5"/>
  <c r="G1221" i="5"/>
  <c r="F1222" i="5"/>
  <c r="E1222" i="5"/>
  <c r="G1222" i="5"/>
  <c r="F1223" i="5"/>
  <c r="E1223" i="5"/>
  <c r="G1223" i="5"/>
  <c r="F1224" i="5"/>
  <c r="E1224" i="5"/>
  <c r="G1224" i="5"/>
  <c r="F1225" i="5"/>
  <c r="E1225" i="5"/>
  <c r="G1225" i="5"/>
  <c r="F1226" i="5"/>
  <c r="E1226" i="5"/>
  <c r="G1226" i="5"/>
  <c r="F1227" i="5"/>
  <c r="E1227" i="5"/>
  <c r="G1227" i="5"/>
  <c r="F1228" i="5"/>
  <c r="E1228" i="5"/>
  <c r="G1228" i="5"/>
  <c r="F1229" i="5"/>
  <c r="E1229" i="5"/>
  <c r="G1229" i="5"/>
  <c r="F1230" i="5"/>
  <c r="E1230" i="5"/>
  <c r="G1230" i="5"/>
  <c r="F1231" i="5"/>
  <c r="E1231" i="5"/>
  <c r="G1231" i="5"/>
  <c r="F1232" i="5"/>
  <c r="E1232" i="5"/>
  <c r="G1232" i="5"/>
  <c r="F1233" i="5"/>
  <c r="E1233" i="5"/>
  <c r="G1233" i="5"/>
  <c r="F1234" i="5"/>
  <c r="E1234" i="5"/>
  <c r="G1234" i="5"/>
  <c r="F1235" i="5"/>
  <c r="E1235" i="5"/>
  <c r="G1235" i="5"/>
  <c r="F1236" i="5"/>
  <c r="E1236" i="5"/>
  <c r="G1236" i="5"/>
  <c r="F1237" i="5"/>
  <c r="E1237" i="5"/>
  <c r="G1237" i="5"/>
  <c r="F1238" i="5"/>
  <c r="E1238" i="5"/>
  <c r="G1238" i="5"/>
  <c r="F1239" i="5"/>
  <c r="E1239" i="5"/>
  <c r="G1239" i="5"/>
  <c r="F1240" i="5"/>
  <c r="E1240" i="5"/>
  <c r="G1240" i="5"/>
  <c r="F1241" i="5"/>
  <c r="E1241" i="5"/>
  <c r="G1241" i="5"/>
  <c r="F1242" i="5"/>
  <c r="E1242" i="5"/>
  <c r="G1242" i="5"/>
  <c r="F1243" i="5"/>
  <c r="E1243" i="5"/>
  <c r="G1243" i="5"/>
  <c r="F1244" i="5"/>
  <c r="E1244" i="5"/>
  <c r="G1244" i="5"/>
  <c r="F1245" i="5"/>
  <c r="E1245" i="5"/>
  <c r="G1245" i="5"/>
  <c r="F1246" i="5"/>
  <c r="E1246" i="5"/>
  <c r="G1246" i="5"/>
  <c r="F1247" i="5"/>
  <c r="E1247" i="5"/>
  <c r="G1247" i="5"/>
  <c r="F1248" i="5"/>
  <c r="E1248" i="5"/>
  <c r="G1248" i="5"/>
  <c r="F1249" i="5"/>
  <c r="E1249" i="5"/>
  <c r="G1249" i="5"/>
  <c r="F1250" i="5"/>
  <c r="E1250" i="5"/>
  <c r="G1250" i="5"/>
  <c r="F1251" i="5"/>
  <c r="E1251" i="5"/>
  <c r="G1251" i="5"/>
  <c r="F1252" i="5"/>
  <c r="E1252" i="5"/>
  <c r="G1252" i="5"/>
  <c r="F1253" i="5"/>
  <c r="E1253" i="5"/>
  <c r="G1253" i="5"/>
  <c r="F1254" i="5"/>
  <c r="E1254" i="5"/>
  <c r="G1254" i="5"/>
  <c r="F1255" i="5"/>
  <c r="E1255" i="5"/>
  <c r="G1255" i="5"/>
  <c r="F1256" i="5"/>
  <c r="E1256" i="5"/>
  <c r="G1256" i="5"/>
  <c r="F1257" i="5"/>
  <c r="E1257" i="5"/>
  <c r="G1257" i="5"/>
  <c r="F1258" i="5"/>
  <c r="E1258" i="5"/>
  <c r="G1258" i="5"/>
  <c r="F1259" i="5"/>
  <c r="E1259" i="5"/>
  <c r="G1259" i="5"/>
  <c r="F1260" i="5"/>
  <c r="E1260" i="5"/>
  <c r="G1260" i="5"/>
  <c r="F1261" i="5"/>
  <c r="E1261" i="5"/>
  <c r="G1261" i="5"/>
  <c r="F1262" i="5"/>
  <c r="E1262" i="5"/>
  <c r="G1262" i="5"/>
  <c r="F1263" i="5"/>
  <c r="E1263" i="5"/>
  <c r="G1263" i="5"/>
  <c r="F1264" i="5"/>
  <c r="E1264" i="5"/>
  <c r="G1264" i="5"/>
  <c r="F1265" i="5"/>
  <c r="E1265" i="5"/>
  <c r="G1265" i="5"/>
  <c r="F1266" i="5"/>
  <c r="E1266" i="5"/>
  <c r="G1266" i="5"/>
  <c r="F1267" i="5"/>
  <c r="E1267" i="5"/>
  <c r="G1267" i="5"/>
  <c r="F1268" i="5"/>
  <c r="E1268" i="5"/>
  <c r="G1268" i="5"/>
  <c r="F1269" i="5"/>
  <c r="E1269" i="5"/>
  <c r="G1269" i="5"/>
  <c r="F1270" i="5"/>
  <c r="E1270" i="5"/>
  <c r="G1270" i="5"/>
  <c r="F1271" i="5"/>
  <c r="E1271" i="5"/>
  <c r="G1271" i="5"/>
  <c r="F1272" i="5"/>
  <c r="E1272" i="5"/>
  <c r="G1272" i="5"/>
  <c r="F1273" i="5"/>
  <c r="E1273" i="5"/>
  <c r="G1273" i="5"/>
  <c r="F1274" i="5"/>
  <c r="E1274" i="5"/>
  <c r="G1274" i="5"/>
  <c r="F1275" i="5"/>
  <c r="E1275" i="5"/>
  <c r="G1275" i="5"/>
  <c r="F1276" i="5"/>
  <c r="E1276" i="5"/>
  <c r="G1276" i="5"/>
  <c r="F1277" i="5"/>
  <c r="E1277" i="5"/>
  <c r="G1277" i="5"/>
  <c r="F1278" i="5"/>
  <c r="E1278" i="5"/>
  <c r="G1278" i="5"/>
  <c r="F1279" i="5"/>
  <c r="E1279" i="5"/>
  <c r="G1279" i="5"/>
  <c r="F1280" i="5"/>
  <c r="E1280" i="5"/>
  <c r="G1280" i="5"/>
  <c r="F1281" i="5"/>
  <c r="E1281" i="5"/>
  <c r="G1281" i="5"/>
  <c r="F1282" i="5"/>
  <c r="E1282" i="5"/>
  <c r="G1282" i="5"/>
  <c r="F1283" i="5"/>
  <c r="E1283" i="5"/>
  <c r="G1283" i="5"/>
  <c r="F1284" i="5"/>
  <c r="E1284" i="5"/>
  <c r="G1284" i="5"/>
  <c r="F1285" i="5"/>
  <c r="E1285" i="5"/>
  <c r="G1285" i="5"/>
  <c r="F1286" i="5"/>
  <c r="E1286" i="5"/>
  <c r="G1286" i="5"/>
  <c r="F1287" i="5"/>
  <c r="E1287" i="5"/>
  <c r="G1287" i="5"/>
  <c r="F1288" i="5"/>
  <c r="E1288" i="5"/>
  <c r="G1288" i="5"/>
  <c r="F1289" i="5"/>
  <c r="E1289" i="5"/>
  <c r="G1289" i="5"/>
  <c r="F1290" i="5"/>
  <c r="E1290" i="5"/>
  <c r="G1290" i="5"/>
  <c r="F1291" i="5"/>
  <c r="E1291" i="5"/>
  <c r="G1291" i="5"/>
  <c r="F1292" i="5"/>
  <c r="E1292" i="5"/>
  <c r="G1292" i="5"/>
  <c r="F1293" i="5"/>
  <c r="E1293" i="5"/>
  <c r="G1293" i="5"/>
  <c r="F1294" i="5"/>
  <c r="E1294" i="5"/>
  <c r="G1294" i="5"/>
  <c r="F1295" i="5"/>
  <c r="E1295" i="5"/>
  <c r="G1295" i="5"/>
  <c r="F1296" i="5"/>
  <c r="E1296" i="5"/>
  <c r="G1296" i="5"/>
  <c r="F1297" i="5"/>
  <c r="E1297" i="5"/>
  <c r="G1297" i="5"/>
  <c r="F1298" i="5"/>
  <c r="E1298" i="5"/>
  <c r="G1298" i="5"/>
  <c r="F1299" i="5"/>
  <c r="E1299" i="5"/>
  <c r="G1299" i="5"/>
  <c r="F1300" i="5"/>
  <c r="E1300" i="5"/>
  <c r="G1300" i="5"/>
  <c r="F1301" i="5"/>
  <c r="E1301" i="5"/>
  <c r="G1301" i="5"/>
  <c r="F1302" i="5"/>
  <c r="E1302" i="5"/>
  <c r="G1302" i="5"/>
  <c r="F1303" i="5"/>
  <c r="E1303" i="5"/>
  <c r="G1303" i="5"/>
  <c r="F1304" i="5"/>
  <c r="E1304" i="5"/>
  <c r="G1304" i="5"/>
  <c r="F1305" i="5"/>
  <c r="E1305" i="5"/>
  <c r="G1305" i="5"/>
  <c r="F1306" i="5"/>
  <c r="E1306" i="5"/>
  <c r="G1306" i="5"/>
  <c r="F1307" i="5"/>
  <c r="E1307" i="5"/>
  <c r="G1307" i="5"/>
  <c r="F1308" i="5"/>
  <c r="E1308" i="5"/>
  <c r="G1308" i="5"/>
  <c r="F1309" i="5"/>
  <c r="E1309" i="5"/>
  <c r="G1309" i="5"/>
  <c r="F1310" i="5"/>
  <c r="E1310" i="5"/>
  <c r="G1310" i="5"/>
  <c r="F1311" i="5"/>
  <c r="E1311" i="5"/>
  <c r="G1311" i="5"/>
  <c r="F1312" i="5"/>
  <c r="E1312" i="5"/>
  <c r="G1312" i="5"/>
  <c r="F1313" i="5"/>
  <c r="E1313" i="5"/>
  <c r="G1313" i="5"/>
  <c r="F1314" i="5"/>
  <c r="E1314" i="5"/>
  <c r="G1314" i="5"/>
  <c r="F1315" i="5"/>
  <c r="E1315" i="5"/>
  <c r="G1315" i="5"/>
  <c r="F1316" i="5"/>
  <c r="E1316" i="5"/>
  <c r="G1316" i="5"/>
  <c r="F1317" i="5"/>
  <c r="E1317" i="5"/>
  <c r="G1317" i="5"/>
  <c r="F1318" i="5"/>
  <c r="E1318" i="5"/>
  <c r="G1318" i="5"/>
  <c r="F1319" i="5"/>
  <c r="E1319" i="5"/>
  <c r="G1319" i="5"/>
  <c r="F1320" i="5"/>
  <c r="E1320" i="5"/>
  <c r="G1320" i="5"/>
  <c r="F1321" i="5"/>
  <c r="E1321" i="5"/>
  <c r="G1321" i="5"/>
  <c r="F1322" i="5"/>
  <c r="E1322" i="5"/>
  <c r="G1322" i="5"/>
  <c r="F1323" i="5"/>
  <c r="E1323" i="5"/>
  <c r="G1323" i="5"/>
  <c r="F1324" i="5"/>
  <c r="E1324" i="5"/>
  <c r="G1324" i="5"/>
  <c r="F1325" i="5"/>
  <c r="E1325" i="5"/>
  <c r="G1325" i="5"/>
  <c r="F1326" i="5"/>
  <c r="E1326" i="5"/>
  <c r="G1326" i="5"/>
  <c r="F1327" i="5"/>
  <c r="E1327" i="5"/>
  <c r="G1327" i="5"/>
  <c r="F1328" i="5"/>
  <c r="E1328" i="5"/>
  <c r="G1328" i="5"/>
  <c r="F1329" i="5"/>
  <c r="E1329" i="5"/>
  <c r="G1329" i="5"/>
  <c r="F1330" i="5"/>
  <c r="E1330" i="5"/>
  <c r="G1330" i="5"/>
  <c r="F1331" i="5"/>
  <c r="E1331" i="5"/>
  <c r="G1331" i="5"/>
  <c r="F1332" i="5"/>
  <c r="E1332" i="5"/>
  <c r="G1332" i="5"/>
  <c r="F1333" i="5"/>
  <c r="E1333" i="5"/>
  <c r="G1333" i="5"/>
  <c r="F1334" i="5"/>
  <c r="E1334" i="5"/>
  <c r="G1334" i="5"/>
  <c r="F1335" i="5"/>
  <c r="E1335" i="5"/>
  <c r="G1335" i="5"/>
  <c r="F1336" i="5"/>
  <c r="E1336" i="5"/>
  <c r="G1336" i="5"/>
  <c r="F1337" i="5"/>
  <c r="E1337" i="5"/>
  <c r="G1337" i="5"/>
  <c r="F1338" i="5"/>
  <c r="E1338" i="5"/>
  <c r="G1338" i="5"/>
  <c r="F1339" i="5"/>
  <c r="E1339" i="5"/>
  <c r="G1339" i="5"/>
  <c r="F1340" i="5"/>
  <c r="E1340" i="5"/>
  <c r="G1340" i="5"/>
  <c r="F1341" i="5"/>
  <c r="E1341" i="5"/>
  <c r="G1341" i="5"/>
  <c r="F1342" i="5"/>
  <c r="E1342" i="5"/>
  <c r="G1342" i="5"/>
  <c r="F1343" i="5"/>
  <c r="E1343" i="5"/>
  <c r="G1343" i="5"/>
  <c r="F1344" i="5"/>
  <c r="E1344" i="5"/>
  <c r="G1344" i="5"/>
  <c r="F1345" i="5"/>
  <c r="E1345" i="5"/>
  <c r="G1345" i="5"/>
  <c r="F1346" i="5"/>
  <c r="E1346" i="5"/>
  <c r="G1346" i="5"/>
  <c r="F1347" i="5"/>
  <c r="E1347" i="5"/>
  <c r="G1347" i="5"/>
  <c r="F1348" i="5"/>
  <c r="E1348" i="5"/>
  <c r="G1348" i="5"/>
  <c r="F1349" i="5"/>
  <c r="E1349" i="5"/>
  <c r="G1349" i="5"/>
  <c r="F1350" i="5"/>
  <c r="E1350" i="5"/>
  <c r="G1350" i="5"/>
  <c r="F1351" i="5"/>
  <c r="E1351" i="5"/>
  <c r="G1351" i="5"/>
  <c r="F1352" i="5"/>
  <c r="E1352" i="5"/>
  <c r="G1352" i="5"/>
  <c r="F1353" i="5"/>
  <c r="E1353" i="5"/>
  <c r="G1353" i="5"/>
  <c r="F1354" i="5"/>
  <c r="E1354" i="5"/>
  <c r="G1354" i="5"/>
  <c r="F1355" i="5"/>
  <c r="E1355" i="5"/>
  <c r="G1355" i="5"/>
  <c r="F1356" i="5"/>
  <c r="E1356" i="5"/>
  <c r="G1356" i="5"/>
  <c r="F1357" i="5"/>
  <c r="E1357" i="5"/>
  <c r="G1357" i="5"/>
  <c r="F1358" i="5"/>
  <c r="E1358" i="5"/>
  <c r="G1358" i="5"/>
  <c r="F1359" i="5"/>
  <c r="E1359" i="5"/>
  <c r="G1359" i="5"/>
  <c r="F1360" i="5"/>
  <c r="E1360" i="5"/>
  <c r="G1360" i="5"/>
  <c r="F1361" i="5"/>
  <c r="E1361" i="5"/>
  <c r="G1361" i="5"/>
  <c r="F1362" i="5"/>
  <c r="E1362" i="5"/>
  <c r="G1362" i="5"/>
  <c r="F1363" i="5"/>
  <c r="E1363" i="5"/>
  <c r="G1363" i="5"/>
  <c r="F1364" i="5"/>
  <c r="E1364" i="5"/>
  <c r="G1364" i="5"/>
  <c r="F1365" i="5"/>
  <c r="E1365" i="5"/>
  <c r="G1365" i="5"/>
  <c r="F1366" i="5"/>
  <c r="E1366" i="5"/>
  <c r="G1366" i="5"/>
  <c r="F1367" i="5"/>
  <c r="E1367" i="5"/>
  <c r="G1367" i="5"/>
  <c r="F1368" i="5"/>
  <c r="E1368" i="5"/>
  <c r="G1368" i="5"/>
  <c r="F1369" i="5"/>
  <c r="E1369" i="5"/>
  <c r="G1369" i="5"/>
  <c r="F1370" i="5"/>
  <c r="E1370" i="5"/>
  <c r="G1370" i="5"/>
  <c r="F1371" i="5"/>
  <c r="E1371" i="5"/>
  <c r="G1371" i="5"/>
  <c r="F1372" i="5"/>
  <c r="E1372" i="5"/>
  <c r="G1372" i="5"/>
  <c r="F1373" i="5"/>
  <c r="E1373" i="5"/>
  <c r="G1373" i="5"/>
  <c r="F1374" i="5"/>
  <c r="E1374" i="5"/>
  <c r="G1374" i="5"/>
  <c r="F1375" i="5"/>
  <c r="E1375" i="5"/>
  <c r="G1375" i="5"/>
  <c r="F1376" i="5"/>
  <c r="E1376" i="5"/>
  <c r="G1376" i="5"/>
  <c r="F1377" i="5"/>
  <c r="E1377" i="5"/>
  <c r="G1377" i="5"/>
  <c r="F1378" i="5"/>
  <c r="E1378" i="5"/>
  <c r="G1378" i="5"/>
  <c r="F1379" i="5"/>
  <c r="E1379" i="5"/>
  <c r="G1379" i="5"/>
  <c r="F1380" i="5"/>
  <c r="E1380" i="5"/>
  <c r="G1380" i="5"/>
  <c r="F1381" i="5"/>
  <c r="E1381" i="5"/>
  <c r="G1381" i="5"/>
  <c r="F1382" i="5"/>
  <c r="E1382" i="5"/>
  <c r="G1382" i="5"/>
  <c r="F1383" i="5"/>
  <c r="E1383" i="5"/>
  <c r="G1383" i="5"/>
  <c r="F1384" i="5"/>
  <c r="E1384" i="5"/>
  <c r="G1384" i="5"/>
  <c r="F1385" i="5"/>
  <c r="E1385" i="5"/>
  <c r="G1385" i="5"/>
  <c r="F1386" i="5"/>
  <c r="E1386" i="5"/>
  <c r="G1386" i="5"/>
  <c r="F1387" i="5"/>
  <c r="E1387" i="5"/>
  <c r="G1387" i="5"/>
  <c r="F1388" i="5"/>
  <c r="E1388" i="5"/>
  <c r="G1388" i="5"/>
  <c r="F1389" i="5"/>
  <c r="E1389" i="5"/>
  <c r="G1389" i="5"/>
  <c r="F1390" i="5"/>
  <c r="E1390" i="5"/>
  <c r="G1390" i="5"/>
  <c r="F1391" i="5"/>
  <c r="E1391" i="5"/>
  <c r="G1391" i="5"/>
  <c r="F1392" i="5"/>
  <c r="E1392" i="5"/>
  <c r="G1392" i="5"/>
  <c r="F1393" i="5"/>
  <c r="E1393" i="5"/>
  <c r="G1393" i="5"/>
  <c r="F1394" i="5"/>
  <c r="E1394" i="5"/>
  <c r="G1394" i="5"/>
  <c r="F1395" i="5"/>
  <c r="E1395" i="5"/>
  <c r="G1395" i="5"/>
  <c r="F1396" i="5"/>
  <c r="E1396" i="5"/>
  <c r="G1396" i="5"/>
  <c r="F1397" i="5"/>
  <c r="E1397" i="5"/>
  <c r="G1397" i="5"/>
  <c r="F1398" i="5"/>
  <c r="E1398" i="5"/>
  <c r="G1398" i="5"/>
  <c r="F1399" i="5"/>
  <c r="E1399" i="5"/>
  <c r="G1399" i="5"/>
  <c r="F1400" i="5"/>
  <c r="E1400" i="5"/>
  <c r="G1400" i="5"/>
  <c r="F1401" i="5"/>
  <c r="E1401" i="5"/>
  <c r="G1401" i="5"/>
  <c r="F1402" i="5"/>
  <c r="E1402" i="5"/>
  <c r="G1402" i="5"/>
  <c r="F1403" i="5"/>
  <c r="E1403" i="5"/>
  <c r="G1403" i="5"/>
  <c r="F1404" i="5"/>
  <c r="E1404" i="5"/>
  <c r="G1404" i="5"/>
  <c r="F1405" i="5"/>
  <c r="E1405" i="5"/>
  <c r="G1405" i="5"/>
  <c r="F1406" i="5"/>
  <c r="E1406" i="5"/>
  <c r="G1406" i="5"/>
  <c r="F1407" i="5"/>
  <c r="E1407" i="5"/>
  <c r="G1407" i="5"/>
  <c r="F1408" i="5"/>
  <c r="E1408" i="5"/>
  <c r="G1408" i="5"/>
  <c r="F1409" i="5"/>
  <c r="E1409" i="5"/>
  <c r="G1409" i="5"/>
  <c r="F1410" i="5"/>
  <c r="E1410" i="5"/>
  <c r="G1410" i="5"/>
  <c r="F1411" i="5"/>
  <c r="E1411" i="5"/>
  <c r="G1411" i="5"/>
  <c r="F1412" i="5"/>
  <c r="E1412" i="5"/>
  <c r="G1412" i="5"/>
  <c r="F1413" i="5"/>
  <c r="E1413" i="5"/>
  <c r="G1413" i="5"/>
  <c r="F1414" i="5"/>
  <c r="E1414" i="5"/>
  <c r="G1414" i="5"/>
  <c r="F1415" i="5"/>
  <c r="E1415" i="5"/>
  <c r="G1415" i="5"/>
  <c r="F1416" i="5"/>
  <c r="E1416" i="5"/>
  <c r="G1416" i="5"/>
  <c r="F1417" i="5"/>
  <c r="E1417" i="5"/>
  <c r="G1417" i="5"/>
  <c r="F1418" i="5"/>
  <c r="E1418" i="5"/>
  <c r="G1418" i="5"/>
  <c r="F1419" i="5"/>
  <c r="E1419" i="5"/>
  <c r="G1419" i="5"/>
  <c r="F1420" i="5"/>
  <c r="E1420" i="5"/>
  <c r="G1420" i="5"/>
  <c r="F1421" i="5"/>
  <c r="E1421" i="5"/>
  <c r="G1421" i="5"/>
  <c r="F1422" i="5"/>
  <c r="E1422" i="5"/>
  <c r="G1422" i="5"/>
  <c r="F1423" i="5"/>
  <c r="E1423" i="5"/>
  <c r="G1423" i="5"/>
  <c r="F1424" i="5"/>
  <c r="E1424" i="5"/>
  <c r="G1424" i="5"/>
  <c r="F1425" i="5"/>
  <c r="E1425" i="5"/>
  <c r="G1425" i="5"/>
  <c r="F1426" i="5"/>
  <c r="E1426" i="5"/>
  <c r="G1426" i="5"/>
  <c r="F1427" i="5"/>
  <c r="E1427" i="5"/>
  <c r="G1427" i="5"/>
  <c r="F1428" i="5"/>
  <c r="E1428" i="5"/>
  <c r="G1428" i="5"/>
  <c r="F1429" i="5"/>
  <c r="E1429" i="5"/>
  <c r="G1429" i="5"/>
  <c r="F1430" i="5"/>
  <c r="E1430" i="5"/>
  <c r="G1430" i="5"/>
  <c r="F1431" i="5"/>
  <c r="E1431" i="5"/>
  <c r="G1431" i="5"/>
  <c r="F1432" i="5"/>
  <c r="E1432" i="5"/>
  <c r="G1432" i="5"/>
  <c r="F1433" i="5"/>
  <c r="E1433" i="5"/>
  <c r="G1433" i="5"/>
  <c r="F1434" i="5"/>
  <c r="E1434" i="5"/>
  <c r="G1434" i="5"/>
  <c r="F1435" i="5"/>
  <c r="E1435" i="5"/>
  <c r="G1435" i="5"/>
  <c r="F1436" i="5"/>
  <c r="E1436" i="5"/>
  <c r="G1436" i="5"/>
  <c r="F1437" i="5"/>
  <c r="E1437" i="5"/>
  <c r="G1437" i="5"/>
  <c r="F1438" i="5"/>
  <c r="E1438" i="5"/>
  <c r="G1438" i="5"/>
  <c r="F1439" i="5"/>
  <c r="E1439" i="5"/>
  <c r="G1439" i="5"/>
  <c r="F1440" i="5"/>
  <c r="E1440" i="5"/>
  <c r="G1440" i="5"/>
  <c r="F1441" i="5"/>
  <c r="E1441" i="5"/>
  <c r="G1441" i="5"/>
  <c r="F1442" i="5"/>
  <c r="E1442" i="5"/>
  <c r="G1442" i="5"/>
  <c r="F1443" i="5"/>
  <c r="E1443" i="5"/>
  <c r="G1443" i="5"/>
  <c r="F1444" i="5"/>
  <c r="E1444" i="5"/>
  <c r="G1444" i="5"/>
  <c r="F1445" i="5"/>
  <c r="E1445" i="5"/>
  <c r="G1445" i="5"/>
  <c r="F1446" i="5"/>
  <c r="E1446" i="5"/>
  <c r="G1446" i="5"/>
  <c r="F1447" i="5"/>
  <c r="E1447" i="5"/>
  <c r="G1447" i="5"/>
  <c r="F1448" i="5"/>
  <c r="E1448" i="5"/>
  <c r="G1448" i="5"/>
  <c r="F1449" i="5"/>
  <c r="E1449" i="5"/>
  <c r="G1449" i="5"/>
  <c r="F1450" i="5"/>
  <c r="E1450" i="5"/>
  <c r="G1450" i="5"/>
  <c r="F1451" i="5"/>
  <c r="E1451" i="5"/>
  <c r="G1451" i="5"/>
  <c r="F1452" i="5"/>
  <c r="E1452" i="5"/>
  <c r="G1452" i="5"/>
  <c r="F1453" i="5"/>
  <c r="E1453" i="5"/>
  <c r="G1453" i="5"/>
  <c r="F1454" i="5"/>
  <c r="E1454" i="5"/>
  <c r="G1454" i="5"/>
  <c r="F1455" i="5"/>
  <c r="E1455" i="5"/>
  <c r="G1455" i="5"/>
  <c r="F1456" i="5"/>
  <c r="E1456" i="5"/>
  <c r="G1456" i="5"/>
  <c r="F1457" i="5"/>
  <c r="E1457" i="5"/>
  <c r="G1457" i="5"/>
  <c r="F1458" i="5"/>
  <c r="E1458" i="5"/>
  <c r="G1458" i="5"/>
  <c r="F1459" i="5"/>
  <c r="E1459" i="5"/>
  <c r="G1459" i="5"/>
  <c r="F1460" i="5"/>
  <c r="E1460" i="5"/>
  <c r="G1460" i="5"/>
  <c r="F1461" i="5"/>
  <c r="E1461" i="5"/>
  <c r="G1461" i="5"/>
  <c r="F1462" i="5"/>
  <c r="E1462" i="5"/>
  <c r="G1462" i="5"/>
  <c r="F1463" i="5"/>
  <c r="E1463" i="5"/>
  <c r="G1463" i="5"/>
  <c r="F1464" i="5"/>
  <c r="E1464" i="5"/>
  <c r="G1464" i="5"/>
  <c r="F1465" i="5"/>
  <c r="E1465" i="5"/>
  <c r="G1465" i="5"/>
  <c r="F1466" i="5"/>
  <c r="E1466" i="5"/>
  <c r="G1466" i="5"/>
  <c r="F1467" i="5"/>
  <c r="E1467" i="5"/>
  <c r="G1467" i="5"/>
  <c r="F1468" i="5"/>
  <c r="E1468" i="5"/>
  <c r="G1468" i="5"/>
  <c r="F1469" i="5"/>
  <c r="E1469" i="5"/>
  <c r="G1469" i="5"/>
  <c r="F1470" i="5"/>
  <c r="E1470" i="5"/>
  <c r="G1470" i="5"/>
  <c r="F1471" i="5"/>
  <c r="E1471" i="5"/>
  <c r="G1471" i="5"/>
  <c r="F1472" i="5"/>
  <c r="E1472" i="5"/>
  <c r="G1472" i="5"/>
  <c r="F1473" i="5"/>
  <c r="E1473" i="5"/>
  <c r="G1473" i="5"/>
  <c r="F1474" i="5"/>
  <c r="E1474" i="5"/>
  <c r="G1474" i="5"/>
  <c r="F1475" i="5"/>
  <c r="E1475" i="5"/>
  <c r="G1475" i="5"/>
  <c r="F1476" i="5"/>
  <c r="E1476" i="5"/>
  <c r="G1476" i="5"/>
  <c r="F1477" i="5"/>
  <c r="E1477" i="5"/>
  <c r="G1477" i="5"/>
  <c r="F1478" i="5"/>
  <c r="E1478" i="5"/>
  <c r="G1478" i="5"/>
  <c r="F1479" i="5"/>
  <c r="E1479" i="5"/>
  <c r="G1479" i="5"/>
  <c r="F1480" i="5"/>
  <c r="E1480" i="5"/>
  <c r="G1480" i="5"/>
  <c r="F1481" i="5"/>
  <c r="E1481" i="5"/>
  <c r="G1481" i="5"/>
  <c r="F1482" i="5"/>
  <c r="E1482" i="5"/>
  <c r="G1482" i="5"/>
  <c r="F1483" i="5"/>
  <c r="E1483" i="5"/>
  <c r="G1483" i="5"/>
  <c r="F1484" i="5"/>
  <c r="E1484" i="5"/>
  <c r="G1484" i="5"/>
  <c r="F1485" i="5"/>
  <c r="E1485" i="5"/>
  <c r="G1485" i="5"/>
  <c r="F1486" i="5"/>
  <c r="E1486" i="5"/>
  <c r="G1486" i="5"/>
  <c r="F1487" i="5"/>
  <c r="E1487" i="5"/>
  <c r="G1487" i="5"/>
  <c r="F1488" i="5"/>
  <c r="E1488" i="5"/>
  <c r="G1488" i="5"/>
  <c r="F1489" i="5"/>
  <c r="E1489" i="5"/>
  <c r="G1489" i="5"/>
  <c r="F1490" i="5"/>
  <c r="E1490" i="5"/>
  <c r="G1490" i="5"/>
  <c r="F1491" i="5"/>
  <c r="E1491" i="5"/>
  <c r="G1491" i="5"/>
  <c r="F1492" i="5"/>
  <c r="E1492" i="5"/>
  <c r="G1492" i="5"/>
  <c r="F1493" i="5"/>
  <c r="E1493" i="5"/>
  <c r="G1493" i="5"/>
  <c r="F1494" i="5"/>
  <c r="E1494" i="5"/>
  <c r="G1494" i="5"/>
  <c r="F1495" i="5"/>
  <c r="E1495" i="5"/>
  <c r="G1495" i="5"/>
  <c r="F1496" i="5"/>
  <c r="E1496" i="5"/>
  <c r="G1496" i="5"/>
  <c r="F1497" i="5"/>
  <c r="E1497" i="5"/>
  <c r="G1497" i="5"/>
  <c r="F1498" i="5"/>
  <c r="E1498" i="5"/>
  <c r="G1498" i="5"/>
  <c r="F1499" i="5"/>
  <c r="E1499" i="5"/>
  <c r="G1499" i="5"/>
  <c r="F1500" i="5"/>
  <c r="E1500" i="5"/>
  <c r="G1500" i="5"/>
  <c r="F1501" i="5"/>
  <c r="E1501" i="5"/>
  <c r="G1501" i="5"/>
  <c r="F1502" i="5"/>
  <c r="E1502" i="5"/>
  <c r="G1502" i="5"/>
  <c r="F1503" i="5"/>
  <c r="E1503" i="5"/>
  <c r="G1503" i="5"/>
  <c r="F1504" i="5"/>
  <c r="E1504" i="5"/>
  <c r="G1504" i="5"/>
  <c r="F1505" i="5"/>
  <c r="E1505" i="5"/>
  <c r="G1505" i="5"/>
  <c r="F1506" i="5"/>
  <c r="E1506" i="5"/>
  <c r="G1506" i="5"/>
  <c r="F1507" i="5"/>
  <c r="E1507" i="5"/>
  <c r="G1507" i="5"/>
  <c r="F1508" i="5"/>
  <c r="E1508" i="5"/>
  <c r="G1508" i="5"/>
  <c r="F1509" i="5"/>
  <c r="E1509" i="5"/>
  <c r="G1509" i="5"/>
  <c r="F1510" i="5"/>
  <c r="E1510" i="5"/>
  <c r="G1510" i="5"/>
  <c r="F1511" i="5"/>
  <c r="E1511" i="5"/>
  <c r="G1511" i="5"/>
  <c r="F1512" i="5"/>
  <c r="E1512" i="5"/>
  <c r="G1512" i="5"/>
  <c r="F1513" i="5"/>
  <c r="E1513" i="5"/>
  <c r="G1513" i="5"/>
  <c r="F1514" i="5"/>
  <c r="E1514" i="5"/>
  <c r="G1514" i="5"/>
  <c r="F1515" i="5"/>
  <c r="E1515" i="5"/>
  <c r="G1515" i="5"/>
  <c r="F1516" i="5"/>
  <c r="E1516" i="5"/>
  <c r="G1516" i="5"/>
  <c r="F1517" i="5"/>
  <c r="E1517" i="5"/>
  <c r="G1517" i="5"/>
  <c r="F1518" i="5"/>
  <c r="E1518" i="5"/>
  <c r="G1518" i="5"/>
  <c r="F1519" i="5"/>
  <c r="E1519" i="5"/>
  <c r="G1519" i="5"/>
  <c r="F1520" i="5"/>
  <c r="E1520" i="5"/>
  <c r="G1520" i="5"/>
  <c r="F1521" i="5"/>
  <c r="E1521" i="5"/>
  <c r="G1521" i="5"/>
  <c r="F1522" i="5"/>
  <c r="E1522" i="5"/>
  <c r="G1522" i="5"/>
  <c r="F1523" i="5"/>
  <c r="E1523" i="5"/>
  <c r="G1523" i="5"/>
  <c r="F1524" i="5"/>
  <c r="E1524" i="5"/>
  <c r="G1524" i="5"/>
  <c r="F1525" i="5"/>
  <c r="E1525" i="5"/>
  <c r="G1525" i="5"/>
  <c r="F1526" i="5"/>
  <c r="E1526" i="5"/>
  <c r="G1526" i="5"/>
  <c r="F1527" i="5"/>
  <c r="E1527" i="5"/>
  <c r="G1527" i="5"/>
  <c r="F1528" i="5"/>
  <c r="E1528" i="5"/>
  <c r="G1528" i="5"/>
  <c r="F1529" i="5"/>
  <c r="E1529" i="5"/>
  <c r="G1529" i="5"/>
  <c r="F1530" i="5"/>
  <c r="E1530" i="5"/>
  <c r="G1530" i="5"/>
  <c r="F1531" i="5"/>
  <c r="E1531" i="5"/>
  <c r="G1531" i="5"/>
  <c r="F1532" i="5"/>
  <c r="E1532" i="5"/>
  <c r="G1532" i="5"/>
  <c r="F1533" i="5"/>
  <c r="E1533" i="5"/>
  <c r="G1533" i="5"/>
  <c r="F1534" i="5"/>
  <c r="E1534" i="5"/>
  <c r="G1534" i="5"/>
  <c r="F1535" i="5"/>
  <c r="E1535" i="5"/>
  <c r="G1535" i="5"/>
  <c r="F1536" i="5"/>
  <c r="E1536" i="5"/>
  <c r="G1536" i="5"/>
  <c r="F1537" i="5"/>
  <c r="E1537" i="5"/>
  <c r="G1537" i="5"/>
  <c r="F1538" i="5"/>
  <c r="E1538" i="5"/>
  <c r="G1538" i="5"/>
  <c r="F1539" i="5"/>
  <c r="E1539" i="5"/>
  <c r="G1539" i="5"/>
  <c r="F1540" i="5"/>
  <c r="E1540" i="5"/>
  <c r="G1540" i="5"/>
  <c r="F1541" i="5"/>
  <c r="E1541" i="5"/>
  <c r="G1541" i="5"/>
  <c r="F1542" i="5"/>
  <c r="E1542" i="5"/>
  <c r="G1542" i="5"/>
  <c r="F1543" i="5"/>
  <c r="E1543" i="5"/>
  <c r="G1543" i="5"/>
  <c r="F1544" i="5"/>
  <c r="E1544" i="5"/>
  <c r="G1544" i="5"/>
  <c r="F1545" i="5"/>
  <c r="E1545" i="5"/>
  <c r="G1545" i="5"/>
  <c r="F1546" i="5"/>
  <c r="E1546" i="5"/>
  <c r="G1546" i="5"/>
  <c r="F1547" i="5"/>
  <c r="E1547" i="5"/>
  <c r="G1547" i="5"/>
  <c r="F1548" i="5"/>
  <c r="E1548" i="5"/>
  <c r="G1548" i="5"/>
  <c r="F1549" i="5"/>
  <c r="E1549" i="5"/>
  <c r="G1549" i="5"/>
  <c r="F1550" i="5"/>
  <c r="E1550" i="5"/>
  <c r="G1550" i="5"/>
  <c r="F1551" i="5"/>
  <c r="E1551" i="5"/>
  <c r="G1551" i="5"/>
  <c r="F1552" i="5"/>
  <c r="E1552" i="5"/>
  <c r="G1552" i="5"/>
  <c r="F1553" i="5"/>
  <c r="E1553" i="5"/>
  <c r="G1553" i="5"/>
  <c r="F1554" i="5"/>
  <c r="E1554" i="5"/>
  <c r="G1554" i="5"/>
  <c r="F1555" i="5"/>
  <c r="E1555" i="5"/>
  <c r="G1555" i="5"/>
  <c r="F1556" i="5"/>
  <c r="E1556" i="5"/>
  <c r="G1556" i="5"/>
  <c r="F1557" i="5"/>
  <c r="E1557" i="5"/>
  <c r="G1557" i="5"/>
  <c r="F1558" i="5"/>
  <c r="E1558" i="5"/>
  <c r="G1558" i="5"/>
  <c r="F1559" i="5"/>
  <c r="E1559" i="5"/>
  <c r="G1559" i="5"/>
  <c r="F1560" i="5"/>
  <c r="E1560" i="5"/>
  <c r="G1560" i="5"/>
  <c r="F1561" i="5"/>
  <c r="E1561" i="5"/>
  <c r="G1561" i="5"/>
  <c r="F1562" i="5"/>
  <c r="E1562" i="5"/>
  <c r="G1562" i="5"/>
  <c r="F1563" i="5"/>
  <c r="E1563" i="5"/>
  <c r="G1563" i="5"/>
  <c r="F1564" i="5"/>
  <c r="E1564" i="5"/>
  <c r="G1564" i="5"/>
  <c r="F1565" i="5"/>
  <c r="E1565" i="5"/>
  <c r="G1565" i="5"/>
  <c r="F1566" i="5"/>
  <c r="E1566" i="5"/>
  <c r="G1566" i="5"/>
  <c r="F1567" i="5"/>
  <c r="E1567" i="5"/>
  <c r="G1567" i="5"/>
  <c r="F1568" i="5"/>
  <c r="E1568" i="5"/>
  <c r="G1568" i="5"/>
  <c r="F1569" i="5"/>
  <c r="E1569" i="5"/>
  <c r="G1569" i="5"/>
  <c r="F1570" i="5"/>
  <c r="E1570" i="5"/>
  <c r="G1570" i="5"/>
  <c r="F1571" i="5"/>
  <c r="E1571" i="5"/>
  <c r="G1571" i="5"/>
  <c r="F1572" i="5"/>
  <c r="E1572" i="5"/>
  <c r="G1572" i="5"/>
  <c r="F1573" i="5"/>
  <c r="E1573" i="5"/>
  <c r="G1573" i="5"/>
  <c r="F1574" i="5"/>
  <c r="E1574" i="5"/>
  <c r="G1574" i="5"/>
  <c r="F1575" i="5"/>
  <c r="E1575" i="5"/>
  <c r="G1575" i="5"/>
  <c r="F1576" i="5"/>
  <c r="E1576" i="5"/>
  <c r="G1576" i="5"/>
  <c r="F1577" i="5"/>
  <c r="E1577" i="5"/>
  <c r="G1577" i="5"/>
  <c r="F1578" i="5"/>
  <c r="E1578" i="5"/>
  <c r="G1578" i="5"/>
  <c r="F1579" i="5"/>
  <c r="E1579" i="5"/>
  <c r="G1579" i="5"/>
  <c r="F1580" i="5"/>
  <c r="E1580" i="5"/>
  <c r="G1580" i="5"/>
  <c r="F1581" i="5"/>
  <c r="E1581" i="5"/>
  <c r="G1581" i="5"/>
  <c r="F1582" i="5"/>
  <c r="E1582" i="5"/>
  <c r="G1582" i="5"/>
  <c r="F1583" i="5"/>
  <c r="E1583" i="5"/>
  <c r="G1583" i="5"/>
  <c r="F1584" i="5"/>
  <c r="E1584" i="5"/>
  <c r="G1584" i="5"/>
  <c r="F1585" i="5"/>
  <c r="E1585" i="5"/>
  <c r="G1585" i="5"/>
  <c r="F1586" i="5"/>
  <c r="E1586" i="5"/>
  <c r="G1586" i="5"/>
  <c r="F1587" i="5"/>
  <c r="E1587" i="5"/>
  <c r="G1587" i="5"/>
  <c r="F1588" i="5"/>
  <c r="E1588" i="5"/>
  <c r="G1588" i="5"/>
  <c r="F1589" i="5"/>
  <c r="E1589" i="5"/>
  <c r="G1589" i="5"/>
  <c r="F1590" i="5"/>
  <c r="E1590" i="5"/>
  <c r="G1590" i="5"/>
  <c r="F1591" i="5"/>
  <c r="E1591" i="5"/>
  <c r="G1591" i="5"/>
  <c r="F1592" i="5"/>
  <c r="E1592" i="5"/>
  <c r="G1592" i="5"/>
  <c r="F1593" i="5"/>
  <c r="E1593" i="5"/>
  <c r="G1593" i="5"/>
  <c r="F1594" i="5"/>
  <c r="E1594" i="5"/>
  <c r="G1594" i="5"/>
  <c r="F1595" i="5"/>
  <c r="E1595" i="5"/>
  <c r="G1595" i="5"/>
  <c r="F1596" i="5"/>
  <c r="E1596" i="5"/>
  <c r="G1596" i="5"/>
  <c r="F1597" i="5"/>
  <c r="E1597" i="5"/>
  <c r="G1597" i="5"/>
  <c r="F1598" i="5"/>
  <c r="E1598" i="5"/>
  <c r="G1598" i="5"/>
  <c r="F1599" i="5"/>
  <c r="E1599" i="5"/>
  <c r="G1599" i="5"/>
  <c r="F1600" i="5"/>
  <c r="E1600" i="5"/>
  <c r="G1600" i="5"/>
  <c r="F1601" i="5"/>
  <c r="E1601" i="5"/>
  <c r="G1601" i="5"/>
  <c r="F1602" i="5"/>
  <c r="E1602" i="5"/>
  <c r="G1602" i="5"/>
  <c r="F1603" i="5"/>
  <c r="E1603" i="5"/>
  <c r="G1603" i="5"/>
  <c r="F1604" i="5"/>
  <c r="E1604" i="5"/>
  <c r="G1604" i="5"/>
  <c r="F1605" i="5"/>
  <c r="E1605" i="5"/>
  <c r="G1605" i="5"/>
  <c r="F1606" i="5"/>
  <c r="E1606" i="5"/>
  <c r="G1606" i="5"/>
  <c r="F1607" i="5"/>
  <c r="E1607" i="5"/>
  <c r="G1607" i="5"/>
  <c r="F1608" i="5"/>
  <c r="E1608" i="5"/>
  <c r="G1608" i="5"/>
  <c r="F1609" i="5"/>
  <c r="E1609" i="5"/>
  <c r="G1609" i="5"/>
  <c r="F1610" i="5"/>
  <c r="E1610" i="5"/>
  <c r="G1610" i="5"/>
  <c r="F1611" i="5"/>
  <c r="E1611" i="5"/>
  <c r="G1611" i="5"/>
  <c r="F1612" i="5"/>
  <c r="E1612" i="5"/>
  <c r="G1612" i="5"/>
  <c r="F1613" i="5"/>
  <c r="E1613" i="5"/>
  <c r="G1613" i="5"/>
  <c r="F1614" i="5"/>
  <c r="E1614" i="5"/>
  <c r="G1614" i="5"/>
  <c r="F1615" i="5"/>
  <c r="E1615" i="5"/>
  <c r="G1615" i="5"/>
  <c r="F1616" i="5"/>
  <c r="E1616" i="5"/>
  <c r="G1616" i="5"/>
  <c r="F1617" i="5"/>
  <c r="E1617" i="5"/>
  <c r="G1617" i="5"/>
  <c r="F1618" i="5"/>
  <c r="E1618" i="5"/>
  <c r="G1618" i="5"/>
  <c r="F1619" i="5"/>
  <c r="E1619" i="5"/>
  <c r="G1619" i="5"/>
  <c r="F1620" i="5"/>
  <c r="E1620" i="5"/>
  <c r="G1620" i="5"/>
  <c r="F1621" i="5"/>
  <c r="E1621" i="5"/>
  <c r="G1621" i="5"/>
  <c r="F1622" i="5"/>
  <c r="E1622" i="5"/>
  <c r="G1622" i="5"/>
  <c r="F1623" i="5"/>
  <c r="E1623" i="5"/>
  <c r="G1623" i="5"/>
  <c r="F1624" i="5"/>
  <c r="E1624" i="5"/>
  <c r="G1624" i="5"/>
  <c r="F1625" i="5"/>
  <c r="E1625" i="5"/>
  <c r="G1625" i="5"/>
  <c r="F1626" i="5"/>
  <c r="E1626" i="5"/>
  <c r="G1626" i="5"/>
  <c r="F1627" i="5"/>
  <c r="E1627" i="5"/>
  <c r="G1627" i="5"/>
  <c r="F1628" i="5"/>
  <c r="E1628" i="5"/>
  <c r="G1628" i="5"/>
  <c r="F1629" i="5"/>
  <c r="E1629" i="5"/>
  <c r="G1629" i="5"/>
  <c r="F1630" i="5"/>
  <c r="E1630" i="5"/>
  <c r="G1630" i="5"/>
  <c r="F1631" i="5"/>
  <c r="E1631" i="5"/>
  <c r="G1631" i="5"/>
  <c r="F1632" i="5"/>
  <c r="E1632" i="5"/>
  <c r="G1632" i="5"/>
  <c r="F1633" i="5"/>
  <c r="E1633" i="5"/>
  <c r="G1633" i="5"/>
  <c r="F1634" i="5"/>
  <c r="E1634" i="5"/>
  <c r="G1634" i="5"/>
  <c r="F1635" i="5"/>
  <c r="E1635" i="5"/>
  <c r="G1635" i="5"/>
  <c r="F1636" i="5"/>
  <c r="E1636" i="5"/>
  <c r="G1636" i="5"/>
  <c r="F1637" i="5"/>
  <c r="E1637" i="5"/>
  <c r="G1637" i="5"/>
  <c r="F1638" i="5"/>
  <c r="E1638" i="5"/>
  <c r="G1638" i="5"/>
  <c r="F1639" i="5"/>
  <c r="E1639" i="5"/>
  <c r="G1639" i="5"/>
  <c r="F1640" i="5"/>
  <c r="E1640" i="5"/>
  <c r="G1640" i="5"/>
  <c r="F1641" i="5"/>
  <c r="E1641" i="5"/>
  <c r="G1641" i="5"/>
  <c r="F1642" i="5"/>
  <c r="E1642" i="5"/>
  <c r="G1642" i="5"/>
  <c r="F1643" i="5"/>
  <c r="E1643" i="5"/>
  <c r="G1643" i="5"/>
  <c r="F1644" i="5"/>
  <c r="E1644" i="5"/>
  <c r="G1644" i="5"/>
  <c r="F1645" i="5"/>
  <c r="E1645" i="5"/>
  <c r="G1645" i="5"/>
  <c r="F1646" i="5"/>
  <c r="E1646" i="5"/>
  <c r="G1646" i="5"/>
  <c r="F1647" i="5"/>
  <c r="E1647" i="5"/>
  <c r="G1647" i="5"/>
  <c r="F1648" i="5"/>
  <c r="E1648" i="5"/>
  <c r="G1648" i="5"/>
  <c r="F1649" i="5"/>
  <c r="E1649" i="5"/>
  <c r="G1649" i="5"/>
  <c r="F1650" i="5"/>
  <c r="E1650" i="5"/>
  <c r="G1650" i="5"/>
  <c r="F1651" i="5"/>
  <c r="E1651" i="5"/>
  <c r="G1651" i="5"/>
  <c r="F1652" i="5"/>
  <c r="E1652" i="5"/>
  <c r="G1652" i="5"/>
  <c r="F1653" i="5"/>
  <c r="E1653" i="5"/>
  <c r="G1653" i="5"/>
  <c r="F1654" i="5"/>
  <c r="E1654" i="5"/>
  <c r="G1654" i="5"/>
  <c r="F1655" i="5"/>
  <c r="E1655" i="5"/>
  <c r="G1655" i="5"/>
  <c r="F1656" i="5"/>
  <c r="E1656" i="5"/>
  <c r="G1656" i="5"/>
  <c r="F1657" i="5"/>
  <c r="E1657" i="5"/>
  <c r="G1657" i="5"/>
  <c r="F1658" i="5"/>
  <c r="E1658" i="5"/>
  <c r="G1658" i="5"/>
  <c r="F1659" i="5"/>
  <c r="E1659" i="5"/>
  <c r="G1659" i="5"/>
  <c r="F1660" i="5"/>
  <c r="E1660" i="5"/>
  <c r="G1660" i="5"/>
  <c r="F1661" i="5"/>
  <c r="E1661" i="5"/>
  <c r="G1661" i="5"/>
  <c r="F1662" i="5"/>
  <c r="E1662" i="5"/>
  <c r="G1662" i="5"/>
  <c r="F1663" i="5"/>
  <c r="E1663" i="5"/>
  <c r="G1663" i="5"/>
  <c r="F1664" i="5"/>
  <c r="E1664" i="5"/>
  <c r="G1664" i="5"/>
  <c r="F1665" i="5"/>
  <c r="E1665" i="5"/>
  <c r="G1665" i="5"/>
  <c r="F1666" i="5"/>
  <c r="E1666" i="5"/>
  <c r="G1666" i="5"/>
  <c r="F1667" i="5"/>
  <c r="E1667" i="5"/>
  <c r="G1667" i="5"/>
  <c r="F1668" i="5"/>
  <c r="E1668" i="5"/>
  <c r="G1668" i="5"/>
  <c r="F1669" i="5"/>
  <c r="E1669" i="5"/>
  <c r="G1669" i="5"/>
  <c r="F1670" i="5"/>
  <c r="E1670" i="5"/>
  <c r="G1670" i="5"/>
  <c r="F1671" i="5"/>
  <c r="E1671" i="5"/>
  <c r="G1671" i="5"/>
  <c r="F1672" i="5"/>
  <c r="E1672" i="5"/>
  <c r="G1672" i="5"/>
  <c r="F1673" i="5"/>
  <c r="E1673" i="5"/>
  <c r="G1673" i="5"/>
  <c r="F1674" i="5"/>
  <c r="E1674" i="5"/>
  <c r="G1674" i="5"/>
  <c r="F1675" i="5"/>
  <c r="E1675" i="5"/>
  <c r="G1675" i="5"/>
  <c r="F1676" i="5"/>
  <c r="E1676" i="5"/>
  <c r="G1676" i="5"/>
  <c r="F1677" i="5"/>
  <c r="E1677" i="5"/>
  <c r="G1677" i="5"/>
  <c r="F1678" i="5"/>
  <c r="E1678" i="5"/>
  <c r="G1678" i="5"/>
  <c r="F1679" i="5"/>
  <c r="E1679" i="5"/>
  <c r="G1679" i="5"/>
  <c r="F1680" i="5"/>
  <c r="E1680" i="5"/>
  <c r="G1680" i="5"/>
  <c r="F1681" i="5"/>
  <c r="E1681" i="5"/>
  <c r="G1681" i="5"/>
  <c r="F1682" i="5"/>
  <c r="E1682" i="5"/>
  <c r="G1682" i="5"/>
  <c r="F1683" i="5"/>
  <c r="E1683" i="5"/>
  <c r="G1683" i="5"/>
  <c r="F1684" i="5"/>
  <c r="E1684" i="5"/>
  <c r="G1684" i="5"/>
  <c r="F1685" i="5"/>
  <c r="E1685" i="5"/>
  <c r="G1685" i="5"/>
  <c r="F1686" i="5"/>
  <c r="E1686" i="5"/>
  <c r="G1686" i="5"/>
  <c r="F1687" i="5"/>
  <c r="E1687" i="5"/>
  <c r="G1687" i="5"/>
  <c r="F1688" i="5"/>
  <c r="E1688" i="5"/>
  <c r="G1688" i="5"/>
  <c r="F1689" i="5"/>
  <c r="E1689" i="5"/>
  <c r="G1689" i="5"/>
  <c r="F1690" i="5"/>
  <c r="E1690" i="5"/>
  <c r="G1690" i="5"/>
  <c r="F1691" i="5"/>
  <c r="E1691" i="5"/>
  <c r="G1691" i="5"/>
  <c r="F1692" i="5"/>
  <c r="E1692" i="5"/>
  <c r="G1692" i="5"/>
  <c r="F1693" i="5"/>
  <c r="E1693" i="5"/>
  <c r="G1693" i="5"/>
  <c r="F1694" i="5"/>
  <c r="E1694" i="5"/>
  <c r="G1694" i="5"/>
  <c r="F1695" i="5"/>
  <c r="E1695" i="5"/>
  <c r="G1695" i="5"/>
  <c r="F1696" i="5"/>
  <c r="E1696" i="5"/>
  <c r="G1696" i="5"/>
  <c r="F1697" i="5"/>
  <c r="E1697" i="5"/>
  <c r="G1697" i="5"/>
  <c r="F1698" i="5"/>
  <c r="E1698" i="5"/>
  <c r="G1698" i="5"/>
  <c r="F1699" i="5"/>
  <c r="E1699" i="5"/>
  <c r="G1699" i="5"/>
  <c r="F1700" i="5"/>
  <c r="E1700" i="5"/>
  <c r="G1700" i="5"/>
  <c r="F1701" i="5"/>
  <c r="E1701" i="5"/>
  <c r="G1701" i="5"/>
  <c r="F1702" i="5"/>
  <c r="E1702" i="5"/>
  <c r="G1702" i="5"/>
  <c r="F1703" i="5"/>
  <c r="E1703" i="5"/>
  <c r="G1703" i="5"/>
  <c r="F1704" i="5"/>
  <c r="E1704" i="5"/>
  <c r="G1704" i="5"/>
  <c r="F1705" i="5"/>
  <c r="E1705" i="5"/>
  <c r="G1705" i="5"/>
  <c r="F1706" i="5"/>
  <c r="E1706" i="5"/>
  <c r="G1706" i="5"/>
  <c r="F1707" i="5"/>
  <c r="E1707" i="5"/>
  <c r="G1707" i="5"/>
  <c r="F1708" i="5"/>
  <c r="E1708" i="5"/>
  <c r="G1708" i="5"/>
  <c r="F1709" i="5"/>
  <c r="E1709" i="5"/>
  <c r="G1709" i="5"/>
  <c r="F1710" i="5"/>
  <c r="E1710" i="5"/>
  <c r="G1710" i="5"/>
  <c r="F1711" i="5"/>
  <c r="E1711" i="5"/>
  <c r="G1711" i="5"/>
  <c r="F1712" i="5"/>
  <c r="E1712" i="5"/>
  <c r="G1712" i="5"/>
  <c r="F1713" i="5"/>
  <c r="E1713" i="5"/>
  <c r="G1713" i="5"/>
  <c r="F1714" i="5"/>
  <c r="E1714" i="5"/>
  <c r="G1714" i="5"/>
  <c r="F1715" i="5"/>
  <c r="E1715" i="5"/>
  <c r="G1715" i="5"/>
  <c r="F1716" i="5"/>
  <c r="E1716" i="5"/>
  <c r="G1716" i="5"/>
  <c r="F1717" i="5"/>
  <c r="E1717" i="5"/>
  <c r="G1717" i="5"/>
  <c r="F1718" i="5"/>
  <c r="E1718" i="5"/>
  <c r="G1718" i="5"/>
  <c r="F1719" i="5"/>
  <c r="E1719" i="5"/>
  <c r="G1719" i="5"/>
  <c r="F1720" i="5"/>
  <c r="E1720" i="5"/>
  <c r="G1720" i="5"/>
  <c r="F1721" i="5"/>
  <c r="E1721" i="5"/>
  <c r="G1721" i="5"/>
  <c r="F1722" i="5"/>
  <c r="E1722" i="5"/>
  <c r="G1722" i="5"/>
  <c r="F1723" i="5"/>
  <c r="E1723" i="5"/>
  <c r="G1723" i="5"/>
  <c r="F1724" i="5"/>
  <c r="E1724" i="5"/>
  <c r="G1724" i="5"/>
  <c r="F1725" i="5"/>
  <c r="E1725" i="5"/>
  <c r="G1725" i="5"/>
  <c r="F1726" i="5"/>
  <c r="E1726" i="5"/>
  <c r="G1726" i="5"/>
  <c r="F1727" i="5"/>
  <c r="E1727" i="5"/>
  <c r="G1727" i="5"/>
  <c r="F1728" i="5"/>
  <c r="E1728" i="5"/>
  <c r="G1728" i="5"/>
  <c r="F1729" i="5"/>
  <c r="E1729" i="5"/>
  <c r="G1729" i="5"/>
  <c r="F1730" i="5"/>
  <c r="E1730" i="5"/>
  <c r="G1730" i="5"/>
  <c r="F1731" i="5"/>
  <c r="E1731" i="5"/>
  <c r="G1731" i="5"/>
  <c r="F1732" i="5"/>
  <c r="E1732" i="5"/>
  <c r="G1732" i="5"/>
  <c r="F1733" i="5"/>
  <c r="E1733" i="5"/>
  <c r="G1733" i="5"/>
  <c r="F1734" i="5"/>
  <c r="E1734" i="5"/>
  <c r="G1734" i="5"/>
  <c r="F1735" i="5"/>
  <c r="E1735" i="5"/>
  <c r="G1735" i="5"/>
  <c r="F1736" i="5"/>
  <c r="E1736" i="5"/>
  <c r="G1736" i="5"/>
  <c r="F1737" i="5"/>
  <c r="E1737" i="5"/>
  <c r="G1737" i="5"/>
  <c r="F1738" i="5"/>
  <c r="E1738" i="5"/>
  <c r="G1738" i="5"/>
  <c r="F1739" i="5"/>
  <c r="E1739" i="5"/>
  <c r="G1739" i="5"/>
  <c r="F1740" i="5"/>
  <c r="E1740" i="5"/>
  <c r="G1740" i="5"/>
  <c r="F1741" i="5"/>
  <c r="E1741" i="5"/>
  <c r="G1741" i="5"/>
  <c r="F1742" i="5"/>
  <c r="E1742" i="5"/>
  <c r="G1742" i="5"/>
  <c r="F1743" i="5"/>
  <c r="E1743" i="5"/>
  <c r="G1743" i="5"/>
  <c r="F1744" i="5"/>
  <c r="E1744" i="5"/>
  <c r="G1744" i="5"/>
  <c r="F1745" i="5"/>
  <c r="E1745" i="5"/>
  <c r="G1745" i="5"/>
  <c r="F1746" i="5"/>
  <c r="E1746" i="5"/>
  <c r="G1746" i="5"/>
  <c r="F1747" i="5"/>
  <c r="E1747" i="5"/>
  <c r="G1747" i="5"/>
  <c r="F1748" i="5"/>
  <c r="E1748" i="5"/>
  <c r="G1748" i="5"/>
  <c r="F1749" i="5"/>
  <c r="E1749" i="5"/>
  <c r="G1749" i="5"/>
  <c r="F1750" i="5"/>
  <c r="E1750" i="5"/>
  <c r="G1750" i="5"/>
  <c r="F1751" i="5"/>
  <c r="E1751" i="5"/>
  <c r="G1751" i="5"/>
  <c r="F1752" i="5"/>
  <c r="E1752" i="5"/>
  <c r="G1752" i="5"/>
  <c r="F1753" i="5"/>
  <c r="E1753" i="5"/>
  <c r="G1753" i="5"/>
  <c r="F1754" i="5"/>
  <c r="E1754" i="5"/>
  <c r="G1754" i="5"/>
  <c r="F1755" i="5"/>
  <c r="E1755" i="5"/>
  <c r="G1755" i="5"/>
  <c r="F1756" i="5"/>
  <c r="E1756" i="5"/>
  <c r="G1756" i="5"/>
  <c r="F1757" i="5"/>
  <c r="E1757" i="5"/>
  <c r="G1757" i="5"/>
  <c r="F1758" i="5"/>
  <c r="E1758" i="5"/>
  <c r="G1758" i="5"/>
  <c r="F1759" i="5"/>
  <c r="E1759" i="5"/>
  <c r="G1759" i="5"/>
  <c r="F1760" i="5"/>
  <c r="E1760" i="5"/>
  <c r="G1760" i="5"/>
  <c r="F1761" i="5"/>
  <c r="E1761" i="5"/>
  <c r="G1761" i="5"/>
  <c r="F1762" i="5"/>
  <c r="E1762" i="5"/>
  <c r="G1762" i="5"/>
  <c r="F1763" i="5"/>
  <c r="E1763" i="5"/>
  <c r="G1763" i="5"/>
  <c r="F1764" i="5"/>
  <c r="E1764" i="5"/>
  <c r="G1764" i="5"/>
  <c r="F1765" i="5"/>
  <c r="E1765" i="5"/>
  <c r="G1765" i="5"/>
  <c r="F1766" i="5"/>
  <c r="E1766" i="5"/>
  <c r="G1766" i="5"/>
  <c r="F1767" i="5"/>
  <c r="E1767" i="5"/>
  <c r="G1767" i="5"/>
  <c r="F1768" i="5"/>
  <c r="E1768" i="5"/>
  <c r="G1768" i="5"/>
  <c r="F1769" i="5"/>
  <c r="E1769" i="5"/>
  <c r="G1769" i="5"/>
  <c r="F1770" i="5"/>
  <c r="E1770" i="5"/>
  <c r="G1770" i="5"/>
  <c r="F1771" i="5"/>
  <c r="E1771" i="5"/>
  <c r="G1771" i="5"/>
  <c r="F1772" i="5"/>
  <c r="E1772" i="5"/>
  <c r="G1772" i="5"/>
  <c r="F1773" i="5"/>
  <c r="E1773" i="5"/>
  <c r="G1773" i="5"/>
  <c r="F1774" i="5"/>
  <c r="E1774" i="5"/>
  <c r="G1774" i="5"/>
  <c r="F1775" i="5"/>
  <c r="E1775" i="5"/>
  <c r="G1775" i="5"/>
  <c r="F1776" i="5"/>
  <c r="E1776" i="5"/>
  <c r="G1776" i="5"/>
  <c r="F1777" i="5"/>
  <c r="E1777" i="5"/>
  <c r="G1777" i="5"/>
  <c r="F1778" i="5"/>
  <c r="E1778" i="5"/>
  <c r="G1778" i="5"/>
  <c r="F1779" i="5"/>
  <c r="E1779" i="5"/>
  <c r="G1779" i="5"/>
  <c r="F1780" i="5"/>
  <c r="E1780" i="5"/>
  <c r="G1780" i="5"/>
  <c r="F1781" i="5"/>
  <c r="E1781" i="5"/>
  <c r="G1781" i="5"/>
  <c r="F1782" i="5"/>
  <c r="E1782" i="5"/>
  <c r="G1782" i="5"/>
  <c r="F1783" i="5"/>
  <c r="E1783" i="5"/>
  <c r="G1783" i="5"/>
  <c r="F1784" i="5"/>
  <c r="E1784" i="5"/>
  <c r="G1784" i="5"/>
  <c r="F1785" i="5"/>
  <c r="E1785" i="5"/>
  <c r="G1785" i="5"/>
  <c r="F1786" i="5"/>
  <c r="E1786" i="5"/>
  <c r="G1786" i="5"/>
  <c r="F1787" i="5"/>
  <c r="E1787" i="5"/>
  <c r="G1787" i="5"/>
  <c r="F1788" i="5"/>
  <c r="E1788" i="5"/>
  <c r="G1788" i="5"/>
  <c r="F1789" i="5"/>
  <c r="E1789" i="5"/>
  <c r="G1789" i="5"/>
  <c r="F1790" i="5"/>
  <c r="E1790" i="5"/>
  <c r="G1790" i="5"/>
  <c r="F1791" i="5"/>
  <c r="E1791" i="5"/>
  <c r="G1791" i="5"/>
  <c r="F1792" i="5"/>
  <c r="E1792" i="5"/>
  <c r="G1792" i="5"/>
  <c r="F1793" i="5"/>
  <c r="E1793" i="5"/>
  <c r="G1793" i="5"/>
  <c r="F1794" i="5"/>
  <c r="E1794" i="5"/>
  <c r="G1794" i="5"/>
  <c r="F1795" i="5"/>
  <c r="E1795" i="5"/>
  <c r="G1795" i="5"/>
  <c r="F1796" i="5"/>
  <c r="E1796" i="5"/>
  <c r="G1796" i="5"/>
  <c r="F1797" i="5"/>
  <c r="E1797" i="5"/>
  <c r="G1797" i="5"/>
  <c r="F1798" i="5"/>
  <c r="E1798" i="5"/>
  <c r="G1798" i="5"/>
  <c r="F1799" i="5"/>
  <c r="E1799" i="5"/>
  <c r="G1799" i="5"/>
  <c r="F1800" i="5"/>
  <c r="E1800" i="5"/>
  <c r="G1800" i="5"/>
  <c r="F1801" i="5"/>
  <c r="E1801" i="5"/>
  <c r="G1801" i="5"/>
  <c r="F1802" i="5"/>
  <c r="E1802" i="5"/>
  <c r="G1802" i="5"/>
  <c r="F1803" i="5"/>
  <c r="E1803" i="5"/>
  <c r="G1803" i="5"/>
  <c r="F1804" i="5"/>
  <c r="E1804" i="5"/>
  <c r="G1804" i="5"/>
  <c r="F1805" i="5"/>
  <c r="E1805" i="5"/>
  <c r="G1805" i="5"/>
  <c r="F1806" i="5"/>
  <c r="E1806" i="5"/>
  <c r="G1806" i="5"/>
  <c r="F1807" i="5"/>
  <c r="E1807" i="5"/>
  <c r="G1807" i="5"/>
  <c r="F1808" i="5"/>
  <c r="E1808" i="5"/>
  <c r="G1808" i="5"/>
  <c r="F1809" i="5"/>
  <c r="E1809" i="5"/>
  <c r="G1809" i="5"/>
  <c r="F1810" i="5"/>
  <c r="E1810" i="5"/>
  <c r="G1810" i="5"/>
  <c r="F1811" i="5"/>
  <c r="E1811" i="5"/>
  <c r="G1811" i="5"/>
  <c r="F1812" i="5"/>
  <c r="E1812" i="5"/>
  <c r="G1812" i="5"/>
  <c r="F1813" i="5"/>
  <c r="E1813" i="5"/>
  <c r="G1813" i="5"/>
  <c r="F1814" i="5"/>
  <c r="E1814" i="5"/>
  <c r="G1814" i="5"/>
  <c r="F1815" i="5"/>
  <c r="E1815" i="5"/>
  <c r="G1815" i="5"/>
  <c r="F1816" i="5"/>
  <c r="E1816" i="5"/>
  <c r="G1816" i="5"/>
  <c r="F1817" i="5"/>
  <c r="E1817" i="5"/>
  <c r="G1817" i="5"/>
  <c r="F1818" i="5"/>
  <c r="E1818" i="5"/>
  <c r="G1818" i="5"/>
  <c r="F1819" i="5"/>
  <c r="E1819" i="5"/>
  <c r="G1819" i="5"/>
  <c r="F1820" i="5"/>
  <c r="E1820" i="5"/>
  <c r="G1820" i="5"/>
  <c r="F1821" i="5"/>
  <c r="E1821" i="5"/>
  <c r="G1821" i="5"/>
  <c r="F1822" i="5"/>
  <c r="E1822" i="5"/>
  <c r="G1822" i="5"/>
  <c r="F1823" i="5"/>
  <c r="E1823" i="5"/>
  <c r="G1823" i="5"/>
  <c r="F1824" i="5"/>
  <c r="E1824" i="5"/>
  <c r="G1824" i="5"/>
  <c r="F1825" i="5"/>
  <c r="E1825" i="5"/>
  <c r="G1825" i="5"/>
  <c r="F1826" i="5"/>
  <c r="E1826" i="5"/>
  <c r="G1826" i="5"/>
  <c r="F1827" i="5"/>
  <c r="E1827" i="5"/>
  <c r="G1827" i="5"/>
  <c r="F1828" i="5"/>
  <c r="E1828" i="5"/>
  <c r="G1828" i="5"/>
  <c r="F1829" i="5"/>
  <c r="E1829" i="5"/>
  <c r="G1829" i="5"/>
  <c r="F1830" i="5"/>
  <c r="E1830" i="5"/>
  <c r="G1830" i="5"/>
  <c r="F1831" i="5"/>
  <c r="E1831" i="5"/>
  <c r="G1831" i="5"/>
  <c r="F1832" i="5"/>
  <c r="E1832" i="5"/>
  <c r="G1832" i="5"/>
  <c r="F1833" i="5"/>
  <c r="E1833" i="5"/>
  <c r="G1833" i="5"/>
  <c r="F1834" i="5"/>
  <c r="E1834" i="5"/>
  <c r="G1834" i="5"/>
  <c r="F1835" i="5"/>
  <c r="E1835" i="5"/>
  <c r="G1835" i="5"/>
  <c r="F1836" i="5"/>
  <c r="E1836" i="5"/>
  <c r="G1836" i="5"/>
  <c r="F1837" i="5"/>
  <c r="E1837" i="5"/>
  <c r="G1837" i="5"/>
  <c r="F1838" i="5"/>
  <c r="E1838" i="5"/>
  <c r="G1838" i="5"/>
  <c r="F1839" i="5"/>
  <c r="E1839" i="5"/>
  <c r="G1839" i="5"/>
  <c r="F1840" i="5"/>
  <c r="E1840" i="5"/>
  <c r="G1840" i="5"/>
  <c r="F1841" i="5"/>
  <c r="E1841" i="5"/>
  <c r="G1841" i="5"/>
  <c r="F1842" i="5"/>
  <c r="E1842" i="5"/>
  <c r="G1842" i="5"/>
  <c r="F1843" i="5"/>
  <c r="E1843" i="5"/>
  <c r="G1843" i="5"/>
  <c r="F1844" i="5"/>
  <c r="E1844" i="5"/>
  <c r="G1844" i="5"/>
  <c r="F1845" i="5"/>
  <c r="E1845" i="5"/>
  <c r="G1845" i="5"/>
  <c r="F1846" i="5"/>
  <c r="E1846" i="5"/>
  <c r="G1846" i="5"/>
  <c r="F1847" i="5"/>
  <c r="E1847" i="5"/>
  <c r="G1847" i="5"/>
  <c r="F1848" i="5"/>
  <c r="E1848" i="5"/>
  <c r="G1848" i="5"/>
  <c r="F1849" i="5"/>
  <c r="E1849" i="5"/>
  <c r="G1849" i="5"/>
  <c r="F1850" i="5"/>
  <c r="E1850" i="5"/>
  <c r="G1850" i="5"/>
  <c r="F1851" i="5"/>
  <c r="E1851" i="5"/>
  <c r="G1851" i="5"/>
  <c r="F1852" i="5"/>
  <c r="E1852" i="5"/>
  <c r="G1852" i="5"/>
  <c r="F1853" i="5"/>
  <c r="E1853" i="5"/>
  <c r="G1853" i="5"/>
  <c r="F1854" i="5"/>
  <c r="E1854" i="5"/>
  <c r="G1854" i="5"/>
  <c r="F1855" i="5"/>
  <c r="E1855" i="5"/>
  <c r="G1855" i="5"/>
  <c r="F1856" i="5"/>
  <c r="E1856" i="5"/>
  <c r="G1856" i="5"/>
  <c r="F1857" i="5"/>
  <c r="E1857" i="5"/>
  <c r="G1857" i="5"/>
  <c r="F1858" i="5"/>
  <c r="E1858" i="5"/>
  <c r="G1858" i="5"/>
  <c r="F1859" i="5"/>
  <c r="E1859" i="5"/>
  <c r="G1859" i="5"/>
  <c r="F1860" i="5"/>
  <c r="E1860" i="5"/>
  <c r="G1860" i="5"/>
  <c r="F1861" i="5"/>
  <c r="E1861" i="5"/>
  <c r="G1861" i="5"/>
  <c r="F1862" i="5"/>
  <c r="E1862" i="5"/>
  <c r="G1862" i="5"/>
  <c r="F1863" i="5"/>
  <c r="E1863" i="5"/>
  <c r="G1863" i="5"/>
  <c r="F1864" i="5"/>
  <c r="E1864" i="5"/>
  <c r="G1864" i="5"/>
  <c r="F1865" i="5"/>
  <c r="E1865" i="5"/>
  <c r="G1865" i="5"/>
  <c r="F1866" i="5"/>
  <c r="E1866" i="5"/>
  <c r="G1866" i="5"/>
  <c r="F1867" i="5"/>
  <c r="E1867" i="5"/>
  <c r="G1867" i="5"/>
  <c r="F1868" i="5"/>
  <c r="E1868" i="5"/>
  <c r="G1868" i="5"/>
  <c r="F1869" i="5"/>
  <c r="E1869" i="5"/>
  <c r="G1869" i="5"/>
  <c r="F1870" i="5"/>
  <c r="E1870" i="5"/>
  <c r="G1870" i="5"/>
  <c r="F1871" i="5"/>
  <c r="E1871" i="5"/>
  <c r="G1871" i="5"/>
  <c r="F1872" i="5"/>
  <c r="E1872" i="5"/>
  <c r="G1872" i="5"/>
  <c r="F1873" i="5"/>
  <c r="E1873" i="5"/>
  <c r="G1873" i="5"/>
  <c r="F1874" i="5"/>
  <c r="E1874" i="5"/>
  <c r="G1874" i="5"/>
  <c r="F1875" i="5"/>
  <c r="E1875" i="5"/>
  <c r="G1875" i="5"/>
  <c r="F1876" i="5"/>
  <c r="E1876" i="5"/>
  <c r="G1876" i="5"/>
  <c r="F1877" i="5"/>
  <c r="E1877" i="5"/>
  <c r="G1877" i="5"/>
  <c r="F1878" i="5"/>
  <c r="E1878" i="5"/>
  <c r="G1878" i="5"/>
  <c r="F1879" i="5"/>
  <c r="E1879" i="5"/>
  <c r="G1879" i="5"/>
  <c r="F1880" i="5"/>
  <c r="E1880" i="5"/>
  <c r="G1880" i="5"/>
  <c r="F1881" i="5"/>
  <c r="E1881" i="5"/>
  <c r="G1881" i="5"/>
  <c r="F1882" i="5"/>
  <c r="E1882" i="5"/>
  <c r="G1882" i="5"/>
  <c r="F1883" i="5"/>
  <c r="E1883" i="5"/>
  <c r="G1883" i="5"/>
  <c r="F1884" i="5"/>
  <c r="E1884" i="5"/>
  <c r="G1884" i="5"/>
  <c r="F1885" i="5"/>
  <c r="E1885" i="5"/>
  <c r="G1885" i="5"/>
  <c r="F1886" i="5"/>
  <c r="E1886" i="5"/>
  <c r="G1886" i="5"/>
  <c r="F1887" i="5"/>
  <c r="E1887" i="5"/>
  <c r="G1887" i="5"/>
  <c r="F1888" i="5"/>
  <c r="E1888" i="5"/>
  <c r="G1888" i="5"/>
  <c r="F1889" i="5"/>
  <c r="E1889" i="5"/>
  <c r="G1889" i="5"/>
  <c r="F1890" i="5"/>
  <c r="E1890" i="5"/>
  <c r="G1890" i="5"/>
  <c r="F1891" i="5"/>
  <c r="E1891" i="5"/>
  <c r="G1891" i="5"/>
  <c r="F1892" i="5"/>
  <c r="E1892" i="5"/>
  <c r="G1892" i="5"/>
  <c r="F1893" i="5"/>
  <c r="E1893" i="5"/>
  <c r="G1893" i="5"/>
  <c r="F1894" i="5"/>
  <c r="E1894" i="5"/>
  <c r="G1894" i="5"/>
  <c r="F1895" i="5"/>
  <c r="E1895" i="5"/>
  <c r="G1895" i="5"/>
  <c r="F1896" i="5"/>
  <c r="E1896" i="5"/>
  <c r="G1896" i="5"/>
  <c r="F1897" i="5"/>
  <c r="E1897" i="5"/>
  <c r="G1897" i="5"/>
  <c r="F1898" i="5"/>
  <c r="E1898" i="5"/>
  <c r="G1898" i="5"/>
  <c r="F1899" i="5"/>
  <c r="E1899" i="5"/>
  <c r="G1899" i="5"/>
  <c r="F1900" i="5"/>
  <c r="E1900" i="5"/>
  <c r="G1900" i="5"/>
  <c r="F1901" i="5"/>
  <c r="E1901" i="5"/>
  <c r="G1901" i="5"/>
  <c r="F1902" i="5"/>
  <c r="E1902" i="5"/>
  <c r="G1902" i="5"/>
  <c r="F1903" i="5"/>
  <c r="E1903" i="5"/>
  <c r="G1903" i="5"/>
  <c r="F1904" i="5"/>
  <c r="E1904" i="5"/>
  <c r="G1904" i="5"/>
  <c r="F1905" i="5"/>
  <c r="E1905" i="5"/>
  <c r="G1905" i="5"/>
  <c r="F1906" i="5"/>
  <c r="E1906" i="5"/>
  <c r="G1906" i="5"/>
  <c r="F1907" i="5"/>
  <c r="E1907" i="5"/>
  <c r="G1907" i="5"/>
  <c r="F1908" i="5"/>
  <c r="E1908" i="5"/>
  <c r="G1908" i="5"/>
  <c r="F1909" i="5"/>
  <c r="E1909" i="5"/>
  <c r="G1909" i="5"/>
  <c r="F1910" i="5"/>
  <c r="E1910" i="5"/>
  <c r="G1910" i="5"/>
  <c r="F1911" i="5"/>
  <c r="E1911" i="5"/>
  <c r="G1911" i="5"/>
  <c r="F1912" i="5"/>
  <c r="E1912" i="5"/>
  <c r="G1912" i="5"/>
  <c r="F1913" i="5"/>
  <c r="E1913" i="5"/>
  <c r="G1913" i="5"/>
  <c r="F1914" i="5"/>
  <c r="E1914" i="5"/>
  <c r="G1914" i="5"/>
  <c r="F1915" i="5"/>
  <c r="E1915" i="5"/>
  <c r="G1915" i="5"/>
  <c r="F1916" i="5"/>
  <c r="E1916" i="5"/>
  <c r="G1916" i="5"/>
  <c r="F1917" i="5"/>
  <c r="E1917" i="5"/>
  <c r="G1917" i="5"/>
  <c r="F1918" i="5"/>
  <c r="E1918" i="5"/>
  <c r="G1918" i="5"/>
  <c r="F1919" i="5"/>
  <c r="E1919" i="5"/>
  <c r="G1919" i="5"/>
  <c r="F1920" i="5"/>
  <c r="E1920" i="5"/>
  <c r="G1920" i="5"/>
  <c r="F1921" i="5"/>
  <c r="E1921" i="5"/>
  <c r="G1921" i="5"/>
  <c r="F1922" i="5"/>
  <c r="E1922" i="5"/>
  <c r="G1922" i="5"/>
  <c r="F1923" i="5"/>
  <c r="E1923" i="5"/>
  <c r="G1923" i="5"/>
  <c r="F1924" i="5"/>
  <c r="E1924" i="5"/>
  <c r="G1924" i="5"/>
  <c r="F1925" i="5"/>
  <c r="E1925" i="5"/>
  <c r="G1925" i="5"/>
  <c r="F1926" i="5"/>
  <c r="E1926" i="5"/>
  <c r="G1926" i="5"/>
  <c r="F1927" i="5"/>
  <c r="E1927" i="5"/>
  <c r="G1927" i="5"/>
  <c r="F1928" i="5"/>
  <c r="E1928" i="5"/>
  <c r="G1928" i="5"/>
  <c r="F1929" i="5"/>
  <c r="E1929" i="5"/>
  <c r="G1929" i="5"/>
  <c r="F1930" i="5"/>
  <c r="E1930" i="5"/>
  <c r="G1930" i="5"/>
  <c r="F1931" i="5"/>
  <c r="E1931" i="5"/>
  <c r="G1931" i="5"/>
  <c r="F1932" i="5"/>
  <c r="E1932" i="5"/>
  <c r="G1932" i="5"/>
  <c r="F1933" i="5"/>
  <c r="E1933" i="5"/>
  <c r="G1933" i="5"/>
  <c r="F1934" i="5"/>
  <c r="E1934" i="5"/>
  <c r="G1934" i="5"/>
  <c r="F1935" i="5"/>
  <c r="E1935" i="5"/>
  <c r="G1935" i="5"/>
  <c r="F1936" i="5"/>
  <c r="E1936" i="5"/>
  <c r="G1936" i="5"/>
  <c r="F1937" i="5"/>
  <c r="E1937" i="5"/>
  <c r="G1937" i="5"/>
  <c r="F1938" i="5"/>
  <c r="E1938" i="5"/>
  <c r="G1938" i="5"/>
  <c r="F1939" i="5"/>
  <c r="E1939" i="5"/>
  <c r="G1939" i="5"/>
  <c r="F1940" i="5"/>
  <c r="E1940" i="5"/>
  <c r="G1940" i="5"/>
  <c r="F1941" i="5"/>
  <c r="E1941" i="5"/>
  <c r="G1941" i="5"/>
  <c r="F1942" i="5"/>
  <c r="E1942" i="5"/>
  <c r="G1942" i="5"/>
  <c r="F1943" i="5"/>
  <c r="E1943" i="5"/>
  <c r="G1943" i="5"/>
  <c r="F1944" i="5"/>
  <c r="E1944" i="5"/>
  <c r="G1944" i="5"/>
  <c r="F1945" i="5"/>
  <c r="E1945" i="5"/>
  <c r="G1945" i="5"/>
  <c r="F1946" i="5"/>
  <c r="E1946" i="5"/>
  <c r="G1946" i="5"/>
  <c r="F1947" i="5"/>
  <c r="E1947" i="5"/>
  <c r="G1947" i="5"/>
  <c r="F1948" i="5"/>
  <c r="E1948" i="5"/>
  <c r="G1948" i="5"/>
  <c r="F1949" i="5"/>
  <c r="E1949" i="5"/>
  <c r="G1949" i="5"/>
  <c r="F1950" i="5"/>
  <c r="E1950" i="5"/>
  <c r="G1950" i="5"/>
  <c r="F1951" i="5"/>
  <c r="E1951" i="5"/>
  <c r="G1951" i="5"/>
  <c r="F1952" i="5"/>
  <c r="E1952" i="5"/>
  <c r="G1952" i="5"/>
  <c r="F1953" i="5"/>
  <c r="E1953" i="5"/>
  <c r="G1953" i="5"/>
  <c r="F1954" i="5"/>
  <c r="E1954" i="5"/>
  <c r="G1954" i="5"/>
  <c r="F1955" i="5"/>
  <c r="E1955" i="5"/>
  <c r="G1955" i="5"/>
  <c r="F1956" i="5"/>
  <c r="E1956" i="5"/>
  <c r="G1956" i="5"/>
  <c r="F1957" i="5"/>
  <c r="E1957" i="5"/>
  <c r="G1957" i="5"/>
  <c r="F1958" i="5"/>
  <c r="E1958" i="5"/>
  <c r="G1958" i="5"/>
  <c r="F1959" i="5"/>
  <c r="E1959" i="5"/>
  <c r="G1959" i="5"/>
  <c r="F1960" i="5"/>
  <c r="E1960" i="5"/>
  <c r="G1960" i="5"/>
  <c r="F1961" i="5"/>
  <c r="E1961" i="5"/>
  <c r="G1961" i="5"/>
  <c r="F1962" i="5"/>
  <c r="E1962" i="5"/>
  <c r="G1962" i="5"/>
  <c r="F1963" i="5"/>
  <c r="E1963" i="5"/>
  <c r="G1963" i="5"/>
  <c r="F1964" i="5"/>
  <c r="E1964" i="5"/>
  <c r="G1964" i="5"/>
  <c r="F1965" i="5"/>
  <c r="E1965" i="5"/>
  <c r="G1965" i="5"/>
  <c r="F1966" i="5"/>
  <c r="E1966" i="5"/>
  <c r="G1966" i="5"/>
  <c r="F1967" i="5"/>
  <c r="E1967" i="5"/>
  <c r="G1967" i="5"/>
  <c r="F1968" i="5"/>
  <c r="E1968" i="5"/>
  <c r="G1968" i="5"/>
  <c r="F1969" i="5"/>
  <c r="E1969" i="5"/>
  <c r="G1969" i="5"/>
  <c r="F1970" i="5"/>
  <c r="E1970" i="5"/>
  <c r="G1970" i="5"/>
  <c r="F1971" i="5"/>
  <c r="E1971" i="5"/>
  <c r="G1971" i="5"/>
  <c r="F1972" i="5"/>
  <c r="E1972" i="5"/>
  <c r="G1972" i="5"/>
  <c r="F1973" i="5"/>
  <c r="E1973" i="5"/>
  <c r="G1973" i="5"/>
  <c r="F1974" i="5"/>
  <c r="E1974" i="5"/>
  <c r="G1974" i="5"/>
  <c r="F1975" i="5"/>
  <c r="E1975" i="5"/>
  <c r="G1975" i="5"/>
  <c r="F1976" i="5"/>
  <c r="E1976" i="5"/>
  <c r="G1976" i="5"/>
  <c r="F1977" i="5"/>
  <c r="E1977" i="5"/>
  <c r="G1977" i="5"/>
  <c r="F1978" i="5"/>
  <c r="E1978" i="5"/>
  <c r="G1978" i="5"/>
  <c r="F1979" i="5"/>
  <c r="E1979" i="5"/>
  <c r="G1979" i="5"/>
  <c r="F1980" i="5"/>
  <c r="E1980" i="5"/>
  <c r="G1980" i="5"/>
  <c r="F1981" i="5"/>
  <c r="E1981" i="5"/>
  <c r="G1981" i="5"/>
  <c r="F1982" i="5"/>
  <c r="E1982" i="5"/>
  <c r="G1982" i="5"/>
  <c r="F1983" i="5"/>
  <c r="E1983" i="5"/>
  <c r="G1983" i="5"/>
  <c r="F1984" i="5"/>
  <c r="E1984" i="5"/>
  <c r="G1984" i="5"/>
  <c r="F1985" i="5"/>
  <c r="E1985" i="5"/>
  <c r="G1985" i="5"/>
  <c r="F1986" i="5"/>
  <c r="E1986" i="5"/>
  <c r="G1986" i="5"/>
  <c r="F1987" i="5"/>
  <c r="E1987" i="5"/>
  <c r="G1987" i="5"/>
  <c r="F1988" i="5"/>
  <c r="E1988" i="5"/>
  <c r="G1988" i="5"/>
  <c r="F1989" i="5"/>
  <c r="E1989" i="5"/>
  <c r="G1989" i="5"/>
  <c r="F1990" i="5"/>
  <c r="E1990" i="5"/>
  <c r="G1990" i="5"/>
  <c r="F1991" i="5"/>
  <c r="E1991" i="5"/>
  <c r="G1991" i="5"/>
  <c r="F1992" i="5"/>
  <c r="E1992" i="5"/>
  <c r="G1992" i="5"/>
  <c r="F1993" i="5"/>
  <c r="E1993" i="5"/>
  <c r="G1993" i="5"/>
  <c r="F1994" i="5"/>
  <c r="E1994" i="5"/>
  <c r="G1994" i="5"/>
  <c r="F1995" i="5"/>
  <c r="E1995" i="5"/>
  <c r="G1995" i="5"/>
  <c r="F1996" i="5"/>
  <c r="E1996" i="5"/>
  <c r="G1996" i="5"/>
  <c r="F1997" i="5"/>
  <c r="E1997" i="5"/>
  <c r="G1997" i="5"/>
  <c r="F1998" i="5"/>
  <c r="E1998" i="5"/>
  <c r="G1998" i="5"/>
  <c r="F1999" i="5"/>
  <c r="E1999" i="5"/>
  <c r="G1999" i="5"/>
  <c r="F2000" i="5"/>
  <c r="E2000" i="5"/>
  <c r="G2000" i="5"/>
  <c r="F2001" i="5"/>
  <c r="E2001" i="5"/>
  <c r="G2001" i="5"/>
  <c r="F2002" i="5"/>
  <c r="E2002" i="5"/>
  <c r="G2002" i="5"/>
  <c r="F2003" i="5"/>
  <c r="E2003" i="5"/>
  <c r="G2003" i="5"/>
  <c r="F2004" i="5"/>
  <c r="E2004" i="5"/>
  <c r="G2004" i="5"/>
  <c r="F2005" i="5"/>
  <c r="E2005" i="5"/>
  <c r="G2005" i="5"/>
  <c r="F2006" i="5"/>
  <c r="E2006" i="5"/>
  <c r="G2006" i="5"/>
  <c r="F2007" i="5"/>
  <c r="E2007" i="5"/>
  <c r="G2007" i="5"/>
  <c r="F2008" i="5"/>
  <c r="E2008" i="5"/>
  <c r="G2008" i="5"/>
  <c r="F2009" i="5"/>
  <c r="E2009" i="5"/>
  <c r="G2009" i="5"/>
  <c r="F2010" i="5"/>
  <c r="E2010" i="5"/>
  <c r="G2010" i="5"/>
  <c r="F2011" i="5"/>
  <c r="E2011" i="5"/>
  <c r="G2011" i="5"/>
  <c r="F2012" i="5"/>
  <c r="E2012" i="5"/>
  <c r="G2012" i="5"/>
  <c r="F2013" i="5"/>
  <c r="E2013" i="5"/>
  <c r="G2013" i="5"/>
  <c r="F2014" i="5"/>
  <c r="E2014" i="5"/>
  <c r="G2014" i="5"/>
  <c r="F2015" i="5"/>
  <c r="E2015" i="5"/>
  <c r="G2015" i="5"/>
  <c r="F2016" i="5"/>
  <c r="E2016" i="5"/>
  <c r="G2016" i="5"/>
  <c r="F2017" i="5"/>
  <c r="E2017" i="5"/>
  <c r="G2017" i="5"/>
  <c r="F2018" i="5"/>
  <c r="E2018" i="5"/>
  <c r="G2018" i="5"/>
  <c r="F2019" i="5"/>
  <c r="E2019" i="5"/>
  <c r="G2019" i="5"/>
  <c r="F2020" i="5"/>
  <c r="E2020" i="5"/>
  <c r="G2020" i="5"/>
  <c r="F2021" i="5"/>
  <c r="E2021" i="5"/>
  <c r="G2021" i="5"/>
  <c r="F2022" i="5"/>
  <c r="E2022" i="5"/>
  <c r="G2022" i="5"/>
  <c r="F2023" i="5"/>
  <c r="E2023" i="5"/>
  <c r="G2023" i="5"/>
  <c r="F2024" i="5"/>
  <c r="E2024" i="5"/>
  <c r="G2024" i="5"/>
  <c r="F2025" i="5"/>
  <c r="E2025" i="5"/>
  <c r="G2025" i="5"/>
  <c r="F2026" i="5"/>
  <c r="E2026" i="5"/>
  <c r="G2026" i="5"/>
  <c r="F2027" i="5"/>
  <c r="E2027" i="5"/>
  <c r="G2027" i="5"/>
  <c r="F2028" i="5"/>
  <c r="E2028" i="5"/>
  <c r="G2028" i="5"/>
  <c r="F2029" i="5"/>
  <c r="E2029" i="5"/>
  <c r="G2029" i="5"/>
  <c r="F2030" i="5"/>
  <c r="E2030" i="5"/>
  <c r="G2030" i="5"/>
  <c r="F2031" i="5"/>
  <c r="E2031" i="5"/>
  <c r="G2031" i="5"/>
  <c r="F2032" i="5"/>
  <c r="E2032" i="5"/>
  <c r="G2032" i="5"/>
  <c r="F2033" i="5"/>
  <c r="E2033" i="5"/>
  <c r="G2033" i="5"/>
  <c r="F2034" i="5"/>
  <c r="E2034" i="5"/>
  <c r="G2034" i="5"/>
  <c r="F2035" i="5"/>
  <c r="E2035" i="5"/>
  <c r="G2035" i="5"/>
  <c r="F2036" i="5"/>
  <c r="E2036" i="5"/>
  <c r="G2036" i="5"/>
  <c r="F2037" i="5"/>
  <c r="E2037" i="5"/>
  <c r="G2037" i="5"/>
  <c r="F2038" i="5"/>
  <c r="E2038" i="5"/>
  <c r="G2038" i="5"/>
  <c r="F2039" i="5"/>
  <c r="E2039" i="5"/>
  <c r="G2039" i="5"/>
  <c r="F2040" i="5"/>
  <c r="E2040" i="5"/>
  <c r="G2040" i="5"/>
  <c r="F2041" i="5"/>
  <c r="E2041" i="5"/>
  <c r="G2041" i="5"/>
  <c r="F2042" i="5"/>
  <c r="E2042" i="5"/>
  <c r="G2042" i="5"/>
  <c r="F2043" i="5"/>
  <c r="E2043" i="5"/>
  <c r="G2043" i="5"/>
  <c r="F2044" i="5"/>
  <c r="E2044" i="5"/>
  <c r="G2044" i="5"/>
  <c r="F2045" i="5"/>
  <c r="E2045" i="5"/>
  <c r="G2045" i="5"/>
  <c r="F2046" i="5"/>
  <c r="E2046" i="5"/>
  <c r="G2046" i="5"/>
  <c r="F2047" i="5"/>
  <c r="E2047" i="5"/>
  <c r="G2047" i="5"/>
  <c r="F2048" i="5"/>
  <c r="E2048" i="5"/>
  <c r="G2048" i="5"/>
  <c r="F2049" i="5"/>
  <c r="E2049" i="5"/>
  <c r="G2049" i="5"/>
  <c r="F2050" i="5"/>
  <c r="E2050" i="5"/>
  <c r="G2050" i="5"/>
  <c r="F2051" i="5"/>
  <c r="E2051" i="5"/>
  <c r="G2051" i="5"/>
  <c r="F2052" i="5"/>
  <c r="E2052" i="5"/>
  <c r="G2052" i="5"/>
  <c r="F2053" i="5"/>
  <c r="E2053" i="5"/>
  <c r="G2053" i="5"/>
  <c r="F2054" i="5"/>
  <c r="E2054" i="5"/>
  <c r="G2054" i="5"/>
  <c r="F2055" i="5"/>
  <c r="E2055" i="5"/>
  <c r="G2055" i="5"/>
  <c r="F2056" i="5"/>
  <c r="E2056" i="5"/>
  <c r="G2056" i="5"/>
  <c r="F2057" i="5"/>
  <c r="E2057" i="5"/>
  <c r="G2057" i="5"/>
  <c r="F2058" i="5"/>
  <c r="E2058" i="5"/>
  <c r="G2058" i="5"/>
  <c r="F2059" i="5"/>
  <c r="E2059" i="5"/>
  <c r="G2059" i="5"/>
  <c r="F2060" i="5"/>
  <c r="E2060" i="5"/>
  <c r="G2060" i="5"/>
  <c r="F2061" i="5"/>
  <c r="E2061" i="5"/>
  <c r="G2061" i="5"/>
  <c r="F2062" i="5"/>
  <c r="E2062" i="5"/>
  <c r="G2062" i="5"/>
  <c r="F2063" i="5"/>
  <c r="E2063" i="5"/>
  <c r="G2063" i="5"/>
  <c r="F2064" i="5"/>
  <c r="E2064" i="5"/>
  <c r="G2064" i="5"/>
  <c r="F2065" i="5"/>
  <c r="E2065" i="5"/>
  <c r="G2065" i="5"/>
  <c r="F2066" i="5"/>
  <c r="E2066" i="5"/>
  <c r="G2066" i="5"/>
  <c r="F2067" i="5"/>
  <c r="E2067" i="5"/>
  <c r="G2067" i="5"/>
  <c r="F2068" i="5"/>
  <c r="E2068" i="5"/>
  <c r="G2068" i="5"/>
  <c r="F2069" i="5"/>
  <c r="E2069" i="5"/>
  <c r="G2069" i="5"/>
  <c r="F2070" i="5"/>
  <c r="E2070" i="5"/>
  <c r="G2070" i="5"/>
  <c r="F2071" i="5"/>
  <c r="E2071" i="5"/>
  <c r="G2071" i="5"/>
  <c r="F2072" i="5"/>
  <c r="E2072" i="5"/>
  <c r="G2072" i="5"/>
  <c r="F2073" i="5"/>
  <c r="E2073" i="5"/>
  <c r="G2073" i="5"/>
  <c r="F2074" i="5"/>
  <c r="E2074" i="5"/>
  <c r="G2074" i="5"/>
  <c r="F2075" i="5"/>
  <c r="E2075" i="5"/>
  <c r="G2075" i="5"/>
  <c r="F2076" i="5"/>
  <c r="E2076" i="5"/>
  <c r="G2076" i="5"/>
  <c r="F2077" i="5"/>
  <c r="E2077" i="5"/>
  <c r="G2077" i="5"/>
  <c r="F2078" i="5"/>
  <c r="E2078" i="5"/>
  <c r="G2078" i="5"/>
  <c r="F2079" i="5"/>
  <c r="E2079" i="5"/>
  <c r="G2079" i="5"/>
  <c r="F2080" i="5"/>
  <c r="E2080" i="5"/>
  <c r="G2080" i="5"/>
  <c r="F2081" i="5"/>
  <c r="E2081" i="5"/>
  <c r="G2081" i="5"/>
  <c r="F2082" i="5"/>
  <c r="E2082" i="5"/>
  <c r="G2082" i="5"/>
  <c r="F2083" i="5"/>
  <c r="E2083" i="5"/>
  <c r="G2083" i="5"/>
  <c r="F2084" i="5"/>
  <c r="E2084" i="5"/>
  <c r="G2084" i="5"/>
  <c r="F2085" i="5"/>
  <c r="E2085" i="5"/>
  <c r="G2085" i="5"/>
  <c r="F2086" i="5"/>
  <c r="E2086" i="5"/>
  <c r="G2086" i="5"/>
  <c r="F2087" i="5"/>
  <c r="E2087" i="5"/>
  <c r="G2087" i="5"/>
  <c r="F2088" i="5"/>
  <c r="E2088" i="5"/>
  <c r="G2088" i="5"/>
  <c r="F2089" i="5"/>
  <c r="E2089" i="5"/>
  <c r="G2089" i="5"/>
  <c r="F2090" i="5"/>
  <c r="E2090" i="5"/>
  <c r="G2090" i="5"/>
  <c r="F2091" i="5"/>
  <c r="E2091" i="5"/>
  <c r="G2091" i="5"/>
  <c r="F2092" i="5"/>
  <c r="E2092" i="5"/>
  <c r="G2092" i="5"/>
  <c r="F2093" i="5"/>
  <c r="E2093" i="5"/>
  <c r="G2093" i="5"/>
  <c r="F2094" i="5"/>
  <c r="E2094" i="5"/>
  <c r="G2094" i="5"/>
  <c r="F2095" i="5"/>
  <c r="E2095" i="5"/>
  <c r="G2095" i="5"/>
  <c r="F2096" i="5"/>
  <c r="E2096" i="5"/>
  <c r="G2096" i="5"/>
  <c r="F2097" i="5"/>
  <c r="E2097" i="5"/>
  <c r="G2097" i="5"/>
  <c r="F2098" i="5"/>
  <c r="E2098" i="5"/>
  <c r="G2098" i="5"/>
  <c r="F2099" i="5"/>
  <c r="E2099" i="5"/>
  <c r="G2099" i="5"/>
  <c r="F2100" i="5"/>
  <c r="E2100" i="5"/>
  <c r="G2100" i="5"/>
  <c r="F2101" i="5"/>
  <c r="E2101" i="5"/>
  <c r="G2101" i="5"/>
  <c r="F2102" i="5"/>
  <c r="E2102" i="5"/>
  <c r="G2102" i="5"/>
  <c r="F2103" i="5"/>
  <c r="E2103" i="5"/>
  <c r="G2103" i="5"/>
  <c r="F2104" i="5"/>
  <c r="E2104" i="5"/>
  <c r="G2104" i="5"/>
  <c r="F2105" i="5"/>
  <c r="E2105" i="5"/>
  <c r="G2105" i="5"/>
  <c r="F2106" i="5"/>
  <c r="E2106" i="5"/>
  <c r="G2106" i="5"/>
  <c r="F2107" i="5"/>
  <c r="E2107" i="5"/>
  <c r="G2107" i="5"/>
  <c r="F2108" i="5"/>
  <c r="E2108" i="5"/>
  <c r="G2108" i="5"/>
  <c r="F2109" i="5"/>
  <c r="E2109" i="5"/>
  <c r="G2109" i="5"/>
  <c r="F2110" i="5"/>
  <c r="E2110" i="5"/>
  <c r="G2110" i="5"/>
  <c r="F2111" i="5"/>
  <c r="E2111" i="5"/>
  <c r="G2111" i="5"/>
  <c r="F2112" i="5"/>
  <c r="E2112" i="5"/>
  <c r="G2112" i="5"/>
  <c r="F2113" i="5"/>
  <c r="E2113" i="5"/>
  <c r="G2113" i="5"/>
  <c r="F2114" i="5"/>
  <c r="E2114" i="5"/>
  <c r="G2114" i="5"/>
  <c r="F2115" i="5"/>
  <c r="E2115" i="5"/>
  <c r="G2115" i="5"/>
  <c r="F2116" i="5"/>
  <c r="E2116" i="5"/>
  <c r="G2116" i="5"/>
  <c r="F2117" i="5"/>
  <c r="E2117" i="5"/>
  <c r="G2117" i="5"/>
  <c r="F2118" i="5"/>
  <c r="E2118" i="5"/>
  <c r="G2118" i="5"/>
  <c r="F2119" i="5"/>
  <c r="E2119" i="5"/>
  <c r="G2119" i="5"/>
  <c r="F2120" i="5"/>
  <c r="E2120" i="5"/>
  <c r="G2120" i="5"/>
  <c r="F2121" i="5"/>
  <c r="E2121" i="5"/>
  <c r="G2121" i="5"/>
  <c r="F2122" i="5"/>
  <c r="E2122" i="5"/>
  <c r="G2122" i="5"/>
  <c r="F2123" i="5"/>
  <c r="E2123" i="5"/>
  <c r="G2123" i="5"/>
  <c r="F2124" i="5"/>
  <c r="E2124" i="5"/>
  <c r="G2124" i="5"/>
  <c r="F2125" i="5"/>
  <c r="E2125" i="5"/>
  <c r="G2125" i="5"/>
  <c r="F2126" i="5"/>
  <c r="E2126" i="5"/>
  <c r="G2126" i="5"/>
  <c r="F2127" i="5"/>
  <c r="E2127" i="5"/>
  <c r="G2127" i="5"/>
  <c r="F2128" i="5"/>
  <c r="E2128" i="5"/>
  <c r="G2128" i="5"/>
  <c r="F2129" i="5"/>
  <c r="E2129" i="5"/>
  <c r="G2129" i="5"/>
  <c r="F2130" i="5"/>
  <c r="E2130" i="5"/>
  <c r="G2130" i="5"/>
  <c r="F2131" i="5"/>
  <c r="E2131" i="5"/>
  <c r="G2131" i="5"/>
  <c r="F2132" i="5"/>
  <c r="E2132" i="5"/>
  <c r="G2132" i="5"/>
  <c r="F2133" i="5"/>
  <c r="E2133" i="5"/>
  <c r="G2133" i="5"/>
  <c r="F2134" i="5"/>
  <c r="E2134" i="5"/>
  <c r="G2134" i="5"/>
  <c r="F2135" i="5"/>
  <c r="E2135" i="5"/>
  <c r="G2135" i="5"/>
  <c r="F2136" i="5"/>
  <c r="E2136" i="5"/>
  <c r="G2136" i="5"/>
  <c r="F2137" i="5"/>
  <c r="E2137" i="5"/>
  <c r="G2137" i="5"/>
  <c r="F2138" i="5"/>
  <c r="E2138" i="5"/>
  <c r="G2138" i="5"/>
  <c r="F2139" i="5"/>
  <c r="E2139" i="5"/>
  <c r="G2139" i="5"/>
  <c r="F2140" i="5"/>
  <c r="E2140" i="5"/>
  <c r="G2140" i="5"/>
  <c r="F2141" i="5"/>
  <c r="E2141" i="5"/>
  <c r="G2141" i="5"/>
  <c r="F2142" i="5"/>
  <c r="E2142" i="5"/>
  <c r="G2142" i="5"/>
  <c r="F2143" i="5"/>
  <c r="E2143" i="5"/>
  <c r="G2143" i="5"/>
  <c r="F2144" i="5"/>
  <c r="E2144" i="5"/>
  <c r="G2144" i="5"/>
  <c r="F2145" i="5"/>
  <c r="E2145" i="5"/>
  <c r="G2145" i="5"/>
  <c r="F2146" i="5"/>
  <c r="E2146" i="5"/>
  <c r="G2146" i="5"/>
  <c r="F2147" i="5"/>
  <c r="E2147" i="5"/>
  <c r="G2147" i="5"/>
  <c r="F2148" i="5"/>
  <c r="E2148" i="5"/>
  <c r="G2148" i="5"/>
  <c r="F2149" i="5"/>
  <c r="E2149" i="5"/>
  <c r="G2149" i="5"/>
  <c r="F2150" i="5"/>
  <c r="E2150" i="5"/>
  <c r="G2150" i="5"/>
  <c r="F2151" i="5"/>
  <c r="E2151" i="5"/>
  <c r="G2151" i="5"/>
  <c r="F2152" i="5"/>
  <c r="E2152" i="5"/>
  <c r="G2152" i="5"/>
  <c r="F2153" i="5"/>
  <c r="E2153" i="5"/>
  <c r="G2153" i="5"/>
  <c r="F2154" i="5"/>
  <c r="E2154" i="5"/>
  <c r="G2154" i="5"/>
  <c r="F2155" i="5"/>
  <c r="E2155" i="5"/>
  <c r="G2155" i="5"/>
  <c r="F2156" i="5"/>
  <c r="E2156" i="5"/>
  <c r="G2156" i="5"/>
  <c r="F2157" i="5"/>
  <c r="E2157" i="5"/>
  <c r="G2157" i="5"/>
  <c r="F2158" i="5"/>
  <c r="E2158" i="5"/>
  <c r="G2158" i="5"/>
  <c r="F2159" i="5"/>
  <c r="E2159" i="5"/>
  <c r="G2159" i="5"/>
  <c r="F2160" i="5"/>
  <c r="E2160" i="5"/>
  <c r="G2160" i="5"/>
  <c r="F2161" i="5"/>
  <c r="E2161" i="5"/>
  <c r="G2161" i="5"/>
  <c r="F2162" i="5"/>
  <c r="E2162" i="5"/>
  <c r="G2162" i="5"/>
  <c r="F2163" i="5"/>
  <c r="E2163" i="5"/>
  <c r="G2163" i="5"/>
  <c r="F2164" i="5"/>
  <c r="E2164" i="5"/>
  <c r="G2164" i="5"/>
  <c r="F2165" i="5"/>
  <c r="E2165" i="5"/>
  <c r="G2165" i="5"/>
  <c r="F2166" i="5"/>
  <c r="E2166" i="5"/>
  <c r="G2166" i="5"/>
  <c r="F2167" i="5"/>
  <c r="E2167" i="5"/>
  <c r="G2167" i="5"/>
  <c r="F2168" i="5"/>
  <c r="E2168" i="5"/>
  <c r="G2168" i="5"/>
  <c r="F2169" i="5"/>
  <c r="E2169" i="5"/>
  <c r="G2169" i="5"/>
  <c r="F2170" i="5"/>
  <c r="E2170" i="5"/>
  <c r="G2170" i="5"/>
  <c r="F2171" i="5"/>
  <c r="E2171" i="5"/>
  <c r="G2171" i="5"/>
  <c r="F2172" i="5"/>
  <c r="E2172" i="5"/>
  <c r="G2172" i="5"/>
  <c r="F2173" i="5"/>
  <c r="E2173" i="5"/>
  <c r="G2173" i="5"/>
  <c r="F2174" i="5"/>
  <c r="E2174" i="5"/>
  <c r="G2174" i="5"/>
  <c r="F2175" i="5"/>
  <c r="E2175" i="5"/>
  <c r="G2175" i="5"/>
  <c r="F2176" i="5"/>
  <c r="E2176" i="5"/>
  <c r="G2176" i="5"/>
  <c r="F2177" i="5"/>
  <c r="E2177" i="5"/>
  <c r="G2177" i="5"/>
  <c r="F2178" i="5"/>
  <c r="E2178" i="5"/>
  <c r="G2178" i="5"/>
  <c r="F2179" i="5"/>
  <c r="E2179" i="5"/>
  <c r="G2179" i="5"/>
  <c r="F2180" i="5"/>
  <c r="E2180" i="5"/>
  <c r="G2180" i="5"/>
  <c r="F2181" i="5"/>
  <c r="E2181" i="5"/>
  <c r="G2181" i="5"/>
  <c r="F2182" i="5"/>
  <c r="E2182" i="5"/>
  <c r="G2182" i="5"/>
  <c r="F2183" i="5"/>
  <c r="E2183" i="5"/>
  <c r="G2183" i="5"/>
  <c r="F2184" i="5"/>
  <c r="E2184" i="5"/>
  <c r="G2184" i="5"/>
  <c r="F2185" i="5"/>
  <c r="E2185" i="5"/>
  <c r="G2185" i="5"/>
  <c r="F2186" i="5"/>
  <c r="E2186" i="5"/>
  <c r="G2186" i="5"/>
  <c r="F2187" i="5"/>
  <c r="E2187" i="5"/>
  <c r="G2187" i="5"/>
  <c r="F2188" i="5"/>
  <c r="E2188" i="5"/>
  <c r="G2188" i="5"/>
  <c r="F2189" i="5"/>
  <c r="E2189" i="5"/>
  <c r="G2189" i="5"/>
  <c r="F2190" i="5"/>
  <c r="E2190" i="5"/>
  <c r="G2190" i="5"/>
  <c r="F2191" i="5"/>
  <c r="E2191" i="5"/>
  <c r="G2191" i="5"/>
  <c r="F2192" i="5"/>
  <c r="E2192" i="5"/>
  <c r="G2192" i="5"/>
  <c r="F2193" i="5"/>
  <c r="E2193" i="5"/>
  <c r="G2193" i="5"/>
  <c r="F2194" i="5"/>
  <c r="E2194" i="5"/>
  <c r="G2194" i="5"/>
  <c r="F2195" i="5"/>
  <c r="E2195" i="5"/>
  <c r="G2195" i="5"/>
  <c r="F2196" i="5"/>
  <c r="E2196" i="5"/>
  <c r="G2196" i="5"/>
  <c r="F2197" i="5"/>
  <c r="E2197" i="5"/>
  <c r="G2197" i="5"/>
  <c r="F2198" i="5"/>
  <c r="E2198" i="5"/>
  <c r="G2198" i="5"/>
  <c r="F2199" i="5"/>
  <c r="E2199" i="5"/>
  <c r="G2199" i="5"/>
  <c r="F2200" i="5"/>
  <c r="E2200" i="5"/>
  <c r="G2200" i="5"/>
  <c r="F2201" i="5"/>
  <c r="E2201" i="5"/>
  <c r="G2201" i="5"/>
  <c r="F2202" i="5"/>
  <c r="E2202" i="5"/>
  <c r="G2202" i="5"/>
  <c r="F2203" i="5"/>
  <c r="E2203" i="5"/>
  <c r="G2203" i="5"/>
  <c r="F2204" i="5"/>
  <c r="E2204" i="5"/>
  <c r="G2204" i="5"/>
  <c r="F2205" i="5"/>
  <c r="E2205" i="5"/>
  <c r="G2205" i="5"/>
  <c r="F2206" i="5"/>
  <c r="E2206" i="5"/>
  <c r="G2206" i="5"/>
  <c r="F2207" i="5"/>
  <c r="E2207" i="5"/>
  <c r="G2207" i="5"/>
  <c r="F2208" i="5"/>
  <c r="E2208" i="5"/>
  <c r="G2208" i="5"/>
  <c r="F2209" i="5"/>
  <c r="E2209" i="5"/>
  <c r="G2209" i="5"/>
  <c r="F2210" i="5"/>
  <c r="E2210" i="5"/>
  <c r="G2210" i="5"/>
  <c r="F2211" i="5"/>
  <c r="E2211" i="5"/>
  <c r="G2211" i="5"/>
  <c r="F2212" i="5"/>
  <c r="E2212" i="5"/>
  <c r="G2212" i="5"/>
  <c r="F2213" i="5"/>
  <c r="E2213" i="5"/>
  <c r="G2213" i="5"/>
  <c r="F2214" i="5"/>
  <c r="E2214" i="5"/>
  <c r="G2214" i="5"/>
  <c r="F2215" i="5"/>
  <c r="E2215" i="5"/>
  <c r="G2215" i="5"/>
  <c r="F2216" i="5"/>
  <c r="E2216" i="5"/>
  <c r="G2216" i="5"/>
  <c r="F2217" i="5"/>
  <c r="E2217" i="5"/>
  <c r="G2217" i="5"/>
  <c r="F2218" i="5"/>
  <c r="E2218" i="5"/>
  <c r="G2218" i="5"/>
  <c r="F2219" i="5"/>
  <c r="E2219" i="5"/>
  <c r="G2219" i="5"/>
  <c r="F2220" i="5"/>
  <c r="E2220" i="5"/>
  <c r="G2220" i="5"/>
  <c r="F2221" i="5"/>
  <c r="E2221" i="5"/>
  <c r="G2221" i="5"/>
  <c r="F2222" i="5"/>
  <c r="E2222" i="5"/>
  <c r="G2222" i="5"/>
  <c r="F2223" i="5"/>
  <c r="E2223" i="5"/>
  <c r="G2223" i="5"/>
  <c r="F2224" i="5"/>
  <c r="E2224" i="5"/>
  <c r="G2224" i="5"/>
  <c r="F2225" i="5"/>
  <c r="E2225" i="5"/>
  <c r="G2225" i="5"/>
  <c r="F2226" i="5"/>
  <c r="E2226" i="5"/>
  <c r="G2226" i="5"/>
  <c r="F2227" i="5"/>
  <c r="E2227" i="5"/>
  <c r="G2227" i="5"/>
  <c r="F2228" i="5"/>
  <c r="E2228" i="5"/>
  <c r="G2228" i="5"/>
  <c r="F2229" i="5"/>
  <c r="E2229" i="5"/>
  <c r="G2229" i="5"/>
  <c r="F2230" i="5"/>
  <c r="E2230" i="5"/>
  <c r="G2230" i="5"/>
  <c r="F2231" i="5"/>
  <c r="E2231" i="5"/>
  <c r="G2231" i="5"/>
  <c r="F2232" i="5"/>
  <c r="E2232" i="5"/>
  <c r="G2232" i="5"/>
  <c r="F2233" i="5"/>
  <c r="E2233" i="5"/>
  <c r="G2233" i="5"/>
  <c r="F2234" i="5"/>
  <c r="E2234" i="5"/>
  <c r="G2234" i="5"/>
  <c r="F2235" i="5"/>
  <c r="E2235" i="5"/>
  <c r="G2235" i="5"/>
  <c r="F2236" i="5"/>
  <c r="E2236" i="5"/>
  <c r="G2236" i="5"/>
  <c r="F2237" i="5"/>
  <c r="E2237" i="5"/>
  <c r="G2237" i="5"/>
  <c r="F2238" i="5"/>
  <c r="E2238" i="5"/>
  <c r="G2238" i="5"/>
  <c r="F2239" i="5"/>
  <c r="E2239" i="5"/>
  <c r="G2239" i="5"/>
  <c r="F2240" i="5"/>
  <c r="E2240" i="5"/>
  <c r="G2240" i="5"/>
  <c r="F2241" i="5"/>
  <c r="E2241" i="5"/>
  <c r="G2241" i="5"/>
  <c r="F2242" i="5"/>
  <c r="E2242" i="5"/>
  <c r="G2242" i="5"/>
  <c r="F2243" i="5"/>
  <c r="E2243" i="5"/>
  <c r="G2243" i="5"/>
  <c r="F2244" i="5"/>
  <c r="E2244" i="5"/>
  <c r="G2244" i="5"/>
  <c r="F2245" i="5"/>
  <c r="E2245" i="5"/>
  <c r="G2245" i="5"/>
  <c r="F2246" i="5"/>
  <c r="E2246" i="5"/>
  <c r="G2246" i="5"/>
  <c r="F2247" i="5"/>
  <c r="E2247" i="5"/>
  <c r="G2247" i="5"/>
  <c r="F2248" i="5"/>
  <c r="E2248" i="5"/>
  <c r="G2248" i="5"/>
  <c r="F2249" i="5"/>
  <c r="E2249" i="5"/>
  <c r="G2249" i="5"/>
  <c r="F2250" i="5"/>
  <c r="E2250" i="5"/>
  <c r="G2250" i="5"/>
  <c r="F2251" i="5"/>
  <c r="E2251" i="5"/>
  <c r="G2251" i="5"/>
  <c r="F2252" i="5"/>
  <c r="E2252" i="5"/>
  <c r="G2252" i="5"/>
  <c r="F2253" i="5"/>
  <c r="E2253" i="5"/>
  <c r="G2253" i="5"/>
  <c r="F2254" i="5"/>
  <c r="E2254" i="5"/>
  <c r="G2254" i="5"/>
  <c r="F2255" i="5"/>
  <c r="E2255" i="5"/>
  <c r="G2255" i="5"/>
  <c r="F2256" i="5"/>
  <c r="E2256" i="5"/>
  <c r="G2256" i="5"/>
  <c r="F2257" i="5"/>
  <c r="E2257" i="5"/>
  <c r="G2257" i="5"/>
  <c r="F2258" i="5"/>
  <c r="E2258" i="5"/>
  <c r="G2258" i="5"/>
  <c r="F2259" i="5"/>
  <c r="E2259" i="5"/>
  <c r="G2259" i="5"/>
  <c r="F2260" i="5"/>
  <c r="E2260" i="5"/>
  <c r="G2260" i="5"/>
  <c r="F2261" i="5"/>
  <c r="E2261" i="5"/>
  <c r="G2261" i="5"/>
  <c r="F2262" i="5"/>
  <c r="E2262" i="5"/>
  <c r="G2262" i="5"/>
  <c r="F2263" i="5"/>
  <c r="E2263" i="5"/>
  <c r="G2263" i="5"/>
  <c r="F2264" i="5"/>
  <c r="E2264" i="5"/>
  <c r="G2264" i="5"/>
  <c r="F2265" i="5"/>
  <c r="E2265" i="5"/>
  <c r="G2265" i="5"/>
  <c r="F2266" i="5"/>
  <c r="E2266" i="5"/>
  <c r="G2266" i="5"/>
  <c r="F2267" i="5"/>
  <c r="E2267" i="5"/>
  <c r="G2267" i="5"/>
  <c r="F2268" i="5"/>
  <c r="E2268" i="5"/>
  <c r="G2268" i="5"/>
  <c r="F2269" i="5"/>
  <c r="E2269" i="5"/>
  <c r="G2269" i="5"/>
  <c r="F2270" i="5"/>
  <c r="E2270" i="5"/>
  <c r="G2270" i="5"/>
  <c r="F2271" i="5"/>
  <c r="E2271" i="5"/>
  <c r="G2271" i="5"/>
  <c r="F2272" i="5"/>
  <c r="E2272" i="5"/>
  <c r="G2272" i="5"/>
  <c r="F2273" i="5"/>
  <c r="E2273" i="5"/>
  <c r="G2273" i="5"/>
  <c r="F2274" i="5"/>
  <c r="E2274" i="5"/>
  <c r="G2274" i="5"/>
  <c r="F2275" i="5"/>
  <c r="E2275" i="5"/>
  <c r="G2275" i="5"/>
  <c r="F2276" i="5"/>
  <c r="E2276" i="5"/>
  <c r="G2276" i="5"/>
  <c r="F2277" i="5"/>
  <c r="E2277" i="5"/>
  <c r="G2277" i="5"/>
  <c r="F2278" i="5"/>
  <c r="E2278" i="5"/>
  <c r="G2278" i="5"/>
  <c r="F2279" i="5"/>
  <c r="E2279" i="5"/>
  <c r="G2279" i="5"/>
  <c r="F2280" i="5"/>
  <c r="E2280" i="5"/>
  <c r="G2280" i="5"/>
  <c r="F2281" i="5"/>
  <c r="E2281" i="5"/>
  <c r="G2281" i="5"/>
  <c r="F2282" i="5"/>
  <c r="E2282" i="5"/>
  <c r="G2282" i="5"/>
  <c r="F2283" i="5"/>
  <c r="E2283" i="5"/>
  <c r="G2283" i="5"/>
  <c r="F2284" i="5"/>
  <c r="E2284" i="5"/>
  <c r="G2284" i="5"/>
  <c r="F2285" i="5"/>
  <c r="E2285" i="5"/>
  <c r="G2285" i="5"/>
  <c r="F2286" i="5"/>
  <c r="E2286" i="5"/>
  <c r="G2286" i="5"/>
  <c r="F2287" i="5"/>
  <c r="E2287" i="5"/>
  <c r="G2287" i="5"/>
  <c r="F2288" i="5"/>
  <c r="E2288" i="5"/>
  <c r="G2288" i="5"/>
  <c r="F2289" i="5"/>
  <c r="E2289" i="5"/>
  <c r="G2289" i="5"/>
  <c r="F2290" i="5"/>
  <c r="E2290" i="5"/>
  <c r="G2290" i="5"/>
  <c r="F2291" i="5"/>
  <c r="E2291" i="5"/>
  <c r="G2291" i="5"/>
  <c r="F2292" i="5"/>
  <c r="E2292" i="5"/>
  <c r="G2292" i="5"/>
  <c r="F2293" i="5"/>
  <c r="E2293" i="5"/>
  <c r="G2293" i="5"/>
  <c r="F2294" i="5"/>
  <c r="E2294" i="5"/>
  <c r="G2294" i="5"/>
  <c r="F2295" i="5"/>
  <c r="E2295" i="5"/>
  <c r="G2295" i="5"/>
  <c r="F2296" i="5"/>
  <c r="E2296" i="5"/>
  <c r="G2296" i="5"/>
  <c r="F2297" i="5"/>
  <c r="E2297" i="5"/>
  <c r="G2297" i="5"/>
  <c r="F2298" i="5"/>
  <c r="E2298" i="5"/>
  <c r="G2298" i="5"/>
  <c r="F2299" i="5"/>
  <c r="E2299" i="5"/>
  <c r="G2299" i="5"/>
  <c r="F2300" i="5"/>
  <c r="E2300" i="5"/>
  <c r="G2300" i="5"/>
  <c r="F2301" i="5"/>
  <c r="E2301" i="5"/>
  <c r="G2301" i="5"/>
  <c r="F2302" i="5"/>
  <c r="E2302" i="5"/>
  <c r="G2302" i="5"/>
  <c r="F2303" i="5"/>
  <c r="E2303" i="5"/>
  <c r="G2303" i="5"/>
  <c r="F2304" i="5"/>
  <c r="E2304" i="5"/>
  <c r="G2304" i="5"/>
  <c r="F2305" i="5"/>
  <c r="E2305" i="5"/>
  <c r="G2305" i="5"/>
  <c r="F2306" i="5"/>
  <c r="E2306" i="5"/>
  <c r="G2306" i="5"/>
  <c r="F2307" i="5"/>
  <c r="E2307" i="5"/>
  <c r="G2307" i="5"/>
  <c r="F2308" i="5"/>
  <c r="E2308" i="5"/>
  <c r="G2308" i="5"/>
  <c r="F2309" i="5"/>
  <c r="E2309" i="5"/>
  <c r="G2309" i="5"/>
  <c r="F2310" i="5"/>
  <c r="E2310" i="5"/>
  <c r="G2310" i="5"/>
  <c r="F2311" i="5"/>
  <c r="E2311" i="5"/>
  <c r="G2311" i="5"/>
  <c r="F2312" i="5"/>
  <c r="E2312" i="5"/>
  <c r="G2312" i="5"/>
  <c r="F2313" i="5"/>
  <c r="E2313" i="5"/>
  <c r="G2313" i="5"/>
  <c r="F2314" i="5"/>
  <c r="E2314" i="5"/>
  <c r="G2314" i="5"/>
  <c r="F2315" i="5"/>
  <c r="E2315" i="5"/>
  <c r="G2315" i="5"/>
  <c r="F2316" i="5"/>
  <c r="E2316" i="5"/>
  <c r="G2316" i="5"/>
  <c r="F2317" i="5"/>
  <c r="E2317" i="5"/>
  <c r="G2317" i="5"/>
  <c r="F2318" i="5"/>
  <c r="E2318" i="5"/>
  <c r="G2318" i="5"/>
  <c r="F2319" i="5"/>
  <c r="E2319" i="5"/>
  <c r="G2319" i="5"/>
  <c r="F2320" i="5"/>
  <c r="E2320" i="5"/>
  <c r="G2320" i="5"/>
  <c r="F2321" i="5"/>
  <c r="E2321" i="5"/>
  <c r="G2321" i="5"/>
  <c r="F2322" i="5"/>
  <c r="E2322" i="5"/>
  <c r="G2322" i="5"/>
  <c r="F2323" i="5"/>
  <c r="E2323" i="5"/>
  <c r="G2323" i="5"/>
  <c r="F2324" i="5"/>
  <c r="E2324" i="5"/>
  <c r="G2324" i="5"/>
  <c r="F2325" i="5"/>
  <c r="E2325" i="5"/>
  <c r="G2325" i="5"/>
  <c r="F2326" i="5"/>
  <c r="E2326" i="5"/>
  <c r="G2326" i="5"/>
  <c r="F2327" i="5"/>
  <c r="E2327" i="5"/>
  <c r="G2327" i="5"/>
  <c r="F2328" i="5"/>
  <c r="E2328" i="5"/>
  <c r="G2328" i="5"/>
  <c r="F2329" i="5"/>
  <c r="E2329" i="5"/>
  <c r="G2329" i="5"/>
  <c r="F2330" i="5"/>
  <c r="E2330" i="5"/>
  <c r="G2330" i="5"/>
  <c r="F2331" i="5"/>
  <c r="E2331" i="5"/>
  <c r="G2331" i="5"/>
  <c r="F2332" i="5"/>
  <c r="E2332" i="5"/>
  <c r="G2332" i="5"/>
  <c r="F2333" i="5"/>
  <c r="E2333" i="5"/>
  <c r="G2333" i="5"/>
  <c r="F2334" i="5"/>
  <c r="E2334" i="5"/>
  <c r="G2334" i="5"/>
  <c r="F2335" i="5"/>
  <c r="E2335" i="5"/>
  <c r="G2335" i="5"/>
  <c r="F2336" i="5"/>
  <c r="E2336" i="5"/>
  <c r="G2336" i="5"/>
  <c r="F2337" i="5"/>
  <c r="E2337" i="5"/>
  <c r="G2337" i="5"/>
  <c r="F2338" i="5"/>
  <c r="E2338" i="5"/>
  <c r="G2338" i="5"/>
  <c r="F2339" i="5"/>
  <c r="E2339" i="5"/>
  <c r="G2339" i="5"/>
  <c r="F2340" i="5"/>
  <c r="E2340" i="5"/>
  <c r="G2340" i="5"/>
  <c r="F2341" i="5"/>
  <c r="E2341" i="5"/>
  <c r="G2341" i="5"/>
  <c r="F2342" i="5"/>
  <c r="E2342" i="5"/>
  <c r="G2342" i="5"/>
  <c r="F2343" i="5"/>
  <c r="E2343" i="5"/>
  <c r="G2343" i="5"/>
  <c r="F2344" i="5"/>
  <c r="E2344" i="5"/>
  <c r="G2344" i="5"/>
  <c r="F2345" i="5"/>
  <c r="E2345" i="5"/>
  <c r="G2345" i="5"/>
  <c r="F2346" i="5"/>
  <c r="E2346" i="5"/>
  <c r="G2346" i="5"/>
  <c r="F2347" i="5"/>
  <c r="E2347" i="5"/>
  <c r="G2347" i="5"/>
  <c r="F2348" i="5"/>
  <c r="E2348" i="5"/>
  <c r="G2348" i="5"/>
  <c r="F2349" i="5"/>
  <c r="E2349" i="5"/>
  <c r="G2349" i="5"/>
  <c r="F2350" i="5"/>
  <c r="E2350" i="5"/>
  <c r="G2350" i="5"/>
  <c r="F2351" i="5"/>
  <c r="E2351" i="5"/>
  <c r="G2351" i="5"/>
  <c r="F2352" i="5"/>
  <c r="E2352" i="5"/>
  <c r="G2352" i="5"/>
  <c r="F2353" i="5"/>
  <c r="E2353" i="5"/>
  <c r="G2353" i="5"/>
  <c r="F2354" i="5"/>
  <c r="E2354" i="5"/>
  <c r="G2354" i="5"/>
  <c r="F2355" i="5"/>
  <c r="E2355" i="5"/>
  <c r="G2355" i="5"/>
  <c r="F2356" i="5"/>
  <c r="E2356" i="5"/>
  <c r="G2356" i="5"/>
  <c r="F2357" i="5"/>
  <c r="E2357" i="5"/>
  <c r="G2357" i="5"/>
  <c r="F2358" i="5"/>
  <c r="E2358" i="5"/>
  <c r="G2358" i="5"/>
  <c r="F2359" i="5"/>
  <c r="E2359" i="5"/>
  <c r="G2359" i="5"/>
  <c r="F2360" i="5"/>
  <c r="E2360" i="5"/>
  <c r="G2360" i="5"/>
  <c r="F2361" i="5"/>
  <c r="E2361" i="5"/>
  <c r="G2361" i="5"/>
  <c r="F2362" i="5"/>
  <c r="E2362" i="5"/>
  <c r="G2362" i="5"/>
  <c r="F2363" i="5"/>
  <c r="E2363" i="5"/>
  <c r="G2363" i="5"/>
  <c r="F2364" i="5"/>
  <c r="E2364" i="5"/>
  <c r="G2364" i="5"/>
  <c r="F2365" i="5"/>
  <c r="E2365" i="5"/>
  <c r="G2365" i="5"/>
  <c r="F2366" i="5"/>
  <c r="E2366" i="5"/>
  <c r="G2366" i="5"/>
  <c r="F2367" i="5"/>
  <c r="E2367" i="5"/>
  <c r="G2367" i="5"/>
  <c r="F2368" i="5"/>
  <c r="E2368" i="5"/>
  <c r="G2368" i="5"/>
  <c r="F2369" i="5"/>
  <c r="E2369" i="5"/>
  <c r="G2369" i="5"/>
  <c r="F2370" i="5"/>
  <c r="E2370" i="5"/>
  <c r="G2370" i="5"/>
  <c r="F2371" i="5"/>
  <c r="E2371" i="5"/>
  <c r="G2371" i="5"/>
  <c r="F2372" i="5"/>
  <c r="E2372" i="5"/>
  <c r="G2372" i="5"/>
  <c r="F2373" i="5"/>
  <c r="E2373" i="5"/>
  <c r="G2373" i="5"/>
  <c r="F2374" i="5"/>
  <c r="E2374" i="5"/>
  <c r="G2374" i="5"/>
  <c r="F2375" i="5"/>
  <c r="E2375" i="5"/>
  <c r="G2375" i="5"/>
  <c r="F2376" i="5"/>
  <c r="E2376" i="5"/>
  <c r="G2376" i="5"/>
  <c r="F2377" i="5"/>
  <c r="E2377" i="5"/>
  <c r="G2377" i="5"/>
  <c r="F2378" i="5"/>
  <c r="E2378" i="5"/>
  <c r="G2378" i="5"/>
  <c r="F2379" i="5"/>
  <c r="E2379" i="5"/>
  <c r="G2379" i="5"/>
  <c r="F2380" i="5"/>
  <c r="E2380" i="5"/>
  <c r="G2380" i="5"/>
  <c r="F2381" i="5"/>
  <c r="E2381" i="5"/>
  <c r="G2381" i="5"/>
  <c r="F2382" i="5"/>
  <c r="E2382" i="5"/>
  <c r="G2382" i="5"/>
  <c r="F2383" i="5"/>
  <c r="E2383" i="5"/>
  <c r="G2383" i="5"/>
  <c r="F2384" i="5"/>
  <c r="E2384" i="5"/>
  <c r="G2384" i="5"/>
  <c r="F2385" i="5"/>
  <c r="E2385" i="5"/>
  <c r="G2385" i="5"/>
  <c r="F2386" i="5"/>
  <c r="E2386" i="5"/>
  <c r="G2386" i="5"/>
  <c r="F2387" i="5"/>
  <c r="E2387" i="5"/>
  <c r="G2387" i="5"/>
  <c r="F2388" i="5"/>
  <c r="E2388" i="5"/>
  <c r="G2388" i="5"/>
  <c r="F2389" i="5"/>
  <c r="E2389" i="5"/>
  <c r="G2389" i="5"/>
  <c r="F2390" i="5"/>
  <c r="E2390" i="5"/>
  <c r="G2390" i="5"/>
  <c r="F2391" i="5"/>
  <c r="E2391" i="5"/>
  <c r="G2391" i="5"/>
  <c r="F2392" i="5"/>
  <c r="E2392" i="5"/>
  <c r="G2392" i="5"/>
  <c r="F2393" i="5"/>
  <c r="E2393" i="5"/>
  <c r="G2393" i="5"/>
  <c r="F2394" i="5"/>
  <c r="E2394" i="5"/>
  <c r="G2394" i="5"/>
  <c r="F2395" i="5"/>
  <c r="E2395" i="5"/>
  <c r="G2395" i="5"/>
  <c r="F2396" i="5"/>
  <c r="E2396" i="5"/>
  <c r="G2396" i="5"/>
  <c r="F2397" i="5"/>
  <c r="E2397" i="5"/>
  <c r="G2397" i="5"/>
  <c r="F2398" i="5"/>
  <c r="E2398" i="5"/>
  <c r="G2398" i="5"/>
  <c r="F2399" i="5"/>
  <c r="E2399" i="5"/>
  <c r="G2399" i="5"/>
  <c r="F2400" i="5"/>
  <c r="E2400" i="5"/>
  <c r="G2400" i="5"/>
  <c r="F2401" i="5"/>
  <c r="E2401" i="5"/>
  <c r="G2401" i="5"/>
  <c r="F2402" i="5"/>
  <c r="E2402" i="5"/>
  <c r="G2402" i="5"/>
  <c r="F2403" i="5"/>
  <c r="E2403" i="5"/>
  <c r="G2403" i="5"/>
  <c r="F2404" i="5"/>
  <c r="E2404" i="5"/>
  <c r="G2404" i="5"/>
  <c r="F2405" i="5"/>
  <c r="E2405" i="5"/>
  <c r="G2405" i="5"/>
  <c r="F2406" i="5"/>
  <c r="E2406" i="5"/>
  <c r="G2406" i="5"/>
  <c r="F2407" i="5"/>
  <c r="E2407" i="5"/>
  <c r="G2407" i="5"/>
  <c r="F2408" i="5"/>
  <c r="E2408" i="5"/>
  <c r="G2408" i="5"/>
  <c r="F2409" i="5"/>
  <c r="E2409" i="5"/>
  <c r="G2409" i="5"/>
  <c r="F2410" i="5"/>
  <c r="E2410" i="5"/>
  <c r="G2410" i="5"/>
  <c r="F2411" i="5"/>
  <c r="E2411" i="5"/>
  <c r="G2411" i="5"/>
  <c r="F2412" i="5"/>
  <c r="E2412" i="5"/>
  <c r="G2412" i="5"/>
  <c r="F2413" i="5"/>
  <c r="E2413" i="5"/>
  <c r="G2413" i="5"/>
  <c r="F2414" i="5"/>
  <c r="E2414" i="5"/>
  <c r="G2414" i="5"/>
  <c r="F2415" i="5"/>
  <c r="E2415" i="5"/>
  <c r="G2415" i="5"/>
  <c r="F2416" i="5"/>
  <c r="E2416" i="5"/>
  <c r="G2416" i="5"/>
  <c r="F2417" i="5"/>
  <c r="E2417" i="5"/>
  <c r="G2417" i="5"/>
  <c r="F2418" i="5"/>
  <c r="E2418" i="5"/>
  <c r="G2418" i="5"/>
  <c r="F2419" i="5"/>
  <c r="E2419" i="5"/>
  <c r="G2419" i="5"/>
  <c r="F2420" i="5"/>
  <c r="E2420" i="5"/>
  <c r="G2420" i="5"/>
  <c r="F2421" i="5"/>
  <c r="E2421" i="5"/>
  <c r="G2421" i="5"/>
  <c r="F2422" i="5"/>
  <c r="E2422" i="5"/>
  <c r="G2422" i="5"/>
  <c r="F2423" i="5"/>
  <c r="E2423" i="5"/>
  <c r="G2423" i="5"/>
  <c r="F2424" i="5"/>
  <c r="E2424" i="5"/>
  <c r="G2424" i="5"/>
  <c r="F2425" i="5"/>
  <c r="E2425" i="5"/>
  <c r="G2425" i="5"/>
  <c r="F2426" i="5"/>
  <c r="E2426" i="5"/>
  <c r="G2426" i="5"/>
  <c r="F2427" i="5"/>
  <c r="E2427" i="5"/>
  <c r="G2427" i="5"/>
  <c r="F2428" i="5"/>
  <c r="E2428" i="5"/>
  <c r="G2428" i="5"/>
  <c r="F2429" i="5"/>
  <c r="E2429" i="5"/>
  <c r="G2429" i="5"/>
  <c r="F2430" i="5"/>
  <c r="E2430" i="5"/>
  <c r="G2430" i="5"/>
  <c r="F2431" i="5"/>
  <c r="E2431" i="5"/>
  <c r="G2431" i="5"/>
  <c r="F2432" i="5"/>
  <c r="E2432" i="5"/>
  <c r="G2432" i="5"/>
  <c r="F2433" i="5"/>
  <c r="E2433" i="5"/>
  <c r="G2433" i="5"/>
  <c r="F2434" i="5"/>
  <c r="E2434" i="5"/>
  <c r="G2434" i="5"/>
  <c r="F2435" i="5"/>
  <c r="E2435" i="5"/>
  <c r="G2435" i="5"/>
  <c r="F2436" i="5"/>
  <c r="E2436" i="5"/>
  <c r="G2436" i="5"/>
  <c r="F2437" i="5"/>
  <c r="E2437" i="5"/>
  <c r="G2437" i="5"/>
  <c r="F2438" i="5"/>
  <c r="E2438" i="5"/>
  <c r="G2438" i="5"/>
  <c r="F2439" i="5"/>
  <c r="E2439" i="5"/>
  <c r="G2439" i="5"/>
  <c r="F2440" i="5"/>
  <c r="E2440" i="5"/>
  <c r="G2440" i="5"/>
  <c r="F2441" i="5"/>
  <c r="E2441" i="5"/>
  <c r="G2441" i="5"/>
  <c r="F2442" i="5"/>
  <c r="E2442" i="5"/>
  <c r="G2442" i="5"/>
  <c r="F2443" i="5"/>
  <c r="E2443" i="5"/>
  <c r="G2443" i="5"/>
  <c r="F2444" i="5"/>
  <c r="E2444" i="5"/>
  <c r="G2444" i="5"/>
  <c r="F2445" i="5"/>
  <c r="E2445" i="5"/>
  <c r="G2445" i="5"/>
  <c r="F2446" i="5"/>
  <c r="E2446" i="5"/>
  <c r="G2446" i="5"/>
  <c r="F2447" i="5"/>
  <c r="E2447" i="5"/>
  <c r="G2447" i="5"/>
  <c r="F2448" i="5"/>
  <c r="E2448" i="5"/>
  <c r="G2448" i="5"/>
  <c r="F2449" i="5"/>
  <c r="E2449" i="5"/>
  <c r="G2449" i="5"/>
  <c r="F2450" i="5"/>
  <c r="E2450" i="5"/>
  <c r="G2450" i="5"/>
  <c r="F2451" i="5"/>
  <c r="E2451" i="5"/>
  <c r="G2451" i="5"/>
  <c r="F2452" i="5"/>
  <c r="E2452" i="5"/>
  <c r="G2452" i="5"/>
  <c r="F2453" i="5"/>
  <c r="E2453" i="5"/>
  <c r="G2453" i="5"/>
  <c r="F2454" i="5"/>
  <c r="E2454" i="5"/>
  <c r="G2454" i="5"/>
  <c r="F2455" i="5"/>
  <c r="E2455" i="5"/>
  <c r="G2455" i="5"/>
  <c r="F2456" i="5"/>
  <c r="E2456" i="5"/>
  <c r="G2456" i="5"/>
  <c r="F2457" i="5"/>
  <c r="E2457" i="5"/>
  <c r="G2457" i="5"/>
  <c r="F2458" i="5"/>
  <c r="E2458" i="5"/>
  <c r="G2458" i="5"/>
  <c r="F2459" i="5"/>
  <c r="E2459" i="5"/>
  <c r="G2459" i="5"/>
  <c r="F2460" i="5"/>
  <c r="E2460" i="5"/>
  <c r="G2460" i="5"/>
  <c r="F2461" i="5"/>
  <c r="E2461" i="5"/>
  <c r="G2461" i="5"/>
  <c r="F2462" i="5"/>
  <c r="E2462" i="5"/>
  <c r="G2462" i="5"/>
  <c r="F2463" i="5"/>
  <c r="E2463" i="5"/>
  <c r="G2463" i="5"/>
  <c r="F2464" i="5"/>
  <c r="E2464" i="5"/>
  <c r="G2464" i="5"/>
  <c r="F2465" i="5"/>
  <c r="E2465" i="5"/>
  <c r="G2465" i="5"/>
  <c r="F2466" i="5"/>
  <c r="E2466" i="5"/>
  <c r="G2466" i="5"/>
  <c r="F2467" i="5"/>
  <c r="E2467" i="5"/>
  <c r="G2467" i="5"/>
  <c r="F2468" i="5"/>
  <c r="E2468" i="5"/>
  <c r="G2468" i="5"/>
  <c r="F2469" i="5"/>
  <c r="E2469" i="5"/>
  <c r="G2469" i="5"/>
  <c r="F2470" i="5"/>
  <c r="E2470" i="5"/>
  <c r="G2470" i="5"/>
  <c r="F2471" i="5"/>
  <c r="E2471" i="5"/>
  <c r="G2471" i="5"/>
  <c r="F2472" i="5"/>
  <c r="E2472" i="5"/>
  <c r="G2472" i="5"/>
  <c r="F2473" i="5"/>
  <c r="E2473" i="5"/>
  <c r="G2473" i="5"/>
  <c r="F2474" i="5"/>
  <c r="E2474" i="5"/>
  <c r="G2474" i="5"/>
  <c r="F2475" i="5"/>
  <c r="E2475" i="5"/>
  <c r="G2475" i="5"/>
  <c r="F2476" i="5"/>
  <c r="E2476" i="5"/>
  <c r="G2476" i="5"/>
  <c r="F2477" i="5"/>
  <c r="E2477" i="5"/>
  <c r="G2477" i="5"/>
  <c r="F2478" i="5"/>
  <c r="E2478" i="5"/>
  <c r="G2478" i="5"/>
  <c r="F2479" i="5"/>
  <c r="E2479" i="5"/>
  <c r="G2479" i="5"/>
  <c r="F2480" i="5"/>
  <c r="E2480" i="5"/>
  <c r="G2480" i="5"/>
  <c r="F2481" i="5"/>
  <c r="E2481" i="5"/>
  <c r="G2481" i="5"/>
  <c r="F2482" i="5"/>
  <c r="E2482" i="5"/>
  <c r="G2482" i="5"/>
  <c r="F2483" i="5"/>
  <c r="E2483" i="5"/>
  <c r="G2483" i="5"/>
  <c r="F2484" i="5"/>
  <c r="E2484" i="5"/>
  <c r="G2484" i="5"/>
  <c r="F2485" i="5"/>
  <c r="E2485" i="5"/>
  <c r="G2485" i="5"/>
  <c r="F2486" i="5"/>
  <c r="E2486" i="5"/>
  <c r="G2486" i="5"/>
  <c r="F2487" i="5"/>
  <c r="E2487" i="5"/>
  <c r="G2487" i="5"/>
  <c r="F2488" i="5"/>
  <c r="E2488" i="5"/>
  <c r="G2488" i="5"/>
  <c r="F2489" i="5"/>
  <c r="E2489" i="5"/>
  <c r="G2489" i="5"/>
  <c r="F2490" i="5"/>
  <c r="E2490" i="5"/>
  <c r="G2490" i="5"/>
  <c r="F2491" i="5"/>
  <c r="E2491" i="5"/>
  <c r="G2491" i="5"/>
  <c r="F2492" i="5"/>
  <c r="E2492" i="5"/>
  <c r="G2492" i="5"/>
  <c r="F2493" i="5"/>
  <c r="E2493" i="5"/>
  <c r="G2493" i="5"/>
  <c r="F2494" i="5"/>
  <c r="E2494" i="5"/>
  <c r="G2494" i="5"/>
  <c r="F2495" i="5"/>
  <c r="E2495" i="5"/>
  <c r="G2495" i="5"/>
  <c r="F2496" i="5"/>
  <c r="E2496" i="5"/>
  <c r="G2496" i="5"/>
  <c r="F2497" i="5"/>
  <c r="E2497" i="5"/>
  <c r="G2497" i="5"/>
  <c r="F2498" i="5"/>
  <c r="E2498" i="5"/>
  <c r="G2498" i="5"/>
  <c r="F2499" i="5"/>
  <c r="E2499" i="5"/>
  <c r="G2499" i="5"/>
  <c r="F2500" i="5"/>
  <c r="E2500" i="5"/>
  <c r="G2500" i="5"/>
  <c r="F2501" i="5"/>
  <c r="E2501" i="5"/>
  <c r="G2501" i="5"/>
  <c r="F2502" i="5"/>
  <c r="E2502" i="5"/>
  <c r="G2502" i="5"/>
  <c r="F2503" i="5"/>
  <c r="E2503" i="5"/>
  <c r="G2503" i="5"/>
  <c r="F2504" i="5"/>
  <c r="E2504" i="5"/>
  <c r="G2504" i="5"/>
  <c r="F2505" i="5"/>
  <c r="E2505" i="5"/>
  <c r="G2505" i="5"/>
  <c r="F2506" i="5"/>
  <c r="E2506" i="5"/>
  <c r="G2506" i="5"/>
  <c r="F2507" i="5"/>
  <c r="E2507" i="5"/>
  <c r="G2507" i="5"/>
  <c r="F2508" i="5"/>
  <c r="E2508" i="5"/>
  <c r="G2508" i="5"/>
  <c r="F2509" i="5"/>
  <c r="E2509" i="5"/>
  <c r="G2509" i="5"/>
  <c r="F2510" i="5"/>
  <c r="E2510" i="5"/>
  <c r="G2510" i="5"/>
  <c r="F2511" i="5"/>
  <c r="E2511" i="5"/>
  <c r="G2511" i="5"/>
  <c r="F2512" i="5"/>
  <c r="E2512" i="5"/>
  <c r="G2512" i="5"/>
  <c r="F2513" i="5"/>
  <c r="E2513" i="5"/>
  <c r="G2513" i="5"/>
  <c r="F2514" i="5"/>
  <c r="E2514" i="5"/>
  <c r="G2514" i="5"/>
  <c r="F2515" i="5"/>
  <c r="E2515" i="5"/>
  <c r="G2515" i="5"/>
  <c r="F2516" i="5"/>
  <c r="E2516" i="5"/>
  <c r="G2516" i="5"/>
  <c r="F2517" i="5"/>
  <c r="E2517" i="5"/>
  <c r="G2517" i="5"/>
  <c r="F2518" i="5"/>
  <c r="E2518" i="5"/>
  <c r="G2518" i="5"/>
  <c r="F2519" i="5"/>
  <c r="E2519" i="5"/>
  <c r="G2519" i="5"/>
  <c r="F2520" i="5"/>
  <c r="E2520" i="5"/>
  <c r="G2520" i="5"/>
  <c r="F2521" i="5"/>
  <c r="E2521" i="5"/>
  <c r="G2521" i="5"/>
  <c r="F2522" i="5"/>
  <c r="E2522" i="5"/>
  <c r="G2522" i="5"/>
  <c r="F2523" i="5"/>
  <c r="E2523" i="5"/>
  <c r="G2523" i="5"/>
  <c r="F2524" i="5"/>
  <c r="E2524" i="5"/>
  <c r="G2524" i="5"/>
  <c r="F2525" i="5"/>
  <c r="E2525" i="5"/>
  <c r="G2525" i="5"/>
  <c r="F2526" i="5"/>
  <c r="E2526" i="5"/>
  <c r="G2526" i="5"/>
  <c r="F2527" i="5"/>
  <c r="E2527" i="5"/>
  <c r="G2527" i="5"/>
  <c r="F2528" i="5"/>
  <c r="E2528" i="5"/>
  <c r="G2528" i="5"/>
  <c r="F2529" i="5"/>
  <c r="E2529" i="5"/>
  <c r="G2529" i="5"/>
  <c r="F2530" i="5"/>
  <c r="E2530" i="5"/>
  <c r="G2530" i="5"/>
  <c r="F2531" i="5"/>
  <c r="E2531" i="5"/>
  <c r="G2531" i="5"/>
  <c r="F2532" i="5"/>
  <c r="E2532" i="5"/>
  <c r="G2532" i="5"/>
  <c r="F2533" i="5"/>
  <c r="E2533" i="5"/>
  <c r="G2533" i="5"/>
  <c r="F2534" i="5"/>
  <c r="E2534" i="5"/>
  <c r="G2534" i="5"/>
  <c r="F2535" i="5"/>
  <c r="E2535" i="5"/>
  <c r="G2535" i="5"/>
  <c r="F2536" i="5"/>
  <c r="E2536" i="5"/>
  <c r="G2536" i="5"/>
  <c r="F2537" i="5"/>
  <c r="E2537" i="5"/>
  <c r="G2537" i="5"/>
  <c r="F2538" i="5"/>
  <c r="E2538" i="5"/>
  <c r="G2538" i="5"/>
  <c r="F2539" i="5"/>
  <c r="E2539" i="5"/>
  <c r="G2539" i="5"/>
  <c r="F2540" i="5"/>
  <c r="E2540" i="5"/>
  <c r="G2540" i="5"/>
  <c r="F2541" i="5"/>
  <c r="E2541" i="5"/>
  <c r="G2541" i="5"/>
  <c r="F2542" i="5"/>
  <c r="E2542" i="5"/>
  <c r="G2542" i="5"/>
  <c r="F2543" i="5"/>
  <c r="E2543" i="5"/>
  <c r="G2543" i="5"/>
  <c r="F2544" i="5"/>
  <c r="E2544" i="5"/>
  <c r="G2544" i="5"/>
  <c r="F2545" i="5"/>
  <c r="E2545" i="5"/>
  <c r="G2545" i="5"/>
  <c r="F2546" i="5"/>
  <c r="E2546" i="5"/>
  <c r="G2546" i="5"/>
  <c r="F2547" i="5"/>
  <c r="E2547" i="5"/>
  <c r="G2547" i="5"/>
  <c r="F2548" i="5"/>
  <c r="E2548" i="5"/>
  <c r="G2548" i="5"/>
  <c r="F2549" i="5"/>
  <c r="E2549" i="5"/>
  <c r="G2549" i="5"/>
  <c r="F2550" i="5"/>
  <c r="E2550" i="5"/>
  <c r="G2550" i="5"/>
  <c r="F2551" i="5"/>
  <c r="E2551" i="5"/>
  <c r="G2551" i="5"/>
  <c r="F2552" i="5"/>
  <c r="E2552" i="5"/>
  <c r="G2552" i="5"/>
  <c r="F2553" i="5"/>
  <c r="E2553" i="5"/>
  <c r="G2553" i="5"/>
  <c r="F2554" i="5"/>
  <c r="E2554" i="5"/>
  <c r="G2554" i="5"/>
  <c r="F2555" i="5"/>
  <c r="E2555" i="5"/>
  <c r="G2555" i="5"/>
  <c r="F2556" i="5"/>
  <c r="E2556" i="5"/>
  <c r="G2556" i="5"/>
  <c r="F2557" i="5"/>
  <c r="E2557" i="5"/>
  <c r="G2557" i="5"/>
  <c r="F2558" i="5"/>
  <c r="E2558" i="5"/>
  <c r="G2558" i="5"/>
  <c r="F2559" i="5"/>
  <c r="E2559" i="5"/>
  <c r="G2559" i="5"/>
  <c r="F2560" i="5"/>
  <c r="E2560" i="5"/>
  <c r="G2560" i="5"/>
  <c r="F2561" i="5"/>
  <c r="E2561" i="5"/>
  <c r="G2561" i="5"/>
  <c r="F2562" i="5"/>
  <c r="E2562" i="5"/>
  <c r="G2562" i="5"/>
  <c r="F2563" i="5"/>
  <c r="E2563" i="5"/>
  <c r="G2563" i="5"/>
  <c r="F2564" i="5"/>
  <c r="E2564" i="5"/>
  <c r="G2564" i="5"/>
  <c r="F2565" i="5"/>
  <c r="E2565" i="5"/>
  <c r="G2565" i="5"/>
  <c r="F2566" i="5"/>
  <c r="E2566" i="5"/>
  <c r="G2566" i="5"/>
  <c r="F2567" i="5"/>
  <c r="E2567" i="5"/>
  <c r="G2567" i="5"/>
  <c r="F2568" i="5"/>
  <c r="E2568" i="5"/>
  <c r="G2568" i="5"/>
  <c r="F2569" i="5"/>
  <c r="E2569" i="5"/>
  <c r="G2569" i="5"/>
  <c r="F2570" i="5"/>
  <c r="E2570" i="5"/>
  <c r="G2570" i="5"/>
  <c r="F2571" i="5"/>
  <c r="E2571" i="5"/>
  <c r="G2571" i="5"/>
  <c r="F2572" i="5"/>
  <c r="E2572" i="5"/>
  <c r="G2572" i="5"/>
  <c r="F2573" i="5"/>
  <c r="E2573" i="5"/>
  <c r="G2573" i="5"/>
  <c r="F2574" i="5"/>
  <c r="E2574" i="5"/>
  <c r="G2574" i="5"/>
  <c r="F2575" i="5"/>
  <c r="E2575" i="5"/>
  <c r="G2575" i="5"/>
  <c r="F2576" i="5"/>
  <c r="E2576" i="5"/>
  <c r="G2576" i="5"/>
  <c r="F2577" i="5"/>
  <c r="E2577" i="5"/>
  <c r="G2577" i="5"/>
  <c r="F2578" i="5"/>
  <c r="E2578" i="5"/>
  <c r="G2578" i="5"/>
  <c r="F2579" i="5"/>
  <c r="E2579" i="5"/>
  <c r="G2579" i="5"/>
  <c r="F2580" i="5"/>
  <c r="E2580" i="5"/>
  <c r="G2580" i="5"/>
  <c r="F2581" i="5"/>
  <c r="E2581" i="5"/>
  <c r="G2581" i="5"/>
  <c r="F2582" i="5"/>
  <c r="E2582" i="5"/>
  <c r="G2582" i="5"/>
  <c r="F2583" i="5"/>
  <c r="E2583" i="5"/>
  <c r="G2583" i="5"/>
  <c r="F2584" i="5"/>
  <c r="E2584" i="5"/>
  <c r="G2584" i="5"/>
  <c r="F2585" i="5"/>
  <c r="E2585" i="5"/>
  <c r="G2585" i="5"/>
  <c r="F2586" i="5"/>
  <c r="E2586" i="5"/>
  <c r="G2586" i="5"/>
  <c r="F2587" i="5"/>
  <c r="E2587" i="5"/>
  <c r="G2587" i="5"/>
  <c r="F2588" i="5"/>
  <c r="E2588" i="5"/>
  <c r="G2588" i="5"/>
  <c r="F2589" i="5"/>
  <c r="E2589" i="5"/>
  <c r="G2589" i="5"/>
  <c r="F2590" i="5"/>
  <c r="E2590" i="5"/>
  <c r="G2590" i="5"/>
  <c r="F2591" i="5"/>
  <c r="E2591" i="5"/>
  <c r="G2591" i="5"/>
  <c r="F2592" i="5"/>
  <c r="E2592" i="5"/>
  <c r="G2592" i="5"/>
  <c r="F2593" i="5"/>
  <c r="E2593" i="5"/>
  <c r="G2593" i="5"/>
  <c r="F2594" i="5"/>
  <c r="E2594" i="5"/>
  <c r="G2594" i="5"/>
  <c r="F2595" i="5"/>
  <c r="E2595" i="5"/>
  <c r="G2595" i="5"/>
  <c r="F2596" i="5"/>
  <c r="E2596" i="5"/>
  <c r="G2596" i="5"/>
  <c r="F2597" i="5"/>
  <c r="E2597" i="5"/>
  <c r="G2597" i="5"/>
  <c r="F2598" i="5"/>
  <c r="E2598" i="5"/>
  <c r="G2598" i="5"/>
  <c r="F2599" i="5"/>
  <c r="E2599" i="5"/>
  <c r="G2599" i="5"/>
  <c r="F2600" i="5"/>
  <c r="E2600" i="5"/>
  <c r="G2600" i="5"/>
  <c r="F2601" i="5"/>
  <c r="E2601" i="5"/>
  <c r="G2601" i="5"/>
  <c r="F2602" i="5"/>
  <c r="E2602" i="5"/>
  <c r="G2602" i="5"/>
  <c r="F2603" i="5"/>
  <c r="E2603" i="5"/>
  <c r="G2603" i="5"/>
  <c r="F2604" i="5"/>
  <c r="E2604" i="5"/>
  <c r="G2604" i="5"/>
  <c r="F2605" i="5"/>
  <c r="E2605" i="5"/>
  <c r="G2605" i="5"/>
  <c r="F2606" i="5"/>
  <c r="E2606" i="5"/>
  <c r="G2606" i="5"/>
  <c r="F2607" i="5"/>
  <c r="E2607" i="5"/>
  <c r="G2607" i="5"/>
  <c r="F2608" i="5"/>
  <c r="E2608" i="5"/>
  <c r="G2608" i="5"/>
  <c r="F2609" i="5"/>
  <c r="E2609" i="5"/>
  <c r="G2609" i="5"/>
  <c r="F2610" i="5"/>
  <c r="E2610" i="5"/>
  <c r="G2610" i="5"/>
  <c r="F2611" i="5"/>
  <c r="E2611" i="5"/>
  <c r="G2611" i="5"/>
  <c r="F2612" i="5"/>
  <c r="E2612" i="5"/>
  <c r="G2612" i="5"/>
  <c r="F2613" i="5"/>
  <c r="E2613" i="5"/>
  <c r="G2613" i="5"/>
  <c r="F2614" i="5"/>
  <c r="E2614" i="5"/>
  <c r="G2614" i="5"/>
  <c r="F2615" i="5"/>
  <c r="E2615" i="5"/>
  <c r="G2615" i="5"/>
  <c r="F2616" i="5"/>
  <c r="E2616" i="5"/>
  <c r="G2616" i="5"/>
  <c r="F2617" i="5"/>
  <c r="E2617" i="5"/>
  <c r="G2617" i="5"/>
  <c r="F2618" i="5"/>
  <c r="E2618" i="5"/>
  <c r="G2618" i="5"/>
  <c r="F2619" i="5"/>
  <c r="E2619" i="5"/>
  <c r="G2619" i="5"/>
  <c r="F2620" i="5"/>
  <c r="E2620" i="5"/>
  <c r="G2620" i="5"/>
  <c r="F2621" i="5"/>
  <c r="E2621" i="5"/>
  <c r="G2621" i="5"/>
  <c r="F2622" i="5"/>
  <c r="E2622" i="5"/>
  <c r="G2622" i="5"/>
  <c r="F2623" i="5"/>
  <c r="E2623" i="5"/>
  <c r="G2623" i="5"/>
  <c r="F2624" i="5"/>
  <c r="E2624" i="5"/>
  <c r="G2624" i="5"/>
  <c r="F2625" i="5"/>
  <c r="E2625" i="5"/>
  <c r="G2625" i="5"/>
  <c r="F2626" i="5"/>
  <c r="E2626" i="5"/>
  <c r="G2626" i="5"/>
  <c r="F2627" i="5"/>
  <c r="E2627" i="5"/>
  <c r="G2627" i="5"/>
  <c r="F2628" i="5"/>
  <c r="E2628" i="5"/>
  <c r="G2628" i="5"/>
  <c r="F2629" i="5"/>
  <c r="E2629" i="5"/>
  <c r="G2629" i="5"/>
  <c r="F2630" i="5"/>
  <c r="E2630" i="5"/>
  <c r="G2630" i="5"/>
  <c r="F2631" i="5"/>
  <c r="E2631" i="5"/>
  <c r="G2631" i="5"/>
  <c r="F2632" i="5"/>
  <c r="E2632" i="5"/>
  <c r="G2632" i="5"/>
  <c r="F2633" i="5"/>
  <c r="E2633" i="5"/>
  <c r="G2633" i="5"/>
  <c r="F2634" i="5"/>
  <c r="E2634" i="5"/>
  <c r="G2634" i="5"/>
  <c r="F2635" i="5"/>
  <c r="E2635" i="5"/>
  <c r="G2635" i="5"/>
  <c r="F2636" i="5"/>
  <c r="E2636" i="5"/>
  <c r="G2636" i="5"/>
  <c r="F2637" i="5"/>
  <c r="E2637" i="5"/>
  <c r="G2637" i="5"/>
  <c r="F2638" i="5"/>
  <c r="E2638" i="5"/>
  <c r="G2638" i="5"/>
  <c r="F2639" i="5"/>
  <c r="E2639" i="5"/>
  <c r="G2639" i="5"/>
  <c r="F2640" i="5"/>
  <c r="E2640" i="5"/>
  <c r="G2640" i="5"/>
  <c r="F2641" i="5"/>
  <c r="E2641" i="5"/>
  <c r="G2641" i="5"/>
  <c r="F2642" i="5"/>
  <c r="E2642" i="5"/>
  <c r="G2642" i="5"/>
  <c r="F2643" i="5"/>
  <c r="E2643" i="5"/>
  <c r="G2643" i="5"/>
  <c r="F2644" i="5"/>
  <c r="E2644" i="5"/>
  <c r="G2644" i="5"/>
  <c r="F2645" i="5"/>
  <c r="E2645" i="5"/>
  <c r="G2645" i="5"/>
  <c r="F2646" i="5"/>
  <c r="E2646" i="5"/>
  <c r="G2646" i="5"/>
  <c r="F2647" i="5"/>
  <c r="E2647" i="5"/>
  <c r="G2647" i="5"/>
  <c r="F2648" i="5"/>
  <c r="E2648" i="5"/>
  <c r="G2648" i="5"/>
  <c r="F2649" i="5"/>
  <c r="E2649" i="5"/>
  <c r="G2649" i="5"/>
  <c r="F2650" i="5"/>
  <c r="E2650" i="5"/>
  <c r="G2650" i="5"/>
  <c r="F2651" i="5"/>
  <c r="E2651" i="5"/>
  <c r="G2651" i="5"/>
  <c r="F2652" i="5"/>
  <c r="E2652" i="5"/>
  <c r="G2652" i="5"/>
  <c r="F2653" i="5"/>
  <c r="E2653" i="5"/>
  <c r="G2653" i="5"/>
  <c r="F2654" i="5"/>
  <c r="E2654" i="5"/>
  <c r="G2654" i="5"/>
  <c r="F2655" i="5"/>
  <c r="E2655" i="5"/>
  <c r="G2655" i="5"/>
  <c r="F2656" i="5"/>
  <c r="E2656" i="5"/>
  <c r="G2656" i="5"/>
  <c r="F2657" i="5"/>
  <c r="E2657" i="5"/>
  <c r="G2657" i="5"/>
  <c r="F2658" i="5"/>
  <c r="E2658" i="5"/>
  <c r="G2658" i="5"/>
  <c r="F2659" i="5"/>
  <c r="E2659" i="5"/>
  <c r="G2659" i="5"/>
  <c r="F2660" i="5"/>
  <c r="E2660" i="5"/>
  <c r="G2660" i="5"/>
  <c r="F2661" i="5"/>
  <c r="E2661" i="5"/>
  <c r="G2661" i="5"/>
  <c r="F2662" i="5"/>
  <c r="E2662" i="5"/>
  <c r="G2662" i="5"/>
  <c r="F2663" i="5"/>
  <c r="E2663" i="5"/>
  <c r="G2663" i="5"/>
  <c r="F2664" i="5"/>
  <c r="E2664" i="5"/>
  <c r="G2664" i="5"/>
  <c r="F2665" i="5"/>
  <c r="E2665" i="5"/>
  <c r="G2665" i="5"/>
  <c r="F2666" i="5"/>
  <c r="E2666" i="5"/>
  <c r="G2666" i="5"/>
  <c r="F2667" i="5"/>
  <c r="E2667" i="5"/>
  <c r="G2667" i="5"/>
  <c r="F2668" i="5"/>
  <c r="E2668" i="5"/>
  <c r="G2668" i="5"/>
  <c r="F2669" i="5"/>
  <c r="E2669" i="5"/>
  <c r="G2669" i="5"/>
  <c r="F2670" i="5"/>
  <c r="E2670" i="5"/>
  <c r="G2670" i="5"/>
  <c r="F2671" i="5"/>
  <c r="E2671" i="5"/>
  <c r="G2671" i="5"/>
  <c r="F2672" i="5"/>
  <c r="E2672" i="5"/>
  <c r="G2672" i="5"/>
  <c r="F2673" i="5"/>
  <c r="E2673" i="5"/>
  <c r="G2673" i="5"/>
  <c r="F2674" i="5"/>
  <c r="E2674" i="5"/>
  <c r="G2674" i="5"/>
  <c r="F2675" i="5"/>
  <c r="E2675" i="5"/>
  <c r="G2675" i="5"/>
  <c r="F2676" i="5"/>
  <c r="E2676" i="5"/>
  <c r="G2676" i="5"/>
  <c r="F2677" i="5"/>
  <c r="E2677" i="5"/>
  <c r="G2677" i="5"/>
  <c r="F2678" i="5"/>
  <c r="E2678" i="5"/>
  <c r="G2678" i="5"/>
  <c r="F2679" i="5"/>
  <c r="E2679" i="5"/>
  <c r="G2679" i="5"/>
  <c r="F2680" i="5"/>
  <c r="E2680" i="5"/>
  <c r="G2680" i="5"/>
  <c r="F2681" i="5"/>
  <c r="E2681" i="5"/>
  <c r="G2681" i="5"/>
  <c r="F2682" i="5"/>
  <c r="E2682" i="5"/>
  <c r="G2682" i="5"/>
  <c r="F2683" i="5"/>
  <c r="E2683" i="5"/>
  <c r="G2683" i="5"/>
  <c r="F2684" i="5"/>
  <c r="E2684" i="5"/>
  <c r="G2684" i="5"/>
  <c r="F2685" i="5"/>
  <c r="E2685" i="5"/>
  <c r="G2685" i="5"/>
  <c r="F2686" i="5"/>
  <c r="E2686" i="5"/>
  <c r="G2686" i="5"/>
  <c r="F2687" i="5"/>
  <c r="E2687" i="5"/>
  <c r="G2687" i="5"/>
  <c r="F2688" i="5"/>
  <c r="E2688" i="5"/>
  <c r="G2688" i="5"/>
  <c r="F2689" i="5"/>
  <c r="E2689" i="5"/>
  <c r="G2689" i="5"/>
  <c r="F2690" i="5"/>
  <c r="E2690" i="5"/>
  <c r="G2690" i="5"/>
  <c r="F2691" i="5"/>
  <c r="E2691" i="5"/>
  <c r="G2691" i="5"/>
  <c r="F2692" i="5"/>
  <c r="E2692" i="5"/>
  <c r="G2692" i="5"/>
  <c r="F2693" i="5"/>
  <c r="E2693" i="5"/>
  <c r="G2693" i="5"/>
  <c r="F2694" i="5"/>
  <c r="E2694" i="5"/>
  <c r="G2694" i="5"/>
  <c r="F2695" i="5"/>
  <c r="E2695" i="5"/>
  <c r="G2695" i="5"/>
  <c r="F2696" i="5"/>
  <c r="E2696" i="5"/>
  <c r="G2696" i="5"/>
  <c r="F2697" i="5"/>
  <c r="E2697" i="5"/>
  <c r="G2697" i="5"/>
  <c r="F2698" i="5"/>
  <c r="E2698" i="5"/>
  <c r="G2698" i="5"/>
  <c r="F2699" i="5"/>
  <c r="E2699" i="5"/>
  <c r="G2699" i="5"/>
  <c r="F2700" i="5"/>
  <c r="E2700" i="5"/>
  <c r="G2700" i="5"/>
  <c r="F2701" i="5"/>
  <c r="E2701" i="5"/>
  <c r="G2701" i="5"/>
  <c r="F2702" i="5"/>
  <c r="E2702" i="5"/>
  <c r="G2702" i="5"/>
  <c r="F2703" i="5"/>
  <c r="E2703" i="5"/>
  <c r="G2703" i="5"/>
  <c r="F2704" i="5"/>
  <c r="E2704" i="5"/>
  <c r="G2704" i="5"/>
  <c r="F2705" i="5"/>
  <c r="E2705" i="5"/>
  <c r="G2705" i="5"/>
  <c r="F2706" i="5"/>
  <c r="E2706" i="5"/>
  <c r="G2706" i="5"/>
  <c r="F2707" i="5"/>
  <c r="E2707" i="5"/>
  <c r="G2707" i="5"/>
  <c r="F2708" i="5"/>
  <c r="E2708" i="5"/>
  <c r="G2708" i="5"/>
  <c r="F2709" i="5"/>
  <c r="E2709" i="5"/>
  <c r="G2709" i="5"/>
  <c r="F2710" i="5"/>
  <c r="E2710" i="5"/>
  <c r="G2710" i="5"/>
  <c r="F2711" i="5"/>
  <c r="E2711" i="5"/>
  <c r="G2711" i="5"/>
  <c r="F2712" i="5"/>
  <c r="E2712" i="5"/>
  <c r="G2712" i="5"/>
  <c r="F2713" i="5"/>
  <c r="E2713" i="5"/>
  <c r="G2713" i="5"/>
  <c r="F2714" i="5"/>
  <c r="E2714" i="5"/>
  <c r="G2714" i="5"/>
  <c r="F2715" i="5"/>
  <c r="E2715" i="5"/>
  <c r="G2715" i="5"/>
  <c r="F2716" i="5"/>
  <c r="E2716" i="5"/>
  <c r="G2716" i="5"/>
  <c r="F2717" i="5"/>
  <c r="E2717" i="5"/>
  <c r="G2717" i="5"/>
  <c r="F2718" i="5"/>
  <c r="E2718" i="5"/>
  <c r="G2718" i="5"/>
  <c r="F2719" i="5"/>
  <c r="E2719" i="5"/>
  <c r="G2719" i="5"/>
  <c r="F2720" i="5"/>
  <c r="E2720" i="5"/>
  <c r="G2720" i="5"/>
  <c r="F2721" i="5"/>
  <c r="E2721" i="5"/>
  <c r="G2721" i="5"/>
  <c r="F2722" i="5"/>
  <c r="E2722" i="5"/>
  <c r="G2722" i="5"/>
  <c r="F2723" i="5"/>
  <c r="E2723" i="5"/>
  <c r="G2723" i="5"/>
  <c r="F2724" i="5"/>
  <c r="E2724" i="5"/>
  <c r="G2724" i="5"/>
  <c r="F2725" i="5"/>
  <c r="E2725" i="5"/>
  <c r="G2725" i="5"/>
  <c r="F2726" i="5"/>
  <c r="E2726" i="5"/>
  <c r="G2726" i="5"/>
  <c r="F2727" i="5"/>
  <c r="E2727" i="5"/>
  <c r="G2727" i="5"/>
  <c r="F2728" i="5"/>
  <c r="E2728" i="5"/>
  <c r="G2728" i="5"/>
  <c r="F2729" i="5"/>
  <c r="E2729" i="5"/>
  <c r="G2729" i="5"/>
  <c r="F2730" i="5"/>
  <c r="E2730" i="5"/>
  <c r="G2730" i="5"/>
  <c r="F2731" i="5"/>
  <c r="E2731" i="5"/>
  <c r="G2731" i="5"/>
  <c r="F2732" i="5"/>
  <c r="E2732" i="5"/>
  <c r="G2732" i="5"/>
  <c r="F2733" i="5"/>
  <c r="E2733" i="5"/>
  <c r="G2733" i="5"/>
  <c r="F2734" i="5"/>
  <c r="E2734" i="5"/>
  <c r="G2734" i="5"/>
  <c r="F2735" i="5"/>
  <c r="E2735" i="5"/>
  <c r="G2735" i="5"/>
  <c r="F2736" i="5"/>
  <c r="E2736" i="5"/>
  <c r="G2736" i="5"/>
  <c r="F2737" i="5"/>
  <c r="E2737" i="5"/>
  <c r="G2737" i="5"/>
  <c r="F2738" i="5"/>
  <c r="E2738" i="5"/>
  <c r="G2738" i="5"/>
  <c r="F2739" i="5"/>
  <c r="E2739" i="5"/>
  <c r="G2739" i="5"/>
  <c r="F2740" i="5"/>
  <c r="E2740" i="5"/>
  <c r="G2740" i="5"/>
  <c r="F2741" i="5"/>
  <c r="E2741" i="5"/>
  <c r="G2741" i="5"/>
  <c r="F2742" i="5"/>
  <c r="E2742" i="5"/>
  <c r="G2742" i="5"/>
  <c r="F2743" i="5"/>
  <c r="E2743" i="5"/>
  <c r="G2743" i="5"/>
  <c r="F2744" i="5"/>
  <c r="E2744" i="5"/>
  <c r="G2744" i="5"/>
  <c r="F2745" i="5"/>
  <c r="E2745" i="5"/>
  <c r="G2745" i="5"/>
  <c r="F2746" i="5"/>
  <c r="E2746" i="5"/>
  <c r="G2746" i="5"/>
  <c r="F2747" i="5"/>
  <c r="E2747" i="5"/>
  <c r="G2747" i="5"/>
  <c r="F2748" i="5"/>
  <c r="E2748" i="5"/>
  <c r="G2748" i="5"/>
  <c r="F2749" i="5"/>
  <c r="E2749" i="5"/>
  <c r="G2749" i="5"/>
  <c r="F2750" i="5"/>
  <c r="E2750" i="5"/>
  <c r="G2750" i="5"/>
  <c r="F2751" i="5"/>
  <c r="E2751" i="5"/>
  <c r="G2751" i="5"/>
  <c r="F2752" i="5"/>
  <c r="E2752" i="5"/>
  <c r="G2752" i="5"/>
  <c r="F2753" i="5"/>
  <c r="E2753" i="5"/>
  <c r="G2753" i="5"/>
  <c r="F2754" i="5"/>
  <c r="E2754" i="5"/>
  <c r="G2754" i="5"/>
  <c r="F2755" i="5"/>
  <c r="E2755" i="5"/>
  <c r="G2755" i="5"/>
  <c r="F2756" i="5"/>
  <c r="E2756" i="5"/>
  <c r="G2756" i="5"/>
  <c r="F2757" i="5"/>
  <c r="E2757" i="5"/>
  <c r="G2757" i="5"/>
  <c r="F2758" i="5"/>
  <c r="E2758" i="5"/>
  <c r="G2758" i="5"/>
  <c r="F2759" i="5"/>
  <c r="E2759" i="5"/>
  <c r="G2759" i="5"/>
  <c r="F2760" i="5"/>
  <c r="E2760" i="5"/>
  <c r="G2760" i="5"/>
  <c r="F2761" i="5"/>
  <c r="E2761" i="5"/>
  <c r="G2761" i="5"/>
  <c r="F2762" i="5"/>
  <c r="E2762" i="5"/>
  <c r="G2762" i="5"/>
  <c r="F2763" i="5"/>
  <c r="E2763" i="5"/>
  <c r="G2763" i="5"/>
  <c r="F2764" i="5"/>
  <c r="E2764" i="5"/>
  <c r="G2764" i="5"/>
  <c r="F2765" i="5"/>
  <c r="E2765" i="5"/>
  <c r="G2765" i="5"/>
  <c r="F2766" i="5"/>
  <c r="E2766" i="5"/>
  <c r="G2766" i="5"/>
  <c r="F2767" i="5"/>
  <c r="E2767" i="5"/>
  <c r="G2767" i="5"/>
  <c r="F2768" i="5"/>
  <c r="E2768" i="5"/>
  <c r="G2768" i="5"/>
  <c r="F2769" i="5"/>
  <c r="E2769" i="5"/>
  <c r="G2769" i="5"/>
  <c r="F2770" i="5"/>
  <c r="E2770" i="5"/>
  <c r="G2770" i="5"/>
  <c r="F2771" i="5"/>
  <c r="E2771" i="5"/>
  <c r="G2771" i="5"/>
  <c r="F2772" i="5"/>
  <c r="E2772" i="5"/>
  <c r="G2772" i="5"/>
  <c r="F2773" i="5"/>
  <c r="E2773" i="5"/>
  <c r="G2773" i="5"/>
  <c r="F2774" i="5"/>
  <c r="E2774" i="5"/>
  <c r="G2774" i="5"/>
  <c r="F2775" i="5"/>
  <c r="E2775" i="5"/>
  <c r="G2775" i="5"/>
  <c r="F2776" i="5"/>
  <c r="E2776" i="5"/>
  <c r="G2776" i="5"/>
  <c r="F2777" i="5"/>
  <c r="E2777" i="5"/>
  <c r="G2777" i="5"/>
  <c r="F2778" i="5"/>
  <c r="E2778" i="5"/>
  <c r="G2778" i="5"/>
  <c r="F2779" i="5"/>
  <c r="E2779" i="5"/>
  <c r="G2779" i="5"/>
  <c r="F2780" i="5"/>
  <c r="E2780" i="5"/>
  <c r="G2780" i="5"/>
  <c r="F2781" i="5"/>
  <c r="E2781" i="5"/>
  <c r="G2781" i="5"/>
  <c r="F2782" i="5"/>
  <c r="E2782" i="5"/>
  <c r="G2782" i="5"/>
  <c r="F2783" i="5"/>
  <c r="E2783" i="5"/>
  <c r="G2783" i="5"/>
  <c r="F2784" i="5"/>
  <c r="E2784" i="5"/>
  <c r="G2784" i="5"/>
  <c r="F2785" i="5"/>
  <c r="E2785" i="5"/>
  <c r="G2785" i="5"/>
  <c r="F2786" i="5"/>
  <c r="E2786" i="5"/>
  <c r="G2786" i="5"/>
  <c r="F2787" i="5"/>
  <c r="E2787" i="5"/>
  <c r="G2787" i="5"/>
  <c r="F2788" i="5"/>
  <c r="E2788" i="5"/>
  <c r="G2788" i="5"/>
  <c r="F2789" i="5"/>
  <c r="E2789" i="5"/>
  <c r="G2789" i="5"/>
  <c r="F2790" i="5"/>
  <c r="E2790" i="5"/>
  <c r="G2790" i="5"/>
  <c r="F2791" i="5"/>
  <c r="E2791" i="5"/>
  <c r="G2791" i="5"/>
  <c r="F2792" i="5"/>
  <c r="E2792" i="5"/>
  <c r="G2792" i="5"/>
  <c r="F2793" i="5"/>
  <c r="E2793" i="5"/>
  <c r="G2793" i="5"/>
  <c r="F2794" i="5"/>
  <c r="E2794" i="5"/>
  <c r="G2794" i="5"/>
  <c r="F2795" i="5"/>
  <c r="E2795" i="5"/>
  <c r="G2795" i="5"/>
  <c r="F2796" i="5"/>
  <c r="E2796" i="5"/>
  <c r="G2796" i="5"/>
  <c r="F2797" i="5"/>
  <c r="E2797" i="5"/>
  <c r="G2797" i="5"/>
  <c r="F2798" i="5"/>
  <c r="E2798" i="5"/>
  <c r="G2798" i="5"/>
  <c r="F2799" i="5"/>
  <c r="E2799" i="5"/>
  <c r="G2799" i="5"/>
  <c r="F2800" i="5"/>
  <c r="E2800" i="5"/>
  <c r="G2800" i="5"/>
  <c r="F2801" i="5"/>
  <c r="E2801" i="5"/>
  <c r="G2801" i="5"/>
  <c r="F2802" i="5"/>
  <c r="E2802" i="5"/>
  <c r="G2802" i="5"/>
  <c r="F2803" i="5"/>
  <c r="E2803" i="5"/>
  <c r="G2803" i="5"/>
  <c r="F2804" i="5"/>
  <c r="E2804" i="5"/>
  <c r="G2804" i="5"/>
  <c r="F2805" i="5"/>
  <c r="E2805" i="5"/>
  <c r="G2805" i="5"/>
  <c r="F2806" i="5"/>
  <c r="E2806" i="5"/>
  <c r="G2806" i="5"/>
  <c r="F2807" i="5"/>
  <c r="E2807" i="5"/>
  <c r="G2807" i="5"/>
  <c r="F2808" i="5"/>
  <c r="E2808" i="5"/>
  <c r="G2808" i="5"/>
  <c r="F2809" i="5"/>
  <c r="E2809" i="5"/>
  <c r="G2809" i="5"/>
  <c r="F2810" i="5"/>
  <c r="E2810" i="5"/>
  <c r="G2810" i="5"/>
  <c r="F2811" i="5"/>
  <c r="E2811" i="5"/>
  <c r="G2811" i="5"/>
  <c r="F2812" i="5"/>
  <c r="E2812" i="5"/>
  <c r="G2812" i="5"/>
  <c r="F2813" i="5"/>
  <c r="E2813" i="5"/>
  <c r="G2813" i="5"/>
  <c r="F2814" i="5"/>
  <c r="E2814" i="5"/>
  <c r="G2814" i="5"/>
  <c r="F2815" i="5"/>
  <c r="E2815" i="5"/>
  <c r="G2815" i="5"/>
  <c r="F2816" i="5"/>
  <c r="E2816" i="5"/>
  <c r="G2816" i="5"/>
  <c r="F2817" i="5"/>
  <c r="E2817" i="5"/>
  <c r="G2817" i="5"/>
  <c r="F2818" i="5"/>
  <c r="E2818" i="5"/>
  <c r="G2818" i="5"/>
  <c r="F2819" i="5"/>
  <c r="E2819" i="5"/>
  <c r="G2819" i="5"/>
  <c r="F2820" i="5"/>
  <c r="E2820" i="5"/>
  <c r="G2820" i="5"/>
  <c r="F2821" i="5"/>
  <c r="E2821" i="5"/>
  <c r="G2821" i="5"/>
  <c r="F2822" i="5"/>
  <c r="E2822" i="5"/>
  <c r="G2822" i="5"/>
  <c r="F2823" i="5"/>
  <c r="E2823" i="5"/>
  <c r="G2823" i="5"/>
  <c r="F2824" i="5"/>
  <c r="E2824" i="5"/>
  <c r="G2824" i="5"/>
  <c r="F2825" i="5"/>
  <c r="E2825" i="5"/>
  <c r="G2825" i="5"/>
  <c r="F2826" i="5"/>
  <c r="E2826" i="5"/>
  <c r="G2826" i="5"/>
  <c r="F2827" i="5"/>
  <c r="E2827" i="5"/>
  <c r="G2827" i="5"/>
  <c r="F2828" i="5"/>
  <c r="E2828" i="5"/>
  <c r="G2828" i="5"/>
  <c r="F2829" i="5"/>
  <c r="E2829" i="5"/>
  <c r="G2829" i="5"/>
  <c r="F2830" i="5"/>
  <c r="E2830" i="5"/>
  <c r="G2830" i="5"/>
  <c r="F2831" i="5"/>
  <c r="E2831" i="5"/>
  <c r="G2831" i="5"/>
  <c r="F2832" i="5"/>
  <c r="E2832" i="5"/>
  <c r="G2832" i="5"/>
  <c r="F2833" i="5"/>
  <c r="E2833" i="5"/>
  <c r="G2833" i="5"/>
  <c r="F2834" i="5"/>
  <c r="E2834" i="5"/>
  <c r="G2834" i="5"/>
  <c r="F2835" i="5"/>
  <c r="E2835" i="5"/>
  <c r="G2835" i="5"/>
  <c r="F2836" i="5"/>
  <c r="E2836" i="5"/>
  <c r="G2836" i="5"/>
  <c r="F2837" i="5"/>
  <c r="E2837" i="5"/>
  <c r="G2837" i="5"/>
  <c r="F2838" i="5"/>
  <c r="E2838" i="5"/>
  <c r="G2838" i="5"/>
  <c r="F2839" i="5"/>
  <c r="E2839" i="5"/>
  <c r="G2839" i="5"/>
  <c r="F2840" i="5"/>
  <c r="E2840" i="5"/>
  <c r="G2840" i="5"/>
  <c r="F2841" i="5"/>
  <c r="E2841" i="5"/>
  <c r="G2841" i="5"/>
  <c r="F2842" i="5"/>
  <c r="E2842" i="5"/>
  <c r="G2842" i="5"/>
  <c r="F2843" i="5"/>
  <c r="E2843" i="5"/>
  <c r="G2843" i="5"/>
  <c r="F2844" i="5"/>
  <c r="E2844" i="5"/>
  <c r="G2844" i="5"/>
  <c r="F2845" i="5"/>
  <c r="E2845" i="5"/>
  <c r="G2845" i="5"/>
  <c r="F2846" i="5"/>
  <c r="E2846" i="5"/>
  <c r="G2846" i="5"/>
  <c r="F2847" i="5"/>
  <c r="E2847" i="5"/>
  <c r="G2847" i="5"/>
  <c r="F2848" i="5"/>
  <c r="E2848" i="5"/>
  <c r="G2848" i="5"/>
  <c r="F2849" i="5"/>
  <c r="E2849" i="5"/>
  <c r="G2849" i="5"/>
  <c r="F2850" i="5"/>
  <c r="E2850" i="5"/>
  <c r="G2850" i="5"/>
  <c r="F2851" i="5"/>
  <c r="E2851" i="5"/>
  <c r="G2851" i="5"/>
  <c r="F2852" i="5"/>
  <c r="E2852" i="5"/>
  <c r="G2852" i="5"/>
  <c r="F2853" i="5"/>
  <c r="E2853" i="5"/>
  <c r="G2853" i="5"/>
  <c r="F2854" i="5"/>
  <c r="E2854" i="5"/>
  <c r="G2854" i="5"/>
  <c r="F2855" i="5"/>
  <c r="E2855" i="5"/>
  <c r="G2855" i="5"/>
  <c r="F2856" i="5"/>
  <c r="E2856" i="5"/>
  <c r="G2856" i="5"/>
  <c r="F2857" i="5"/>
  <c r="E2857" i="5"/>
  <c r="G2857" i="5"/>
  <c r="F2858" i="5"/>
  <c r="E2858" i="5"/>
  <c r="G2858" i="5"/>
  <c r="F2859" i="5"/>
  <c r="E2859" i="5"/>
  <c r="G2859" i="5"/>
  <c r="F2860" i="5"/>
  <c r="E2860" i="5"/>
  <c r="G2860" i="5"/>
  <c r="F2861" i="5"/>
  <c r="E2861" i="5"/>
  <c r="G2861" i="5"/>
  <c r="F2862" i="5"/>
  <c r="E2862" i="5"/>
  <c r="G2862" i="5"/>
  <c r="F2863" i="5"/>
  <c r="E2863" i="5"/>
  <c r="G2863" i="5"/>
  <c r="F2864" i="5"/>
  <c r="E2864" i="5"/>
  <c r="G2864" i="5"/>
  <c r="F2865" i="5"/>
  <c r="E2865" i="5"/>
  <c r="G2865" i="5"/>
  <c r="F2866" i="5"/>
  <c r="E2866" i="5"/>
  <c r="G2866" i="5"/>
  <c r="F2867" i="5"/>
  <c r="E2867" i="5"/>
  <c r="G2867" i="5"/>
  <c r="F2868" i="5"/>
  <c r="E2868" i="5"/>
  <c r="G2868" i="5"/>
  <c r="F2869" i="5"/>
  <c r="E2869" i="5"/>
  <c r="G2869" i="5"/>
  <c r="F2870" i="5"/>
  <c r="E2870" i="5"/>
  <c r="G2870" i="5"/>
  <c r="F2871" i="5"/>
  <c r="E2871" i="5"/>
  <c r="G2871" i="5"/>
  <c r="F2872" i="5"/>
  <c r="E2872" i="5"/>
  <c r="G2872" i="5"/>
  <c r="F2873" i="5"/>
  <c r="E2873" i="5"/>
  <c r="G2873" i="5"/>
  <c r="F2874" i="5"/>
  <c r="E2874" i="5"/>
  <c r="G2874" i="5"/>
  <c r="F2875" i="5"/>
  <c r="E2875" i="5"/>
  <c r="G2875" i="5"/>
  <c r="F2876" i="5"/>
  <c r="E2876" i="5"/>
  <c r="G2876" i="5"/>
  <c r="F2877" i="5"/>
  <c r="E2877" i="5"/>
  <c r="G2877" i="5"/>
  <c r="F2878" i="5"/>
  <c r="E2878" i="5"/>
  <c r="G2878" i="5"/>
  <c r="F2879" i="5"/>
  <c r="E2879" i="5"/>
  <c r="G2879" i="5"/>
  <c r="F2880" i="5"/>
  <c r="E2880" i="5"/>
  <c r="G2880" i="5"/>
  <c r="F2881" i="5"/>
  <c r="E2881" i="5"/>
  <c r="G2881" i="5"/>
  <c r="F2882" i="5"/>
  <c r="E2882" i="5"/>
  <c r="G2882" i="5"/>
  <c r="F2883" i="5"/>
  <c r="E2883" i="5"/>
  <c r="G2883" i="5"/>
  <c r="F2884" i="5"/>
  <c r="E2884" i="5"/>
  <c r="G2884" i="5"/>
  <c r="F2885" i="5"/>
  <c r="E2885" i="5"/>
  <c r="G2885" i="5"/>
  <c r="F2886" i="5"/>
  <c r="E2886" i="5"/>
  <c r="G2886" i="5"/>
  <c r="F2887" i="5"/>
  <c r="E2887" i="5"/>
  <c r="G2887" i="5"/>
  <c r="F2888" i="5"/>
  <c r="E2888" i="5"/>
  <c r="G2888" i="5"/>
  <c r="F2889" i="5"/>
  <c r="E2889" i="5"/>
  <c r="G2889" i="5"/>
  <c r="F2890" i="5"/>
  <c r="E2890" i="5"/>
  <c r="G2890" i="5"/>
  <c r="F2891" i="5"/>
  <c r="E2891" i="5"/>
  <c r="G2891" i="5"/>
  <c r="F2892" i="5"/>
  <c r="E2892" i="5"/>
  <c r="G2892" i="5"/>
  <c r="F2893" i="5"/>
  <c r="E2893" i="5"/>
  <c r="G2893" i="5"/>
  <c r="F2894" i="5"/>
  <c r="E2894" i="5"/>
  <c r="G2894" i="5"/>
  <c r="F2895" i="5"/>
  <c r="E2895" i="5"/>
  <c r="G2895" i="5"/>
  <c r="F2896" i="5"/>
  <c r="E2896" i="5"/>
  <c r="G2896" i="5"/>
  <c r="F2897" i="5"/>
  <c r="E2897" i="5"/>
  <c r="G2897" i="5"/>
  <c r="F2898" i="5"/>
  <c r="E2898" i="5"/>
  <c r="G2898" i="5"/>
  <c r="F2899" i="5"/>
  <c r="E2899" i="5"/>
  <c r="G2899" i="5"/>
  <c r="F2900" i="5"/>
  <c r="E2900" i="5"/>
  <c r="G2900" i="5"/>
  <c r="F2901" i="5"/>
  <c r="E2901" i="5"/>
  <c r="G2901" i="5"/>
  <c r="F2902" i="5"/>
  <c r="E2902" i="5"/>
  <c r="G2902" i="5"/>
  <c r="F2903" i="5"/>
  <c r="E2903" i="5"/>
  <c r="G2903" i="5"/>
  <c r="F2904" i="5"/>
  <c r="E2904" i="5"/>
  <c r="G2904" i="5"/>
  <c r="F2905" i="5"/>
  <c r="E2905" i="5"/>
  <c r="G2905" i="5"/>
  <c r="F2906" i="5"/>
  <c r="E2906" i="5"/>
  <c r="G2906" i="5"/>
  <c r="F2907" i="5"/>
  <c r="E2907" i="5"/>
  <c r="G2907" i="5"/>
  <c r="F2908" i="5"/>
  <c r="E2908" i="5"/>
  <c r="G2908" i="5"/>
  <c r="F2909" i="5"/>
  <c r="E2909" i="5"/>
  <c r="G2909" i="5"/>
  <c r="F2910" i="5"/>
  <c r="E2910" i="5"/>
  <c r="G2910" i="5"/>
  <c r="F2911" i="5"/>
  <c r="E2911" i="5"/>
  <c r="G2911" i="5"/>
  <c r="F2912" i="5"/>
  <c r="E2912" i="5"/>
  <c r="G2912" i="5"/>
  <c r="F2913" i="5"/>
  <c r="E2913" i="5"/>
  <c r="G2913" i="5"/>
  <c r="F2914" i="5"/>
  <c r="E2914" i="5"/>
  <c r="G2914" i="5"/>
  <c r="F2915" i="5"/>
  <c r="E2915" i="5"/>
  <c r="G2915" i="5"/>
  <c r="F2916" i="5"/>
  <c r="E2916" i="5"/>
  <c r="G2916" i="5"/>
  <c r="F2917" i="5"/>
  <c r="E2917" i="5"/>
  <c r="G2917" i="5"/>
  <c r="F2918" i="5"/>
  <c r="E2918" i="5"/>
  <c r="G2918" i="5"/>
  <c r="F2919" i="5"/>
  <c r="E2919" i="5"/>
  <c r="G2919" i="5"/>
  <c r="F2920" i="5"/>
  <c r="E2920" i="5"/>
  <c r="G2920" i="5"/>
  <c r="F2921" i="5"/>
  <c r="E2921" i="5"/>
  <c r="G2921" i="5"/>
  <c r="F2922" i="5"/>
  <c r="E2922" i="5"/>
  <c r="G2922" i="5"/>
  <c r="F2923" i="5"/>
  <c r="E2923" i="5"/>
  <c r="G2923" i="5"/>
  <c r="F2924" i="5"/>
  <c r="E2924" i="5"/>
  <c r="G2924" i="5"/>
  <c r="F2925" i="5"/>
  <c r="E2925" i="5"/>
  <c r="G2925" i="5"/>
  <c r="F2926" i="5"/>
  <c r="E2926" i="5"/>
  <c r="G2926" i="5"/>
  <c r="F2927" i="5"/>
  <c r="E2927" i="5"/>
  <c r="G2927" i="5"/>
  <c r="F2928" i="5"/>
  <c r="E2928" i="5"/>
  <c r="G2928" i="5"/>
  <c r="F2929" i="5"/>
  <c r="E2929" i="5"/>
  <c r="G2929" i="5"/>
  <c r="F2930" i="5"/>
  <c r="E2930" i="5"/>
  <c r="G2930" i="5"/>
  <c r="F2931" i="5"/>
  <c r="E2931" i="5"/>
  <c r="G2931" i="5"/>
  <c r="F2932" i="5"/>
  <c r="E2932" i="5"/>
  <c r="G2932" i="5"/>
  <c r="F2933" i="5"/>
  <c r="E2933" i="5"/>
  <c r="G2933" i="5"/>
  <c r="F2934" i="5"/>
  <c r="E2934" i="5"/>
  <c r="G2934" i="5"/>
  <c r="F2935" i="5"/>
  <c r="E2935" i="5"/>
  <c r="G2935" i="5"/>
  <c r="F2936" i="5"/>
  <c r="E2936" i="5"/>
  <c r="G2936" i="5"/>
  <c r="F2937" i="5"/>
  <c r="E2937" i="5"/>
  <c r="G2937" i="5"/>
  <c r="F2938" i="5"/>
  <c r="E2938" i="5"/>
  <c r="G2938" i="5"/>
  <c r="F2939" i="5"/>
  <c r="E2939" i="5"/>
  <c r="G2939" i="5"/>
  <c r="F2940" i="5"/>
  <c r="E2940" i="5"/>
  <c r="G2940" i="5"/>
  <c r="F2941" i="5"/>
  <c r="E2941" i="5"/>
  <c r="G2941" i="5"/>
  <c r="F2942" i="5"/>
  <c r="E2942" i="5"/>
  <c r="G2942" i="5"/>
  <c r="F2943" i="5"/>
  <c r="E2943" i="5"/>
  <c r="G2943" i="5"/>
  <c r="F2944" i="5"/>
  <c r="E2944" i="5"/>
  <c r="G2944" i="5"/>
  <c r="F2945" i="5"/>
  <c r="E2945" i="5"/>
  <c r="G2945" i="5"/>
  <c r="F2946" i="5"/>
  <c r="E2946" i="5"/>
  <c r="G2946" i="5"/>
  <c r="F2947" i="5"/>
  <c r="E2947" i="5"/>
  <c r="G2947" i="5"/>
  <c r="F2948" i="5"/>
  <c r="E2948" i="5"/>
  <c r="G2948" i="5"/>
  <c r="F2949" i="5"/>
  <c r="E2949" i="5"/>
  <c r="G2949" i="5"/>
  <c r="F2950" i="5"/>
  <c r="E2950" i="5"/>
  <c r="G2950" i="5"/>
  <c r="F2951" i="5"/>
  <c r="E2951" i="5"/>
  <c r="G2951" i="5"/>
  <c r="F2952" i="5"/>
  <c r="E2952" i="5"/>
  <c r="G2952" i="5"/>
  <c r="F2953" i="5"/>
  <c r="E2953" i="5"/>
  <c r="G2953" i="5"/>
  <c r="F2954" i="5"/>
  <c r="E2954" i="5"/>
  <c r="G2954" i="5"/>
  <c r="F2955" i="5"/>
  <c r="E2955" i="5"/>
  <c r="G2955" i="5"/>
  <c r="F2956" i="5"/>
  <c r="E2956" i="5"/>
  <c r="G2956" i="5"/>
  <c r="F2957" i="5"/>
  <c r="E2957" i="5"/>
  <c r="G2957" i="5"/>
  <c r="F2958" i="5"/>
  <c r="E2958" i="5"/>
  <c r="G2958" i="5"/>
  <c r="F2959" i="5"/>
  <c r="E2959" i="5"/>
  <c r="G2959" i="5"/>
  <c r="F2960" i="5"/>
  <c r="E2960" i="5"/>
  <c r="G2960" i="5"/>
  <c r="F2961" i="5"/>
  <c r="E2961" i="5"/>
  <c r="G2961" i="5"/>
  <c r="F2962" i="5"/>
  <c r="E2962" i="5"/>
  <c r="G2962" i="5"/>
  <c r="F2963" i="5"/>
  <c r="E2963" i="5"/>
  <c r="G2963" i="5"/>
  <c r="F2964" i="5"/>
  <c r="E2964" i="5"/>
  <c r="G2964" i="5"/>
  <c r="F2965" i="5"/>
  <c r="E2965" i="5"/>
  <c r="G2965" i="5"/>
  <c r="F2966" i="5"/>
  <c r="E2966" i="5"/>
  <c r="G2966" i="5"/>
  <c r="F2967" i="5"/>
  <c r="E2967" i="5"/>
  <c r="G2967" i="5"/>
  <c r="F2968" i="5"/>
  <c r="E2968" i="5"/>
  <c r="G2968" i="5"/>
  <c r="F2969" i="5"/>
  <c r="E2969" i="5"/>
  <c r="G2969" i="5"/>
  <c r="F2970" i="5"/>
  <c r="E2970" i="5"/>
  <c r="G2970" i="5"/>
  <c r="F2971" i="5"/>
  <c r="E2971" i="5"/>
  <c r="G2971" i="5"/>
  <c r="F2972" i="5"/>
  <c r="E2972" i="5"/>
  <c r="G2972" i="5"/>
  <c r="F2973" i="5"/>
  <c r="E2973" i="5"/>
  <c r="G2973" i="5"/>
  <c r="F2974" i="5"/>
  <c r="E2974" i="5"/>
  <c r="G2974" i="5"/>
  <c r="F2975" i="5"/>
  <c r="E2975" i="5"/>
  <c r="G2975" i="5"/>
  <c r="F2976" i="5"/>
  <c r="E2976" i="5"/>
  <c r="G2976" i="5"/>
  <c r="F2977" i="5"/>
  <c r="E2977" i="5"/>
  <c r="G2977" i="5"/>
  <c r="F2978" i="5"/>
  <c r="E2978" i="5"/>
  <c r="G2978" i="5"/>
  <c r="F2979" i="5"/>
  <c r="E2979" i="5"/>
  <c r="G2979" i="5"/>
  <c r="F2980" i="5"/>
  <c r="E2980" i="5"/>
  <c r="G2980" i="5"/>
  <c r="F2981" i="5"/>
  <c r="E2981" i="5"/>
  <c r="G2981" i="5"/>
  <c r="F2982" i="5"/>
  <c r="E2982" i="5"/>
  <c r="G2982" i="5"/>
  <c r="F2983" i="5"/>
  <c r="E2983" i="5"/>
  <c r="G2983" i="5"/>
  <c r="F2984" i="5"/>
  <c r="E2984" i="5"/>
  <c r="G2984" i="5"/>
  <c r="F2985" i="5"/>
  <c r="E2985" i="5"/>
  <c r="G2985" i="5"/>
  <c r="F2986" i="5"/>
  <c r="E2986" i="5"/>
  <c r="G2986" i="5"/>
  <c r="F2987" i="5"/>
  <c r="E2987" i="5"/>
  <c r="G2987" i="5"/>
  <c r="F2988" i="5"/>
  <c r="E2988" i="5"/>
  <c r="G2988" i="5"/>
  <c r="F2989" i="5"/>
  <c r="E2989" i="5"/>
  <c r="G2989" i="5"/>
  <c r="F2990" i="5"/>
  <c r="E2990" i="5"/>
  <c r="G2990" i="5"/>
  <c r="F2991" i="5"/>
  <c r="E2991" i="5"/>
  <c r="G2991" i="5"/>
  <c r="F2992" i="5"/>
  <c r="E2992" i="5"/>
  <c r="G2992" i="5"/>
  <c r="F2993" i="5"/>
  <c r="E2993" i="5"/>
  <c r="G2993" i="5"/>
  <c r="F2994" i="5"/>
  <c r="E2994" i="5"/>
  <c r="G2994" i="5"/>
  <c r="F2995" i="5"/>
  <c r="E2995" i="5"/>
  <c r="G2995" i="5"/>
  <c r="F2996" i="5"/>
  <c r="E2996" i="5"/>
  <c r="G2996" i="5"/>
  <c r="F2997" i="5"/>
  <c r="E2997" i="5"/>
  <c r="G2997" i="5"/>
  <c r="F2998" i="5"/>
  <c r="E2998" i="5"/>
  <c r="G2998" i="5"/>
  <c r="F2999" i="5"/>
  <c r="E2999" i="5"/>
  <c r="G2999" i="5"/>
  <c r="F3000" i="5"/>
  <c r="E3000" i="5"/>
  <c r="G3000" i="5"/>
  <c r="F3001" i="5"/>
  <c r="E3001" i="5"/>
  <c r="G3001" i="5"/>
  <c r="F3002" i="5"/>
  <c r="E3002" i="5"/>
  <c r="G3002" i="5"/>
  <c r="F3003" i="5"/>
  <c r="E3003" i="5"/>
  <c r="G3003" i="5"/>
  <c r="F3004" i="5"/>
  <c r="E3004" i="5"/>
  <c r="G3004" i="5"/>
  <c r="F3005" i="5"/>
  <c r="E3005" i="5"/>
  <c r="G3005" i="5"/>
  <c r="F3006" i="5"/>
  <c r="E3006" i="5"/>
  <c r="G3006" i="5"/>
  <c r="F3007" i="5"/>
  <c r="E3007" i="5"/>
  <c r="G3007" i="5"/>
  <c r="F3008" i="5"/>
  <c r="E3008" i="5"/>
  <c r="G3008" i="5"/>
  <c r="F3009" i="5"/>
  <c r="E3009" i="5"/>
  <c r="G3009" i="5"/>
  <c r="F3010" i="5"/>
  <c r="E3010" i="5"/>
  <c r="G3010" i="5"/>
  <c r="F3011" i="5"/>
  <c r="E3011" i="5"/>
  <c r="G3011" i="5"/>
  <c r="F3012" i="5"/>
  <c r="E3012" i="5"/>
  <c r="G3012" i="5"/>
  <c r="F3013" i="5"/>
  <c r="E3013" i="5"/>
  <c r="G3013" i="5"/>
  <c r="F3014" i="5"/>
  <c r="E3014" i="5"/>
  <c r="G3014" i="5"/>
  <c r="F3015" i="5"/>
  <c r="E3015" i="5"/>
  <c r="G3015" i="5"/>
  <c r="F3016" i="5"/>
  <c r="E3016" i="5"/>
  <c r="G3016" i="5"/>
  <c r="F3017" i="5"/>
  <c r="E3017" i="5"/>
  <c r="G3017" i="5"/>
  <c r="F3018" i="5"/>
  <c r="E3018" i="5"/>
  <c r="G3018" i="5"/>
  <c r="F3019" i="5"/>
  <c r="E3019" i="5"/>
  <c r="G3019" i="5"/>
  <c r="F3020" i="5"/>
  <c r="E3020" i="5"/>
  <c r="G3020" i="5"/>
  <c r="F3021" i="5"/>
  <c r="E3021" i="5"/>
  <c r="G3021" i="5"/>
  <c r="F3022" i="5"/>
  <c r="E3022" i="5"/>
  <c r="G3022" i="5"/>
  <c r="F3023" i="5"/>
  <c r="E3023" i="5"/>
  <c r="G3023" i="5"/>
  <c r="F3024" i="5"/>
  <c r="E3024" i="5"/>
  <c r="G3024" i="5"/>
  <c r="F3025" i="5"/>
  <c r="E3025" i="5"/>
  <c r="G3025" i="5"/>
  <c r="F3026" i="5"/>
  <c r="E3026" i="5"/>
  <c r="G3026" i="5"/>
  <c r="F3027" i="5"/>
  <c r="E3027" i="5"/>
  <c r="G3027" i="5"/>
  <c r="F3028" i="5"/>
  <c r="E3028" i="5"/>
  <c r="G3028" i="5"/>
  <c r="F3029" i="5"/>
  <c r="E3029" i="5"/>
  <c r="G3029" i="5"/>
  <c r="F3030" i="5"/>
  <c r="E3030" i="5"/>
  <c r="G3030" i="5"/>
  <c r="F3031" i="5"/>
  <c r="E3031" i="5"/>
  <c r="G3031" i="5"/>
  <c r="F3032" i="5"/>
  <c r="E3032" i="5"/>
  <c r="G3032" i="5"/>
  <c r="F3033" i="5"/>
  <c r="E3033" i="5"/>
  <c r="G3033" i="5"/>
  <c r="F3034" i="5"/>
  <c r="E3034" i="5"/>
  <c r="G3034" i="5"/>
  <c r="F3035" i="5"/>
  <c r="E3035" i="5"/>
  <c r="G3035" i="5"/>
  <c r="F3036" i="5"/>
  <c r="E3036" i="5"/>
  <c r="G3036" i="5"/>
  <c r="F3037" i="5"/>
  <c r="E3037" i="5"/>
  <c r="G3037" i="5"/>
  <c r="F3038" i="5"/>
  <c r="E3038" i="5"/>
  <c r="G3038" i="5"/>
  <c r="F3039" i="5"/>
  <c r="E3039" i="5"/>
  <c r="G3039" i="5"/>
  <c r="F3040" i="5"/>
  <c r="E3040" i="5"/>
  <c r="G3040" i="5"/>
  <c r="F3041" i="5"/>
  <c r="E3041" i="5"/>
  <c r="G3041" i="5"/>
  <c r="F3042" i="5"/>
  <c r="E3042" i="5"/>
  <c r="G3042" i="5"/>
  <c r="F3043" i="5"/>
  <c r="E3043" i="5"/>
  <c r="G3043" i="5"/>
  <c r="F3044" i="5"/>
  <c r="E3044" i="5"/>
  <c r="G3044" i="5"/>
  <c r="F3045" i="5"/>
  <c r="E3045" i="5"/>
  <c r="G3045" i="5"/>
  <c r="F3046" i="5"/>
  <c r="E3046" i="5"/>
  <c r="G3046" i="5"/>
  <c r="F3047" i="5"/>
  <c r="E3047" i="5"/>
  <c r="G3047" i="5"/>
  <c r="F3048" i="5"/>
  <c r="E3048" i="5"/>
  <c r="G3048" i="5"/>
  <c r="F3049" i="5"/>
  <c r="E3049" i="5"/>
  <c r="G3049" i="5"/>
  <c r="F3050" i="5"/>
  <c r="E3050" i="5"/>
  <c r="G3050" i="5"/>
  <c r="F3051" i="5"/>
  <c r="E3051" i="5"/>
  <c r="G3051" i="5"/>
  <c r="F3052" i="5"/>
  <c r="E3052" i="5"/>
  <c r="G3052" i="5"/>
  <c r="F3053" i="5"/>
  <c r="E3053" i="5"/>
  <c r="G3053" i="5"/>
  <c r="F3054" i="5"/>
  <c r="E3054" i="5"/>
  <c r="G3054" i="5"/>
  <c r="F3055" i="5"/>
  <c r="E3055" i="5"/>
  <c r="G3055" i="5"/>
  <c r="F3056" i="5"/>
  <c r="E3056" i="5"/>
  <c r="G3056" i="5"/>
  <c r="F3057" i="5"/>
  <c r="E3057" i="5"/>
  <c r="G3057" i="5"/>
  <c r="F3058" i="5"/>
  <c r="E3058" i="5"/>
  <c r="G3058" i="5"/>
  <c r="F3059" i="5"/>
  <c r="E3059" i="5"/>
  <c r="G3059" i="5"/>
  <c r="F3060" i="5"/>
  <c r="E3060" i="5"/>
  <c r="G3060" i="5"/>
  <c r="F3061" i="5"/>
  <c r="E3061" i="5"/>
  <c r="G3061" i="5"/>
  <c r="F3062" i="5"/>
  <c r="E3062" i="5"/>
  <c r="G3062" i="5"/>
  <c r="F3063" i="5"/>
  <c r="E3063" i="5"/>
  <c r="G3063" i="5"/>
  <c r="F3064" i="5"/>
  <c r="E3064" i="5"/>
  <c r="G3064" i="5"/>
  <c r="F3065" i="5"/>
  <c r="E3065" i="5"/>
  <c r="G3065" i="5"/>
  <c r="F3066" i="5"/>
  <c r="E3066" i="5"/>
  <c r="G3066" i="5"/>
  <c r="F3067" i="5"/>
  <c r="E3067" i="5"/>
  <c r="G3067" i="5"/>
  <c r="F3068" i="5"/>
  <c r="E3068" i="5"/>
  <c r="G3068" i="5"/>
  <c r="F3069" i="5"/>
  <c r="E3069" i="5"/>
  <c r="G3069" i="5"/>
  <c r="F3070" i="5"/>
  <c r="E3070" i="5"/>
  <c r="G3070" i="5"/>
  <c r="F3071" i="5"/>
  <c r="E3071" i="5"/>
  <c r="G3071" i="5"/>
  <c r="F3072" i="5"/>
  <c r="E3072" i="5"/>
  <c r="G3072" i="5"/>
  <c r="F3073" i="5"/>
  <c r="E3073" i="5"/>
  <c r="G3073" i="5"/>
  <c r="F3074" i="5"/>
  <c r="E3074" i="5"/>
  <c r="G3074" i="5"/>
  <c r="F3075" i="5"/>
  <c r="E3075" i="5"/>
  <c r="G3075" i="5"/>
  <c r="F3076" i="5"/>
  <c r="E3076" i="5"/>
  <c r="G3076" i="5"/>
  <c r="F3077" i="5"/>
  <c r="E3077" i="5"/>
  <c r="G3077" i="5"/>
  <c r="F3078" i="5"/>
  <c r="E3078" i="5"/>
  <c r="G3078" i="5"/>
  <c r="F3079" i="5"/>
  <c r="E3079" i="5"/>
  <c r="G3079" i="5"/>
  <c r="F3080" i="5"/>
  <c r="E3080" i="5"/>
  <c r="G3080" i="5"/>
  <c r="F3081" i="5"/>
  <c r="E3081" i="5"/>
  <c r="G3081" i="5"/>
  <c r="F3082" i="5"/>
  <c r="E3082" i="5"/>
  <c r="G3082" i="5"/>
  <c r="F3083" i="5"/>
  <c r="E3083" i="5"/>
  <c r="G3083" i="5"/>
  <c r="F3084" i="5"/>
  <c r="E3084" i="5"/>
  <c r="G3084" i="5"/>
  <c r="F3085" i="5"/>
  <c r="E3085" i="5"/>
  <c r="G3085" i="5"/>
  <c r="F3086" i="5"/>
  <c r="E3086" i="5"/>
  <c r="G3086" i="5"/>
  <c r="F3087" i="5"/>
  <c r="E3087" i="5"/>
  <c r="G3087" i="5"/>
  <c r="F3088" i="5"/>
  <c r="E3088" i="5"/>
  <c r="G3088" i="5"/>
  <c r="F3089" i="5"/>
  <c r="E3089" i="5"/>
  <c r="G3089" i="5"/>
  <c r="F3090" i="5"/>
  <c r="E3090" i="5"/>
  <c r="G3090" i="5"/>
  <c r="F3091" i="5"/>
  <c r="E3091" i="5"/>
  <c r="G3091" i="5"/>
  <c r="F3092" i="5"/>
  <c r="E3092" i="5"/>
  <c r="G3092" i="5"/>
  <c r="F3093" i="5"/>
  <c r="E3093" i="5"/>
  <c r="G3093" i="5"/>
  <c r="F3094" i="5"/>
  <c r="E3094" i="5"/>
  <c r="G3094" i="5"/>
  <c r="F3095" i="5"/>
  <c r="E3095" i="5"/>
  <c r="G3095" i="5"/>
  <c r="F3096" i="5"/>
  <c r="E3096" i="5"/>
  <c r="G3096" i="5"/>
  <c r="F3097" i="5"/>
  <c r="E3097" i="5"/>
  <c r="G3097" i="5"/>
  <c r="F3098" i="5"/>
  <c r="E3098" i="5"/>
  <c r="G3098" i="5"/>
  <c r="F3099" i="5"/>
  <c r="E3099" i="5"/>
  <c r="G3099" i="5"/>
  <c r="F3100" i="5"/>
  <c r="E3100" i="5"/>
  <c r="G3100" i="5"/>
  <c r="F3101" i="5"/>
  <c r="E3101" i="5"/>
  <c r="G3101" i="5"/>
  <c r="F3102" i="5"/>
  <c r="E3102" i="5"/>
  <c r="G3102" i="5"/>
  <c r="F3103" i="5"/>
  <c r="E3103" i="5"/>
  <c r="G3103" i="5"/>
  <c r="F3104" i="5"/>
  <c r="E3104" i="5"/>
  <c r="G3104" i="5"/>
  <c r="F3105" i="5"/>
  <c r="E3105" i="5"/>
  <c r="G3105" i="5"/>
  <c r="F3106" i="5"/>
  <c r="E3106" i="5"/>
  <c r="G3106" i="5"/>
  <c r="F3107" i="5"/>
  <c r="E3107" i="5"/>
  <c r="G3107" i="5"/>
  <c r="F3108" i="5"/>
  <c r="E3108" i="5"/>
  <c r="G3108" i="5"/>
  <c r="F3109" i="5"/>
  <c r="E3109" i="5"/>
  <c r="G3109" i="5"/>
  <c r="F3110" i="5"/>
  <c r="E3110" i="5"/>
  <c r="G3110" i="5"/>
  <c r="F3111" i="5"/>
  <c r="E3111" i="5"/>
  <c r="G3111" i="5"/>
  <c r="F3112" i="5"/>
  <c r="E3112" i="5"/>
  <c r="G3112" i="5"/>
  <c r="F3113" i="5"/>
  <c r="E3113" i="5"/>
  <c r="G3113" i="5"/>
  <c r="F3114" i="5"/>
  <c r="E3114" i="5"/>
  <c r="G3114" i="5"/>
  <c r="F3115" i="5"/>
  <c r="E3115" i="5"/>
  <c r="G3115" i="5"/>
  <c r="F3116" i="5"/>
  <c r="E3116" i="5"/>
  <c r="G3116" i="5"/>
  <c r="F3117" i="5"/>
  <c r="E3117" i="5"/>
  <c r="G3117" i="5"/>
  <c r="F3118" i="5"/>
  <c r="E3118" i="5"/>
  <c r="G3118" i="5"/>
  <c r="F3119" i="5"/>
  <c r="E3119" i="5"/>
  <c r="G3119" i="5"/>
  <c r="F3120" i="5"/>
  <c r="E3120" i="5"/>
  <c r="G3120" i="5"/>
  <c r="F3121" i="5"/>
  <c r="E3121" i="5"/>
  <c r="G3121" i="5"/>
  <c r="F3122" i="5"/>
  <c r="E3122" i="5"/>
  <c r="G3122" i="5"/>
  <c r="F3123" i="5"/>
  <c r="E3123" i="5"/>
  <c r="G3123" i="5"/>
  <c r="F3124" i="5"/>
  <c r="E3124" i="5"/>
  <c r="G3124" i="5"/>
  <c r="F3125" i="5"/>
  <c r="E3125" i="5"/>
  <c r="G3125" i="5"/>
  <c r="F3126" i="5"/>
  <c r="E3126" i="5"/>
  <c r="G3126" i="5"/>
  <c r="F3127" i="5"/>
  <c r="E3127" i="5"/>
  <c r="G3127" i="5"/>
  <c r="F3128" i="5"/>
  <c r="E3128" i="5"/>
  <c r="G3128" i="5"/>
  <c r="F3129" i="5"/>
  <c r="E3129" i="5"/>
  <c r="G3129" i="5"/>
  <c r="F3130" i="5"/>
  <c r="E3130" i="5"/>
  <c r="G3130" i="5"/>
  <c r="F3131" i="5"/>
  <c r="E3131" i="5"/>
  <c r="G3131" i="5"/>
  <c r="F3132" i="5"/>
  <c r="E3132" i="5"/>
  <c r="G3132" i="5"/>
  <c r="F3133" i="5"/>
  <c r="E3133" i="5"/>
  <c r="G3133" i="5"/>
  <c r="F3134" i="5"/>
  <c r="E3134" i="5"/>
  <c r="G3134" i="5"/>
  <c r="F3135" i="5"/>
  <c r="E3135" i="5"/>
  <c r="G3135" i="5"/>
  <c r="F3136" i="5"/>
  <c r="E3136" i="5"/>
  <c r="G3136" i="5"/>
  <c r="F3137" i="5"/>
  <c r="E3137" i="5"/>
  <c r="G3137" i="5"/>
  <c r="F3138" i="5"/>
  <c r="E3138" i="5"/>
  <c r="G3138" i="5"/>
  <c r="F3139" i="5"/>
  <c r="E3139" i="5"/>
  <c r="G3139" i="5"/>
  <c r="F3140" i="5"/>
  <c r="E3140" i="5"/>
  <c r="G3140" i="5"/>
  <c r="F3141" i="5"/>
  <c r="E3141" i="5"/>
  <c r="G3141" i="5"/>
  <c r="F3142" i="5"/>
  <c r="E3142" i="5"/>
  <c r="G3142" i="5"/>
  <c r="F3143" i="5"/>
  <c r="E3143" i="5"/>
  <c r="G3143" i="5"/>
  <c r="F3144" i="5"/>
  <c r="E3144" i="5"/>
  <c r="G3144" i="5"/>
  <c r="F3145" i="5"/>
  <c r="E3145" i="5"/>
  <c r="G3145" i="5"/>
  <c r="F3146" i="5"/>
  <c r="E3146" i="5"/>
  <c r="G3146" i="5"/>
  <c r="F3147" i="5"/>
  <c r="E3147" i="5"/>
  <c r="G3147" i="5"/>
  <c r="F3148" i="5"/>
  <c r="E3148" i="5"/>
  <c r="G3148" i="5"/>
  <c r="F3149" i="5"/>
  <c r="E3149" i="5"/>
  <c r="G3149" i="5"/>
  <c r="F3150" i="5"/>
  <c r="E3150" i="5"/>
  <c r="G3150" i="5"/>
  <c r="F3151" i="5"/>
  <c r="E3151" i="5"/>
  <c r="G3151" i="5"/>
  <c r="F3152" i="5"/>
  <c r="E3152" i="5"/>
  <c r="G3152" i="5"/>
  <c r="F3153" i="5"/>
  <c r="E3153" i="5"/>
  <c r="G3153" i="5"/>
  <c r="F3154" i="5"/>
  <c r="E3154" i="5"/>
  <c r="G3154" i="5"/>
  <c r="F3155" i="5"/>
  <c r="E3155" i="5"/>
  <c r="G3155" i="5"/>
  <c r="F3156" i="5"/>
  <c r="E3156" i="5"/>
  <c r="G3156" i="5"/>
  <c r="F3157" i="5"/>
  <c r="E3157" i="5"/>
  <c r="G3157" i="5"/>
  <c r="F3158" i="5"/>
  <c r="E3158" i="5"/>
  <c r="G3158" i="5"/>
  <c r="F3159" i="5"/>
  <c r="E3159" i="5"/>
  <c r="G3159" i="5"/>
  <c r="F3160" i="5"/>
  <c r="E3160" i="5"/>
  <c r="G3160" i="5"/>
  <c r="F3161" i="5"/>
  <c r="E3161" i="5"/>
  <c r="G3161" i="5"/>
  <c r="F3162" i="5"/>
  <c r="E3162" i="5"/>
  <c r="G3162" i="5"/>
  <c r="F3163" i="5"/>
  <c r="E3163" i="5"/>
  <c r="G3163" i="5"/>
  <c r="F3164" i="5"/>
  <c r="E3164" i="5"/>
  <c r="G3164" i="5"/>
  <c r="F3165" i="5"/>
  <c r="E3165" i="5"/>
  <c r="G3165" i="5"/>
  <c r="F3166" i="5"/>
  <c r="E3166" i="5"/>
  <c r="G3166" i="5"/>
  <c r="F3167" i="5"/>
  <c r="E3167" i="5"/>
  <c r="G3167" i="5"/>
  <c r="F3168" i="5"/>
  <c r="E3168" i="5"/>
  <c r="G3168" i="5"/>
  <c r="F3169" i="5"/>
  <c r="E3169" i="5"/>
  <c r="G3169" i="5"/>
  <c r="F3170" i="5"/>
  <c r="E3170" i="5"/>
  <c r="G3170" i="5"/>
  <c r="F3171" i="5"/>
  <c r="E3171" i="5"/>
  <c r="G3171" i="5"/>
  <c r="F3172" i="5"/>
  <c r="E3172" i="5"/>
  <c r="G3172" i="5"/>
  <c r="F3173" i="5"/>
  <c r="E3173" i="5"/>
  <c r="G3173" i="5"/>
  <c r="F3174" i="5"/>
  <c r="E3174" i="5"/>
  <c r="G3174" i="5"/>
  <c r="F3175" i="5"/>
  <c r="E3175" i="5"/>
  <c r="G3175" i="5"/>
  <c r="F3176" i="5"/>
  <c r="E3176" i="5"/>
  <c r="G3176" i="5"/>
  <c r="F3177" i="5"/>
  <c r="E3177" i="5"/>
  <c r="G3177" i="5"/>
  <c r="F3178" i="5"/>
  <c r="E3178" i="5"/>
  <c r="G3178" i="5"/>
  <c r="F3179" i="5"/>
  <c r="E3179" i="5"/>
  <c r="G3179" i="5"/>
  <c r="F3180" i="5"/>
  <c r="E3180" i="5"/>
  <c r="G3180" i="5"/>
  <c r="F3181" i="5"/>
  <c r="E3181" i="5"/>
  <c r="G3181" i="5"/>
  <c r="F3182" i="5"/>
  <c r="E3182" i="5"/>
  <c r="G3182" i="5"/>
  <c r="F3183" i="5"/>
  <c r="E3183" i="5"/>
  <c r="G3183" i="5"/>
  <c r="F3184" i="5"/>
  <c r="E3184" i="5"/>
  <c r="G3184" i="5"/>
  <c r="F3185" i="5"/>
  <c r="E3185" i="5"/>
  <c r="G3185" i="5"/>
  <c r="F3186" i="5"/>
  <c r="E3186" i="5"/>
  <c r="G3186" i="5"/>
  <c r="F3187" i="5"/>
  <c r="E3187" i="5"/>
  <c r="G3187" i="5"/>
  <c r="F3188" i="5"/>
  <c r="E3188" i="5"/>
  <c r="G3188" i="5"/>
  <c r="F3189" i="5"/>
  <c r="E3189" i="5"/>
  <c r="G3189" i="5"/>
  <c r="F3190" i="5"/>
  <c r="E3190" i="5"/>
  <c r="G3190" i="5"/>
  <c r="F3191" i="5"/>
  <c r="E3191" i="5"/>
  <c r="G3191" i="5"/>
  <c r="F3192" i="5"/>
  <c r="E3192" i="5"/>
  <c r="G3192" i="5"/>
  <c r="F3193" i="5"/>
  <c r="E3193" i="5"/>
  <c r="G3193" i="5"/>
  <c r="F3194" i="5"/>
  <c r="E3194" i="5"/>
  <c r="G3194" i="5"/>
  <c r="F3195" i="5"/>
  <c r="E3195" i="5"/>
  <c r="G3195" i="5"/>
  <c r="F3196" i="5"/>
  <c r="E3196" i="5"/>
  <c r="G3196" i="5"/>
  <c r="F3197" i="5"/>
  <c r="E3197" i="5"/>
  <c r="G3197" i="5"/>
  <c r="F3198" i="5"/>
  <c r="E3198" i="5"/>
  <c r="G3198" i="5"/>
  <c r="F3199" i="5"/>
  <c r="E3199" i="5"/>
  <c r="G3199" i="5"/>
  <c r="F3200" i="5"/>
  <c r="E3200" i="5"/>
  <c r="G3200" i="5"/>
  <c r="F3201" i="5"/>
  <c r="E3201" i="5"/>
  <c r="G3201" i="5"/>
  <c r="F3202" i="5"/>
  <c r="E3202" i="5"/>
  <c r="G3202" i="5"/>
  <c r="F3203" i="5"/>
  <c r="E3203" i="5"/>
  <c r="G3203" i="5"/>
  <c r="F3204" i="5"/>
  <c r="E3204" i="5"/>
  <c r="G3204" i="5"/>
  <c r="F3205" i="5"/>
  <c r="E3205" i="5"/>
  <c r="G3205" i="5"/>
  <c r="F3206" i="5"/>
  <c r="E3206" i="5"/>
  <c r="G3206" i="5"/>
  <c r="F3207" i="5"/>
  <c r="E3207" i="5"/>
  <c r="G3207" i="5"/>
  <c r="F3208" i="5"/>
  <c r="E3208" i="5"/>
  <c r="G3208" i="5"/>
  <c r="F3209" i="5"/>
  <c r="E3209" i="5"/>
  <c r="G3209" i="5"/>
  <c r="F3210" i="5"/>
  <c r="E3210" i="5"/>
  <c r="G3210" i="5"/>
  <c r="F3211" i="5"/>
  <c r="E3211" i="5"/>
  <c r="G3211" i="5"/>
  <c r="F3212" i="5"/>
  <c r="E3212" i="5"/>
  <c r="G3212" i="5"/>
  <c r="F3213" i="5"/>
  <c r="E3213" i="5"/>
  <c r="G3213" i="5"/>
  <c r="F3214" i="5"/>
  <c r="E3214" i="5"/>
  <c r="G3214" i="5"/>
  <c r="F3215" i="5"/>
  <c r="E3215" i="5"/>
  <c r="G3215" i="5"/>
  <c r="F3216" i="5"/>
  <c r="E3216" i="5"/>
  <c r="G3216" i="5"/>
  <c r="F3217" i="5"/>
  <c r="E3217" i="5"/>
  <c r="G3217" i="5"/>
  <c r="F3218" i="5"/>
  <c r="E3218" i="5"/>
  <c r="G3218" i="5"/>
  <c r="F3219" i="5"/>
  <c r="E3219" i="5"/>
  <c r="G3219" i="5"/>
  <c r="F3220" i="5"/>
  <c r="E3220" i="5"/>
  <c r="G3220" i="5"/>
  <c r="F3221" i="5"/>
  <c r="E3221" i="5"/>
  <c r="G3221" i="5"/>
  <c r="F3222" i="5"/>
  <c r="E3222" i="5"/>
  <c r="G3222" i="5"/>
  <c r="F3223" i="5"/>
  <c r="E3223" i="5"/>
  <c r="G3223" i="5"/>
  <c r="F3224" i="5"/>
  <c r="E3224" i="5"/>
  <c r="G3224" i="5"/>
  <c r="F3225" i="5"/>
  <c r="E3225" i="5"/>
  <c r="G3225" i="5"/>
  <c r="F3226" i="5"/>
  <c r="E3226" i="5"/>
  <c r="G3226" i="5"/>
  <c r="F3227" i="5"/>
  <c r="E3227" i="5"/>
  <c r="G3227" i="5"/>
  <c r="F3228" i="5"/>
  <c r="E3228" i="5"/>
  <c r="G3228" i="5"/>
  <c r="F3229" i="5"/>
  <c r="E3229" i="5"/>
  <c r="G3229" i="5"/>
  <c r="F3230" i="5"/>
  <c r="E3230" i="5"/>
  <c r="G3230" i="5"/>
  <c r="F3231" i="5"/>
  <c r="E3231" i="5"/>
  <c r="G3231" i="5"/>
  <c r="F3232" i="5"/>
  <c r="E3232" i="5"/>
  <c r="G3232" i="5"/>
  <c r="F3233" i="5"/>
  <c r="E3233" i="5"/>
  <c r="G3233" i="5"/>
  <c r="F3234" i="5"/>
  <c r="E3234" i="5"/>
  <c r="G3234" i="5"/>
  <c r="F3235" i="5"/>
  <c r="E3235" i="5"/>
  <c r="G3235" i="5"/>
  <c r="F3236" i="5"/>
  <c r="E3236" i="5"/>
  <c r="G3236" i="5"/>
  <c r="F3237" i="5"/>
  <c r="E3237" i="5"/>
  <c r="G3237" i="5"/>
  <c r="F3238" i="5"/>
  <c r="E3238" i="5"/>
  <c r="G3238" i="5"/>
  <c r="F3239" i="5"/>
  <c r="E3239" i="5"/>
  <c r="G3239" i="5"/>
  <c r="F3240" i="5"/>
  <c r="E3240" i="5"/>
  <c r="G3240" i="5"/>
  <c r="F3241" i="5"/>
  <c r="E3241" i="5"/>
  <c r="G3241" i="5"/>
  <c r="F3242" i="5"/>
  <c r="E3242" i="5"/>
  <c r="G3242" i="5"/>
  <c r="F3243" i="5"/>
  <c r="E3243" i="5"/>
  <c r="G3243" i="5"/>
  <c r="F3244" i="5"/>
  <c r="E3244" i="5"/>
  <c r="G3244" i="5"/>
  <c r="F3245" i="5"/>
  <c r="E3245" i="5"/>
  <c r="G3245" i="5"/>
  <c r="F3246" i="5"/>
  <c r="E3246" i="5"/>
  <c r="G3246" i="5"/>
  <c r="F3247" i="5"/>
  <c r="E3247" i="5"/>
  <c r="G3247" i="5"/>
  <c r="F3248" i="5"/>
  <c r="E3248" i="5"/>
  <c r="G3248" i="5"/>
  <c r="F3249" i="5"/>
  <c r="E3249" i="5"/>
  <c r="G3249" i="5"/>
  <c r="F3250" i="5"/>
  <c r="E3250" i="5"/>
  <c r="G3250" i="5"/>
  <c r="F3251" i="5"/>
  <c r="E3251" i="5"/>
  <c r="G3251" i="5"/>
  <c r="F3252" i="5"/>
  <c r="E3252" i="5"/>
  <c r="G3252" i="5"/>
  <c r="F3253" i="5"/>
  <c r="E3253" i="5"/>
  <c r="G3253" i="5"/>
  <c r="F3254" i="5"/>
  <c r="E3254" i="5"/>
  <c r="G3254" i="5"/>
  <c r="F3255" i="5"/>
  <c r="E3255" i="5"/>
  <c r="G3255" i="5"/>
  <c r="F3256" i="5"/>
  <c r="E3256" i="5"/>
  <c r="G3256" i="5"/>
  <c r="F3257" i="5"/>
  <c r="E3257" i="5"/>
  <c r="G3257" i="5"/>
  <c r="F3258" i="5"/>
  <c r="E3258" i="5"/>
  <c r="G3258" i="5"/>
  <c r="F3259" i="5"/>
  <c r="E3259" i="5"/>
  <c r="G3259" i="5"/>
  <c r="F3260" i="5"/>
  <c r="E3260" i="5"/>
  <c r="G3260" i="5"/>
  <c r="F3261" i="5"/>
  <c r="E3261" i="5"/>
  <c r="G3261" i="5"/>
  <c r="F3262" i="5"/>
  <c r="E3262" i="5"/>
  <c r="G3262" i="5"/>
  <c r="F3263" i="5"/>
  <c r="E3263" i="5"/>
  <c r="G3263" i="5"/>
  <c r="F3264" i="5"/>
  <c r="E3264" i="5"/>
  <c r="G3264" i="5"/>
  <c r="F3265" i="5"/>
  <c r="E3265" i="5"/>
  <c r="G3265" i="5"/>
  <c r="F3266" i="5"/>
  <c r="E3266" i="5"/>
  <c r="G3266" i="5"/>
  <c r="F3267" i="5"/>
  <c r="E3267" i="5"/>
  <c r="G3267" i="5"/>
  <c r="F3268" i="5"/>
  <c r="E3268" i="5"/>
  <c r="G3268" i="5"/>
  <c r="F3269" i="5"/>
  <c r="E3269" i="5"/>
  <c r="G3269" i="5"/>
  <c r="F3270" i="5"/>
  <c r="E3270" i="5"/>
  <c r="G3270" i="5"/>
  <c r="F3271" i="5"/>
  <c r="E3271" i="5"/>
  <c r="G3271" i="5"/>
  <c r="F3272" i="5"/>
  <c r="E3272" i="5"/>
  <c r="G3272" i="5"/>
  <c r="F3273" i="5"/>
  <c r="E3273" i="5"/>
  <c r="G3273" i="5"/>
  <c r="F3274" i="5"/>
  <c r="E3274" i="5"/>
  <c r="G3274" i="5"/>
  <c r="F3275" i="5"/>
  <c r="E3275" i="5"/>
  <c r="G3275" i="5"/>
  <c r="F3276" i="5"/>
  <c r="E3276" i="5"/>
  <c r="G3276" i="5"/>
  <c r="F3277" i="5"/>
  <c r="E3277" i="5"/>
  <c r="G3277" i="5"/>
  <c r="F3278" i="5"/>
  <c r="E3278" i="5"/>
  <c r="G3278" i="5"/>
  <c r="F3279" i="5"/>
  <c r="E3279" i="5"/>
  <c r="G3279" i="5"/>
  <c r="F3280" i="5"/>
  <c r="E3280" i="5"/>
  <c r="G3280" i="5"/>
  <c r="F3281" i="5"/>
  <c r="E3281" i="5"/>
  <c r="G3281" i="5"/>
  <c r="F3282" i="5"/>
  <c r="E3282" i="5"/>
  <c r="G3282" i="5"/>
  <c r="F3283" i="5"/>
  <c r="E3283" i="5"/>
  <c r="G3283" i="5"/>
  <c r="F3284" i="5"/>
  <c r="E3284" i="5"/>
  <c r="G3284" i="5"/>
  <c r="F3285" i="5"/>
  <c r="E3285" i="5"/>
  <c r="G3285" i="5"/>
  <c r="F3286" i="5"/>
  <c r="E3286" i="5"/>
  <c r="G3286" i="5"/>
  <c r="F3287" i="5"/>
  <c r="E3287" i="5"/>
  <c r="G3287" i="5"/>
  <c r="F3288" i="5"/>
  <c r="E3288" i="5"/>
  <c r="G3288" i="5"/>
  <c r="F3289" i="5"/>
  <c r="E3289" i="5"/>
  <c r="G3289" i="5"/>
  <c r="F3290" i="5"/>
  <c r="E3290" i="5"/>
  <c r="G3290" i="5"/>
  <c r="F3291" i="5"/>
  <c r="E3291" i="5"/>
  <c r="G3291" i="5"/>
  <c r="F3292" i="5"/>
  <c r="E3292" i="5"/>
  <c r="G3292" i="5"/>
  <c r="F3293" i="5"/>
  <c r="E3293" i="5"/>
  <c r="G3293" i="5"/>
  <c r="F3294" i="5"/>
  <c r="E3294" i="5"/>
  <c r="G3294" i="5"/>
  <c r="F3295" i="5"/>
  <c r="E3295" i="5"/>
  <c r="G3295" i="5"/>
  <c r="F3296" i="5"/>
  <c r="E3296" i="5"/>
  <c r="G3296" i="5"/>
  <c r="F3297" i="5"/>
  <c r="E3297" i="5"/>
  <c r="G3297" i="5"/>
  <c r="F3298" i="5"/>
  <c r="E3298" i="5"/>
  <c r="G3298" i="5"/>
  <c r="F3299" i="5"/>
  <c r="E3299" i="5"/>
  <c r="G3299" i="5"/>
  <c r="F3300" i="5"/>
  <c r="E3300" i="5"/>
  <c r="G3300" i="5"/>
  <c r="F3301" i="5"/>
  <c r="E3301" i="5"/>
  <c r="G3301" i="5"/>
  <c r="F3302" i="5"/>
  <c r="E3302" i="5"/>
  <c r="G3302" i="5"/>
  <c r="F3303" i="5"/>
  <c r="E3303" i="5"/>
  <c r="G3303" i="5"/>
  <c r="F3304" i="5"/>
  <c r="E3304" i="5"/>
  <c r="G3304" i="5"/>
  <c r="F3305" i="5"/>
  <c r="E3305" i="5"/>
  <c r="G3305" i="5"/>
  <c r="F3306" i="5"/>
  <c r="E3306" i="5"/>
  <c r="G3306" i="5"/>
  <c r="F3307" i="5"/>
  <c r="E3307" i="5"/>
  <c r="G3307" i="5"/>
  <c r="F3308" i="5"/>
  <c r="E3308" i="5"/>
  <c r="G3308" i="5"/>
  <c r="F3309" i="5"/>
  <c r="E3309" i="5"/>
  <c r="G3309" i="5"/>
  <c r="F3310" i="5"/>
  <c r="E3310" i="5"/>
  <c r="G3310" i="5"/>
  <c r="F3311" i="5"/>
  <c r="E3311" i="5"/>
  <c r="G3311" i="5"/>
  <c r="F3312" i="5"/>
  <c r="E3312" i="5"/>
  <c r="G3312" i="5"/>
  <c r="F3313" i="5"/>
  <c r="E3313" i="5"/>
  <c r="G3313" i="5"/>
  <c r="F3314" i="5"/>
  <c r="E3314" i="5"/>
  <c r="G3314" i="5"/>
  <c r="F3315" i="5"/>
  <c r="E3315" i="5"/>
  <c r="G3315" i="5"/>
  <c r="F3316" i="5"/>
  <c r="E3316" i="5"/>
  <c r="G3316" i="5"/>
  <c r="F3317" i="5"/>
  <c r="E3317" i="5"/>
  <c r="G3317" i="5"/>
  <c r="F3318" i="5"/>
  <c r="E3318" i="5"/>
  <c r="G3318" i="5"/>
  <c r="F3319" i="5"/>
  <c r="E3319" i="5"/>
  <c r="G3319" i="5"/>
  <c r="F3320" i="5"/>
  <c r="E3320" i="5"/>
  <c r="G3320" i="5"/>
  <c r="F3321" i="5"/>
  <c r="E3321" i="5"/>
  <c r="G3321" i="5"/>
  <c r="F3322" i="5"/>
  <c r="E3322" i="5"/>
  <c r="G3322" i="5"/>
  <c r="F3323" i="5"/>
  <c r="E3323" i="5"/>
  <c r="G3323" i="5"/>
  <c r="F3324" i="5"/>
  <c r="E3324" i="5"/>
  <c r="G3324" i="5"/>
  <c r="F3325" i="5"/>
  <c r="E3325" i="5"/>
  <c r="G3325" i="5"/>
  <c r="F3326" i="5"/>
  <c r="E3326" i="5"/>
  <c r="G3326" i="5"/>
  <c r="F3327" i="5"/>
  <c r="E3327" i="5"/>
  <c r="G3327" i="5"/>
  <c r="F3328" i="5"/>
  <c r="E3328" i="5"/>
  <c r="G3328" i="5"/>
  <c r="F3329" i="5"/>
  <c r="E3329" i="5"/>
  <c r="G3329" i="5"/>
  <c r="F3330" i="5"/>
  <c r="E3330" i="5"/>
  <c r="G3330" i="5"/>
  <c r="F3331" i="5"/>
  <c r="E3331" i="5"/>
  <c r="G3331" i="5"/>
  <c r="F3332" i="5"/>
  <c r="E3332" i="5"/>
  <c r="G3332" i="5"/>
  <c r="F3333" i="5"/>
  <c r="E3333" i="5"/>
  <c r="G3333" i="5"/>
  <c r="F3334" i="5"/>
  <c r="E3334" i="5"/>
  <c r="G3334" i="5"/>
  <c r="F3335" i="5"/>
  <c r="E3335" i="5"/>
  <c r="G3335" i="5"/>
  <c r="F3336" i="5"/>
  <c r="E3336" i="5"/>
  <c r="G3336" i="5"/>
  <c r="F3337" i="5"/>
  <c r="E3337" i="5"/>
  <c r="G3337" i="5"/>
  <c r="F3338" i="5"/>
  <c r="E3338" i="5"/>
  <c r="G3338" i="5"/>
  <c r="F3339" i="5"/>
  <c r="E3339" i="5"/>
  <c r="G3339" i="5"/>
  <c r="F3340" i="5"/>
  <c r="E3340" i="5"/>
  <c r="G3340" i="5"/>
  <c r="F3341" i="5"/>
  <c r="E3341" i="5"/>
  <c r="G3341" i="5"/>
  <c r="F3342" i="5"/>
  <c r="E3342" i="5"/>
  <c r="G3342" i="5"/>
  <c r="F3343" i="5"/>
  <c r="E3343" i="5"/>
  <c r="G3343" i="5"/>
  <c r="F3344" i="5"/>
  <c r="E3344" i="5"/>
  <c r="G3344" i="5"/>
  <c r="F3345" i="5"/>
  <c r="E3345" i="5"/>
  <c r="G3345" i="5"/>
  <c r="F3346" i="5"/>
  <c r="E3346" i="5"/>
  <c r="G3346" i="5"/>
  <c r="F3347" i="5"/>
  <c r="E3347" i="5"/>
  <c r="G3347" i="5"/>
  <c r="F3348" i="5"/>
  <c r="E3348" i="5"/>
  <c r="G3348" i="5"/>
  <c r="F3349" i="5"/>
  <c r="E3349" i="5"/>
  <c r="G3349" i="5"/>
  <c r="F3350" i="5"/>
  <c r="E3350" i="5"/>
  <c r="G3350" i="5"/>
  <c r="F3351" i="5"/>
  <c r="E3351" i="5"/>
  <c r="G3351" i="5"/>
  <c r="F3352" i="5"/>
  <c r="E3352" i="5"/>
  <c r="G3352" i="5"/>
  <c r="F3353" i="5"/>
  <c r="E3353" i="5"/>
  <c r="G3353" i="5"/>
  <c r="F3354" i="5"/>
  <c r="E3354" i="5"/>
  <c r="G3354" i="5"/>
  <c r="F3355" i="5"/>
  <c r="E3355" i="5"/>
  <c r="G3355" i="5"/>
  <c r="F3356" i="5"/>
  <c r="E3356" i="5"/>
  <c r="G3356" i="5"/>
  <c r="F3357" i="5"/>
  <c r="E3357" i="5"/>
  <c r="G3357" i="5"/>
  <c r="F3358" i="5"/>
  <c r="E3358" i="5"/>
  <c r="G3358" i="5"/>
  <c r="F3359" i="5"/>
  <c r="E3359" i="5"/>
  <c r="G3359" i="5"/>
  <c r="F3360" i="5"/>
  <c r="E3360" i="5"/>
  <c r="G3360" i="5"/>
  <c r="F3361" i="5"/>
  <c r="E3361" i="5"/>
  <c r="G3361" i="5"/>
  <c r="F3362" i="5"/>
  <c r="E3362" i="5"/>
  <c r="G3362" i="5"/>
  <c r="F3363" i="5"/>
  <c r="E3363" i="5"/>
  <c r="G3363" i="5"/>
  <c r="F3364" i="5"/>
  <c r="E3364" i="5"/>
  <c r="G3364" i="5"/>
  <c r="F3365" i="5"/>
  <c r="E3365" i="5"/>
  <c r="G3365" i="5"/>
  <c r="F3366" i="5"/>
  <c r="E3366" i="5"/>
  <c r="G3366" i="5"/>
  <c r="F3367" i="5"/>
  <c r="E3367" i="5"/>
  <c r="G3367" i="5"/>
  <c r="F3368" i="5"/>
  <c r="E3368" i="5"/>
  <c r="G3368" i="5"/>
  <c r="F3369" i="5"/>
  <c r="E3369" i="5"/>
  <c r="G3369" i="5"/>
  <c r="F3370" i="5"/>
  <c r="E3370" i="5"/>
  <c r="G3370" i="5"/>
  <c r="F3371" i="5"/>
  <c r="E3371" i="5"/>
  <c r="G3371" i="5"/>
  <c r="F3372" i="5"/>
  <c r="E3372" i="5"/>
  <c r="G3372" i="5"/>
  <c r="F3373" i="5"/>
  <c r="E3373" i="5"/>
  <c r="G3373" i="5"/>
  <c r="F3374" i="5"/>
  <c r="E3374" i="5"/>
  <c r="G3374" i="5"/>
  <c r="F3375" i="5"/>
  <c r="E3375" i="5"/>
  <c r="G3375" i="5"/>
  <c r="F3376" i="5"/>
  <c r="E3376" i="5"/>
  <c r="G3376" i="5"/>
  <c r="F3377" i="5"/>
  <c r="E3377" i="5"/>
  <c r="G3377" i="5"/>
  <c r="F3378" i="5"/>
  <c r="E3378" i="5"/>
  <c r="G3378" i="5"/>
  <c r="F3379" i="5"/>
  <c r="E3379" i="5"/>
  <c r="G3379" i="5"/>
  <c r="F3380" i="5"/>
  <c r="E3380" i="5"/>
  <c r="G3380" i="5"/>
  <c r="F3381" i="5"/>
  <c r="E3381" i="5"/>
  <c r="G3381" i="5"/>
  <c r="F3382" i="5"/>
  <c r="E3382" i="5"/>
  <c r="G3382" i="5"/>
  <c r="F3383" i="5"/>
  <c r="E3383" i="5"/>
  <c r="G3383" i="5"/>
  <c r="F3384" i="5"/>
  <c r="E3384" i="5"/>
  <c r="G3384" i="5"/>
  <c r="F3385" i="5"/>
  <c r="E3385" i="5"/>
  <c r="G3385" i="5"/>
  <c r="F3386" i="5"/>
  <c r="E3386" i="5"/>
  <c r="G3386" i="5"/>
  <c r="F3387" i="5"/>
  <c r="E3387" i="5"/>
  <c r="G3387" i="5"/>
  <c r="F3388" i="5"/>
  <c r="E3388" i="5"/>
  <c r="G3388" i="5"/>
  <c r="F3389" i="5"/>
  <c r="E3389" i="5"/>
  <c r="G3389" i="5"/>
  <c r="F3390" i="5"/>
  <c r="E3390" i="5"/>
  <c r="G3390" i="5"/>
  <c r="F3391" i="5"/>
  <c r="E3391" i="5"/>
  <c r="G3391" i="5"/>
  <c r="F3392" i="5"/>
  <c r="E3392" i="5"/>
  <c r="G3392" i="5"/>
  <c r="F3393" i="5"/>
  <c r="E3393" i="5"/>
  <c r="G3393" i="5"/>
  <c r="F3394" i="5"/>
  <c r="E3394" i="5"/>
  <c r="G3394" i="5"/>
  <c r="F3395" i="5"/>
  <c r="E3395" i="5"/>
  <c r="G3395" i="5"/>
  <c r="F3396" i="5"/>
  <c r="E3396" i="5"/>
  <c r="G3396" i="5"/>
  <c r="F3397" i="5"/>
  <c r="E3397" i="5"/>
  <c r="G3397" i="5"/>
  <c r="F3398" i="5"/>
  <c r="E3398" i="5"/>
  <c r="G3398" i="5"/>
  <c r="F3399" i="5"/>
  <c r="E3399" i="5"/>
  <c r="G3399" i="5"/>
  <c r="F3400" i="5"/>
  <c r="E3400" i="5"/>
  <c r="G3400" i="5"/>
  <c r="F3401" i="5"/>
  <c r="E3401" i="5"/>
  <c r="G3401" i="5"/>
  <c r="F3402" i="5"/>
  <c r="E3402" i="5"/>
  <c r="G3402" i="5"/>
  <c r="F3403" i="5"/>
  <c r="E3403" i="5"/>
  <c r="G3403" i="5"/>
  <c r="F3404" i="5"/>
  <c r="E3404" i="5"/>
  <c r="G3404" i="5"/>
  <c r="F3405" i="5"/>
  <c r="E3405" i="5"/>
  <c r="G3405" i="5"/>
  <c r="F3406" i="5"/>
  <c r="E3406" i="5"/>
  <c r="G3406" i="5"/>
  <c r="F3407" i="5"/>
  <c r="E3407" i="5"/>
  <c r="G3407" i="5"/>
  <c r="F3408" i="5"/>
  <c r="E3408" i="5"/>
  <c r="G3408" i="5"/>
  <c r="F3409" i="5"/>
  <c r="E3409" i="5"/>
  <c r="G3409" i="5"/>
  <c r="F3410" i="5"/>
  <c r="E3410" i="5"/>
  <c r="G3410" i="5"/>
  <c r="F3411" i="5"/>
  <c r="E3411" i="5"/>
  <c r="G3411" i="5"/>
  <c r="F3412" i="5"/>
  <c r="E3412" i="5"/>
  <c r="G3412" i="5"/>
  <c r="F3413" i="5"/>
  <c r="E3413" i="5"/>
  <c r="G3413" i="5"/>
  <c r="F3414" i="5"/>
  <c r="E3414" i="5"/>
  <c r="G3414" i="5"/>
  <c r="F3415" i="5"/>
  <c r="E3415" i="5"/>
  <c r="G3415" i="5"/>
  <c r="F3416" i="5"/>
  <c r="E3416" i="5"/>
  <c r="G3416" i="5"/>
  <c r="F3417" i="5"/>
  <c r="E3417" i="5"/>
  <c r="G3417" i="5"/>
  <c r="F3418" i="5"/>
  <c r="E3418" i="5"/>
  <c r="G3418" i="5"/>
  <c r="F3419" i="5"/>
  <c r="E3419" i="5"/>
  <c r="G3419" i="5"/>
  <c r="F3420" i="5"/>
  <c r="E3420" i="5"/>
  <c r="G3420" i="5"/>
  <c r="F3421" i="5"/>
  <c r="E3421" i="5"/>
  <c r="G3421" i="5"/>
  <c r="F3422" i="5"/>
  <c r="E3422" i="5"/>
  <c r="G3422" i="5"/>
  <c r="F3423" i="5"/>
  <c r="E3423" i="5"/>
  <c r="G3423" i="5"/>
  <c r="F3424" i="5"/>
  <c r="E3424" i="5"/>
  <c r="G3424" i="5"/>
  <c r="F3425" i="5"/>
  <c r="E3425" i="5"/>
  <c r="G3425" i="5"/>
  <c r="F3426" i="5"/>
  <c r="E3426" i="5"/>
  <c r="G3426" i="5"/>
  <c r="F3427" i="5"/>
  <c r="E3427" i="5"/>
  <c r="G3427" i="5"/>
  <c r="F3428" i="5"/>
  <c r="E3428" i="5"/>
  <c r="G3428" i="5"/>
  <c r="F3429" i="5"/>
  <c r="E3429" i="5"/>
  <c r="G3429" i="5"/>
  <c r="F3430" i="5"/>
  <c r="E3430" i="5"/>
  <c r="G3430" i="5"/>
  <c r="F3431" i="5"/>
  <c r="E3431" i="5"/>
  <c r="G3431" i="5"/>
  <c r="F3432" i="5"/>
  <c r="E3432" i="5"/>
  <c r="G3432" i="5"/>
  <c r="F3433" i="5"/>
  <c r="E3433" i="5"/>
  <c r="G3433" i="5"/>
  <c r="F3434" i="5"/>
  <c r="E3434" i="5"/>
  <c r="G3434" i="5"/>
  <c r="F3435" i="5"/>
  <c r="E3435" i="5"/>
  <c r="G3435" i="5"/>
  <c r="F3436" i="5"/>
  <c r="E3436" i="5"/>
  <c r="G3436" i="5"/>
  <c r="F3437" i="5"/>
  <c r="E3437" i="5"/>
  <c r="G3437" i="5"/>
  <c r="F3438" i="5"/>
  <c r="E3438" i="5"/>
  <c r="G3438" i="5"/>
  <c r="F3439" i="5"/>
  <c r="E3439" i="5"/>
  <c r="G3439" i="5"/>
  <c r="F3440" i="5"/>
  <c r="E3440" i="5"/>
  <c r="G3440" i="5"/>
  <c r="F3441" i="5"/>
  <c r="E3441" i="5"/>
  <c r="G3441" i="5"/>
  <c r="F3442" i="5"/>
  <c r="E3442" i="5"/>
  <c r="G3442" i="5"/>
  <c r="F3443" i="5"/>
  <c r="E3443" i="5"/>
  <c r="G3443" i="5"/>
  <c r="F3444" i="5"/>
  <c r="E3444" i="5"/>
  <c r="G3444" i="5"/>
  <c r="F3445" i="5"/>
  <c r="E3445" i="5"/>
  <c r="G3445" i="5"/>
  <c r="F3446" i="5"/>
  <c r="E3446" i="5"/>
  <c r="G3446" i="5"/>
  <c r="F3447" i="5"/>
  <c r="E3447" i="5"/>
  <c r="G3447" i="5"/>
  <c r="F3448" i="5"/>
  <c r="E3448" i="5"/>
  <c r="G3448" i="5"/>
  <c r="F3449" i="5"/>
  <c r="E3449" i="5"/>
  <c r="G3449" i="5"/>
  <c r="F3450" i="5"/>
  <c r="E3450" i="5"/>
  <c r="G3450" i="5"/>
  <c r="F3451" i="5"/>
  <c r="E3451" i="5"/>
  <c r="G3451" i="5"/>
  <c r="F3452" i="5"/>
  <c r="E3452" i="5"/>
  <c r="G3452" i="5"/>
  <c r="F3453" i="5"/>
  <c r="E3453" i="5"/>
  <c r="G3453" i="5"/>
  <c r="F3454" i="5"/>
  <c r="E3454" i="5"/>
  <c r="G3454" i="5"/>
  <c r="F3455" i="5"/>
  <c r="E3455" i="5"/>
  <c r="G3455" i="5"/>
  <c r="F3456" i="5"/>
  <c r="E3456" i="5"/>
  <c r="G3456" i="5"/>
  <c r="F3457" i="5"/>
  <c r="E3457" i="5"/>
  <c r="G3457" i="5"/>
  <c r="F3458" i="5"/>
  <c r="E3458" i="5"/>
  <c r="G3458" i="5"/>
  <c r="F3459" i="5"/>
  <c r="E3459" i="5"/>
  <c r="G3459" i="5"/>
  <c r="F3460" i="5"/>
  <c r="E3460" i="5"/>
  <c r="G3460" i="5"/>
  <c r="F3461" i="5"/>
  <c r="E3461" i="5"/>
  <c r="G3461" i="5"/>
  <c r="F3462" i="5"/>
  <c r="E3462" i="5"/>
  <c r="G3462" i="5"/>
  <c r="F3463" i="5"/>
  <c r="E3463" i="5"/>
  <c r="G3463" i="5"/>
  <c r="F3464" i="5"/>
  <c r="E3464" i="5"/>
  <c r="G3464" i="5"/>
  <c r="F3465" i="5"/>
  <c r="E3465" i="5"/>
  <c r="G3465" i="5"/>
  <c r="F3466" i="5"/>
  <c r="E3466" i="5"/>
  <c r="G3466" i="5"/>
  <c r="F3467" i="5"/>
  <c r="E3467" i="5"/>
  <c r="G3467" i="5"/>
  <c r="F3468" i="5"/>
  <c r="E3468" i="5"/>
  <c r="G3468" i="5"/>
  <c r="F3469" i="5"/>
  <c r="E3469" i="5"/>
  <c r="G3469" i="5"/>
  <c r="F3470" i="5"/>
  <c r="E3470" i="5"/>
  <c r="G3470" i="5"/>
  <c r="F3471" i="5"/>
  <c r="E3471" i="5"/>
  <c r="G3471" i="5"/>
  <c r="F3472" i="5"/>
  <c r="E3472" i="5"/>
  <c r="G3472" i="5"/>
  <c r="F3473" i="5"/>
  <c r="E3473" i="5"/>
  <c r="G3473" i="5"/>
  <c r="F3474" i="5"/>
  <c r="E3474" i="5"/>
  <c r="G3474" i="5"/>
  <c r="F3475" i="5"/>
  <c r="E3475" i="5"/>
  <c r="G3475" i="5"/>
  <c r="F3476" i="5"/>
  <c r="E3476" i="5"/>
  <c r="G3476" i="5"/>
  <c r="F3477" i="5"/>
  <c r="E3477" i="5"/>
  <c r="G3477" i="5"/>
  <c r="F3478" i="5"/>
  <c r="E3478" i="5"/>
  <c r="G3478" i="5"/>
  <c r="F3479" i="5"/>
  <c r="E3479" i="5"/>
  <c r="G3479" i="5"/>
  <c r="F3480" i="5"/>
  <c r="E3480" i="5"/>
  <c r="G3480" i="5"/>
  <c r="F3481" i="5"/>
  <c r="E3481" i="5"/>
  <c r="G3481" i="5"/>
  <c r="F3482" i="5"/>
  <c r="E3482" i="5"/>
  <c r="G3482" i="5"/>
  <c r="F3483" i="5"/>
  <c r="E3483" i="5"/>
  <c r="G3483" i="5"/>
  <c r="F3484" i="5"/>
  <c r="E3484" i="5"/>
  <c r="G3484" i="5"/>
  <c r="F3485" i="5"/>
  <c r="E3485" i="5"/>
  <c r="G3485" i="5"/>
  <c r="F3486" i="5"/>
  <c r="E3486" i="5"/>
  <c r="G3486" i="5"/>
  <c r="F3487" i="5"/>
  <c r="E3487" i="5"/>
  <c r="G3487" i="5"/>
  <c r="F3488" i="5"/>
  <c r="E3488" i="5"/>
  <c r="G3488" i="5"/>
  <c r="F3489" i="5"/>
  <c r="E3489" i="5"/>
  <c r="G3489" i="5"/>
  <c r="F3490" i="5"/>
  <c r="E3490" i="5"/>
  <c r="G3490" i="5"/>
  <c r="F3491" i="5"/>
  <c r="E3491" i="5"/>
  <c r="G3491" i="5"/>
  <c r="F3492" i="5"/>
  <c r="E3492" i="5"/>
  <c r="G3492" i="5"/>
  <c r="F3493" i="5"/>
  <c r="E3493" i="5"/>
  <c r="G3493" i="5"/>
  <c r="F3494" i="5"/>
  <c r="E3494" i="5"/>
  <c r="G3494" i="5"/>
  <c r="F3495" i="5"/>
  <c r="E3495" i="5"/>
  <c r="G3495" i="5"/>
  <c r="F3496" i="5"/>
  <c r="E3496" i="5"/>
  <c r="G3496" i="5"/>
  <c r="F3497" i="5"/>
  <c r="E3497" i="5"/>
  <c r="G3497" i="5"/>
  <c r="F3498" i="5"/>
  <c r="E3498" i="5"/>
  <c r="G3498" i="5"/>
  <c r="F3499" i="5"/>
  <c r="E3499" i="5"/>
  <c r="G3499" i="5"/>
  <c r="F3500" i="5"/>
  <c r="E3500" i="5"/>
  <c r="G3500" i="5"/>
  <c r="F3501" i="5"/>
  <c r="E3501" i="5"/>
  <c r="G3501" i="5"/>
  <c r="F3502" i="5"/>
  <c r="E3502" i="5"/>
  <c r="G3502" i="5"/>
  <c r="F3503" i="5"/>
  <c r="E3503" i="5"/>
  <c r="G3503" i="5"/>
  <c r="F3504" i="5"/>
  <c r="E3504" i="5"/>
  <c r="G3504" i="5"/>
  <c r="F3505" i="5"/>
  <c r="E3505" i="5"/>
  <c r="G3505" i="5"/>
  <c r="F3506" i="5"/>
  <c r="E3506" i="5"/>
  <c r="G3506" i="5"/>
  <c r="F3507" i="5"/>
  <c r="E3507" i="5"/>
  <c r="G3507" i="5"/>
  <c r="F3508" i="5"/>
  <c r="E3508" i="5"/>
  <c r="G3508" i="5"/>
  <c r="F3509" i="5"/>
  <c r="E3509" i="5"/>
  <c r="G3509" i="5"/>
  <c r="F3510" i="5"/>
  <c r="E3510" i="5"/>
  <c r="G3510" i="5"/>
  <c r="F3511" i="5"/>
  <c r="E3511" i="5"/>
  <c r="G3511" i="5"/>
  <c r="F3512" i="5"/>
  <c r="E3512" i="5"/>
  <c r="G3512" i="5"/>
  <c r="F3513" i="5"/>
  <c r="E3513" i="5"/>
  <c r="G3513" i="5"/>
  <c r="F3514" i="5"/>
  <c r="E3514" i="5"/>
  <c r="G3514" i="5"/>
  <c r="F3515" i="5"/>
  <c r="E3515" i="5"/>
  <c r="G3515" i="5"/>
  <c r="F3516" i="5"/>
  <c r="E3516" i="5"/>
  <c r="G3516" i="5"/>
  <c r="F3517" i="5"/>
  <c r="E3517" i="5"/>
  <c r="G3517" i="5"/>
  <c r="F3518" i="5"/>
  <c r="E3518" i="5"/>
  <c r="G3518" i="5"/>
  <c r="F3519" i="5"/>
  <c r="E3519" i="5"/>
  <c r="G3519" i="5"/>
  <c r="F3520" i="5"/>
  <c r="E3520" i="5"/>
  <c r="G3520" i="5"/>
  <c r="F3521" i="5"/>
  <c r="E3521" i="5"/>
  <c r="G3521" i="5"/>
  <c r="F3522" i="5"/>
  <c r="E3522" i="5"/>
  <c r="G3522" i="5"/>
  <c r="F3523" i="5"/>
  <c r="E3523" i="5"/>
  <c r="G3523" i="5"/>
  <c r="F3524" i="5"/>
  <c r="E3524" i="5"/>
  <c r="G3524" i="5"/>
  <c r="F3525" i="5"/>
  <c r="E3525" i="5"/>
  <c r="G3525" i="5"/>
  <c r="F3526" i="5"/>
  <c r="E3526" i="5"/>
  <c r="G3526" i="5"/>
  <c r="F3527" i="5"/>
  <c r="E3527" i="5"/>
  <c r="G3527" i="5"/>
  <c r="F3528" i="5"/>
  <c r="E3528" i="5"/>
  <c r="G3528" i="5"/>
  <c r="F3529" i="5"/>
  <c r="E3529" i="5"/>
  <c r="G3529" i="5"/>
  <c r="F3530" i="5"/>
  <c r="E3530" i="5"/>
  <c r="G3530" i="5"/>
  <c r="F3531" i="5"/>
  <c r="E3531" i="5"/>
  <c r="G3531" i="5"/>
  <c r="F3532" i="5"/>
  <c r="E3532" i="5"/>
  <c r="G3532" i="5"/>
  <c r="F3533" i="5"/>
  <c r="E3533" i="5"/>
  <c r="G3533" i="5"/>
  <c r="F3534" i="5"/>
  <c r="E3534" i="5"/>
  <c r="G3534" i="5"/>
  <c r="F3535" i="5"/>
  <c r="E3535" i="5"/>
  <c r="G3535" i="5"/>
  <c r="F3536" i="5"/>
  <c r="E3536" i="5"/>
  <c r="G3536" i="5"/>
  <c r="F3537" i="5"/>
  <c r="E3537" i="5"/>
  <c r="G3537" i="5"/>
  <c r="F3538" i="5"/>
  <c r="E3538" i="5"/>
  <c r="G3538" i="5"/>
  <c r="F3539" i="5"/>
  <c r="E3539" i="5"/>
  <c r="G3539" i="5"/>
  <c r="F3540" i="5"/>
  <c r="E3540" i="5"/>
  <c r="G3540" i="5"/>
  <c r="F3541" i="5"/>
  <c r="E3541" i="5"/>
  <c r="G3541" i="5"/>
  <c r="F3542" i="5"/>
  <c r="E3542" i="5"/>
  <c r="G3542" i="5"/>
  <c r="F3543" i="5"/>
  <c r="E3543" i="5"/>
  <c r="G3543" i="5"/>
  <c r="F3544" i="5"/>
  <c r="E3544" i="5"/>
  <c r="G3544" i="5"/>
  <c r="F3545" i="5"/>
  <c r="E3545" i="5"/>
  <c r="G3545" i="5"/>
  <c r="F3546" i="5"/>
  <c r="E3546" i="5"/>
  <c r="G3546" i="5"/>
  <c r="F3547" i="5"/>
  <c r="E3547" i="5"/>
  <c r="G3547" i="5"/>
  <c r="F3548" i="5"/>
  <c r="E3548" i="5"/>
  <c r="G3548" i="5"/>
  <c r="F3549" i="5"/>
  <c r="E3549" i="5"/>
  <c r="G3549" i="5"/>
  <c r="F3550" i="5"/>
  <c r="E3550" i="5"/>
  <c r="G3550" i="5"/>
  <c r="F3551" i="5"/>
  <c r="E3551" i="5"/>
  <c r="G3551" i="5"/>
  <c r="F3552" i="5"/>
  <c r="E3552" i="5"/>
  <c r="G3552" i="5"/>
  <c r="F3553" i="5"/>
  <c r="E3553" i="5"/>
  <c r="G3553" i="5"/>
  <c r="F3554" i="5"/>
  <c r="E3554" i="5"/>
  <c r="G3554" i="5"/>
  <c r="F3555" i="5"/>
  <c r="E3555" i="5"/>
  <c r="G3555" i="5"/>
  <c r="F3556" i="5"/>
  <c r="E3556" i="5"/>
  <c r="G3556" i="5"/>
  <c r="F3557" i="5"/>
  <c r="E3557" i="5"/>
  <c r="G3557" i="5"/>
  <c r="F3558" i="5"/>
  <c r="E3558" i="5"/>
  <c r="G3558" i="5"/>
  <c r="F3559" i="5"/>
  <c r="E3559" i="5"/>
  <c r="G3559" i="5"/>
  <c r="F3560" i="5"/>
  <c r="E3560" i="5"/>
  <c r="G3560" i="5"/>
  <c r="F3561" i="5"/>
  <c r="E3561" i="5"/>
  <c r="G3561" i="5"/>
  <c r="F3562" i="5"/>
  <c r="E3562" i="5"/>
  <c r="G3562" i="5"/>
  <c r="F3563" i="5"/>
  <c r="E3563" i="5"/>
  <c r="G3563" i="5"/>
  <c r="F3564" i="5"/>
  <c r="E3564" i="5"/>
  <c r="G3564" i="5"/>
  <c r="F3565" i="5"/>
  <c r="E3565" i="5"/>
  <c r="G3565" i="5"/>
  <c r="F3566" i="5"/>
  <c r="E3566" i="5"/>
  <c r="G3566" i="5"/>
  <c r="F3567" i="5"/>
  <c r="E3567" i="5"/>
  <c r="G3567" i="5"/>
  <c r="F3568" i="5"/>
  <c r="E3568" i="5"/>
  <c r="G3568" i="5"/>
  <c r="F3569" i="5"/>
  <c r="E3569" i="5"/>
  <c r="G3569" i="5"/>
  <c r="F3570" i="5"/>
  <c r="E3570" i="5"/>
  <c r="G3570" i="5"/>
  <c r="F3571" i="5"/>
  <c r="E3571" i="5"/>
  <c r="G3571" i="5"/>
  <c r="F3572" i="5"/>
  <c r="E3572" i="5"/>
  <c r="G3572" i="5"/>
  <c r="F3573" i="5"/>
  <c r="E3573" i="5"/>
  <c r="G3573" i="5"/>
  <c r="F3574" i="5"/>
  <c r="E3574" i="5"/>
  <c r="G3574" i="5"/>
  <c r="F3575" i="5"/>
  <c r="E3575" i="5"/>
  <c r="G3575" i="5"/>
  <c r="F3576" i="5"/>
  <c r="E3576" i="5"/>
  <c r="G3576" i="5"/>
  <c r="F3577" i="5"/>
  <c r="E3577" i="5"/>
  <c r="G3577" i="5"/>
  <c r="F3578" i="5"/>
  <c r="E3578" i="5"/>
  <c r="G3578" i="5"/>
  <c r="F3579" i="5"/>
  <c r="E3579" i="5"/>
  <c r="G3579" i="5"/>
  <c r="F3580" i="5"/>
  <c r="E3580" i="5"/>
  <c r="G3580" i="5"/>
  <c r="F3581" i="5"/>
  <c r="E3581" i="5"/>
  <c r="G3581" i="5"/>
  <c r="F3582" i="5"/>
  <c r="E3582" i="5"/>
  <c r="G3582" i="5"/>
  <c r="F3583" i="5"/>
  <c r="E3583" i="5"/>
  <c r="G3583" i="5"/>
  <c r="F3584" i="5"/>
  <c r="E3584" i="5"/>
  <c r="G3584" i="5"/>
  <c r="F3585" i="5"/>
  <c r="E3585" i="5"/>
  <c r="G3585" i="5"/>
  <c r="F3586" i="5"/>
  <c r="E3586" i="5"/>
  <c r="G3586" i="5"/>
  <c r="F3587" i="5"/>
  <c r="E3587" i="5"/>
  <c r="G3587" i="5"/>
  <c r="F3588" i="5"/>
  <c r="E3588" i="5"/>
  <c r="G3588" i="5"/>
  <c r="F3589" i="5"/>
  <c r="E3589" i="5"/>
  <c r="G3589" i="5"/>
  <c r="F3590" i="5"/>
  <c r="E3590" i="5"/>
  <c r="G3590" i="5"/>
  <c r="F3591" i="5"/>
  <c r="E3591" i="5"/>
  <c r="G3591" i="5"/>
  <c r="F3592" i="5"/>
  <c r="E3592" i="5"/>
  <c r="G3592" i="5"/>
  <c r="F3593" i="5"/>
  <c r="E3593" i="5"/>
  <c r="G3593" i="5"/>
  <c r="F3594" i="5"/>
  <c r="E3594" i="5"/>
  <c r="G3594" i="5"/>
  <c r="F3595" i="5"/>
  <c r="E3595" i="5"/>
  <c r="G3595" i="5"/>
  <c r="F3596" i="5"/>
  <c r="E3596" i="5"/>
  <c r="G3596" i="5"/>
  <c r="F3597" i="5"/>
  <c r="E3597" i="5"/>
  <c r="G3597" i="5"/>
  <c r="F3598" i="5"/>
  <c r="E3598" i="5"/>
  <c r="G3598" i="5"/>
  <c r="F3599" i="5"/>
  <c r="E3599" i="5"/>
  <c r="G3599" i="5"/>
  <c r="F3600" i="5"/>
  <c r="E3600" i="5"/>
  <c r="G3600" i="5"/>
  <c r="F3601" i="5"/>
  <c r="E3601" i="5"/>
  <c r="G3601" i="5"/>
  <c r="F3602" i="5"/>
  <c r="E3602" i="5"/>
  <c r="G3602" i="5"/>
  <c r="F3603" i="5"/>
  <c r="E3603" i="5"/>
  <c r="G3603" i="5"/>
  <c r="F3604" i="5"/>
  <c r="E3604" i="5"/>
  <c r="G3604" i="5"/>
  <c r="F3605" i="5"/>
  <c r="E3605" i="5"/>
  <c r="G3605" i="5"/>
  <c r="F3606" i="5"/>
  <c r="E3606" i="5"/>
  <c r="G3606" i="5"/>
  <c r="F3607" i="5"/>
  <c r="E3607" i="5"/>
  <c r="G3607" i="5"/>
  <c r="F3608" i="5"/>
  <c r="E3608" i="5"/>
  <c r="G3608" i="5"/>
  <c r="F3609" i="5"/>
  <c r="E3609" i="5"/>
  <c r="G3609" i="5"/>
  <c r="F3610" i="5"/>
  <c r="E3610" i="5"/>
  <c r="G3610" i="5"/>
  <c r="F3611" i="5"/>
  <c r="E3611" i="5"/>
  <c r="G3611" i="5"/>
  <c r="F3612" i="5"/>
  <c r="E3612" i="5"/>
  <c r="G3612" i="5"/>
  <c r="F3613" i="5"/>
  <c r="E3613" i="5"/>
  <c r="G3613" i="5"/>
  <c r="F3614" i="5"/>
  <c r="E3614" i="5"/>
  <c r="G3614" i="5"/>
  <c r="F3615" i="5"/>
  <c r="E3615" i="5"/>
  <c r="G3615" i="5"/>
  <c r="F3616" i="5"/>
  <c r="E3616" i="5"/>
  <c r="G3616" i="5"/>
  <c r="F3617" i="5"/>
  <c r="E3617" i="5"/>
  <c r="G3617" i="5"/>
  <c r="F3618" i="5"/>
  <c r="E3618" i="5"/>
  <c r="G3618" i="5"/>
  <c r="F3619" i="5"/>
  <c r="E3619" i="5"/>
  <c r="G3619" i="5"/>
  <c r="F3620" i="5"/>
  <c r="E3620" i="5"/>
  <c r="G3620" i="5"/>
  <c r="F3621" i="5"/>
  <c r="E3621" i="5"/>
  <c r="G3621" i="5"/>
  <c r="F3622" i="5"/>
  <c r="E3622" i="5"/>
  <c r="G3622" i="5"/>
  <c r="F3623" i="5"/>
  <c r="E3623" i="5"/>
  <c r="G3623" i="5"/>
  <c r="F3624" i="5"/>
  <c r="E3624" i="5"/>
  <c r="G3624" i="5"/>
  <c r="F3625" i="5"/>
  <c r="E3625" i="5"/>
  <c r="G3625" i="5"/>
  <c r="F3626" i="5"/>
  <c r="E3626" i="5"/>
  <c r="G3626" i="5"/>
  <c r="F3627" i="5"/>
  <c r="E3627" i="5"/>
  <c r="G3627" i="5"/>
  <c r="F3628" i="5"/>
  <c r="E3628" i="5"/>
  <c r="G3628" i="5"/>
  <c r="F3629" i="5"/>
  <c r="E3629" i="5"/>
  <c r="G3629" i="5"/>
  <c r="F3630" i="5"/>
  <c r="E3630" i="5"/>
  <c r="G3630" i="5"/>
  <c r="F3631" i="5"/>
  <c r="E3631" i="5"/>
  <c r="G3631" i="5"/>
  <c r="F3632" i="5"/>
  <c r="E3632" i="5"/>
  <c r="G3632" i="5"/>
  <c r="F3633" i="5"/>
  <c r="E3633" i="5"/>
  <c r="G3633" i="5"/>
  <c r="F3634" i="5"/>
  <c r="E3634" i="5"/>
  <c r="G3634" i="5"/>
  <c r="F3635" i="5"/>
  <c r="E3635" i="5"/>
  <c r="G3635" i="5"/>
  <c r="F3636" i="5"/>
  <c r="E3636" i="5"/>
  <c r="G3636" i="5"/>
  <c r="F3637" i="5"/>
  <c r="E3637" i="5"/>
  <c r="G3637" i="5"/>
  <c r="F3638" i="5"/>
  <c r="E3638" i="5"/>
  <c r="G3638" i="5"/>
  <c r="F3639" i="5"/>
  <c r="E3639" i="5"/>
  <c r="G3639" i="5"/>
  <c r="F3640" i="5"/>
  <c r="E3640" i="5"/>
  <c r="G3640" i="5"/>
  <c r="F3641" i="5"/>
  <c r="E3641" i="5"/>
  <c r="G3641" i="5"/>
  <c r="F3642" i="5"/>
  <c r="E3642" i="5"/>
  <c r="G3642" i="5"/>
  <c r="F3643" i="5"/>
  <c r="E3643" i="5"/>
  <c r="G3643" i="5"/>
  <c r="F3644" i="5"/>
  <c r="E3644" i="5"/>
  <c r="G3644" i="5"/>
  <c r="F3645" i="5"/>
  <c r="E3645" i="5"/>
  <c r="G3645" i="5"/>
  <c r="F3646" i="5"/>
  <c r="E3646" i="5"/>
  <c r="G3646" i="5"/>
  <c r="F3647" i="5"/>
  <c r="E3647" i="5"/>
  <c r="G3647" i="5"/>
  <c r="F3648" i="5"/>
  <c r="E3648" i="5"/>
  <c r="G3648" i="5"/>
  <c r="F3649" i="5"/>
  <c r="E3649" i="5"/>
  <c r="G3649" i="5"/>
  <c r="F3650" i="5"/>
  <c r="E3650" i="5"/>
  <c r="G3650" i="5"/>
  <c r="F3651" i="5"/>
  <c r="E3651" i="5"/>
  <c r="G3651" i="5"/>
  <c r="F3652" i="5"/>
  <c r="E3652" i="5"/>
  <c r="G3652" i="5"/>
  <c r="F3653" i="5"/>
  <c r="E3653" i="5"/>
  <c r="G3653" i="5"/>
  <c r="F3654" i="5"/>
  <c r="E3654" i="5"/>
  <c r="G3654" i="5"/>
  <c r="F3655" i="5"/>
  <c r="E3655" i="5"/>
  <c r="G3655" i="5"/>
  <c r="F3656" i="5"/>
  <c r="E3656" i="5"/>
  <c r="G3656" i="5"/>
  <c r="F3657" i="5"/>
  <c r="E3657" i="5"/>
  <c r="G3657" i="5"/>
  <c r="F3658" i="5"/>
  <c r="E3658" i="5"/>
  <c r="G3658" i="5"/>
  <c r="F3659" i="5"/>
  <c r="E3659" i="5"/>
  <c r="G3659" i="5"/>
  <c r="F3660" i="5"/>
  <c r="E3660" i="5"/>
  <c r="G3660" i="5"/>
  <c r="F3661" i="5"/>
  <c r="E3661" i="5"/>
  <c r="G3661" i="5"/>
  <c r="F3662" i="5"/>
  <c r="E3662" i="5"/>
  <c r="G3662" i="5"/>
  <c r="F3663" i="5"/>
  <c r="E3663" i="5"/>
  <c r="G3663" i="5"/>
  <c r="F3664" i="5"/>
  <c r="E3664" i="5"/>
  <c r="G3664" i="5"/>
  <c r="F3665" i="5"/>
  <c r="E3665" i="5"/>
  <c r="G3665" i="5"/>
  <c r="F3666" i="5"/>
  <c r="E3666" i="5"/>
  <c r="G3666" i="5"/>
  <c r="F3667" i="5"/>
  <c r="E3667" i="5"/>
  <c r="G3667" i="5"/>
  <c r="F3668" i="5"/>
  <c r="E3668" i="5"/>
  <c r="G3668" i="5"/>
  <c r="F3669" i="5"/>
  <c r="E3669" i="5"/>
  <c r="G3669" i="5"/>
  <c r="F3670" i="5"/>
  <c r="E3670" i="5"/>
  <c r="G3670" i="5"/>
  <c r="F3671" i="5"/>
  <c r="E3671" i="5"/>
  <c r="G3671" i="5"/>
  <c r="F3672" i="5"/>
  <c r="E3672" i="5"/>
  <c r="G3672" i="5"/>
  <c r="F3673" i="5"/>
  <c r="E3673" i="5"/>
  <c r="G3673" i="5"/>
  <c r="F3674" i="5"/>
  <c r="E3674" i="5"/>
  <c r="G3674" i="5"/>
  <c r="F3675" i="5"/>
  <c r="E3675" i="5"/>
  <c r="G3675" i="5"/>
  <c r="F3676" i="5"/>
  <c r="E3676" i="5"/>
  <c r="G3676" i="5"/>
  <c r="F3677" i="5"/>
  <c r="E3677" i="5"/>
  <c r="G3677" i="5"/>
  <c r="F3678" i="5"/>
  <c r="E3678" i="5"/>
  <c r="G3678" i="5"/>
  <c r="F3679" i="5"/>
  <c r="E3679" i="5"/>
  <c r="G3679" i="5"/>
  <c r="F3680" i="5"/>
  <c r="E3680" i="5"/>
  <c r="G3680" i="5"/>
  <c r="F3681" i="5"/>
  <c r="E3681" i="5"/>
  <c r="G3681" i="5"/>
  <c r="F3682" i="5"/>
  <c r="E3682" i="5"/>
  <c r="G3682" i="5"/>
  <c r="F3683" i="5"/>
  <c r="E3683" i="5"/>
  <c r="G3683" i="5"/>
  <c r="F3684" i="5"/>
  <c r="E3684" i="5"/>
  <c r="G3684" i="5"/>
  <c r="F3685" i="5"/>
  <c r="E3685" i="5"/>
  <c r="G3685" i="5"/>
  <c r="F3686" i="5"/>
  <c r="E3686" i="5"/>
  <c r="G3686" i="5"/>
  <c r="F3687" i="5"/>
  <c r="E3687" i="5"/>
  <c r="G3687" i="5"/>
  <c r="F3688" i="5"/>
  <c r="E3688" i="5"/>
  <c r="G3688" i="5"/>
  <c r="F3689" i="5"/>
  <c r="E3689" i="5"/>
  <c r="G3689" i="5"/>
  <c r="F3690" i="5"/>
  <c r="E3690" i="5"/>
  <c r="G3690" i="5"/>
  <c r="F3691" i="5"/>
  <c r="E3691" i="5"/>
  <c r="G3691" i="5"/>
  <c r="F3692" i="5"/>
  <c r="E3692" i="5"/>
  <c r="G3692" i="5"/>
  <c r="F3693" i="5"/>
  <c r="E3693" i="5"/>
  <c r="G3693" i="5"/>
  <c r="F3694" i="5"/>
  <c r="E3694" i="5"/>
  <c r="G3694" i="5"/>
  <c r="F3695" i="5"/>
  <c r="E3695" i="5"/>
  <c r="G3695" i="5"/>
  <c r="F3696" i="5"/>
  <c r="E3696" i="5"/>
  <c r="G3696" i="5"/>
  <c r="F3697" i="5"/>
  <c r="E3697" i="5"/>
  <c r="G3697" i="5"/>
  <c r="F3698" i="5"/>
  <c r="E3698" i="5"/>
  <c r="G3698" i="5"/>
  <c r="F3699" i="5"/>
  <c r="E3699" i="5"/>
  <c r="G3699" i="5"/>
  <c r="F3700" i="5"/>
  <c r="E3700" i="5"/>
  <c r="G3700" i="5"/>
  <c r="F3701" i="5"/>
  <c r="E3701" i="5"/>
  <c r="G3701" i="5"/>
  <c r="F3702" i="5"/>
  <c r="E3702" i="5"/>
  <c r="G3702" i="5"/>
  <c r="F3703" i="5"/>
  <c r="E3703" i="5"/>
  <c r="G3703" i="5"/>
  <c r="F3704" i="5"/>
  <c r="E3704" i="5"/>
  <c r="G3704" i="5"/>
  <c r="F3705" i="5"/>
  <c r="E3705" i="5"/>
  <c r="G3705" i="5"/>
  <c r="F3706" i="5"/>
  <c r="E3706" i="5"/>
  <c r="G3706" i="5"/>
  <c r="F3707" i="5"/>
  <c r="E3707" i="5"/>
  <c r="G3707" i="5"/>
  <c r="F3708" i="5"/>
  <c r="E3708" i="5"/>
  <c r="G3708" i="5"/>
  <c r="F3709" i="5"/>
  <c r="E3709" i="5"/>
  <c r="G3709" i="5"/>
  <c r="F3710" i="5"/>
  <c r="E3710" i="5"/>
  <c r="G3710" i="5"/>
  <c r="F3711" i="5"/>
  <c r="E3711" i="5"/>
  <c r="G3711" i="5"/>
  <c r="F3712" i="5"/>
  <c r="E3712" i="5"/>
  <c r="G3712" i="5"/>
  <c r="F3713" i="5"/>
  <c r="E3713" i="5"/>
  <c r="G3713" i="5"/>
  <c r="F3714" i="5"/>
  <c r="E3714" i="5"/>
  <c r="G3714" i="5"/>
  <c r="F3715" i="5"/>
  <c r="E3715" i="5"/>
  <c r="G3715" i="5"/>
  <c r="F3716" i="5"/>
  <c r="E3716" i="5"/>
  <c r="G3716" i="5"/>
  <c r="F3717" i="5"/>
  <c r="E3717" i="5"/>
  <c r="G3717" i="5"/>
  <c r="F3718" i="5"/>
  <c r="E3718" i="5"/>
  <c r="G3718" i="5"/>
  <c r="F3719" i="5"/>
  <c r="E3719" i="5"/>
  <c r="G3719" i="5"/>
  <c r="F3720" i="5"/>
  <c r="E3720" i="5"/>
  <c r="G3720" i="5"/>
  <c r="F3721" i="5"/>
  <c r="E3721" i="5"/>
  <c r="G3721" i="5"/>
  <c r="F3722" i="5"/>
  <c r="E3722" i="5"/>
  <c r="G3722" i="5"/>
  <c r="F3723" i="5"/>
  <c r="E3723" i="5"/>
  <c r="G3723" i="5"/>
  <c r="F3724" i="5"/>
  <c r="E3724" i="5"/>
  <c r="G3724" i="5"/>
  <c r="F3725" i="5"/>
  <c r="E3725" i="5"/>
  <c r="G3725" i="5"/>
  <c r="F3726" i="5"/>
  <c r="E3726" i="5"/>
  <c r="G3726" i="5"/>
  <c r="F3727" i="5"/>
  <c r="E3727" i="5"/>
  <c r="G3727" i="5"/>
  <c r="F3728" i="5"/>
  <c r="E3728" i="5"/>
  <c r="G3728" i="5"/>
  <c r="F3729" i="5"/>
  <c r="E3729" i="5"/>
  <c r="G3729" i="5"/>
  <c r="F3730" i="5"/>
  <c r="E3730" i="5"/>
  <c r="G3730" i="5"/>
  <c r="F3731" i="5"/>
  <c r="E3731" i="5"/>
  <c r="G3731" i="5"/>
  <c r="F3732" i="5"/>
  <c r="E3732" i="5"/>
  <c r="G3732" i="5"/>
  <c r="F3733" i="5"/>
  <c r="E3733" i="5"/>
  <c r="G3733" i="5"/>
  <c r="F3734" i="5"/>
  <c r="E3734" i="5"/>
  <c r="G3734" i="5"/>
  <c r="F3735" i="5"/>
  <c r="E3735" i="5"/>
  <c r="G3735" i="5"/>
  <c r="F3736" i="5"/>
  <c r="E3736" i="5"/>
  <c r="G3736" i="5"/>
  <c r="F3737" i="5"/>
  <c r="E3737" i="5"/>
  <c r="G3737" i="5"/>
  <c r="F3738" i="5"/>
  <c r="E3738" i="5"/>
  <c r="G3738" i="5"/>
  <c r="F3739" i="5"/>
  <c r="E3739" i="5"/>
  <c r="G3739" i="5"/>
  <c r="F3740" i="5"/>
  <c r="E3740" i="5"/>
  <c r="G3740" i="5"/>
  <c r="F3741" i="5"/>
  <c r="E3741" i="5"/>
  <c r="G3741" i="5"/>
  <c r="F3742" i="5"/>
  <c r="E3742" i="5"/>
  <c r="G3742" i="5"/>
  <c r="F3743" i="5"/>
  <c r="E3743" i="5"/>
  <c r="G3743" i="5"/>
  <c r="F3744" i="5"/>
  <c r="E3744" i="5"/>
  <c r="G3744" i="5"/>
  <c r="F3745" i="5"/>
  <c r="E3745" i="5"/>
  <c r="G3745" i="5"/>
  <c r="F3746" i="5"/>
  <c r="E3746" i="5"/>
  <c r="G3746" i="5"/>
  <c r="F3747" i="5"/>
  <c r="E3747" i="5"/>
  <c r="G3747" i="5"/>
  <c r="F3748" i="5"/>
  <c r="E3748" i="5"/>
  <c r="G3748" i="5"/>
  <c r="F3749" i="5"/>
  <c r="E3749" i="5"/>
  <c r="G3749" i="5"/>
  <c r="F3750" i="5"/>
  <c r="E3750" i="5"/>
  <c r="G3750" i="5"/>
  <c r="F3751" i="5"/>
  <c r="E3751" i="5"/>
  <c r="G3751" i="5"/>
  <c r="F3752" i="5"/>
  <c r="E3752" i="5"/>
  <c r="G3752" i="5"/>
  <c r="F3753" i="5"/>
  <c r="E3753" i="5"/>
  <c r="G3753" i="5"/>
  <c r="F3754" i="5"/>
  <c r="E3754" i="5"/>
  <c r="G3754" i="5"/>
  <c r="F3755" i="5"/>
  <c r="E3755" i="5"/>
  <c r="G3755" i="5"/>
  <c r="F3756" i="5"/>
  <c r="E3756" i="5"/>
  <c r="G3756" i="5"/>
  <c r="F3757" i="5"/>
  <c r="E3757" i="5"/>
  <c r="G3757" i="5"/>
  <c r="F3758" i="5"/>
  <c r="E3758" i="5"/>
  <c r="G3758" i="5"/>
  <c r="F3759" i="5"/>
  <c r="E3759" i="5"/>
  <c r="G3759" i="5"/>
  <c r="F3760" i="5"/>
  <c r="E3760" i="5"/>
  <c r="G3760" i="5"/>
  <c r="F3761" i="5"/>
  <c r="E3761" i="5"/>
  <c r="G3761" i="5"/>
  <c r="F3762" i="5"/>
  <c r="E3762" i="5"/>
  <c r="G3762" i="5"/>
  <c r="F3763" i="5"/>
  <c r="E3763" i="5"/>
  <c r="G3763" i="5"/>
  <c r="F3764" i="5"/>
  <c r="E3764" i="5"/>
  <c r="G3764" i="5"/>
  <c r="F3765" i="5"/>
  <c r="E3765" i="5"/>
  <c r="G3765" i="5"/>
  <c r="F3766" i="5"/>
  <c r="E3766" i="5"/>
  <c r="G3766" i="5"/>
  <c r="F3767" i="5"/>
  <c r="E3767" i="5"/>
  <c r="G3767" i="5"/>
  <c r="F3768" i="5"/>
  <c r="E3768" i="5"/>
  <c r="G3768" i="5"/>
  <c r="F3769" i="5"/>
  <c r="E3769" i="5"/>
  <c r="G3769" i="5"/>
  <c r="F3770" i="5"/>
  <c r="E3770" i="5"/>
  <c r="G3770" i="5"/>
  <c r="F3771" i="5"/>
  <c r="E3771" i="5"/>
  <c r="G3771" i="5"/>
  <c r="F3772" i="5"/>
  <c r="E3772" i="5"/>
  <c r="G3772" i="5"/>
  <c r="F3773" i="5"/>
  <c r="E3773" i="5"/>
  <c r="G3773" i="5"/>
  <c r="F3774" i="5"/>
  <c r="E3774" i="5"/>
  <c r="G3774" i="5"/>
  <c r="F3775" i="5"/>
  <c r="E3775" i="5"/>
  <c r="G3775" i="5"/>
  <c r="F3776" i="5"/>
  <c r="E3776" i="5"/>
  <c r="G3776" i="5"/>
  <c r="F3777" i="5"/>
  <c r="E3777" i="5"/>
  <c r="G3777" i="5"/>
  <c r="F3778" i="5"/>
  <c r="E3778" i="5"/>
  <c r="G3778" i="5"/>
  <c r="F3779" i="5"/>
  <c r="E3779" i="5"/>
  <c r="G3779" i="5"/>
  <c r="F3780" i="5"/>
  <c r="E3780" i="5"/>
  <c r="G3780" i="5"/>
  <c r="F3781" i="5"/>
  <c r="E3781" i="5"/>
  <c r="G3781" i="5"/>
  <c r="F3782" i="5"/>
  <c r="E3782" i="5"/>
  <c r="G3782" i="5"/>
  <c r="F3783" i="5"/>
  <c r="E3783" i="5"/>
  <c r="G3783" i="5"/>
  <c r="F3784" i="5"/>
  <c r="E3784" i="5"/>
  <c r="G3784" i="5"/>
  <c r="F3785" i="5"/>
  <c r="E3785" i="5"/>
  <c r="G3785" i="5"/>
  <c r="F3786" i="5"/>
  <c r="E3786" i="5"/>
  <c r="G3786" i="5"/>
  <c r="F3787" i="5"/>
  <c r="E3787" i="5"/>
  <c r="G3787" i="5"/>
  <c r="F3788" i="5"/>
  <c r="E3788" i="5"/>
  <c r="G3788" i="5"/>
  <c r="F3789" i="5"/>
  <c r="E3789" i="5"/>
  <c r="G3789" i="5"/>
  <c r="F3790" i="5"/>
  <c r="E3790" i="5"/>
  <c r="G3790" i="5"/>
  <c r="F3791" i="5"/>
  <c r="E3791" i="5"/>
  <c r="G3791" i="5"/>
  <c r="F3792" i="5"/>
  <c r="E3792" i="5"/>
  <c r="G3792" i="5"/>
  <c r="F3793" i="5"/>
  <c r="E3793" i="5"/>
  <c r="G3793" i="5"/>
  <c r="F3794" i="5"/>
  <c r="E3794" i="5"/>
  <c r="G3794" i="5"/>
  <c r="F3795" i="5"/>
  <c r="E3795" i="5"/>
  <c r="G3795" i="5"/>
  <c r="F3796" i="5"/>
  <c r="E3796" i="5"/>
  <c r="G3796" i="5"/>
  <c r="F3797" i="5"/>
  <c r="E3797" i="5"/>
  <c r="G3797" i="5"/>
  <c r="F3798" i="5"/>
  <c r="E3798" i="5"/>
  <c r="G3798" i="5"/>
  <c r="F3799" i="5"/>
  <c r="E3799" i="5"/>
  <c r="G3799" i="5"/>
  <c r="F3800" i="5"/>
  <c r="E3800" i="5"/>
  <c r="G3800" i="5"/>
  <c r="F3801" i="5"/>
  <c r="E3801" i="5"/>
  <c r="G3801" i="5"/>
  <c r="F3802" i="5"/>
  <c r="E3802" i="5"/>
  <c r="G3802" i="5"/>
  <c r="F3803" i="5"/>
  <c r="E3803" i="5"/>
  <c r="G3803" i="5"/>
  <c r="F3804" i="5"/>
  <c r="E3804" i="5"/>
  <c r="G3804" i="5"/>
  <c r="F3805" i="5"/>
  <c r="E3805" i="5"/>
  <c r="G3805" i="5"/>
  <c r="F3806" i="5"/>
  <c r="E3806" i="5"/>
  <c r="G3806" i="5"/>
  <c r="F3807" i="5"/>
  <c r="E3807" i="5"/>
  <c r="G3807" i="5"/>
  <c r="F3808" i="5"/>
  <c r="E3808" i="5"/>
  <c r="G3808" i="5"/>
  <c r="F3809" i="5"/>
  <c r="E3809" i="5"/>
  <c r="G3809" i="5"/>
  <c r="F3810" i="5"/>
  <c r="E3810" i="5"/>
  <c r="G3810" i="5"/>
  <c r="F3811" i="5"/>
  <c r="E3811" i="5"/>
  <c r="G3811" i="5"/>
  <c r="F3812" i="5"/>
  <c r="E3812" i="5"/>
  <c r="G3812" i="5"/>
  <c r="F3813" i="5"/>
  <c r="E3813" i="5"/>
  <c r="G3813" i="5"/>
  <c r="F3814" i="5"/>
  <c r="E3814" i="5"/>
  <c r="G3814" i="5"/>
  <c r="F3815" i="5"/>
  <c r="E3815" i="5"/>
  <c r="G3815" i="5"/>
  <c r="F3816" i="5"/>
  <c r="E3816" i="5"/>
  <c r="G3816" i="5"/>
  <c r="F3817" i="5"/>
  <c r="E3817" i="5"/>
  <c r="G3817" i="5"/>
  <c r="F3818" i="5"/>
  <c r="E3818" i="5"/>
  <c r="G3818" i="5"/>
  <c r="F3819" i="5"/>
  <c r="E3819" i="5"/>
  <c r="G3819" i="5"/>
  <c r="F3820" i="5"/>
  <c r="E3820" i="5"/>
  <c r="G3820" i="5"/>
  <c r="F3821" i="5"/>
  <c r="E3821" i="5"/>
  <c r="G3821" i="5"/>
  <c r="F3822" i="5"/>
  <c r="E3822" i="5"/>
  <c r="G3822" i="5"/>
  <c r="F3823" i="5"/>
  <c r="E3823" i="5"/>
  <c r="G3823" i="5"/>
  <c r="F3824" i="5"/>
  <c r="E3824" i="5"/>
  <c r="G3824" i="5"/>
  <c r="F3825" i="5"/>
  <c r="E3825" i="5"/>
  <c r="G3825" i="5"/>
  <c r="F3826" i="5"/>
  <c r="E3826" i="5"/>
  <c r="G3826" i="5"/>
  <c r="F3827" i="5"/>
  <c r="E3827" i="5"/>
  <c r="G3827" i="5"/>
  <c r="F3828" i="5"/>
  <c r="E3828" i="5"/>
  <c r="G3828" i="5"/>
  <c r="F3829" i="5"/>
  <c r="E3829" i="5"/>
  <c r="G3829" i="5"/>
  <c r="F3830" i="5"/>
  <c r="E3830" i="5"/>
  <c r="G3830" i="5"/>
  <c r="F3831" i="5"/>
  <c r="E3831" i="5"/>
  <c r="G3831" i="5"/>
  <c r="F3832" i="5"/>
  <c r="E3832" i="5"/>
  <c r="G3832" i="5"/>
  <c r="F3833" i="5"/>
  <c r="E3833" i="5"/>
  <c r="G3833" i="5"/>
  <c r="F3834" i="5"/>
  <c r="E3834" i="5"/>
  <c r="G3834" i="5"/>
  <c r="F3835" i="5"/>
  <c r="E3835" i="5"/>
  <c r="G3835" i="5"/>
  <c r="F3836" i="5"/>
  <c r="E3836" i="5"/>
  <c r="G3836" i="5"/>
  <c r="F3837" i="5"/>
  <c r="E3837" i="5"/>
  <c r="G3837" i="5"/>
  <c r="F3838" i="5"/>
  <c r="E3838" i="5"/>
  <c r="G3838" i="5"/>
  <c r="F3839" i="5"/>
  <c r="E3839" i="5"/>
  <c r="G3839" i="5"/>
  <c r="F3840" i="5"/>
  <c r="E3840" i="5"/>
  <c r="G3840" i="5"/>
  <c r="F3841" i="5"/>
  <c r="E3841" i="5"/>
  <c r="G3841" i="5"/>
  <c r="F3842" i="5"/>
  <c r="E3842" i="5"/>
  <c r="G3842" i="5"/>
  <c r="F3843" i="5"/>
  <c r="E3843" i="5"/>
  <c r="G3843" i="5"/>
  <c r="F3844" i="5"/>
  <c r="E3844" i="5"/>
  <c r="G3844" i="5"/>
  <c r="F3845" i="5"/>
  <c r="E3845" i="5"/>
  <c r="G3845" i="5"/>
  <c r="F3846" i="5"/>
  <c r="E3846" i="5"/>
  <c r="G3846" i="5"/>
  <c r="F3847" i="5"/>
  <c r="E3847" i="5"/>
  <c r="G3847" i="5"/>
  <c r="F3848" i="5"/>
  <c r="E3848" i="5"/>
  <c r="G3848" i="5"/>
  <c r="F3849" i="5"/>
  <c r="E3849" i="5"/>
  <c r="G3849" i="5"/>
  <c r="F3850" i="5"/>
  <c r="E3850" i="5"/>
  <c r="G3850" i="5"/>
  <c r="F3851" i="5"/>
  <c r="E3851" i="5"/>
  <c r="G3851" i="5"/>
  <c r="F3852" i="5"/>
  <c r="E3852" i="5"/>
  <c r="G3852" i="5"/>
  <c r="F3853" i="5"/>
  <c r="E3853" i="5"/>
  <c r="G3853" i="5"/>
  <c r="F3854" i="5"/>
  <c r="E3854" i="5"/>
  <c r="G3854" i="5"/>
  <c r="F3855" i="5"/>
  <c r="E3855" i="5"/>
  <c r="G3855" i="5"/>
  <c r="F3856" i="5"/>
  <c r="E3856" i="5"/>
  <c r="G3856" i="5"/>
  <c r="F3857" i="5"/>
  <c r="E3857" i="5"/>
  <c r="G3857" i="5"/>
  <c r="F3858" i="5"/>
  <c r="E3858" i="5"/>
  <c r="G3858" i="5"/>
  <c r="F3859" i="5"/>
  <c r="E3859" i="5"/>
  <c r="G3859" i="5"/>
  <c r="F3860" i="5"/>
  <c r="E3860" i="5"/>
  <c r="G3860" i="5"/>
  <c r="F3861" i="5"/>
  <c r="E3861" i="5"/>
  <c r="G3861" i="5"/>
  <c r="F3862" i="5"/>
  <c r="E3862" i="5"/>
  <c r="G3862" i="5"/>
  <c r="F3863" i="5"/>
  <c r="E3863" i="5"/>
  <c r="G3863" i="5"/>
  <c r="F3864" i="5"/>
  <c r="E3864" i="5"/>
  <c r="G3864" i="5"/>
  <c r="F3865" i="5"/>
  <c r="E3865" i="5"/>
  <c r="G3865" i="5"/>
  <c r="F3866" i="5"/>
  <c r="E3866" i="5"/>
  <c r="G3866" i="5"/>
  <c r="F3867" i="5"/>
  <c r="E3867" i="5"/>
  <c r="G3867" i="5"/>
  <c r="F3868" i="5"/>
  <c r="E3868" i="5"/>
  <c r="G3868" i="5"/>
  <c r="F3869" i="5"/>
  <c r="E3869" i="5"/>
  <c r="G3869" i="5"/>
  <c r="F3870" i="5"/>
  <c r="E3870" i="5"/>
  <c r="G3870" i="5"/>
  <c r="F3871" i="5"/>
  <c r="E3871" i="5"/>
  <c r="G3871" i="5"/>
  <c r="F3872" i="5"/>
  <c r="E3872" i="5"/>
  <c r="G3872" i="5"/>
  <c r="F3873" i="5"/>
  <c r="E3873" i="5"/>
  <c r="G3873" i="5"/>
  <c r="F3874" i="5"/>
  <c r="E3874" i="5"/>
  <c r="G3874" i="5"/>
  <c r="F3875" i="5"/>
  <c r="E3875" i="5"/>
  <c r="G3875" i="5"/>
  <c r="F3876" i="5"/>
  <c r="E3876" i="5"/>
  <c r="G3876" i="5"/>
  <c r="F3877" i="5"/>
  <c r="E3877" i="5"/>
  <c r="G3877" i="5"/>
  <c r="F3878" i="5"/>
  <c r="E3878" i="5"/>
  <c r="G3878" i="5"/>
  <c r="F3879" i="5"/>
  <c r="E3879" i="5"/>
  <c r="G3879" i="5"/>
  <c r="F3880" i="5"/>
  <c r="E3880" i="5"/>
  <c r="G3880" i="5"/>
  <c r="F3881" i="5"/>
  <c r="E3881" i="5"/>
  <c r="G3881" i="5"/>
  <c r="F3882" i="5"/>
  <c r="E3882" i="5"/>
  <c r="G3882" i="5"/>
  <c r="F3883" i="5"/>
  <c r="E3883" i="5"/>
  <c r="G3883" i="5"/>
  <c r="F3884" i="5"/>
  <c r="E3884" i="5"/>
  <c r="G3884" i="5"/>
  <c r="F3885" i="5"/>
  <c r="E3885" i="5"/>
  <c r="G3885" i="5"/>
  <c r="F3886" i="5"/>
  <c r="E3886" i="5"/>
  <c r="G3886" i="5"/>
  <c r="F3887" i="5"/>
  <c r="E3887" i="5"/>
  <c r="G3887" i="5"/>
  <c r="F3888" i="5"/>
  <c r="E3888" i="5"/>
  <c r="G3888" i="5"/>
  <c r="F3889" i="5"/>
  <c r="E3889" i="5"/>
  <c r="G3889" i="5"/>
  <c r="F3890" i="5"/>
  <c r="E3890" i="5"/>
  <c r="G3890" i="5"/>
  <c r="F3891" i="5"/>
  <c r="E3891" i="5"/>
  <c r="G3891" i="5"/>
  <c r="F3892" i="5"/>
  <c r="E3892" i="5"/>
  <c r="G3892" i="5"/>
  <c r="F3893" i="5"/>
  <c r="E3893" i="5"/>
  <c r="G3893" i="5"/>
  <c r="F3894" i="5"/>
  <c r="E3894" i="5"/>
  <c r="G3894" i="5"/>
  <c r="F3895" i="5"/>
  <c r="E3895" i="5"/>
  <c r="G3895" i="5"/>
  <c r="F3896" i="5"/>
  <c r="E3896" i="5"/>
  <c r="G3896" i="5"/>
  <c r="F3897" i="5"/>
  <c r="E3897" i="5"/>
  <c r="G3897" i="5"/>
  <c r="F3898" i="5"/>
  <c r="E3898" i="5"/>
  <c r="G3898" i="5"/>
  <c r="F3899" i="5"/>
  <c r="E3899" i="5"/>
  <c r="G3899" i="5"/>
  <c r="F3900" i="5"/>
  <c r="E3900" i="5"/>
  <c r="G3900" i="5"/>
  <c r="F3901" i="5"/>
  <c r="E3901" i="5"/>
  <c r="G3901" i="5"/>
  <c r="F3902" i="5"/>
  <c r="E3902" i="5"/>
  <c r="G3902" i="5"/>
  <c r="F3903" i="5"/>
  <c r="E3903" i="5"/>
  <c r="G3903" i="5"/>
  <c r="F3904" i="5"/>
  <c r="E3904" i="5"/>
  <c r="G3904" i="5"/>
  <c r="F3905" i="5"/>
  <c r="E3905" i="5"/>
  <c r="G3905" i="5"/>
  <c r="F3906" i="5"/>
  <c r="E3906" i="5"/>
  <c r="G3906" i="5"/>
  <c r="F3907" i="5"/>
  <c r="E3907" i="5"/>
  <c r="G3907" i="5"/>
  <c r="F3908" i="5"/>
  <c r="E3908" i="5"/>
  <c r="G3908" i="5"/>
  <c r="F3909" i="5"/>
  <c r="E3909" i="5"/>
  <c r="G3909" i="5"/>
  <c r="F3910" i="5"/>
  <c r="E3910" i="5"/>
  <c r="G3910" i="5"/>
  <c r="F3911" i="5"/>
  <c r="E3911" i="5"/>
  <c r="G3911" i="5"/>
  <c r="F3912" i="5"/>
  <c r="E3912" i="5"/>
  <c r="G3912" i="5"/>
  <c r="F3913" i="5"/>
  <c r="E3913" i="5"/>
  <c r="G3913" i="5"/>
  <c r="F3914" i="5"/>
  <c r="E3914" i="5"/>
  <c r="G3914" i="5"/>
  <c r="F3915" i="5"/>
  <c r="E3915" i="5"/>
  <c r="G3915" i="5"/>
  <c r="F3916" i="5"/>
  <c r="E3916" i="5"/>
  <c r="G3916" i="5"/>
  <c r="F3917" i="5"/>
  <c r="E3917" i="5"/>
  <c r="G3917" i="5"/>
  <c r="F3918" i="5"/>
  <c r="E3918" i="5"/>
  <c r="G3918" i="5"/>
  <c r="F3919" i="5"/>
  <c r="E3919" i="5"/>
  <c r="G3919" i="5"/>
  <c r="F3920" i="5"/>
  <c r="E3920" i="5"/>
  <c r="G3920" i="5"/>
  <c r="F3921" i="5"/>
  <c r="E3921" i="5"/>
  <c r="G3921" i="5"/>
  <c r="F3922" i="5"/>
  <c r="E3922" i="5"/>
  <c r="G3922" i="5"/>
  <c r="F3923" i="5"/>
  <c r="E3923" i="5"/>
  <c r="G3923" i="5"/>
  <c r="F3924" i="5"/>
  <c r="E3924" i="5"/>
  <c r="G3924" i="5"/>
  <c r="F3925" i="5"/>
  <c r="E3925" i="5"/>
  <c r="G3925" i="5"/>
  <c r="F3926" i="5"/>
  <c r="E3926" i="5"/>
  <c r="G3926" i="5"/>
  <c r="F3927" i="5"/>
  <c r="E3927" i="5"/>
  <c r="G3927" i="5"/>
  <c r="F3928" i="5"/>
  <c r="E3928" i="5"/>
  <c r="G3928" i="5"/>
  <c r="F3929" i="5"/>
  <c r="E3929" i="5"/>
  <c r="G3929" i="5"/>
  <c r="F3930" i="5"/>
  <c r="E3930" i="5"/>
  <c r="G3930" i="5"/>
  <c r="F3931" i="5"/>
  <c r="E3931" i="5"/>
  <c r="G3931" i="5"/>
  <c r="F3932" i="5"/>
  <c r="E3932" i="5"/>
  <c r="G3932" i="5"/>
  <c r="F3933" i="5"/>
  <c r="E3933" i="5"/>
  <c r="G3933" i="5"/>
  <c r="F3934" i="5"/>
  <c r="E3934" i="5"/>
  <c r="G3934" i="5"/>
  <c r="F3935" i="5"/>
  <c r="E3935" i="5"/>
  <c r="G3935" i="5"/>
  <c r="F3936" i="5"/>
  <c r="E3936" i="5"/>
  <c r="G3936" i="5"/>
  <c r="F3937" i="5"/>
  <c r="E3937" i="5"/>
  <c r="G3937" i="5"/>
  <c r="F3938" i="5"/>
  <c r="E3938" i="5"/>
  <c r="G3938" i="5"/>
  <c r="F3939" i="5"/>
  <c r="E3939" i="5"/>
  <c r="G3939" i="5"/>
  <c r="F3940" i="5"/>
  <c r="E3940" i="5"/>
  <c r="G3940" i="5"/>
  <c r="F3941" i="5"/>
  <c r="E3941" i="5"/>
  <c r="G3941" i="5"/>
  <c r="F3942" i="5"/>
  <c r="E3942" i="5"/>
  <c r="G3942" i="5"/>
  <c r="F3943" i="5"/>
  <c r="E3943" i="5"/>
  <c r="G3943" i="5"/>
  <c r="F3944" i="5"/>
  <c r="E3944" i="5"/>
  <c r="G3944" i="5"/>
  <c r="F3945" i="5"/>
  <c r="E3945" i="5"/>
  <c r="G3945" i="5"/>
  <c r="F3946" i="5"/>
  <c r="E3946" i="5"/>
  <c r="G3946" i="5"/>
  <c r="F3947" i="5"/>
  <c r="E3947" i="5"/>
  <c r="G3947" i="5"/>
  <c r="F3948" i="5"/>
  <c r="E3948" i="5"/>
  <c r="G3948" i="5"/>
  <c r="F3949" i="5"/>
  <c r="E3949" i="5"/>
  <c r="G3949" i="5"/>
  <c r="F3950" i="5"/>
  <c r="E3950" i="5"/>
  <c r="G3950" i="5"/>
  <c r="F3951" i="5"/>
  <c r="E3951" i="5"/>
  <c r="G3951" i="5"/>
  <c r="F3952" i="5"/>
  <c r="E3952" i="5"/>
  <c r="G3952" i="5"/>
  <c r="F3953" i="5"/>
  <c r="E3953" i="5"/>
  <c r="G3953" i="5"/>
  <c r="F3954" i="5"/>
  <c r="E3954" i="5"/>
  <c r="G3954" i="5"/>
  <c r="F3955" i="5"/>
  <c r="E3955" i="5"/>
  <c r="G3955" i="5"/>
  <c r="F3956" i="5"/>
  <c r="E3956" i="5"/>
  <c r="G3956" i="5"/>
  <c r="F3957" i="5"/>
  <c r="E3957" i="5"/>
  <c r="G3957" i="5"/>
  <c r="F3958" i="5"/>
  <c r="E3958" i="5"/>
  <c r="G3958" i="5"/>
  <c r="F3959" i="5"/>
  <c r="E3959" i="5"/>
  <c r="G3959" i="5"/>
  <c r="F3960" i="5"/>
  <c r="E3960" i="5"/>
  <c r="G3960" i="5"/>
  <c r="F3961" i="5"/>
  <c r="E3961" i="5"/>
  <c r="G3961" i="5"/>
  <c r="F3962" i="5"/>
  <c r="E3962" i="5"/>
  <c r="G3962" i="5"/>
  <c r="F3963" i="5"/>
  <c r="E3963" i="5"/>
  <c r="G3963" i="5"/>
  <c r="F3964" i="5"/>
  <c r="E3964" i="5"/>
  <c r="G3964" i="5"/>
  <c r="F3965" i="5"/>
  <c r="E3965" i="5"/>
  <c r="G3965" i="5"/>
  <c r="F3966" i="5"/>
  <c r="E3966" i="5"/>
  <c r="G3966" i="5"/>
  <c r="F3967" i="5"/>
  <c r="E3967" i="5"/>
  <c r="G3967" i="5"/>
  <c r="F3968" i="5"/>
  <c r="E3968" i="5"/>
  <c r="G3968" i="5"/>
  <c r="F3969" i="5"/>
  <c r="E3969" i="5"/>
  <c r="G3969" i="5"/>
  <c r="F3970" i="5"/>
  <c r="E3970" i="5"/>
  <c r="G3970" i="5"/>
  <c r="F3971" i="5"/>
  <c r="E3971" i="5"/>
  <c r="G3971" i="5"/>
  <c r="F3972" i="5"/>
  <c r="E3972" i="5"/>
  <c r="G3972" i="5"/>
  <c r="F3973" i="5"/>
  <c r="E3973" i="5"/>
  <c r="G3973" i="5"/>
  <c r="F3974" i="5"/>
  <c r="E3974" i="5"/>
  <c r="G3974" i="5"/>
  <c r="F3975" i="5"/>
  <c r="E3975" i="5"/>
  <c r="G3975" i="5"/>
  <c r="F3976" i="5"/>
  <c r="E3976" i="5"/>
  <c r="G3976" i="5"/>
  <c r="F3977" i="5"/>
  <c r="E3977" i="5"/>
  <c r="G3977" i="5"/>
  <c r="F3978" i="5"/>
  <c r="E3978" i="5"/>
  <c r="G3978" i="5"/>
  <c r="F3979" i="5"/>
  <c r="E3979" i="5"/>
  <c r="G3979" i="5"/>
  <c r="F3980" i="5"/>
  <c r="E3980" i="5"/>
  <c r="G3980" i="5"/>
  <c r="F3981" i="5"/>
  <c r="E3981" i="5"/>
  <c r="G3981" i="5"/>
  <c r="F3982" i="5"/>
  <c r="E3982" i="5"/>
  <c r="G3982" i="5"/>
  <c r="F3983" i="5"/>
  <c r="E3983" i="5"/>
  <c r="G3983" i="5"/>
  <c r="F3984" i="5"/>
  <c r="E3984" i="5"/>
  <c r="G3984" i="5"/>
  <c r="F3985" i="5"/>
  <c r="E3985" i="5"/>
  <c r="G3985" i="5"/>
  <c r="F3986" i="5"/>
  <c r="E3986" i="5"/>
  <c r="G3986" i="5"/>
  <c r="F3987" i="5"/>
  <c r="E3987" i="5"/>
  <c r="G3987" i="5"/>
  <c r="F3988" i="5"/>
  <c r="E3988" i="5"/>
  <c r="G3988" i="5"/>
  <c r="F3989" i="5"/>
  <c r="E3989" i="5"/>
  <c r="G3989" i="5"/>
  <c r="F3990" i="5"/>
  <c r="E3990" i="5"/>
  <c r="G3990" i="5"/>
  <c r="F3991" i="5"/>
  <c r="E3991" i="5"/>
  <c r="G3991" i="5"/>
  <c r="F3992" i="5"/>
  <c r="E3992" i="5"/>
  <c r="G3992" i="5"/>
  <c r="F3993" i="5"/>
  <c r="E3993" i="5"/>
  <c r="G3993" i="5"/>
  <c r="F3994" i="5"/>
  <c r="E3994" i="5"/>
  <c r="G3994" i="5"/>
  <c r="F3995" i="5"/>
  <c r="E3995" i="5"/>
  <c r="G3995" i="5"/>
  <c r="F3996" i="5"/>
  <c r="E3996" i="5"/>
  <c r="G3996" i="5"/>
  <c r="F3997" i="5"/>
  <c r="E3997" i="5"/>
  <c r="G3997" i="5"/>
  <c r="F3998" i="5"/>
  <c r="E3998" i="5"/>
  <c r="G3998" i="5"/>
  <c r="F3999" i="5"/>
  <c r="E3999" i="5"/>
  <c r="G3999" i="5"/>
  <c r="F4000" i="5"/>
  <c r="E4000" i="5"/>
  <c r="G4000" i="5"/>
  <c r="F4001" i="5"/>
  <c r="E4001" i="5"/>
  <c r="G4001" i="5"/>
  <c r="F4002" i="5"/>
  <c r="E4002" i="5"/>
  <c r="G4002" i="5"/>
  <c r="F4003" i="5"/>
  <c r="E4003" i="5"/>
  <c r="G4003" i="5"/>
  <c r="F4004" i="5"/>
  <c r="E4004" i="5"/>
  <c r="G4004" i="5"/>
  <c r="F4005" i="5"/>
  <c r="E4005" i="5"/>
  <c r="G4005" i="5"/>
  <c r="F4006" i="5"/>
  <c r="E4006" i="5"/>
  <c r="G4006" i="5"/>
  <c r="F4007" i="5"/>
  <c r="E4007" i="5"/>
  <c r="G4007" i="5"/>
  <c r="F4008" i="5"/>
  <c r="E4008" i="5"/>
  <c r="G4008" i="5"/>
  <c r="F4009" i="5"/>
  <c r="E4009" i="5"/>
  <c r="G4009" i="5"/>
  <c r="F4010" i="5"/>
  <c r="E4010" i="5"/>
  <c r="G4010" i="5"/>
  <c r="F4011" i="5"/>
  <c r="E4011" i="5"/>
  <c r="G4011" i="5"/>
  <c r="F4012" i="5"/>
  <c r="E4012" i="5"/>
  <c r="G4012" i="5"/>
  <c r="F4013" i="5"/>
  <c r="E4013" i="5"/>
  <c r="G4013" i="5"/>
  <c r="F4014" i="5"/>
  <c r="E4014" i="5"/>
  <c r="G4014" i="5"/>
  <c r="F4015" i="5"/>
  <c r="E4015" i="5"/>
  <c r="G4015" i="5"/>
  <c r="F4016" i="5"/>
  <c r="E4016" i="5"/>
  <c r="G4016" i="5"/>
  <c r="F4017" i="5"/>
  <c r="E4017" i="5"/>
  <c r="G4017" i="5"/>
  <c r="F4018" i="5"/>
  <c r="E4018" i="5"/>
  <c r="G4018" i="5"/>
  <c r="F4019" i="5"/>
  <c r="E4019" i="5"/>
  <c r="G4019" i="5"/>
  <c r="F4020" i="5"/>
  <c r="E4020" i="5"/>
  <c r="G4020" i="5"/>
  <c r="F4021" i="5"/>
  <c r="E4021" i="5"/>
  <c r="G4021" i="5"/>
  <c r="F4022" i="5"/>
  <c r="E4022" i="5"/>
  <c r="G4022" i="5"/>
  <c r="F4023" i="5"/>
  <c r="E4023" i="5"/>
  <c r="G4023" i="5"/>
  <c r="F4024" i="5"/>
  <c r="E4024" i="5"/>
  <c r="G4024" i="5"/>
  <c r="F4025" i="5"/>
  <c r="E4025" i="5"/>
  <c r="G4025" i="5"/>
  <c r="F4026" i="5"/>
  <c r="E4026" i="5"/>
  <c r="G4026" i="5"/>
  <c r="F4027" i="5"/>
  <c r="E4027" i="5"/>
  <c r="G4027" i="5"/>
  <c r="F4028" i="5"/>
  <c r="E4028" i="5"/>
  <c r="G4028" i="5"/>
  <c r="F4029" i="5"/>
  <c r="E4029" i="5"/>
  <c r="G4029" i="5"/>
  <c r="F4030" i="5"/>
  <c r="E4030" i="5"/>
  <c r="G4030" i="5"/>
  <c r="F4031" i="5"/>
  <c r="E4031" i="5"/>
  <c r="G4031" i="5"/>
  <c r="F4032" i="5"/>
  <c r="E4032" i="5"/>
  <c r="G4032" i="5"/>
  <c r="F4033" i="5"/>
  <c r="E4033" i="5"/>
  <c r="G4033" i="5"/>
  <c r="F4034" i="5"/>
  <c r="E4034" i="5"/>
  <c r="G4034" i="5"/>
  <c r="F4035" i="5"/>
  <c r="E4035" i="5"/>
  <c r="G4035" i="5"/>
  <c r="F4036" i="5"/>
  <c r="E4036" i="5"/>
  <c r="G4036" i="5"/>
  <c r="F4037" i="5"/>
  <c r="E4037" i="5"/>
  <c r="G4037" i="5"/>
  <c r="F4038" i="5"/>
  <c r="E4038" i="5"/>
  <c r="G4038" i="5"/>
  <c r="F4039" i="5"/>
  <c r="E4039" i="5"/>
  <c r="G4039" i="5"/>
  <c r="F4040" i="5"/>
  <c r="E4040" i="5"/>
  <c r="G4040" i="5"/>
  <c r="F4041" i="5"/>
  <c r="E4041" i="5"/>
  <c r="G4041" i="5"/>
  <c r="F4042" i="5"/>
  <c r="E4042" i="5"/>
  <c r="G4042" i="5"/>
  <c r="F4043" i="5"/>
  <c r="E4043" i="5"/>
  <c r="G4043" i="5"/>
  <c r="F4044" i="5"/>
  <c r="E4044" i="5"/>
  <c r="G4044" i="5"/>
  <c r="F4045" i="5"/>
  <c r="E4045" i="5"/>
  <c r="G4045" i="5"/>
  <c r="F4046" i="5"/>
  <c r="E4046" i="5"/>
  <c r="G4046" i="5"/>
  <c r="F4047" i="5"/>
  <c r="E4047" i="5"/>
  <c r="G4047" i="5"/>
  <c r="F4048" i="5"/>
  <c r="E4048" i="5"/>
  <c r="G4048" i="5"/>
  <c r="F4049" i="5"/>
  <c r="E4049" i="5"/>
  <c r="G4049" i="5"/>
  <c r="F4050" i="5"/>
  <c r="E4050" i="5"/>
  <c r="G4050" i="5"/>
  <c r="F4051" i="5"/>
  <c r="E4051" i="5"/>
  <c r="G4051" i="5"/>
  <c r="F4052" i="5"/>
  <c r="E4052" i="5"/>
  <c r="G4052" i="5"/>
  <c r="F4053" i="5"/>
  <c r="E4053" i="5"/>
  <c r="G4053" i="5"/>
  <c r="F4054" i="5"/>
  <c r="E4054" i="5"/>
  <c r="G4054" i="5"/>
  <c r="F4055" i="5"/>
  <c r="E4055" i="5"/>
  <c r="G4055" i="5"/>
  <c r="F4056" i="5"/>
  <c r="E4056" i="5"/>
  <c r="G4056" i="5"/>
  <c r="F4057" i="5"/>
  <c r="E4057" i="5"/>
  <c r="G4057" i="5"/>
  <c r="F4058" i="5"/>
  <c r="E4058" i="5"/>
  <c r="G4058" i="5"/>
  <c r="F4059" i="5"/>
  <c r="E4059" i="5"/>
  <c r="G4059" i="5"/>
  <c r="F4060" i="5"/>
  <c r="E4060" i="5"/>
  <c r="G4060" i="5"/>
  <c r="F4061" i="5"/>
  <c r="E4061" i="5"/>
  <c r="G4061" i="5"/>
  <c r="F4062" i="5"/>
  <c r="E4062" i="5"/>
  <c r="G4062" i="5"/>
  <c r="F4063" i="5"/>
  <c r="E4063" i="5"/>
  <c r="G4063" i="5"/>
  <c r="F4064" i="5"/>
  <c r="E4064" i="5"/>
  <c r="G4064" i="5"/>
  <c r="F4065" i="5"/>
  <c r="E4065" i="5"/>
  <c r="G4065" i="5"/>
  <c r="F4066" i="5"/>
  <c r="E4066" i="5"/>
  <c r="G4066" i="5"/>
  <c r="F4067" i="5"/>
  <c r="E4067" i="5"/>
  <c r="G4067" i="5"/>
  <c r="F4068" i="5"/>
  <c r="E4068" i="5"/>
  <c r="G4068" i="5"/>
  <c r="F4069" i="5"/>
  <c r="E4069" i="5"/>
  <c r="G4069" i="5"/>
  <c r="F4070" i="5"/>
  <c r="E4070" i="5"/>
  <c r="G4070" i="5"/>
  <c r="F4071" i="5"/>
  <c r="E4071" i="5"/>
  <c r="G4071" i="5"/>
  <c r="F4072" i="5"/>
  <c r="E4072" i="5"/>
  <c r="G4072" i="5"/>
  <c r="F4073" i="5"/>
  <c r="E4073" i="5"/>
  <c r="G4073" i="5"/>
  <c r="F4074" i="5"/>
  <c r="E4074" i="5"/>
  <c r="G4074" i="5"/>
  <c r="F4075" i="5"/>
  <c r="E4075" i="5"/>
  <c r="G4075" i="5"/>
  <c r="F4076" i="5"/>
  <c r="E4076" i="5"/>
  <c r="G4076" i="5"/>
  <c r="F4077" i="5"/>
  <c r="E4077" i="5"/>
  <c r="G4077" i="5"/>
  <c r="F4078" i="5"/>
  <c r="E4078" i="5"/>
  <c r="G4078" i="5"/>
  <c r="F4079" i="5"/>
  <c r="E4079" i="5"/>
  <c r="G4079" i="5"/>
  <c r="F4080" i="5"/>
  <c r="E4080" i="5"/>
  <c r="G4080" i="5"/>
  <c r="F4081" i="5"/>
  <c r="E4081" i="5"/>
  <c r="G4081" i="5"/>
  <c r="F4082" i="5"/>
  <c r="E4082" i="5"/>
  <c r="G4082" i="5"/>
  <c r="F4083" i="5"/>
  <c r="E4083" i="5"/>
  <c r="G4083" i="5"/>
  <c r="F4084" i="5"/>
  <c r="E4084" i="5"/>
  <c r="G4084" i="5"/>
  <c r="F4085" i="5"/>
  <c r="E4085" i="5"/>
  <c r="G4085" i="5"/>
  <c r="F4086" i="5"/>
  <c r="E4086" i="5"/>
  <c r="G4086" i="5"/>
  <c r="F4087" i="5"/>
  <c r="E4087" i="5"/>
  <c r="G4087" i="5"/>
  <c r="F4088" i="5"/>
  <c r="E4088" i="5"/>
  <c r="G4088" i="5"/>
  <c r="F4089" i="5"/>
  <c r="E4089" i="5"/>
  <c r="G4089" i="5"/>
  <c r="F4090" i="5"/>
  <c r="E4090" i="5"/>
  <c r="G4090" i="5"/>
  <c r="F4091" i="5"/>
  <c r="E4091" i="5"/>
  <c r="G4091" i="5"/>
  <c r="F4092" i="5"/>
  <c r="E4092" i="5"/>
  <c r="G4092" i="5"/>
  <c r="F4093" i="5"/>
  <c r="E4093" i="5"/>
  <c r="G4093" i="5"/>
  <c r="F4094" i="5"/>
  <c r="E4094" i="5"/>
  <c r="G4094" i="5"/>
  <c r="F4095" i="5"/>
  <c r="E4095" i="5"/>
  <c r="G4095" i="5"/>
  <c r="F4096" i="5"/>
  <c r="E4096" i="5"/>
  <c r="G4096" i="5"/>
  <c r="F4097" i="5"/>
  <c r="E4097" i="5"/>
  <c r="G4097" i="5"/>
  <c r="F4098" i="5"/>
  <c r="E4098" i="5"/>
  <c r="G4098" i="5"/>
  <c r="F4099" i="5"/>
  <c r="E4099" i="5"/>
  <c r="G4099" i="5"/>
  <c r="F4100" i="5"/>
  <c r="E4100" i="5"/>
  <c r="G4100" i="5"/>
  <c r="F4101" i="5"/>
  <c r="E4101" i="5"/>
  <c r="G4101" i="5"/>
  <c r="F4102" i="5"/>
  <c r="E4102" i="5"/>
  <c r="G4102" i="5"/>
  <c r="F4103" i="5"/>
  <c r="E4103" i="5"/>
  <c r="G4103" i="5"/>
  <c r="F4104" i="5"/>
  <c r="E4104" i="5"/>
  <c r="G4104" i="5"/>
  <c r="F4105" i="5"/>
  <c r="E4105" i="5"/>
  <c r="G4105" i="5"/>
  <c r="F4106" i="5"/>
  <c r="E4106" i="5"/>
  <c r="G4106" i="5"/>
  <c r="F4107" i="5"/>
  <c r="E4107" i="5"/>
  <c r="G4107" i="5"/>
  <c r="F4108" i="5"/>
  <c r="E4108" i="5"/>
  <c r="G4108" i="5"/>
  <c r="F4109" i="5"/>
  <c r="E4109" i="5"/>
  <c r="G4109" i="5"/>
  <c r="F4110" i="5"/>
  <c r="E4110" i="5"/>
  <c r="G4110" i="5"/>
  <c r="F4111" i="5"/>
  <c r="E4111" i="5"/>
  <c r="G4111" i="5"/>
  <c r="F4112" i="5"/>
  <c r="E4112" i="5"/>
  <c r="G4112" i="5"/>
  <c r="F4113" i="5"/>
  <c r="E4113" i="5"/>
  <c r="G4113" i="5"/>
  <c r="F4114" i="5"/>
  <c r="E4114" i="5"/>
  <c r="G4114" i="5"/>
  <c r="F4115" i="5"/>
  <c r="E4115" i="5"/>
  <c r="G4115" i="5"/>
  <c r="F4116" i="5"/>
  <c r="E4116" i="5"/>
  <c r="G4116" i="5"/>
  <c r="F4117" i="5"/>
  <c r="E4117" i="5"/>
  <c r="G4117" i="5"/>
  <c r="F4118" i="5"/>
  <c r="E4118" i="5"/>
  <c r="G4118" i="5"/>
  <c r="F4119" i="5"/>
  <c r="E4119" i="5"/>
  <c r="G4119" i="5"/>
  <c r="F4120" i="5"/>
  <c r="E4120" i="5"/>
  <c r="G4120" i="5"/>
  <c r="F4121" i="5"/>
  <c r="E4121" i="5"/>
  <c r="G4121" i="5"/>
  <c r="F4122" i="5"/>
  <c r="E4122" i="5"/>
  <c r="G4122" i="5"/>
  <c r="F4123" i="5"/>
  <c r="E4123" i="5"/>
  <c r="G4123" i="5"/>
  <c r="F4124" i="5"/>
  <c r="E4124" i="5"/>
  <c r="G4124" i="5"/>
  <c r="F4125" i="5"/>
  <c r="E4125" i="5"/>
  <c r="G4125" i="5"/>
  <c r="F4126" i="5"/>
  <c r="E4126" i="5"/>
  <c r="G4126" i="5"/>
  <c r="F4127" i="5"/>
  <c r="E4127" i="5"/>
  <c r="G4127" i="5"/>
  <c r="F4128" i="5"/>
  <c r="E4128" i="5"/>
  <c r="G4128" i="5"/>
  <c r="F4129" i="5"/>
  <c r="E4129" i="5"/>
  <c r="G4129" i="5"/>
  <c r="F4130" i="5"/>
  <c r="E4130" i="5"/>
  <c r="G4130" i="5"/>
  <c r="F4131" i="5"/>
  <c r="E4131" i="5"/>
  <c r="G4131" i="5"/>
  <c r="F4132" i="5"/>
  <c r="E4132" i="5"/>
  <c r="G4132" i="5"/>
  <c r="F4133" i="5"/>
  <c r="E4133" i="5"/>
  <c r="G4133" i="5"/>
  <c r="F4134" i="5"/>
  <c r="E4134" i="5"/>
  <c r="G4134" i="5"/>
  <c r="F4135" i="5"/>
  <c r="E4135" i="5"/>
  <c r="G4135" i="5"/>
  <c r="F4136" i="5"/>
  <c r="E4136" i="5"/>
  <c r="G4136" i="5"/>
  <c r="F4137" i="5"/>
  <c r="E4137" i="5"/>
  <c r="G4137" i="5"/>
  <c r="F4138" i="5"/>
  <c r="E4138" i="5"/>
  <c r="G4138" i="5"/>
  <c r="F4139" i="5"/>
  <c r="E4139" i="5"/>
  <c r="G4139" i="5"/>
  <c r="F4140" i="5"/>
  <c r="E4140" i="5"/>
  <c r="G4140" i="5"/>
  <c r="F4141" i="5"/>
  <c r="E4141" i="5"/>
  <c r="G4141" i="5"/>
  <c r="F4142" i="5"/>
  <c r="E4142" i="5"/>
  <c r="G4142" i="5"/>
  <c r="F4143" i="5"/>
  <c r="E4143" i="5"/>
  <c r="G4143" i="5"/>
  <c r="F4144" i="5"/>
  <c r="E4144" i="5"/>
  <c r="G4144" i="5"/>
  <c r="F4145" i="5"/>
  <c r="E4145" i="5"/>
  <c r="G4145" i="5"/>
  <c r="F4146" i="5"/>
  <c r="E4146" i="5"/>
  <c r="G4146" i="5"/>
  <c r="F4147" i="5"/>
  <c r="E4147" i="5"/>
  <c r="G4147" i="5"/>
  <c r="F4148" i="5"/>
  <c r="E4148" i="5"/>
  <c r="G4148" i="5"/>
  <c r="F4149" i="5"/>
  <c r="E4149" i="5"/>
  <c r="G4149" i="5"/>
  <c r="F4150" i="5"/>
  <c r="E4150" i="5"/>
  <c r="G4150" i="5"/>
  <c r="F4151" i="5"/>
  <c r="E4151" i="5"/>
  <c r="G4151" i="5"/>
  <c r="F4152" i="5"/>
  <c r="E4152" i="5"/>
  <c r="G4152" i="5"/>
  <c r="F4153" i="5"/>
  <c r="E4153" i="5"/>
  <c r="G4153" i="5"/>
  <c r="F4154" i="5"/>
  <c r="E4154" i="5"/>
  <c r="G4154" i="5"/>
  <c r="F4155" i="5"/>
  <c r="E4155" i="5"/>
  <c r="G4155" i="5"/>
  <c r="F4156" i="5"/>
  <c r="E4156" i="5"/>
  <c r="G4156" i="5"/>
  <c r="F4157" i="5"/>
  <c r="E4157" i="5"/>
  <c r="G4157" i="5"/>
  <c r="F4158" i="5"/>
  <c r="E4158" i="5"/>
  <c r="G4158" i="5"/>
  <c r="F4159" i="5"/>
  <c r="E4159" i="5"/>
  <c r="G4159" i="5"/>
  <c r="F4160" i="5"/>
  <c r="E4160" i="5"/>
  <c r="G4160" i="5"/>
  <c r="F4161" i="5"/>
  <c r="E4161" i="5"/>
  <c r="G4161" i="5"/>
  <c r="F4162" i="5"/>
  <c r="E4162" i="5"/>
  <c r="G4162" i="5"/>
  <c r="F4163" i="5"/>
  <c r="E4163" i="5"/>
  <c r="G4163" i="5"/>
  <c r="F4164" i="5"/>
  <c r="E4164" i="5"/>
  <c r="G4164" i="5"/>
  <c r="F4165" i="5"/>
  <c r="E4165" i="5"/>
  <c r="G4165" i="5"/>
  <c r="F4166" i="5"/>
  <c r="E4166" i="5"/>
  <c r="G4166" i="5"/>
  <c r="F4167" i="5"/>
  <c r="E4167" i="5"/>
  <c r="G4167" i="5"/>
  <c r="F4168" i="5"/>
  <c r="E4168" i="5"/>
  <c r="G4168" i="5"/>
  <c r="F4169" i="5"/>
  <c r="E4169" i="5"/>
  <c r="G4169" i="5"/>
  <c r="F4170" i="5"/>
  <c r="E4170" i="5"/>
  <c r="G4170" i="5"/>
  <c r="F4171" i="5"/>
  <c r="E4171" i="5"/>
  <c r="G4171" i="5"/>
  <c r="F4172" i="5"/>
  <c r="E4172" i="5"/>
  <c r="G4172" i="5"/>
  <c r="F4173" i="5"/>
  <c r="E4173" i="5"/>
  <c r="G4173" i="5"/>
  <c r="F4174" i="5"/>
  <c r="E4174" i="5"/>
  <c r="G4174" i="5"/>
  <c r="F4175" i="5"/>
  <c r="E4175" i="5"/>
  <c r="G4175" i="5"/>
  <c r="F4176" i="5"/>
  <c r="E4176" i="5"/>
  <c r="G4176" i="5"/>
  <c r="F4177" i="5"/>
  <c r="E4177" i="5"/>
  <c r="G4177" i="5"/>
  <c r="F4178" i="5"/>
  <c r="E4178" i="5"/>
  <c r="G4178" i="5"/>
  <c r="F4179" i="5"/>
  <c r="E4179" i="5"/>
  <c r="G4179" i="5"/>
  <c r="F4180" i="5"/>
  <c r="E4180" i="5"/>
  <c r="G4180" i="5"/>
  <c r="F4181" i="5"/>
  <c r="E4181" i="5"/>
  <c r="G4181" i="5"/>
  <c r="F4182" i="5"/>
  <c r="E4182" i="5"/>
  <c r="G4182" i="5"/>
  <c r="F4183" i="5"/>
  <c r="E4183" i="5"/>
  <c r="G4183" i="5"/>
  <c r="F4184" i="5"/>
  <c r="E4184" i="5"/>
  <c r="G4184" i="5"/>
  <c r="F4185" i="5"/>
  <c r="E4185" i="5"/>
  <c r="G4185" i="5"/>
  <c r="F4186" i="5"/>
  <c r="E4186" i="5"/>
  <c r="G4186" i="5"/>
  <c r="F4187" i="5"/>
  <c r="E4187" i="5"/>
  <c r="G4187" i="5"/>
  <c r="F4188" i="5"/>
  <c r="E4188" i="5"/>
  <c r="G4188" i="5"/>
  <c r="F4189" i="5"/>
  <c r="E4189" i="5"/>
  <c r="G4189" i="5"/>
  <c r="F4190" i="5"/>
  <c r="E4190" i="5"/>
  <c r="G4190" i="5"/>
  <c r="F4191" i="5"/>
  <c r="E4191" i="5"/>
  <c r="G4191" i="5"/>
  <c r="F4192" i="5"/>
  <c r="E4192" i="5"/>
  <c r="G4192" i="5"/>
  <c r="F4193" i="5"/>
  <c r="E4193" i="5"/>
  <c r="G4193" i="5"/>
  <c r="F4194" i="5"/>
  <c r="E4194" i="5"/>
  <c r="G4194" i="5"/>
  <c r="F4195" i="5"/>
  <c r="E4195" i="5"/>
  <c r="G4195" i="5"/>
  <c r="F4196" i="5"/>
  <c r="E4196" i="5"/>
  <c r="G4196" i="5"/>
  <c r="F4197" i="5"/>
  <c r="E4197" i="5"/>
  <c r="G4197" i="5"/>
  <c r="F4198" i="5"/>
  <c r="E4198" i="5"/>
  <c r="G4198" i="5"/>
  <c r="F4199" i="5"/>
  <c r="E4199" i="5"/>
  <c r="G4199" i="5"/>
  <c r="F4200" i="5"/>
  <c r="E4200" i="5"/>
  <c r="G4200" i="5"/>
  <c r="F4201" i="5"/>
  <c r="E4201" i="5"/>
  <c r="G4201" i="5"/>
  <c r="F4202" i="5"/>
  <c r="E4202" i="5"/>
  <c r="G4202" i="5"/>
  <c r="F4203" i="5"/>
  <c r="E4203" i="5"/>
  <c r="G4203" i="5"/>
  <c r="F4204" i="5"/>
  <c r="E4204" i="5"/>
  <c r="G4204" i="5"/>
  <c r="F4205" i="5"/>
  <c r="E4205" i="5"/>
  <c r="G4205" i="5"/>
  <c r="F4206" i="5"/>
  <c r="E4206" i="5"/>
  <c r="G4206" i="5"/>
  <c r="F4207" i="5"/>
  <c r="E4207" i="5"/>
  <c r="G4207" i="5"/>
  <c r="F4208" i="5"/>
  <c r="E4208" i="5"/>
  <c r="G4208" i="5"/>
  <c r="F4209" i="5"/>
  <c r="E4209" i="5"/>
  <c r="G4209" i="5"/>
  <c r="F4210" i="5"/>
  <c r="E4210" i="5"/>
  <c r="G4210" i="5"/>
  <c r="F4211" i="5"/>
  <c r="E4211" i="5"/>
  <c r="G4211" i="5"/>
  <c r="F4212" i="5"/>
  <c r="E4212" i="5"/>
  <c r="G4212" i="5"/>
  <c r="F4213" i="5"/>
  <c r="E4213" i="5"/>
  <c r="G4213" i="5"/>
  <c r="F4214" i="5"/>
  <c r="E4214" i="5"/>
  <c r="G4214" i="5"/>
  <c r="F4215" i="5"/>
  <c r="E4215" i="5"/>
  <c r="G4215" i="5"/>
  <c r="F4216" i="5"/>
  <c r="E4216" i="5"/>
  <c r="G4216" i="5"/>
  <c r="F4217" i="5"/>
  <c r="E4217" i="5"/>
  <c r="G4217" i="5"/>
  <c r="F4218" i="5"/>
  <c r="E4218" i="5"/>
  <c r="G4218" i="5"/>
  <c r="F4219" i="5"/>
  <c r="E4219" i="5"/>
  <c r="G4219" i="5"/>
  <c r="F4220" i="5"/>
  <c r="E4220" i="5"/>
  <c r="G4220" i="5"/>
  <c r="F4221" i="5"/>
  <c r="E4221" i="5"/>
  <c r="G4221" i="5"/>
  <c r="F4222" i="5"/>
  <c r="E4222" i="5"/>
  <c r="G4222" i="5"/>
  <c r="F4223" i="5"/>
  <c r="E4223" i="5"/>
  <c r="G4223" i="5"/>
  <c r="F4224" i="5"/>
  <c r="E4224" i="5"/>
  <c r="G4224" i="5"/>
  <c r="F4225" i="5"/>
  <c r="E4225" i="5"/>
  <c r="G4225" i="5"/>
  <c r="F4226" i="5"/>
  <c r="E4226" i="5"/>
  <c r="G4226" i="5"/>
  <c r="F4227" i="5"/>
  <c r="E4227" i="5"/>
  <c r="G4227" i="5"/>
  <c r="F4228" i="5"/>
  <c r="E4228" i="5"/>
  <c r="G4228" i="5"/>
  <c r="F4229" i="5"/>
  <c r="E4229" i="5"/>
  <c r="G4229" i="5"/>
  <c r="F4230" i="5"/>
  <c r="E4230" i="5"/>
  <c r="G4230" i="5"/>
  <c r="F4231" i="5"/>
  <c r="E4231" i="5"/>
  <c r="G4231" i="5"/>
  <c r="F4232" i="5"/>
  <c r="E4232" i="5"/>
  <c r="G4232" i="5"/>
  <c r="F4233" i="5"/>
  <c r="E4233" i="5"/>
  <c r="G4233" i="5"/>
  <c r="F4234" i="5"/>
  <c r="E4234" i="5"/>
  <c r="G4234" i="5"/>
  <c r="F4235" i="5"/>
  <c r="E4235" i="5"/>
  <c r="G4235" i="5"/>
  <c r="F4236" i="5"/>
  <c r="E4236" i="5"/>
  <c r="G4236" i="5"/>
  <c r="F4237" i="5"/>
  <c r="E4237" i="5"/>
  <c r="G4237" i="5"/>
  <c r="F4238" i="5"/>
  <c r="E4238" i="5"/>
  <c r="G4238" i="5"/>
  <c r="F4239" i="5"/>
  <c r="E4239" i="5"/>
  <c r="G4239" i="5"/>
  <c r="F4240" i="5"/>
  <c r="E4240" i="5"/>
  <c r="G4240" i="5"/>
  <c r="F4241" i="5"/>
  <c r="E4241" i="5"/>
  <c r="G4241" i="5"/>
  <c r="F4242" i="5"/>
  <c r="E4242" i="5"/>
  <c r="G4242" i="5"/>
  <c r="F4243" i="5"/>
  <c r="E4243" i="5"/>
  <c r="G4243" i="5"/>
  <c r="F4244" i="5"/>
  <c r="E4244" i="5"/>
  <c r="G4244" i="5"/>
  <c r="F4245" i="5"/>
  <c r="E4245" i="5"/>
  <c r="G4245" i="5"/>
  <c r="F4246" i="5"/>
  <c r="E4246" i="5"/>
  <c r="G4246" i="5"/>
  <c r="F4247" i="5"/>
  <c r="E4247" i="5"/>
  <c r="G4247" i="5"/>
  <c r="F4248" i="5"/>
  <c r="E4248" i="5"/>
  <c r="G4248" i="5"/>
  <c r="F4249" i="5"/>
  <c r="E4249" i="5"/>
  <c r="G4249" i="5"/>
  <c r="F4250" i="5"/>
  <c r="E4250" i="5"/>
  <c r="G4250" i="5"/>
  <c r="F4251" i="5"/>
  <c r="E4251" i="5"/>
  <c r="G4251" i="5"/>
  <c r="F4252" i="5"/>
  <c r="E4252" i="5"/>
  <c r="G4252" i="5"/>
  <c r="F4253" i="5"/>
  <c r="E4253" i="5"/>
  <c r="G4253" i="5"/>
  <c r="F4254" i="5"/>
  <c r="E4254" i="5"/>
  <c r="G4254" i="5"/>
  <c r="F4255" i="5"/>
  <c r="E4255" i="5"/>
  <c r="G4255" i="5"/>
  <c r="F4256" i="5"/>
  <c r="E4256" i="5"/>
  <c r="G4256" i="5"/>
  <c r="F4257" i="5"/>
  <c r="E4257" i="5"/>
  <c r="G4257" i="5"/>
  <c r="F4258" i="5"/>
  <c r="E4258" i="5"/>
  <c r="G4258" i="5"/>
  <c r="F4259" i="5"/>
  <c r="E4259" i="5"/>
  <c r="G4259" i="5"/>
  <c r="F4260" i="5"/>
  <c r="E4260" i="5"/>
  <c r="G4260" i="5"/>
  <c r="F4261" i="5"/>
  <c r="E4261" i="5"/>
  <c r="G4261" i="5"/>
  <c r="F4262" i="5"/>
  <c r="E4262" i="5"/>
  <c r="G4262" i="5"/>
  <c r="F4263" i="5"/>
  <c r="E4263" i="5"/>
  <c r="G4263" i="5"/>
  <c r="F4264" i="5"/>
  <c r="E4264" i="5"/>
  <c r="G4264" i="5"/>
  <c r="F4265" i="5"/>
  <c r="E4265" i="5"/>
  <c r="G4265" i="5"/>
  <c r="F4266" i="5"/>
  <c r="E4266" i="5"/>
  <c r="G4266" i="5"/>
  <c r="F4267" i="5"/>
  <c r="E4267" i="5"/>
  <c r="G4267" i="5"/>
  <c r="F4268" i="5"/>
  <c r="E4268" i="5"/>
  <c r="G4268" i="5"/>
  <c r="F4269" i="5"/>
  <c r="E4269" i="5"/>
  <c r="G4269" i="5"/>
  <c r="F4270" i="5"/>
  <c r="E4270" i="5"/>
  <c r="G4270" i="5"/>
  <c r="F4271" i="5"/>
  <c r="E4271" i="5"/>
  <c r="G4271" i="5"/>
  <c r="F4272" i="5"/>
  <c r="E4272" i="5"/>
  <c r="G4272" i="5"/>
  <c r="F4273" i="5"/>
  <c r="E4273" i="5"/>
  <c r="G4273" i="5"/>
  <c r="F4274" i="5"/>
  <c r="E4274" i="5"/>
  <c r="G4274" i="5"/>
  <c r="F4275" i="5"/>
  <c r="E4275" i="5"/>
  <c r="G4275" i="5"/>
  <c r="F4276" i="5"/>
  <c r="E4276" i="5"/>
  <c r="G4276" i="5"/>
  <c r="F4277" i="5"/>
  <c r="E4277" i="5"/>
  <c r="G4277" i="5"/>
  <c r="F4278" i="5"/>
  <c r="E4278" i="5"/>
  <c r="G4278" i="5"/>
  <c r="F4279" i="5"/>
  <c r="E4279" i="5"/>
  <c r="G4279" i="5"/>
  <c r="F4280" i="5"/>
  <c r="E4280" i="5"/>
  <c r="G4280" i="5"/>
  <c r="F4281" i="5"/>
  <c r="E4281" i="5"/>
  <c r="G4281" i="5"/>
  <c r="F4282" i="5"/>
  <c r="E4282" i="5"/>
  <c r="G4282" i="5"/>
  <c r="F4283" i="5"/>
  <c r="E4283" i="5"/>
  <c r="G4283" i="5"/>
  <c r="F4284" i="5"/>
  <c r="E4284" i="5"/>
  <c r="G4284" i="5"/>
  <c r="F4285" i="5"/>
  <c r="E4285" i="5"/>
  <c r="G4285" i="5"/>
  <c r="F4286" i="5"/>
  <c r="E4286" i="5"/>
  <c r="G4286" i="5"/>
  <c r="F4287" i="5"/>
  <c r="E4287" i="5"/>
  <c r="G4287" i="5"/>
  <c r="F4288" i="5"/>
  <c r="E4288" i="5"/>
  <c r="G4288" i="5"/>
  <c r="F4289" i="5"/>
  <c r="E4289" i="5"/>
  <c r="G4289" i="5"/>
  <c r="F4290" i="5"/>
  <c r="E4290" i="5"/>
  <c r="G4290" i="5"/>
  <c r="F4291" i="5"/>
  <c r="E4291" i="5"/>
  <c r="G4291" i="5"/>
  <c r="F4292" i="5"/>
  <c r="E4292" i="5"/>
  <c r="G4292" i="5"/>
  <c r="F4293" i="5"/>
  <c r="E4293" i="5"/>
  <c r="G4293" i="5"/>
  <c r="F4294" i="5"/>
  <c r="E4294" i="5"/>
  <c r="G4294" i="5"/>
  <c r="F4295" i="5"/>
  <c r="E4295" i="5"/>
  <c r="G4295" i="5"/>
  <c r="F4296" i="5"/>
  <c r="E4296" i="5"/>
  <c r="G4296" i="5"/>
  <c r="F4297" i="5"/>
  <c r="E4297" i="5"/>
  <c r="G4297" i="5"/>
  <c r="F4298" i="5"/>
  <c r="E4298" i="5"/>
  <c r="G4298" i="5"/>
  <c r="F4299" i="5"/>
  <c r="E4299" i="5"/>
  <c r="G4299" i="5"/>
  <c r="F4300" i="5"/>
  <c r="E4300" i="5"/>
  <c r="G4300" i="5"/>
  <c r="F4301" i="5"/>
  <c r="E4301" i="5"/>
  <c r="G4301" i="5"/>
  <c r="F4302" i="5"/>
  <c r="E4302" i="5"/>
  <c r="G4302" i="5"/>
  <c r="F4303" i="5"/>
  <c r="E4303" i="5"/>
  <c r="G4303" i="5"/>
  <c r="F4304" i="5"/>
  <c r="E4304" i="5"/>
  <c r="G4304" i="5"/>
  <c r="F4305" i="5"/>
  <c r="E4305" i="5"/>
  <c r="G4305" i="5"/>
  <c r="F4306" i="5"/>
  <c r="E4306" i="5"/>
  <c r="G4306" i="5"/>
  <c r="F4307" i="5"/>
  <c r="E4307" i="5"/>
  <c r="G4307" i="5"/>
  <c r="F4308" i="5"/>
  <c r="E4308" i="5"/>
  <c r="G4308" i="5"/>
  <c r="F4309" i="5"/>
  <c r="E4309" i="5"/>
  <c r="G4309" i="5"/>
  <c r="F4310" i="5"/>
  <c r="E4310" i="5"/>
  <c r="G4310" i="5"/>
  <c r="F4311" i="5"/>
  <c r="E4311" i="5"/>
  <c r="G4311" i="5"/>
  <c r="F4312" i="5"/>
  <c r="E4312" i="5"/>
  <c r="G4312" i="5"/>
  <c r="F4313" i="5"/>
  <c r="E4313" i="5"/>
  <c r="G4313" i="5"/>
  <c r="F4314" i="5"/>
  <c r="E4314" i="5"/>
  <c r="G4314" i="5"/>
  <c r="F4315" i="5"/>
  <c r="E4315" i="5"/>
  <c r="G4315" i="5"/>
  <c r="F4316" i="5"/>
  <c r="E4316" i="5"/>
  <c r="G4316" i="5"/>
  <c r="F4317" i="5"/>
  <c r="E4317" i="5"/>
  <c r="G4317" i="5"/>
  <c r="F4318" i="5"/>
  <c r="E4318" i="5"/>
  <c r="G4318" i="5"/>
  <c r="F4319" i="5"/>
  <c r="E4319" i="5"/>
  <c r="G4319" i="5"/>
  <c r="F4320" i="5"/>
  <c r="E4320" i="5"/>
  <c r="G4320" i="5"/>
  <c r="F4321" i="5"/>
  <c r="E4321" i="5"/>
  <c r="G4321" i="5"/>
  <c r="F4322" i="5"/>
  <c r="E4322" i="5"/>
  <c r="G4322" i="5"/>
  <c r="F4323" i="5"/>
  <c r="E4323" i="5"/>
  <c r="G4323" i="5"/>
  <c r="F4324" i="5"/>
  <c r="E4324" i="5"/>
  <c r="G4324" i="5"/>
  <c r="F4325" i="5"/>
  <c r="E4325" i="5"/>
  <c r="G4325" i="5"/>
  <c r="F4326" i="5"/>
  <c r="E4326" i="5"/>
  <c r="G4326" i="5"/>
  <c r="F4327" i="5"/>
  <c r="E4327" i="5"/>
  <c r="G4327" i="5"/>
  <c r="F4328" i="5"/>
  <c r="E4328" i="5"/>
  <c r="G4328" i="5"/>
  <c r="F4329" i="5"/>
  <c r="E4329" i="5"/>
  <c r="G4329" i="5"/>
  <c r="F4330" i="5"/>
  <c r="E4330" i="5"/>
  <c r="G4330" i="5"/>
  <c r="F4331" i="5"/>
  <c r="E4331" i="5"/>
  <c r="G4331" i="5"/>
  <c r="F4332" i="5"/>
  <c r="E4332" i="5"/>
  <c r="G4332" i="5"/>
  <c r="F4333" i="5"/>
  <c r="E4333" i="5"/>
  <c r="G4333" i="5"/>
  <c r="F4334" i="5"/>
  <c r="E4334" i="5"/>
  <c r="G4334" i="5"/>
  <c r="F4335" i="5"/>
  <c r="E4335" i="5"/>
  <c r="G4335" i="5"/>
  <c r="F4336" i="5"/>
  <c r="E4336" i="5"/>
  <c r="G4336" i="5"/>
  <c r="F4337" i="5"/>
  <c r="E4337" i="5"/>
  <c r="G4337" i="5"/>
  <c r="F4338" i="5"/>
  <c r="E4338" i="5"/>
  <c r="G4338" i="5"/>
  <c r="F4339" i="5"/>
  <c r="E4339" i="5"/>
  <c r="G4339" i="5"/>
  <c r="F4340" i="5"/>
  <c r="E4340" i="5"/>
  <c r="G4340" i="5"/>
  <c r="F4341" i="5"/>
  <c r="E4341" i="5"/>
  <c r="G4341" i="5"/>
  <c r="F4342" i="5"/>
  <c r="E4342" i="5"/>
  <c r="G4342" i="5"/>
  <c r="F4343" i="5"/>
  <c r="E4343" i="5"/>
  <c r="G4343" i="5"/>
  <c r="F4344" i="5"/>
  <c r="E4344" i="5"/>
  <c r="G4344" i="5"/>
  <c r="F4345" i="5"/>
  <c r="E4345" i="5"/>
  <c r="G4345" i="5"/>
  <c r="F4346" i="5"/>
  <c r="E4346" i="5"/>
  <c r="G4346" i="5"/>
  <c r="F4347" i="5"/>
  <c r="E4347" i="5"/>
  <c r="G4347" i="5"/>
  <c r="F4348" i="5"/>
  <c r="E4348" i="5"/>
  <c r="G4348" i="5"/>
  <c r="F4349" i="5"/>
  <c r="E4349" i="5"/>
  <c r="G4349" i="5"/>
  <c r="F4350" i="5"/>
  <c r="E4350" i="5"/>
  <c r="G4350" i="5"/>
  <c r="F4351" i="5"/>
  <c r="E4351" i="5"/>
  <c r="G4351" i="5"/>
  <c r="F4352" i="5"/>
  <c r="E4352" i="5"/>
  <c r="G4352" i="5"/>
  <c r="F4353" i="5"/>
  <c r="E4353" i="5"/>
  <c r="G4353" i="5"/>
  <c r="F4354" i="5"/>
  <c r="E4354" i="5"/>
  <c r="G4354" i="5"/>
  <c r="F4355" i="5"/>
  <c r="E4355" i="5"/>
  <c r="G4355" i="5"/>
  <c r="F4356" i="5"/>
  <c r="E4356" i="5"/>
  <c r="G4356" i="5"/>
  <c r="F4357" i="5"/>
  <c r="E4357" i="5"/>
  <c r="G4357" i="5"/>
  <c r="F4358" i="5"/>
  <c r="E4358" i="5"/>
  <c r="G4358" i="5"/>
  <c r="F4359" i="5"/>
  <c r="E4359" i="5"/>
  <c r="G4359" i="5"/>
  <c r="F4360" i="5"/>
  <c r="E4360" i="5"/>
  <c r="G4360" i="5"/>
  <c r="F4361" i="5"/>
  <c r="E4361" i="5"/>
  <c r="G4361" i="5"/>
  <c r="F4362" i="5"/>
  <c r="E4362" i="5"/>
  <c r="G4362" i="5"/>
  <c r="F4363" i="5"/>
  <c r="E4363" i="5"/>
  <c r="G4363" i="5"/>
  <c r="F4364" i="5"/>
  <c r="E4364" i="5"/>
  <c r="G4364" i="5"/>
  <c r="F4365" i="5"/>
  <c r="E4365" i="5"/>
  <c r="G4365" i="5"/>
  <c r="F4366" i="5"/>
  <c r="E4366" i="5"/>
  <c r="G4366" i="5"/>
  <c r="F4367" i="5"/>
  <c r="E4367" i="5"/>
  <c r="G4367" i="5"/>
  <c r="F4368" i="5"/>
  <c r="E4368" i="5"/>
  <c r="G4368" i="5"/>
  <c r="F4369" i="5"/>
  <c r="E4369" i="5"/>
  <c r="G4369" i="5"/>
  <c r="F4370" i="5"/>
  <c r="E4370" i="5"/>
  <c r="G4370" i="5"/>
  <c r="F4371" i="5"/>
  <c r="E4371" i="5"/>
  <c r="G4371" i="5"/>
  <c r="F4372" i="5"/>
  <c r="E4372" i="5"/>
  <c r="G4372" i="5"/>
  <c r="F4373" i="5"/>
  <c r="E4373" i="5"/>
  <c r="G4373" i="5"/>
  <c r="F4374" i="5"/>
  <c r="E4374" i="5"/>
  <c r="G4374" i="5"/>
  <c r="F4375" i="5"/>
  <c r="E4375" i="5"/>
  <c r="G4375" i="5"/>
  <c r="F4376" i="5"/>
  <c r="E4376" i="5"/>
  <c r="G4376" i="5"/>
  <c r="F4377" i="5"/>
  <c r="E4377" i="5"/>
  <c r="G4377" i="5"/>
  <c r="F4378" i="5"/>
  <c r="E4378" i="5"/>
  <c r="G4378" i="5"/>
  <c r="F4379" i="5"/>
  <c r="E4379" i="5"/>
  <c r="G4379" i="5"/>
  <c r="F4380" i="5"/>
  <c r="E4380" i="5"/>
  <c r="G4380" i="5"/>
  <c r="F4381" i="5"/>
  <c r="E4381" i="5"/>
  <c r="G4381" i="5"/>
  <c r="F4382" i="5"/>
  <c r="E4382" i="5"/>
  <c r="G4382" i="5"/>
  <c r="F4383" i="5"/>
  <c r="E4383" i="5"/>
  <c r="G4383" i="5"/>
  <c r="F4384" i="5"/>
  <c r="E4384" i="5"/>
  <c r="G4384" i="5"/>
  <c r="F4385" i="5"/>
  <c r="E4385" i="5"/>
  <c r="G4385" i="5"/>
  <c r="F4386" i="5"/>
  <c r="E4386" i="5"/>
  <c r="G4386" i="5"/>
  <c r="F4387" i="5"/>
  <c r="E4387" i="5"/>
  <c r="G4387" i="5"/>
  <c r="F4388" i="5"/>
  <c r="E4388" i="5"/>
  <c r="G4388" i="5"/>
  <c r="F4389" i="5"/>
  <c r="E4389" i="5"/>
  <c r="G4389" i="5"/>
  <c r="F4390" i="5"/>
  <c r="E4390" i="5"/>
  <c r="G4390" i="5"/>
  <c r="F4391" i="5"/>
  <c r="E4391" i="5"/>
  <c r="G4391" i="5"/>
  <c r="F4392" i="5"/>
  <c r="E4392" i="5"/>
  <c r="G4392" i="5"/>
  <c r="F4393" i="5"/>
  <c r="E4393" i="5"/>
  <c r="G4393" i="5"/>
  <c r="F4394" i="5"/>
  <c r="E4394" i="5"/>
  <c r="G4394" i="5"/>
  <c r="F4395" i="5"/>
  <c r="E4395" i="5"/>
  <c r="G4395" i="5"/>
  <c r="F4396" i="5"/>
  <c r="E4396" i="5"/>
  <c r="G4396" i="5"/>
  <c r="F4397" i="5"/>
  <c r="E4397" i="5"/>
  <c r="G4397" i="5"/>
  <c r="F4398" i="5"/>
  <c r="E4398" i="5"/>
  <c r="G4398" i="5"/>
  <c r="F4399" i="5"/>
  <c r="E4399" i="5"/>
  <c r="G4399" i="5"/>
  <c r="F4400" i="5"/>
  <c r="E4400" i="5"/>
  <c r="G4400" i="5"/>
  <c r="F4401" i="5"/>
  <c r="E4401" i="5"/>
  <c r="G4401" i="5"/>
  <c r="F4402" i="5"/>
  <c r="E4402" i="5"/>
  <c r="G4402" i="5"/>
  <c r="F4403" i="5"/>
  <c r="E4403" i="5"/>
  <c r="G4403" i="5"/>
  <c r="F4404" i="5"/>
  <c r="E4404" i="5"/>
  <c r="G4404" i="5"/>
  <c r="F4405" i="5"/>
  <c r="E4405" i="5"/>
  <c r="G4405" i="5"/>
  <c r="F4406" i="5"/>
  <c r="E4406" i="5"/>
  <c r="G4406" i="5"/>
  <c r="F4407" i="5"/>
  <c r="E4407" i="5"/>
  <c r="G4407" i="5"/>
  <c r="F4408" i="5"/>
  <c r="E4408" i="5"/>
  <c r="G4408" i="5"/>
  <c r="F4409" i="5"/>
  <c r="E4409" i="5"/>
  <c r="G4409" i="5"/>
  <c r="F4410" i="5"/>
  <c r="E4410" i="5"/>
  <c r="G4410" i="5"/>
  <c r="F4411" i="5"/>
  <c r="E4411" i="5"/>
  <c r="G4411" i="5"/>
  <c r="F4412" i="5"/>
  <c r="E4412" i="5"/>
  <c r="G4412" i="5"/>
  <c r="F4413" i="5"/>
  <c r="E4413" i="5"/>
  <c r="G4413" i="5"/>
  <c r="F4414" i="5"/>
  <c r="E4414" i="5"/>
  <c r="G4414" i="5"/>
  <c r="F4415" i="5"/>
  <c r="E4415" i="5"/>
  <c r="G4415" i="5"/>
  <c r="F4416" i="5"/>
  <c r="E4416" i="5"/>
  <c r="G4416" i="5"/>
  <c r="F4417" i="5"/>
  <c r="E4417" i="5"/>
  <c r="G4417" i="5"/>
  <c r="F4418" i="5"/>
  <c r="E4418" i="5"/>
  <c r="G4418" i="5"/>
  <c r="F4419" i="5"/>
  <c r="E4419" i="5"/>
  <c r="G4419" i="5"/>
  <c r="F4420" i="5"/>
  <c r="E4420" i="5"/>
  <c r="G4420" i="5"/>
  <c r="F4421" i="5"/>
  <c r="E4421" i="5"/>
  <c r="G4421" i="5"/>
  <c r="F4422" i="5"/>
  <c r="E4422" i="5"/>
  <c r="G4422" i="5"/>
  <c r="F4423" i="5"/>
  <c r="E4423" i="5"/>
  <c r="G4423" i="5"/>
  <c r="F4424" i="5"/>
  <c r="E4424" i="5"/>
  <c r="G4424" i="5"/>
  <c r="F4425" i="5"/>
  <c r="E4425" i="5"/>
  <c r="G4425" i="5"/>
  <c r="F4426" i="5"/>
  <c r="E4426" i="5"/>
  <c r="G4426" i="5"/>
  <c r="F4427" i="5"/>
  <c r="E4427" i="5"/>
  <c r="G4427" i="5"/>
  <c r="F4428" i="5"/>
  <c r="E4428" i="5"/>
  <c r="G4428" i="5"/>
  <c r="F4429" i="5"/>
  <c r="E4429" i="5"/>
  <c r="G4429" i="5"/>
  <c r="F4430" i="5"/>
  <c r="E4430" i="5"/>
  <c r="G4430" i="5"/>
  <c r="F4431" i="5"/>
  <c r="E4431" i="5"/>
  <c r="G4431" i="5"/>
  <c r="F4432" i="5"/>
  <c r="E4432" i="5"/>
  <c r="G4432" i="5"/>
  <c r="F4433" i="5"/>
  <c r="E4433" i="5"/>
  <c r="G4433" i="5"/>
  <c r="F4434" i="5"/>
  <c r="E4434" i="5"/>
  <c r="G4434" i="5"/>
  <c r="F4435" i="5"/>
  <c r="E4435" i="5"/>
  <c r="G4435" i="5"/>
  <c r="F4436" i="5"/>
  <c r="E4436" i="5"/>
  <c r="G4436" i="5"/>
  <c r="F4437" i="5"/>
  <c r="E4437" i="5"/>
  <c r="G4437" i="5"/>
  <c r="F4438" i="5"/>
  <c r="E4438" i="5"/>
  <c r="G4438" i="5"/>
  <c r="F4439" i="5"/>
  <c r="E4439" i="5"/>
  <c r="G4439" i="5"/>
  <c r="F4440" i="5"/>
  <c r="E4440" i="5"/>
  <c r="G4440" i="5"/>
  <c r="F4441" i="5"/>
  <c r="E4441" i="5"/>
  <c r="G4441" i="5"/>
  <c r="F4442" i="5"/>
  <c r="E4442" i="5"/>
  <c r="G4442" i="5"/>
  <c r="F4443" i="5"/>
  <c r="E4443" i="5"/>
  <c r="G4443" i="5"/>
  <c r="F4444" i="5"/>
  <c r="E4444" i="5"/>
  <c r="G4444" i="5"/>
  <c r="F4445" i="5"/>
  <c r="E4445" i="5"/>
  <c r="G4445" i="5"/>
  <c r="F4446" i="5"/>
  <c r="E4446" i="5"/>
  <c r="G4446" i="5"/>
  <c r="F4447" i="5"/>
  <c r="E4447" i="5"/>
  <c r="G4447" i="5"/>
  <c r="F4448" i="5"/>
  <c r="E4448" i="5"/>
  <c r="G4448" i="5"/>
  <c r="F4449" i="5"/>
  <c r="E4449" i="5"/>
  <c r="G4449" i="5"/>
  <c r="F4450" i="5"/>
  <c r="E4450" i="5"/>
  <c r="G4450" i="5"/>
  <c r="F4451" i="5"/>
  <c r="E4451" i="5"/>
  <c r="G4451" i="5"/>
  <c r="F4452" i="5"/>
  <c r="E4452" i="5"/>
  <c r="G4452" i="5"/>
  <c r="F4453" i="5"/>
  <c r="E4453" i="5"/>
  <c r="G4453" i="5"/>
  <c r="F4454" i="5"/>
  <c r="E4454" i="5"/>
  <c r="G4454" i="5"/>
  <c r="F4455" i="5"/>
  <c r="E4455" i="5"/>
  <c r="G4455" i="5"/>
  <c r="F4456" i="5"/>
  <c r="E4456" i="5"/>
  <c r="G4456" i="5"/>
  <c r="F4457" i="5"/>
  <c r="E4457" i="5"/>
  <c r="G4457" i="5"/>
  <c r="F4458" i="5"/>
  <c r="E4458" i="5"/>
  <c r="G4458" i="5"/>
  <c r="F4459" i="5"/>
  <c r="E4459" i="5"/>
  <c r="G4459" i="5"/>
  <c r="F4460" i="5"/>
  <c r="E4460" i="5"/>
  <c r="G4460" i="5"/>
  <c r="F4461" i="5"/>
  <c r="E4461" i="5"/>
  <c r="G4461" i="5"/>
  <c r="F4462" i="5"/>
  <c r="E4462" i="5"/>
  <c r="G4462" i="5"/>
  <c r="F4463" i="5"/>
  <c r="E4463" i="5"/>
  <c r="G4463" i="5"/>
  <c r="F4464" i="5"/>
  <c r="E4464" i="5"/>
  <c r="G4464" i="5"/>
  <c r="F4465" i="5"/>
  <c r="E4465" i="5"/>
  <c r="G4465" i="5"/>
  <c r="F4466" i="5"/>
  <c r="E4466" i="5"/>
  <c r="G4466" i="5"/>
  <c r="F4467" i="5"/>
  <c r="E4467" i="5"/>
  <c r="G4467" i="5"/>
  <c r="F4468" i="5"/>
  <c r="E4468" i="5"/>
  <c r="G4468" i="5"/>
  <c r="F4469" i="5"/>
  <c r="E4469" i="5"/>
  <c r="G4469" i="5"/>
  <c r="F4470" i="5"/>
  <c r="E4470" i="5"/>
  <c r="G4470" i="5"/>
  <c r="F4471" i="5"/>
  <c r="E4471" i="5"/>
  <c r="G4471" i="5"/>
  <c r="F4472" i="5"/>
  <c r="E4472" i="5"/>
  <c r="G4472" i="5"/>
  <c r="F4473" i="5"/>
  <c r="E4473" i="5"/>
  <c r="G4473" i="5"/>
  <c r="F4474" i="5"/>
  <c r="E4474" i="5"/>
  <c r="G4474" i="5"/>
  <c r="F4475" i="5"/>
  <c r="E4475" i="5"/>
  <c r="G4475" i="5"/>
  <c r="F4476" i="5"/>
  <c r="E4476" i="5"/>
  <c r="G4476" i="5"/>
  <c r="F4477" i="5"/>
  <c r="E4477" i="5"/>
  <c r="G4477" i="5"/>
  <c r="F4478" i="5"/>
  <c r="E4478" i="5"/>
  <c r="G4478" i="5"/>
  <c r="F4479" i="5"/>
  <c r="E4479" i="5"/>
  <c r="G4479" i="5"/>
  <c r="F4480" i="5"/>
  <c r="E4480" i="5"/>
  <c r="G4480" i="5"/>
  <c r="F4481" i="5"/>
  <c r="E4481" i="5"/>
  <c r="G4481" i="5"/>
  <c r="F4482" i="5"/>
  <c r="E4482" i="5"/>
  <c r="G4482" i="5"/>
  <c r="F4483" i="5"/>
  <c r="E4483" i="5"/>
  <c r="G4483" i="5"/>
  <c r="F4484" i="5"/>
  <c r="E4484" i="5"/>
  <c r="G4484" i="5"/>
  <c r="F4485" i="5"/>
  <c r="E4485" i="5"/>
  <c r="G4485" i="5"/>
  <c r="F4486" i="5"/>
  <c r="E4486" i="5"/>
  <c r="G4486" i="5"/>
  <c r="F4487" i="5"/>
  <c r="E4487" i="5"/>
  <c r="G4487" i="5"/>
  <c r="F4488" i="5"/>
  <c r="E4488" i="5"/>
  <c r="G4488" i="5"/>
  <c r="F4489" i="5"/>
  <c r="E4489" i="5"/>
  <c r="G4489" i="5"/>
  <c r="F4490" i="5"/>
  <c r="E4490" i="5"/>
  <c r="G4490" i="5"/>
  <c r="F4491" i="5"/>
  <c r="E4491" i="5"/>
  <c r="G4491" i="5"/>
  <c r="F4492" i="5"/>
  <c r="E4492" i="5"/>
  <c r="G4492" i="5"/>
  <c r="F4493" i="5"/>
  <c r="E4493" i="5"/>
  <c r="G4493" i="5"/>
  <c r="F4494" i="5"/>
  <c r="E4494" i="5"/>
  <c r="G4494" i="5"/>
  <c r="F4495" i="5"/>
  <c r="E4495" i="5"/>
  <c r="G4495" i="5"/>
  <c r="F4496" i="5"/>
  <c r="E4496" i="5"/>
  <c r="G4496" i="5"/>
  <c r="F4497" i="5"/>
  <c r="E4497" i="5"/>
  <c r="G4497" i="5"/>
  <c r="F4498" i="5"/>
  <c r="E4498" i="5"/>
  <c r="G4498" i="5"/>
  <c r="F4499" i="5"/>
  <c r="E4499" i="5"/>
  <c r="G4499" i="5"/>
  <c r="F4500" i="5"/>
  <c r="E4500" i="5"/>
  <c r="G4500" i="5"/>
  <c r="F4501" i="5"/>
  <c r="E4501" i="5"/>
  <c r="G4501" i="5"/>
  <c r="F4502" i="5"/>
  <c r="E4502" i="5"/>
  <c r="G4502" i="5"/>
  <c r="F4503" i="5"/>
  <c r="E4503" i="5"/>
  <c r="G4503" i="5"/>
  <c r="F4504" i="5"/>
  <c r="E4504" i="5"/>
  <c r="G4504" i="5"/>
  <c r="F4505" i="5"/>
  <c r="E4505" i="5"/>
  <c r="G4505" i="5"/>
  <c r="F4506" i="5"/>
  <c r="E4506" i="5"/>
  <c r="G4506" i="5"/>
  <c r="F4507" i="5"/>
  <c r="E4507" i="5"/>
  <c r="G4507" i="5"/>
  <c r="F4508" i="5"/>
  <c r="E4508" i="5"/>
  <c r="G4508" i="5"/>
  <c r="F4509" i="5"/>
  <c r="E4509" i="5"/>
  <c r="G4509" i="5"/>
  <c r="F4510" i="5"/>
  <c r="E4510" i="5"/>
  <c r="G4510" i="5"/>
  <c r="F4511" i="5"/>
  <c r="E4511" i="5"/>
  <c r="G4511" i="5"/>
  <c r="F4512" i="5"/>
  <c r="E4512" i="5"/>
  <c r="G4512" i="5"/>
  <c r="F4513" i="5"/>
  <c r="E4513" i="5"/>
  <c r="G4513" i="5"/>
  <c r="F4514" i="5"/>
  <c r="E4514" i="5"/>
  <c r="G4514" i="5"/>
  <c r="F4515" i="5"/>
  <c r="E4515" i="5"/>
  <c r="G4515" i="5"/>
  <c r="F4516" i="5"/>
  <c r="E4516" i="5"/>
  <c r="G4516" i="5"/>
  <c r="F4517" i="5"/>
  <c r="E4517" i="5"/>
  <c r="G4517" i="5"/>
  <c r="F4518" i="5"/>
  <c r="E4518" i="5"/>
  <c r="G4518" i="5"/>
  <c r="F4519" i="5"/>
  <c r="E4519" i="5"/>
  <c r="G4519" i="5"/>
  <c r="F4520" i="5"/>
  <c r="E4520" i="5"/>
  <c r="G4520" i="5"/>
  <c r="F4521" i="5"/>
  <c r="E4521" i="5"/>
  <c r="G4521" i="5"/>
  <c r="F4522" i="5"/>
  <c r="E4522" i="5"/>
  <c r="G4522" i="5"/>
  <c r="F4523" i="5"/>
  <c r="E4523" i="5"/>
  <c r="G4523" i="5"/>
  <c r="F4524" i="5"/>
  <c r="E4524" i="5"/>
  <c r="G4524" i="5"/>
  <c r="F4525" i="5"/>
  <c r="E4525" i="5"/>
  <c r="G4525" i="5"/>
  <c r="F4526" i="5"/>
  <c r="E4526" i="5"/>
  <c r="G4526" i="5"/>
  <c r="F4527" i="5"/>
  <c r="E4527" i="5"/>
  <c r="G4527" i="5"/>
  <c r="F4528" i="5"/>
  <c r="E4528" i="5"/>
  <c r="G4528" i="5"/>
  <c r="F4529" i="5"/>
  <c r="E4529" i="5"/>
  <c r="G4529" i="5"/>
  <c r="F4530" i="5"/>
  <c r="E4530" i="5"/>
  <c r="G4530" i="5"/>
  <c r="F4531" i="5"/>
  <c r="E4531" i="5"/>
  <c r="G4531" i="5"/>
  <c r="F4532" i="5"/>
  <c r="E4532" i="5"/>
  <c r="G4532" i="5"/>
  <c r="F4533" i="5"/>
  <c r="E4533" i="5"/>
  <c r="G4533" i="5"/>
  <c r="F4534" i="5"/>
  <c r="E4534" i="5"/>
  <c r="G4534" i="5"/>
  <c r="F4535" i="5"/>
  <c r="E4535" i="5"/>
  <c r="G4535" i="5"/>
  <c r="F4536" i="5"/>
  <c r="E4536" i="5"/>
  <c r="G4536" i="5"/>
  <c r="F4537" i="5"/>
  <c r="E4537" i="5"/>
  <c r="G4537" i="5"/>
  <c r="F4538" i="5"/>
  <c r="E4538" i="5"/>
  <c r="G4538" i="5"/>
  <c r="F4539" i="5"/>
  <c r="E4539" i="5"/>
  <c r="G4539" i="5"/>
  <c r="F4540" i="5"/>
  <c r="E4540" i="5"/>
  <c r="G4540" i="5"/>
  <c r="F4541" i="5"/>
  <c r="E4541" i="5"/>
  <c r="G4541" i="5"/>
  <c r="F4542" i="5"/>
  <c r="E4542" i="5"/>
  <c r="G4542" i="5"/>
  <c r="F4543" i="5"/>
  <c r="E4543" i="5"/>
  <c r="G4543" i="5"/>
  <c r="F4544" i="5"/>
  <c r="E4544" i="5"/>
  <c r="G4544" i="5"/>
  <c r="F4545" i="5"/>
  <c r="E4545" i="5"/>
  <c r="G4545" i="5"/>
  <c r="F4546" i="5"/>
  <c r="E4546" i="5"/>
  <c r="G4546" i="5"/>
  <c r="F4547" i="5"/>
  <c r="E4547" i="5"/>
  <c r="G4547" i="5"/>
  <c r="F4548" i="5"/>
  <c r="E4548" i="5"/>
  <c r="G4548" i="5"/>
  <c r="F4549" i="5"/>
  <c r="E4549" i="5"/>
  <c r="G4549" i="5"/>
  <c r="F4550" i="5"/>
  <c r="E4550" i="5"/>
  <c r="G4550" i="5"/>
  <c r="F4551" i="5"/>
  <c r="E4551" i="5"/>
  <c r="G4551" i="5"/>
  <c r="F4552" i="5"/>
  <c r="E4552" i="5"/>
  <c r="G4552" i="5"/>
  <c r="F4553" i="5"/>
  <c r="E4553" i="5"/>
  <c r="G4553" i="5"/>
  <c r="F4554" i="5"/>
  <c r="E4554" i="5"/>
  <c r="G4554" i="5"/>
  <c r="F4555" i="5"/>
  <c r="E4555" i="5"/>
  <c r="G4555" i="5"/>
  <c r="F4556" i="5"/>
  <c r="E4556" i="5"/>
  <c r="G4556" i="5"/>
  <c r="F4557" i="5"/>
  <c r="E4557" i="5"/>
  <c r="G4557" i="5"/>
  <c r="F4558" i="5"/>
  <c r="E4558" i="5"/>
  <c r="G4558" i="5"/>
  <c r="F4559" i="5"/>
  <c r="E4559" i="5"/>
  <c r="G4559" i="5"/>
  <c r="F4560" i="5"/>
  <c r="E4560" i="5"/>
  <c r="G4560" i="5"/>
  <c r="F4561" i="5"/>
  <c r="E4561" i="5"/>
  <c r="G4561" i="5"/>
  <c r="F4562" i="5"/>
  <c r="E4562" i="5"/>
  <c r="G4562" i="5"/>
  <c r="F4563" i="5"/>
  <c r="E4563" i="5"/>
  <c r="G4563" i="5"/>
  <c r="F4564" i="5"/>
  <c r="E4564" i="5"/>
  <c r="G4564" i="5"/>
  <c r="F4565" i="5"/>
  <c r="E4565" i="5"/>
  <c r="G4565" i="5"/>
  <c r="F4566" i="5"/>
  <c r="E4566" i="5"/>
  <c r="G4566" i="5"/>
  <c r="F4567" i="5"/>
  <c r="E4567" i="5"/>
  <c r="G4567" i="5"/>
  <c r="F4568" i="5"/>
  <c r="E4568" i="5"/>
  <c r="G4568" i="5"/>
  <c r="F4569" i="5"/>
  <c r="E4569" i="5"/>
  <c r="G4569" i="5"/>
  <c r="F4570" i="5"/>
  <c r="E4570" i="5"/>
  <c r="G4570" i="5"/>
  <c r="F4571" i="5"/>
  <c r="E4571" i="5"/>
  <c r="G4571" i="5"/>
  <c r="F4572" i="5"/>
  <c r="E4572" i="5"/>
  <c r="G4572" i="5"/>
  <c r="F4573" i="5"/>
  <c r="E4573" i="5"/>
  <c r="G4573" i="5"/>
  <c r="F4574" i="5"/>
  <c r="E4574" i="5"/>
  <c r="G4574" i="5"/>
  <c r="F4575" i="5"/>
  <c r="E4575" i="5"/>
  <c r="G4575" i="5"/>
  <c r="F4576" i="5"/>
  <c r="E4576" i="5"/>
  <c r="G4576" i="5"/>
  <c r="F4577" i="5"/>
  <c r="E4577" i="5"/>
  <c r="G4577" i="5"/>
  <c r="F4578" i="5"/>
  <c r="E4578" i="5"/>
  <c r="G4578" i="5"/>
  <c r="F4579" i="5"/>
  <c r="E4579" i="5"/>
  <c r="G4579" i="5"/>
  <c r="F4580" i="5"/>
  <c r="E4580" i="5"/>
  <c r="G4580" i="5"/>
  <c r="F4581" i="5"/>
  <c r="E4581" i="5"/>
  <c r="G4581" i="5"/>
  <c r="F4582" i="5"/>
  <c r="E4582" i="5"/>
  <c r="G4582" i="5"/>
  <c r="F4583" i="5"/>
  <c r="E4583" i="5"/>
  <c r="G4583" i="5"/>
  <c r="F4584" i="5"/>
  <c r="E4584" i="5"/>
  <c r="G4584" i="5"/>
  <c r="F4585" i="5"/>
  <c r="E4585" i="5"/>
  <c r="G4585" i="5"/>
  <c r="F4586" i="5"/>
  <c r="E4586" i="5"/>
  <c r="G4586" i="5"/>
  <c r="F4587" i="5"/>
  <c r="E4587" i="5"/>
  <c r="G4587" i="5"/>
  <c r="F4588" i="5"/>
  <c r="E4588" i="5"/>
  <c r="G4588" i="5"/>
  <c r="F4589" i="5"/>
  <c r="E4589" i="5"/>
  <c r="G4589" i="5"/>
  <c r="F4590" i="5"/>
  <c r="E4590" i="5"/>
  <c r="G4590" i="5"/>
  <c r="F4591" i="5"/>
  <c r="E4591" i="5"/>
  <c r="G4591" i="5"/>
  <c r="F4592" i="5"/>
  <c r="E4592" i="5"/>
  <c r="G4592" i="5"/>
  <c r="F4593" i="5"/>
  <c r="E4593" i="5"/>
  <c r="G4593" i="5"/>
  <c r="F4594" i="5"/>
  <c r="E4594" i="5"/>
  <c r="G4594" i="5"/>
  <c r="F4595" i="5"/>
  <c r="E4595" i="5"/>
  <c r="G4595" i="5"/>
  <c r="F4596" i="5"/>
  <c r="E4596" i="5"/>
  <c r="G4596" i="5"/>
  <c r="F4597" i="5"/>
  <c r="E4597" i="5"/>
  <c r="G4597" i="5"/>
  <c r="F4598" i="5"/>
  <c r="E4598" i="5"/>
  <c r="G4598" i="5"/>
  <c r="F4599" i="5"/>
  <c r="E4599" i="5"/>
  <c r="G4599" i="5"/>
  <c r="F4600" i="5"/>
  <c r="E4600" i="5"/>
  <c r="G4600" i="5"/>
  <c r="F4601" i="5"/>
  <c r="E4601" i="5"/>
  <c r="G4601" i="5"/>
  <c r="F4602" i="5"/>
  <c r="E4602" i="5"/>
  <c r="G4602" i="5"/>
  <c r="F4603" i="5"/>
  <c r="E4603" i="5"/>
  <c r="G4603" i="5"/>
  <c r="F4604" i="5"/>
  <c r="E4604" i="5"/>
  <c r="G4604" i="5"/>
  <c r="F4605" i="5"/>
  <c r="E4605" i="5"/>
  <c r="G4605" i="5"/>
  <c r="F4606" i="5"/>
  <c r="E4606" i="5"/>
  <c r="G4606" i="5"/>
  <c r="F4607" i="5"/>
  <c r="E4607" i="5"/>
  <c r="G4607" i="5"/>
  <c r="F4608" i="5"/>
  <c r="E4608" i="5"/>
  <c r="G4608" i="5"/>
  <c r="F4609" i="5"/>
  <c r="E4609" i="5"/>
  <c r="G4609" i="5"/>
  <c r="F4610" i="5"/>
  <c r="E4610" i="5"/>
  <c r="G4610" i="5"/>
  <c r="F4611" i="5"/>
  <c r="E4611" i="5"/>
  <c r="G4611" i="5"/>
  <c r="F4612" i="5"/>
  <c r="E4612" i="5"/>
  <c r="G4612" i="5"/>
  <c r="F4613" i="5"/>
  <c r="E4613" i="5"/>
  <c r="G4613" i="5"/>
  <c r="F4614" i="5"/>
  <c r="E4614" i="5"/>
  <c r="G4614" i="5"/>
  <c r="F4615" i="5"/>
  <c r="E4615" i="5"/>
  <c r="G4615" i="5"/>
  <c r="F4616" i="5"/>
  <c r="E4616" i="5"/>
  <c r="G4616" i="5"/>
  <c r="F4617" i="5"/>
  <c r="E4617" i="5"/>
  <c r="G4617" i="5"/>
  <c r="F4618" i="5"/>
  <c r="E4618" i="5"/>
  <c r="G4618" i="5"/>
  <c r="F4619" i="5"/>
  <c r="E4619" i="5"/>
  <c r="G4619" i="5"/>
  <c r="F4620" i="5"/>
  <c r="E4620" i="5"/>
  <c r="G4620" i="5"/>
  <c r="F4621" i="5"/>
  <c r="E4621" i="5"/>
  <c r="G4621" i="5"/>
  <c r="F4622" i="5"/>
  <c r="E4622" i="5"/>
  <c r="G4622" i="5"/>
  <c r="F4623" i="5"/>
  <c r="E4623" i="5"/>
  <c r="G4623" i="5"/>
  <c r="F4624" i="5"/>
  <c r="E4624" i="5"/>
  <c r="G4624" i="5"/>
  <c r="F4625" i="5"/>
  <c r="E4625" i="5"/>
  <c r="G4625" i="5"/>
  <c r="F4626" i="5"/>
  <c r="E4626" i="5"/>
  <c r="G4626" i="5"/>
  <c r="F4627" i="5"/>
  <c r="E4627" i="5"/>
  <c r="G4627" i="5"/>
  <c r="F4628" i="5"/>
  <c r="E4628" i="5"/>
  <c r="G4628" i="5"/>
  <c r="F4629" i="5"/>
  <c r="E4629" i="5"/>
  <c r="G4629" i="5"/>
  <c r="F4630" i="5"/>
  <c r="E4630" i="5"/>
  <c r="G4630" i="5"/>
  <c r="F4631" i="5"/>
  <c r="E4631" i="5"/>
  <c r="G4631" i="5"/>
  <c r="F4632" i="5"/>
  <c r="E4632" i="5"/>
  <c r="G4632" i="5"/>
  <c r="F4633" i="5"/>
  <c r="E4633" i="5"/>
  <c r="G4633" i="5"/>
  <c r="F4634" i="5"/>
  <c r="E4634" i="5"/>
  <c r="G4634" i="5"/>
  <c r="F4635" i="5"/>
  <c r="E4635" i="5"/>
  <c r="G4635" i="5"/>
  <c r="F4636" i="5"/>
  <c r="E4636" i="5"/>
  <c r="G4636" i="5"/>
  <c r="F4637" i="5"/>
  <c r="E4637" i="5"/>
  <c r="G4637" i="5"/>
  <c r="F4638" i="5"/>
  <c r="E4638" i="5"/>
  <c r="G4638" i="5"/>
  <c r="F4639" i="5"/>
  <c r="E4639" i="5"/>
  <c r="G4639" i="5"/>
  <c r="F4640" i="5"/>
  <c r="E4640" i="5"/>
  <c r="G4640" i="5"/>
  <c r="F4641" i="5"/>
  <c r="E4641" i="5"/>
  <c r="G4641" i="5"/>
  <c r="F4642" i="5"/>
  <c r="E4642" i="5"/>
  <c r="G4642" i="5"/>
  <c r="F4643" i="5"/>
  <c r="E4643" i="5"/>
  <c r="G4643" i="5"/>
  <c r="F4644" i="5"/>
  <c r="E4644" i="5"/>
  <c r="G4644" i="5"/>
  <c r="F4645" i="5"/>
  <c r="E4645" i="5"/>
  <c r="G4645" i="5"/>
  <c r="F4646" i="5"/>
  <c r="E4646" i="5"/>
  <c r="G4646" i="5"/>
  <c r="F4647" i="5"/>
  <c r="E4647" i="5"/>
  <c r="G4647" i="5"/>
  <c r="F4648" i="5"/>
  <c r="E4648" i="5"/>
  <c r="G4648" i="5"/>
  <c r="F4649" i="5"/>
  <c r="E4649" i="5"/>
  <c r="G4649" i="5"/>
  <c r="F4650" i="5"/>
  <c r="E4650" i="5"/>
  <c r="G4650" i="5"/>
  <c r="F4651" i="5"/>
  <c r="E4651" i="5"/>
  <c r="G4651" i="5"/>
  <c r="F4652" i="5"/>
  <c r="E4652" i="5"/>
  <c r="G4652" i="5"/>
  <c r="F4653" i="5"/>
  <c r="E4653" i="5"/>
  <c r="G4653" i="5"/>
  <c r="F4654" i="5"/>
  <c r="E4654" i="5"/>
  <c r="G4654" i="5"/>
  <c r="F4655" i="5"/>
  <c r="E4655" i="5"/>
  <c r="G4655" i="5"/>
  <c r="F4656" i="5"/>
  <c r="E4656" i="5"/>
  <c r="G4656" i="5"/>
  <c r="F4657" i="5"/>
  <c r="E4657" i="5"/>
  <c r="G4657" i="5"/>
  <c r="F4658" i="5"/>
  <c r="E4658" i="5"/>
  <c r="G4658" i="5"/>
  <c r="F4659" i="5"/>
  <c r="E4659" i="5"/>
  <c r="G4659" i="5"/>
  <c r="F4660" i="5"/>
  <c r="E4660" i="5"/>
  <c r="G4660" i="5"/>
  <c r="F4661" i="5"/>
  <c r="E4661" i="5"/>
  <c r="G4661" i="5"/>
  <c r="F4662" i="5"/>
  <c r="E4662" i="5"/>
  <c r="G4662" i="5"/>
  <c r="F4663" i="5"/>
  <c r="E4663" i="5"/>
  <c r="G4663" i="5"/>
  <c r="F4664" i="5"/>
  <c r="E4664" i="5"/>
  <c r="G4664" i="5"/>
  <c r="F4665" i="5"/>
  <c r="E4665" i="5"/>
  <c r="G4665" i="5"/>
  <c r="F4666" i="5"/>
  <c r="E4666" i="5"/>
  <c r="G4666" i="5"/>
  <c r="F4667" i="5"/>
  <c r="E4667" i="5"/>
  <c r="G4667" i="5"/>
  <c r="F4668" i="5"/>
  <c r="E4668" i="5"/>
  <c r="G4668" i="5"/>
  <c r="F4669" i="5"/>
  <c r="E4669" i="5"/>
  <c r="G4669" i="5"/>
  <c r="F4670" i="5"/>
  <c r="E4670" i="5"/>
  <c r="G4670" i="5"/>
  <c r="F4671" i="5"/>
  <c r="E4671" i="5"/>
  <c r="G4671" i="5"/>
  <c r="F4672" i="5"/>
  <c r="E4672" i="5"/>
  <c r="G4672" i="5"/>
  <c r="F4673" i="5"/>
  <c r="E4673" i="5"/>
  <c r="G4673" i="5"/>
  <c r="F4674" i="5"/>
  <c r="E4674" i="5"/>
  <c r="G4674" i="5"/>
  <c r="F4675" i="5"/>
  <c r="E4675" i="5"/>
  <c r="G4675" i="5"/>
  <c r="F4676" i="5"/>
  <c r="E4676" i="5"/>
  <c r="G4676" i="5"/>
  <c r="F4677" i="5"/>
  <c r="E4677" i="5"/>
  <c r="G4677" i="5"/>
  <c r="F4678" i="5"/>
  <c r="E4678" i="5"/>
  <c r="G4678" i="5"/>
  <c r="F4679" i="5"/>
  <c r="E4679" i="5"/>
  <c r="G4679" i="5"/>
  <c r="F4680" i="5"/>
  <c r="E4680" i="5"/>
  <c r="G4680" i="5"/>
  <c r="F4681" i="5"/>
  <c r="E4681" i="5"/>
  <c r="G4681" i="5"/>
  <c r="F4682" i="5"/>
  <c r="E4682" i="5"/>
  <c r="G4682" i="5"/>
  <c r="F4683" i="5"/>
  <c r="E4683" i="5"/>
  <c r="G4683" i="5"/>
  <c r="F4684" i="5"/>
  <c r="E4684" i="5"/>
  <c r="G4684" i="5"/>
  <c r="F4685" i="5"/>
  <c r="E4685" i="5"/>
  <c r="G4685" i="5"/>
  <c r="F4686" i="5"/>
  <c r="E4686" i="5"/>
  <c r="G4686" i="5"/>
  <c r="F4687" i="5"/>
  <c r="E4687" i="5"/>
  <c r="G4687" i="5"/>
  <c r="F4688" i="5"/>
  <c r="E4688" i="5"/>
  <c r="G4688" i="5"/>
  <c r="F4689" i="5"/>
  <c r="E4689" i="5"/>
  <c r="G4689" i="5"/>
  <c r="F4690" i="5"/>
  <c r="E4690" i="5"/>
  <c r="G4690" i="5"/>
  <c r="F4691" i="5"/>
  <c r="E4691" i="5"/>
  <c r="G4691" i="5"/>
  <c r="F4692" i="5"/>
  <c r="E4692" i="5"/>
  <c r="G4692" i="5"/>
  <c r="F4693" i="5"/>
  <c r="E4693" i="5"/>
  <c r="G4693" i="5"/>
  <c r="F4694" i="5"/>
  <c r="E4694" i="5"/>
  <c r="G4694" i="5"/>
  <c r="F4695" i="5"/>
  <c r="E4695" i="5"/>
  <c r="G4695" i="5"/>
  <c r="F4696" i="5"/>
  <c r="E4696" i="5"/>
  <c r="G4696" i="5"/>
  <c r="F4697" i="5"/>
  <c r="E4697" i="5"/>
  <c r="G4697" i="5"/>
  <c r="F4698" i="5"/>
  <c r="E4698" i="5"/>
  <c r="G4698" i="5"/>
  <c r="F4699" i="5"/>
  <c r="E4699" i="5"/>
  <c r="G4699" i="5"/>
  <c r="F4700" i="5"/>
  <c r="E4700" i="5"/>
  <c r="G4700" i="5"/>
  <c r="F4701" i="5"/>
  <c r="E4701" i="5"/>
  <c r="G4701" i="5"/>
  <c r="F4702" i="5"/>
  <c r="E4702" i="5"/>
  <c r="G4702" i="5"/>
  <c r="F4703" i="5"/>
  <c r="E4703" i="5"/>
  <c r="G4703" i="5"/>
  <c r="F4704" i="5"/>
  <c r="E4704" i="5"/>
  <c r="G4704" i="5"/>
  <c r="F4705" i="5"/>
  <c r="E4705" i="5"/>
  <c r="G4705" i="5"/>
  <c r="F4706" i="5"/>
  <c r="E4706" i="5"/>
  <c r="G4706" i="5"/>
  <c r="F4707" i="5"/>
  <c r="E4707" i="5"/>
  <c r="G4707" i="5"/>
  <c r="F4708" i="5"/>
  <c r="E4708" i="5"/>
  <c r="G4708" i="5"/>
  <c r="F4709" i="5"/>
  <c r="E4709" i="5"/>
  <c r="G4709" i="5"/>
  <c r="F4710" i="5"/>
  <c r="E4710" i="5"/>
  <c r="G4710" i="5"/>
  <c r="F4711" i="5"/>
  <c r="E4711" i="5"/>
  <c r="G4711" i="5"/>
  <c r="F4712" i="5"/>
  <c r="E4712" i="5"/>
  <c r="G4712" i="5"/>
  <c r="F4713" i="5"/>
  <c r="E4713" i="5"/>
  <c r="G4713" i="5"/>
  <c r="F4714" i="5"/>
  <c r="E4714" i="5"/>
  <c r="G4714" i="5"/>
  <c r="F4715" i="5"/>
  <c r="E4715" i="5"/>
  <c r="G4715" i="5"/>
  <c r="F4716" i="5"/>
  <c r="E4716" i="5"/>
  <c r="G4716" i="5"/>
  <c r="F4717" i="5"/>
  <c r="E4717" i="5"/>
  <c r="G4717" i="5"/>
  <c r="F4718" i="5"/>
  <c r="E4718" i="5"/>
  <c r="G4718" i="5"/>
  <c r="F4719" i="5"/>
  <c r="E4719" i="5"/>
  <c r="G4719" i="5"/>
  <c r="F4720" i="5"/>
  <c r="E4720" i="5"/>
  <c r="G4720" i="5"/>
  <c r="F4721" i="5"/>
  <c r="E4721" i="5"/>
  <c r="G4721" i="5"/>
  <c r="F4722" i="5"/>
  <c r="E4722" i="5"/>
  <c r="G4722" i="5"/>
  <c r="F4723" i="5"/>
  <c r="E4723" i="5"/>
  <c r="G4723" i="5"/>
  <c r="F4724" i="5"/>
  <c r="E4724" i="5"/>
  <c r="G4724" i="5"/>
  <c r="F4725" i="5"/>
  <c r="E4725" i="5"/>
  <c r="G4725" i="5"/>
  <c r="F4726" i="5"/>
  <c r="E4726" i="5"/>
  <c r="G4726" i="5"/>
  <c r="F4727" i="5"/>
  <c r="E4727" i="5"/>
  <c r="G4727" i="5"/>
  <c r="F4728" i="5"/>
  <c r="E4728" i="5"/>
  <c r="G4728" i="5"/>
  <c r="F4729" i="5"/>
  <c r="E4729" i="5"/>
  <c r="G4729" i="5"/>
  <c r="F4730" i="5"/>
  <c r="E4730" i="5"/>
  <c r="G4730" i="5"/>
  <c r="F4731" i="5"/>
  <c r="E4731" i="5"/>
  <c r="G4731" i="5"/>
  <c r="F4732" i="5"/>
  <c r="E4732" i="5"/>
  <c r="G4732" i="5"/>
  <c r="F4733" i="5"/>
  <c r="E4733" i="5"/>
  <c r="G4733" i="5"/>
  <c r="F4734" i="5"/>
  <c r="E4734" i="5"/>
  <c r="G4734" i="5"/>
  <c r="F4735" i="5"/>
  <c r="E4735" i="5"/>
  <c r="G4735" i="5"/>
  <c r="F4736" i="5"/>
  <c r="E4736" i="5"/>
  <c r="G4736" i="5"/>
  <c r="F4737" i="5"/>
  <c r="E4737" i="5"/>
  <c r="G4737" i="5"/>
  <c r="F4738" i="5"/>
  <c r="E4738" i="5"/>
  <c r="G4738" i="5"/>
  <c r="F4739" i="5"/>
  <c r="E4739" i="5"/>
  <c r="G4739" i="5"/>
  <c r="F4740" i="5"/>
  <c r="E4740" i="5"/>
  <c r="G4740" i="5"/>
  <c r="F4741" i="5"/>
  <c r="E4741" i="5"/>
  <c r="G4741" i="5"/>
  <c r="F4742" i="5"/>
  <c r="E4742" i="5"/>
  <c r="G4742" i="5"/>
  <c r="F4743" i="5"/>
  <c r="E4743" i="5"/>
  <c r="G4743" i="5"/>
  <c r="F4744" i="5"/>
  <c r="E4744" i="5"/>
  <c r="G4744" i="5"/>
  <c r="F4745" i="5"/>
  <c r="E4745" i="5"/>
  <c r="G4745" i="5"/>
  <c r="F4746" i="5"/>
  <c r="E4746" i="5"/>
  <c r="G4746" i="5"/>
  <c r="F4747" i="5"/>
  <c r="E4747" i="5"/>
  <c r="G4747" i="5"/>
  <c r="F4748" i="5"/>
  <c r="E4748" i="5"/>
  <c r="G4748" i="5"/>
  <c r="F4749" i="5"/>
  <c r="E4749" i="5"/>
  <c r="G4749" i="5"/>
  <c r="F4750" i="5"/>
  <c r="E4750" i="5"/>
  <c r="G4750" i="5"/>
  <c r="F4751" i="5"/>
  <c r="E4751" i="5"/>
  <c r="G4751" i="5"/>
  <c r="F4752" i="5"/>
  <c r="E4752" i="5"/>
  <c r="G4752" i="5"/>
  <c r="F4753" i="5"/>
  <c r="E4753" i="5"/>
  <c r="G4753" i="5"/>
  <c r="F4754" i="5"/>
  <c r="E4754" i="5"/>
  <c r="G4754" i="5"/>
  <c r="F4755" i="5"/>
  <c r="E4755" i="5"/>
  <c r="G4755" i="5"/>
  <c r="F4756" i="5"/>
  <c r="E4756" i="5"/>
  <c r="G4756" i="5"/>
  <c r="F4757" i="5"/>
  <c r="E4757" i="5"/>
  <c r="G4757" i="5"/>
  <c r="F4758" i="5"/>
  <c r="E4758" i="5"/>
  <c r="G4758" i="5"/>
  <c r="F4759" i="5"/>
  <c r="E4759" i="5"/>
  <c r="G4759" i="5"/>
  <c r="F4760" i="5"/>
  <c r="E4760" i="5"/>
  <c r="G4760" i="5"/>
  <c r="F4761" i="5"/>
  <c r="E4761" i="5"/>
  <c r="G4761" i="5"/>
  <c r="F4762" i="5"/>
  <c r="E4762" i="5"/>
  <c r="G4762" i="5"/>
  <c r="F4763" i="5"/>
  <c r="E4763" i="5"/>
  <c r="G4763" i="5"/>
  <c r="F4764" i="5"/>
  <c r="E4764" i="5"/>
  <c r="G4764" i="5"/>
  <c r="F4765" i="5"/>
  <c r="E4765" i="5"/>
  <c r="G4765" i="5"/>
  <c r="F4766" i="5"/>
  <c r="E4766" i="5"/>
  <c r="G4766" i="5"/>
  <c r="F4767" i="5"/>
  <c r="E4767" i="5"/>
  <c r="G4767" i="5"/>
  <c r="F4768" i="5"/>
  <c r="E4768" i="5"/>
  <c r="G4768" i="5"/>
  <c r="F4769" i="5"/>
  <c r="E4769" i="5"/>
  <c r="G4769" i="5"/>
  <c r="F4770" i="5"/>
  <c r="E4770" i="5"/>
  <c r="G4770" i="5"/>
  <c r="F4771" i="5"/>
  <c r="E4771" i="5"/>
  <c r="G4771" i="5"/>
  <c r="F4772" i="5"/>
  <c r="E4772" i="5"/>
  <c r="G4772" i="5"/>
  <c r="F4773" i="5"/>
  <c r="E4773" i="5"/>
  <c r="G4773" i="5"/>
  <c r="F4774" i="5"/>
  <c r="E4774" i="5"/>
  <c r="G4774" i="5"/>
  <c r="F4775" i="5"/>
  <c r="E4775" i="5"/>
  <c r="G4775" i="5"/>
  <c r="F4776" i="5"/>
  <c r="E4776" i="5"/>
  <c r="G4776" i="5"/>
  <c r="F4777" i="5"/>
  <c r="E4777" i="5"/>
  <c r="G4777" i="5"/>
  <c r="F4778" i="5"/>
  <c r="E4778" i="5"/>
  <c r="G4778" i="5"/>
  <c r="F4779" i="5"/>
  <c r="E4779" i="5"/>
  <c r="G4779" i="5"/>
  <c r="F4780" i="5"/>
  <c r="E4780" i="5"/>
  <c r="G4780" i="5"/>
  <c r="F4781" i="5"/>
  <c r="E4781" i="5"/>
  <c r="G4781" i="5"/>
  <c r="F4782" i="5"/>
  <c r="E4782" i="5"/>
  <c r="G4782" i="5"/>
  <c r="F4783" i="5"/>
  <c r="E4783" i="5"/>
  <c r="G4783" i="5"/>
  <c r="F4784" i="5"/>
  <c r="E4784" i="5"/>
  <c r="G4784" i="5"/>
  <c r="F4785" i="5"/>
  <c r="E4785" i="5"/>
  <c r="G4785" i="5"/>
  <c r="F4786" i="5"/>
  <c r="E4786" i="5"/>
  <c r="G4786" i="5"/>
  <c r="F4787" i="5"/>
  <c r="E4787" i="5"/>
  <c r="G4787" i="5"/>
  <c r="F4788" i="5"/>
  <c r="E4788" i="5"/>
  <c r="G4788" i="5"/>
  <c r="F4789" i="5"/>
  <c r="E4789" i="5"/>
  <c r="G4789" i="5"/>
  <c r="F4790" i="5"/>
  <c r="E4790" i="5"/>
  <c r="G4790" i="5"/>
  <c r="F4791" i="5"/>
  <c r="E4791" i="5"/>
  <c r="G4791" i="5"/>
  <c r="F4792" i="5"/>
  <c r="E4792" i="5"/>
  <c r="G4792" i="5"/>
  <c r="F4793" i="5"/>
  <c r="E4793" i="5"/>
  <c r="G4793" i="5"/>
  <c r="F4794" i="5"/>
  <c r="E4794" i="5"/>
  <c r="G4794" i="5"/>
  <c r="F4795" i="5"/>
  <c r="E4795" i="5"/>
  <c r="G4795" i="5"/>
  <c r="F4796" i="5"/>
  <c r="E4796" i="5"/>
  <c r="G4796" i="5"/>
  <c r="F4797" i="5"/>
  <c r="E4797" i="5"/>
  <c r="G4797" i="5"/>
  <c r="F4798" i="5"/>
  <c r="E4798" i="5"/>
  <c r="G4798" i="5"/>
  <c r="F4799" i="5"/>
  <c r="E4799" i="5"/>
  <c r="G4799" i="5"/>
  <c r="F4800" i="5"/>
  <c r="E4800" i="5"/>
  <c r="G4800" i="5"/>
  <c r="F4801" i="5"/>
  <c r="E4801" i="5"/>
  <c r="G4801" i="5"/>
  <c r="F4802" i="5"/>
  <c r="E4802" i="5"/>
  <c r="G4802" i="5"/>
  <c r="F4803" i="5"/>
  <c r="E4803" i="5"/>
  <c r="G4803" i="5"/>
  <c r="F4804" i="5"/>
  <c r="E4804" i="5"/>
  <c r="G4804" i="5"/>
  <c r="F4805" i="5"/>
  <c r="E4805" i="5"/>
  <c r="G4805" i="5"/>
  <c r="F4806" i="5"/>
  <c r="E4806" i="5"/>
  <c r="G4806" i="5"/>
  <c r="F4807" i="5"/>
  <c r="E4807" i="5"/>
  <c r="G4807" i="5"/>
  <c r="F4808" i="5"/>
  <c r="E4808" i="5"/>
  <c r="G4808" i="5"/>
  <c r="F4809" i="5"/>
  <c r="E4809" i="5"/>
  <c r="G4809" i="5"/>
  <c r="F4810" i="5"/>
  <c r="E4810" i="5"/>
  <c r="G4810" i="5"/>
  <c r="F4811" i="5"/>
  <c r="E4811" i="5"/>
  <c r="G4811" i="5"/>
  <c r="F4812" i="5"/>
  <c r="E4812" i="5"/>
  <c r="G4812" i="5"/>
  <c r="F4813" i="5"/>
  <c r="E4813" i="5"/>
  <c r="G4813" i="5"/>
  <c r="F4814" i="5"/>
  <c r="E4814" i="5"/>
  <c r="G4814" i="5"/>
  <c r="F4815" i="5"/>
  <c r="E4815" i="5"/>
  <c r="G4815" i="5"/>
  <c r="F4816" i="5"/>
  <c r="E4816" i="5"/>
  <c r="G4816" i="5"/>
  <c r="F4817" i="5"/>
  <c r="E4817" i="5"/>
  <c r="G4817" i="5"/>
  <c r="F4818" i="5"/>
  <c r="E4818" i="5"/>
  <c r="G4818" i="5"/>
  <c r="F4819" i="5"/>
  <c r="E4819" i="5"/>
  <c r="G4819" i="5"/>
  <c r="F4820" i="5"/>
  <c r="E4820" i="5"/>
  <c r="G4820" i="5"/>
  <c r="F4821" i="5"/>
  <c r="E4821" i="5"/>
  <c r="G4821" i="5"/>
  <c r="F4822" i="5"/>
  <c r="E4822" i="5"/>
  <c r="G4822" i="5"/>
  <c r="F4823" i="5"/>
  <c r="E4823" i="5"/>
  <c r="G4823" i="5"/>
  <c r="F4824" i="5"/>
  <c r="E4824" i="5"/>
  <c r="G4824" i="5"/>
  <c r="F4825" i="5"/>
  <c r="E4825" i="5"/>
  <c r="G4825" i="5"/>
  <c r="F4826" i="5"/>
  <c r="E4826" i="5"/>
  <c r="G4826" i="5"/>
  <c r="F4827" i="5"/>
  <c r="E4827" i="5"/>
  <c r="G4827" i="5"/>
  <c r="F4828" i="5"/>
  <c r="E4828" i="5"/>
  <c r="G4828" i="5"/>
  <c r="F4829" i="5"/>
  <c r="E4829" i="5"/>
  <c r="G4829" i="5"/>
  <c r="F4830" i="5"/>
  <c r="E4830" i="5"/>
  <c r="G4830" i="5"/>
  <c r="F4831" i="5"/>
  <c r="E4831" i="5"/>
  <c r="G4831" i="5"/>
  <c r="F4832" i="5"/>
  <c r="E4832" i="5"/>
  <c r="G4832" i="5"/>
  <c r="F4833" i="5"/>
  <c r="E4833" i="5"/>
  <c r="G4833" i="5"/>
  <c r="F4834" i="5"/>
  <c r="E4834" i="5"/>
  <c r="G4834" i="5"/>
  <c r="F4835" i="5"/>
  <c r="E4835" i="5"/>
  <c r="G4835" i="5"/>
  <c r="F4836" i="5"/>
  <c r="E4836" i="5"/>
  <c r="G4836" i="5"/>
  <c r="F4837" i="5"/>
  <c r="E4837" i="5"/>
  <c r="G4837" i="5"/>
  <c r="F4838" i="5"/>
  <c r="E4838" i="5"/>
  <c r="G4838" i="5"/>
  <c r="F4839" i="5"/>
  <c r="E4839" i="5"/>
  <c r="G4839" i="5"/>
  <c r="F4840" i="5"/>
  <c r="E4840" i="5"/>
  <c r="G4840" i="5"/>
  <c r="F4841" i="5"/>
  <c r="E4841" i="5"/>
  <c r="G4841" i="5"/>
  <c r="F4842" i="5"/>
  <c r="E4842" i="5"/>
  <c r="G4842" i="5"/>
  <c r="F4843" i="5"/>
  <c r="E4843" i="5"/>
  <c r="G4843" i="5"/>
  <c r="F4844" i="5"/>
  <c r="E4844" i="5"/>
  <c r="G4844" i="5"/>
  <c r="F4845" i="5"/>
  <c r="E4845" i="5"/>
  <c r="G4845" i="5"/>
  <c r="F4846" i="5"/>
  <c r="E4846" i="5"/>
  <c r="G4846" i="5"/>
  <c r="F4847" i="5"/>
  <c r="E4847" i="5"/>
  <c r="G4847" i="5"/>
  <c r="F4848" i="5"/>
  <c r="E4848" i="5"/>
  <c r="G4848" i="5"/>
  <c r="F4849" i="5"/>
  <c r="E4849" i="5"/>
  <c r="G4849" i="5"/>
  <c r="F4850" i="5"/>
  <c r="E4850" i="5"/>
  <c r="G4850" i="5"/>
  <c r="F4851" i="5"/>
  <c r="E4851" i="5"/>
  <c r="G4851" i="5"/>
  <c r="F4852" i="5"/>
  <c r="E4852" i="5"/>
  <c r="G4852" i="5"/>
  <c r="F4853" i="5"/>
  <c r="E4853" i="5"/>
  <c r="G4853" i="5"/>
  <c r="F4854" i="5"/>
  <c r="E4854" i="5"/>
  <c r="G4854" i="5"/>
  <c r="F4855" i="5"/>
  <c r="E4855" i="5"/>
  <c r="G4855" i="5"/>
  <c r="F4856" i="5"/>
  <c r="E4856" i="5"/>
  <c r="G4856" i="5"/>
  <c r="F4857" i="5"/>
  <c r="E4857" i="5"/>
  <c r="G4857" i="5"/>
  <c r="F4858" i="5"/>
  <c r="E4858" i="5"/>
  <c r="G4858" i="5"/>
  <c r="F4859" i="5"/>
  <c r="E4859" i="5"/>
  <c r="G4859" i="5"/>
  <c r="F4860" i="5"/>
  <c r="E4860" i="5"/>
  <c r="G4860" i="5"/>
  <c r="F4861" i="5"/>
  <c r="E4861" i="5"/>
  <c r="G4861" i="5"/>
  <c r="F4862" i="5"/>
  <c r="E4862" i="5"/>
  <c r="G4862" i="5"/>
  <c r="F4863" i="5"/>
  <c r="E4863" i="5"/>
  <c r="G4863" i="5"/>
  <c r="F4864" i="5"/>
  <c r="E4864" i="5"/>
  <c r="G4864" i="5"/>
  <c r="F4865" i="5"/>
  <c r="E4865" i="5"/>
  <c r="G4865" i="5"/>
  <c r="F4866" i="5"/>
  <c r="E4866" i="5"/>
  <c r="G4866" i="5"/>
  <c r="F4867" i="5"/>
  <c r="E4867" i="5"/>
  <c r="G4867" i="5"/>
  <c r="F4868" i="5"/>
  <c r="E4868" i="5"/>
  <c r="G4868" i="5"/>
  <c r="F4869" i="5"/>
  <c r="E4869" i="5"/>
  <c r="G4869" i="5"/>
  <c r="F4870" i="5"/>
  <c r="E4870" i="5"/>
  <c r="G4870" i="5"/>
  <c r="F4871" i="5"/>
  <c r="E4871" i="5"/>
  <c r="G4871" i="5"/>
  <c r="F4872" i="5"/>
  <c r="E4872" i="5"/>
  <c r="G4872" i="5"/>
  <c r="F4873" i="5"/>
  <c r="E4873" i="5"/>
  <c r="G4873" i="5"/>
  <c r="F4874" i="5"/>
  <c r="E4874" i="5"/>
  <c r="G4874" i="5"/>
  <c r="F4875" i="5"/>
  <c r="E4875" i="5"/>
  <c r="G4875" i="5"/>
  <c r="F4876" i="5"/>
  <c r="E4876" i="5"/>
  <c r="G4876" i="5"/>
  <c r="F4877" i="5"/>
  <c r="E4877" i="5"/>
  <c r="G4877" i="5"/>
  <c r="F4878" i="5"/>
  <c r="E4878" i="5"/>
  <c r="G4878" i="5"/>
  <c r="F4879" i="5"/>
  <c r="E4879" i="5"/>
  <c r="G4879" i="5"/>
  <c r="F4880" i="5"/>
  <c r="E4880" i="5"/>
  <c r="G4880" i="5"/>
  <c r="F4881" i="5"/>
  <c r="E4881" i="5"/>
  <c r="G4881" i="5"/>
  <c r="F4882" i="5"/>
  <c r="E4882" i="5"/>
  <c r="G4882" i="5"/>
  <c r="F4883" i="5"/>
  <c r="E4883" i="5"/>
  <c r="G4883" i="5"/>
  <c r="F4884" i="5"/>
  <c r="E4884" i="5"/>
  <c r="G4884" i="5"/>
  <c r="F4885" i="5"/>
  <c r="E4885" i="5"/>
  <c r="G4885" i="5"/>
  <c r="F4886" i="5"/>
  <c r="E4886" i="5"/>
  <c r="G4886" i="5"/>
  <c r="F4887" i="5"/>
  <c r="E4887" i="5"/>
  <c r="G4887" i="5"/>
  <c r="F4888" i="5"/>
  <c r="E4888" i="5"/>
  <c r="G4888" i="5"/>
  <c r="F4889" i="5"/>
  <c r="E4889" i="5"/>
  <c r="G4889" i="5"/>
  <c r="F4890" i="5"/>
  <c r="E4890" i="5"/>
  <c r="G4890" i="5"/>
  <c r="F4891" i="5"/>
  <c r="E4891" i="5"/>
  <c r="G4891" i="5"/>
  <c r="F4892" i="5"/>
  <c r="E4892" i="5"/>
  <c r="G4892" i="5"/>
  <c r="F4893" i="5"/>
  <c r="E4893" i="5"/>
  <c r="G4893" i="5"/>
  <c r="F4894" i="5"/>
  <c r="E4894" i="5"/>
  <c r="G4894" i="5"/>
  <c r="F4895" i="5"/>
  <c r="E4895" i="5"/>
  <c r="G4895" i="5"/>
  <c r="F4896" i="5"/>
  <c r="E4896" i="5"/>
  <c r="G4896" i="5"/>
  <c r="F4897" i="5"/>
  <c r="E4897" i="5"/>
  <c r="G4897" i="5"/>
  <c r="F4898" i="5"/>
  <c r="E4898" i="5"/>
  <c r="G4898" i="5"/>
  <c r="F4899" i="5"/>
  <c r="E4899" i="5"/>
  <c r="G4899" i="5"/>
  <c r="F4900" i="5"/>
  <c r="E4900" i="5"/>
  <c r="G4900" i="5"/>
  <c r="F4901" i="5"/>
  <c r="E4901" i="5"/>
  <c r="G4901" i="5"/>
  <c r="F4902" i="5"/>
  <c r="E4902" i="5"/>
  <c r="G4902" i="5"/>
  <c r="F4903" i="5"/>
  <c r="E4903" i="5"/>
  <c r="G4903" i="5"/>
  <c r="F4904" i="5"/>
  <c r="E4904" i="5"/>
  <c r="G4904" i="5"/>
  <c r="F4905" i="5"/>
  <c r="E4905" i="5"/>
  <c r="G4905" i="5"/>
  <c r="F4906" i="5"/>
  <c r="E4906" i="5"/>
  <c r="G4906" i="5"/>
  <c r="F4907" i="5"/>
  <c r="E4907" i="5"/>
  <c r="G4907" i="5"/>
  <c r="F4908" i="5"/>
  <c r="E4908" i="5"/>
  <c r="G4908" i="5"/>
  <c r="F4909" i="5"/>
  <c r="E4909" i="5"/>
  <c r="G4909" i="5"/>
  <c r="F4910" i="5"/>
  <c r="E4910" i="5"/>
  <c r="G4910" i="5"/>
  <c r="F4911" i="5"/>
  <c r="E4911" i="5"/>
  <c r="G4911" i="5"/>
  <c r="F4912" i="5"/>
  <c r="E4912" i="5"/>
  <c r="G4912" i="5"/>
  <c r="F4913" i="5"/>
  <c r="E4913" i="5"/>
  <c r="G4913" i="5"/>
  <c r="F4914" i="5"/>
  <c r="E4914" i="5"/>
  <c r="G4914" i="5"/>
  <c r="F4915" i="5"/>
  <c r="E4915" i="5"/>
  <c r="G4915" i="5"/>
  <c r="F4916" i="5"/>
  <c r="E4916" i="5"/>
  <c r="G4916" i="5"/>
  <c r="F4917" i="5"/>
  <c r="E4917" i="5"/>
  <c r="G4917" i="5"/>
  <c r="F4918" i="5"/>
  <c r="E4918" i="5"/>
  <c r="G4918" i="5"/>
  <c r="F4919" i="5"/>
  <c r="E4919" i="5"/>
  <c r="G4919" i="5"/>
  <c r="F4920" i="5"/>
  <c r="E4920" i="5"/>
  <c r="G4920" i="5"/>
  <c r="F4921" i="5"/>
  <c r="E4921" i="5"/>
  <c r="G4921" i="5"/>
  <c r="F4922" i="5"/>
  <c r="E4922" i="5"/>
  <c r="G4922" i="5"/>
  <c r="F4923" i="5"/>
  <c r="E4923" i="5"/>
  <c r="G4923" i="5"/>
  <c r="F4924" i="5"/>
  <c r="E4924" i="5"/>
  <c r="G4924" i="5"/>
  <c r="F4925" i="5"/>
  <c r="E4925" i="5"/>
  <c r="G4925" i="5"/>
  <c r="F4926" i="5"/>
  <c r="E4926" i="5"/>
  <c r="G4926" i="5"/>
  <c r="F4927" i="5"/>
  <c r="E4927" i="5"/>
  <c r="G4927" i="5"/>
  <c r="F4928" i="5"/>
  <c r="E4928" i="5"/>
  <c r="G4928" i="5"/>
  <c r="F4929" i="5"/>
  <c r="E4929" i="5"/>
  <c r="G4929" i="5"/>
  <c r="F4930" i="5"/>
  <c r="E4930" i="5"/>
  <c r="G4930" i="5"/>
  <c r="F4931" i="5"/>
  <c r="E4931" i="5"/>
  <c r="G4931" i="5"/>
  <c r="F4932" i="5"/>
  <c r="E4932" i="5"/>
  <c r="G4932" i="5"/>
  <c r="F4933" i="5"/>
  <c r="E4933" i="5"/>
  <c r="G4933" i="5"/>
  <c r="F4934" i="5"/>
  <c r="E4934" i="5"/>
  <c r="G4934" i="5"/>
  <c r="F4935" i="5"/>
  <c r="E4935" i="5"/>
  <c r="G4935" i="5"/>
  <c r="F4936" i="5"/>
  <c r="E4936" i="5"/>
  <c r="G4936" i="5"/>
  <c r="F4937" i="5"/>
  <c r="E4937" i="5"/>
  <c r="G4937" i="5"/>
  <c r="F4938" i="5"/>
  <c r="E4938" i="5"/>
  <c r="G4938" i="5"/>
  <c r="F4939" i="5"/>
  <c r="E4939" i="5"/>
  <c r="G4939" i="5"/>
  <c r="F4940" i="5"/>
  <c r="E4940" i="5"/>
  <c r="G4940" i="5"/>
  <c r="F4941" i="5"/>
  <c r="E4941" i="5"/>
  <c r="G4941" i="5"/>
  <c r="F4942" i="5"/>
  <c r="E4942" i="5"/>
  <c r="G4942" i="5"/>
  <c r="F4943" i="5"/>
  <c r="E4943" i="5"/>
  <c r="G4943" i="5"/>
  <c r="F4944" i="5"/>
  <c r="E4944" i="5"/>
  <c r="G4944" i="5"/>
  <c r="F4945" i="5"/>
  <c r="E4945" i="5"/>
  <c r="G4945" i="5"/>
  <c r="F4946" i="5"/>
  <c r="E4946" i="5"/>
  <c r="G4946" i="5"/>
  <c r="F4947" i="5"/>
  <c r="E4947" i="5"/>
  <c r="G4947" i="5"/>
  <c r="F4948" i="5"/>
  <c r="E4948" i="5"/>
  <c r="G4948" i="5"/>
  <c r="F4949" i="5"/>
  <c r="E4949" i="5"/>
  <c r="G4949" i="5"/>
  <c r="F4950" i="5"/>
  <c r="E4950" i="5"/>
  <c r="G4950" i="5"/>
  <c r="F4951" i="5"/>
  <c r="E4951" i="5"/>
  <c r="G4951" i="5"/>
  <c r="F4952" i="5"/>
  <c r="E4952" i="5"/>
  <c r="G4952" i="5"/>
  <c r="F4953" i="5"/>
  <c r="E4953" i="5"/>
  <c r="G4953" i="5"/>
  <c r="F4954" i="5"/>
  <c r="E4954" i="5"/>
  <c r="G4954" i="5"/>
  <c r="F4955" i="5"/>
  <c r="E4955" i="5"/>
  <c r="G4955" i="5"/>
  <c r="F4956" i="5"/>
  <c r="E4956" i="5"/>
  <c r="G4956" i="5"/>
  <c r="F4957" i="5"/>
  <c r="E4957" i="5"/>
  <c r="G4957" i="5"/>
  <c r="F4958" i="5"/>
  <c r="E4958" i="5"/>
  <c r="G4958" i="5"/>
  <c r="F4959" i="5"/>
  <c r="E4959" i="5"/>
  <c r="G4959" i="5"/>
  <c r="F4960" i="5"/>
  <c r="E4960" i="5"/>
  <c r="G4960" i="5"/>
  <c r="F4961" i="5"/>
  <c r="E4961" i="5"/>
  <c r="G4961" i="5"/>
  <c r="F4962" i="5"/>
  <c r="E4962" i="5"/>
  <c r="G4962" i="5"/>
  <c r="F4963" i="5"/>
  <c r="E4963" i="5"/>
  <c r="G4963" i="5"/>
  <c r="F4964" i="5"/>
  <c r="E4964" i="5"/>
  <c r="G4964" i="5"/>
  <c r="F4965" i="5"/>
  <c r="E4965" i="5"/>
  <c r="G4965" i="5"/>
  <c r="F4966" i="5"/>
  <c r="E4966" i="5"/>
  <c r="G4966" i="5"/>
  <c r="F4967" i="5"/>
  <c r="E4967" i="5"/>
  <c r="G4967" i="5"/>
  <c r="F4968" i="5"/>
  <c r="E4968" i="5"/>
  <c r="G4968" i="5"/>
  <c r="F4969" i="5"/>
  <c r="E4969" i="5"/>
  <c r="G4969" i="5"/>
  <c r="F4970" i="5"/>
  <c r="E4970" i="5"/>
  <c r="G4970" i="5"/>
  <c r="F4971" i="5"/>
  <c r="E4971" i="5"/>
  <c r="G4971" i="5"/>
  <c r="F4972" i="5"/>
  <c r="E4972" i="5"/>
  <c r="G4972" i="5"/>
  <c r="F4973" i="5"/>
  <c r="E4973" i="5"/>
  <c r="G4973" i="5"/>
  <c r="F4974" i="5"/>
  <c r="E4974" i="5"/>
  <c r="G4974" i="5"/>
  <c r="F4975" i="5"/>
  <c r="E4975" i="5"/>
  <c r="G4975" i="5"/>
  <c r="F4976" i="5"/>
  <c r="E4976" i="5"/>
  <c r="G4976" i="5"/>
  <c r="F4977" i="5"/>
  <c r="E4977" i="5"/>
  <c r="G4977" i="5"/>
  <c r="F4978" i="5"/>
  <c r="E4978" i="5"/>
  <c r="G4978" i="5"/>
  <c r="F4979" i="5"/>
  <c r="E4979" i="5"/>
  <c r="G4979" i="5"/>
  <c r="F4980" i="5"/>
  <c r="E4980" i="5"/>
  <c r="G4980" i="5"/>
  <c r="F4981" i="5"/>
  <c r="E4981" i="5"/>
  <c r="G4981" i="5"/>
  <c r="F4982" i="5"/>
  <c r="E4982" i="5"/>
  <c r="G4982" i="5"/>
  <c r="F4983" i="5"/>
  <c r="E4983" i="5"/>
  <c r="G4983" i="5"/>
  <c r="F4984" i="5"/>
  <c r="E4984" i="5"/>
  <c r="G4984" i="5"/>
  <c r="F4985" i="5"/>
  <c r="E4985" i="5"/>
  <c r="G4985" i="5"/>
  <c r="F4986" i="5"/>
  <c r="E4986" i="5"/>
  <c r="G4986" i="5"/>
  <c r="F4987" i="5"/>
  <c r="E4987" i="5"/>
  <c r="G4987" i="5"/>
  <c r="F4988" i="5"/>
  <c r="E4988" i="5"/>
  <c r="G4988" i="5"/>
  <c r="F4989" i="5"/>
  <c r="E4989" i="5"/>
  <c r="G4989" i="5"/>
  <c r="F4990" i="5"/>
  <c r="E4990" i="5"/>
  <c r="G4990" i="5"/>
  <c r="F4991" i="5"/>
  <c r="E4991" i="5"/>
  <c r="G4991" i="5"/>
  <c r="F4992" i="5"/>
  <c r="E4992" i="5"/>
  <c r="G4992" i="5"/>
  <c r="F4993" i="5"/>
  <c r="E4993" i="5"/>
  <c r="G4993" i="5"/>
  <c r="F4994" i="5"/>
  <c r="E4994" i="5"/>
  <c r="G4994" i="5"/>
  <c r="F4995" i="5"/>
  <c r="E4995" i="5"/>
  <c r="G4995" i="5"/>
  <c r="F4996" i="5"/>
  <c r="E4996" i="5"/>
  <c r="G4996" i="5"/>
  <c r="F4997" i="5"/>
  <c r="E4997" i="5"/>
  <c r="G4997" i="5"/>
  <c r="F4998" i="5"/>
  <c r="E4998" i="5"/>
  <c r="G4998" i="5"/>
  <c r="F4999" i="5"/>
  <c r="E4999" i="5"/>
  <c r="G4999" i="5"/>
  <c r="F5000" i="5"/>
  <c r="E5000" i="5"/>
  <c r="G5000" i="5"/>
  <c r="F5001" i="5"/>
  <c r="E5001" i="5"/>
  <c r="G5001" i="5"/>
  <c r="F5002" i="5"/>
  <c r="E5002" i="5"/>
  <c r="G5002" i="5"/>
  <c r="F5003" i="5"/>
  <c r="E5003" i="5"/>
  <c r="G5003" i="5"/>
  <c r="F5004" i="5"/>
  <c r="E5004" i="5"/>
  <c r="G5004" i="5"/>
  <c r="F5005" i="5"/>
  <c r="E5005" i="5"/>
  <c r="G5005" i="5"/>
  <c r="F5006" i="5"/>
  <c r="E5006" i="5"/>
  <c r="G5006" i="5"/>
  <c r="F5007" i="5"/>
  <c r="E5007" i="5"/>
  <c r="G5007" i="5"/>
  <c r="F5008" i="5"/>
  <c r="E5008" i="5"/>
  <c r="G5008" i="5"/>
  <c r="F5009" i="5"/>
  <c r="E5009" i="5"/>
  <c r="G5009" i="5"/>
  <c r="F5010" i="5"/>
  <c r="E5010" i="5"/>
  <c r="G5010" i="5"/>
  <c r="F5011" i="5"/>
  <c r="E5011" i="5"/>
  <c r="G5011" i="5"/>
  <c r="F5012" i="5"/>
  <c r="E5012" i="5"/>
  <c r="G5012" i="5"/>
  <c r="F5013" i="5"/>
  <c r="E5013" i="5"/>
  <c r="G5013" i="5"/>
  <c r="F5014" i="5"/>
  <c r="E5014" i="5"/>
  <c r="G5014" i="5"/>
  <c r="F5015" i="5"/>
  <c r="E5015" i="5"/>
  <c r="G5015" i="5"/>
  <c r="F5016" i="5"/>
  <c r="E5016" i="5"/>
  <c r="G5016" i="5"/>
  <c r="F5017" i="5"/>
  <c r="E5017" i="5"/>
  <c r="G5017" i="5"/>
  <c r="F5018" i="5"/>
  <c r="E5018" i="5"/>
  <c r="G5018" i="5"/>
  <c r="F5019" i="5"/>
  <c r="E5019" i="5"/>
  <c r="G5019" i="5"/>
  <c r="F5020" i="5"/>
  <c r="E5020" i="5"/>
  <c r="G5020" i="5"/>
  <c r="F5021" i="5"/>
  <c r="E5021" i="5"/>
  <c r="G5021" i="5"/>
  <c r="F5022" i="5"/>
  <c r="E5022" i="5"/>
  <c r="G5022" i="5"/>
  <c r="F5023" i="5"/>
  <c r="E5023" i="5"/>
  <c r="G5023" i="5"/>
  <c r="F5024" i="5"/>
  <c r="E5024" i="5"/>
  <c r="G5024" i="5"/>
  <c r="F5025" i="5"/>
  <c r="E5025" i="5"/>
  <c r="G5025" i="5"/>
  <c r="F5026" i="5"/>
  <c r="E5026" i="5"/>
  <c r="G5026" i="5"/>
  <c r="F5027" i="5"/>
  <c r="E5027" i="5"/>
  <c r="G5027" i="5"/>
  <c r="F5028" i="5"/>
  <c r="E5028" i="5"/>
  <c r="G5028" i="5"/>
  <c r="F5029" i="5"/>
  <c r="E5029" i="5"/>
  <c r="G5029" i="5"/>
  <c r="F5030" i="5"/>
  <c r="E5030" i="5"/>
  <c r="G5030" i="5"/>
  <c r="F5031" i="5"/>
  <c r="E5031" i="5"/>
  <c r="G5031" i="5"/>
  <c r="F5032" i="5"/>
  <c r="E5032" i="5"/>
  <c r="G5032" i="5"/>
  <c r="F5033" i="5"/>
  <c r="E5033" i="5"/>
  <c r="G5033" i="5"/>
  <c r="F5034" i="5"/>
  <c r="E5034" i="5"/>
  <c r="G5034" i="5"/>
  <c r="F5035" i="5"/>
  <c r="E5035" i="5"/>
  <c r="G5035" i="5"/>
  <c r="F5036" i="5"/>
  <c r="E5036" i="5"/>
  <c r="G5036" i="5"/>
  <c r="F5037" i="5"/>
  <c r="E5037" i="5"/>
  <c r="G5037" i="5"/>
  <c r="F5038" i="5"/>
  <c r="E5038" i="5"/>
  <c r="G5038" i="5"/>
  <c r="F5039" i="5"/>
  <c r="E5039" i="5"/>
  <c r="G5039" i="5"/>
  <c r="F5040" i="5"/>
  <c r="E5040" i="5"/>
  <c r="G5040" i="5"/>
  <c r="F5041" i="5"/>
  <c r="E5041" i="5"/>
  <c r="G5041" i="5"/>
  <c r="F5042" i="5"/>
  <c r="E5042" i="5"/>
  <c r="G5042" i="5"/>
  <c r="F5043" i="5"/>
  <c r="E5043" i="5"/>
  <c r="G5043" i="5"/>
  <c r="F5044" i="5"/>
  <c r="E5044" i="5"/>
  <c r="G5044" i="5"/>
  <c r="F5045" i="5"/>
  <c r="E5045" i="5"/>
  <c r="G5045" i="5"/>
  <c r="F5046" i="5"/>
  <c r="E5046" i="5"/>
  <c r="G5046" i="5"/>
  <c r="F5047" i="5"/>
  <c r="E5047" i="5"/>
  <c r="G5047" i="5"/>
  <c r="F5048" i="5"/>
  <c r="E5048" i="5"/>
  <c r="G5048" i="5"/>
  <c r="F5049" i="5"/>
  <c r="E5049" i="5"/>
  <c r="G5049" i="5"/>
  <c r="F5050" i="5"/>
  <c r="E5050" i="5"/>
  <c r="G5050" i="5"/>
  <c r="F5051" i="5"/>
  <c r="E5051" i="5"/>
  <c r="G5051" i="5"/>
  <c r="F5052" i="5"/>
  <c r="E5052" i="5"/>
  <c r="G5052" i="5"/>
  <c r="F5053" i="5"/>
  <c r="E5053" i="5"/>
  <c r="G5053" i="5"/>
  <c r="F5054" i="5"/>
  <c r="E5054" i="5"/>
  <c r="G5054" i="5"/>
  <c r="F5055" i="5"/>
  <c r="E5055" i="5"/>
  <c r="G5055" i="5"/>
  <c r="F5056" i="5"/>
  <c r="E5056" i="5"/>
  <c r="G5056" i="5"/>
  <c r="F5057" i="5"/>
  <c r="E5057" i="5"/>
  <c r="G5057" i="5"/>
  <c r="F5058" i="5"/>
  <c r="E5058" i="5"/>
  <c r="G5058" i="5"/>
  <c r="F5059" i="5"/>
  <c r="E5059" i="5"/>
  <c r="G5059" i="5"/>
  <c r="F5060" i="5"/>
  <c r="E5060" i="5"/>
  <c r="G5060" i="5"/>
  <c r="F5061" i="5"/>
  <c r="E5061" i="5"/>
  <c r="G5061" i="5"/>
  <c r="F5062" i="5"/>
  <c r="E5062" i="5"/>
  <c r="G5062" i="5"/>
  <c r="F5063" i="5"/>
  <c r="E5063" i="5"/>
  <c r="G5063" i="5"/>
  <c r="F5064" i="5"/>
  <c r="E5064" i="5"/>
  <c r="G5064" i="5"/>
  <c r="F5065" i="5"/>
  <c r="E5065" i="5"/>
  <c r="G5065" i="5"/>
  <c r="F5066" i="5"/>
  <c r="E5066" i="5"/>
  <c r="G5066" i="5"/>
  <c r="F5067" i="5"/>
  <c r="E5067" i="5"/>
  <c r="G5067" i="5"/>
  <c r="F5068" i="5"/>
  <c r="E5068" i="5"/>
  <c r="G5068" i="5"/>
  <c r="F5069" i="5"/>
  <c r="E5069" i="5"/>
  <c r="G5069" i="5"/>
  <c r="F5070" i="5"/>
  <c r="E5070" i="5"/>
  <c r="G5070" i="5"/>
  <c r="F5071" i="5"/>
  <c r="E5071" i="5"/>
  <c r="G5071" i="5"/>
  <c r="F5072" i="5"/>
  <c r="E5072" i="5"/>
  <c r="G5072" i="5"/>
  <c r="F5073" i="5"/>
  <c r="E5073" i="5"/>
  <c r="G5073" i="5"/>
  <c r="F5074" i="5"/>
  <c r="E5074" i="5"/>
  <c r="G5074" i="5"/>
  <c r="F5075" i="5"/>
  <c r="E5075" i="5"/>
  <c r="G5075" i="5"/>
  <c r="F5076" i="5"/>
  <c r="E5076" i="5"/>
  <c r="G5076" i="5"/>
  <c r="F5077" i="5"/>
  <c r="E5077" i="5"/>
  <c r="G5077" i="5"/>
  <c r="F5078" i="5"/>
  <c r="E5078" i="5"/>
  <c r="G5078" i="5"/>
  <c r="F5079" i="5"/>
  <c r="E5079" i="5"/>
  <c r="G5079" i="5"/>
  <c r="F5080" i="5"/>
  <c r="E5080" i="5"/>
  <c r="G5080" i="5"/>
  <c r="F5081" i="5"/>
  <c r="E5081" i="5"/>
  <c r="G5081" i="5"/>
  <c r="F5082" i="5"/>
  <c r="E5082" i="5"/>
  <c r="G5082" i="5"/>
  <c r="F5083" i="5"/>
  <c r="E5083" i="5"/>
  <c r="G5083" i="5"/>
  <c r="F5084" i="5"/>
  <c r="E5084" i="5"/>
  <c r="G5084" i="5"/>
  <c r="F5085" i="5"/>
  <c r="E5085" i="5"/>
  <c r="G5085" i="5"/>
  <c r="F5086" i="5"/>
  <c r="E5086" i="5"/>
  <c r="G5086" i="5"/>
  <c r="F5087" i="5"/>
  <c r="E5087" i="5"/>
  <c r="G5087" i="5"/>
  <c r="F5088" i="5"/>
  <c r="E5088" i="5"/>
  <c r="G5088" i="5"/>
  <c r="F5089" i="5"/>
  <c r="E5089" i="5"/>
  <c r="G5089" i="5"/>
  <c r="F5090" i="5"/>
  <c r="E5090" i="5"/>
  <c r="G5090" i="5"/>
  <c r="F5091" i="5"/>
  <c r="E5091" i="5"/>
  <c r="G5091" i="5"/>
  <c r="F5092" i="5"/>
  <c r="E5092" i="5"/>
  <c r="G5092" i="5"/>
  <c r="F5093" i="5"/>
  <c r="E5093" i="5"/>
  <c r="G5093" i="5"/>
  <c r="F5094" i="5"/>
  <c r="E5094" i="5"/>
  <c r="G5094" i="5"/>
  <c r="F5095" i="5"/>
  <c r="E5095" i="5"/>
  <c r="G5095" i="5"/>
  <c r="F5096" i="5"/>
  <c r="E5096" i="5"/>
  <c r="G5096" i="5"/>
  <c r="F5097" i="5"/>
  <c r="E5097" i="5"/>
  <c r="G5097" i="5"/>
  <c r="F5098" i="5"/>
  <c r="E5098" i="5"/>
  <c r="G5098" i="5"/>
  <c r="F5099" i="5"/>
  <c r="E5099" i="5"/>
  <c r="G5099" i="5"/>
  <c r="F5100" i="5"/>
  <c r="E5100" i="5"/>
  <c r="G5100" i="5"/>
  <c r="F5101" i="5"/>
  <c r="E5101" i="5"/>
  <c r="G5101" i="5"/>
  <c r="F5102" i="5"/>
  <c r="E5102" i="5"/>
  <c r="G5102" i="5"/>
  <c r="F5103" i="5"/>
  <c r="E5103" i="5"/>
  <c r="G5103" i="5"/>
  <c r="F5104" i="5"/>
  <c r="E5104" i="5"/>
  <c r="G5104" i="5"/>
  <c r="F5105" i="5"/>
  <c r="E5105" i="5"/>
  <c r="G5105" i="5"/>
  <c r="F5106" i="5"/>
  <c r="E5106" i="5"/>
  <c r="G5106" i="5"/>
  <c r="F5107" i="5"/>
  <c r="E5107" i="5"/>
  <c r="G5107" i="5"/>
  <c r="F5108" i="5"/>
  <c r="E5108" i="5"/>
  <c r="G5108" i="5"/>
  <c r="F5109" i="5"/>
  <c r="E5109" i="5"/>
  <c r="G5109" i="5"/>
  <c r="F5110" i="5"/>
  <c r="E5110" i="5"/>
  <c r="G5110" i="5"/>
  <c r="F5111" i="5"/>
  <c r="E5111" i="5"/>
  <c r="G5111" i="5"/>
  <c r="F5112" i="5"/>
  <c r="E5112" i="5"/>
  <c r="G5112" i="5"/>
  <c r="F5113" i="5"/>
  <c r="E5113" i="5"/>
  <c r="G5113" i="5"/>
  <c r="F5114" i="5"/>
  <c r="E5114" i="5"/>
  <c r="G5114" i="5"/>
  <c r="F5115" i="5"/>
  <c r="E5115" i="5"/>
  <c r="G5115" i="5"/>
  <c r="F5116" i="5"/>
  <c r="E5116" i="5"/>
  <c r="G5116" i="5"/>
  <c r="F5117" i="5"/>
  <c r="E5117" i="5"/>
  <c r="G5117" i="5"/>
  <c r="F5118" i="5"/>
  <c r="E5118" i="5"/>
  <c r="G5118" i="5"/>
  <c r="F5119" i="5"/>
  <c r="E5119" i="5"/>
  <c r="G5119" i="5"/>
  <c r="F5120" i="5"/>
  <c r="E5120" i="5"/>
  <c r="G5120" i="5"/>
  <c r="F5121" i="5"/>
  <c r="E5121" i="5"/>
  <c r="G5121" i="5"/>
  <c r="F5122" i="5"/>
  <c r="E5122" i="5"/>
  <c r="G5122" i="5"/>
  <c r="F5123" i="5"/>
  <c r="E5123" i="5"/>
  <c r="G5123" i="5"/>
  <c r="F5124" i="5"/>
  <c r="E5124" i="5"/>
  <c r="G5124" i="5"/>
  <c r="F5125" i="5"/>
  <c r="E5125" i="5"/>
  <c r="G5125" i="5"/>
  <c r="F5126" i="5"/>
  <c r="E5126" i="5"/>
  <c r="G5126" i="5"/>
  <c r="F5127" i="5"/>
  <c r="E5127" i="5"/>
  <c r="G5127" i="5"/>
  <c r="F5128" i="5"/>
  <c r="E5128" i="5"/>
  <c r="G5128" i="5"/>
  <c r="F5129" i="5"/>
  <c r="E5129" i="5"/>
  <c r="G5129" i="5"/>
  <c r="F5130" i="5"/>
  <c r="E5130" i="5"/>
  <c r="G5130" i="5"/>
  <c r="F5131" i="5"/>
  <c r="E5131" i="5"/>
  <c r="G5131" i="5"/>
  <c r="F5132" i="5"/>
  <c r="E5132" i="5"/>
  <c r="G5132" i="5"/>
  <c r="F5133" i="5"/>
  <c r="E5133" i="5"/>
  <c r="G5133" i="5"/>
  <c r="F5134" i="5"/>
  <c r="E5134" i="5"/>
  <c r="G5134" i="5"/>
  <c r="F5135" i="5"/>
  <c r="E5135" i="5"/>
  <c r="G5135" i="5"/>
  <c r="F5136" i="5"/>
  <c r="E5136" i="5"/>
  <c r="G5136" i="5"/>
  <c r="F5137" i="5"/>
  <c r="E5137" i="5"/>
  <c r="G5137" i="5"/>
  <c r="F5138" i="5"/>
  <c r="E5138" i="5"/>
  <c r="G5138" i="5"/>
  <c r="F5139" i="5"/>
  <c r="E5139" i="5"/>
  <c r="G5139" i="5"/>
  <c r="F5140" i="5"/>
  <c r="E5140" i="5"/>
  <c r="G5140" i="5"/>
  <c r="F5141" i="5"/>
  <c r="E5141" i="5"/>
  <c r="G5141" i="5"/>
  <c r="F5142" i="5"/>
  <c r="E5142" i="5"/>
  <c r="G5142" i="5"/>
  <c r="F5143" i="5"/>
  <c r="E5143" i="5"/>
  <c r="G5143" i="5"/>
  <c r="F5144" i="5"/>
  <c r="E5144" i="5"/>
  <c r="G5144" i="5"/>
  <c r="F5145" i="5"/>
  <c r="E5145" i="5"/>
  <c r="G5145" i="5"/>
  <c r="F5146" i="5"/>
  <c r="E5146" i="5"/>
  <c r="G5146" i="5"/>
  <c r="F5147" i="5"/>
  <c r="E5147" i="5"/>
  <c r="G5147" i="5"/>
  <c r="F5148" i="5"/>
  <c r="E5148" i="5"/>
  <c r="G5148" i="5"/>
  <c r="F5149" i="5"/>
  <c r="E5149" i="5"/>
  <c r="G5149" i="5"/>
  <c r="F5150" i="5"/>
  <c r="E5150" i="5"/>
  <c r="G5150" i="5"/>
  <c r="F5151" i="5"/>
  <c r="E5151" i="5"/>
  <c r="G5151" i="5"/>
  <c r="F5152" i="5"/>
  <c r="E5152" i="5"/>
  <c r="G5152" i="5"/>
  <c r="F5153" i="5"/>
  <c r="E5153" i="5"/>
  <c r="G5153" i="5"/>
  <c r="F5154" i="5"/>
  <c r="E5154" i="5"/>
  <c r="G5154" i="5"/>
  <c r="F5155" i="5"/>
  <c r="E5155" i="5"/>
  <c r="G5155" i="5"/>
  <c r="F5156" i="5"/>
  <c r="E5156" i="5"/>
  <c r="G5156" i="5"/>
  <c r="F5157" i="5"/>
  <c r="E5157" i="5"/>
  <c r="G5157" i="5"/>
  <c r="F5158" i="5"/>
  <c r="E5158" i="5"/>
  <c r="G5158" i="5"/>
  <c r="F5159" i="5"/>
  <c r="E5159" i="5"/>
  <c r="G5159" i="5"/>
  <c r="F5160" i="5"/>
  <c r="E5160" i="5"/>
  <c r="G5160" i="5"/>
  <c r="F5161" i="5"/>
  <c r="E5161" i="5"/>
  <c r="G5161" i="5"/>
  <c r="F5162" i="5"/>
  <c r="E5162" i="5"/>
  <c r="G5162" i="5"/>
  <c r="F5163" i="5"/>
  <c r="E5163" i="5"/>
  <c r="G5163" i="5"/>
  <c r="F5164" i="5"/>
  <c r="E5164" i="5"/>
  <c r="G5164" i="5"/>
  <c r="F5165" i="5"/>
  <c r="E5165" i="5"/>
  <c r="G5165" i="5"/>
  <c r="F5166" i="5"/>
  <c r="E5166" i="5"/>
  <c r="G5166" i="5"/>
  <c r="F5167" i="5"/>
  <c r="E5167" i="5"/>
  <c r="G5167" i="5"/>
  <c r="F5168" i="5"/>
  <c r="E5168" i="5"/>
  <c r="G5168" i="5"/>
  <c r="F5169" i="5"/>
  <c r="E5169" i="5"/>
  <c r="G5169" i="5"/>
  <c r="F5170" i="5"/>
  <c r="E5170" i="5"/>
  <c r="G5170" i="5"/>
  <c r="F5171" i="5"/>
  <c r="E5171" i="5"/>
  <c r="G5171" i="5"/>
  <c r="F5172" i="5"/>
  <c r="E5172" i="5"/>
  <c r="G5172" i="5"/>
  <c r="F5173" i="5"/>
  <c r="E5173" i="5"/>
  <c r="G5173" i="5"/>
  <c r="F5174" i="5"/>
  <c r="E5174" i="5"/>
  <c r="G5174" i="5"/>
  <c r="F5175" i="5"/>
  <c r="E5175" i="5"/>
  <c r="G5175" i="5"/>
  <c r="F5176" i="5"/>
  <c r="E5176" i="5"/>
  <c r="G5176" i="5"/>
  <c r="F5177" i="5"/>
  <c r="E5177" i="5"/>
  <c r="G5177" i="5"/>
  <c r="F5178" i="5"/>
  <c r="E5178" i="5"/>
  <c r="G5178" i="5"/>
  <c r="F5179" i="5"/>
  <c r="E5179" i="5"/>
  <c r="G5179" i="5"/>
  <c r="F5180" i="5"/>
  <c r="E5180" i="5"/>
  <c r="G5180" i="5"/>
  <c r="F5181" i="5"/>
  <c r="E5181" i="5"/>
  <c r="G5181" i="5"/>
  <c r="F5182" i="5"/>
  <c r="E5182" i="5"/>
  <c r="G5182" i="5"/>
  <c r="F5183" i="5"/>
  <c r="E5183" i="5"/>
  <c r="G5183" i="5"/>
  <c r="F5184" i="5"/>
  <c r="E5184" i="5"/>
  <c r="G5184" i="5"/>
  <c r="F5185" i="5"/>
  <c r="E5185" i="5"/>
  <c r="G5185" i="5"/>
  <c r="F5186" i="5"/>
  <c r="E5186" i="5"/>
  <c r="G5186" i="5"/>
  <c r="F5187" i="5"/>
  <c r="E5187" i="5"/>
  <c r="G5187" i="5"/>
  <c r="F5188" i="5"/>
  <c r="E5188" i="5"/>
  <c r="G5188" i="5"/>
  <c r="F5189" i="5"/>
  <c r="E5189" i="5"/>
  <c r="G5189" i="5"/>
  <c r="F5190" i="5"/>
  <c r="E5190" i="5"/>
  <c r="G5190" i="5"/>
  <c r="F5191" i="5"/>
  <c r="E5191" i="5"/>
  <c r="G5191" i="5"/>
  <c r="F5192" i="5"/>
  <c r="E5192" i="5"/>
  <c r="G5192" i="5"/>
  <c r="F5193" i="5"/>
  <c r="E5193" i="5"/>
  <c r="G5193" i="5"/>
  <c r="F5194" i="5"/>
  <c r="E5194" i="5"/>
  <c r="G5194" i="5"/>
  <c r="F5195" i="5"/>
  <c r="E5195" i="5"/>
  <c r="G5195" i="5"/>
  <c r="F5196" i="5"/>
  <c r="E5196" i="5"/>
  <c r="G5196" i="5"/>
  <c r="F5197" i="5"/>
  <c r="E5197" i="5"/>
  <c r="G5197" i="5"/>
  <c r="F5198" i="5"/>
  <c r="E5198" i="5"/>
  <c r="G5198" i="5"/>
  <c r="F5199" i="5"/>
  <c r="E5199" i="5"/>
  <c r="G5199" i="5"/>
  <c r="F5200" i="5"/>
  <c r="E5200" i="5"/>
  <c r="G5200" i="5"/>
  <c r="F5201" i="5"/>
  <c r="E5201" i="5"/>
  <c r="G5201" i="5"/>
  <c r="F5202" i="5"/>
  <c r="E5202" i="5"/>
  <c r="G5202" i="5"/>
  <c r="F5203" i="5"/>
  <c r="E5203" i="5"/>
  <c r="G5203" i="5"/>
  <c r="F5204" i="5"/>
  <c r="E5204" i="5"/>
  <c r="G5204" i="5"/>
  <c r="F5205" i="5"/>
  <c r="E5205" i="5"/>
  <c r="G5205" i="5"/>
  <c r="F5206" i="5"/>
  <c r="E5206" i="5"/>
  <c r="G5206" i="5"/>
  <c r="F5207" i="5"/>
  <c r="E5207" i="5"/>
  <c r="G5207" i="5"/>
  <c r="F5208" i="5"/>
  <c r="E5208" i="5"/>
  <c r="G5208" i="5"/>
  <c r="F5209" i="5"/>
  <c r="E5209" i="5"/>
  <c r="G5209" i="5"/>
  <c r="F5210" i="5"/>
  <c r="E5210" i="5"/>
  <c r="G5210" i="5"/>
  <c r="F5211" i="5"/>
  <c r="E5211" i="5"/>
  <c r="G5211" i="5"/>
  <c r="F5212" i="5"/>
  <c r="E5212" i="5"/>
  <c r="G5212" i="5"/>
  <c r="F5213" i="5"/>
  <c r="E5213" i="5"/>
  <c r="G5213" i="5"/>
  <c r="F5214" i="5"/>
  <c r="E5214" i="5"/>
  <c r="G5214" i="5"/>
  <c r="F5215" i="5"/>
  <c r="E5215" i="5"/>
  <c r="G5215" i="5"/>
  <c r="F5216" i="5"/>
  <c r="E5216" i="5"/>
  <c r="G5216" i="5"/>
  <c r="F5217" i="5"/>
  <c r="E5217" i="5"/>
  <c r="G5217" i="5"/>
  <c r="F5218" i="5"/>
  <c r="E5218" i="5"/>
  <c r="G5218" i="5"/>
  <c r="F5219" i="5"/>
  <c r="E5219" i="5"/>
  <c r="G5219" i="5"/>
  <c r="F5220" i="5"/>
  <c r="E5220" i="5"/>
  <c r="G5220" i="5"/>
  <c r="F5221" i="5"/>
  <c r="E5221" i="5"/>
  <c r="G5221" i="5"/>
  <c r="F5222" i="5"/>
  <c r="E5222" i="5"/>
  <c r="G5222" i="5"/>
  <c r="F5223" i="5"/>
  <c r="E5223" i="5"/>
  <c r="G5223" i="5"/>
  <c r="F5224" i="5"/>
  <c r="E5224" i="5"/>
  <c r="G5224" i="5"/>
  <c r="F5225" i="5"/>
  <c r="E5225" i="5"/>
  <c r="G5225" i="5"/>
  <c r="F5226" i="5"/>
  <c r="E5226" i="5"/>
  <c r="G5226" i="5"/>
  <c r="F5227" i="5"/>
  <c r="E5227" i="5"/>
  <c r="G5227" i="5"/>
  <c r="F5228" i="5"/>
  <c r="E5228" i="5"/>
  <c r="G5228" i="5"/>
  <c r="F5229" i="5"/>
  <c r="E5229" i="5"/>
  <c r="G5229" i="5"/>
  <c r="F5230" i="5"/>
  <c r="E5230" i="5"/>
  <c r="G5230" i="5"/>
  <c r="F5231" i="5"/>
  <c r="E5231" i="5"/>
  <c r="G5231" i="5"/>
  <c r="F5232" i="5"/>
  <c r="E5232" i="5"/>
  <c r="G5232" i="5"/>
  <c r="F5233" i="5"/>
  <c r="E5233" i="5"/>
  <c r="G5233" i="5"/>
  <c r="F5234" i="5"/>
  <c r="E5234" i="5"/>
  <c r="G5234" i="5"/>
  <c r="F5235" i="5"/>
  <c r="E5235" i="5"/>
  <c r="G5235" i="5"/>
  <c r="F5236" i="5"/>
  <c r="E5236" i="5"/>
  <c r="G5236" i="5"/>
  <c r="F5237" i="5"/>
  <c r="E5237" i="5"/>
  <c r="G5237" i="5"/>
  <c r="F5238" i="5"/>
  <c r="E5238" i="5"/>
  <c r="G5238" i="5"/>
  <c r="F5239" i="5"/>
  <c r="E5239" i="5"/>
  <c r="G5239" i="5"/>
  <c r="F5240" i="5"/>
  <c r="E5240" i="5"/>
  <c r="G5240" i="5"/>
  <c r="F5241" i="5"/>
  <c r="E5241" i="5"/>
  <c r="G5241" i="5"/>
  <c r="F5242" i="5"/>
  <c r="E5242" i="5"/>
  <c r="G5242" i="5"/>
  <c r="F5243" i="5"/>
  <c r="E5243" i="5"/>
  <c r="G5243" i="5"/>
  <c r="F5244" i="5"/>
  <c r="E5244" i="5"/>
  <c r="G5244" i="5"/>
  <c r="F5245" i="5"/>
  <c r="E5245" i="5"/>
  <c r="G5245" i="5"/>
  <c r="F5246" i="5"/>
  <c r="E5246" i="5"/>
  <c r="G5246" i="5"/>
  <c r="F5247" i="5"/>
  <c r="E5247" i="5"/>
  <c r="G5247" i="5"/>
  <c r="F5248" i="5"/>
  <c r="E5248" i="5"/>
  <c r="G5248" i="5"/>
  <c r="F5249" i="5"/>
  <c r="E5249" i="5"/>
  <c r="G5249" i="5"/>
  <c r="F5250" i="5"/>
  <c r="E5250" i="5"/>
  <c r="G5250" i="5"/>
  <c r="F5251" i="5"/>
  <c r="E5251" i="5"/>
  <c r="G5251" i="5"/>
  <c r="F5252" i="5"/>
  <c r="E5252" i="5"/>
  <c r="G5252" i="5"/>
  <c r="E5253" i="5"/>
  <c r="G5253" i="5"/>
  <c r="F5254" i="5"/>
  <c r="E5254" i="5"/>
  <c r="G5254" i="5"/>
  <c r="F5255" i="5"/>
  <c r="E5255" i="5"/>
  <c r="G5255" i="5"/>
  <c r="F5256" i="5"/>
  <c r="E5256" i="5"/>
  <c r="G5256" i="5"/>
  <c r="F5257" i="5"/>
  <c r="E5257" i="5"/>
  <c r="G5257" i="5"/>
  <c r="F5258" i="5"/>
  <c r="E5258" i="5"/>
  <c r="G5258" i="5"/>
  <c r="F5259" i="5"/>
  <c r="E5259" i="5"/>
  <c r="G5259" i="5"/>
  <c r="F5260" i="5"/>
  <c r="E5260" i="5"/>
  <c r="G5260" i="5"/>
  <c r="F5261" i="5"/>
  <c r="E5261" i="5"/>
  <c r="G5261" i="5"/>
  <c r="F5262" i="5"/>
  <c r="E5262" i="5"/>
  <c r="G5262" i="5"/>
  <c r="F5263" i="5"/>
  <c r="E5263" i="5"/>
  <c r="G5263" i="5"/>
  <c r="F5264" i="5"/>
  <c r="E5264" i="5"/>
  <c r="G5264" i="5"/>
  <c r="F5265" i="5"/>
  <c r="E5265" i="5"/>
  <c r="G5265" i="5"/>
  <c r="F5266" i="5"/>
  <c r="E5266" i="5"/>
  <c r="G5266" i="5"/>
  <c r="F5267" i="5"/>
  <c r="E5267" i="5"/>
  <c r="G5267" i="5"/>
  <c r="F5268" i="5"/>
  <c r="E5268" i="5"/>
  <c r="G5268" i="5"/>
  <c r="F5269" i="5"/>
  <c r="E5269" i="5"/>
  <c r="G5269" i="5"/>
  <c r="F5270" i="5"/>
  <c r="E5270" i="5"/>
  <c r="G5270" i="5"/>
  <c r="F5271" i="5"/>
  <c r="E5271" i="5"/>
  <c r="G5271" i="5"/>
  <c r="F5272" i="5"/>
  <c r="E5272" i="5"/>
  <c r="G5272" i="5"/>
  <c r="F5273" i="5"/>
  <c r="E5273" i="5"/>
  <c r="G5273" i="5"/>
  <c r="F5274" i="5"/>
  <c r="E5274" i="5"/>
  <c r="G5274" i="5"/>
  <c r="F5275" i="5"/>
  <c r="E5275" i="5"/>
  <c r="G5275" i="5"/>
  <c r="F5276" i="5"/>
  <c r="E5276" i="5"/>
  <c r="G5276" i="5"/>
  <c r="F5277" i="5"/>
  <c r="E5277" i="5"/>
  <c r="G5277" i="5"/>
  <c r="F5278" i="5"/>
  <c r="E5278" i="5"/>
  <c r="G5278" i="5"/>
  <c r="F5279" i="5"/>
  <c r="E5279" i="5"/>
  <c r="G5279" i="5"/>
  <c r="F5280" i="5"/>
  <c r="E5280" i="5"/>
  <c r="G5280" i="5"/>
  <c r="F5281" i="5"/>
  <c r="E5281" i="5"/>
  <c r="G5281" i="5"/>
  <c r="F5282" i="5"/>
  <c r="E5282" i="5"/>
  <c r="G5282" i="5"/>
  <c r="F5283" i="5"/>
  <c r="E5283" i="5"/>
  <c r="G5283" i="5"/>
  <c r="F5284" i="5"/>
  <c r="E5284" i="5"/>
  <c r="G5284" i="5"/>
  <c r="F5285" i="5"/>
  <c r="E5285" i="5"/>
  <c r="G5285" i="5"/>
  <c r="F5286" i="5"/>
  <c r="E5286" i="5"/>
  <c r="G5286" i="5"/>
  <c r="F5287" i="5"/>
  <c r="E5287" i="5"/>
  <c r="G5287" i="5"/>
  <c r="F5288" i="5"/>
  <c r="E5288" i="5"/>
  <c r="G5288" i="5"/>
  <c r="F5289" i="5"/>
  <c r="E5289" i="5"/>
  <c r="G5289" i="5"/>
  <c r="F5290" i="5"/>
  <c r="E5290" i="5"/>
  <c r="G5290" i="5"/>
  <c r="F5291" i="5"/>
  <c r="E5291" i="5"/>
  <c r="G5291" i="5"/>
  <c r="F5292" i="5"/>
  <c r="E5292" i="5"/>
  <c r="G5292" i="5"/>
  <c r="F5293" i="5"/>
  <c r="E5293" i="5"/>
  <c r="G5293" i="5"/>
  <c r="F5294" i="5"/>
  <c r="E5294" i="5"/>
  <c r="G5294" i="5"/>
  <c r="F5295" i="5"/>
  <c r="E5295" i="5"/>
  <c r="G5295" i="5"/>
  <c r="F5296" i="5"/>
  <c r="E5296" i="5"/>
  <c r="G5296" i="5"/>
  <c r="F5297" i="5"/>
  <c r="E5297" i="5"/>
  <c r="G5297" i="5"/>
  <c r="F5298" i="5"/>
  <c r="E5298" i="5"/>
  <c r="G5298" i="5"/>
  <c r="F5299" i="5"/>
  <c r="E5299" i="5"/>
  <c r="G5299" i="5"/>
  <c r="F5300" i="5"/>
  <c r="E5300" i="5"/>
  <c r="G5300" i="5"/>
  <c r="F5301" i="5"/>
  <c r="E5301" i="5"/>
  <c r="G5301" i="5"/>
  <c r="F5302" i="5"/>
  <c r="E5302" i="5"/>
  <c r="G5302" i="5"/>
  <c r="F5303" i="5"/>
  <c r="E5303" i="5"/>
  <c r="G5303" i="5"/>
  <c r="F5304" i="5"/>
  <c r="E5304" i="5"/>
  <c r="G5304" i="5"/>
  <c r="F5305" i="5"/>
  <c r="E5305" i="5"/>
  <c r="G5305" i="5"/>
  <c r="F5306" i="5"/>
  <c r="E5306" i="5"/>
  <c r="G5306" i="5"/>
  <c r="F5307" i="5"/>
  <c r="E5307" i="5"/>
  <c r="G5307" i="5"/>
  <c r="F5308" i="5"/>
  <c r="E5308" i="5"/>
  <c r="G5308" i="5"/>
  <c r="F5309" i="5"/>
  <c r="E5309" i="5"/>
  <c r="G5309" i="5"/>
  <c r="F5310" i="5"/>
  <c r="E5310" i="5"/>
  <c r="G5310" i="5"/>
  <c r="F5311" i="5"/>
  <c r="E5311" i="5"/>
  <c r="G5311" i="5"/>
  <c r="F5312" i="5"/>
  <c r="E5312" i="5"/>
  <c r="G5312" i="5"/>
  <c r="F5313" i="5"/>
  <c r="E5313" i="5"/>
  <c r="G5313" i="5"/>
  <c r="F5314" i="5"/>
  <c r="E5314" i="5"/>
  <c r="G5314" i="5"/>
  <c r="F5315" i="5"/>
  <c r="E5315" i="5"/>
  <c r="G5315" i="5"/>
  <c r="F5316" i="5"/>
  <c r="E5316" i="5"/>
  <c r="G5316" i="5"/>
  <c r="F5317" i="5"/>
  <c r="E5317" i="5"/>
  <c r="G5317" i="5"/>
  <c r="F5318" i="5"/>
  <c r="E5318" i="5"/>
  <c r="G5318" i="5"/>
  <c r="F5319" i="5"/>
  <c r="E5319" i="5"/>
  <c r="G5319" i="5"/>
  <c r="F5320" i="5"/>
  <c r="E5320" i="5"/>
  <c r="G5320" i="5"/>
  <c r="F5321" i="5"/>
  <c r="E5321" i="5"/>
  <c r="G5321" i="5"/>
  <c r="F5322" i="5"/>
  <c r="E5322" i="5"/>
  <c r="G5322" i="5"/>
  <c r="F5323" i="5"/>
  <c r="E5323" i="5"/>
  <c r="G5323" i="5"/>
  <c r="F5324" i="5"/>
  <c r="E5324" i="5"/>
  <c r="G5324" i="5"/>
  <c r="F5325" i="5"/>
  <c r="E5325" i="5"/>
  <c r="G5325" i="5"/>
  <c r="F5326" i="5"/>
  <c r="E5326" i="5"/>
  <c r="G5326" i="5"/>
  <c r="F5327" i="5"/>
  <c r="E5327" i="5"/>
  <c r="G5327" i="5"/>
  <c r="F5328" i="5"/>
  <c r="E5328" i="5"/>
  <c r="G5328" i="5"/>
  <c r="F5329" i="5"/>
  <c r="E5329" i="5"/>
  <c r="G5329" i="5"/>
  <c r="F5330" i="5"/>
  <c r="E5330" i="5"/>
  <c r="G5330" i="5"/>
  <c r="F5331" i="5"/>
  <c r="E5331" i="5"/>
  <c r="G5331" i="5"/>
  <c r="F5332" i="5"/>
  <c r="E5332" i="5"/>
  <c r="G5332" i="5"/>
  <c r="F5333" i="5"/>
  <c r="E5333" i="5"/>
  <c r="G5333" i="5"/>
  <c r="F5334" i="5"/>
  <c r="E5334" i="5"/>
  <c r="G5334" i="5"/>
  <c r="F5335" i="5"/>
  <c r="E5335" i="5"/>
  <c r="G5335" i="5"/>
  <c r="F5336" i="5"/>
  <c r="E5336" i="5"/>
  <c r="G5336" i="5"/>
  <c r="F5337" i="5"/>
  <c r="E5337" i="5"/>
  <c r="G5337" i="5"/>
  <c r="F5338" i="5"/>
  <c r="E5338" i="5"/>
  <c r="G5338" i="5"/>
  <c r="F5339" i="5"/>
  <c r="E5339" i="5"/>
  <c r="G5339" i="5"/>
  <c r="F5340" i="5"/>
  <c r="E5340" i="5"/>
  <c r="G5340" i="5"/>
  <c r="F5341" i="5"/>
  <c r="E5341" i="5"/>
  <c r="G5341" i="5"/>
  <c r="F5342" i="5"/>
  <c r="E5342" i="5"/>
  <c r="G5342" i="5"/>
  <c r="F5343" i="5"/>
  <c r="E5343" i="5"/>
  <c r="G5343" i="5"/>
  <c r="F5344" i="5"/>
  <c r="E5344" i="5"/>
  <c r="G5344" i="5"/>
  <c r="F5345" i="5"/>
  <c r="E5345" i="5"/>
  <c r="G5345" i="5"/>
  <c r="F5346" i="5"/>
  <c r="E5346" i="5"/>
  <c r="G5346" i="5"/>
  <c r="F5347" i="5"/>
  <c r="E5347" i="5"/>
  <c r="G5347" i="5"/>
  <c r="F5348" i="5"/>
  <c r="E5348" i="5"/>
  <c r="G5348" i="5"/>
  <c r="F5349" i="5"/>
  <c r="E5349" i="5"/>
  <c r="G5349" i="5"/>
  <c r="F5350" i="5"/>
  <c r="E5350" i="5"/>
  <c r="G5350" i="5"/>
  <c r="F5351" i="5"/>
  <c r="E5351" i="5"/>
  <c r="G5351" i="5"/>
  <c r="F5352" i="5"/>
  <c r="E5352" i="5"/>
  <c r="G5352" i="5"/>
  <c r="F5353" i="5"/>
  <c r="E5353" i="5"/>
  <c r="G5353" i="5"/>
  <c r="F5354" i="5"/>
  <c r="E5354" i="5"/>
  <c r="G5354" i="5"/>
  <c r="F5355" i="5"/>
  <c r="E5355" i="5"/>
  <c r="G5355" i="5"/>
  <c r="F5356" i="5"/>
  <c r="E5356" i="5"/>
  <c r="G5356" i="5"/>
  <c r="F5357" i="5"/>
  <c r="E5357" i="5"/>
  <c r="G5357" i="5"/>
  <c r="F5358" i="5"/>
  <c r="E5358" i="5"/>
  <c r="G5358" i="5"/>
  <c r="F5359" i="5"/>
  <c r="E5359" i="5"/>
  <c r="G5359" i="5"/>
  <c r="F5360" i="5"/>
  <c r="E5360" i="5"/>
  <c r="G5360" i="5"/>
  <c r="F5361" i="5"/>
  <c r="E5361" i="5"/>
  <c r="G5361" i="5"/>
  <c r="F5362" i="5"/>
  <c r="E5362" i="5"/>
  <c r="G5362" i="5"/>
  <c r="F5363" i="5"/>
  <c r="E5363" i="5"/>
  <c r="G5363" i="5"/>
  <c r="F5364" i="5"/>
  <c r="E5364" i="5"/>
  <c r="G5364" i="5"/>
  <c r="F5365" i="5"/>
  <c r="E5365" i="5"/>
  <c r="G5365" i="5"/>
  <c r="E4" i="5"/>
  <c r="G32" i="5"/>
  <c r="F32" i="5"/>
  <c r="F3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G33" i="8"/>
  <c r="F34" i="8"/>
  <c r="E34" i="8"/>
  <c r="G34" i="8"/>
  <c r="F35" i="8"/>
  <c r="E35" i="8"/>
  <c r="G35" i="8"/>
  <c r="F36" i="8"/>
  <c r="E36" i="8"/>
  <c r="G36" i="8"/>
  <c r="F37" i="8"/>
  <c r="E37" i="8"/>
  <c r="G37" i="8"/>
  <c r="F38" i="8"/>
  <c r="E38" i="8"/>
  <c r="G38" i="8"/>
  <c r="F39" i="8"/>
  <c r="E39" i="8"/>
  <c r="G39" i="8"/>
  <c r="F40" i="8"/>
  <c r="E40" i="8"/>
  <c r="G40" i="8"/>
  <c r="F41" i="8"/>
  <c r="E41" i="8"/>
  <c r="G41" i="8"/>
  <c r="F42" i="8"/>
  <c r="E42" i="8"/>
  <c r="G42" i="8"/>
  <c r="F43" i="8"/>
  <c r="E43" i="8"/>
  <c r="G43" i="8"/>
  <c r="F44" i="8"/>
  <c r="E44" i="8"/>
  <c r="G44" i="8"/>
  <c r="F45" i="8"/>
  <c r="E45" i="8"/>
  <c r="G45" i="8"/>
  <c r="F46" i="8"/>
  <c r="E46" i="8"/>
  <c r="G46" i="8"/>
  <c r="F47" i="8"/>
  <c r="E47" i="8"/>
  <c r="G47" i="8"/>
  <c r="F48" i="8"/>
  <c r="E48" i="8"/>
  <c r="G48" i="8"/>
  <c r="F49" i="8"/>
  <c r="E49" i="8"/>
  <c r="G49" i="8"/>
  <c r="F50" i="8"/>
  <c r="E50" i="8"/>
  <c r="G50" i="8"/>
  <c r="F51" i="8"/>
  <c r="E51" i="8"/>
  <c r="G51" i="8"/>
  <c r="F52" i="8"/>
  <c r="E52" i="8"/>
  <c r="G52" i="8"/>
  <c r="F53" i="8"/>
  <c r="E53" i="8"/>
  <c r="G53" i="8"/>
  <c r="F54" i="8"/>
  <c r="E54" i="8"/>
  <c r="G54" i="8"/>
  <c r="F55" i="8"/>
  <c r="E55" i="8"/>
  <c r="G55" i="8"/>
  <c r="F56" i="8"/>
  <c r="E56" i="8"/>
  <c r="G56" i="8"/>
  <c r="F57" i="8"/>
  <c r="E57" i="8"/>
  <c r="G57" i="8"/>
  <c r="F58" i="8"/>
  <c r="E58" i="8"/>
  <c r="G58" i="8"/>
  <c r="F59" i="8"/>
  <c r="E59" i="8"/>
  <c r="G59" i="8"/>
  <c r="F60" i="8"/>
  <c r="E60" i="8"/>
  <c r="G60" i="8"/>
  <c r="F61" i="8"/>
  <c r="E61" i="8"/>
  <c r="G61" i="8"/>
  <c r="F62" i="8"/>
  <c r="E62" i="8"/>
  <c r="G62" i="8"/>
  <c r="F63" i="8"/>
  <c r="E63" i="8"/>
  <c r="G63" i="8"/>
  <c r="F64" i="8"/>
  <c r="E64" i="8"/>
  <c r="G64" i="8"/>
  <c r="F65" i="8"/>
  <c r="E65" i="8"/>
  <c r="G65" i="8"/>
  <c r="F66" i="8"/>
  <c r="E66" i="8"/>
  <c r="G66" i="8"/>
  <c r="F67" i="8"/>
  <c r="E67" i="8"/>
  <c r="G67" i="8"/>
  <c r="F68" i="8"/>
  <c r="E68" i="8"/>
  <c r="G68" i="8"/>
  <c r="F69" i="8"/>
  <c r="E69" i="8"/>
  <c r="G69" i="8"/>
  <c r="F70" i="8"/>
  <c r="E70" i="8"/>
  <c r="G70" i="8"/>
  <c r="F71" i="8"/>
  <c r="E71" i="8"/>
  <c r="G71" i="8"/>
  <c r="F72" i="8"/>
  <c r="E72" i="8"/>
  <c r="G72" i="8"/>
  <c r="F73" i="8"/>
  <c r="E73" i="8"/>
  <c r="G73" i="8"/>
  <c r="F74" i="8"/>
  <c r="E74" i="8"/>
  <c r="G74" i="8"/>
  <c r="F75" i="8"/>
  <c r="E75" i="8"/>
  <c r="G75" i="8"/>
  <c r="F76" i="8"/>
  <c r="E76" i="8"/>
  <c r="G76" i="8"/>
  <c r="F77" i="8"/>
  <c r="E77" i="8"/>
  <c r="G77" i="8"/>
  <c r="F78" i="8"/>
  <c r="E78" i="8"/>
  <c r="G78" i="8"/>
  <c r="F79" i="8"/>
  <c r="E79" i="8"/>
  <c r="G79" i="8"/>
  <c r="F80" i="8"/>
  <c r="E80" i="8"/>
  <c r="G80" i="8"/>
  <c r="F81" i="8"/>
  <c r="E81" i="8"/>
  <c r="G81" i="8"/>
  <c r="F82" i="8"/>
  <c r="E82" i="8"/>
  <c r="G82" i="8"/>
  <c r="F83" i="8"/>
  <c r="E83" i="8"/>
  <c r="G83" i="8"/>
  <c r="F84" i="8"/>
  <c r="E84" i="8"/>
  <c r="G84" i="8"/>
  <c r="F85" i="8"/>
  <c r="E85" i="8"/>
  <c r="G85" i="8"/>
  <c r="F86" i="8"/>
  <c r="E86" i="8"/>
  <c r="G86" i="8"/>
  <c r="F87" i="8"/>
  <c r="E87" i="8"/>
  <c r="G87" i="8"/>
  <c r="F88" i="8"/>
  <c r="E88" i="8"/>
  <c r="G88" i="8"/>
  <c r="F89" i="8"/>
  <c r="E89" i="8"/>
  <c r="G89" i="8"/>
  <c r="F90" i="8"/>
  <c r="E90" i="8"/>
  <c r="G90" i="8"/>
  <c r="F91" i="8"/>
  <c r="E91" i="8"/>
  <c r="G91" i="8"/>
  <c r="F92" i="8"/>
  <c r="E92" i="8"/>
  <c r="G92" i="8"/>
  <c r="F93" i="8"/>
  <c r="E93" i="8"/>
  <c r="G93" i="8"/>
  <c r="F94" i="8"/>
  <c r="E94" i="8"/>
  <c r="G94" i="8"/>
  <c r="F95" i="8"/>
  <c r="E95" i="8"/>
  <c r="G95" i="8"/>
  <c r="F96" i="8"/>
  <c r="E96" i="8"/>
  <c r="G96" i="8"/>
  <c r="F97" i="8"/>
  <c r="E97" i="8"/>
  <c r="G97" i="8"/>
  <c r="F98" i="8"/>
  <c r="E98" i="8"/>
  <c r="G98" i="8"/>
  <c r="F99" i="8"/>
  <c r="E99" i="8"/>
  <c r="G99" i="8"/>
  <c r="F100" i="8"/>
  <c r="E100" i="8"/>
  <c r="G100" i="8"/>
  <c r="F101" i="8"/>
  <c r="E101" i="8"/>
  <c r="G101" i="8"/>
  <c r="F102" i="8"/>
  <c r="E102" i="8"/>
  <c r="G102" i="8"/>
  <c r="F103" i="8"/>
  <c r="E103" i="8"/>
  <c r="G103" i="8"/>
  <c r="F104" i="8"/>
  <c r="E104" i="8"/>
  <c r="G104" i="8"/>
  <c r="F105" i="8"/>
  <c r="E105" i="8"/>
  <c r="G105" i="8"/>
  <c r="F106" i="8"/>
  <c r="E106" i="8"/>
  <c r="G106" i="8"/>
  <c r="F107" i="8"/>
  <c r="E107" i="8"/>
  <c r="G107" i="8"/>
  <c r="F108" i="8"/>
  <c r="E108" i="8"/>
  <c r="G108" i="8"/>
  <c r="F109" i="8"/>
  <c r="E109" i="8"/>
  <c r="G109" i="8"/>
  <c r="F110" i="8"/>
  <c r="E110" i="8"/>
  <c r="G110" i="8"/>
  <c r="F111" i="8"/>
  <c r="E111" i="8"/>
  <c r="G111" i="8"/>
  <c r="F112" i="8"/>
  <c r="E112" i="8"/>
  <c r="G112" i="8"/>
  <c r="F113" i="8"/>
  <c r="E113" i="8"/>
  <c r="G113" i="8"/>
  <c r="F114" i="8"/>
  <c r="E114" i="8"/>
  <c r="G114" i="8"/>
  <c r="F115" i="8"/>
  <c r="E115" i="8"/>
  <c r="G115" i="8"/>
  <c r="F116" i="8"/>
  <c r="E116" i="8"/>
  <c r="G116" i="8"/>
  <c r="F117" i="8"/>
  <c r="E117" i="8"/>
  <c r="G117" i="8"/>
  <c r="F118" i="8"/>
  <c r="E118" i="8"/>
  <c r="G118" i="8"/>
  <c r="F119" i="8"/>
  <c r="E119" i="8"/>
  <c r="G119" i="8"/>
  <c r="F120" i="8"/>
  <c r="E120" i="8"/>
  <c r="G120" i="8"/>
  <c r="F121" i="8"/>
  <c r="E121" i="8"/>
  <c r="G121" i="8"/>
  <c r="F122" i="8"/>
  <c r="E122" i="8"/>
  <c r="G122" i="8"/>
  <c r="F123" i="8"/>
  <c r="E123" i="8"/>
  <c r="G123" i="8"/>
  <c r="F124" i="8"/>
  <c r="E124" i="8"/>
  <c r="G124" i="8"/>
  <c r="F125" i="8"/>
  <c r="E125" i="8"/>
  <c r="G125" i="8"/>
  <c r="F126" i="8"/>
  <c r="E126" i="8"/>
  <c r="G126" i="8"/>
  <c r="F127" i="8"/>
  <c r="E127" i="8"/>
  <c r="G127" i="8"/>
  <c r="F128" i="8"/>
  <c r="E128" i="8"/>
  <c r="G128" i="8"/>
  <c r="F129" i="8"/>
  <c r="E129" i="8"/>
  <c r="G129" i="8"/>
  <c r="F130" i="8"/>
  <c r="E130" i="8"/>
  <c r="G130" i="8"/>
  <c r="F131" i="8"/>
  <c r="E131" i="8"/>
  <c r="G131" i="8"/>
  <c r="F132" i="8"/>
  <c r="E132" i="8"/>
  <c r="G132" i="8"/>
  <c r="F133" i="8"/>
  <c r="E133" i="8"/>
  <c r="G133" i="8"/>
  <c r="F134" i="8"/>
  <c r="E134" i="8"/>
  <c r="G134" i="8"/>
  <c r="F135" i="8"/>
  <c r="E135" i="8"/>
  <c r="G135" i="8"/>
  <c r="F136" i="8"/>
  <c r="E136" i="8"/>
  <c r="G136" i="8"/>
  <c r="F137" i="8"/>
  <c r="E137" i="8"/>
  <c r="G137" i="8"/>
  <c r="F138" i="8"/>
  <c r="E138" i="8"/>
  <c r="G138" i="8"/>
  <c r="F139" i="8"/>
  <c r="E139" i="8"/>
  <c r="G139" i="8"/>
  <c r="F140" i="8"/>
  <c r="E140" i="8"/>
  <c r="G140" i="8"/>
  <c r="F141" i="8"/>
  <c r="E141" i="8"/>
  <c r="G141" i="8"/>
  <c r="F142" i="8"/>
  <c r="E142" i="8"/>
  <c r="G142" i="8"/>
  <c r="F143" i="8"/>
  <c r="E143" i="8"/>
  <c r="G143" i="8"/>
  <c r="F144" i="8"/>
  <c r="E144" i="8"/>
  <c r="G144" i="8"/>
  <c r="F145" i="8"/>
  <c r="E145" i="8"/>
  <c r="G145" i="8"/>
  <c r="F146" i="8"/>
  <c r="E146" i="8"/>
  <c r="G146" i="8"/>
  <c r="F147" i="8"/>
  <c r="E147" i="8"/>
  <c r="G147" i="8"/>
  <c r="F148" i="8"/>
  <c r="E148" i="8"/>
  <c r="G148" i="8"/>
  <c r="F149" i="8"/>
  <c r="E149" i="8"/>
  <c r="G149" i="8"/>
  <c r="F150" i="8"/>
  <c r="E150" i="8"/>
  <c r="G150" i="8"/>
  <c r="F151" i="8"/>
  <c r="E151" i="8"/>
  <c r="G151" i="8"/>
  <c r="F152" i="8"/>
  <c r="E152" i="8"/>
  <c r="G152" i="8"/>
  <c r="F153" i="8"/>
  <c r="E153" i="8"/>
  <c r="G153" i="8"/>
  <c r="F154" i="8"/>
  <c r="E154" i="8"/>
  <c r="G154" i="8"/>
  <c r="F155" i="8"/>
  <c r="E155" i="8"/>
  <c r="G155" i="8"/>
  <c r="F156" i="8"/>
  <c r="E156" i="8"/>
  <c r="G156" i="8"/>
  <c r="F157" i="8"/>
  <c r="E157" i="8"/>
  <c r="G157" i="8"/>
  <c r="F158" i="8"/>
  <c r="E158" i="8"/>
  <c r="G158" i="8"/>
  <c r="F159" i="8"/>
  <c r="E159" i="8"/>
  <c r="G159" i="8"/>
  <c r="F160" i="8"/>
  <c r="E160" i="8"/>
  <c r="G160" i="8"/>
  <c r="F161" i="8"/>
  <c r="E161" i="8"/>
  <c r="G161" i="8"/>
  <c r="F162" i="8"/>
  <c r="E162" i="8"/>
  <c r="G162" i="8"/>
  <c r="F163" i="8"/>
  <c r="E163" i="8"/>
  <c r="G163" i="8"/>
  <c r="F164" i="8"/>
  <c r="E164" i="8"/>
  <c r="G164" i="8"/>
  <c r="F165" i="8"/>
  <c r="E165" i="8"/>
  <c r="G165" i="8"/>
  <c r="F166" i="8"/>
  <c r="E166" i="8"/>
  <c r="G166" i="8"/>
  <c r="F167" i="8"/>
  <c r="E167" i="8"/>
  <c r="G167" i="8"/>
  <c r="F168" i="8"/>
  <c r="E168" i="8"/>
  <c r="G168" i="8"/>
  <c r="F169" i="8"/>
  <c r="E169" i="8"/>
  <c r="G169" i="8"/>
  <c r="F170" i="8"/>
  <c r="E170" i="8"/>
  <c r="G170" i="8"/>
  <c r="F171" i="8"/>
  <c r="E171" i="8"/>
  <c r="G171" i="8"/>
  <c r="F172" i="8"/>
  <c r="E172" i="8"/>
  <c r="G172" i="8"/>
  <c r="F173" i="8"/>
  <c r="E173" i="8"/>
  <c r="G173" i="8"/>
  <c r="F174" i="8"/>
  <c r="E174" i="8"/>
  <c r="G174" i="8"/>
  <c r="F175" i="8"/>
  <c r="E175" i="8"/>
  <c r="G175" i="8"/>
  <c r="F176" i="8"/>
  <c r="E176" i="8"/>
  <c r="G176" i="8"/>
  <c r="F177" i="8"/>
  <c r="E177" i="8"/>
  <c r="G177" i="8"/>
  <c r="F178" i="8"/>
  <c r="E178" i="8"/>
  <c r="G178" i="8"/>
  <c r="F179" i="8"/>
  <c r="E179" i="8"/>
  <c r="G179" i="8"/>
  <c r="F180" i="8"/>
  <c r="E180" i="8"/>
  <c r="G180" i="8"/>
  <c r="F181" i="8"/>
  <c r="E181" i="8"/>
  <c r="G181" i="8"/>
  <c r="F182" i="8"/>
  <c r="E182" i="8"/>
  <c r="G182" i="8"/>
  <c r="F183" i="8"/>
  <c r="E183" i="8"/>
  <c r="G183" i="8"/>
  <c r="F184" i="8"/>
  <c r="E184" i="8"/>
  <c r="G184" i="8"/>
  <c r="F185" i="8"/>
  <c r="E185" i="8"/>
  <c r="G185" i="8"/>
  <c r="F186" i="8"/>
  <c r="E186" i="8"/>
  <c r="G186" i="8"/>
  <c r="F187" i="8"/>
  <c r="E187" i="8"/>
  <c r="G187" i="8"/>
  <c r="F188" i="8"/>
  <c r="E188" i="8"/>
  <c r="G188" i="8"/>
  <c r="F189" i="8"/>
  <c r="E189" i="8"/>
  <c r="G189" i="8"/>
  <c r="F190" i="8"/>
  <c r="E190" i="8"/>
  <c r="G190" i="8"/>
  <c r="F191" i="8"/>
  <c r="E191" i="8"/>
  <c r="G191" i="8"/>
  <c r="F192" i="8"/>
  <c r="E192" i="8"/>
  <c r="G192" i="8"/>
  <c r="F193" i="8"/>
  <c r="E193" i="8"/>
  <c r="G193" i="8"/>
  <c r="F194" i="8"/>
  <c r="E194" i="8"/>
  <c r="G194" i="8"/>
  <c r="F195" i="8"/>
  <c r="E195" i="8"/>
  <c r="G195" i="8"/>
  <c r="F196" i="8"/>
  <c r="E196" i="8"/>
  <c r="G196" i="8"/>
  <c r="F197" i="8"/>
  <c r="E197" i="8"/>
  <c r="G197" i="8"/>
  <c r="F198" i="8"/>
  <c r="E198" i="8"/>
  <c r="G198" i="8"/>
  <c r="F199" i="8"/>
  <c r="E199" i="8"/>
  <c r="G199" i="8"/>
  <c r="F200" i="8"/>
  <c r="E200" i="8"/>
  <c r="G200" i="8"/>
  <c r="F201" i="8"/>
  <c r="E201" i="8"/>
  <c r="G201" i="8"/>
  <c r="F202" i="8"/>
  <c r="E202" i="8"/>
  <c r="G202" i="8"/>
  <c r="F203" i="8"/>
  <c r="E203" i="8"/>
  <c r="G203" i="8"/>
  <c r="F204" i="8"/>
  <c r="E204" i="8"/>
  <c r="G204" i="8"/>
  <c r="F205" i="8"/>
  <c r="E205" i="8"/>
  <c r="G205" i="8"/>
  <c r="F206" i="8"/>
  <c r="E206" i="8"/>
  <c r="G206" i="8"/>
  <c r="F207" i="8"/>
  <c r="E207" i="8"/>
  <c r="G207" i="8"/>
  <c r="F208" i="8"/>
  <c r="E208" i="8"/>
  <c r="G208" i="8"/>
  <c r="F209" i="8"/>
  <c r="E209" i="8"/>
  <c r="G209" i="8"/>
  <c r="F210" i="8"/>
  <c r="E210" i="8"/>
  <c r="G210" i="8"/>
  <c r="F211" i="8"/>
  <c r="E211" i="8"/>
  <c r="G211" i="8"/>
  <c r="F212" i="8"/>
  <c r="E212" i="8"/>
  <c r="G212" i="8"/>
  <c r="F213" i="8"/>
  <c r="E213" i="8"/>
  <c r="G213" i="8"/>
  <c r="F214" i="8"/>
  <c r="E214" i="8"/>
  <c r="G214" i="8"/>
  <c r="F215" i="8"/>
  <c r="E215" i="8"/>
  <c r="G215" i="8"/>
  <c r="F216" i="8"/>
  <c r="E216" i="8"/>
  <c r="G216" i="8"/>
  <c r="F217" i="8"/>
  <c r="E217" i="8"/>
  <c r="G217" i="8"/>
  <c r="F218" i="8"/>
  <c r="E218" i="8"/>
  <c r="G218" i="8"/>
  <c r="F219" i="8"/>
  <c r="E219" i="8"/>
  <c r="G219" i="8"/>
  <c r="F220" i="8"/>
  <c r="E220" i="8"/>
  <c r="G220" i="8"/>
  <c r="F221" i="8"/>
  <c r="E221" i="8"/>
  <c r="G221" i="8"/>
  <c r="F222" i="8"/>
  <c r="E222" i="8"/>
  <c r="G222" i="8"/>
  <c r="F223" i="8"/>
  <c r="E223" i="8"/>
  <c r="G223" i="8"/>
  <c r="F224" i="8"/>
  <c r="E224" i="8"/>
  <c r="G224" i="8"/>
  <c r="F225" i="8"/>
  <c r="E225" i="8"/>
  <c r="G225" i="8"/>
  <c r="F226" i="8"/>
  <c r="E226" i="8"/>
  <c r="G226" i="8"/>
  <c r="F227" i="8"/>
  <c r="E227" i="8"/>
  <c r="G227" i="8"/>
  <c r="F228" i="8"/>
  <c r="E228" i="8"/>
  <c r="G228" i="8"/>
  <c r="F229" i="8"/>
  <c r="E229" i="8"/>
  <c r="G229" i="8"/>
  <c r="F230" i="8"/>
  <c r="E230" i="8"/>
  <c r="G230" i="8"/>
  <c r="F231" i="8"/>
  <c r="E231" i="8"/>
  <c r="G231" i="8"/>
  <c r="F232" i="8"/>
  <c r="E232" i="8"/>
  <c r="G232" i="8"/>
  <c r="F233" i="8"/>
  <c r="E233" i="8"/>
  <c r="G233" i="8"/>
  <c r="F234" i="8"/>
  <c r="E234" i="8"/>
  <c r="G234" i="8"/>
  <c r="F235" i="8"/>
  <c r="E235" i="8"/>
  <c r="G235" i="8"/>
  <c r="F236" i="8"/>
  <c r="E236" i="8"/>
  <c r="G236" i="8"/>
  <c r="F237" i="8"/>
  <c r="E237" i="8"/>
  <c r="G237" i="8"/>
  <c r="F238" i="8"/>
  <c r="E238" i="8"/>
  <c r="G238" i="8"/>
  <c r="F239" i="8"/>
  <c r="E239" i="8"/>
  <c r="G239" i="8"/>
  <c r="F240" i="8"/>
  <c r="E240" i="8"/>
  <c r="G240" i="8"/>
  <c r="F241" i="8"/>
  <c r="E241" i="8"/>
  <c r="G241" i="8"/>
  <c r="F242" i="8"/>
  <c r="E242" i="8"/>
  <c r="G242" i="8"/>
  <c r="F243" i="8"/>
  <c r="E243" i="8"/>
  <c r="G243" i="8"/>
  <c r="F244" i="8"/>
  <c r="E244" i="8"/>
  <c r="G244" i="8"/>
  <c r="F245" i="8"/>
  <c r="E245" i="8"/>
  <c r="G245" i="8"/>
  <c r="F246" i="8"/>
  <c r="E246" i="8"/>
  <c r="G246" i="8"/>
  <c r="F247" i="8"/>
  <c r="E247" i="8"/>
  <c r="G247" i="8"/>
  <c r="F248" i="8"/>
  <c r="E248" i="8"/>
  <c r="G248" i="8"/>
  <c r="F249" i="8"/>
  <c r="E249" i="8"/>
  <c r="G249" i="8"/>
  <c r="F250" i="8"/>
  <c r="E250" i="8"/>
  <c r="G250" i="8"/>
  <c r="F251" i="8"/>
  <c r="E251" i="8"/>
  <c r="G251" i="8"/>
  <c r="F252" i="8"/>
  <c r="E252" i="8"/>
  <c r="G252" i="8"/>
  <c r="F253" i="8"/>
  <c r="E253" i="8"/>
  <c r="G253" i="8"/>
  <c r="F254" i="8"/>
  <c r="E254" i="8"/>
  <c r="G254" i="8"/>
  <c r="F255" i="8"/>
  <c r="E255" i="8"/>
  <c r="G255" i="8"/>
  <c r="F256" i="8"/>
  <c r="E256" i="8"/>
  <c r="G256" i="8"/>
  <c r="F257" i="8"/>
  <c r="E257" i="8"/>
  <c r="G257" i="8"/>
  <c r="F258" i="8"/>
  <c r="E258" i="8"/>
  <c r="G258" i="8"/>
  <c r="F259" i="8"/>
  <c r="E259" i="8"/>
  <c r="G259" i="8"/>
  <c r="F260" i="8"/>
  <c r="E260" i="8"/>
  <c r="G260" i="8"/>
  <c r="F261" i="8"/>
  <c r="E261" i="8"/>
  <c r="G261" i="8"/>
  <c r="F262" i="8"/>
  <c r="E262" i="8"/>
  <c r="G262" i="8"/>
  <c r="F263" i="8"/>
  <c r="E263" i="8"/>
  <c r="G263" i="8"/>
  <c r="F264" i="8"/>
  <c r="E264" i="8"/>
  <c r="G264" i="8"/>
  <c r="F265" i="8"/>
  <c r="E265" i="8"/>
  <c r="G265" i="8"/>
  <c r="F266" i="8"/>
  <c r="E266" i="8"/>
  <c r="G266" i="8"/>
  <c r="F267" i="8"/>
  <c r="E267" i="8"/>
  <c r="G267" i="8"/>
  <c r="F268" i="8"/>
  <c r="E268" i="8"/>
  <c r="G268" i="8"/>
  <c r="F269" i="8"/>
  <c r="E269" i="8"/>
  <c r="G269" i="8"/>
  <c r="F270" i="8"/>
  <c r="E270" i="8"/>
  <c r="G270" i="8"/>
  <c r="F271" i="8"/>
  <c r="E271" i="8"/>
  <c r="G271" i="8"/>
  <c r="F272" i="8"/>
  <c r="E272" i="8"/>
  <c r="G272" i="8"/>
  <c r="F273" i="8"/>
  <c r="E273" i="8"/>
  <c r="G273" i="8"/>
  <c r="F274" i="8"/>
  <c r="E274" i="8"/>
  <c r="G274" i="8"/>
  <c r="F275" i="8"/>
  <c r="E275" i="8"/>
  <c r="G275" i="8"/>
  <c r="F276" i="8"/>
  <c r="E276" i="8"/>
  <c r="G276" i="8"/>
  <c r="F277" i="8"/>
  <c r="E277" i="8"/>
  <c r="G277" i="8"/>
  <c r="F278" i="8"/>
  <c r="E278" i="8"/>
  <c r="G278" i="8"/>
  <c r="F279" i="8"/>
  <c r="E279" i="8"/>
  <c r="G279" i="8"/>
  <c r="F280" i="8"/>
  <c r="E280" i="8"/>
  <c r="G280" i="8"/>
  <c r="F281" i="8"/>
  <c r="E281" i="8"/>
  <c r="G281" i="8"/>
  <c r="F282" i="8"/>
  <c r="E282" i="8"/>
  <c r="G282" i="8"/>
  <c r="F283" i="8"/>
  <c r="E283" i="8"/>
  <c r="G283" i="8"/>
  <c r="F284" i="8"/>
  <c r="E284" i="8"/>
  <c r="G284" i="8"/>
  <c r="F285" i="8"/>
  <c r="E285" i="8"/>
  <c r="G285" i="8"/>
  <c r="F286" i="8"/>
  <c r="E286" i="8"/>
  <c r="G286" i="8"/>
  <c r="F287" i="8"/>
  <c r="E287" i="8"/>
  <c r="G287" i="8"/>
  <c r="F288" i="8"/>
  <c r="E288" i="8"/>
  <c r="G288" i="8"/>
  <c r="F289" i="8"/>
  <c r="E289" i="8"/>
  <c r="G289" i="8"/>
  <c r="F290" i="8"/>
  <c r="E290" i="8"/>
  <c r="G290" i="8"/>
  <c r="F291" i="8"/>
  <c r="E291" i="8"/>
  <c r="G291" i="8"/>
  <c r="F292" i="8"/>
  <c r="E292" i="8"/>
  <c r="G292" i="8"/>
  <c r="F293" i="8"/>
  <c r="E293" i="8"/>
  <c r="G293" i="8"/>
  <c r="F294" i="8"/>
  <c r="E294" i="8"/>
  <c r="G294" i="8"/>
  <c r="F295" i="8"/>
  <c r="E295" i="8"/>
  <c r="G295" i="8"/>
  <c r="F296" i="8"/>
  <c r="E296" i="8"/>
  <c r="G296" i="8"/>
  <c r="F297" i="8"/>
  <c r="E297" i="8"/>
  <c r="G297" i="8"/>
  <c r="F298" i="8"/>
  <c r="E298" i="8"/>
  <c r="G298" i="8"/>
  <c r="F299" i="8"/>
  <c r="E299" i="8"/>
  <c r="G299" i="8"/>
  <c r="F300" i="8"/>
  <c r="E300" i="8"/>
  <c r="G300" i="8"/>
  <c r="F301" i="8"/>
  <c r="E301" i="8"/>
  <c r="G301" i="8"/>
  <c r="F302" i="8"/>
  <c r="E302" i="8"/>
  <c r="G302" i="8"/>
  <c r="F303" i="8"/>
  <c r="E303" i="8"/>
  <c r="G303" i="8"/>
  <c r="F304" i="8"/>
  <c r="E304" i="8"/>
  <c r="G304" i="8"/>
  <c r="F305" i="8"/>
  <c r="E305" i="8"/>
  <c r="G305" i="8"/>
  <c r="F306" i="8"/>
  <c r="E306" i="8"/>
  <c r="G306" i="8"/>
  <c r="F307" i="8"/>
  <c r="E307" i="8"/>
  <c r="G307" i="8"/>
  <c r="F308" i="8"/>
  <c r="E308" i="8"/>
  <c r="G308" i="8"/>
  <c r="F309" i="8"/>
  <c r="E309" i="8"/>
  <c r="G309" i="8"/>
  <c r="F310" i="8"/>
  <c r="E310" i="8"/>
  <c r="G310" i="8"/>
  <c r="F311" i="8"/>
  <c r="E311" i="8"/>
  <c r="G311" i="8"/>
  <c r="F312" i="8"/>
  <c r="E312" i="8"/>
  <c r="G312" i="8"/>
  <c r="F313" i="8"/>
  <c r="E313" i="8"/>
  <c r="G313" i="8"/>
  <c r="F314" i="8"/>
  <c r="E314" i="8"/>
  <c r="G314" i="8"/>
  <c r="F315" i="8"/>
  <c r="E315" i="8"/>
  <c r="G315" i="8"/>
  <c r="F316" i="8"/>
  <c r="E316" i="8"/>
  <c r="G316" i="8"/>
  <c r="F317" i="8"/>
  <c r="E317" i="8"/>
  <c r="G317" i="8"/>
  <c r="F318" i="8"/>
  <c r="E318" i="8"/>
  <c r="G318" i="8"/>
  <c r="F319" i="8"/>
  <c r="E319" i="8"/>
  <c r="G319" i="8"/>
  <c r="F320" i="8"/>
  <c r="E320" i="8"/>
  <c r="G320" i="8"/>
  <c r="F321" i="8"/>
  <c r="E321" i="8"/>
  <c r="G321" i="8"/>
  <c r="F322" i="8"/>
  <c r="E322" i="8"/>
  <c r="G322" i="8"/>
  <c r="F323" i="8"/>
  <c r="E323" i="8"/>
  <c r="G323" i="8"/>
  <c r="F324" i="8"/>
  <c r="E324" i="8"/>
  <c r="G324" i="8"/>
  <c r="F325" i="8"/>
  <c r="E325" i="8"/>
  <c r="G325" i="8"/>
  <c r="F326" i="8"/>
  <c r="E326" i="8"/>
  <c r="G326" i="8"/>
  <c r="F327" i="8"/>
  <c r="E327" i="8"/>
  <c r="G327" i="8"/>
  <c r="F328" i="8"/>
  <c r="E328" i="8"/>
  <c r="G328" i="8"/>
  <c r="F329" i="8"/>
  <c r="E329" i="8"/>
  <c r="G329" i="8"/>
  <c r="F330" i="8"/>
  <c r="E330" i="8"/>
  <c r="G330" i="8"/>
  <c r="F331" i="8"/>
  <c r="E331" i="8"/>
  <c r="G331" i="8"/>
  <c r="F332" i="8"/>
  <c r="E332" i="8"/>
  <c r="G332" i="8"/>
  <c r="F333" i="8"/>
  <c r="E333" i="8"/>
  <c r="G333" i="8"/>
  <c r="F334" i="8"/>
  <c r="E334" i="8"/>
  <c r="G334" i="8"/>
  <c r="F335" i="8"/>
  <c r="E335" i="8"/>
  <c r="G335" i="8"/>
  <c r="F336" i="8"/>
  <c r="E336" i="8"/>
  <c r="G336" i="8"/>
  <c r="F337" i="8"/>
  <c r="E337" i="8"/>
  <c r="G337" i="8"/>
  <c r="F338" i="8"/>
  <c r="E338" i="8"/>
  <c r="G338" i="8"/>
  <c r="F339" i="8"/>
  <c r="E339" i="8"/>
  <c r="G339" i="8"/>
  <c r="F340" i="8"/>
  <c r="E340" i="8"/>
  <c r="G340" i="8"/>
  <c r="F341" i="8"/>
  <c r="E341" i="8"/>
  <c r="G341" i="8"/>
  <c r="F342" i="8"/>
  <c r="E342" i="8"/>
  <c r="G342" i="8"/>
  <c r="F343" i="8"/>
  <c r="E343" i="8"/>
  <c r="G343" i="8"/>
  <c r="F344" i="8"/>
  <c r="E344" i="8"/>
  <c r="G344" i="8"/>
  <c r="F345" i="8"/>
  <c r="E345" i="8"/>
  <c r="G345" i="8"/>
  <c r="F346" i="8"/>
  <c r="E346" i="8"/>
  <c r="G346" i="8"/>
  <c r="F347" i="8"/>
  <c r="E347" i="8"/>
  <c r="G347" i="8"/>
  <c r="F348" i="8"/>
  <c r="E348" i="8"/>
  <c r="G348" i="8"/>
  <c r="F349" i="8"/>
  <c r="E349" i="8"/>
  <c r="G349" i="8"/>
  <c r="F350" i="8"/>
  <c r="E350" i="8"/>
  <c r="G350" i="8"/>
  <c r="F351" i="8"/>
  <c r="E351" i="8"/>
  <c r="G351" i="8"/>
  <c r="F352" i="8"/>
  <c r="E352" i="8"/>
  <c r="G352" i="8"/>
  <c r="F353" i="8"/>
  <c r="E353" i="8"/>
  <c r="G353" i="8"/>
  <c r="F354" i="8"/>
  <c r="E354" i="8"/>
  <c r="G354" i="8"/>
  <c r="F355" i="8"/>
  <c r="E355" i="8"/>
  <c r="G355" i="8"/>
  <c r="F356" i="8"/>
  <c r="E356" i="8"/>
  <c r="G356" i="8"/>
  <c r="F357" i="8"/>
  <c r="E357" i="8"/>
  <c r="G357" i="8"/>
  <c r="F358" i="8"/>
  <c r="E358" i="8"/>
  <c r="G358" i="8"/>
  <c r="F359" i="8"/>
  <c r="E359" i="8"/>
  <c r="G359" i="8"/>
  <c r="F360" i="8"/>
  <c r="E360" i="8"/>
  <c r="G360" i="8"/>
  <c r="F361" i="8"/>
  <c r="E361" i="8"/>
  <c r="G361" i="8"/>
  <c r="F362" i="8"/>
  <c r="E362" i="8"/>
  <c r="G362" i="8"/>
  <c r="F363" i="8"/>
  <c r="E363" i="8"/>
  <c r="G363" i="8"/>
  <c r="F364" i="8"/>
  <c r="E364" i="8"/>
  <c r="G364" i="8"/>
  <c r="F365" i="8"/>
  <c r="E365" i="8"/>
  <c r="G365" i="8"/>
  <c r="F366" i="8"/>
  <c r="E366" i="8"/>
  <c r="G366" i="8"/>
  <c r="F367" i="8"/>
  <c r="E367" i="8"/>
  <c r="G367" i="8"/>
  <c r="F368" i="8"/>
  <c r="E368" i="8"/>
  <c r="G368" i="8"/>
  <c r="F369" i="8"/>
  <c r="E369" i="8"/>
  <c r="G369" i="8"/>
  <c r="F370" i="8"/>
  <c r="E370" i="8"/>
  <c r="G370" i="8"/>
  <c r="F371" i="8"/>
  <c r="E371" i="8"/>
  <c r="G371" i="8"/>
  <c r="F372" i="8"/>
  <c r="E372" i="8"/>
  <c r="G372" i="8"/>
  <c r="F373" i="8"/>
  <c r="E373" i="8"/>
  <c r="G373" i="8"/>
  <c r="F374" i="8"/>
  <c r="E374" i="8"/>
  <c r="G374" i="8"/>
  <c r="F375" i="8"/>
  <c r="E375" i="8"/>
  <c r="G375" i="8"/>
  <c r="F376" i="8"/>
  <c r="E376" i="8"/>
  <c r="G376" i="8"/>
  <c r="F377" i="8"/>
  <c r="E377" i="8"/>
  <c r="G377" i="8"/>
  <c r="F378" i="8"/>
  <c r="E378" i="8"/>
  <c r="G378" i="8"/>
  <c r="F379" i="8"/>
  <c r="E379" i="8"/>
  <c r="G379" i="8"/>
  <c r="F380" i="8"/>
  <c r="E380" i="8"/>
  <c r="G380" i="8"/>
  <c r="F381" i="8"/>
  <c r="E381" i="8"/>
  <c r="G381" i="8"/>
  <c r="F382" i="8"/>
  <c r="E382" i="8"/>
  <c r="G382" i="8"/>
  <c r="F383" i="8"/>
  <c r="E383" i="8"/>
  <c r="G383" i="8"/>
  <c r="F384" i="8"/>
  <c r="E384" i="8"/>
  <c r="G384" i="8"/>
  <c r="F385" i="8"/>
  <c r="E385" i="8"/>
  <c r="G385" i="8"/>
  <c r="F386" i="8"/>
  <c r="E386" i="8"/>
  <c r="G386" i="8"/>
  <c r="F387" i="8"/>
  <c r="E387" i="8"/>
  <c r="G387" i="8"/>
  <c r="F388" i="8"/>
  <c r="E388" i="8"/>
  <c r="G388" i="8"/>
  <c r="F389" i="8"/>
  <c r="E389" i="8"/>
  <c r="G389" i="8"/>
  <c r="F390" i="8"/>
  <c r="E390" i="8"/>
  <c r="G390" i="8"/>
  <c r="F391" i="8"/>
  <c r="E391" i="8"/>
  <c r="G391" i="8"/>
  <c r="F392" i="8"/>
  <c r="E392" i="8"/>
  <c r="G392" i="8"/>
  <c r="F393" i="8"/>
  <c r="E393" i="8"/>
  <c r="G393" i="8"/>
  <c r="F394" i="8"/>
  <c r="E394" i="8"/>
  <c r="G394" i="8"/>
  <c r="F395" i="8"/>
  <c r="E395" i="8"/>
  <c r="G395" i="8"/>
  <c r="F396" i="8"/>
  <c r="E396" i="8"/>
  <c r="G396" i="8"/>
  <c r="F397" i="8"/>
  <c r="E397" i="8"/>
  <c r="G397" i="8"/>
  <c r="F398" i="8"/>
  <c r="E398" i="8"/>
  <c r="G398" i="8"/>
  <c r="F399" i="8"/>
  <c r="E399" i="8"/>
  <c r="G399" i="8"/>
  <c r="F400" i="8"/>
  <c r="E400" i="8"/>
  <c r="G400" i="8"/>
  <c r="F401" i="8"/>
  <c r="E401" i="8"/>
  <c r="G401" i="8"/>
  <c r="F402" i="8"/>
  <c r="E402" i="8"/>
  <c r="G402" i="8"/>
  <c r="F403" i="8"/>
  <c r="E403" i="8"/>
  <c r="G403" i="8"/>
  <c r="F404" i="8"/>
  <c r="E404" i="8"/>
  <c r="G404" i="8"/>
  <c r="F405" i="8"/>
  <c r="E405" i="8"/>
  <c r="G405" i="8"/>
  <c r="F406" i="8"/>
  <c r="E406" i="8"/>
  <c r="G406" i="8"/>
  <c r="F407" i="8"/>
  <c r="E407" i="8"/>
  <c r="G407" i="8"/>
  <c r="F408" i="8"/>
  <c r="E408" i="8"/>
  <c r="G408" i="8"/>
  <c r="F409" i="8"/>
  <c r="E409" i="8"/>
  <c r="G409" i="8"/>
  <c r="F410" i="8"/>
  <c r="E410" i="8"/>
  <c r="G410" i="8"/>
  <c r="F411" i="8"/>
  <c r="E411" i="8"/>
  <c r="G411" i="8"/>
  <c r="F412" i="8"/>
  <c r="E412" i="8"/>
  <c r="G412" i="8"/>
  <c r="F413" i="8"/>
  <c r="E413" i="8"/>
  <c r="G413" i="8"/>
  <c r="F414" i="8"/>
  <c r="E414" i="8"/>
  <c r="G414" i="8"/>
  <c r="F415" i="8"/>
  <c r="E415" i="8"/>
  <c r="G415" i="8"/>
  <c r="F416" i="8"/>
  <c r="E416" i="8"/>
  <c r="G416" i="8"/>
  <c r="F417" i="8"/>
  <c r="E417" i="8"/>
  <c r="G417" i="8"/>
  <c r="F418" i="8"/>
  <c r="E418" i="8"/>
  <c r="G418" i="8"/>
  <c r="F419" i="8"/>
  <c r="E419" i="8"/>
  <c r="G419" i="8"/>
  <c r="F420" i="8"/>
  <c r="E420" i="8"/>
  <c r="G420" i="8"/>
  <c r="F421" i="8"/>
  <c r="E421" i="8"/>
  <c r="G421" i="8"/>
  <c r="F422" i="8"/>
  <c r="E422" i="8"/>
  <c r="G422" i="8"/>
  <c r="F423" i="8"/>
  <c r="E423" i="8"/>
  <c r="G423" i="8"/>
  <c r="F424" i="8"/>
  <c r="E424" i="8"/>
  <c r="G424" i="8"/>
  <c r="F425" i="8"/>
  <c r="E425" i="8"/>
  <c r="G425" i="8"/>
  <c r="F426" i="8"/>
  <c r="E426" i="8"/>
  <c r="G426" i="8"/>
  <c r="F427" i="8"/>
  <c r="E427" i="8"/>
  <c r="G427" i="8"/>
  <c r="F428" i="8"/>
  <c r="E428" i="8"/>
  <c r="G428" i="8"/>
  <c r="F429" i="8"/>
  <c r="E429" i="8"/>
  <c r="G429" i="8"/>
  <c r="F430" i="8"/>
  <c r="E430" i="8"/>
  <c r="G430" i="8"/>
  <c r="F431" i="8"/>
  <c r="E431" i="8"/>
  <c r="G431" i="8"/>
  <c r="F432" i="8"/>
  <c r="E432" i="8"/>
  <c r="G432" i="8"/>
  <c r="F433" i="8"/>
  <c r="E433" i="8"/>
  <c r="G433" i="8"/>
  <c r="F434" i="8"/>
  <c r="E434" i="8"/>
  <c r="G434" i="8"/>
  <c r="F435" i="8"/>
  <c r="E435" i="8"/>
  <c r="G435" i="8"/>
  <c r="F436" i="8"/>
  <c r="E436" i="8"/>
  <c r="G436" i="8"/>
  <c r="F437" i="8"/>
  <c r="E437" i="8"/>
  <c r="G437" i="8"/>
  <c r="F438" i="8"/>
  <c r="E438" i="8"/>
  <c r="G438" i="8"/>
  <c r="F439" i="8"/>
  <c r="E439" i="8"/>
  <c r="G439" i="8"/>
  <c r="F440" i="8"/>
  <c r="E440" i="8"/>
  <c r="G440" i="8"/>
  <c r="F441" i="8"/>
  <c r="E441" i="8"/>
  <c r="G441" i="8"/>
  <c r="F442" i="8"/>
  <c r="E442" i="8"/>
  <c r="G442" i="8"/>
  <c r="F443" i="8"/>
  <c r="E443" i="8"/>
  <c r="G443" i="8"/>
  <c r="F444" i="8"/>
  <c r="E444" i="8"/>
  <c r="G444" i="8"/>
  <c r="F445" i="8"/>
  <c r="E445" i="8"/>
  <c r="G445" i="8"/>
  <c r="F446" i="8"/>
  <c r="E446" i="8"/>
  <c r="G446" i="8"/>
  <c r="F447" i="8"/>
  <c r="E447" i="8"/>
  <c r="G447" i="8"/>
  <c r="F448" i="8"/>
  <c r="E448" i="8"/>
  <c r="G448" i="8"/>
  <c r="F449" i="8"/>
  <c r="E449" i="8"/>
  <c r="G449" i="8"/>
  <c r="F450" i="8"/>
  <c r="E450" i="8"/>
  <c r="G450" i="8"/>
  <c r="F451" i="8"/>
  <c r="E451" i="8"/>
  <c r="G451" i="8"/>
  <c r="F452" i="8"/>
  <c r="E452" i="8"/>
  <c r="G452" i="8"/>
  <c r="F453" i="8"/>
  <c r="E453" i="8"/>
  <c r="G453" i="8"/>
  <c r="F454" i="8"/>
  <c r="E454" i="8"/>
  <c r="G454" i="8"/>
  <c r="F455" i="8"/>
  <c r="E455" i="8"/>
  <c r="G455" i="8"/>
  <c r="F456" i="8"/>
  <c r="E456" i="8"/>
  <c r="G456" i="8"/>
  <c r="F457" i="8"/>
  <c r="E457" i="8"/>
  <c r="G457" i="8"/>
  <c r="F458" i="8"/>
  <c r="E458" i="8"/>
  <c r="G458" i="8"/>
  <c r="F459" i="8"/>
  <c r="E459" i="8"/>
  <c r="G459" i="8"/>
  <c r="F460" i="8"/>
  <c r="E460" i="8"/>
  <c r="G460" i="8"/>
  <c r="F461" i="8"/>
  <c r="E461" i="8"/>
  <c r="G461" i="8"/>
  <c r="F462" i="8"/>
  <c r="E462" i="8"/>
  <c r="G462" i="8"/>
  <c r="F463" i="8"/>
  <c r="E463" i="8"/>
  <c r="G463" i="8"/>
  <c r="F464" i="8"/>
  <c r="E464" i="8"/>
  <c r="G464" i="8"/>
  <c r="F465" i="8"/>
  <c r="E465" i="8"/>
  <c r="G465" i="8"/>
  <c r="F466" i="8"/>
  <c r="E466" i="8"/>
  <c r="G466" i="8"/>
  <c r="F467" i="8"/>
  <c r="E467" i="8"/>
  <c r="G467" i="8"/>
  <c r="F468" i="8"/>
  <c r="E468" i="8"/>
  <c r="G468" i="8"/>
  <c r="F469" i="8"/>
  <c r="E469" i="8"/>
  <c r="G469" i="8"/>
  <c r="F470" i="8"/>
  <c r="E470" i="8"/>
  <c r="G470" i="8"/>
  <c r="F471" i="8"/>
  <c r="E471" i="8"/>
  <c r="G471" i="8"/>
  <c r="F472" i="8"/>
  <c r="E472" i="8"/>
  <c r="G472" i="8"/>
  <c r="F473" i="8"/>
  <c r="E473" i="8"/>
  <c r="G473" i="8"/>
  <c r="F474" i="8"/>
  <c r="E474" i="8"/>
  <c r="G474" i="8"/>
  <c r="F475" i="8"/>
  <c r="E475" i="8"/>
  <c r="G475" i="8"/>
  <c r="F476" i="8"/>
  <c r="E476" i="8"/>
  <c r="G476" i="8"/>
  <c r="F477" i="8"/>
  <c r="E477" i="8"/>
  <c r="G477" i="8"/>
  <c r="F478" i="8"/>
  <c r="E478" i="8"/>
  <c r="G478" i="8"/>
  <c r="F479" i="8"/>
  <c r="E479" i="8"/>
  <c r="G479" i="8"/>
  <c r="F480" i="8"/>
  <c r="E480" i="8"/>
  <c r="G480" i="8"/>
  <c r="F481" i="8"/>
  <c r="E481" i="8"/>
  <c r="G481" i="8"/>
  <c r="F482" i="8"/>
  <c r="E482" i="8"/>
  <c r="G482" i="8"/>
  <c r="F483" i="8"/>
  <c r="E483" i="8"/>
  <c r="G483" i="8"/>
  <c r="F484" i="8"/>
  <c r="E484" i="8"/>
  <c r="G484" i="8"/>
  <c r="F485" i="8"/>
  <c r="E485" i="8"/>
  <c r="G485" i="8"/>
  <c r="F486" i="8"/>
  <c r="E486" i="8"/>
  <c r="G486" i="8"/>
  <c r="F487" i="8"/>
  <c r="E487" i="8"/>
  <c r="G487" i="8"/>
  <c r="F488" i="8"/>
  <c r="E488" i="8"/>
  <c r="G488" i="8"/>
  <c r="F489" i="8"/>
  <c r="E489" i="8"/>
  <c r="G489" i="8"/>
  <c r="F490" i="8"/>
  <c r="E490" i="8"/>
  <c r="G490" i="8"/>
  <c r="F491" i="8"/>
  <c r="E491" i="8"/>
  <c r="G491" i="8"/>
  <c r="F492" i="8"/>
  <c r="E492" i="8"/>
  <c r="G492" i="8"/>
  <c r="F493" i="8"/>
  <c r="E493" i="8"/>
  <c r="G493" i="8"/>
  <c r="F494" i="8"/>
  <c r="E494" i="8"/>
  <c r="G494" i="8"/>
  <c r="F495" i="8"/>
  <c r="E495" i="8"/>
  <c r="G495" i="8"/>
  <c r="F496" i="8"/>
  <c r="E496" i="8"/>
  <c r="G496" i="8"/>
  <c r="F497" i="8"/>
  <c r="E497" i="8"/>
  <c r="G497" i="8"/>
  <c r="F498" i="8"/>
  <c r="E498" i="8"/>
  <c r="G498" i="8"/>
  <c r="F499" i="8"/>
  <c r="E499" i="8"/>
  <c r="G499" i="8"/>
  <c r="F500" i="8"/>
  <c r="E500" i="8"/>
  <c r="G500" i="8"/>
  <c r="F501" i="8"/>
  <c r="E501" i="8"/>
  <c r="G501" i="8"/>
  <c r="F502" i="8"/>
  <c r="E502" i="8"/>
  <c r="G502" i="8"/>
  <c r="F503" i="8"/>
  <c r="E503" i="8"/>
  <c r="G503" i="8"/>
  <c r="F504" i="8"/>
  <c r="E504" i="8"/>
  <c r="G504" i="8"/>
  <c r="F505" i="8"/>
  <c r="E505" i="8"/>
  <c r="G505" i="8"/>
  <c r="F506" i="8"/>
  <c r="E506" i="8"/>
  <c r="G506" i="8"/>
  <c r="F507" i="8"/>
  <c r="E507" i="8"/>
  <c r="G507" i="8"/>
  <c r="F508" i="8"/>
  <c r="E508" i="8"/>
  <c r="G508" i="8"/>
  <c r="F509" i="8"/>
  <c r="E509" i="8"/>
  <c r="G509" i="8"/>
  <c r="F510" i="8"/>
  <c r="E510" i="8"/>
  <c r="G510" i="8"/>
  <c r="F511" i="8"/>
  <c r="E511" i="8"/>
  <c r="G511" i="8"/>
  <c r="F512" i="8"/>
  <c r="E512" i="8"/>
  <c r="G512" i="8"/>
  <c r="F513" i="8"/>
  <c r="E513" i="8"/>
  <c r="G513" i="8"/>
  <c r="F514" i="8"/>
  <c r="E514" i="8"/>
  <c r="G514" i="8"/>
  <c r="F515" i="8"/>
  <c r="E515" i="8"/>
  <c r="G515" i="8"/>
  <c r="F516" i="8"/>
  <c r="E516" i="8"/>
  <c r="G516" i="8"/>
  <c r="F517" i="8"/>
  <c r="E517" i="8"/>
  <c r="G517" i="8"/>
  <c r="F518" i="8"/>
  <c r="E518" i="8"/>
  <c r="G518" i="8"/>
  <c r="F519" i="8"/>
  <c r="E519" i="8"/>
  <c r="G519" i="8"/>
  <c r="F520" i="8"/>
  <c r="E520" i="8"/>
  <c r="G520" i="8"/>
  <c r="F521" i="8"/>
  <c r="E521" i="8"/>
  <c r="G521" i="8"/>
  <c r="F522" i="8"/>
  <c r="E522" i="8"/>
  <c r="G522" i="8"/>
  <c r="F523" i="8"/>
  <c r="E523" i="8"/>
  <c r="G523" i="8"/>
  <c r="F524" i="8"/>
  <c r="E524" i="8"/>
  <c r="G524" i="8"/>
  <c r="F525" i="8"/>
  <c r="E525" i="8"/>
  <c r="G525" i="8"/>
  <c r="F526" i="8"/>
  <c r="E526" i="8"/>
  <c r="G526" i="8"/>
  <c r="F527" i="8"/>
  <c r="E527" i="8"/>
  <c r="G527" i="8"/>
  <c r="F528" i="8"/>
  <c r="E528" i="8"/>
  <c r="G528" i="8"/>
  <c r="F529" i="8"/>
  <c r="E529" i="8"/>
  <c r="G529" i="8"/>
  <c r="F530" i="8"/>
  <c r="E530" i="8"/>
  <c r="G530" i="8"/>
  <c r="F531" i="8"/>
  <c r="E531" i="8"/>
  <c r="G531" i="8"/>
  <c r="F532" i="8"/>
  <c r="E532" i="8"/>
  <c r="G532" i="8"/>
  <c r="F533" i="8"/>
  <c r="E533" i="8"/>
  <c r="G533" i="8"/>
  <c r="F534" i="8"/>
  <c r="E534" i="8"/>
  <c r="G534" i="8"/>
  <c r="F535" i="8"/>
  <c r="E535" i="8"/>
  <c r="G535" i="8"/>
  <c r="F536" i="8"/>
  <c r="E536" i="8"/>
  <c r="G536" i="8"/>
  <c r="F537" i="8"/>
  <c r="E537" i="8"/>
  <c r="G537" i="8"/>
  <c r="F538" i="8"/>
  <c r="E538" i="8"/>
  <c r="G538" i="8"/>
  <c r="F539" i="8"/>
  <c r="E539" i="8"/>
  <c r="G539" i="8"/>
  <c r="F540" i="8"/>
  <c r="E540" i="8"/>
  <c r="G540" i="8"/>
  <c r="F541" i="8"/>
  <c r="E541" i="8"/>
  <c r="G541" i="8"/>
  <c r="F542" i="8"/>
  <c r="E542" i="8"/>
  <c r="G542" i="8"/>
  <c r="F543" i="8"/>
  <c r="E543" i="8"/>
  <c r="G543" i="8"/>
  <c r="F544" i="8"/>
  <c r="E544" i="8"/>
  <c r="G544" i="8"/>
  <c r="F545" i="8"/>
  <c r="E545" i="8"/>
  <c r="G545" i="8"/>
  <c r="F546" i="8"/>
  <c r="E546" i="8"/>
  <c r="G546" i="8"/>
  <c r="F547" i="8"/>
  <c r="E547" i="8"/>
  <c r="G547" i="8"/>
  <c r="F548" i="8"/>
  <c r="E548" i="8"/>
  <c r="G548" i="8"/>
  <c r="F549" i="8"/>
  <c r="E549" i="8"/>
  <c r="G549" i="8"/>
  <c r="F550" i="8"/>
  <c r="E550" i="8"/>
  <c r="G550" i="8"/>
  <c r="F551" i="8"/>
  <c r="E551" i="8"/>
  <c r="G551" i="8"/>
  <c r="F552" i="8"/>
  <c r="E552" i="8"/>
  <c r="G552" i="8"/>
  <c r="F553" i="8"/>
  <c r="E553" i="8"/>
  <c r="G553" i="8"/>
  <c r="F554" i="8"/>
  <c r="E554" i="8"/>
  <c r="G554" i="8"/>
  <c r="F555" i="8"/>
  <c r="E555" i="8"/>
  <c r="G555" i="8"/>
  <c r="F556" i="8"/>
  <c r="E556" i="8"/>
  <c r="G556" i="8"/>
  <c r="F557" i="8"/>
  <c r="E557" i="8"/>
  <c r="G557" i="8"/>
  <c r="F558" i="8"/>
  <c r="E558" i="8"/>
  <c r="G558" i="8"/>
  <c r="F559" i="8"/>
  <c r="E559" i="8"/>
  <c r="G559" i="8"/>
  <c r="F560" i="8"/>
  <c r="E560" i="8"/>
  <c r="G560" i="8"/>
  <c r="F561" i="8"/>
  <c r="E561" i="8"/>
  <c r="G561" i="8"/>
  <c r="F562" i="8"/>
  <c r="E562" i="8"/>
  <c r="G562" i="8"/>
  <c r="F563" i="8"/>
  <c r="E563" i="8"/>
  <c r="G563" i="8"/>
  <c r="F564" i="8"/>
  <c r="E564" i="8"/>
  <c r="G564" i="8"/>
  <c r="F565" i="8"/>
  <c r="E565" i="8"/>
  <c r="G565" i="8"/>
  <c r="F566" i="8"/>
  <c r="E566" i="8"/>
  <c r="G566" i="8"/>
  <c r="F567" i="8"/>
  <c r="E567" i="8"/>
  <c r="G567" i="8"/>
  <c r="F568" i="8"/>
  <c r="E568" i="8"/>
  <c r="G568" i="8"/>
  <c r="F569" i="8"/>
  <c r="E569" i="8"/>
  <c r="G569" i="8"/>
  <c r="F570" i="8"/>
  <c r="E570" i="8"/>
  <c r="G570" i="8"/>
  <c r="F571" i="8"/>
  <c r="E571" i="8"/>
  <c r="G571" i="8"/>
  <c r="F572" i="8"/>
  <c r="E572" i="8"/>
  <c r="G572" i="8"/>
  <c r="F573" i="8"/>
  <c r="E573" i="8"/>
  <c r="G573" i="8"/>
  <c r="F574" i="8"/>
  <c r="E574" i="8"/>
  <c r="G574" i="8"/>
  <c r="F575" i="8"/>
  <c r="E575" i="8"/>
  <c r="G575" i="8"/>
  <c r="F576" i="8"/>
  <c r="E576" i="8"/>
  <c r="G576" i="8"/>
  <c r="F577" i="8"/>
  <c r="E577" i="8"/>
  <c r="G577" i="8"/>
  <c r="F578" i="8"/>
  <c r="E578" i="8"/>
  <c r="G578" i="8"/>
  <c r="F579" i="8"/>
  <c r="E579" i="8"/>
  <c r="G579" i="8"/>
  <c r="F580" i="8"/>
  <c r="E580" i="8"/>
  <c r="G580" i="8"/>
  <c r="F581" i="8"/>
  <c r="E581" i="8"/>
  <c r="G581" i="8"/>
  <c r="F582" i="8"/>
  <c r="E582" i="8"/>
  <c r="G582" i="8"/>
  <c r="F583" i="8"/>
  <c r="E583" i="8"/>
  <c r="G583" i="8"/>
  <c r="F584" i="8"/>
  <c r="E584" i="8"/>
  <c r="G584" i="8"/>
  <c r="F585" i="8"/>
  <c r="E585" i="8"/>
  <c r="G585" i="8"/>
  <c r="F586" i="8"/>
  <c r="E586" i="8"/>
  <c r="G586" i="8"/>
  <c r="F587" i="8"/>
  <c r="E587" i="8"/>
  <c r="G587" i="8"/>
  <c r="F588" i="8"/>
  <c r="E588" i="8"/>
  <c r="G588" i="8"/>
  <c r="F589" i="8"/>
  <c r="E589" i="8"/>
  <c r="G589" i="8"/>
  <c r="F590" i="8"/>
  <c r="E590" i="8"/>
  <c r="G590" i="8"/>
  <c r="F591" i="8"/>
  <c r="E591" i="8"/>
  <c r="G591" i="8"/>
  <c r="F592" i="8"/>
  <c r="E592" i="8"/>
  <c r="G592" i="8"/>
  <c r="F593" i="8"/>
  <c r="E593" i="8"/>
  <c r="G593" i="8"/>
  <c r="F594" i="8"/>
  <c r="E594" i="8"/>
  <c r="G594" i="8"/>
  <c r="F595" i="8"/>
  <c r="E595" i="8"/>
  <c r="G595" i="8"/>
  <c r="F596" i="8"/>
  <c r="E596" i="8"/>
  <c r="G596" i="8"/>
  <c r="F597" i="8"/>
  <c r="E597" i="8"/>
  <c r="G597" i="8"/>
  <c r="F598" i="8"/>
  <c r="E598" i="8"/>
  <c r="G598" i="8"/>
  <c r="F599" i="8"/>
  <c r="E599" i="8"/>
  <c r="G599" i="8"/>
  <c r="F600" i="8"/>
  <c r="E600" i="8"/>
  <c r="G600" i="8"/>
  <c r="F601" i="8"/>
  <c r="E601" i="8"/>
  <c r="G601" i="8"/>
  <c r="F602" i="8"/>
  <c r="E602" i="8"/>
  <c r="G602" i="8"/>
  <c r="F603" i="8"/>
  <c r="E603" i="8"/>
  <c r="G603" i="8"/>
  <c r="F604" i="8"/>
  <c r="E604" i="8"/>
  <c r="G604" i="8"/>
  <c r="F605" i="8"/>
  <c r="E605" i="8"/>
  <c r="G605" i="8"/>
  <c r="F606" i="8"/>
  <c r="E606" i="8"/>
  <c r="G606" i="8"/>
  <c r="F607" i="8"/>
  <c r="E607" i="8"/>
  <c r="G607" i="8"/>
  <c r="F608" i="8"/>
  <c r="E608" i="8"/>
  <c r="G608" i="8"/>
  <c r="F609" i="8"/>
  <c r="E609" i="8"/>
  <c r="G609" i="8"/>
  <c r="F610" i="8"/>
  <c r="E610" i="8"/>
  <c r="G610" i="8"/>
  <c r="F611" i="8"/>
  <c r="E611" i="8"/>
  <c r="G611" i="8"/>
  <c r="F612" i="8"/>
  <c r="E612" i="8"/>
  <c r="G612" i="8"/>
  <c r="F613" i="8"/>
  <c r="E613" i="8"/>
  <c r="G613" i="8"/>
  <c r="F614" i="8"/>
  <c r="E614" i="8"/>
  <c r="G614" i="8"/>
  <c r="F615" i="8"/>
  <c r="E615" i="8"/>
  <c r="G615" i="8"/>
  <c r="F616" i="8"/>
  <c r="E616" i="8"/>
  <c r="G616" i="8"/>
  <c r="F617" i="8"/>
  <c r="E617" i="8"/>
  <c r="G617" i="8"/>
  <c r="F618" i="8"/>
  <c r="E618" i="8"/>
  <c r="G618" i="8"/>
  <c r="F619" i="8"/>
  <c r="E619" i="8"/>
  <c r="G619" i="8"/>
  <c r="F620" i="8"/>
  <c r="E620" i="8"/>
  <c r="G620" i="8"/>
  <c r="F621" i="8"/>
  <c r="E621" i="8"/>
  <c r="G621" i="8"/>
  <c r="F622" i="8"/>
  <c r="E622" i="8"/>
  <c r="G622" i="8"/>
  <c r="F623" i="8"/>
  <c r="E623" i="8"/>
  <c r="G623" i="8"/>
  <c r="F624" i="8"/>
  <c r="E624" i="8"/>
  <c r="G624" i="8"/>
  <c r="F625" i="8"/>
  <c r="E625" i="8"/>
  <c r="G625" i="8"/>
  <c r="F626" i="8"/>
  <c r="E626" i="8"/>
  <c r="G626" i="8"/>
  <c r="F627" i="8"/>
  <c r="E627" i="8"/>
  <c r="G627" i="8"/>
  <c r="F628" i="8"/>
  <c r="E628" i="8"/>
  <c r="G628" i="8"/>
  <c r="F629" i="8"/>
  <c r="E629" i="8"/>
  <c r="G629" i="8"/>
  <c r="F630" i="8"/>
  <c r="E630" i="8"/>
  <c r="G630" i="8"/>
  <c r="F631" i="8"/>
  <c r="E631" i="8"/>
  <c r="G631" i="8"/>
  <c r="F632" i="8"/>
  <c r="E632" i="8"/>
  <c r="G632" i="8"/>
  <c r="F633" i="8"/>
  <c r="E633" i="8"/>
  <c r="G633" i="8"/>
  <c r="F634" i="8"/>
  <c r="E634" i="8"/>
  <c r="G634" i="8"/>
  <c r="F635" i="8"/>
  <c r="E635" i="8"/>
  <c r="G635" i="8"/>
  <c r="F636" i="8"/>
  <c r="E636" i="8"/>
  <c r="G636" i="8"/>
  <c r="F637" i="8"/>
  <c r="E637" i="8"/>
  <c r="G637" i="8"/>
  <c r="F638" i="8"/>
  <c r="E638" i="8"/>
  <c r="G638" i="8"/>
  <c r="F639" i="8"/>
  <c r="E639" i="8"/>
  <c r="G639" i="8"/>
  <c r="F640" i="8"/>
  <c r="E640" i="8"/>
  <c r="G640" i="8"/>
  <c r="F641" i="8"/>
  <c r="E641" i="8"/>
  <c r="G641" i="8"/>
  <c r="F642" i="8"/>
  <c r="E642" i="8"/>
  <c r="G642" i="8"/>
  <c r="F643" i="8"/>
  <c r="E643" i="8"/>
  <c r="G643" i="8"/>
  <c r="F644" i="8"/>
  <c r="E644" i="8"/>
  <c r="G644" i="8"/>
  <c r="F645" i="8"/>
  <c r="E645" i="8"/>
  <c r="G645" i="8"/>
  <c r="F646" i="8"/>
  <c r="E646" i="8"/>
  <c r="G646" i="8"/>
  <c r="F647" i="8"/>
  <c r="E647" i="8"/>
  <c r="G647" i="8"/>
  <c r="F648" i="8"/>
  <c r="E648" i="8"/>
  <c r="G648" i="8"/>
  <c r="F649" i="8"/>
  <c r="E649" i="8"/>
  <c r="G649" i="8"/>
  <c r="F650" i="8"/>
  <c r="E650" i="8"/>
  <c r="G650" i="8"/>
  <c r="F651" i="8"/>
  <c r="E651" i="8"/>
  <c r="G651" i="8"/>
  <c r="F652" i="8"/>
  <c r="E652" i="8"/>
  <c r="G652" i="8"/>
  <c r="F653" i="8"/>
  <c r="E653" i="8"/>
  <c r="G653" i="8"/>
  <c r="F654" i="8"/>
  <c r="E654" i="8"/>
  <c r="G654" i="8"/>
  <c r="F655" i="8"/>
  <c r="E655" i="8"/>
  <c r="G655" i="8"/>
  <c r="F656" i="8"/>
  <c r="E656" i="8"/>
  <c r="G656" i="8"/>
  <c r="F657" i="8"/>
  <c r="E657" i="8"/>
  <c r="G657" i="8"/>
  <c r="F658" i="8"/>
  <c r="E658" i="8"/>
  <c r="G658" i="8"/>
  <c r="F659" i="8"/>
  <c r="E659" i="8"/>
  <c r="G659" i="8"/>
  <c r="F660" i="8"/>
  <c r="E660" i="8"/>
  <c r="G660" i="8"/>
  <c r="F661" i="8"/>
  <c r="E661" i="8"/>
  <c r="G661" i="8"/>
  <c r="F662" i="8"/>
  <c r="E662" i="8"/>
  <c r="G662" i="8"/>
  <c r="F663" i="8"/>
  <c r="E663" i="8"/>
  <c r="G663" i="8"/>
  <c r="F664" i="8"/>
  <c r="E664" i="8"/>
  <c r="G664" i="8"/>
  <c r="F665" i="8"/>
  <c r="E665" i="8"/>
  <c r="G665" i="8"/>
  <c r="F666" i="8"/>
  <c r="E666" i="8"/>
  <c r="G666" i="8"/>
  <c r="F667" i="8"/>
  <c r="E667" i="8"/>
  <c r="G667" i="8"/>
  <c r="F668" i="8"/>
  <c r="E668" i="8"/>
  <c r="G668" i="8"/>
  <c r="F669" i="8"/>
  <c r="E669" i="8"/>
  <c r="G669" i="8"/>
  <c r="F670" i="8"/>
  <c r="E670" i="8"/>
  <c r="G670" i="8"/>
  <c r="F671" i="8"/>
  <c r="E671" i="8"/>
  <c r="G671" i="8"/>
  <c r="F672" i="8"/>
  <c r="E672" i="8"/>
  <c r="G672" i="8"/>
  <c r="F673" i="8"/>
  <c r="E673" i="8"/>
  <c r="G673" i="8"/>
  <c r="F674" i="8"/>
  <c r="E674" i="8"/>
  <c r="G674" i="8"/>
  <c r="F675" i="8"/>
  <c r="E675" i="8"/>
  <c r="G675" i="8"/>
  <c r="F676" i="8"/>
  <c r="E676" i="8"/>
  <c r="G676" i="8"/>
  <c r="F677" i="8"/>
  <c r="E677" i="8"/>
  <c r="G677" i="8"/>
  <c r="F678" i="8"/>
  <c r="E678" i="8"/>
  <c r="G678" i="8"/>
  <c r="F679" i="8"/>
  <c r="E679" i="8"/>
  <c r="G679" i="8"/>
  <c r="F680" i="8"/>
  <c r="E680" i="8"/>
  <c r="G680" i="8"/>
  <c r="F681" i="8"/>
  <c r="E681" i="8"/>
  <c r="G681" i="8"/>
  <c r="F682" i="8"/>
  <c r="E682" i="8"/>
  <c r="G682" i="8"/>
  <c r="F683" i="8"/>
  <c r="E683" i="8"/>
  <c r="G683" i="8"/>
  <c r="F684" i="8"/>
  <c r="E684" i="8"/>
  <c r="G684" i="8"/>
  <c r="F685" i="8"/>
  <c r="E685" i="8"/>
  <c r="G685" i="8"/>
  <c r="F686" i="8"/>
  <c r="E686" i="8"/>
  <c r="G686" i="8"/>
  <c r="F687" i="8"/>
  <c r="E687" i="8"/>
  <c r="G687" i="8"/>
  <c r="F688" i="8"/>
  <c r="E688" i="8"/>
  <c r="G688" i="8"/>
  <c r="F689" i="8"/>
  <c r="E689" i="8"/>
  <c r="G689" i="8"/>
  <c r="F690" i="8"/>
  <c r="E690" i="8"/>
  <c r="G690" i="8"/>
  <c r="F691" i="8"/>
  <c r="E691" i="8"/>
  <c r="G691" i="8"/>
  <c r="F692" i="8"/>
  <c r="E692" i="8"/>
  <c r="G692" i="8"/>
  <c r="F693" i="8"/>
  <c r="E693" i="8"/>
  <c r="G693" i="8"/>
  <c r="F694" i="8"/>
  <c r="E694" i="8"/>
  <c r="G694" i="8"/>
  <c r="F695" i="8"/>
  <c r="E695" i="8"/>
  <c r="G695" i="8"/>
  <c r="F696" i="8"/>
  <c r="E696" i="8"/>
  <c r="G696" i="8"/>
  <c r="F697" i="8"/>
  <c r="E697" i="8"/>
  <c r="G697" i="8"/>
  <c r="F698" i="8"/>
  <c r="E698" i="8"/>
  <c r="G698" i="8"/>
  <c r="F699" i="8"/>
  <c r="E699" i="8"/>
  <c r="G699" i="8"/>
  <c r="F700" i="8"/>
  <c r="E700" i="8"/>
  <c r="G700" i="8"/>
  <c r="F701" i="8"/>
  <c r="E701" i="8"/>
  <c r="G701" i="8"/>
  <c r="F702" i="8"/>
  <c r="E702" i="8"/>
  <c r="G702" i="8"/>
  <c r="F703" i="8"/>
  <c r="E703" i="8"/>
  <c r="G703" i="8"/>
  <c r="F704" i="8"/>
  <c r="E704" i="8"/>
  <c r="G704" i="8"/>
  <c r="F705" i="8"/>
  <c r="E705" i="8"/>
  <c r="G705" i="8"/>
  <c r="F706" i="8"/>
  <c r="E706" i="8"/>
  <c r="G706" i="8"/>
  <c r="F707" i="8"/>
  <c r="E707" i="8"/>
  <c r="G707" i="8"/>
  <c r="F708" i="8"/>
  <c r="E708" i="8"/>
  <c r="G708" i="8"/>
  <c r="F709" i="8"/>
  <c r="E709" i="8"/>
  <c r="G709" i="8"/>
  <c r="F710" i="8"/>
  <c r="E710" i="8"/>
  <c r="G710" i="8"/>
  <c r="F711" i="8"/>
  <c r="E711" i="8"/>
  <c r="G711" i="8"/>
  <c r="F712" i="8"/>
  <c r="E712" i="8"/>
  <c r="G712" i="8"/>
  <c r="F713" i="8"/>
  <c r="E713" i="8"/>
  <c r="G713" i="8"/>
  <c r="F714" i="8"/>
  <c r="E714" i="8"/>
  <c r="G714" i="8"/>
  <c r="F715" i="8"/>
  <c r="E715" i="8"/>
  <c r="G715" i="8"/>
  <c r="F716" i="8"/>
  <c r="E716" i="8"/>
  <c r="G716" i="8"/>
  <c r="F717" i="8"/>
  <c r="E717" i="8"/>
  <c r="G717" i="8"/>
  <c r="F718" i="8"/>
  <c r="E718" i="8"/>
  <c r="G718" i="8"/>
  <c r="F719" i="8"/>
  <c r="E719" i="8"/>
  <c r="G719" i="8"/>
  <c r="F720" i="8"/>
  <c r="E720" i="8"/>
  <c r="G720" i="8"/>
  <c r="F721" i="8"/>
  <c r="E721" i="8"/>
  <c r="G721" i="8"/>
  <c r="F722" i="8"/>
  <c r="E722" i="8"/>
  <c r="G722" i="8"/>
  <c r="F723" i="8"/>
  <c r="E723" i="8"/>
  <c r="G723" i="8"/>
  <c r="F724" i="8"/>
  <c r="E724" i="8"/>
  <c r="G724" i="8"/>
  <c r="F725" i="8"/>
  <c r="E725" i="8"/>
  <c r="G725" i="8"/>
  <c r="F726" i="8"/>
  <c r="E726" i="8"/>
  <c r="G726" i="8"/>
  <c r="F727" i="8"/>
  <c r="E727" i="8"/>
  <c r="G727" i="8"/>
  <c r="F728" i="8"/>
  <c r="E728" i="8"/>
  <c r="G728" i="8"/>
  <c r="F729" i="8"/>
  <c r="E729" i="8"/>
  <c r="G729" i="8"/>
  <c r="F730" i="8"/>
  <c r="E730" i="8"/>
  <c r="G730" i="8"/>
  <c r="F731" i="8"/>
  <c r="E731" i="8"/>
  <c r="G731" i="8"/>
  <c r="F732" i="8"/>
  <c r="E732" i="8"/>
  <c r="G732" i="8"/>
  <c r="F733" i="8"/>
  <c r="E733" i="8"/>
  <c r="G733" i="8"/>
  <c r="F734" i="8"/>
  <c r="E734" i="8"/>
  <c r="G734" i="8"/>
  <c r="F735" i="8"/>
  <c r="E735" i="8"/>
  <c r="G735" i="8"/>
  <c r="F736" i="8"/>
  <c r="E736" i="8"/>
  <c r="G736" i="8"/>
  <c r="F737" i="8"/>
  <c r="E737" i="8"/>
  <c r="G737" i="8"/>
  <c r="F738" i="8"/>
  <c r="E738" i="8"/>
  <c r="G738" i="8"/>
  <c r="F739" i="8"/>
  <c r="E739" i="8"/>
  <c r="G739" i="8"/>
  <c r="F740" i="8"/>
  <c r="E740" i="8"/>
  <c r="G740" i="8"/>
  <c r="F741" i="8"/>
  <c r="E741" i="8"/>
  <c r="G741" i="8"/>
  <c r="F742" i="8"/>
  <c r="E742" i="8"/>
  <c r="G742" i="8"/>
  <c r="F743" i="8"/>
  <c r="E743" i="8"/>
  <c r="G743" i="8"/>
  <c r="F744" i="8"/>
  <c r="E744" i="8"/>
  <c r="G744" i="8"/>
  <c r="F745" i="8"/>
  <c r="E745" i="8"/>
  <c r="G745" i="8"/>
  <c r="F746" i="8"/>
  <c r="E746" i="8"/>
  <c r="G746" i="8"/>
  <c r="F747" i="8"/>
  <c r="E747" i="8"/>
  <c r="G747" i="8"/>
  <c r="F748" i="8"/>
  <c r="E748" i="8"/>
  <c r="G748" i="8"/>
  <c r="F749" i="8"/>
  <c r="E749" i="8"/>
  <c r="G749" i="8"/>
  <c r="F750" i="8"/>
  <c r="E750" i="8"/>
  <c r="G750" i="8"/>
  <c r="F751" i="8"/>
  <c r="E751" i="8"/>
  <c r="G751" i="8"/>
  <c r="F752" i="8"/>
  <c r="E752" i="8"/>
  <c r="G752" i="8"/>
  <c r="F753" i="8"/>
  <c r="E753" i="8"/>
  <c r="G753" i="8"/>
  <c r="F754" i="8"/>
  <c r="E754" i="8"/>
  <c r="G754" i="8"/>
  <c r="F755" i="8"/>
  <c r="E755" i="8"/>
  <c r="G755" i="8"/>
  <c r="F756" i="8"/>
  <c r="E756" i="8"/>
  <c r="G756" i="8"/>
  <c r="F757" i="8"/>
  <c r="E757" i="8"/>
  <c r="G757" i="8"/>
  <c r="F758" i="8"/>
  <c r="E758" i="8"/>
  <c r="G758" i="8"/>
  <c r="F759" i="8"/>
  <c r="E759" i="8"/>
  <c r="G759" i="8"/>
  <c r="F760" i="8"/>
  <c r="E760" i="8"/>
  <c r="G760" i="8"/>
  <c r="F761" i="8"/>
  <c r="E761" i="8"/>
  <c r="G761" i="8"/>
  <c r="F762" i="8"/>
  <c r="E762" i="8"/>
  <c r="G762" i="8"/>
  <c r="F763" i="8"/>
  <c r="E763" i="8"/>
  <c r="G763" i="8"/>
  <c r="F764" i="8"/>
  <c r="E764" i="8"/>
  <c r="G764" i="8"/>
  <c r="F765" i="8"/>
  <c r="E765" i="8"/>
  <c r="G765" i="8"/>
  <c r="F766" i="8"/>
  <c r="E766" i="8"/>
  <c r="G766" i="8"/>
  <c r="F767" i="8"/>
  <c r="E767" i="8"/>
  <c r="G767" i="8"/>
  <c r="F768" i="8"/>
  <c r="E768" i="8"/>
  <c r="G768" i="8"/>
  <c r="F769" i="8"/>
  <c r="E769" i="8"/>
  <c r="G769" i="8"/>
  <c r="F770" i="8"/>
  <c r="E770" i="8"/>
  <c r="G770" i="8"/>
  <c r="F771" i="8"/>
  <c r="E771" i="8"/>
  <c r="G771" i="8"/>
  <c r="F772" i="8"/>
  <c r="E772" i="8"/>
  <c r="G772" i="8"/>
  <c r="F773" i="8"/>
  <c r="E773" i="8"/>
  <c r="G773" i="8"/>
  <c r="F774" i="8"/>
  <c r="E774" i="8"/>
  <c r="G774" i="8"/>
  <c r="F775" i="8"/>
  <c r="E775" i="8"/>
  <c r="G775" i="8"/>
  <c r="F776" i="8"/>
  <c r="E776" i="8"/>
  <c r="G776" i="8"/>
  <c r="F777" i="8"/>
  <c r="E777" i="8"/>
  <c r="G777" i="8"/>
  <c r="F778" i="8"/>
  <c r="E778" i="8"/>
  <c r="G778" i="8"/>
  <c r="F779" i="8"/>
  <c r="E779" i="8"/>
  <c r="G779" i="8"/>
  <c r="F780" i="8"/>
  <c r="E780" i="8"/>
  <c r="G780" i="8"/>
  <c r="F781" i="8"/>
  <c r="E781" i="8"/>
  <c r="G781" i="8"/>
  <c r="F782" i="8"/>
  <c r="E782" i="8"/>
  <c r="G782" i="8"/>
  <c r="F783" i="8"/>
  <c r="E783" i="8"/>
  <c r="G783" i="8"/>
  <c r="F784" i="8"/>
  <c r="E784" i="8"/>
  <c r="G784" i="8"/>
  <c r="F785" i="8"/>
  <c r="E785" i="8"/>
  <c r="G785" i="8"/>
  <c r="F786" i="8"/>
  <c r="E786" i="8"/>
  <c r="G786" i="8"/>
  <c r="F787" i="8"/>
  <c r="E787" i="8"/>
  <c r="G787" i="8"/>
  <c r="F788" i="8"/>
  <c r="E788" i="8"/>
  <c r="G788" i="8"/>
  <c r="F789" i="8"/>
  <c r="E789" i="8"/>
  <c r="G789" i="8"/>
  <c r="F790" i="8"/>
  <c r="E790" i="8"/>
  <c r="G790" i="8"/>
  <c r="F791" i="8"/>
  <c r="E791" i="8"/>
  <c r="G791" i="8"/>
  <c r="F792" i="8"/>
  <c r="E792" i="8"/>
  <c r="G792" i="8"/>
  <c r="F793" i="8"/>
  <c r="E793" i="8"/>
  <c r="G793" i="8"/>
  <c r="F794" i="8"/>
  <c r="E794" i="8"/>
  <c r="G794" i="8"/>
  <c r="F795" i="8"/>
  <c r="E795" i="8"/>
  <c r="G795" i="8"/>
  <c r="F796" i="8"/>
  <c r="E796" i="8"/>
  <c r="G796" i="8"/>
  <c r="F797" i="8"/>
  <c r="E797" i="8"/>
  <c r="G797" i="8"/>
  <c r="F798" i="8"/>
  <c r="E798" i="8"/>
  <c r="G798" i="8"/>
  <c r="F799" i="8"/>
  <c r="E799" i="8"/>
  <c r="G799" i="8"/>
  <c r="F800" i="8"/>
  <c r="E800" i="8"/>
  <c r="G800" i="8"/>
  <c r="F801" i="8"/>
  <c r="E801" i="8"/>
  <c r="G801" i="8"/>
  <c r="F802" i="8"/>
  <c r="E802" i="8"/>
  <c r="G802" i="8"/>
  <c r="F803" i="8"/>
  <c r="E803" i="8"/>
  <c r="G803" i="8"/>
  <c r="F804" i="8"/>
  <c r="E804" i="8"/>
  <c r="G804" i="8"/>
  <c r="F805" i="8"/>
  <c r="E805" i="8"/>
  <c r="G805" i="8"/>
  <c r="F806" i="8"/>
  <c r="E806" i="8"/>
  <c r="G806" i="8"/>
  <c r="F807" i="8"/>
  <c r="E807" i="8"/>
  <c r="G807" i="8"/>
  <c r="F808" i="8"/>
  <c r="E808" i="8"/>
  <c r="G808" i="8"/>
  <c r="F809" i="8"/>
  <c r="E809" i="8"/>
  <c r="G809" i="8"/>
  <c r="F810" i="8"/>
  <c r="E810" i="8"/>
  <c r="G810" i="8"/>
  <c r="F811" i="8"/>
  <c r="E811" i="8"/>
  <c r="G811" i="8"/>
  <c r="F812" i="8"/>
  <c r="E812" i="8"/>
  <c r="G812" i="8"/>
  <c r="F813" i="8"/>
  <c r="E813" i="8"/>
  <c r="G813" i="8"/>
  <c r="F814" i="8"/>
  <c r="E814" i="8"/>
  <c r="G814" i="8"/>
  <c r="F815" i="8"/>
  <c r="E815" i="8"/>
  <c r="G815" i="8"/>
  <c r="F816" i="8"/>
  <c r="E816" i="8"/>
  <c r="G816" i="8"/>
  <c r="F817" i="8"/>
  <c r="E817" i="8"/>
  <c r="G817" i="8"/>
  <c r="F818" i="8"/>
  <c r="E818" i="8"/>
  <c r="G818" i="8"/>
  <c r="F819" i="8"/>
  <c r="E819" i="8"/>
  <c r="G819" i="8"/>
  <c r="F820" i="8"/>
  <c r="E820" i="8"/>
  <c r="G820" i="8"/>
  <c r="F821" i="8"/>
  <c r="E821" i="8"/>
  <c r="G821" i="8"/>
  <c r="F822" i="8"/>
  <c r="E822" i="8"/>
  <c r="G822" i="8"/>
  <c r="F823" i="8"/>
  <c r="E823" i="8"/>
  <c r="G823" i="8"/>
  <c r="F824" i="8"/>
  <c r="E824" i="8"/>
  <c r="G824" i="8"/>
  <c r="F825" i="8"/>
  <c r="E825" i="8"/>
  <c r="G825" i="8"/>
  <c r="F826" i="8"/>
  <c r="E826" i="8"/>
  <c r="G826" i="8"/>
  <c r="F827" i="8"/>
  <c r="E827" i="8"/>
  <c r="G827" i="8"/>
  <c r="F828" i="8"/>
  <c r="E828" i="8"/>
  <c r="G828" i="8"/>
  <c r="F829" i="8"/>
  <c r="E829" i="8"/>
  <c r="G829" i="8"/>
  <c r="F830" i="8"/>
  <c r="E830" i="8"/>
  <c r="G830" i="8"/>
  <c r="F831" i="8"/>
  <c r="E831" i="8"/>
  <c r="G831" i="8"/>
  <c r="F832" i="8"/>
  <c r="E832" i="8"/>
  <c r="G832" i="8"/>
  <c r="F833" i="8"/>
  <c r="E833" i="8"/>
  <c r="G833" i="8"/>
  <c r="F834" i="8"/>
  <c r="E834" i="8"/>
  <c r="G834" i="8"/>
  <c r="F835" i="8"/>
  <c r="E835" i="8"/>
  <c r="G835" i="8"/>
  <c r="F836" i="8"/>
  <c r="E836" i="8"/>
  <c r="G836" i="8"/>
  <c r="F837" i="8"/>
  <c r="E837" i="8"/>
  <c r="G837" i="8"/>
  <c r="F838" i="8"/>
  <c r="E838" i="8"/>
  <c r="G838" i="8"/>
  <c r="F839" i="8"/>
  <c r="E839" i="8"/>
  <c r="G839" i="8"/>
  <c r="F840" i="8"/>
  <c r="E840" i="8"/>
  <c r="G840" i="8"/>
  <c r="F841" i="8"/>
  <c r="E841" i="8"/>
  <c r="G841" i="8"/>
  <c r="F842" i="8"/>
  <c r="E842" i="8"/>
  <c r="G842" i="8"/>
  <c r="F843" i="8"/>
  <c r="E843" i="8"/>
  <c r="G843" i="8"/>
  <c r="F844" i="8"/>
  <c r="E844" i="8"/>
  <c r="G844" i="8"/>
  <c r="F845" i="8"/>
  <c r="E845" i="8"/>
  <c r="G845" i="8"/>
  <c r="F846" i="8"/>
  <c r="E846" i="8"/>
  <c r="G846" i="8"/>
  <c r="F847" i="8"/>
  <c r="E847" i="8"/>
  <c r="G847" i="8"/>
  <c r="F848" i="8"/>
  <c r="E848" i="8"/>
  <c r="G848" i="8"/>
  <c r="F849" i="8"/>
  <c r="E849" i="8"/>
  <c r="G849" i="8"/>
  <c r="F850" i="8"/>
  <c r="E850" i="8"/>
  <c r="G850" i="8"/>
  <c r="F851" i="8"/>
  <c r="E851" i="8"/>
  <c r="G851" i="8"/>
  <c r="F852" i="8"/>
  <c r="E852" i="8"/>
  <c r="G852" i="8"/>
  <c r="F853" i="8"/>
  <c r="E853" i="8"/>
  <c r="G853" i="8"/>
  <c r="F854" i="8"/>
  <c r="E854" i="8"/>
  <c r="G854" i="8"/>
  <c r="F855" i="8"/>
  <c r="E855" i="8"/>
  <c r="G855" i="8"/>
  <c r="F856" i="8"/>
  <c r="E856" i="8"/>
  <c r="G856" i="8"/>
  <c r="F857" i="8"/>
  <c r="E857" i="8"/>
  <c r="G857" i="8"/>
  <c r="F858" i="8"/>
  <c r="E858" i="8"/>
  <c r="G858" i="8"/>
  <c r="F859" i="8"/>
  <c r="E859" i="8"/>
  <c r="G859" i="8"/>
  <c r="F860" i="8"/>
  <c r="E860" i="8"/>
  <c r="G860" i="8"/>
  <c r="F861" i="8"/>
  <c r="E861" i="8"/>
  <c r="G861" i="8"/>
  <c r="F862" i="8"/>
  <c r="E862" i="8"/>
  <c r="G862" i="8"/>
  <c r="F863" i="8"/>
  <c r="E863" i="8"/>
  <c r="G863" i="8"/>
  <c r="F864" i="8"/>
  <c r="E864" i="8"/>
  <c r="G864" i="8"/>
  <c r="F865" i="8"/>
  <c r="E865" i="8"/>
  <c r="G865" i="8"/>
  <c r="F866" i="8"/>
  <c r="E866" i="8"/>
  <c r="G866" i="8"/>
  <c r="F867" i="8"/>
  <c r="E867" i="8"/>
  <c r="G867" i="8"/>
  <c r="F868" i="8"/>
  <c r="E868" i="8"/>
  <c r="G868" i="8"/>
  <c r="F869" i="8"/>
  <c r="E869" i="8"/>
  <c r="G869" i="8"/>
  <c r="F870" i="8"/>
  <c r="E870" i="8"/>
  <c r="G870" i="8"/>
  <c r="F871" i="8"/>
  <c r="E871" i="8"/>
  <c r="G871" i="8"/>
  <c r="F872" i="8"/>
  <c r="E872" i="8"/>
  <c r="G872" i="8"/>
  <c r="F873" i="8"/>
  <c r="E873" i="8"/>
  <c r="G873" i="8"/>
  <c r="F874" i="8"/>
  <c r="E874" i="8"/>
  <c r="G874" i="8"/>
  <c r="F875" i="8"/>
  <c r="E875" i="8"/>
  <c r="G875" i="8"/>
  <c r="F876" i="8"/>
  <c r="E876" i="8"/>
  <c r="G876" i="8"/>
  <c r="F877" i="8"/>
  <c r="E877" i="8"/>
  <c r="G877" i="8"/>
  <c r="F878" i="8"/>
  <c r="E878" i="8"/>
  <c r="G878" i="8"/>
  <c r="F879" i="8"/>
  <c r="E879" i="8"/>
  <c r="G879" i="8"/>
  <c r="F880" i="8"/>
  <c r="E880" i="8"/>
  <c r="G880" i="8"/>
  <c r="F881" i="8"/>
  <c r="E881" i="8"/>
  <c r="G881" i="8"/>
  <c r="F882" i="8"/>
  <c r="E882" i="8"/>
  <c r="G882" i="8"/>
  <c r="F883" i="8"/>
  <c r="E883" i="8"/>
  <c r="G883" i="8"/>
  <c r="F884" i="8"/>
  <c r="E884" i="8"/>
  <c r="G884" i="8"/>
  <c r="F885" i="8"/>
  <c r="E885" i="8"/>
  <c r="G885" i="8"/>
  <c r="F886" i="8"/>
  <c r="E886" i="8"/>
  <c r="G886" i="8"/>
  <c r="F887" i="8"/>
  <c r="E887" i="8"/>
  <c r="G887" i="8"/>
  <c r="F888" i="8"/>
  <c r="E888" i="8"/>
  <c r="G888" i="8"/>
  <c r="F889" i="8"/>
  <c r="E889" i="8"/>
  <c r="G889" i="8"/>
  <c r="F890" i="8"/>
  <c r="E890" i="8"/>
  <c r="G890" i="8"/>
  <c r="F891" i="8"/>
  <c r="E891" i="8"/>
  <c r="G891" i="8"/>
  <c r="F892" i="8"/>
  <c r="E892" i="8"/>
  <c r="G892" i="8"/>
  <c r="F893" i="8"/>
  <c r="E893" i="8"/>
  <c r="G893" i="8"/>
  <c r="F894" i="8"/>
  <c r="E894" i="8"/>
  <c r="G894" i="8"/>
  <c r="F895" i="8"/>
  <c r="E895" i="8"/>
  <c r="G895" i="8"/>
  <c r="F896" i="8"/>
  <c r="E896" i="8"/>
  <c r="G896" i="8"/>
  <c r="F897" i="8"/>
  <c r="E897" i="8"/>
  <c r="G897" i="8"/>
  <c r="F898" i="8"/>
  <c r="E898" i="8"/>
  <c r="G898" i="8"/>
  <c r="F899" i="8"/>
  <c r="E899" i="8"/>
  <c r="G899" i="8"/>
  <c r="F900" i="8"/>
  <c r="E900" i="8"/>
  <c r="G900" i="8"/>
  <c r="F901" i="8"/>
  <c r="E901" i="8"/>
  <c r="G901" i="8"/>
  <c r="F902" i="8"/>
  <c r="E902" i="8"/>
  <c r="G902" i="8"/>
  <c r="F903" i="8"/>
  <c r="E903" i="8"/>
  <c r="G903" i="8"/>
  <c r="F904" i="8"/>
  <c r="E904" i="8"/>
  <c r="G904" i="8"/>
  <c r="F905" i="8"/>
  <c r="E905" i="8"/>
  <c r="G905" i="8"/>
  <c r="F906" i="8"/>
  <c r="E906" i="8"/>
  <c r="G906" i="8"/>
  <c r="F907" i="8"/>
  <c r="E907" i="8"/>
  <c r="G907" i="8"/>
  <c r="F908" i="8"/>
  <c r="E908" i="8"/>
  <c r="G908" i="8"/>
  <c r="F909" i="8"/>
  <c r="E909" i="8"/>
  <c r="G909" i="8"/>
  <c r="F910" i="8"/>
  <c r="E910" i="8"/>
  <c r="G910" i="8"/>
  <c r="F911" i="8"/>
  <c r="E911" i="8"/>
  <c r="G911" i="8"/>
  <c r="F912" i="8"/>
  <c r="E912" i="8"/>
  <c r="G912" i="8"/>
  <c r="F913" i="8"/>
  <c r="E913" i="8"/>
  <c r="G913" i="8"/>
  <c r="F914" i="8"/>
  <c r="E914" i="8"/>
  <c r="G914" i="8"/>
  <c r="F915" i="8"/>
  <c r="E915" i="8"/>
  <c r="G915" i="8"/>
  <c r="F916" i="8"/>
  <c r="E916" i="8"/>
  <c r="G916" i="8"/>
  <c r="F917" i="8"/>
  <c r="E917" i="8"/>
  <c r="G917" i="8"/>
  <c r="F918" i="8"/>
  <c r="E918" i="8"/>
  <c r="G918" i="8"/>
  <c r="F919" i="8"/>
  <c r="E919" i="8"/>
  <c r="G919" i="8"/>
  <c r="F920" i="8"/>
  <c r="E920" i="8"/>
  <c r="G920" i="8"/>
  <c r="F921" i="8"/>
  <c r="E921" i="8"/>
  <c r="G921" i="8"/>
  <c r="F922" i="8"/>
  <c r="E922" i="8"/>
  <c r="G922" i="8"/>
  <c r="F923" i="8"/>
  <c r="E923" i="8"/>
  <c r="G923" i="8"/>
  <c r="F924" i="8"/>
  <c r="E924" i="8"/>
  <c r="G924" i="8"/>
  <c r="F925" i="8"/>
  <c r="E925" i="8"/>
  <c r="G925" i="8"/>
  <c r="F926" i="8"/>
  <c r="E926" i="8"/>
  <c r="G926" i="8"/>
  <c r="F927" i="8"/>
  <c r="E927" i="8"/>
  <c r="G927" i="8"/>
  <c r="F928" i="8"/>
  <c r="E928" i="8"/>
  <c r="G928" i="8"/>
  <c r="F929" i="8"/>
  <c r="E929" i="8"/>
  <c r="G929" i="8"/>
  <c r="F930" i="8"/>
  <c r="E930" i="8"/>
  <c r="G930" i="8"/>
  <c r="F931" i="8"/>
  <c r="E931" i="8"/>
  <c r="G931" i="8"/>
  <c r="F932" i="8"/>
  <c r="E932" i="8"/>
  <c r="G932" i="8"/>
  <c r="F933" i="8"/>
  <c r="E933" i="8"/>
  <c r="G933" i="8"/>
  <c r="F934" i="8"/>
  <c r="E934" i="8"/>
  <c r="G934" i="8"/>
  <c r="F935" i="8"/>
  <c r="E935" i="8"/>
  <c r="G935" i="8"/>
  <c r="F936" i="8"/>
  <c r="E936" i="8"/>
  <c r="G936" i="8"/>
  <c r="F937" i="8"/>
  <c r="E937" i="8"/>
  <c r="G937" i="8"/>
  <c r="F938" i="8"/>
  <c r="E938" i="8"/>
  <c r="G938" i="8"/>
  <c r="F939" i="8"/>
  <c r="E939" i="8"/>
  <c r="G939" i="8"/>
  <c r="F940" i="8"/>
  <c r="E940" i="8"/>
  <c r="G940" i="8"/>
  <c r="F941" i="8"/>
  <c r="E941" i="8"/>
  <c r="G941" i="8"/>
  <c r="F942" i="8"/>
  <c r="E942" i="8"/>
  <c r="G942" i="8"/>
  <c r="F943" i="8"/>
  <c r="E943" i="8"/>
  <c r="G943" i="8"/>
  <c r="F944" i="8"/>
  <c r="E944" i="8"/>
  <c r="G944" i="8"/>
  <c r="F945" i="8"/>
  <c r="E945" i="8"/>
  <c r="G945" i="8"/>
  <c r="F946" i="8"/>
  <c r="E946" i="8"/>
  <c r="G946" i="8"/>
  <c r="F947" i="8"/>
  <c r="E947" i="8"/>
  <c r="G947" i="8"/>
  <c r="F948" i="8"/>
  <c r="E948" i="8"/>
  <c r="G948" i="8"/>
  <c r="F949" i="8"/>
  <c r="E949" i="8"/>
  <c r="G949" i="8"/>
  <c r="F950" i="8"/>
  <c r="E950" i="8"/>
  <c r="G950" i="8"/>
  <c r="F951" i="8"/>
  <c r="E951" i="8"/>
  <c r="G951" i="8"/>
  <c r="F952" i="8"/>
  <c r="E952" i="8"/>
  <c r="G952" i="8"/>
  <c r="F953" i="8"/>
  <c r="E953" i="8"/>
  <c r="G953" i="8"/>
  <c r="F954" i="8"/>
  <c r="E954" i="8"/>
  <c r="G954" i="8"/>
  <c r="F955" i="8"/>
  <c r="E955" i="8"/>
  <c r="G955" i="8"/>
  <c r="F956" i="8"/>
  <c r="E956" i="8"/>
  <c r="G956" i="8"/>
  <c r="F957" i="8"/>
  <c r="E957" i="8"/>
  <c r="G957" i="8"/>
  <c r="F958" i="8"/>
  <c r="E958" i="8"/>
  <c r="G958" i="8"/>
  <c r="F959" i="8"/>
  <c r="E959" i="8"/>
  <c r="G959" i="8"/>
  <c r="F960" i="8"/>
  <c r="E960" i="8"/>
  <c r="G960" i="8"/>
  <c r="F961" i="8"/>
  <c r="E961" i="8"/>
  <c r="G961" i="8"/>
  <c r="F962" i="8"/>
  <c r="E962" i="8"/>
  <c r="G962" i="8"/>
  <c r="F963" i="8"/>
  <c r="E963" i="8"/>
  <c r="G963" i="8"/>
  <c r="F964" i="8"/>
  <c r="E964" i="8"/>
  <c r="G964" i="8"/>
  <c r="F965" i="8"/>
  <c r="E965" i="8"/>
  <c r="G965" i="8"/>
  <c r="F966" i="8"/>
  <c r="E966" i="8"/>
  <c r="G966" i="8"/>
  <c r="F967" i="8"/>
  <c r="E967" i="8"/>
  <c r="G967" i="8"/>
  <c r="F968" i="8"/>
  <c r="E968" i="8"/>
  <c r="G968" i="8"/>
  <c r="F969" i="8"/>
  <c r="E969" i="8"/>
  <c r="G969" i="8"/>
  <c r="F970" i="8"/>
  <c r="E970" i="8"/>
  <c r="G970" i="8"/>
  <c r="F971" i="8"/>
  <c r="E971" i="8"/>
  <c r="G971" i="8"/>
  <c r="F972" i="8"/>
  <c r="E972" i="8"/>
  <c r="G972" i="8"/>
  <c r="F973" i="8"/>
  <c r="E973" i="8"/>
  <c r="G973" i="8"/>
  <c r="F974" i="8"/>
  <c r="E974" i="8"/>
  <c r="G974" i="8"/>
  <c r="F975" i="8"/>
  <c r="E975" i="8"/>
  <c r="G975" i="8"/>
  <c r="F976" i="8"/>
  <c r="E976" i="8"/>
  <c r="G976" i="8"/>
  <c r="F977" i="8"/>
  <c r="E977" i="8"/>
  <c r="G977" i="8"/>
  <c r="F978" i="8"/>
  <c r="E978" i="8"/>
  <c r="G978" i="8"/>
  <c r="F979" i="8"/>
  <c r="E979" i="8"/>
  <c r="G979" i="8"/>
  <c r="F980" i="8"/>
  <c r="E980" i="8"/>
  <c r="G980" i="8"/>
  <c r="F981" i="8"/>
  <c r="E981" i="8"/>
  <c r="G981" i="8"/>
  <c r="F982" i="8"/>
  <c r="E982" i="8"/>
  <c r="G982" i="8"/>
  <c r="F983" i="8"/>
  <c r="E983" i="8"/>
  <c r="G983" i="8"/>
  <c r="F984" i="8"/>
  <c r="E984" i="8"/>
  <c r="G984" i="8"/>
  <c r="F985" i="8"/>
  <c r="E985" i="8"/>
  <c r="G985" i="8"/>
  <c r="F986" i="8"/>
  <c r="E986" i="8"/>
  <c r="G986" i="8"/>
  <c r="F987" i="8"/>
  <c r="E987" i="8"/>
  <c r="G987" i="8"/>
  <c r="F988" i="8"/>
  <c r="E988" i="8"/>
  <c r="G988" i="8"/>
  <c r="F989" i="8"/>
  <c r="E989" i="8"/>
  <c r="G989" i="8"/>
  <c r="F990" i="8"/>
  <c r="E990" i="8"/>
  <c r="G990" i="8"/>
  <c r="F991" i="8"/>
  <c r="E991" i="8"/>
  <c r="G991" i="8"/>
  <c r="F992" i="8"/>
  <c r="E992" i="8"/>
  <c r="G992" i="8"/>
  <c r="F993" i="8"/>
  <c r="E993" i="8"/>
  <c r="G993" i="8"/>
  <c r="F994" i="8"/>
  <c r="E994" i="8"/>
  <c r="G994" i="8"/>
  <c r="F995" i="8"/>
  <c r="E995" i="8"/>
  <c r="G995" i="8"/>
  <c r="F996" i="8"/>
  <c r="E996" i="8"/>
  <c r="G996" i="8"/>
  <c r="F997" i="8"/>
  <c r="E997" i="8"/>
  <c r="G997" i="8"/>
  <c r="F998" i="8"/>
  <c r="E998" i="8"/>
  <c r="G998" i="8"/>
  <c r="F999" i="8"/>
  <c r="E999" i="8"/>
  <c r="G999" i="8"/>
  <c r="F1000" i="8"/>
  <c r="E1000" i="8"/>
  <c r="G1000" i="8"/>
  <c r="F1001" i="8"/>
  <c r="E1001" i="8"/>
  <c r="G1001" i="8"/>
  <c r="F1002" i="8"/>
  <c r="E1002" i="8"/>
  <c r="G1002" i="8"/>
  <c r="F1003" i="8"/>
  <c r="E1003" i="8"/>
  <c r="G1003" i="8"/>
  <c r="F1004" i="8"/>
  <c r="E1004" i="8"/>
  <c r="G1004" i="8"/>
  <c r="F1005" i="8"/>
  <c r="E1005" i="8"/>
  <c r="G1005" i="8"/>
  <c r="F1006" i="8"/>
  <c r="E1006" i="8"/>
  <c r="G1006" i="8"/>
  <c r="F1007" i="8"/>
  <c r="E1007" i="8"/>
  <c r="G1007" i="8"/>
  <c r="F1008" i="8"/>
  <c r="E1008" i="8"/>
  <c r="G1008" i="8"/>
  <c r="F1009" i="8"/>
  <c r="E1009" i="8"/>
  <c r="G1009" i="8"/>
  <c r="F1010" i="8"/>
  <c r="E1010" i="8"/>
  <c r="G1010" i="8"/>
  <c r="F1011" i="8"/>
  <c r="E1011" i="8"/>
  <c r="G1011" i="8"/>
  <c r="F1012" i="8"/>
  <c r="E1012" i="8"/>
  <c r="G1012" i="8"/>
  <c r="F1013" i="8"/>
  <c r="E1013" i="8"/>
  <c r="G1013" i="8"/>
  <c r="F1014" i="8"/>
  <c r="E1014" i="8"/>
  <c r="G1014" i="8"/>
  <c r="F1015" i="8"/>
  <c r="E1015" i="8"/>
  <c r="G1015" i="8"/>
  <c r="F1016" i="8"/>
  <c r="E1016" i="8"/>
  <c r="G1016" i="8"/>
  <c r="F1017" i="8"/>
  <c r="E1017" i="8"/>
  <c r="G1017" i="8"/>
  <c r="F1018" i="8"/>
  <c r="E1018" i="8"/>
  <c r="G1018" i="8"/>
  <c r="F1019" i="8"/>
  <c r="E1019" i="8"/>
  <c r="G1019" i="8"/>
  <c r="F1020" i="8"/>
  <c r="E1020" i="8"/>
  <c r="G1020" i="8"/>
  <c r="F1021" i="8"/>
  <c r="E1021" i="8"/>
  <c r="G1021" i="8"/>
  <c r="F1022" i="8"/>
  <c r="E1022" i="8"/>
  <c r="G1022" i="8"/>
  <c r="F1023" i="8"/>
  <c r="E1023" i="8"/>
  <c r="G1023" i="8"/>
  <c r="F1024" i="8"/>
  <c r="E1024" i="8"/>
  <c r="G1024" i="8"/>
  <c r="F1025" i="8"/>
  <c r="E1025" i="8"/>
  <c r="G1025" i="8"/>
  <c r="F1026" i="8"/>
  <c r="E1026" i="8"/>
  <c r="G1026" i="8"/>
  <c r="F1027" i="8"/>
  <c r="E1027" i="8"/>
  <c r="G1027" i="8"/>
  <c r="F1028" i="8"/>
  <c r="E1028" i="8"/>
  <c r="G1028" i="8"/>
  <c r="F1029" i="8"/>
  <c r="E1029" i="8"/>
  <c r="G1029" i="8"/>
  <c r="F1030" i="8"/>
  <c r="E1030" i="8"/>
  <c r="G1030" i="8"/>
  <c r="F1031" i="8"/>
  <c r="E1031" i="8"/>
  <c r="G1031" i="8"/>
  <c r="F1032" i="8"/>
  <c r="E1032" i="8"/>
  <c r="G1032" i="8"/>
  <c r="F1033" i="8"/>
  <c r="E1033" i="8"/>
  <c r="G1033" i="8"/>
  <c r="F1034" i="8"/>
  <c r="E1034" i="8"/>
  <c r="G1034" i="8"/>
  <c r="F1035" i="8"/>
  <c r="E1035" i="8"/>
  <c r="G1035" i="8"/>
  <c r="F1036" i="8"/>
  <c r="E1036" i="8"/>
  <c r="G1036" i="8"/>
  <c r="F1037" i="8"/>
  <c r="E1037" i="8"/>
  <c r="G1037" i="8"/>
  <c r="F1038" i="8"/>
  <c r="E1038" i="8"/>
  <c r="G1038" i="8"/>
  <c r="F1039" i="8"/>
  <c r="E1039" i="8"/>
  <c r="G1039" i="8"/>
  <c r="F1040" i="8"/>
  <c r="E1040" i="8"/>
  <c r="G1040" i="8"/>
  <c r="F1041" i="8"/>
  <c r="E1041" i="8"/>
  <c r="G1041" i="8"/>
  <c r="F1042" i="8"/>
  <c r="E1042" i="8"/>
  <c r="G1042" i="8"/>
  <c r="F1043" i="8"/>
  <c r="E1043" i="8"/>
  <c r="G1043" i="8"/>
  <c r="F1044" i="8"/>
  <c r="E1044" i="8"/>
  <c r="G1044" i="8"/>
  <c r="F1045" i="8"/>
  <c r="E1045" i="8"/>
  <c r="G1045" i="8"/>
  <c r="F1046" i="8"/>
  <c r="E1046" i="8"/>
  <c r="G1046" i="8"/>
  <c r="F1047" i="8"/>
  <c r="E1047" i="8"/>
  <c r="G1047" i="8"/>
  <c r="F1048" i="8"/>
  <c r="E1048" i="8"/>
  <c r="G1048" i="8"/>
  <c r="F1049" i="8"/>
  <c r="E1049" i="8"/>
  <c r="G1049" i="8"/>
  <c r="F1050" i="8"/>
  <c r="E1050" i="8"/>
  <c r="G1050" i="8"/>
  <c r="F1051" i="8"/>
  <c r="E1051" i="8"/>
  <c r="G1051" i="8"/>
  <c r="F1052" i="8"/>
  <c r="E1052" i="8"/>
  <c r="G1052" i="8"/>
  <c r="F1053" i="8"/>
  <c r="E1053" i="8"/>
  <c r="G1053" i="8"/>
  <c r="F1054" i="8"/>
  <c r="E1054" i="8"/>
  <c r="G1054" i="8"/>
  <c r="F1055" i="8"/>
  <c r="E1055" i="8"/>
  <c r="G1055" i="8"/>
  <c r="F1056" i="8"/>
  <c r="E1056" i="8"/>
  <c r="G1056" i="8"/>
  <c r="F1057" i="8"/>
  <c r="E1057" i="8"/>
  <c r="G1057" i="8"/>
  <c r="F1058" i="8"/>
  <c r="E1058" i="8"/>
  <c r="G1058" i="8"/>
  <c r="F1059" i="8"/>
  <c r="E1059" i="8"/>
  <c r="G1059" i="8"/>
  <c r="F1060" i="8"/>
  <c r="E1060" i="8"/>
  <c r="G1060" i="8"/>
  <c r="F1061" i="8"/>
  <c r="E1061" i="8"/>
  <c r="G1061" i="8"/>
  <c r="F1062" i="8"/>
  <c r="E1062" i="8"/>
  <c r="G1062" i="8"/>
  <c r="F1063" i="8"/>
  <c r="E1063" i="8"/>
  <c r="G1063" i="8"/>
  <c r="F1064" i="8"/>
  <c r="E1064" i="8"/>
  <c r="G1064" i="8"/>
  <c r="F1065" i="8"/>
  <c r="E1065" i="8"/>
  <c r="G1065" i="8"/>
  <c r="F1066" i="8"/>
  <c r="E1066" i="8"/>
  <c r="G1066" i="8"/>
  <c r="F1067" i="8"/>
  <c r="E1067" i="8"/>
  <c r="G1067" i="8"/>
  <c r="F1068" i="8"/>
  <c r="E1068" i="8"/>
  <c r="G1068" i="8"/>
  <c r="F1069" i="8"/>
  <c r="E1069" i="8"/>
  <c r="G1069" i="8"/>
  <c r="F1070" i="8"/>
  <c r="E1070" i="8"/>
  <c r="G1070" i="8"/>
  <c r="F1071" i="8"/>
  <c r="E1071" i="8"/>
  <c r="G1071" i="8"/>
  <c r="F1072" i="8"/>
  <c r="E1072" i="8"/>
  <c r="G1072" i="8"/>
  <c r="F1073" i="8"/>
  <c r="E1073" i="8"/>
  <c r="G1073" i="8"/>
  <c r="F1074" i="8"/>
  <c r="E1074" i="8"/>
  <c r="G1074" i="8"/>
  <c r="F1075" i="8"/>
  <c r="E1075" i="8"/>
  <c r="G1075" i="8"/>
  <c r="F1076" i="8"/>
  <c r="E1076" i="8"/>
  <c r="G1076" i="8"/>
  <c r="F1077" i="8"/>
  <c r="E1077" i="8"/>
  <c r="G1077" i="8"/>
  <c r="F1078" i="8"/>
  <c r="E1078" i="8"/>
  <c r="G1078" i="8"/>
  <c r="F1079" i="8"/>
  <c r="E1079" i="8"/>
  <c r="G1079" i="8"/>
  <c r="F1080" i="8"/>
  <c r="E1080" i="8"/>
  <c r="G1080" i="8"/>
  <c r="F1081" i="8"/>
  <c r="E1081" i="8"/>
  <c r="G1081" i="8"/>
  <c r="F1082" i="8"/>
  <c r="E1082" i="8"/>
  <c r="G1082" i="8"/>
  <c r="F1083" i="8"/>
  <c r="E1083" i="8"/>
  <c r="G1083" i="8"/>
  <c r="F1084" i="8"/>
  <c r="E1084" i="8"/>
  <c r="G1084" i="8"/>
  <c r="F1085" i="8"/>
  <c r="E1085" i="8"/>
  <c r="G1085" i="8"/>
  <c r="F1086" i="8"/>
  <c r="E1086" i="8"/>
  <c r="G1086" i="8"/>
  <c r="F1087" i="8"/>
  <c r="E1087" i="8"/>
  <c r="G1087" i="8"/>
  <c r="F1088" i="8"/>
  <c r="E1088" i="8"/>
  <c r="G1088" i="8"/>
  <c r="F1089" i="8"/>
  <c r="E1089" i="8"/>
  <c r="G1089" i="8"/>
  <c r="F1090" i="8"/>
  <c r="E1090" i="8"/>
  <c r="G1090" i="8"/>
  <c r="F1091" i="8"/>
  <c r="E1091" i="8"/>
  <c r="G1091" i="8"/>
  <c r="F1092" i="8"/>
  <c r="E1092" i="8"/>
  <c r="G1092" i="8"/>
  <c r="F1093" i="8"/>
  <c r="E1093" i="8"/>
  <c r="G1093" i="8"/>
  <c r="F1094" i="8"/>
  <c r="E1094" i="8"/>
  <c r="G1094" i="8"/>
  <c r="F1095" i="8"/>
  <c r="E1095" i="8"/>
  <c r="G1095" i="8"/>
  <c r="F1096" i="8"/>
  <c r="E1096" i="8"/>
  <c r="G1096" i="8"/>
  <c r="F1097" i="8"/>
  <c r="E1097" i="8"/>
  <c r="G1097" i="8"/>
  <c r="F1098" i="8"/>
  <c r="E1098" i="8"/>
  <c r="G1098" i="8"/>
  <c r="F1099" i="8"/>
  <c r="E1099" i="8"/>
  <c r="G1099" i="8"/>
  <c r="F1100" i="8"/>
  <c r="E1100" i="8"/>
  <c r="G1100" i="8"/>
  <c r="F1101" i="8"/>
  <c r="E1101" i="8"/>
  <c r="G1101" i="8"/>
  <c r="F1102" i="8"/>
  <c r="E1102" i="8"/>
  <c r="G1102" i="8"/>
  <c r="F1103" i="8"/>
  <c r="E1103" i="8"/>
  <c r="G1103" i="8"/>
  <c r="F1104" i="8"/>
  <c r="E1104" i="8"/>
  <c r="G1104" i="8"/>
  <c r="F1105" i="8"/>
  <c r="E1105" i="8"/>
  <c r="G1105" i="8"/>
  <c r="F1106" i="8"/>
  <c r="E1106" i="8"/>
  <c r="G1106" i="8"/>
  <c r="F1107" i="8"/>
  <c r="E1107" i="8"/>
  <c r="G1107" i="8"/>
  <c r="F1108" i="8"/>
  <c r="E1108" i="8"/>
  <c r="G1108" i="8"/>
  <c r="F1109" i="8"/>
  <c r="E1109" i="8"/>
  <c r="G1109" i="8"/>
  <c r="F1110" i="8"/>
  <c r="E1110" i="8"/>
  <c r="G1110" i="8"/>
  <c r="F1111" i="8"/>
  <c r="E1111" i="8"/>
  <c r="G1111" i="8"/>
  <c r="F1112" i="8"/>
  <c r="E1112" i="8"/>
  <c r="G1112" i="8"/>
  <c r="F1113" i="8"/>
  <c r="E1113" i="8"/>
  <c r="G1113" i="8"/>
  <c r="F1114" i="8"/>
  <c r="E1114" i="8"/>
  <c r="G1114" i="8"/>
  <c r="F1115" i="8"/>
  <c r="E1115" i="8"/>
  <c r="G1115" i="8"/>
  <c r="F1116" i="8"/>
  <c r="E1116" i="8"/>
  <c r="G1116" i="8"/>
  <c r="F1117" i="8"/>
  <c r="E1117" i="8"/>
  <c r="G1117" i="8"/>
  <c r="F1118" i="8"/>
  <c r="E1118" i="8"/>
  <c r="G1118" i="8"/>
  <c r="F1119" i="8"/>
  <c r="E1119" i="8"/>
  <c r="G1119" i="8"/>
  <c r="F1120" i="8"/>
  <c r="E1120" i="8"/>
  <c r="G1120" i="8"/>
  <c r="F1121" i="8"/>
  <c r="E1121" i="8"/>
  <c r="G1121" i="8"/>
  <c r="F1122" i="8"/>
  <c r="E1122" i="8"/>
  <c r="G1122" i="8"/>
  <c r="F1123" i="8"/>
  <c r="E1123" i="8"/>
  <c r="G1123" i="8"/>
  <c r="F1124" i="8"/>
  <c r="E1124" i="8"/>
  <c r="G1124" i="8"/>
  <c r="F1125" i="8"/>
  <c r="E1125" i="8"/>
  <c r="G1125" i="8"/>
  <c r="F1126" i="8"/>
  <c r="E1126" i="8"/>
  <c r="G1126" i="8"/>
  <c r="F1127" i="8"/>
  <c r="E1127" i="8"/>
  <c r="G1127" i="8"/>
  <c r="F1128" i="8"/>
  <c r="E1128" i="8"/>
  <c r="G1128" i="8"/>
  <c r="F1129" i="8"/>
  <c r="E1129" i="8"/>
  <c r="G1129" i="8"/>
  <c r="F1130" i="8"/>
  <c r="E1130" i="8"/>
  <c r="G1130" i="8"/>
  <c r="F1131" i="8"/>
  <c r="G1131" i="8"/>
  <c r="F1132" i="8"/>
  <c r="G1132" i="8"/>
  <c r="F1133" i="8"/>
  <c r="G1133" i="8"/>
  <c r="F1134" i="8"/>
  <c r="G1134" i="8"/>
  <c r="F1135" i="8"/>
  <c r="G1135" i="8"/>
  <c r="F1136" i="8"/>
  <c r="G1136" i="8"/>
  <c r="F1137" i="8"/>
  <c r="G1137" i="8"/>
  <c r="F1138" i="8"/>
  <c r="G1138" i="8"/>
  <c r="F1139" i="8"/>
  <c r="G1139" i="8"/>
  <c r="F1140" i="8"/>
  <c r="G1140" i="8"/>
  <c r="F1141" i="8"/>
  <c r="G1141" i="8"/>
  <c r="F1142" i="8"/>
  <c r="G1142" i="8"/>
  <c r="F1143" i="8"/>
  <c r="G1143" i="8"/>
  <c r="F1144" i="8"/>
  <c r="G1144" i="8"/>
  <c r="F1145" i="8"/>
  <c r="G1145" i="8"/>
  <c r="F1146" i="8"/>
  <c r="G1146" i="8"/>
  <c r="F1147" i="8"/>
  <c r="G1147" i="8"/>
  <c r="F1148" i="8"/>
  <c r="G1148" i="8"/>
  <c r="F1149" i="8"/>
  <c r="G1149" i="8"/>
  <c r="F1150" i="8"/>
  <c r="G1150" i="8"/>
  <c r="F1151" i="8"/>
  <c r="G1151" i="8"/>
  <c r="F1152" i="8"/>
  <c r="G1152" i="8"/>
  <c r="F1153" i="8"/>
  <c r="G1153" i="8"/>
  <c r="F1154" i="8"/>
  <c r="G1154" i="8"/>
  <c r="F1155" i="8"/>
  <c r="G1155" i="8"/>
  <c r="F1156" i="8"/>
  <c r="G1156" i="8"/>
  <c r="F1157" i="8"/>
  <c r="G1157" i="8"/>
  <c r="F1158" i="8"/>
  <c r="G1158" i="8"/>
  <c r="F1159" i="8"/>
  <c r="G1159" i="8"/>
  <c r="F1161" i="8"/>
  <c r="E1161" i="8"/>
  <c r="G1161" i="8"/>
  <c r="F1162" i="8"/>
  <c r="E1162" i="8"/>
  <c r="G1162" i="8"/>
  <c r="F1163" i="8"/>
  <c r="E1163" i="8"/>
  <c r="G1163" i="8"/>
  <c r="F1164" i="8"/>
  <c r="E1164" i="8"/>
  <c r="G1164" i="8"/>
  <c r="F1165" i="8"/>
  <c r="E1165" i="8"/>
  <c r="G1165" i="8"/>
  <c r="F1166" i="8"/>
  <c r="E1166" i="8"/>
  <c r="G1166" i="8"/>
  <c r="F1167" i="8"/>
  <c r="E1167" i="8"/>
  <c r="G1167" i="8"/>
  <c r="F1168" i="8"/>
  <c r="E1168" i="8"/>
  <c r="G1168" i="8"/>
  <c r="F1169" i="8"/>
  <c r="E1169" i="8"/>
  <c r="G1169" i="8"/>
  <c r="F1170" i="8"/>
  <c r="E1170" i="8"/>
  <c r="G1170" i="8"/>
  <c r="F1171" i="8"/>
  <c r="E1171" i="8"/>
  <c r="G1171" i="8"/>
  <c r="F1172" i="8"/>
  <c r="E1172" i="8"/>
  <c r="G1172" i="8"/>
  <c r="F1173" i="8"/>
  <c r="E1173" i="8"/>
  <c r="G1173" i="8"/>
  <c r="F1174" i="8"/>
  <c r="E1174" i="8"/>
  <c r="G1174" i="8"/>
  <c r="F1175" i="8"/>
  <c r="E1175" i="8"/>
  <c r="G1175" i="8"/>
  <c r="F1176" i="8"/>
  <c r="E1176" i="8"/>
  <c r="G1176" i="8"/>
  <c r="F1177" i="8"/>
  <c r="E1177" i="8"/>
  <c r="G1177" i="8"/>
  <c r="F1178" i="8"/>
  <c r="E1178" i="8"/>
  <c r="G1178" i="8"/>
  <c r="F1179" i="8"/>
  <c r="E1179" i="8"/>
  <c r="G1179" i="8"/>
  <c r="F1180" i="8"/>
  <c r="E1180" i="8"/>
  <c r="G1180" i="8"/>
  <c r="F1181" i="8"/>
  <c r="E1181" i="8"/>
  <c r="G1181" i="8"/>
  <c r="F1182" i="8"/>
  <c r="E1182" i="8"/>
  <c r="G1182" i="8"/>
  <c r="F1183" i="8"/>
  <c r="E1183" i="8"/>
  <c r="G1183" i="8"/>
  <c r="F1184" i="8"/>
  <c r="E1184" i="8"/>
  <c r="G1184" i="8"/>
  <c r="F1185" i="8"/>
  <c r="E1185" i="8"/>
  <c r="G1185" i="8"/>
  <c r="F1186" i="8"/>
  <c r="E1186" i="8"/>
  <c r="G1186" i="8"/>
  <c r="F1187" i="8"/>
  <c r="E1187" i="8"/>
  <c r="G1187" i="8"/>
  <c r="F1188" i="8"/>
  <c r="E1188" i="8"/>
  <c r="G1188" i="8"/>
  <c r="F1189" i="8"/>
  <c r="E1189" i="8"/>
  <c r="G1189" i="8"/>
  <c r="F1190" i="8"/>
  <c r="E1190" i="8"/>
  <c r="G1190" i="8"/>
  <c r="F1191" i="8"/>
  <c r="E1191" i="8"/>
  <c r="G1191" i="8"/>
  <c r="F1192" i="8"/>
  <c r="E1192" i="8"/>
  <c r="G1192" i="8"/>
  <c r="F1193" i="8"/>
  <c r="E1193" i="8"/>
  <c r="G1193" i="8"/>
  <c r="F1194" i="8"/>
  <c r="E1194" i="8"/>
  <c r="G1194" i="8"/>
  <c r="F1195" i="8"/>
  <c r="E1195" i="8"/>
  <c r="G1195" i="8"/>
  <c r="F1196" i="8"/>
  <c r="E1196" i="8"/>
  <c r="G1196" i="8"/>
  <c r="F1197" i="8"/>
  <c r="E1197" i="8"/>
  <c r="G1197" i="8"/>
  <c r="F1198" i="8"/>
  <c r="E1198" i="8"/>
  <c r="G1198" i="8"/>
  <c r="F1199" i="8"/>
  <c r="E1199" i="8"/>
  <c r="G1199" i="8"/>
  <c r="F1200" i="8"/>
  <c r="E1200" i="8"/>
  <c r="G1200" i="8"/>
  <c r="F1201" i="8"/>
  <c r="E1201" i="8"/>
  <c r="G1201" i="8"/>
  <c r="F1202" i="8"/>
  <c r="E1202" i="8"/>
  <c r="G1202" i="8"/>
  <c r="F1203" i="8"/>
  <c r="E1203" i="8"/>
  <c r="G1203" i="8"/>
  <c r="F1204" i="8"/>
  <c r="E1204" i="8"/>
  <c r="G1204" i="8"/>
  <c r="F1205" i="8"/>
  <c r="E1205" i="8"/>
  <c r="G1205" i="8"/>
  <c r="F1206" i="8"/>
  <c r="E1206" i="8"/>
  <c r="G1206" i="8"/>
  <c r="F1207" i="8"/>
  <c r="E1207" i="8"/>
  <c r="G1207" i="8"/>
  <c r="F1208" i="8"/>
  <c r="E1208" i="8"/>
  <c r="G1208" i="8"/>
  <c r="F1209" i="8"/>
  <c r="E1209" i="8"/>
  <c r="G1209" i="8"/>
  <c r="F1210" i="8"/>
  <c r="E1210" i="8"/>
  <c r="G1210" i="8"/>
  <c r="F1211" i="8"/>
  <c r="E1211" i="8"/>
  <c r="G1211" i="8"/>
  <c r="F1212" i="8"/>
  <c r="E1212" i="8"/>
  <c r="G1212" i="8"/>
  <c r="F1213" i="8"/>
  <c r="E1213" i="8"/>
  <c r="G1213" i="8"/>
  <c r="F1214" i="8"/>
  <c r="E1214" i="8"/>
  <c r="G1214" i="8"/>
  <c r="F1215" i="8"/>
  <c r="E1215" i="8"/>
  <c r="G1215" i="8"/>
  <c r="F1216" i="8"/>
  <c r="E1216" i="8"/>
  <c r="G1216" i="8"/>
  <c r="F1217" i="8"/>
  <c r="E1217" i="8"/>
  <c r="G1217" i="8"/>
  <c r="F1218" i="8"/>
  <c r="E1218" i="8"/>
  <c r="G1218" i="8"/>
  <c r="F1219" i="8"/>
  <c r="E1219" i="8"/>
  <c r="G1219" i="8"/>
  <c r="F1220" i="8"/>
  <c r="E1220" i="8"/>
  <c r="G1220" i="8"/>
  <c r="F1221" i="8"/>
  <c r="E1221" i="8"/>
  <c r="G1221" i="8"/>
  <c r="F1222" i="8"/>
  <c r="E1222" i="8"/>
  <c r="G1222" i="8"/>
  <c r="F1223" i="8"/>
  <c r="E1223" i="8"/>
  <c r="G1223" i="8"/>
  <c r="F1224" i="8"/>
  <c r="E1224" i="8"/>
  <c r="G1224" i="8"/>
  <c r="F1225" i="8"/>
  <c r="E1225" i="8"/>
  <c r="G1225" i="8"/>
  <c r="F1226" i="8"/>
  <c r="E1226" i="8"/>
  <c r="G1226" i="8"/>
  <c r="F1227" i="8"/>
  <c r="E1227" i="8"/>
  <c r="G1227" i="8"/>
  <c r="F1228" i="8"/>
  <c r="E1228" i="8"/>
  <c r="G1228" i="8"/>
  <c r="F1229" i="8"/>
  <c r="E1229" i="8"/>
  <c r="G1229" i="8"/>
  <c r="F1230" i="8"/>
  <c r="E1230" i="8"/>
  <c r="G1230" i="8"/>
  <c r="F1231" i="8"/>
  <c r="E1231" i="8"/>
  <c r="G1231" i="8"/>
  <c r="F1232" i="8"/>
  <c r="E1232" i="8"/>
  <c r="G1232" i="8"/>
  <c r="F1233" i="8"/>
  <c r="E1233" i="8"/>
  <c r="G1233" i="8"/>
  <c r="F1234" i="8"/>
  <c r="E1234" i="8"/>
  <c r="G1234" i="8"/>
  <c r="F1235" i="8"/>
  <c r="E1235" i="8"/>
  <c r="G1235" i="8"/>
  <c r="F1236" i="8"/>
  <c r="E1236" i="8"/>
  <c r="G1236" i="8"/>
  <c r="F1237" i="8"/>
  <c r="E1237" i="8"/>
  <c r="G1237" i="8"/>
  <c r="F1238" i="8"/>
  <c r="E1238" i="8"/>
  <c r="G1238" i="8"/>
  <c r="F1239" i="8"/>
  <c r="E1239" i="8"/>
  <c r="G1239" i="8"/>
  <c r="F1240" i="8"/>
  <c r="E1240" i="8"/>
  <c r="G1240" i="8"/>
  <c r="F1241" i="8"/>
  <c r="E1241" i="8"/>
  <c r="G1241" i="8"/>
  <c r="F1242" i="8"/>
  <c r="E1242" i="8"/>
  <c r="G1242" i="8"/>
  <c r="F1243" i="8"/>
  <c r="E1243" i="8"/>
  <c r="G1243" i="8"/>
  <c r="F1244" i="8"/>
  <c r="E1244" i="8"/>
  <c r="G1244" i="8"/>
  <c r="F1245" i="8"/>
  <c r="E1245" i="8"/>
  <c r="G1245" i="8"/>
  <c r="F1246" i="8"/>
  <c r="E1246" i="8"/>
  <c r="G1246" i="8"/>
  <c r="F1247" i="8"/>
  <c r="E1247" i="8"/>
  <c r="G1247" i="8"/>
  <c r="F1248" i="8"/>
  <c r="E1248" i="8"/>
  <c r="G1248" i="8"/>
  <c r="F1249" i="8"/>
  <c r="E1249" i="8"/>
  <c r="G1249" i="8"/>
  <c r="F1250" i="8"/>
  <c r="E1250" i="8"/>
  <c r="G1250" i="8"/>
  <c r="F1251" i="8"/>
  <c r="E1251" i="8"/>
  <c r="G1251" i="8"/>
  <c r="F1252" i="8"/>
  <c r="E1252" i="8"/>
  <c r="G1252" i="8"/>
  <c r="F1253" i="8"/>
  <c r="E1253" i="8"/>
  <c r="G1253" i="8"/>
  <c r="F1254" i="8"/>
  <c r="E1254" i="8"/>
  <c r="G1254" i="8"/>
  <c r="F1255" i="8"/>
  <c r="E1255" i="8"/>
  <c r="G1255" i="8"/>
  <c r="F1256" i="8"/>
  <c r="E1256" i="8"/>
  <c r="G1256" i="8"/>
  <c r="F1257" i="8"/>
  <c r="E1257" i="8"/>
  <c r="G1257" i="8"/>
  <c r="F1258" i="8"/>
  <c r="E1258" i="8"/>
  <c r="G1258" i="8"/>
  <c r="F1259" i="8"/>
  <c r="E1259" i="8"/>
  <c r="G1259" i="8"/>
  <c r="F1260" i="8"/>
  <c r="E1260" i="8"/>
  <c r="G1260" i="8"/>
  <c r="F1261" i="8"/>
  <c r="E1261" i="8"/>
  <c r="G1261" i="8"/>
  <c r="F1262" i="8"/>
  <c r="E1262" i="8"/>
  <c r="G1262" i="8"/>
  <c r="F1263" i="8"/>
  <c r="E1263" i="8"/>
  <c r="G1263" i="8"/>
  <c r="F1264" i="8"/>
  <c r="E1264" i="8"/>
  <c r="G1264" i="8"/>
  <c r="F1265" i="8"/>
  <c r="E1265" i="8"/>
  <c r="G1265" i="8"/>
  <c r="F1266" i="8"/>
  <c r="E1266" i="8"/>
  <c r="G1266" i="8"/>
  <c r="F1267" i="8"/>
  <c r="E1267" i="8"/>
  <c r="G1267" i="8"/>
  <c r="F1268" i="8"/>
  <c r="E1268" i="8"/>
  <c r="G1268" i="8"/>
  <c r="F1269" i="8"/>
  <c r="E1269" i="8"/>
  <c r="G1269" i="8"/>
  <c r="F1270" i="8"/>
  <c r="E1270" i="8"/>
  <c r="G1270" i="8"/>
  <c r="F1271" i="8"/>
  <c r="E1271" i="8"/>
  <c r="G1271" i="8"/>
  <c r="F1272" i="8"/>
  <c r="E1272" i="8"/>
  <c r="G1272" i="8"/>
  <c r="F1273" i="8"/>
  <c r="E1273" i="8"/>
  <c r="G1273" i="8"/>
  <c r="F1274" i="8"/>
  <c r="E1274" i="8"/>
  <c r="G1274" i="8"/>
  <c r="F1275" i="8"/>
  <c r="E1275" i="8"/>
  <c r="G1275" i="8"/>
  <c r="F1276" i="8"/>
  <c r="E1276" i="8"/>
  <c r="G1276" i="8"/>
  <c r="F1277" i="8"/>
  <c r="E1277" i="8"/>
  <c r="G1277" i="8"/>
  <c r="F1278" i="8"/>
  <c r="E1278" i="8"/>
  <c r="G1278" i="8"/>
  <c r="F1279" i="8"/>
  <c r="E1279" i="8"/>
  <c r="G1279" i="8"/>
  <c r="F1280" i="8"/>
  <c r="E1280" i="8"/>
  <c r="G1280" i="8"/>
  <c r="F1281" i="8"/>
  <c r="E1281" i="8"/>
  <c r="G1281" i="8"/>
  <c r="F1282" i="8"/>
  <c r="E1282" i="8"/>
  <c r="G1282" i="8"/>
  <c r="F1283" i="8"/>
  <c r="E1283" i="8"/>
  <c r="G1283" i="8"/>
  <c r="F1284" i="8"/>
  <c r="E1284" i="8"/>
  <c r="G1284" i="8"/>
  <c r="F1285" i="8"/>
  <c r="E1285" i="8"/>
  <c r="G1285" i="8"/>
  <c r="F1286" i="8"/>
  <c r="E1286" i="8"/>
  <c r="G1286" i="8"/>
  <c r="F1287" i="8"/>
  <c r="E1287" i="8"/>
  <c r="G1287" i="8"/>
  <c r="F1288" i="8"/>
  <c r="E1288" i="8"/>
  <c r="G1288" i="8"/>
  <c r="F1289" i="8"/>
  <c r="E1289" i="8"/>
  <c r="G1289" i="8"/>
  <c r="F1290" i="8"/>
  <c r="E1290" i="8"/>
  <c r="G1290" i="8"/>
  <c r="F1291" i="8"/>
  <c r="E1291" i="8"/>
  <c r="G1291" i="8"/>
  <c r="F1292" i="8"/>
  <c r="E1292" i="8"/>
  <c r="G1292" i="8"/>
  <c r="F1293" i="8"/>
  <c r="E1293" i="8"/>
  <c r="G1293" i="8"/>
  <c r="F1294" i="8"/>
  <c r="E1294" i="8"/>
  <c r="G1294" i="8"/>
  <c r="F1295" i="8"/>
  <c r="E1295" i="8"/>
  <c r="G1295" i="8"/>
  <c r="F1296" i="8"/>
  <c r="E1296" i="8"/>
  <c r="G1296" i="8"/>
  <c r="F1297" i="8"/>
  <c r="E1297" i="8"/>
  <c r="G1297" i="8"/>
  <c r="F1298" i="8"/>
  <c r="E1298" i="8"/>
  <c r="G1298" i="8"/>
  <c r="F1299" i="8"/>
  <c r="E1299" i="8"/>
  <c r="G1299" i="8"/>
  <c r="F1300" i="8"/>
  <c r="E1300" i="8"/>
  <c r="G1300" i="8"/>
  <c r="F1301" i="8"/>
  <c r="E1301" i="8"/>
  <c r="G1301" i="8"/>
  <c r="F1302" i="8"/>
  <c r="E1302" i="8"/>
  <c r="G1302" i="8"/>
  <c r="F1303" i="8"/>
  <c r="E1303" i="8"/>
  <c r="G1303" i="8"/>
  <c r="F1304" i="8"/>
  <c r="E1304" i="8"/>
  <c r="G1304" i="8"/>
  <c r="F1305" i="8"/>
  <c r="E1305" i="8"/>
  <c r="G1305" i="8"/>
  <c r="F1306" i="8"/>
  <c r="E1306" i="8"/>
  <c r="G1306" i="8"/>
  <c r="F1307" i="8"/>
  <c r="E1307" i="8"/>
  <c r="G1307" i="8"/>
  <c r="F1308" i="8"/>
  <c r="E1308" i="8"/>
  <c r="G1308" i="8"/>
  <c r="F1309" i="8"/>
  <c r="E1309" i="8"/>
  <c r="G1309" i="8"/>
  <c r="F1310" i="8"/>
  <c r="E1310" i="8"/>
  <c r="G1310" i="8"/>
  <c r="F1311" i="8"/>
  <c r="E1311" i="8"/>
  <c r="G1311" i="8"/>
  <c r="F1312" i="8"/>
  <c r="E1312" i="8"/>
  <c r="G1312" i="8"/>
  <c r="F1313" i="8"/>
  <c r="E1313" i="8"/>
  <c r="G1313" i="8"/>
  <c r="F1314" i="8"/>
  <c r="E1314" i="8"/>
  <c r="G1314" i="8"/>
  <c r="F1315" i="8"/>
  <c r="E1315" i="8"/>
  <c r="G1315" i="8"/>
  <c r="F1316" i="8"/>
  <c r="E1316" i="8"/>
  <c r="G1316" i="8"/>
  <c r="F1317" i="8"/>
  <c r="E1317" i="8"/>
  <c r="G1317" i="8"/>
  <c r="F1318" i="8"/>
  <c r="E1318" i="8"/>
  <c r="G1318" i="8"/>
  <c r="F1319" i="8"/>
  <c r="E1319" i="8"/>
  <c r="G1319" i="8"/>
  <c r="F1320" i="8"/>
  <c r="E1320" i="8"/>
  <c r="G1320" i="8"/>
  <c r="F1321" i="8"/>
  <c r="E1321" i="8"/>
  <c r="G1321" i="8"/>
  <c r="F1322" i="8"/>
  <c r="E1322" i="8"/>
  <c r="G1322" i="8"/>
  <c r="F1323" i="8"/>
  <c r="E1323" i="8"/>
  <c r="G1323" i="8"/>
  <c r="F1324" i="8"/>
  <c r="E1324" i="8"/>
  <c r="G1324" i="8"/>
  <c r="F1325" i="8"/>
  <c r="E1325" i="8"/>
  <c r="G1325" i="8"/>
  <c r="F1326" i="8"/>
  <c r="E1326" i="8"/>
  <c r="G1326" i="8"/>
  <c r="F1327" i="8"/>
  <c r="E1327" i="8"/>
  <c r="G1327" i="8"/>
  <c r="F1328" i="8"/>
  <c r="E1328" i="8"/>
  <c r="G1328" i="8"/>
  <c r="F1329" i="8"/>
  <c r="E1329" i="8"/>
  <c r="G1329" i="8"/>
  <c r="F1330" i="8"/>
  <c r="E1330" i="8"/>
  <c r="G1330" i="8"/>
  <c r="F1331" i="8"/>
  <c r="E1331" i="8"/>
  <c r="G1331" i="8"/>
  <c r="F1332" i="8"/>
  <c r="E1332" i="8"/>
  <c r="G1332" i="8"/>
  <c r="F1333" i="8"/>
  <c r="E1333" i="8"/>
  <c r="G1333" i="8"/>
  <c r="F1334" i="8"/>
  <c r="E1334" i="8"/>
  <c r="G1334" i="8"/>
  <c r="F1335" i="8"/>
  <c r="E1335" i="8"/>
  <c r="G1335" i="8"/>
  <c r="F1336" i="8"/>
  <c r="E1336" i="8"/>
  <c r="G1336" i="8"/>
  <c r="F1337" i="8"/>
  <c r="E1337" i="8"/>
  <c r="G1337" i="8"/>
  <c r="F1338" i="8"/>
  <c r="E1338" i="8"/>
  <c r="G1338" i="8"/>
  <c r="F1339" i="8"/>
  <c r="E1339" i="8"/>
  <c r="G1339" i="8"/>
  <c r="F1340" i="8"/>
  <c r="E1340" i="8"/>
  <c r="G1340" i="8"/>
  <c r="F1341" i="8"/>
  <c r="E1341" i="8"/>
  <c r="G1341" i="8"/>
  <c r="F1342" i="8"/>
  <c r="E1342" i="8"/>
  <c r="G1342" i="8"/>
  <c r="F1343" i="8"/>
  <c r="E1343" i="8"/>
  <c r="G1343" i="8"/>
  <c r="F1344" i="8"/>
  <c r="E1344" i="8"/>
  <c r="G1344" i="8"/>
  <c r="F1345" i="8"/>
  <c r="E1345" i="8"/>
  <c r="G1345" i="8"/>
  <c r="F1346" i="8"/>
  <c r="E1346" i="8"/>
  <c r="G1346" i="8"/>
  <c r="F1347" i="8"/>
  <c r="E1347" i="8"/>
  <c r="G1347" i="8"/>
  <c r="F1348" i="8"/>
  <c r="E1348" i="8"/>
  <c r="G1348" i="8"/>
  <c r="F1349" i="8"/>
  <c r="E1349" i="8"/>
  <c r="G1349" i="8"/>
  <c r="F1350" i="8"/>
  <c r="E1350" i="8"/>
  <c r="G1350" i="8"/>
  <c r="F1351" i="8"/>
  <c r="E1351" i="8"/>
  <c r="G1351" i="8"/>
  <c r="F1352" i="8"/>
  <c r="E1352" i="8"/>
  <c r="G1352" i="8"/>
  <c r="F1353" i="8"/>
  <c r="E1353" i="8"/>
  <c r="G1353" i="8"/>
  <c r="F1354" i="8"/>
  <c r="E1354" i="8"/>
  <c r="G1354" i="8"/>
  <c r="F1355" i="8"/>
  <c r="E1355" i="8"/>
  <c r="G1355" i="8"/>
  <c r="F1356" i="8"/>
  <c r="E1356" i="8"/>
  <c r="G1356" i="8"/>
  <c r="F1357" i="8"/>
  <c r="E1357" i="8"/>
  <c r="G1357" i="8"/>
  <c r="F1358" i="8"/>
  <c r="E1358" i="8"/>
  <c r="G1358" i="8"/>
  <c r="F1359" i="8"/>
  <c r="E1359" i="8"/>
  <c r="G1359" i="8"/>
  <c r="F1360" i="8"/>
  <c r="E1360" i="8"/>
  <c r="G1360" i="8"/>
  <c r="F1361" i="8"/>
  <c r="E1361" i="8"/>
  <c r="G1361" i="8"/>
  <c r="F1362" i="8"/>
  <c r="E1362" i="8"/>
  <c r="G1362" i="8"/>
  <c r="F1363" i="8"/>
  <c r="E1363" i="8"/>
  <c r="G1363" i="8"/>
  <c r="F1364" i="8"/>
  <c r="E1364" i="8"/>
  <c r="G1364" i="8"/>
  <c r="F1365" i="8"/>
  <c r="E1365" i="8"/>
  <c r="G1365" i="8"/>
  <c r="F1366" i="8"/>
  <c r="E1366" i="8"/>
  <c r="G1366" i="8"/>
  <c r="F1367" i="8"/>
  <c r="E1367" i="8"/>
  <c r="G1367" i="8"/>
  <c r="F1368" i="8"/>
  <c r="E1368" i="8"/>
  <c r="G1368" i="8"/>
  <c r="F1369" i="8"/>
  <c r="E1369" i="8"/>
  <c r="G1369" i="8"/>
  <c r="F1370" i="8"/>
  <c r="E1370" i="8"/>
  <c r="G1370" i="8"/>
  <c r="F1371" i="8"/>
  <c r="E1371" i="8"/>
  <c r="G1371" i="8"/>
  <c r="F1372" i="8"/>
  <c r="E1372" i="8"/>
  <c r="G1372" i="8"/>
  <c r="F1373" i="8"/>
  <c r="E1373" i="8"/>
  <c r="G1373" i="8"/>
  <c r="F1374" i="8"/>
  <c r="E1374" i="8"/>
  <c r="G1374" i="8"/>
  <c r="F1375" i="8"/>
  <c r="E1375" i="8"/>
  <c r="G1375" i="8"/>
  <c r="F1376" i="8"/>
  <c r="E1376" i="8"/>
  <c r="G1376" i="8"/>
  <c r="F1377" i="8"/>
  <c r="E1377" i="8"/>
  <c r="G1377" i="8"/>
  <c r="F1378" i="8"/>
  <c r="E1378" i="8"/>
  <c r="G1378" i="8"/>
  <c r="F1379" i="8"/>
  <c r="E1379" i="8"/>
  <c r="G1379" i="8"/>
  <c r="F1380" i="8"/>
  <c r="E1380" i="8"/>
  <c r="G1380" i="8"/>
  <c r="F1381" i="8"/>
  <c r="E1381" i="8"/>
  <c r="G1381" i="8"/>
  <c r="F1382" i="8"/>
  <c r="E1382" i="8"/>
  <c r="G1382" i="8"/>
  <c r="F1383" i="8"/>
  <c r="E1383" i="8"/>
  <c r="G1383" i="8"/>
  <c r="F1384" i="8"/>
  <c r="E1384" i="8"/>
  <c r="G1384" i="8"/>
  <c r="F1385" i="8"/>
  <c r="E1385" i="8"/>
  <c r="G1385" i="8"/>
  <c r="F1386" i="8"/>
  <c r="E1386" i="8"/>
  <c r="G1386" i="8"/>
  <c r="F1387" i="8"/>
  <c r="E1387" i="8"/>
  <c r="G1387" i="8"/>
  <c r="F1388" i="8"/>
  <c r="E1388" i="8"/>
  <c r="G1388" i="8"/>
  <c r="F1389" i="8"/>
  <c r="E1389" i="8"/>
  <c r="G1389" i="8"/>
  <c r="F1390" i="8"/>
  <c r="E1390" i="8"/>
  <c r="G1390" i="8"/>
  <c r="F1391" i="8"/>
  <c r="E1391" i="8"/>
  <c r="G1391" i="8"/>
  <c r="F1392" i="8"/>
  <c r="E1392" i="8"/>
  <c r="G1392" i="8"/>
  <c r="F1393" i="8"/>
  <c r="E1393" i="8"/>
  <c r="G1393" i="8"/>
  <c r="F1394" i="8"/>
  <c r="E1394" i="8"/>
  <c r="G1394" i="8"/>
  <c r="F1395" i="8"/>
  <c r="E1395" i="8"/>
  <c r="G1395" i="8"/>
  <c r="F1396" i="8"/>
  <c r="E1396" i="8"/>
  <c r="G1396" i="8"/>
  <c r="F1397" i="8"/>
  <c r="E1397" i="8"/>
  <c r="G1397" i="8"/>
  <c r="F1398" i="8"/>
  <c r="E1398" i="8"/>
  <c r="G1398" i="8"/>
  <c r="F1399" i="8"/>
  <c r="E1399" i="8"/>
  <c r="G1399" i="8"/>
  <c r="F1400" i="8"/>
  <c r="E1400" i="8"/>
  <c r="G1400" i="8"/>
  <c r="F1401" i="8"/>
  <c r="E1401" i="8"/>
  <c r="G1401" i="8"/>
  <c r="F1402" i="8"/>
  <c r="E1402" i="8"/>
  <c r="G1402" i="8"/>
  <c r="F1403" i="8"/>
  <c r="E1403" i="8"/>
  <c r="G1403" i="8"/>
  <c r="F1404" i="8"/>
  <c r="E1404" i="8"/>
  <c r="G1404" i="8"/>
  <c r="F1405" i="8"/>
  <c r="E1405" i="8"/>
  <c r="G1405" i="8"/>
  <c r="F1406" i="8"/>
  <c r="E1406" i="8"/>
  <c r="G1406" i="8"/>
  <c r="F1407" i="8"/>
  <c r="E1407" i="8"/>
  <c r="G1407" i="8"/>
  <c r="F1408" i="8"/>
  <c r="E1408" i="8"/>
  <c r="G1408" i="8"/>
  <c r="F1409" i="8"/>
  <c r="E1409" i="8"/>
  <c r="G1409" i="8"/>
  <c r="F1410" i="8"/>
  <c r="E1410" i="8"/>
  <c r="G1410" i="8"/>
  <c r="F1411" i="8"/>
  <c r="E1411" i="8"/>
  <c r="G1411" i="8"/>
  <c r="F1412" i="8"/>
  <c r="E1412" i="8"/>
  <c r="G1412" i="8"/>
  <c r="F1413" i="8"/>
  <c r="E1413" i="8"/>
  <c r="G1413" i="8"/>
  <c r="F1414" i="8"/>
  <c r="E1414" i="8"/>
  <c r="G1414" i="8"/>
  <c r="F1415" i="8"/>
  <c r="E1415" i="8"/>
  <c r="G1415" i="8"/>
  <c r="F1416" i="8"/>
  <c r="E1416" i="8"/>
  <c r="G1416" i="8"/>
  <c r="F1417" i="8"/>
  <c r="E1417" i="8"/>
  <c r="G1417" i="8"/>
  <c r="F1418" i="8"/>
  <c r="E1418" i="8"/>
  <c r="G1418" i="8"/>
  <c r="F1419" i="8"/>
  <c r="E1419" i="8"/>
  <c r="G1419" i="8"/>
  <c r="F1420" i="8"/>
  <c r="E1420" i="8"/>
  <c r="G1420" i="8"/>
  <c r="F1421" i="8"/>
  <c r="E1421" i="8"/>
  <c r="G1421" i="8"/>
  <c r="F1422" i="8"/>
  <c r="E1422" i="8"/>
  <c r="G1422" i="8"/>
  <c r="F1423" i="8"/>
  <c r="E1423" i="8"/>
  <c r="G1423" i="8"/>
  <c r="F1424" i="8"/>
  <c r="E1424" i="8"/>
  <c r="G1424" i="8"/>
  <c r="F1425" i="8"/>
  <c r="E1425" i="8"/>
  <c r="G1425" i="8"/>
  <c r="F1426" i="8"/>
  <c r="E1426" i="8"/>
  <c r="G1426" i="8"/>
  <c r="F1427" i="8"/>
  <c r="E1427" i="8"/>
  <c r="G1427" i="8"/>
  <c r="F1428" i="8"/>
  <c r="E1428" i="8"/>
  <c r="G1428" i="8"/>
  <c r="F1429" i="8"/>
  <c r="E1429" i="8"/>
  <c r="G1429" i="8"/>
  <c r="F1430" i="8"/>
  <c r="E1430" i="8"/>
  <c r="G1430" i="8"/>
  <c r="F1431" i="8"/>
  <c r="E1431" i="8"/>
  <c r="G1431" i="8"/>
  <c r="F1432" i="8"/>
  <c r="E1432" i="8"/>
  <c r="G1432" i="8"/>
  <c r="F1433" i="8"/>
  <c r="E1433" i="8"/>
  <c r="G1433" i="8"/>
  <c r="F1434" i="8"/>
  <c r="E1434" i="8"/>
  <c r="G1434" i="8"/>
  <c r="F1435" i="8"/>
  <c r="E1435" i="8"/>
  <c r="G1435" i="8"/>
  <c r="F1436" i="8"/>
  <c r="E1436" i="8"/>
  <c r="G1436" i="8"/>
  <c r="F1437" i="8"/>
  <c r="E1437" i="8"/>
  <c r="G1437" i="8"/>
  <c r="F1438" i="8"/>
  <c r="E1438" i="8"/>
  <c r="G1438" i="8"/>
  <c r="F1439" i="8"/>
  <c r="E1439" i="8"/>
  <c r="G1439" i="8"/>
  <c r="F1440" i="8"/>
  <c r="E1440" i="8"/>
  <c r="G1440" i="8"/>
  <c r="F1441" i="8"/>
  <c r="E1441" i="8"/>
  <c r="G1441" i="8"/>
  <c r="F1442" i="8"/>
  <c r="E1442" i="8"/>
  <c r="G1442" i="8"/>
  <c r="F1443" i="8"/>
  <c r="E1443" i="8"/>
  <c r="G1443" i="8"/>
  <c r="F1444" i="8"/>
  <c r="E1444" i="8"/>
  <c r="G1444" i="8"/>
  <c r="F1445" i="8"/>
  <c r="E1445" i="8"/>
  <c r="G1445" i="8"/>
  <c r="F1446" i="8"/>
  <c r="E1446" i="8"/>
  <c r="G1446" i="8"/>
  <c r="F1447" i="8"/>
  <c r="E1447" i="8"/>
  <c r="G1447" i="8"/>
  <c r="F1448" i="8"/>
  <c r="E1448" i="8"/>
  <c r="G1448" i="8"/>
  <c r="F1449" i="8"/>
  <c r="E1449" i="8"/>
  <c r="G1449" i="8"/>
  <c r="F1450" i="8"/>
  <c r="E1450" i="8"/>
  <c r="G1450" i="8"/>
  <c r="F1451" i="8"/>
  <c r="E1451" i="8"/>
  <c r="G1451" i="8"/>
  <c r="F1452" i="8"/>
  <c r="E1452" i="8"/>
  <c r="G1452" i="8"/>
  <c r="F1453" i="8"/>
  <c r="E1453" i="8"/>
  <c r="G1453" i="8"/>
  <c r="F1454" i="8"/>
  <c r="E1454" i="8"/>
  <c r="G1454" i="8"/>
  <c r="F1455" i="8"/>
  <c r="E1455" i="8"/>
  <c r="G1455" i="8"/>
  <c r="F1456" i="8"/>
  <c r="E1456" i="8"/>
  <c r="G1456" i="8"/>
  <c r="F1457" i="8"/>
  <c r="E1457" i="8"/>
  <c r="G1457" i="8"/>
  <c r="F1458" i="8"/>
  <c r="E1458" i="8"/>
  <c r="G1458" i="8"/>
  <c r="F1459" i="8"/>
  <c r="E1459" i="8"/>
  <c r="G1459" i="8"/>
  <c r="F1460" i="8"/>
  <c r="E1460" i="8"/>
  <c r="G1460" i="8"/>
  <c r="F1461" i="8"/>
  <c r="E1461" i="8"/>
  <c r="G1461" i="8"/>
  <c r="F1462" i="8"/>
  <c r="E1462" i="8"/>
  <c r="G1462" i="8"/>
  <c r="F1463" i="8"/>
  <c r="E1463" i="8"/>
  <c r="G1463" i="8"/>
  <c r="F1464" i="8"/>
  <c r="E1464" i="8"/>
  <c r="G1464" i="8"/>
  <c r="F1465" i="8"/>
  <c r="E1465" i="8"/>
  <c r="G1465" i="8"/>
  <c r="F1466" i="8"/>
  <c r="E1466" i="8"/>
  <c r="G1466" i="8"/>
  <c r="F1467" i="8"/>
  <c r="E1467" i="8"/>
  <c r="G1467" i="8"/>
  <c r="F1468" i="8"/>
  <c r="E1468" i="8"/>
  <c r="G1468" i="8"/>
  <c r="F1469" i="8"/>
  <c r="E1469" i="8"/>
  <c r="G1469" i="8"/>
  <c r="F1470" i="8"/>
  <c r="E1470" i="8"/>
  <c r="G1470" i="8"/>
  <c r="F1471" i="8"/>
  <c r="E1471" i="8"/>
  <c r="G1471" i="8"/>
  <c r="F1472" i="8"/>
  <c r="E1472" i="8"/>
  <c r="G1472" i="8"/>
  <c r="F1473" i="8"/>
  <c r="E1473" i="8"/>
  <c r="G1473" i="8"/>
  <c r="F1474" i="8"/>
  <c r="E1474" i="8"/>
  <c r="G1474" i="8"/>
  <c r="F1475" i="8"/>
  <c r="E1475" i="8"/>
  <c r="G1475" i="8"/>
  <c r="F1476" i="8"/>
  <c r="E1476" i="8"/>
  <c r="G1476" i="8"/>
  <c r="F1477" i="8"/>
  <c r="E1477" i="8"/>
  <c r="G1477" i="8"/>
  <c r="F1478" i="8"/>
  <c r="E1478" i="8"/>
  <c r="G1478" i="8"/>
  <c r="F1479" i="8"/>
  <c r="E1479" i="8"/>
  <c r="G1479" i="8"/>
  <c r="F1480" i="8"/>
  <c r="E1480" i="8"/>
  <c r="G1480" i="8"/>
  <c r="F1481" i="8"/>
  <c r="E1481" i="8"/>
  <c r="G1481" i="8"/>
  <c r="F1482" i="8"/>
  <c r="E1482" i="8"/>
  <c r="G1482" i="8"/>
  <c r="F1483" i="8"/>
  <c r="E1483" i="8"/>
  <c r="G1483" i="8"/>
  <c r="F1484" i="8"/>
  <c r="E1484" i="8"/>
  <c r="G1484" i="8"/>
  <c r="F1485" i="8"/>
  <c r="E1485" i="8"/>
  <c r="G1485" i="8"/>
  <c r="F1486" i="8"/>
  <c r="E1486" i="8"/>
  <c r="G1486" i="8"/>
  <c r="F1487" i="8"/>
  <c r="E1487" i="8"/>
  <c r="G1487" i="8"/>
  <c r="F1488" i="8"/>
  <c r="E1488" i="8"/>
  <c r="G1488" i="8"/>
  <c r="F1489" i="8"/>
  <c r="E1489" i="8"/>
  <c r="G1489" i="8"/>
  <c r="F1490" i="8"/>
  <c r="E1490" i="8"/>
  <c r="G1490" i="8"/>
  <c r="F1491" i="8"/>
  <c r="E1491" i="8"/>
  <c r="G1491" i="8"/>
  <c r="F1492" i="8"/>
  <c r="E1492" i="8"/>
  <c r="G1492" i="8"/>
  <c r="F1493" i="8"/>
  <c r="E1493" i="8"/>
  <c r="G1493" i="8"/>
  <c r="F1494" i="8"/>
  <c r="E1494" i="8"/>
  <c r="G1494" i="8"/>
  <c r="F1495" i="8"/>
  <c r="E1495" i="8"/>
  <c r="G1495" i="8"/>
  <c r="F1496" i="8"/>
  <c r="E1496" i="8"/>
  <c r="G1496" i="8"/>
  <c r="F1497" i="8"/>
  <c r="E1497" i="8"/>
  <c r="G1497" i="8"/>
  <c r="F1498" i="8"/>
  <c r="E1498" i="8"/>
  <c r="G1498" i="8"/>
  <c r="F1499" i="8"/>
  <c r="E1499" i="8"/>
  <c r="G1499" i="8"/>
  <c r="F1500" i="8"/>
  <c r="E1500" i="8"/>
  <c r="G1500" i="8"/>
  <c r="F1501" i="8"/>
  <c r="E1501" i="8"/>
  <c r="G1501" i="8"/>
  <c r="F1502" i="8"/>
  <c r="E1502" i="8"/>
  <c r="G1502" i="8"/>
  <c r="F1503" i="8"/>
  <c r="E1503" i="8"/>
  <c r="G1503" i="8"/>
  <c r="F1504" i="8"/>
  <c r="E1504" i="8"/>
  <c r="G1504" i="8"/>
  <c r="F1505" i="8"/>
  <c r="E1505" i="8"/>
  <c r="G1505" i="8"/>
  <c r="F1506" i="8"/>
  <c r="E1506" i="8"/>
  <c r="G1506" i="8"/>
  <c r="F1507" i="8"/>
  <c r="E1507" i="8"/>
  <c r="G1507" i="8"/>
  <c r="F1508" i="8"/>
  <c r="E1508" i="8"/>
  <c r="G1508" i="8"/>
  <c r="F1509" i="8"/>
  <c r="E1509" i="8"/>
  <c r="G1509" i="8"/>
  <c r="F1510" i="8"/>
  <c r="E1510" i="8"/>
  <c r="G1510" i="8"/>
  <c r="F1511" i="8"/>
  <c r="E1511" i="8"/>
  <c r="G1511" i="8"/>
  <c r="F1512" i="8"/>
  <c r="E1512" i="8"/>
  <c r="G1512" i="8"/>
  <c r="F1513" i="8"/>
  <c r="E1513" i="8"/>
  <c r="G1513" i="8"/>
  <c r="F1514" i="8"/>
  <c r="E1514" i="8"/>
  <c r="G1514" i="8"/>
  <c r="F1515" i="8"/>
  <c r="E1515" i="8"/>
  <c r="G1515" i="8"/>
  <c r="F1516" i="8"/>
  <c r="E1516" i="8"/>
  <c r="G1516" i="8"/>
  <c r="F1517" i="8"/>
  <c r="E1517" i="8"/>
  <c r="G1517" i="8"/>
  <c r="F1518" i="8"/>
  <c r="E1518" i="8"/>
  <c r="G1518" i="8"/>
  <c r="F1519" i="8"/>
  <c r="E1519" i="8"/>
  <c r="G1519" i="8"/>
  <c r="F1520" i="8"/>
  <c r="E1520" i="8"/>
  <c r="G1520" i="8"/>
  <c r="F1521" i="8"/>
  <c r="E1521" i="8"/>
  <c r="G1521" i="8"/>
  <c r="F1522" i="8"/>
  <c r="E1522" i="8"/>
  <c r="G1522" i="8"/>
  <c r="F1523" i="8"/>
  <c r="E1523" i="8"/>
  <c r="G1523" i="8"/>
  <c r="F1524" i="8"/>
  <c r="E1524" i="8"/>
  <c r="G1524" i="8"/>
  <c r="F1525" i="8"/>
  <c r="E1525" i="8"/>
  <c r="G1525" i="8"/>
  <c r="F1526" i="8"/>
  <c r="E1526" i="8"/>
  <c r="G1526" i="8"/>
  <c r="F1527" i="8"/>
  <c r="E1527" i="8"/>
  <c r="G1527" i="8"/>
  <c r="F1528" i="8"/>
  <c r="E1528" i="8"/>
  <c r="G1528" i="8"/>
  <c r="F1529" i="8"/>
  <c r="E1529" i="8"/>
  <c r="G1529" i="8"/>
  <c r="F1530" i="8"/>
  <c r="E1530" i="8"/>
  <c r="G1530" i="8"/>
  <c r="F1531" i="8"/>
  <c r="E1531" i="8"/>
  <c r="G1531" i="8"/>
  <c r="F1532" i="8"/>
  <c r="E1532" i="8"/>
  <c r="G1532" i="8"/>
  <c r="F1533" i="8"/>
  <c r="E1533" i="8"/>
  <c r="G1533" i="8"/>
  <c r="F1534" i="8"/>
  <c r="E1534" i="8"/>
  <c r="G1534" i="8"/>
  <c r="F1535" i="8"/>
  <c r="E1535" i="8"/>
  <c r="G1535" i="8"/>
  <c r="F1536" i="8"/>
  <c r="E1536" i="8"/>
  <c r="G1536" i="8"/>
  <c r="F1537" i="8"/>
  <c r="E1537" i="8"/>
  <c r="G1537" i="8"/>
  <c r="F1538" i="8"/>
  <c r="E1538" i="8"/>
  <c r="G1538" i="8"/>
  <c r="F1539" i="8"/>
  <c r="E1539" i="8"/>
  <c r="G1539" i="8"/>
  <c r="F1540" i="8"/>
  <c r="E1540" i="8"/>
  <c r="G1540" i="8"/>
  <c r="F1541" i="8"/>
  <c r="E1541" i="8"/>
  <c r="G1541" i="8"/>
  <c r="F1542" i="8"/>
  <c r="E1542" i="8"/>
  <c r="G1542" i="8"/>
  <c r="F1543" i="8"/>
  <c r="E1543" i="8"/>
  <c r="G1543" i="8"/>
  <c r="F1544" i="8"/>
  <c r="E1544" i="8"/>
  <c r="G1544" i="8"/>
  <c r="F1545" i="8"/>
  <c r="E1545" i="8"/>
  <c r="G1545" i="8"/>
  <c r="F1546" i="8"/>
  <c r="E1546" i="8"/>
  <c r="G1546" i="8"/>
  <c r="F1547" i="8"/>
  <c r="E1547" i="8"/>
  <c r="G1547" i="8"/>
  <c r="F1548" i="8"/>
  <c r="E1548" i="8"/>
  <c r="G1548" i="8"/>
  <c r="F1549" i="8"/>
  <c r="E1549" i="8"/>
  <c r="G1549" i="8"/>
  <c r="F1550" i="8"/>
  <c r="E1550" i="8"/>
  <c r="G1550" i="8"/>
  <c r="F1551" i="8"/>
  <c r="E1551" i="8"/>
  <c r="G1551" i="8"/>
  <c r="F1552" i="8"/>
  <c r="E1552" i="8"/>
  <c r="G1552" i="8"/>
  <c r="F1553" i="8"/>
  <c r="E1553" i="8"/>
  <c r="G1553" i="8"/>
  <c r="F1554" i="8"/>
  <c r="E1554" i="8"/>
  <c r="G1554" i="8"/>
  <c r="F1555" i="8"/>
  <c r="E1555" i="8"/>
  <c r="G1555" i="8"/>
  <c r="F1556" i="8"/>
  <c r="E1556" i="8"/>
  <c r="G1556" i="8"/>
  <c r="F1557" i="8"/>
  <c r="E1557" i="8"/>
  <c r="G1557" i="8"/>
  <c r="F1558" i="8"/>
  <c r="E1558" i="8"/>
  <c r="G1558" i="8"/>
  <c r="F1559" i="8"/>
  <c r="E1559" i="8"/>
  <c r="G1559" i="8"/>
  <c r="F1560" i="8"/>
  <c r="E1560" i="8"/>
  <c r="G1560" i="8"/>
  <c r="F1561" i="8"/>
  <c r="E1561" i="8"/>
  <c r="G1561" i="8"/>
  <c r="F1562" i="8"/>
  <c r="E1562" i="8"/>
  <c r="G1562" i="8"/>
  <c r="F1563" i="8"/>
  <c r="E1563" i="8"/>
  <c r="G1563" i="8"/>
  <c r="F1564" i="8"/>
  <c r="E1564" i="8"/>
  <c r="G1564" i="8"/>
  <c r="F1565" i="8"/>
  <c r="E1565" i="8"/>
  <c r="G1565" i="8"/>
  <c r="F1566" i="8"/>
  <c r="E1566" i="8"/>
  <c r="G1566" i="8"/>
  <c r="F1567" i="8"/>
  <c r="E1567" i="8"/>
  <c r="G1567" i="8"/>
  <c r="F1568" i="8"/>
  <c r="E1568" i="8"/>
  <c r="G1568" i="8"/>
  <c r="F1569" i="8"/>
  <c r="E1569" i="8"/>
  <c r="G1569" i="8"/>
  <c r="F1570" i="8"/>
  <c r="E1570" i="8"/>
  <c r="G1570" i="8"/>
  <c r="F1571" i="8"/>
  <c r="E1571" i="8"/>
  <c r="G1571" i="8"/>
  <c r="F1572" i="8"/>
  <c r="E1572" i="8"/>
  <c r="G1572" i="8"/>
  <c r="F1573" i="8"/>
  <c r="E1573" i="8"/>
  <c r="G1573" i="8"/>
  <c r="F1574" i="8"/>
  <c r="E1574" i="8"/>
  <c r="G1574" i="8"/>
  <c r="F1575" i="8"/>
  <c r="E1575" i="8"/>
  <c r="G1575" i="8"/>
  <c r="F1576" i="8"/>
  <c r="E1576" i="8"/>
  <c r="G1576" i="8"/>
  <c r="F1577" i="8"/>
  <c r="E1577" i="8"/>
  <c r="G1577" i="8"/>
  <c r="F1578" i="8"/>
  <c r="E1578" i="8"/>
  <c r="G1578" i="8"/>
  <c r="F1579" i="8"/>
  <c r="E1579" i="8"/>
  <c r="G1579" i="8"/>
  <c r="F1580" i="8"/>
  <c r="E1580" i="8"/>
  <c r="G1580" i="8"/>
  <c r="F1581" i="8"/>
  <c r="E1581" i="8"/>
  <c r="G1581" i="8"/>
  <c r="F1582" i="8"/>
  <c r="E1582" i="8"/>
  <c r="G1582" i="8"/>
  <c r="F1583" i="8"/>
  <c r="E1583" i="8"/>
  <c r="G1583" i="8"/>
  <c r="F1584" i="8"/>
  <c r="E1584" i="8"/>
  <c r="G1584" i="8"/>
  <c r="F1585" i="8"/>
  <c r="E1585" i="8"/>
  <c r="G1585" i="8"/>
  <c r="F1586" i="8"/>
  <c r="E1586" i="8"/>
  <c r="G1586" i="8"/>
  <c r="F1587" i="8"/>
  <c r="E1587" i="8"/>
  <c r="G1587" i="8"/>
  <c r="F1588" i="8"/>
  <c r="E1588" i="8"/>
  <c r="G1588" i="8"/>
  <c r="F1589" i="8"/>
  <c r="E1589" i="8"/>
  <c r="G1589" i="8"/>
  <c r="F1590" i="8"/>
  <c r="E1590" i="8"/>
  <c r="G1590" i="8"/>
  <c r="F1591" i="8"/>
  <c r="E1591" i="8"/>
  <c r="G1591" i="8"/>
  <c r="F1592" i="8"/>
  <c r="E1592" i="8"/>
  <c r="G1592" i="8"/>
  <c r="F1593" i="8"/>
  <c r="E1593" i="8"/>
  <c r="G1593" i="8"/>
  <c r="F1594" i="8"/>
  <c r="E1594" i="8"/>
  <c r="G1594" i="8"/>
  <c r="F1595" i="8"/>
  <c r="E1595" i="8"/>
  <c r="G1595" i="8"/>
  <c r="F1596" i="8"/>
  <c r="E1596" i="8"/>
  <c r="G1596" i="8"/>
  <c r="F1597" i="8"/>
  <c r="E1597" i="8"/>
  <c r="G1597" i="8"/>
  <c r="F1598" i="8"/>
  <c r="E1598" i="8"/>
  <c r="G1598" i="8"/>
  <c r="F1599" i="8"/>
  <c r="E1599" i="8"/>
  <c r="G1599" i="8"/>
  <c r="F1600" i="8"/>
  <c r="E1600" i="8"/>
  <c r="G1600" i="8"/>
  <c r="F1601" i="8"/>
  <c r="E1601" i="8"/>
  <c r="G1601" i="8"/>
  <c r="F1602" i="8"/>
  <c r="E1602" i="8"/>
  <c r="G1602" i="8"/>
  <c r="F1603" i="8"/>
  <c r="E1603" i="8"/>
  <c r="G1603" i="8"/>
  <c r="F1604" i="8"/>
  <c r="E1604" i="8"/>
  <c r="G1604" i="8"/>
  <c r="F1605" i="8"/>
  <c r="E1605" i="8"/>
  <c r="G1605" i="8"/>
  <c r="F1606" i="8"/>
  <c r="E1606" i="8"/>
  <c r="G1606" i="8"/>
  <c r="F1607" i="8"/>
  <c r="E1607" i="8"/>
  <c r="G1607" i="8"/>
  <c r="F1608" i="8"/>
  <c r="E1608" i="8"/>
  <c r="G1608" i="8"/>
  <c r="F1609" i="8"/>
  <c r="E1609" i="8"/>
  <c r="G1609" i="8"/>
  <c r="F1610" i="8"/>
  <c r="E1610" i="8"/>
  <c r="G1610" i="8"/>
  <c r="F1611" i="8"/>
  <c r="E1611" i="8"/>
  <c r="G1611" i="8"/>
  <c r="F1612" i="8"/>
  <c r="E1612" i="8"/>
  <c r="G1612" i="8"/>
  <c r="F1613" i="8"/>
  <c r="E1613" i="8"/>
  <c r="G1613" i="8"/>
  <c r="F1614" i="8"/>
  <c r="E1614" i="8"/>
  <c r="G1614" i="8"/>
  <c r="F1615" i="8"/>
  <c r="E1615" i="8"/>
  <c r="G1615" i="8"/>
  <c r="F1616" i="8"/>
  <c r="E1616" i="8"/>
  <c r="G1616" i="8"/>
  <c r="F1617" i="8"/>
  <c r="E1617" i="8"/>
  <c r="G1617" i="8"/>
  <c r="F1618" i="8"/>
  <c r="E1618" i="8"/>
  <c r="G1618" i="8"/>
  <c r="F1619" i="8"/>
  <c r="E1619" i="8"/>
  <c r="G1619" i="8"/>
  <c r="F1620" i="8"/>
  <c r="E1620" i="8"/>
  <c r="G1620" i="8"/>
  <c r="F1621" i="8"/>
  <c r="E1621" i="8"/>
  <c r="G1621" i="8"/>
  <c r="F1622" i="8"/>
  <c r="E1622" i="8"/>
  <c r="G1622" i="8"/>
  <c r="F1623" i="8"/>
  <c r="E1623" i="8"/>
  <c r="G1623" i="8"/>
  <c r="F1624" i="8"/>
  <c r="E1624" i="8"/>
  <c r="G1624" i="8"/>
  <c r="F1625" i="8"/>
  <c r="E1625" i="8"/>
  <c r="G1625" i="8"/>
  <c r="F1626" i="8"/>
  <c r="E1626" i="8"/>
  <c r="G1626" i="8"/>
  <c r="F1627" i="8"/>
  <c r="E1627" i="8"/>
  <c r="G1627" i="8"/>
  <c r="F1628" i="8"/>
  <c r="E1628" i="8"/>
  <c r="G1628" i="8"/>
  <c r="F1629" i="8"/>
  <c r="E1629" i="8"/>
  <c r="G1629" i="8"/>
  <c r="F1630" i="8"/>
  <c r="E1630" i="8"/>
  <c r="G1630" i="8"/>
  <c r="F1631" i="8"/>
  <c r="E1631" i="8"/>
  <c r="G1631" i="8"/>
  <c r="F1632" i="8"/>
  <c r="E1632" i="8"/>
  <c r="G1632" i="8"/>
  <c r="F1633" i="8"/>
  <c r="E1633" i="8"/>
  <c r="G1633" i="8"/>
  <c r="F1634" i="8"/>
  <c r="E1634" i="8"/>
  <c r="G1634" i="8"/>
  <c r="F1635" i="8"/>
  <c r="E1635" i="8"/>
  <c r="G1635" i="8"/>
  <c r="F1636" i="8"/>
  <c r="E1636" i="8"/>
  <c r="G1636" i="8"/>
  <c r="F1637" i="8"/>
  <c r="E1637" i="8"/>
  <c r="G1637" i="8"/>
  <c r="F1638" i="8"/>
  <c r="E1638" i="8"/>
  <c r="G1638" i="8"/>
  <c r="F1639" i="8"/>
  <c r="E1639" i="8"/>
  <c r="G1639" i="8"/>
  <c r="F1640" i="8"/>
  <c r="E1640" i="8"/>
  <c r="G1640" i="8"/>
  <c r="F1641" i="8"/>
  <c r="E1641" i="8"/>
  <c r="G1641" i="8"/>
  <c r="F1642" i="8"/>
  <c r="E1642" i="8"/>
  <c r="G1642" i="8"/>
  <c r="F1643" i="8"/>
  <c r="E1643" i="8"/>
  <c r="G1643" i="8"/>
  <c r="F1644" i="8"/>
  <c r="E1644" i="8"/>
  <c r="G1644" i="8"/>
  <c r="F1645" i="8"/>
  <c r="E1645" i="8"/>
  <c r="G1645" i="8"/>
  <c r="F1646" i="8"/>
  <c r="E1646" i="8"/>
  <c r="G1646" i="8"/>
  <c r="F1647" i="8"/>
  <c r="E1647" i="8"/>
  <c r="G1647" i="8"/>
  <c r="F1648" i="8"/>
  <c r="E1648" i="8"/>
  <c r="G1648" i="8"/>
  <c r="F1649" i="8"/>
  <c r="E1649" i="8"/>
  <c r="G1649" i="8"/>
  <c r="F1650" i="8"/>
  <c r="E1650" i="8"/>
  <c r="G1650" i="8"/>
  <c r="F1651" i="8"/>
  <c r="E1651" i="8"/>
  <c r="G1651" i="8"/>
  <c r="F1652" i="8"/>
  <c r="E1652" i="8"/>
  <c r="G1652" i="8"/>
  <c r="F1653" i="8"/>
  <c r="E1653" i="8"/>
  <c r="G1653" i="8"/>
  <c r="F1654" i="8"/>
  <c r="E1654" i="8"/>
  <c r="G1654" i="8"/>
  <c r="F1655" i="8"/>
  <c r="E1655" i="8"/>
  <c r="G1655" i="8"/>
  <c r="F1656" i="8"/>
  <c r="E1656" i="8"/>
  <c r="G1656" i="8"/>
  <c r="F1657" i="8"/>
  <c r="E1657" i="8"/>
  <c r="G1657" i="8"/>
  <c r="F1658" i="8"/>
  <c r="E1658" i="8"/>
  <c r="G1658" i="8"/>
  <c r="F1659" i="8"/>
  <c r="E1659" i="8"/>
  <c r="G1659" i="8"/>
  <c r="F1660" i="8"/>
  <c r="E1660" i="8"/>
  <c r="G1660" i="8"/>
  <c r="F1661" i="8"/>
  <c r="E1661" i="8"/>
  <c r="G1661" i="8"/>
  <c r="F1662" i="8"/>
  <c r="E1662" i="8"/>
  <c r="G1662" i="8"/>
  <c r="F1663" i="8"/>
  <c r="E1663" i="8"/>
  <c r="G1663" i="8"/>
  <c r="F1664" i="8"/>
  <c r="E1664" i="8"/>
  <c r="G1664" i="8"/>
  <c r="F1665" i="8"/>
  <c r="E1665" i="8"/>
  <c r="G1665" i="8"/>
  <c r="F1666" i="8"/>
  <c r="E1666" i="8"/>
  <c r="G1666" i="8"/>
  <c r="F1667" i="8"/>
  <c r="E1667" i="8"/>
  <c r="G1667" i="8"/>
  <c r="F1668" i="8"/>
  <c r="E1668" i="8"/>
  <c r="G1668" i="8"/>
  <c r="F1669" i="8"/>
  <c r="E1669" i="8"/>
  <c r="G1669" i="8"/>
  <c r="F1670" i="8"/>
  <c r="E1670" i="8"/>
  <c r="G1670" i="8"/>
  <c r="F1671" i="8"/>
  <c r="E1671" i="8"/>
  <c r="G1671" i="8"/>
  <c r="F1672" i="8"/>
  <c r="E1672" i="8"/>
  <c r="G1672" i="8"/>
  <c r="F1673" i="8"/>
  <c r="E1673" i="8"/>
  <c r="G1673" i="8"/>
  <c r="F1674" i="8"/>
  <c r="E1674" i="8"/>
  <c r="G1674" i="8"/>
  <c r="F1675" i="8"/>
  <c r="E1675" i="8"/>
  <c r="G1675" i="8"/>
  <c r="F1676" i="8"/>
  <c r="E1676" i="8"/>
  <c r="G1676" i="8"/>
  <c r="F1677" i="8"/>
  <c r="E1677" i="8"/>
  <c r="G1677" i="8"/>
  <c r="F1678" i="8"/>
  <c r="E1678" i="8"/>
  <c r="G1678" i="8"/>
  <c r="F1679" i="8"/>
  <c r="E1679" i="8"/>
  <c r="G1679" i="8"/>
  <c r="F1680" i="8"/>
  <c r="E1680" i="8"/>
  <c r="G1680" i="8"/>
  <c r="F1681" i="8"/>
  <c r="E1681" i="8"/>
  <c r="G1681" i="8"/>
  <c r="F1682" i="8"/>
  <c r="E1682" i="8"/>
  <c r="G1682" i="8"/>
  <c r="F1683" i="8"/>
  <c r="E1683" i="8"/>
  <c r="G1683" i="8"/>
  <c r="F1684" i="8"/>
  <c r="E1684" i="8"/>
  <c r="G1684" i="8"/>
  <c r="F1685" i="8"/>
  <c r="E1685" i="8"/>
  <c r="G1685" i="8"/>
  <c r="F1686" i="8"/>
  <c r="E1686" i="8"/>
  <c r="G1686" i="8"/>
  <c r="F1687" i="8"/>
  <c r="E1687" i="8"/>
  <c r="G1687" i="8"/>
  <c r="F1688" i="8"/>
  <c r="E1688" i="8"/>
  <c r="G1688" i="8"/>
  <c r="F1689" i="8"/>
  <c r="E1689" i="8"/>
  <c r="G1689" i="8"/>
  <c r="F1690" i="8"/>
  <c r="E1690" i="8"/>
  <c r="G1690" i="8"/>
  <c r="F1691" i="8"/>
  <c r="E1691" i="8"/>
  <c r="G1691" i="8"/>
  <c r="F1692" i="8"/>
  <c r="E1692" i="8"/>
  <c r="G1692" i="8"/>
  <c r="F1693" i="8"/>
  <c r="E1693" i="8"/>
  <c r="G1693" i="8"/>
  <c r="F1694" i="8"/>
  <c r="E1694" i="8"/>
  <c r="G1694" i="8"/>
  <c r="F1695" i="8"/>
  <c r="E1695" i="8"/>
  <c r="G1695" i="8"/>
  <c r="F1696" i="8"/>
  <c r="E1696" i="8"/>
  <c r="G1696" i="8"/>
  <c r="F1697" i="8"/>
  <c r="E1697" i="8"/>
  <c r="G1697" i="8"/>
  <c r="F1698" i="8"/>
  <c r="E1698" i="8"/>
  <c r="G1698" i="8"/>
  <c r="F1699" i="8"/>
  <c r="E1699" i="8"/>
  <c r="G1699" i="8"/>
  <c r="F1700" i="8"/>
  <c r="E1700" i="8"/>
  <c r="G1700" i="8"/>
  <c r="F1701" i="8"/>
  <c r="E1701" i="8"/>
  <c r="G1701" i="8"/>
  <c r="F1702" i="8"/>
  <c r="E1702" i="8"/>
  <c r="G1702" i="8"/>
  <c r="F1703" i="8"/>
  <c r="E1703" i="8"/>
  <c r="G1703" i="8"/>
  <c r="F1704" i="8"/>
  <c r="E1704" i="8"/>
  <c r="G1704" i="8"/>
  <c r="F1705" i="8"/>
  <c r="E1705" i="8"/>
  <c r="G1705" i="8"/>
  <c r="F1706" i="8"/>
  <c r="E1706" i="8"/>
  <c r="G1706" i="8"/>
  <c r="F1707" i="8"/>
  <c r="E1707" i="8"/>
  <c r="G1707" i="8"/>
  <c r="F1708" i="8"/>
  <c r="E1708" i="8"/>
  <c r="G1708" i="8"/>
  <c r="F1709" i="8"/>
  <c r="E1709" i="8"/>
  <c r="G1709" i="8"/>
  <c r="F1710" i="8"/>
  <c r="E1710" i="8"/>
  <c r="G1710" i="8"/>
  <c r="F1711" i="8"/>
  <c r="E1711" i="8"/>
  <c r="G1711" i="8"/>
  <c r="F1712" i="8"/>
  <c r="E1712" i="8"/>
  <c r="G1712" i="8"/>
  <c r="F1713" i="8"/>
  <c r="E1713" i="8"/>
  <c r="G1713" i="8"/>
  <c r="F1714" i="8"/>
  <c r="E1714" i="8"/>
  <c r="G1714" i="8"/>
  <c r="F1715" i="8"/>
  <c r="E1715" i="8"/>
  <c r="G1715" i="8"/>
  <c r="F1716" i="8"/>
  <c r="E1716" i="8"/>
  <c r="G1716" i="8"/>
  <c r="F1717" i="8"/>
  <c r="E1717" i="8"/>
  <c r="G1717" i="8"/>
  <c r="F1718" i="8"/>
  <c r="E1718" i="8"/>
  <c r="G1718" i="8"/>
  <c r="F1719" i="8"/>
  <c r="E1719" i="8"/>
  <c r="G1719" i="8"/>
  <c r="F1720" i="8"/>
  <c r="E1720" i="8"/>
  <c r="G1720" i="8"/>
  <c r="F1721" i="8"/>
  <c r="E1721" i="8"/>
  <c r="G1721" i="8"/>
  <c r="F1722" i="8"/>
  <c r="E1722" i="8"/>
  <c r="G1722" i="8"/>
  <c r="F1723" i="8"/>
  <c r="E1723" i="8"/>
  <c r="G1723" i="8"/>
  <c r="F1724" i="8"/>
  <c r="E1724" i="8"/>
  <c r="G1724" i="8"/>
  <c r="F1725" i="8"/>
  <c r="E1725" i="8"/>
  <c r="G1725" i="8"/>
  <c r="F1726" i="8"/>
  <c r="E1726" i="8"/>
  <c r="G1726" i="8"/>
  <c r="F1727" i="8"/>
  <c r="E1727" i="8"/>
  <c r="G1727" i="8"/>
  <c r="F1728" i="8"/>
  <c r="E1728" i="8"/>
  <c r="G1728" i="8"/>
  <c r="F1729" i="8"/>
  <c r="E1729" i="8"/>
  <c r="G1729" i="8"/>
  <c r="F1730" i="8"/>
  <c r="E1730" i="8"/>
  <c r="G1730" i="8"/>
  <c r="F1731" i="8"/>
  <c r="E1731" i="8"/>
  <c r="G1731" i="8"/>
  <c r="F1732" i="8"/>
  <c r="E1732" i="8"/>
  <c r="G1732" i="8"/>
  <c r="F1733" i="8"/>
  <c r="E1733" i="8"/>
  <c r="G1733" i="8"/>
  <c r="F1734" i="8"/>
  <c r="E1734" i="8"/>
  <c r="G1734" i="8"/>
  <c r="F1735" i="8"/>
  <c r="E1735" i="8"/>
  <c r="G1735" i="8"/>
  <c r="F1736" i="8"/>
  <c r="E1736" i="8"/>
  <c r="G1736" i="8"/>
  <c r="F1737" i="8"/>
  <c r="E1737" i="8"/>
  <c r="G1737" i="8"/>
  <c r="F1738" i="8"/>
  <c r="E1738" i="8"/>
  <c r="G1738" i="8"/>
  <c r="F1739" i="8"/>
  <c r="E1739" i="8"/>
  <c r="G1739" i="8"/>
  <c r="F1740" i="8"/>
  <c r="E1740" i="8"/>
  <c r="G1740" i="8"/>
  <c r="F1741" i="8"/>
  <c r="E1741" i="8"/>
  <c r="G1741" i="8"/>
  <c r="F1742" i="8"/>
  <c r="E1742" i="8"/>
  <c r="G1742" i="8"/>
  <c r="F1743" i="8"/>
  <c r="E1743" i="8"/>
  <c r="G1743" i="8"/>
  <c r="F1744" i="8"/>
  <c r="E1744" i="8"/>
  <c r="G1744" i="8"/>
  <c r="F1745" i="8"/>
  <c r="E1745" i="8"/>
  <c r="G1745" i="8"/>
  <c r="F1746" i="8"/>
  <c r="E1746" i="8"/>
  <c r="G1746" i="8"/>
  <c r="F1747" i="8"/>
  <c r="E1747" i="8"/>
  <c r="G1747" i="8"/>
  <c r="F1748" i="8"/>
  <c r="E1748" i="8"/>
  <c r="G1748" i="8"/>
  <c r="F1749" i="8"/>
  <c r="E1749" i="8"/>
  <c r="G1749" i="8"/>
  <c r="F1750" i="8"/>
  <c r="E1750" i="8"/>
  <c r="G1750" i="8"/>
  <c r="F1751" i="8"/>
  <c r="E1751" i="8"/>
  <c r="G1751" i="8"/>
  <c r="F1752" i="8"/>
  <c r="E1752" i="8"/>
  <c r="G1752" i="8"/>
  <c r="F1753" i="8"/>
  <c r="E1753" i="8"/>
  <c r="G1753" i="8"/>
  <c r="F1754" i="8"/>
  <c r="E1754" i="8"/>
  <c r="G1754" i="8"/>
  <c r="F1755" i="8"/>
  <c r="E1755" i="8"/>
  <c r="G1755" i="8"/>
  <c r="F1756" i="8"/>
  <c r="E1756" i="8"/>
  <c r="G1756" i="8"/>
  <c r="F1757" i="8"/>
  <c r="E1757" i="8"/>
  <c r="G1757" i="8"/>
  <c r="F1758" i="8"/>
  <c r="E1758" i="8"/>
  <c r="G1758" i="8"/>
  <c r="F1759" i="8"/>
  <c r="E1759" i="8"/>
  <c r="G1759" i="8"/>
  <c r="F1760" i="8"/>
  <c r="E1760" i="8"/>
  <c r="G1760" i="8"/>
  <c r="F1761" i="8"/>
  <c r="E1761" i="8"/>
  <c r="G1761" i="8"/>
  <c r="F1762" i="8"/>
  <c r="E1762" i="8"/>
  <c r="G1762" i="8"/>
  <c r="F1763" i="8"/>
  <c r="E1763" i="8"/>
  <c r="G1763" i="8"/>
  <c r="F1764" i="8"/>
  <c r="E1764" i="8"/>
  <c r="G1764" i="8"/>
  <c r="F1765" i="8"/>
  <c r="E1765" i="8"/>
  <c r="G1765" i="8"/>
  <c r="F1766" i="8"/>
  <c r="E1766" i="8"/>
  <c r="G1766" i="8"/>
  <c r="F1767" i="8"/>
  <c r="E1767" i="8"/>
  <c r="G1767" i="8"/>
  <c r="F1768" i="8"/>
  <c r="E1768" i="8"/>
  <c r="G1768" i="8"/>
  <c r="F1769" i="8"/>
  <c r="E1769" i="8"/>
  <c r="G1769" i="8"/>
  <c r="F1770" i="8"/>
  <c r="E1770" i="8"/>
  <c r="G1770" i="8"/>
  <c r="F1771" i="8"/>
  <c r="E1771" i="8"/>
  <c r="G1771" i="8"/>
  <c r="F1772" i="8"/>
  <c r="E1772" i="8"/>
  <c r="G1772" i="8"/>
  <c r="F1773" i="8"/>
  <c r="E1773" i="8"/>
  <c r="G1773" i="8"/>
  <c r="F1774" i="8"/>
  <c r="E1774" i="8"/>
  <c r="G1774" i="8"/>
  <c r="F1775" i="8"/>
  <c r="E1775" i="8"/>
  <c r="G1775" i="8"/>
  <c r="F1776" i="8"/>
  <c r="E1776" i="8"/>
  <c r="G1776" i="8"/>
  <c r="F1777" i="8"/>
  <c r="E1777" i="8"/>
  <c r="G1777" i="8"/>
  <c r="F1778" i="8"/>
  <c r="E1778" i="8"/>
  <c r="G1778" i="8"/>
  <c r="F1779" i="8"/>
  <c r="E1779" i="8"/>
  <c r="G1779" i="8"/>
  <c r="F1780" i="8"/>
  <c r="E1780" i="8"/>
  <c r="G1780" i="8"/>
  <c r="F1781" i="8"/>
  <c r="E1781" i="8"/>
  <c r="G1781" i="8"/>
  <c r="F1782" i="8"/>
  <c r="E1782" i="8"/>
  <c r="G1782" i="8"/>
  <c r="F1783" i="8"/>
  <c r="E1783" i="8"/>
  <c r="G1783" i="8"/>
  <c r="F1784" i="8"/>
  <c r="E1784" i="8"/>
  <c r="G1784" i="8"/>
  <c r="F1785" i="8"/>
  <c r="E1785" i="8"/>
  <c r="G1785" i="8"/>
  <c r="F1786" i="8"/>
  <c r="E1786" i="8"/>
  <c r="G1786" i="8"/>
  <c r="F1787" i="8"/>
  <c r="E1787" i="8"/>
  <c r="G1787" i="8"/>
  <c r="F1788" i="8"/>
  <c r="E1788" i="8"/>
  <c r="G1788" i="8"/>
  <c r="F1789" i="8"/>
  <c r="E1789" i="8"/>
  <c r="G1789" i="8"/>
  <c r="F1790" i="8"/>
  <c r="E1790" i="8"/>
  <c r="G1790" i="8"/>
  <c r="F1791" i="8"/>
  <c r="E1791" i="8"/>
  <c r="G1791" i="8"/>
  <c r="F1792" i="8"/>
  <c r="E1792" i="8"/>
  <c r="G1792" i="8"/>
  <c r="F1793" i="8"/>
  <c r="E1793" i="8"/>
  <c r="G1793" i="8"/>
  <c r="F1794" i="8"/>
  <c r="E1794" i="8"/>
  <c r="G1794" i="8"/>
  <c r="F1795" i="8"/>
  <c r="E1795" i="8"/>
  <c r="G1795" i="8"/>
  <c r="F1796" i="8"/>
  <c r="E1796" i="8"/>
  <c r="G1796" i="8"/>
  <c r="F1797" i="8"/>
  <c r="E1797" i="8"/>
  <c r="G1797" i="8"/>
  <c r="F1798" i="8"/>
  <c r="E1798" i="8"/>
  <c r="G1798" i="8"/>
  <c r="F1799" i="8"/>
  <c r="E1799" i="8"/>
  <c r="G1799" i="8"/>
  <c r="F1800" i="8"/>
  <c r="E1800" i="8"/>
  <c r="G1800" i="8"/>
  <c r="F1801" i="8"/>
  <c r="E1801" i="8"/>
  <c r="G1801" i="8"/>
  <c r="F1802" i="8"/>
  <c r="E1802" i="8"/>
  <c r="G1802" i="8"/>
  <c r="F1803" i="8"/>
  <c r="E1803" i="8"/>
  <c r="G1803" i="8"/>
  <c r="F1804" i="8"/>
  <c r="E1804" i="8"/>
  <c r="G1804" i="8"/>
  <c r="F1805" i="8"/>
  <c r="E1805" i="8"/>
  <c r="G1805" i="8"/>
  <c r="F1806" i="8"/>
  <c r="E1806" i="8"/>
  <c r="G1806" i="8"/>
  <c r="F1807" i="8"/>
  <c r="E1807" i="8"/>
  <c r="G1807" i="8"/>
  <c r="F1808" i="8"/>
  <c r="E1808" i="8"/>
  <c r="G1808" i="8"/>
  <c r="F1809" i="8"/>
  <c r="E1809" i="8"/>
  <c r="G1809" i="8"/>
  <c r="F1810" i="8"/>
  <c r="E1810" i="8"/>
  <c r="G1810" i="8"/>
  <c r="F1811" i="8"/>
  <c r="E1811" i="8"/>
  <c r="G1811" i="8"/>
  <c r="F1812" i="8"/>
  <c r="E1812" i="8"/>
  <c r="G1812" i="8"/>
  <c r="F1813" i="8"/>
  <c r="E1813" i="8"/>
  <c r="G1813" i="8"/>
  <c r="F1814" i="8"/>
  <c r="E1814" i="8"/>
  <c r="G1814" i="8"/>
  <c r="F1815" i="8"/>
  <c r="E1815" i="8"/>
  <c r="G1815" i="8"/>
  <c r="F1816" i="8"/>
  <c r="E1816" i="8"/>
  <c r="G1816" i="8"/>
  <c r="F1817" i="8"/>
  <c r="E1817" i="8"/>
  <c r="G1817" i="8"/>
  <c r="F1818" i="8"/>
  <c r="E1818" i="8"/>
  <c r="G1818" i="8"/>
  <c r="F1819" i="8"/>
  <c r="E1819" i="8"/>
  <c r="G1819" i="8"/>
  <c r="F1820" i="8"/>
  <c r="E1820" i="8"/>
  <c r="G1820" i="8"/>
  <c r="F1821" i="8"/>
  <c r="E1821" i="8"/>
  <c r="G1821" i="8"/>
  <c r="F1822" i="8"/>
  <c r="E1822" i="8"/>
  <c r="G1822" i="8"/>
  <c r="F1823" i="8"/>
  <c r="E1823" i="8"/>
  <c r="G1823" i="8"/>
  <c r="F1824" i="8"/>
  <c r="E1824" i="8"/>
  <c r="G1824" i="8"/>
  <c r="F1825" i="8"/>
  <c r="E1825" i="8"/>
  <c r="G1825" i="8"/>
  <c r="F1826" i="8"/>
  <c r="E1826" i="8"/>
  <c r="G1826" i="8"/>
  <c r="F1827" i="8"/>
  <c r="E1827" i="8"/>
  <c r="G1827" i="8"/>
  <c r="F1828" i="8"/>
  <c r="E1828" i="8"/>
  <c r="G1828" i="8"/>
  <c r="F1829" i="8"/>
  <c r="E1829" i="8"/>
  <c r="G1829" i="8"/>
  <c r="F1830" i="8"/>
  <c r="E1830" i="8"/>
  <c r="G1830" i="8"/>
  <c r="F1831" i="8"/>
  <c r="E1831" i="8"/>
  <c r="G1831" i="8"/>
  <c r="F1832" i="8"/>
  <c r="E1832" i="8"/>
  <c r="G1832" i="8"/>
  <c r="F1833" i="8"/>
  <c r="E1833" i="8"/>
  <c r="G1833" i="8"/>
  <c r="F1834" i="8"/>
  <c r="E1834" i="8"/>
  <c r="G1834" i="8"/>
  <c r="F1835" i="8"/>
  <c r="E1835" i="8"/>
  <c r="G1835" i="8"/>
  <c r="F1836" i="8"/>
  <c r="E1836" i="8"/>
  <c r="G1836" i="8"/>
  <c r="F1837" i="8"/>
  <c r="E1837" i="8"/>
  <c r="G1837" i="8"/>
  <c r="F1838" i="8"/>
  <c r="E1838" i="8"/>
  <c r="G1838" i="8"/>
  <c r="F1839" i="8"/>
  <c r="E1839" i="8"/>
  <c r="G1839" i="8"/>
  <c r="F1840" i="8"/>
  <c r="E1840" i="8"/>
  <c r="G1840" i="8"/>
  <c r="F1841" i="8"/>
  <c r="E1841" i="8"/>
  <c r="G1841" i="8"/>
  <c r="F1842" i="8"/>
  <c r="E1842" i="8"/>
  <c r="G1842" i="8"/>
  <c r="F1843" i="8"/>
  <c r="E1843" i="8"/>
  <c r="G1843" i="8"/>
  <c r="F1844" i="8"/>
  <c r="E1844" i="8"/>
  <c r="G1844" i="8"/>
  <c r="F1845" i="8"/>
  <c r="E1845" i="8"/>
  <c r="G1845" i="8"/>
  <c r="F1846" i="8"/>
  <c r="E1846" i="8"/>
  <c r="G1846" i="8"/>
  <c r="F1847" i="8"/>
  <c r="E1847" i="8"/>
  <c r="G1847" i="8"/>
  <c r="F1848" i="8"/>
  <c r="E1848" i="8"/>
  <c r="G1848" i="8"/>
  <c r="F1849" i="8"/>
  <c r="E1849" i="8"/>
  <c r="G1849" i="8"/>
  <c r="F1850" i="8"/>
  <c r="E1850" i="8"/>
  <c r="G1850" i="8"/>
  <c r="F1851" i="8"/>
  <c r="E1851" i="8"/>
  <c r="G1851" i="8"/>
  <c r="F1852" i="8"/>
  <c r="E1852" i="8"/>
  <c r="G1852" i="8"/>
  <c r="F1853" i="8"/>
  <c r="E1853" i="8"/>
  <c r="G1853" i="8"/>
  <c r="F1854" i="8"/>
  <c r="E1854" i="8"/>
  <c r="G1854" i="8"/>
  <c r="F1855" i="8"/>
  <c r="E1855" i="8"/>
  <c r="G1855" i="8"/>
  <c r="F1856" i="8"/>
  <c r="E1856" i="8"/>
  <c r="G1856" i="8"/>
  <c r="F1857" i="8"/>
  <c r="E1857" i="8"/>
  <c r="G1857" i="8"/>
  <c r="F1858" i="8"/>
  <c r="E1858" i="8"/>
  <c r="G1858" i="8"/>
  <c r="F1859" i="8"/>
  <c r="E1859" i="8"/>
  <c r="G1859" i="8"/>
  <c r="F1860" i="8"/>
  <c r="E1860" i="8"/>
  <c r="G1860" i="8"/>
  <c r="F1861" i="8"/>
  <c r="E1861" i="8"/>
  <c r="G1861" i="8"/>
  <c r="F1862" i="8"/>
  <c r="E1862" i="8"/>
  <c r="G1862" i="8"/>
  <c r="F1863" i="8"/>
  <c r="E1863" i="8"/>
  <c r="G1863" i="8"/>
  <c r="F1864" i="8"/>
  <c r="E1864" i="8"/>
  <c r="G1864" i="8"/>
  <c r="F1865" i="8"/>
  <c r="E1865" i="8"/>
  <c r="G1865" i="8"/>
  <c r="F1866" i="8"/>
  <c r="E1866" i="8"/>
  <c r="G1866" i="8"/>
  <c r="F1867" i="8"/>
  <c r="E1867" i="8"/>
  <c r="G1867" i="8"/>
  <c r="F1868" i="8"/>
  <c r="E1868" i="8"/>
  <c r="G1868" i="8"/>
  <c r="F1869" i="8"/>
  <c r="E1869" i="8"/>
  <c r="G1869" i="8"/>
  <c r="F1870" i="8"/>
  <c r="E1870" i="8"/>
  <c r="G1870" i="8"/>
  <c r="F1871" i="8"/>
  <c r="E1871" i="8"/>
  <c r="G1871" i="8"/>
  <c r="F1872" i="8"/>
  <c r="E1872" i="8"/>
  <c r="G1872" i="8"/>
  <c r="F1873" i="8"/>
  <c r="E1873" i="8"/>
  <c r="G1873" i="8"/>
  <c r="F1874" i="8"/>
  <c r="E1874" i="8"/>
  <c r="G1874" i="8"/>
  <c r="F1875" i="8"/>
  <c r="E1875" i="8"/>
  <c r="G1875" i="8"/>
  <c r="F1876" i="8"/>
  <c r="E1876" i="8"/>
  <c r="G1876" i="8"/>
  <c r="F1877" i="8"/>
  <c r="E1877" i="8"/>
  <c r="G1877" i="8"/>
  <c r="F1878" i="8"/>
  <c r="E1878" i="8"/>
  <c r="G1878" i="8"/>
  <c r="F1879" i="8"/>
  <c r="E1879" i="8"/>
  <c r="G1879" i="8"/>
  <c r="F1880" i="8"/>
  <c r="E1880" i="8"/>
  <c r="G1880" i="8"/>
  <c r="F1881" i="8"/>
  <c r="E1881" i="8"/>
  <c r="G1881" i="8"/>
  <c r="F1882" i="8"/>
  <c r="E1882" i="8"/>
  <c r="G1882" i="8"/>
  <c r="F1883" i="8"/>
  <c r="E1883" i="8"/>
  <c r="G1883" i="8"/>
  <c r="F1884" i="8"/>
  <c r="E1884" i="8"/>
  <c r="G1884" i="8"/>
  <c r="F1885" i="8"/>
  <c r="E1885" i="8"/>
  <c r="G1885" i="8"/>
  <c r="F1886" i="8"/>
  <c r="E1886" i="8"/>
  <c r="G1886" i="8"/>
  <c r="F1887" i="8"/>
  <c r="E1887" i="8"/>
  <c r="G1887" i="8"/>
  <c r="F1888" i="8"/>
  <c r="E1888" i="8"/>
  <c r="G1888" i="8"/>
  <c r="F1889" i="8"/>
  <c r="E1889" i="8"/>
  <c r="G1889" i="8"/>
  <c r="F1890" i="8"/>
  <c r="E1890" i="8"/>
  <c r="G1890" i="8"/>
  <c r="F1891" i="8"/>
  <c r="E1891" i="8"/>
  <c r="G1891" i="8"/>
  <c r="F1892" i="8"/>
  <c r="E1892" i="8"/>
  <c r="G1892" i="8"/>
  <c r="F1893" i="8"/>
  <c r="E1893" i="8"/>
  <c r="G1893" i="8"/>
  <c r="F1894" i="8"/>
  <c r="E1894" i="8"/>
  <c r="G1894" i="8"/>
  <c r="F1895" i="8"/>
  <c r="E1895" i="8"/>
  <c r="G1895" i="8"/>
  <c r="F1896" i="8"/>
  <c r="E1896" i="8"/>
  <c r="G1896" i="8"/>
  <c r="F1897" i="8"/>
  <c r="E1897" i="8"/>
  <c r="G1897" i="8"/>
  <c r="F1898" i="8"/>
  <c r="E1898" i="8"/>
  <c r="G1898" i="8"/>
  <c r="F1899" i="8"/>
  <c r="E1899" i="8"/>
  <c r="G1899" i="8"/>
  <c r="F1900" i="8"/>
  <c r="E1900" i="8"/>
  <c r="G1900" i="8"/>
  <c r="F1901" i="8"/>
  <c r="E1901" i="8"/>
  <c r="G1901" i="8"/>
  <c r="F1902" i="8"/>
  <c r="E1902" i="8"/>
  <c r="G1902" i="8"/>
  <c r="F1903" i="8"/>
  <c r="E1903" i="8"/>
  <c r="G1903" i="8"/>
  <c r="F1904" i="8"/>
  <c r="E1904" i="8"/>
  <c r="G1904" i="8"/>
  <c r="F1905" i="8"/>
  <c r="E1905" i="8"/>
  <c r="G1905" i="8"/>
  <c r="F1906" i="8"/>
  <c r="E1906" i="8"/>
  <c r="G1906" i="8"/>
  <c r="F1907" i="8"/>
  <c r="E1907" i="8"/>
  <c r="G1907" i="8"/>
  <c r="F1908" i="8"/>
  <c r="E1908" i="8"/>
  <c r="G1908" i="8"/>
  <c r="F1909" i="8"/>
  <c r="E1909" i="8"/>
  <c r="G1909" i="8"/>
  <c r="F1910" i="8"/>
  <c r="E1910" i="8"/>
  <c r="G1910" i="8"/>
  <c r="F1911" i="8"/>
  <c r="E1911" i="8"/>
  <c r="G1911" i="8"/>
  <c r="F1912" i="8"/>
  <c r="E1912" i="8"/>
  <c r="G1912" i="8"/>
  <c r="F1913" i="8"/>
  <c r="E1913" i="8"/>
  <c r="G1913" i="8"/>
  <c r="F1914" i="8"/>
  <c r="E1914" i="8"/>
  <c r="G1914" i="8"/>
  <c r="F1915" i="8"/>
  <c r="E1915" i="8"/>
  <c r="G1915" i="8"/>
  <c r="F1916" i="8"/>
  <c r="E1916" i="8"/>
  <c r="G1916" i="8"/>
  <c r="F1917" i="8"/>
  <c r="E1917" i="8"/>
  <c r="G1917" i="8"/>
  <c r="F1918" i="8"/>
  <c r="E1918" i="8"/>
  <c r="G1918" i="8"/>
  <c r="F1919" i="8"/>
  <c r="E1919" i="8"/>
  <c r="G1919" i="8"/>
  <c r="F1920" i="8"/>
  <c r="E1920" i="8"/>
  <c r="G1920" i="8"/>
  <c r="F1921" i="8"/>
  <c r="E1921" i="8"/>
  <c r="G1921" i="8"/>
  <c r="F1922" i="8"/>
  <c r="E1922" i="8"/>
  <c r="G1922" i="8"/>
  <c r="F1923" i="8"/>
  <c r="E1923" i="8"/>
  <c r="G1923" i="8"/>
  <c r="F1924" i="8"/>
  <c r="E1924" i="8"/>
  <c r="G1924" i="8"/>
  <c r="F1925" i="8"/>
  <c r="E1925" i="8"/>
  <c r="G1925" i="8"/>
  <c r="F1926" i="8"/>
  <c r="E1926" i="8"/>
  <c r="G1926" i="8"/>
  <c r="F1927" i="8"/>
  <c r="E1927" i="8"/>
  <c r="G1927" i="8"/>
  <c r="F1928" i="8"/>
  <c r="E1928" i="8"/>
  <c r="G1928" i="8"/>
  <c r="F1929" i="8"/>
  <c r="E1929" i="8"/>
  <c r="G1929" i="8"/>
  <c r="F1930" i="8"/>
  <c r="E1930" i="8"/>
  <c r="G1930" i="8"/>
  <c r="F1931" i="8"/>
  <c r="E1931" i="8"/>
  <c r="G1931" i="8"/>
  <c r="F1932" i="8"/>
  <c r="E1932" i="8"/>
  <c r="G1932" i="8"/>
  <c r="F1933" i="8"/>
  <c r="E1933" i="8"/>
  <c r="G1933" i="8"/>
  <c r="F1934" i="8"/>
  <c r="E1934" i="8"/>
  <c r="G1934" i="8"/>
  <c r="F1935" i="8"/>
  <c r="E1935" i="8"/>
  <c r="G1935" i="8"/>
  <c r="F1936" i="8"/>
  <c r="E1936" i="8"/>
  <c r="G1936" i="8"/>
  <c r="F1937" i="8"/>
  <c r="E1937" i="8"/>
  <c r="G1937" i="8"/>
  <c r="F1938" i="8"/>
  <c r="E1938" i="8"/>
  <c r="G1938" i="8"/>
  <c r="F1939" i="8"/>
  <c r="E1939" i="8"/>
  <c r="G1939" i="8"/>
  <c r="F1940" i="8"/>
  <c r="E1940" i="8"/>
  <c r="G1940" i="8"/>
  <c r="F1941" i="8"/>
  <c r="E1941" i="8"/>
  <c r="G1941" i="8"/>
  <c r="F1942" i="8"/>
  <c r="E1942" i="8"/>
  <c r="G1942" i="8"/>
  <c r="F1943" i="8"/>
  <c r="E1943" i="8"/>
  <c r="G1943" i="8"/>
  <c r="F1944" i="8"/>
  <c r="E1944" i="8"/>
  <c r="G1944" i="8"/>
  <c r="F1945" i="8"/>
  <c r="E1945" i="8"/>
  <c r="G1945" i="8"/>
  <c r="F1946" i="8"/>
  <c r="E1946" i="8"/>
  <c r="G1946" i="8"/>
  <c r="F1947" i="8"/>
  <c r="E1947" i="8"/>
  <c r="G1947" i="8"/>
  <c r="F1948" i="8"/>
  <c r="E1948" i="8"/>
  <c r="G1948" i="8"/>
  <c r="F1949" i="8"/>
  <c r="E1949" i="8"/>
  <c r="G1949" i="8"/>
  <c r="F1950" i="8"/>
  <c r="E1950" i="8"/>
  <c r="G1950" i="8"/>
  <c r="F1951" i="8"/>
  <c r="E1951" i="8"/>
  <c r="G1951" i="8"/>
  <c r="F1952" i="8"/>
  <c r="E1952" i="8"/>
  <c r="G1952" i="8"/>
  <c r="F1953" i="8"/>
  <c r="E1953" i="8"/>
  <c r="G1953" i="8"/>
  <c r="F1954" i="8"/>
  <c r="E1954" i="8"/>
  <c r="G1954" i="8"/>
  <c r="F1955" i="8"/>
  <c r="E1955" i="8"/>
  <c r="G1955" i="8"/>
  <c r="F1956" i="8"/>
  <c r="E1956" i="8"/>
  <c r="G1956" i="8"/>
  <c r="F1957" i="8"/>
  <c r="E1957" i="8"/>
  <c r="G1957" i="8"/>
  <c r="F1958" i="8"/>
  <c r="E1958" i="8"/>
  <c r="G1958" i="8"/>
  <c r="F1959" i="8"/>
  <c r="E1959" i="8"/>
  <c r="G1959" i="8"/>
  <c r="F1960" i="8"/>
  <c r="E1960" i="8"/>
  <c r="G1960" i="8"/>
  <c r="F1961" i="8"/>
  <c r="E1961" i="8"/>
  <c r="G1961" i="8"/>
  <c r="F1962" i="8"/>
  <c r="E1962" i="8"/>
  <c r="G1962" i="8"/>
  <c r="F1963" i="8"/>
  <c r="E1963" i="8"/>
  <c r="G1963" i="8"/>
  <c r="F1964" i="8"/>
  <c r="E1964" i="8"/>
  <c r="G1964" i="8"/>
  <c r="F1965" i="8"/>
  <c r="E1965" i="8"/>
  <c r="G1965" i="8"/>
  <c r="F1966" i="8"/>
  <c r="E1966" i="8"/>
  <c r="G1966" i="8"/>
  <c r="F1967" i="8"/>
  <c r="E1967" i="8"/>
  <c r="G1967" i="8"/>
  <c r="F1968" i="8"/>
  <c r="E1968" i="8"/>
  <c r="G1968" i="8"/>
  <c r="F1969" i="8"/>
  <c r="E1969" i="8"/>
  <c r="G1969" i="8"/>
  <c r="F1970" i="8"/>
  <c r="E1970" i="8"/>
  <c r="G1970" i="8"/>
  <c r="F1971" i="8"/>
  <c r="E1971" i="8"/>
  <c r="G1971" i="8"/>
  <c r="F1972" i="8"/>
  <c r="E1972" i="8"/>
  <c r="G1972" i="8"/>
  <c r="F1973" i="8"/>
  <c r="E1973" i="8"/>
  <c r="G1973" i="8"/>
  <c r="F1974" i="8"/>
  <c r="E1974" i="8"/>
  <c r="G1974" i="8"/>
  <c r="F1975" i="8"/>
  <c r="E1975" i="8"/>
  <c r="G1975" i="8"/>
  <c r="F1976" i="8"/>
  <c r="E1976" i="8"/>
  <c r="G1976" i="8"/>
  <c r="F1977" i="8"/>
  <c r="E1977" i="8"/>
  <c r="G1977" i="8"/>
  <c r="F1978" i="8"/>
  <c r="E1978" i="8"/>
  <c r="G1978" i="8"/>
  <c r="F1979" i="8"/>
  <c r="E1979" i="8"/>
  <c r="G1979" i="8"/>
  <c r="F1980" i="8"/>
  <c r="E1980" i="8"/>
  <c r="G1980" i="8"/>
  <c r="F1981" i="8"/>
  <c r="E1981" i="8"/>
  <c r="G1981" i="8"/>
  <c r="F1982" i="8"/>
  <c r="E1982" i="8"/>
  <c r="G1982" i="8"/>
  <c r="F1983" i="8"/>
  <c r="E1983" i="8"/>
  <c r="G1983" i="8"/>
  <c r="F1984" i="8"/>
  <c r="E1984" i="8"/>
  <c r="G1984" i="8"/>
  <c r="F1985" i="8"/>
  <c r="E1985" i="8"/>
  <c r="G1985" i="8"/>
  <c r="F1986" i="8"/>
  <c r="E1986" i="8"/>
  <c r="G1986" i="8"/>
  <c r="F1987" i="8"/>
  <c r="E1987" i="8"/>
  <c r="G1987" i="8"/>
  <c r="F1988" i="8"/>
  <c r="E1988" i="8"/>
  <c r="G1988" i="8"/>
  <c r="F1989" i="8"/>
  <c r="E1989" i="8"/>
  <c r="G1989" i="8"/>
  <c r="F1990" i="8"/>
  <c r="E1990" i="8"/>
  <c r="G1990" i="8"/>
  <c r="F1991" i="8"/>
  <c r="E1991" i="8"/>
  <c r="G1991" i="8"/>
  <c r="F1992" i="8"/>
  <c r="E1992" i="8"/>
  <c r="G1992" i="8"/>
  <c r="F1993" i="8"/>
  <c r="E1993" i="8"/>
  <c r="G1993" i="8"/>
  <c r="F1994" i="8"/>
  <c r="E1994" i="8"/>
  <c r="G1994" i="8"/>
  <c r="F1995" i="8"/>
  <c r="E1995" i="8"/>
  <c r="G1995" i="8"/>
  <c r="F1996" i="8"/>
  <c r="E1996" i="8"/>
  <c r="G1996" i="8"/>
  <c r="F1997" i="8"/>
  <c r="E1997" i="8"/>
  <c r="G1997" i="8"/>
  <c r="F1998" i="8"/>
  <c r="E1998" i="8"/>
  <c r="G1998" i="8"/>
  <c r="F1999" i="8"/>
  <c r="E1999" i="8"/>
  <c r="G1999" i="8"/>
  <c r="F2000" i="8"/>
  <c r="E2000" i="8"/>
  <c r="G2000" i="8"/>
  <c r="F2001" i="8"/>
  <c r="E2001" i="8"/>
  <c r="G2001" i="8"/>
  <c r="F2002" i="8"/>
  <c r="E2002" i="8"/>
  <c r="G2002" i="8"/>
  <c r="F2003" i="8"/>
  <c r="E2003" i="8"/>
  <c r="G2003" i="8"/>
  <c r="F2004" i="8"/>
  <c r="E2004" i="8"/>
  <c r="G2004" i="8"/>
  <c r="F2005" i="8"/>
  <c r="E2005" i="8"/>
  <c r="G2005" i="8"/>
  <c r="F2006" i="8"/>
  <c r="E2006" i="8"/>
  <c r="G2006" i="8"/>
  <c r="F2007" i="8"/>
  <c r="E2007" i="8"/>
  <c r="G2007" i="8"/>
  <c r="F2008" i="8"/>
  <c r="E2008" i="8"/>
  <c r="G2008" i="8"/>
  <c r="F2009" i="8"/>
  <c r="E2009" i="8"/>
  <c r="G2009" i="8"/>
  <c r="F2010" i="8"/>
  <c r="E2010" i="8"/>
  <c r="G2010" i="8"/>
  <c r="F2011" i="8"/>
  <c r="E2011" i="8"/>
  <c r="G2011" i="8"/>
  <c r="F2012" i="8"/>
  <c r="E2012" i="8"/>
  <c r="G2012" i="8"/>
  <c r="F2013" i="8"/>
  <c r="E2013" i="8"/>
  <c r="G2013" i="8"/>
  <c r="F2014" i="8"/>
  <c r="E2014" i="8"/>
  <c r="G2014" i="8"/>
  <c r="F2015" i="8"/>
  <c r="E2015" i="8"/>
  <c r="G2015" i="8"/>
  <c r="F2016" i="8"/>
  <c r="E2016" i="8"/>
  <c r="G2016" i="8"/>
  <c r="F2017" i="8"/>
  <c r="E2017" i="8"/>
  <c r="G2017" i="8"/>
  <c r="F2018" i="8"/>
  <c r="E2018" i="8"/>
  <c r="G2018" i="8"/>
  <c r="F2019" i="8"/>
  <c r="E2019" i="8"/>
  <c r="G2019" i="8"/>
  <c r="F2020" i="8"/>
  <c r="E2020" i="8"/>
  <c r="G2020" i="8"/>
  <c r="F2021" i="8"/>
  <c r="E2021" i="8"/>
  <c r="G2021" i="8"/>
  <c r="F2022" i="8"/>
  <c r="E2022" i="8"/>
  <c r="G2022" i="8"/>
  <c r="F2023" i="8"/>
  <c r="E2023" i="8"/>
  <c r="G2023" i="8"/>
  <c r="F2024" i="8"/>
  <c r="E2024" i="8"/>
  <c r="G2024" i="8"/>
  <c r="F2025" i="8"/>
  <c r="E2025" i="8"/>
  <c r="G2025" i="8"/>
  <c r="F2026" i="8"/>
  <c r="E2026" i="8"/>
  <c r="G2026" i="8"/>
  <c r="F2027" i="8"/>
  <c r="E2027" i="8"/>
  <c r="G2027" i="8"/>
  <c r="F2028" i="8"/>
  <c r="E2028" i="8"/>
  <c r="G2028" i="8"/>
  <c r="F2029" i="8"/>
  <c r="E2029" i="8"/>
  <c r="G2029" i="8"/>
  <c r="F2030" i="8"/>
  <c r="E2030" i="8"/>
  <c r="G2030" i="8"/>
  <c r="F2031" i="8"/>
  <c r="E2031" i="8"/>
  <c r="G2031" i="8"/>
  <c r="F2032" i="8"/>
  <c r="E2032" i="8"/>
  <c r="G2032" i="8"/>
  <c r="F2033" i="8"/>
  <c r="E2033" i="8"/>
  <c r="G2033" i="8"/>
  <c r="F2034" i="8"/>
  <c r="E2034" i="8"/>
  <c r="G2034" i="8"/>
  <c r="F2035" i="8"/>
  <c r="E2035" i="8"/>
  <c r="G2035" i="8"/>
  <c r="F2036" i="8"/>
  <c r="E2036" i="8"/>
  <c r="G2036" i="8"/>
  <c r="F2037" i="8"/>
  <c r="E2037" i="8"/>
  <c r="G2037" i="8"/>
  <c r="F2038" i="8"/>
  <c r="E2038" i="8"/>
  <c r="G2038" i="8"/>
  <c r="F2039" i="8"/>
  <c r="E2039" i="8"/>
  <c r="G2039" i="8"/>
  <c r="F2040" i="8"/>
  <c r="E2040" i="8"/>
  <c r="G2040" i="8"/>
  <c r="F2041" i="8"/>
  <c r="E2041" i="8"/>
  <c r="G2041" i="8"/>
  <c r="F2042" i="8"/>
  <c r="E2042" i="8"/>
  <c r="G2042" i="8"/>
  <c r="F2043" i="8"/>
  <c r="E2043" i="8"/>
  <c r="G2043" i="8"/>
  <c r="F2044" i="8"/>
  <c r="E2044" i="8"/>
  <c r="G2044" i="8"/>
  <c r="F2045" i="8"/>
  <c r="E2045" i="8"/>
  <c r="G2045" i="8"/>
  <c r="F2046" i="8"/>
  <c r="E2046" i="8"/>
  <c r="G2046" i="8"/>
  <c r="F2047" i="8"/>
  <c r="E2047" i="8"/>
  <c r="G2047" i="8"/>
  <c r="F2048" i="8"/>
  <c r="E2048" i="8"/>
  <c r="G2048" i="8"/>
  <c r="F2049" i="8"/>
  <c r="E2049" i="8"/>
  <c r="G2049" i="8"/>
  <c r="F2050" i="8"/>
  <c r="E2050" i="8"/>
  <c r="G2050" i="8"/>
  <c r="F2051" i="8"/>
  <c r="E2051" i="8"/>
  <c r="G2051" i="8"/>
  <c r="F2052" i="8"/>
  <c r="E2052" i="8"/>
  <c r="G2052" i="8"/>
  <c r="F2053" i="8"/>
  <c r="E2053" i="8"/>
  <c r="G2053" i="8"/>
  <c r="F2054" i="8"/>
  <c r="E2054" i="8"/>
  <c r="G2054" i="8"/>
  <c r="F2055" i="8"/>
  <c r="E2055" i="8"/>
  <c r="G2055" i="8"/>
  <c r="F2056" i="8"/>
  <c r="E2056" i="8"/>
  <c r="G2056" i="8"/>
  <c r="F2057" i="8"/>
  <c r="E2057" i="8"/>
  <c r="G2057" i="8"/>
  <c r="F2058" i="8"/>
  <c r="E2058" i="8"/>
  <c r="G2058" i="8"/>
  <c r="F2059" i="8"/>
  <c r="E2059" i="8"/>
  <c r="G2059" i="8"/>
  <c r="F2060" i="8"/>
  <c r="E2060" i="8"/>
  <c r="G2060" i="8"/>
  <c r="F2061" i="8"/>
  <c r="E2061" i="8"/>
  <c r="G2061" i="8"/>
  <c r="F2062" i="8"/>
  <c r="E2062" i="8"/>
  <c r="G2062" i="8"/>
  <c r="F2063" i="8"/>
  <c r="E2063" i="8"/>
  <c r="G2063" i="8"/>
  <c r="F2064" i="8"/>
  <c r="E2064" i="8"/>
  <c r="G2064" i="8"/>
  <c r="F2065" i="8"/>
  <c r="E2065" i="8"/>
  <c r="G2065" i="8"/>
  <c r="F2066" i="8"/>
  <c r="E2066" i="8"/>
  <c r="G2066" i="8"/>
  <c r="F2067" i="8"/>
  <c r="E2067" i="8"/>
  <c r="G2067" i="8"/>
  <c r="F2068" i="8"/>
  <c r="E2068" i="8"/>
  <c r="G2068" i="8"/>
  <c r="F2069" i="8"/>
  <c r="E2069" i="8"/>
  <c r="G2069" i="8"/>
  <c r="F2070" i="8"/>
  <c r="E2070" i="8"/>
  <c r="G2070" i="8"/>
  <c r="F2071" i="8"/>
  <c r="E2071" i="8"/>
  <c r="G2071" i="8"/>
  <c r="F2072" i="8"/>
  <c r="E2072" i="8"/>
  <c r="G2072" i="8"/>
  <c r="F2073" i="8"/>
  <c r="E2073" i="8"/>
  <c r="G2073" i="8"/>
  <c r="F2074" i="8"/>
  <c r="E2074" i="8"/>
  <c r="G2074" i="8"/>
  <c r="F2075" i="8"/>
  <c r="E2075" i="8"/>
  <c r="G2075" i="8"/>
  <c r="F2076" i="8"/>
  <c r="E2076" i="8"/>
  <c r="G2076" i="8"/>
  <c r="F2077" i="8"/>
  <c r="E2077" i="8"/>
  <c r="G2077" i="8"/>
  <c r="F2078" i="8"/>
  <c r="E2078" i="8"/>
  <c r="G2078" i="8"/>
  <c r="F2079" i="8"/>
  <c r="E2079" i="8"/>
  <c r="G2079" i="8"/>
  <c r="F2080" i="8"/>
  <c r="E2080" i="8"/>
  <c r="G2080" i="8"/>
  <c r="F2081" i="8"/>
  <c r="E2081" i="8"/>
  <c r="G2081" i="8"/>
  <c r="F2082" i="8"/>
  <c r="E2082" i="8"/>
  <c r="G2082" i="8"/>
  <c r="F2083" i="8"/>
  <c r="E2083" i="8"/>
  <c r="G2083" i="8"/>
  <c r="F2084" i="8"/>
  <c r="E2084" i="8"/>
  <c r="G2084" i="8"/>
  <c r="F2085" i="8"/>
  <c r="E2085" i="8"/>
  <c r="G2085" i="8"/>
  <c r="F2086" i="8"/>
  <c r="E2086" i="8"/>
  <c r="G2086" i="8"/>
  <c r="F2087" i="8"/>
  <c r="E2087" i="8"/>
  <c r="G2087" i="8"/>
  <c r="F2088" i="8"/>
  <c r="E2088" i="8"/>
  <c r="G2088" i="8"/>
  <c r="F2089" i="8"/>
  <c r="E2089" i="8"/>
  <c r="G2089" i="8"/>
  <c r="F2090" i="8"/>
  <c r="E2090" i="8"/>
  <c r="G2090" i="8"/>
  <c r="F2091" i="8"/>
  <c r="E2091" i="8"/>
  <c r="G2091" i="8"/>
  <c r="F2092" i="8"/>
  <c r="E2092" i="8"/>
  <c r="G2092" i="8"/>
  <c r="F2093" i="8"/>
  <c r="E2093" i="8"/>
  <c r="G2093" i="8"/>
  <c r="F2094" i="8"/>
  <c r="E2094" i="8"/>
  <c r="G2094" i="8"/>
  <c r="F2095" i="8"/>
  <c r="E2095" i="8"/>
  <c r="G2095" i="8"/>
  <c r="F2096" i="8"/>
  <c r="E2096" i="8"/>
  <c r="G2096" i="8"/>
  <c r="F2097" i="8"/>
  <c r="E2097" i="8"/>
  <c r="G2097" i="8"/>
  <c r="F2098" i="8"/>
  <c r="E2098" i="8"/>
  <c r="G2098" i="8"/>
  <c r="F2099" i="8"/>
  <c r="E2099" i="8"/>
  <c r="G2099" i="8"/>
  <c r="F2100" i="8"/>
  <c r="E2100" i="8"/>
  <c r="G2100" i="8"/>
  <c r="F2101" i="8"/>
  <c r="E2101" i="8"/>
  <c r="G2101" i="8"/>
  <c r="F2102" i="8"/>
  <c r="E2102" i="8"/>
  <c r="G2102" i="8"/>
  <c r="F2103" i="8"/>
  <c r="E2103" i="8"/>
  <c r="G2103" i="8"/>
  <c r="F2104" i="8"/>
  <c r="E2104" i="8"/>
  <c r="G2104" i="8"/>
  <c r="F2105" i="8"/>
  <c r="E2105" i="8"/>
  <c r="G2105" i="8"/>
  <c r="F2106" i="8"/>
  <c r="E2106" i="8"/>
  <c r="G2106" i="8"/>
  <c r="F2107" i="8"/>
  <c r="E2107" i="8"/>
  <c r="G2107" i="8"/>
  <c r="F2108" i="8"/>
  <c r="E2108" i="8"/>
  <c r="G2108" i="8"/>
  <c r="F2109" i="8"/>
  <c r="E2109" i="8"/>
  <c r="G2109" i="8"/>
  <c r="F2110" i="8"/>
  <c r="E2110" i="8"/>
  <c r="G2110" i="8"/>
  <c r="F2111" i="8"/>
  <c r="E2111" i="8"/>
  <c r="G2111" i="8"/>
  <c r="F2112" i="8"/>
  <c r="E2112" i="8"/>
  <c r="G2112" i="8"/>
  <c r="F2113" i="8"/>
  <c r="E2113" i="8"/>
  <c r="G2113" i="8"/>
  <c r="F2114" i="8"/>
  <c r="E2114" i="8"/>
  <c r="G2114" i="8"/>
  <c r="F2115" i="8"/>
  <c r="E2115" i="8"/>
  <c r="G2115" i="8"/>
  <c r="F2116" i="8"/>
  <c r="E2116" i="8"/>
  <c r="G2116" i="8"/>
  <c r="F2117" i="8"/>
  <c r="E2117" i="8"/>
  <c r="G2117" i="8"/>
  <c r="F2118" i="8"/>
  <c r="E2118" i="8"/>
  <c r="G2118" i="8"/>
  <c r="F2119" i="8"/>
  <c r="E2119" i="8"/>
  <c r="G2119" i="8"/>
  <c r="F2120" i="8"/>
  <c r="E2120" i="8"/>
  <c r="G2120" i="8"/>
  <c r="F2121" i="8"/>
  <c r="E2121" i="8"/>
  <c r="G2121" i="8"/>
  <c r="F2122" i="8"/>
  <c r="E2122" i="8"/>
  <c r="G2122" i="8"/>
  <c r="F2123" i="8"/>
  <c r="E2123" i="8"/>
  <c r="G2123" i="8"/>
  <c r="F2124" i="8"/>
  <c r="E2124" i="8"/>
  <c r="G2124" i="8"/>
  <c r="F2125" i="8"/>
  <c r="E2125" i="8"/>
  <c r="G2125" i="8"/>
  <c r="F2126" i="8"/>
  <c r="E2126" i="8"/>
  <c r="G2126" i="8"/>
  <c r="F2127" i="8"/>
  <c r="E2127" i="8"/>
  <c r="G2127" i="8"/>
  <c r="F2128" i="8"/>
  <c r="E2128" i="8"/>
  <c r="G2128" i="8"/>
  <c r="F2129" i="8"/>
  <c r="E2129" i="8"/>
  <c r="G2129" i="8"/>
  <c r="F2130" i="8"/>
  <c r="E2130" i="8"/>
  <c r="G2130" i="8"/>
  <c r="F2131" i="8"/>
  <c r="E2131" i="8"/>
  <c r="G2131" i="8"/>
  <c r="F2132" i="8"/>
  <c r="E2132" i="8"/>
  <c r="G2132" i="8"/>
  <c r="F2133" i="8"/>
  <c r="E2133" i="8"/>
  <c r="G2133" i="8"/>
  <c r="F2134" i="8"/>
  <c r="E2134" i="8"/>
  <c r="G2134" i="8"/>
  <c r="F2135" i="8"/>
  <c r="E2135" i="8"/>
  <c r="G2135" i="8"/>
  <c r="F2136" i="8"/>
  <c r="E2136" i="8"/>
  <c r="G2136" i="8"/>
  <c r="F2137" i="8"/>
  <c r="E2137" i="8"/>
  <c r="G2137" i="8"/>
  <c r="F2138" i="8"/>
  <c r="E2138" i="8"/>
  <c r="G2138" i="8"/>
  <c r="F2139" i="8"/>
  <c r="E2139" i="8"/>
  <c r="G2139" i="8"/>
  <c r="F2140" i="8"/>
  <c r="E2140" i="8"/>
  <c r="G2140" i="8"/>
  <c r="F2141" i="8"/>
  <c r="E2141" i="8"/>
  <c r="G2141" i="8"/>
  <c r="F2142" i="8"/>
  <c r="E2142" i="8"/>
  <c r="G2142" i="8"/>
  <c r="F2143" i="8"/>
  <c r="E2143" i="8"/>
  <c r="G2143" i="8"/>
  <c r="F2144" i="8"/>
  <c r="E2144" i="8"/>
  <c r="G2144" i="8"/>
  <c r="F2145" i="8"/>
  <c r="E2145" i="8"/>
  <c r="G2145" i="8"/>
  <c r="F2146" i="8"/>
  <c r="E2146" i="8"/>
  <c r="G2146" i="8"/>
  <c r="F2147" i="8"/>
  <c r="E2147" i="8"/>
  <c r="G2147" i="8"/>
  <c r="F2148" i="8"/>
  <c r="E2148" i="8"/>
  <c r="G2148" i="8"/>
  <c r="F2149" i="8"/>
  <c r="E2149" i="8"/>
  <c r="G2149" i="8"/>
  <c r="F2150" i="8"/>
  <c r="E2150" i="8"/>
  <c r="G2150" i="8"/>
  <c r="F2151" i="8"/>
  <c r="E2151" i="8"/>
  <c r="G2151" i="8"/>
  <c r="F2152" i="8"/>
  <c r="E2152" i="8"/>
  <c r="G2152" i="8"/>
  <c r="F2153" i="8"/>
  <c r="E2153" i="8"/>
  <c r="G2153" i="8"/>
  <c r="F2154" i="8"/>
  <c r="E2154" i="8"/>
  <c r="G2154" i="8"/>
  <c r="F2155" i="8"/>
  <c r="E2155" i="8"/>
  <c r="G2155" i="8"/>
  <c r="F2156" i="8"/>
  <c r="E2156" i="8"/>
  <c r="G2156" i="8"/>
  <c r="F2157" i="8"/>
  <c r="E2157" i="8"/>
  <c r="G2157" i="8"/>
  <c r="F2158" i="8"/>
  <c r="E2158" i="8"/>
  <c r="G2158" i="8"/>
  <c r="F2159" i="8"/>
  <c r="E2159" i="8"/>
  <c r="G2159" i="8"/>
  <c r="F2160" i="8"/>
  <c r="E2160" i="8"/>
  <c r="G2160" i="8"/>
  <c r="F2161" i="8"/>
  <c r="E2161" i="8"/>
  <c r="G2161" i="8"/>
  <c r="F2162" i="8"/>
  <c r="E2162" i="8"/>
  <c r="G2162" i="8"/>
  <c r="F2163" i="8"/>
  <c r="E2163" i="8"/>
  <c r="G2163" i="8"/>
  <c r="F2164" i="8"/>
  <c r="E2164" i="8"/>
  <c r="G2164" i="8"/>
  <c r="F2165" i="8"/>
  <c r="E2165" i="8"/>
  <c r="G2165" i="8"/>
  <c r="F2166" i="8"/>
  <c r="E2166" i="8"/>
  <c r="G2166" i="8"/>
  <c r="F2167" i="8"/>
  <c r="E2167" i="8"/>
  <c r="G2167" i="8"/>
  <c r="F2168" i="8"/>
  <c r="E2168" i="8"/>
  <c r="G2168" i="8"/>
  <c r="F2169" i="8"/>
  <c r="E2169" i="8"/>
  <c r="G2169" i="8"/>
  <c r="F2170" i="8"/>
  <c r="E2170" i="8"/>
  <c r="G2170" i="8"/>
  <c r="F2171" i="8"/>
  <c r="E2171" i="8"/>
  <c r="G2171" i="8"/>
  <c r="F2172" i="8"/>
  <c r="E2172" i="8"/>
  <c r="G2172" i="8"/>
  <c r="F2173" i="8"/>
  <c r="E2173" i="8"/>
  <c r="G2173" i="8"/>
  <c r="F2174" i="8"/>
  <c r="E2174" i="8"/>
  <c r="G2174" i="8"/>
  <c r="F2175" i="8"/>
  <c r="E2175" i="8"/>
  <c r="G2175" i="8"/>
  <c r="F2176" i="8"/>
  <c r="E2176" i="8"/>
  <c r="G2176" i="8"/>
  <c r="F2177" i="8"/>
  <c r="E2177" i="8"/>
  <c r="G2177" i="8"/>
  <c r="F2178" i="8"/>
  <c r="E2178" i="8"/>
  <c r="G2178" i="8"/>
  <c r="F2179" i="8"/>
  <c r="E2179" i="8"/>
  <c r="G2179" i="8"/>
  <c r="F2180" i="8"/>
  <c r="E2180" i="8"/>
  <c r="G2180" i="8"/>
  <c r="F2181" i="8"/>
  <c r="E2181" i="8"/>
  <c r="G2181" i="8"/>
  <c r="F2182" i="8"/>
  <c r="E2182" i="8"/>
  <c r="G2182" i="8"/>
  <c r="F2183" i="8"/>
  <c r="E2183" i="8"/>
  <c r="G2183" i="8"/>
  <c r="F2184" i="8"/>
  <c r="E2184" i="8"/>
  <c r="G2184" i="8"/>
  <c r="F2185" i="8"/>
  <c r="E2185" i="8"/>
  <c r="G2185" i="8"/>
  <c r="F2186" i="8"/>
  <c r="E2186" i="8"/>
  <c r="G2186" i="8"/>
  <c r="F2187" i="8"/>
  <c r="E2187" i="8"/>
  <c r="G2187" i="8"/>
  <c r="F2188" i="8"/>
  <c r="E2188" i="8"/>
  <c r="G2188" i="8"/>
  <c r="F2189" i="8"/>
  <c r="E2189" i="8"/>
  <c r="G2189" i="8"/>
  <c r="F2190" i="8"/>
  <c r="E2190" i="8"/>
  <c r="G2190" i="8"/>
  <c r="F2191" i="8"/>
  <c r="E2191" i="8"/>
  <c r="G2191" i="8"/>
  <c r="F2192" i="8"/>
  <c r="E2192" i="8"/>
  <c r="G2192" i="8"/>
  <c r="F2193" i="8"/>
  <c r="E2193" i="8"/>
  <c r="G2193" i="8"/>
  <c r="F2194" i="8"/>
  <c r="E2194" i="8"/>
  <c r="G2194" i="8"/>
  <c r="F2195" i="8"/>
  <c r="E2195" i="8"/>
  <c r="G2195" i="8"/>
  <c r="F2196" i="8"/>
  <c r="E2196" i="8"/>
  <c r="G2196" i="8"/>
  <c r="F2197" i="8"/>
  <c r="E2197" i="8"/>
  <c r="G2197" i="8"/>
  <c r="F2198" i="8"/>
  <c r="E2198" i="8"/>
  <c r="G2198" i="8"/>
  <c r="F2199" i="8"/>
  <c r="E2199" i="8"/>
  <c r="G2199" i="8"/>
  <c r="F2200" i="8"/>
  <c r="E2200" i="8"/>
  <c r="G2200" i="8"/>
  <c r="F2201" i="8"/>
  <c r="E2201" i="8"/>
  <c r="G2201" i="8"/>
  <c r="F2202" i="8"/>
  <c r="E2202" i="8"/>
  <c r="G2202" i="8"/>
  <c r="F2203" i="8"/>
  <c r="E2203" i="8"/>
  <c r="G2203" i="8"/>
  <c r="F2204" i="8"/>
  <c r="E2204" i="8"/>
  <c r="G2204" i="8"/>
  <c r="F2205" i="8"/>
  <c r="E2205" i="8"/>
  <c r="G2205" i="8"/>
  <c r="F2206" i="8"/>
  <c r="E2206" i="8"/>
  <c r="G2206" i="8"/>
  <c r="F2207" i="8"/>
  <c r="E2207" i="8"/>
  <c r="G2207" i="8"/>
  <c r="F2208" i="8"/>
  <c r="E2208" i="8"/>
  <c r="G2208" i="8"/>
  <c r="F2209" i="8"/>
  <c r="E2209" i="8"/>
  <c r="G2209" i="8"/>
  <c r="F2210" i="8"/>
  <c r="E2210" i="8"/>
  <c r="G2210" i="8"/>
  <c r="F2211" i="8"/>
  <c r="E2211" i="8"/>
  <c r="G2211" i="8"/>
  <c r="F2212" i="8"/>
  <c r="E2212" i="8"/>
  <c r="G2212" i="8"/>
  <c r="F2213" i="8"/>
  <c r="E2213" i="8"/>
  <c r="G2213" i="8"/>
  <c r="F2214" i="8"/>
  <c r="E2214" i="8"/>
  <c r="G2214" i="8"/>
  <c r="F2215" i="8"/>
  <c r="E2215" i="8"/>
  <c r="G2215" i="8"/>
  <c r="F2216" i="8"/>
  <c r="E2216" i="8"/>
  <c r="G2216" i="8"/>
  <c r="F2217" i="8"/>
  <c r="E2217" i="8"/>
  <c r="G2217" i="8"/>
  <c r="F2218" i="8"/>
  <c r="E2218" i="8"/>
  <c r="G2218" i="8"/>
  <c r="F2219" i="8"/>
  <c r="E2219" i="8"/>
  <c r="G2219" i="8"/>
  <c r="F2220" i="8"/>
  <c r="E2220" i="8"/>
  <c r="G2220" i="8"/>
  <c r="F2221" i="8"/>
  <c r="E2221" i="8"/>
  <c r="G2221" i="8"/>
  <c r="F2222" i="8"/>
  <c r="E2222" i="8"/>
  <c r="G2222" i="8"/>
  <c r="F2223" i="8"/>
  <c r="E2223" i="8"/>
  <c r="G2223" i="8"/>
  <c r="F2224" i="8"/>
  <c r="E2224" i="8"/>
  <c r="G2224" i="8"/>
  <c r="F2225" i="8"/>
  <c r="E2225" i="8"/>
  <c r="G2225" i="8"/>
  <c r="F2226" i="8"/>
  <c r="E2226" i="8"/>
  <c r="G2226" i="8"/>
  <c r="F2227" i="8"/>
  <c r="E2227" i="8"/>
  <c r="G2227" i="8"/>
  <c r="F2228" i="8"/>
  <c r="E2228" i="8"/>
  <c r="G2228" i="8"/>
  <c r="F2229" i="8"/>
  <c r="E2229" i="8"/>
  <c r="G2229" i="8"/>
  <c r="F2230" i="8"/>
  <c r="E2230" i="8"/>
  <c r="G2230" i="8"/>
  <c r="F2231" i="8"/>
  <c r="E2231" i="8"/>
  <c r="G2231" i="8"/>
  <c r="F2232" i="8"/>
  <c r="E2232" i="8"/>
  <c r="G2232" i="8"/>
  <c r="F2233" i="8"/>
  <c r="E2233" i="8"/>
  <c r="G2233" i="8"/>
  <c r="F2234" i="8"/>
  <c r="E2234" i="8"/>
  <c r="G2234" i="8"/>
  <c r="F2235" i="8"/>
  <c r="E2235" i="8"/>
  <c r="G2235" i="8"/>
  <c r="F2236" i="8"/>
  <c r="E2236" i="8"/>
  <c r="G2236" i="8"/>
  <c r="F2237" i="8"/>
  <c r="E2237" i="8"/>
  <c r="G2237" i="8"/>
  <c r="F2238" i="8"/>
  <c r="E2238" i="8"/>
  <c r="G2238" i="8"/>
  <c r="F2239" i="8"/>
  <c r="E2239" i="8"/>
  <c r="G2239" i="8"/>
  <c r="F2240" i="8"/>
  <c r="E2240" i="8"/>
  <c r="G2240" i="8"/>
  <c r="F2241" i="8"/>
  <c r="E2241" i="8"/>
  <c r="G2241" i="8"/>
  <c r="F2242" i="8"/>
  <c r="E2242" i="8"/>
  <c r="G2242" i="8"/>
  <c r="F2243" i="8"/>
  <c r="E2243" i="8"/>
  <c r="G2243" i="8"/>
  <c r="F2244" i="8"/>
  <c r="E2244" i="8"/>
  <c r="G2244" i="8"/>
  <c r="F2245" i="8"/>
  <c r="E2245" i="8"/>
  <c r="G2245" i="8"/>
  <c r="F2246" i="8"/>
  <c r="E2246" i="8"/>
  <c r="G2246" i="8"/>
  <c r="F2247" i="8"/>
  <c r="E2247" i="8"/>
  <c r="G2247" i="8"/>
  <c r="F2248" i="8"/>
  <c r="E2248" i="8"/>
  <c r="G2248" i="8"/>
  <c r="F2249" i="8"/>
  <c r="E2249" i="8"/>
  <c r="G2249" i="8"/>
  <c r="F2250" i="8"/>
  <c r="E2250" i="8"/>
  <c r="G2250" i="8"/>
  <c r="F2251" i="8"/>
  <c r="E2251" i="8"/>
  <c r="G2251" i="8"/>
  <c r="F2252" i="8"/>
  <c r="E2252" i="8"/>
  <c r="G2252" i="8"/>
  <c r="F2253" i="8"/>
  <c r="E2253" i="8"/>
  <c r="G2253" i="8"/>
  <c r="F2254" i="8"/>
  <c r="E2254" i="8"/>
  <c r="G2254" i="8"/>
  <c r="F2255" i="8"/>
  <c r="E2255" i="8"/>
  <c r="G2255" i="8"/>
  <c r="F2256" i="8"/>
  <c r="E2256" i="8"/>
  <c r="G2256" i="8"/>
  <c r="F2257" i="8"/>
  <c r="E2257" i="8"/>
  <c r="G2257" i="8"/>
  <c r="F2258" i="8"/>
  <c r="E2258" i="8"/>
  <c r="G2258" i="8"/>
  <c r="F2259" i="8"/>
  <c r="E2259" i="8"/>
  <c r="G2259" i="8"/>
  <c r="F2260" i="8"/>
  <c r="E2260" i="8"/>
  <c r="G2260" i="8"/>
  <c r="F2261" i="8"/>
  <c r="E2261" i="8"/>
  <c r="G2261" i="8"/>
  <c r="F2262" i="8"/>
  <c r="E2262" i="8"/>
  <c r="G2262" i="8"/>
  <c r="F2263" i="8"/>
  <c r="E2263" i="8"/>
  <c r="G2263" i="8"/>
  <c r="F2264" i="8"/>
  <c r="E2264" i="8"/>
  <c r="G2264" i="8"/>
  <c r="F2265" i="8"/>
  <c r="E2265" i="8"/>
  <c r="G2265" i="8"/>
  <c r="F2266" i="8"/>
  <c r="E2266" i="8"/>
  <c r="G2266" i="8"/>
  <c r="F2267" i="8"/>
  <c r="E2267" i="8"/>
  <c r="G2267" i="8"/>
  <c r="F2268" i="8"/>
  <c r="E2268" i="8"/>
  <c r="G2268" i="8"/>
  <c r="F2269" i="8"/>
  <c r="E2269" i="8"/>
  <c r="G2269" i="8"/>
  <c r="F2270" i="8"/>
  <c r="E2270" i="8"/>
  <c r="G2270" i="8"/>
  <c r="F2271" i="8"/>
  <c r="E2271" i="8"/>
  <c r="G2271" i="8"/>
  <c r="F2272" i="8"/>
  <c r="E2272" i="8"/>
  <c r="G2272" i="8"/>
  <c r="F2273" i="8"/>
  <c r="E2273" i="8"/>
  <c r="G2273" i="8"/>
  <c r="F2274" i="8"/>
  <c r="E2274" i="8"/>
  <c r="G2274" i="8"/>
  <c r="F2275" i="8"/>
  <c r="E2275" i="8"/>
  <c r="G2275" i="8"/>
  <c r="F2276" i="8"/>
  <c r="E2276" i="8"/>
  <c r="G2276" i="8"/>
  <c r="F2277" i="8"/>
  <c r="E2277" i="8"/>
  <c r="G2277" i="8"/>
  <c r="F2278" i="8"/>
  <c r="E2278" i="8"/>
  <c r="G2278" i="8"/>
  <c r="F2279" i="8"/>
  <c r="E2279" i="8"/>
  <c r="G2279" i="8"/>
  <c r="F2280" i="8"/>
  <c r="E2280" i="8"/>
  <c r="G2280" i="8"/>
  <c r="F2281" i="8"/>
  <c r="E2281" i="8"/>
  <c r="G2281" i="8"/>
  <c r="F2282" i="8"/>
  <c r="E2282" i="8"/>
  <c r="G2282" i="8"/>
  <c r="F2283" i="8"/>
  <c r="E2283" i="8"/>
  <c r="G2283" i="8"/>
  <c r="F2284" i="8"/>
  <c r="E2284" i="8"/>
  <c r="G2284" i="8"/>
  <c r="F2285" i="8"/>
  <c r="E2285" i="8"/>
  <c r="G2285" i="8"/>
  <c r="F2286" i="8"/>
  <c r="E2286" i="8"/>
  <c r="G2286" i="8"/>
  <c r="F2287" i="8"/>
  <c r="E2287" i="8"/>
  <c r="G2287" i="8"/>
  <c r="F2288" i="8"/>
  <c r="E2288" i="8"/>
  <c r="G2288" i="8"/>
  <c r="F2289" i="8"/>
  <c r="E2289" i="8"/>
  <c r="G2289" i="8"/>
  <c r="F2290" i="8"/>
  <c r="E2290" i="8"/>
  <c r="G2290" i="8"/>
  <c r="F2291" i="8"/>
  <c r="E2291" i="8"/>
  <c r="G2291" i="8"/>
  <c r="F2292" i="8"/>
  <c r="E2292" i="8"/>
  <c r="G2292" i="8"/>
  <c r="F2293" i="8"/>
  <c r="E2293" i="8"/>
  <c r="G2293" i="8"/>
  <c r="F2294" i="8"/>
  <c r="E2294" i="8"/>
  <c r="G2294" i="8"/>
  <c r="F2295" i="8"/>
  <c r="E2295" i="8"/>
  <c r="G2295" i="8"/>
  <c r="F2296" i="8"/>
  <c r="E2296" i="8"/>
  <c r="G2296" i="8"/>
  <c r="F2297" i="8"/>
  <c r="E2297" i="8"/>
  <c r="G2297" i="8"/>
  <c r="F2298" i="8"/>
  <c r="E2298" i="8"/>
  <c r="G2298" i="8"/>
  <c r="F2299" i="8"/>
  <c r="E2299" i="8"/>
  <c r="G2299" i="8"/>
  <c r="F2300" i="8"/>
  <c r="E2300" i="8"/>
  <c r="G2300" i="8"/>
  <c r="F2301" i="8"/>
  <c r="E2301" i="8"/>
  <c r="G2301" i="8"/>
  <c r="F2302" i="8"/>
  <c r="E2302" i="8"/>
  <c r="G2302" i="8"/>
  <c r="F2303" i="8"/>
  <c r="E2303" i="8"/>
  <c r="G2303" i="8"/>
  <c r="F2304" i="8"/>
  <c r="E2304" i="8"/>
  <c r="G2304" i="8"/>
  <c r="F2305" i="8"/>
  <c r="E2305" i="8"/>
  <c r="G2305" i="8"/>
  <c r="F2306" i="8"/>
  <c r="E2306" i="8"/>
  <c r="G2306" i="8"/>
  <c r="F2307" i="8"/>
  <c r="E2307" i="8"/>
  <c r="G2307" i="8"/>
  <c r="F2308" i="8"/>
  <c r="E2308" i="8"/>
  <c r="G2308" i="8"/>
  <c r="F2309" i="8"/>
  <c r="E2309" i="8"/>
  <c r="G2309" i="8"/>
  <c r="F2310" i="8"/>
  <c r="E2310" i="8"/>
  <c r="G2310" i="8"/>
  <c r="F2311" i="8"/>
  <c r="E2311" i="8"/>
  <c r="G2311" i="8"/>
  <c r="F2312" i="8"/>
  <c r="E2312" i="8"/>
  <c r="G2312" i="8"/>
  <c r="F2313" i="8"/>
  <c r="E2313" i="8"/>
  <c r="G2313" i="8"/>
  <c r="F2314" i="8"/>
  <c r="E2314" i="8"/>
  <c r="G2314" i="8"/>
  <c r="F2315" i="8"/>
  <c r="E2315" i="8"/>
  <c r="G2315" i="8"/>
  <c r="F2316" i="8"/>
  <c r="E2316" i="8"/>
  <c r="G2316" i="8"/>
  <c r="F2317" i="8"/>
  <c r="E2317" i="8"/>
  <c r="G2317" i="8"/>
  <c r="F2318" i="8"/>
  <c r="E2318" i="8"/>
  <c r="G2318" i="8"/>
  <c r="F2319" i="8"/>
  <c r="E2319" i="8"/>
  <c r="G2319" i="8"/>
  <c r="F2320" i="8"/>
  <c r="E2320" i="8"/>
  <c r="G2320" i="8"/>
  <c r="F2321" i="8"/>
  <c r="E2321" i="8"/>
  <c r="G2321" i="8"/>
  <c r="F2322" i="8"/>
  <c r="E2322" i="8"/>
  <c r="G2322" i="8"/>
  <c r="F2323" i="8"/>
  <c r="E2323" i="8"/>
  <c r="G2323" i="8"/>
  <c r="F2324" i="8"/>
  <c r="E2324" i="8"/>
  <c r="G2324" i="8"/>
  <c r="F2325" i="8"/>
  <c r="E2325" i="8"/>
  <c r="G2325" i="8"/>
  <c r="F2326" i="8"/>
  <c r="E2326" i="8"/>
  <c r="G2326" i="8"/>
  <c r="F2327" i="8"/>
  <c r="E2327" i="8"/>
  <c r="G2327" i="8"/>
  <c r="F2328" i="8"/>
  <c r="E2328" i="8"/>
  <c r="G2328" i="8"/>
  <c r="F2329" i="8"/>
  <c r="E2329" i="8"/>
  <c r="G2329" i="8"/>
  <c r="F2330" i="8"/>
  <c r="E2330" i="8"/>
  <c r="G2330" i="8"/>
  <c r="F2331" i="8"/>
  <c r="E2331" i="8"/>
  <c r="G2331" i="8"/>
  <c r="F2332" i="8"/>
  <c r="E2332" i="8"/>
  <c r="G2332" i="8"/>
  <c r="F2333" i="8"/>
  <c r="E2333" i="8"/>
  <c r="G2333" i="8"/>
  <c r="F2334" i="8"/>
  <c r="E2334" i="8"/>
  <c r="G2334" i="8"/>
  <c r="F2335" i="8"/>
  <c r="E2335" i="8"/>
  <c r="G2335" i="8"/>
  <c r="F2336" i="8"/>
  <c r="E2336" i="8"/>
  <c r="G2336" i="8"/>
  <c r="F2337" i="8"/>
  <c r="E2337" i="8"/>
  <c r="G2337" i="8"/>
  <c r="F2338" i="8"/>
  <c r="E2338" i="8"/>
  <c r="G2338" i="8"/>
  <c r="F2339" i="8"/>
  <c r="E2339" i="8"/>
  <c r="G2339" i="8"/>
  <c r="F2340" i="8"/>
  <c r="E2340" i="8"/>
  <c r="G2340" i="8"/>
  <c r="F2341" i="8"/>
  <c r="E2341" i="8"/>
  <c r="G2341" i="8"/>
  <c r="F2342" i="8"/>
  <c r="E2342" i="8"/>
  <c r="G2342" i="8"/>
  <c r="F2343" i="8"/>
  <c r="E2343" i="8"/>
  <c r="G2343" i="8"/>
  <c r="F2344" i="8"/>
  <c r="E2344" i="8"/>
  <c r="G2344" i="8"/>
  <c r="F2345" i="8"/>
  <c r="E2345" i="8"/>
  <c r="G2345" i="8"/>
  <c r="F2346" i="8"/>
  <c r="E2346" i="8"/>
  <c r="G2346" i="8"/>
  <c r="F2347" i="8"/>
  <c r="E2347" i="8"/>
  <c r="G2347" i="8"/>
  <c r="F2348" i="8"/>
  <c r="E2348" i="8"/>
  <c r="G2348" i="8"/>
  <c r="F2349" i="8"/>
  <c r="E2349" i="8"/>
  <c r="G2349" i="8"/>
  <c r="F2350" i="8"/>
  <c r="E2350" i="8"/>
  <c r="G2350" i="8"/>
  <c r="F2351" i="8"/>
  <c r="E2351" i="8"/>
  <c r="G2351" i="8"/>
  <c r="F2352" i="8"/>
  <c r="E2352" i="8"/>
  <c r="G2352" i="8"/>
  <c r="F2353" i="8"/>
  <c r="E2353" i="8"/>
  <c r="G2353" i="8"/>
  <c r="F2354" i="8"/>
  <c r="E2354" i="8"/>
  <c r="G2354" i="8"/>
  <c r="F2355" i="8"/>
  <c r="E2355" i="8"/>
  <c r="G2355" i="8"/>
  <c r="F2356" i="8"/>
  <c r="E2356" i="8"/>
  <c r="G2356" i="8"/>
  <c r="F2357" i="8"/>
  <c r="E2357" i="8"/>
  <c r="G2357" i="8"/>
  <c r="F2358" i="8"/>
  <c r="E2358" i="8"/>
  <c r="G2358" i="8"/>
  <c r="F2359" i="8"/>
  <c r="E2359" i="8"/>
  <c r="G2359" i="8"/>
  <c r="F2360" i="8"/>
  <c r="E2360" i="8"/>
  <c r="G2360" i="8"/>
  <c r="F2361" i="8"/>
  <c r="E2361" i="8"/>
  <c r="G2361" i="8"/>
  <c r="F2362" i="8"/>
  <c r="E2362" i="8"/>
  <c r="G2362" i="8"/>
  <c r="F2363" i="8"/>
  <c r="E2363" i="8"/>
  <c r="G2363" i="8"/>
  <c r="F2364" i="8"/>
  <c r="E2364" i="8"/>
  <c r="G2364" i="8"/>
  <c r="F2365" i="8"/>
  <c r="E2365" i="8"/>
  <c r="G2365" i="8"/>
  <c r="F2366" i="8"/>
  <c r="E2366" i="8"/>
  <c r="G2366" i="8"/>
  <c r="F2367" i="8"/>
  <c r="E2367" i="8"/>
  <c r="G2367" i="8"/>
  <c r="F2368" i="8"/>
  <c r="E2368" i="8"/>
  <c r="G2368" i="8"/>
  <c r="F2369" i="8"/>
  <c r="E2369" i="8"/>
  <c r="G2369" i="8"/>
  <c r="F2370" i="8"/>
  <c r="E2370" i="8"/>
  <c r="G2370" i="8"/>
  <c r="F2371" i="8"/>
  <c r="E2371" i="8"/>
  <c r="G2371" i="8"/>
  <c r="F2372" i="8"/>
  <c r="E2372" i="8"/>
  <c r="G2372" i="8"/>
  <c r="F2373" i="8"/>
  <c r="E2373" i="8"/>
  <c r="G2373" i="8"/>
  <c r="F2374" i="8"/>
  <c r="E2374" i="8"/>
  <c r="G2374" i="8"/>
  <c r="F2375" i="8"/>
  <c r="E2375" i="8"/>
  <c r="G2375" i="8"/>
  <c r="F2376" i="8"/>
  <c r="E2376" i="8"/>
  <c r="G2376" i="8"/>
  <c r="F2377" i="8"/>
  <c r="E2377" i="8"/>
  <c r="G2377" i="8"/>
  <c r="F2378" i="8"/>
  <c r="E2378" i="8"/>
  <c r="G2378" i="8"/>
  <c r="F2379" i="8"/>
  <c r="E2379" i="8"/>
  <c r="G2379" i="8"/>
  <c r="F2380" i="8"/>
  <c r="E2380" i="8"/>
  <c r="G2380" i="8"/>
  <c r="F2381" i="8"/>
  <c r="E2381" i="8"/>
  <c r="G2381" i="8"/>
  <c r="F2382" i="8"/>
  <c r="E2382" i="8"/>
  <c r="G2382" i="8"/>
  <c r="F2383" i="8"/>
  <c r="E2383" i="8"/>
  <c r="G2383" i="8"/>
  <c r="F2384" i="8"/>
  <c r="E2384" i="8"/>
  <c r="G2384" i="8"/>
  <c r="F2385" i="8"/>
  <c r="E2385" i="8"/>
  <c r="G2385" i="8"/>
  <c r="F2386" i="8"/>
  <c r="E2386" i="8"/>
  <c r="G2386" i="8"/>
  <c r="F2387" i="8"/>
  <c r="E2387" i="8"/>
  <c r="G2387" i="8"/>
  <c r="F2388" i="8"/>
  <c r="E2388" i="8"/>
  <c r="G2388" i="8"/>
  <c r="F2389" i="8"/>
  <c r="E2389" i="8"/>
  <c r="G2389" i="8"/>
  <c r="F2390" i="8"/>
  <c r="E2390" i="8"/>
  <c r="G2390" i="8"/>
  <c r="F2391" i="8"/>
  <c r="E2391" i="8"/>
  <c r="G2391" i="8"/>
  <c r="F2392" i="8"/>
  <c r="E2392" i="8"/>
  <c r="G2392" i="8"/>
  <c r="F2393" i="8"/>
  <c r="E2393" i="8"/>
  <c r="G2393" i="8"/>
  <c r="F2394" i="8"/>
  <c r="E2394" i="8"/>
  <c r="G2394" i="8"/>
  <c r="F2395" i="8"/>
  <c r="E2395" i="8"/>
  <c r="G2395" i="8"/>
  <c r="F2396" i="8"/>
  <c r="E2396" i="8"/>
  <c r="G2396" i="8"/>
  <c r="F2397" i="8"/>
  <c r="E2397" i="8"/>
  <c r="G2397" i="8"/>
  <c r="F2398" i="8"/>
  <c r="E2398" i="8"/>
  <c r="G2398" i="8"/>
  <c r="F2399" i="8"/>
  <c r="E2399" i="8"/>
  <c r="G2399" i="8"/>
  <c r="F2400" i="8"/>
  <c r="E2400" i="8"/>
  <c r="G2400" i="8"/>
  <c r="F2401" i="8"/>
  <c r="E2401" i="8"/>
  <c r="G2401" i="8"/>
  <c r="F2402" i="8"/>
  <c r="E2402" i="8"/>
  <c r="G2402" i="8"/>
  <c r="F2403" i="8"/>
  <c r="E2403" i="8"/>
  <c r="G2403" i="8"/>
  <c r="F2404" i="8"/>
  <c r="E2404" i="8"/>
  <c r="G2404" i="8"/>
  <c r="F2405" i="8"/>
  <c r="E2405" i="8"/>
  <c r="G2405" i="8"/>
  <c r="F2406" i="8"/>
  <c r="E2406" i="8"/>
  <c r="G2406" i="8"/>
  <c r="F2407" i="8"/>
  <c r="E2407" i="8"/>
  <c r="G2407" i="8"/>
  <c r="F2408" i="8"/>
  <c r="E2408" i="8"/>
  <c r="G2408" i="8"/>
  <c r="F2409" i="8"/>
  <c r="E2409" i="8"/>
  <c r="G2409" i="8"/>
  <c r="F2410" i="8"/>
  <c r="E2410" i="8"/>
  <c r="G2410" i="8"/>
  <c r="F2411" i="8"/>
  <c r="E2411" i="8"/>
  <c r="G2411" i="8"/>
  <c r="F2412" i="8"/>
  <c r="E2412" i="8"/>
  <c r="G2412" i="8"/>
  <c r="F2413" i="8"/>
  <c r="E2413" i="8"/>
  <c r="G2413" i="8"/>
  <c r="F2414" i="8"/>
  <c r="E2414" i="8"/>
  <c r="G2414" i="8"/>
  <c r="F2415" i="8"/>
  <c r="E2415" i="8"/>
  <c r="G2415" i="8"/>
  <c r="F2416" i="8"/>
  <c r="E2416" i="8"/>
  <c r="G2416" i="8"/>
  <c r="F2417" i="8"/>
  <c r="E2417" i="8"/>
  <c r="G2417" i="8"/>
  <c r="F2418" i="8"/>
  <c r="E2418" i="8"/>
  <c r="G2418" i="8"/>
  <c r="F2419" i="8"/>
  <c r="E2419" i="8"/>
  <c r="G2419" i="8"/>
  <c r="F2420" i="8"/>
  <c r="E2420" i="8"/>
  <c r="G2420" i="8"/>
  <c r="F2421" i="8"/>
  <c r="E2421" i="8"/>
  <c r="G2421" i="8"/>
  <c r="F2422" i="8"/>
  <c r="E2422" i="8"/>
  <c r="G2422" i="8"/>
  <c r="F2423" i="8"/>
  <c r="E2423" i="8"/>
  <c r="G2423" i="8"/>
  <c r="F2424" i="8"/>
  <c r="E2424" i="8"/>
  <c r="G2424" i="8"/>
  <c r="F2425" i="8"/>
  <c r="E2425" i="8"/>
  <c r="G2425" i="8"/>
  <c r="F2426" i="8"/>
  <c r="E2426" i="8"/>
  <c r="G2426" i="8"/>
  <c r="F2427" i="8"/>
  <c r="E2427" i="8"/>
  <c r="G2427" i="8"/>
  <c r="F2428" i="8"/>
  <c r="E2428" i="8"/>
  <c r="G2428" i="8"/>
  <c r="F2429" i="8"/>
  <c r="E2429" i="8"/>
  <c r="G2429" i="8"/>
  <c r="F2430" i="8"/>
  <c r="E2430" i="8"/>
  <c r="G2430" i="8"/>
  <c r="F2431" i="8"/>
  <c r="E2431" i="8"/>
  <c r="G2431" i="8"/>
  <c r="F2432" i="8"/>
  <c r="E2432" i="8"/>
  <c r="G2432" i="8"/>
  <c r="F2433" i="8"/>
  <c r="E2433" i="8"/>
  <c r="G2433" i="8"/>
  <c r="F2434" i="8"/>
  <c r="E2434" i="8"/>
  <c r="G2434" i="8"/>
  <c r="F2435" i="8"/>
  <c r="E2435" i="8"/>
  <c r="G2435" i="8"/>
  <c r="F2436" i="8"/>
  <c r="E2436" i="8"/>
  <c r="G2436" i="8"/>
  <c r="F2437" i="8"/>
  <c r="E2437" i="8"/>
  <c r="G2437" i="8"/>
  <c r="F2438" i="8"/>
  <c r="E2438" i="8"/>
  <c r="G2438" i="8"/>
  <c r="F2439" i="8"/>
  <c r="E2439" i="8"/>
  <c r="G2439" i="8"/>
  <c r="F2440" i="8"/>
  <c r="E2440" i="8"/>
  <c r="G2440" i="8"/>
  <c r="F2441" i="8"/>
  <c r="E2441" i="8"/>
  <c r="G2441" i="8"/>
  <c r="F2442" i="8"/>
  <c r="E2442" i="8"/>
  <c r="G2442" i="8"/>
  <c r="F2443" i="8"/>
  <c r="E2443" i="8"/>
  <c r="G2443" i="8"/>
  <c r="F2444" i="8"/>
  <c r="E2444" i="8"/>
  <c r="G2444" i="8"/>
  <c r="F2445" i="8"/>
  <c r="E2445" i="8"/>
  <c r="G2445" i="8"/>
  <c r="F2446" i="8"/>
  <c r="E2446" i="8"/>
  <c r="G2446" i="8"/>
  <c r="F2447" i="8"/>
  <c r="E2447" i="8"/>
  <c r="G2447" i="8"/>
  <c r="F2448" i="8"/>
  <c r="E2448" i="8"/>
  <c r="G2448" i="8"/>
  <c r="F2449" i="8"/>
  <c r="E2449" i="8"/>
  <c r="G2449" i="8"/>
  <c r="F2450" i="8"/>
  <c r="E2450" i="8"/>
  <c r="G2450" i="8"/>
  <c r="F2451" i="8"/>
  <c r="E2451" i="8"/>
  <c r="G2451" i="8"/>
  <c r="F2452" i="8"/>
  <c r="E2452" i="8"/>
  <c r="G2452" i="8"/>
  <c r="F2453" i="8"/>
  <c r="E2453" i="8"/>
  <c r="G2453" i="8"/>
  <c r="F2454" i="8"/>
  <c r="E2454" i="8"/>
  <c r="G2454" i="8"/>
  <c r="F2455" i="8"/>
  <c r="E2455" i="8"/>
  <c r="G2455" i="8"/>
  <c r="F2456" i="8"/>
  <c r="E2456" i="8"/>
  <c r="G2456" i="8"/>
  <c r="F2457" i="8"/>
  <c r="E2457" i="8"/>
  <c r="G2457" i="8"/>
  <c r="F2458" i="8"/>
  <c r="E2458" i="8"/>
  <c r="G2458" i="8"/>
  <c r="F2459" i="8"/>
  <c r="E2459" i="8"/>
  <c r="G2459" i="8"/>
  <c r="F2460" i="8"/>
  <c r="E2460" i="8"/>
  <c r="G2460" i="8"/>
  <c r="F2461" i="8"/>
  <c r="E2461" i="8"/>
  <c r="G2461" i="8"/>
  <c r="F2462" i="8"/>
  <c r="E2462" i="8"/>
  <c r="G2462" i="8"/>
  <c r="F2463" i="8"/>
  <c r="E2463" i="8"/>
  <c r="G2463" i="8"/>
  <c r="F2464" i="8"/>
  <c r="E2464" i="8"/>
  <c r="G2464" i="8"/>
  <c r="F2465" i="8"/>
  <c r="E2465" i="8"/>
  <c r="G2465" i="8"/>
  <c r="F2466" i="8"/>
  <c r="E2466" i="8"/>
  <c r="G2466" i="8"/>
  <c r="F2467" i="8"/>
  <c r="E2467" i="8"/>
  <c r="G2467" i="8"/>
  <c r="F2468" i="8"/>
  <c r="E2468" i="8"/>
  <c r="G2468" i="8"/>
  <c r="F2469" i="8"/>
  <c r="E2469" i="8"/>
  <c r="G2469" i="8"/>
  <c r="F2470" i="8"/>
  <c r="E2470" i="8"/>
  <c r="G2470" i="8"/>
  <c r="F2471" i="8"/>
  <c r="E2471" i="8"/>
  <c r="G2471" i="8"/>
  <c r="F2472" i="8"/>
  <c r="E2472" i="8"/>
  <c r="G2472" i="8"/>
  <c r="F2473" i="8"/>
  <c r="E2473" i="8"/>
  <c r="G2473" i="8"/>
  <c r="F2474" i="8"/>
  <c r="E2474" i="8"/>
  <c r="G2474" i="8"/>
  <c r="F2475" i="8"/>
  <c r="E2475" i="8"/>
  <c r="G2475" i="8"/>
  <c r="F2476" i="8"/>
  <c r="E2476" i="8"/>
  <c r="G2476" i="8"/>
  <c r="F2477" i="8"/>
  <c r="E2477" i="8"/>
  <c r="G2477" i="8"/>
  <c r="F2478" i="8"/>
  <c r="E2478" i="8"/>
  <c r="G2478" i="8"/>
  <c r="F2479" i="8"/>
  <c r="E2479" i="8"/>
  <c r="G2479" i="8"/>
  <c r="F2480" i="8"/>
  <c r="E2480" i="8"/>
  <c r="G2480" i="8"/>
  <c r="F2481" i="8"/>
  <c r="E2481" i="8"/>
  <c r="G2481" i="8"/>
  <c r="F2482" i="8"/>
  <c r="E2482" i="8"/>
  <c r="G2482" i="8"/>
  <c r="F2483" i="8"/>
  <c r="E2483" i="8"/>
  <c r="G2483" i="8"/>
  <c r="F2484" i="8"/>
  <c r="E2484" i="8"/>
  <c r="G2484" i="8"/>
  <c r="F2485" i="8"/>
  <c r="E2485" i="8"/>
  <c r="G2485" i="8"/>
  <c r="F2486" i="8"/>
  <c r="E2486" i="8"/>
  <c r="G2486" i="8"/>
  <c r="F2487" i="8"/>
  <c r="E2487" i="8"/>
  <c r="G2487" i="8"/>
  <c r="F2488" i="8"/>
  <c r="E2488" i="8"/>
  <c r="G2488" i="8"/>
  <c r="F2489" i="8"/>
  <c r="E2489" i="8"/>
  <c r="G2489" i="8"/>
  <c r="F2490" i="8"/>
  <c r="E2490" i="8"/>
  <c r="G2490" i="8"/>
  <c r="F2491" i="8"/>
  <c r="E2491" i="8"/>
  <c r="G2491" i="8"/>
  <c r="F2492" i="8"/>
  <c r="E2492" i="8"/>
  <c r="G2492" i="8"/>
  <c r="F2493" i="8"/>
  <c r="E2493" i="8"/>
  <c r="G2493" i="8"/>
  <c r="F2494" i="8"/>
  <c r="E2494" i="8"/>
  <c r="G2494" i="8"/>
  <c r="F2495" i="8"/>
  <c r="E2495" i="8"/>
  <c r="G2495" i="8"/>
  <c r="F2496" i="8"/>
  <c r="E2496" i="8"/>
  <c r="G2496" i="8"/>
  <c r="F2497" i="8"/>
  <c r="E2497" i="8"/>
  <c r="G2497" i="8"/>
  <c r="F2498" i="8"/>
  <c r="E2498" i="8"/>
  <c r="G2498" i="8"/>
  <c r="F2499" i="8"/>
  <c r="E2499" i="8"/>
  <c r="G2499" i="8"/>
  <c r="F2500" i="8"/>
  <c r="E2500" i="8"/>
  <c r="G2500" i="8"/>
  <c r="F2501" i="8"/>
  <c r="E2501" i="8"/>
  <c r="G2501" i="8"/>
  <c r="F2502" i="8"/>
  <c r="E2502" i="8"/>
  <c r="G2502" i="8"/>
  <c r="F2503" i="8"/>
  <c r="E2503" i="8"/>
  <c r="G2503" i="8"/>
  <c r="F2504" i="8"/>
  <c r="E2504" i="8"/>
  <c r="G2504" i="8"/>
  <c r="F2505" i="8"/>
  <c r="E2505" i="8"/>
  <c r="G2505" i="8"/>
  <c r="F2506" i="8"/>
  <c r="E2506" i="8"/>
  <c r="G2506" i="8"/>
  <c r="F2507" i="8"/>
  <c r="E2507" i="8"/>
  <c r="G2507" i="8"/>
  <c r="F2508" i="8"/>
  <c r="E2508" i="8"/>
  <c r="G2508" i="8"/>
  <c r="F2509" i="8"/>
  <c r="E2509" i="8"/>
  <c r="G2509" i="8"/>
  <c r="F2510" i="8"/>
  <c r="E2510" i="8"/>
  <c r="G2510" i="8"/>
  <c r="F2511" i="8"/>
  <c r="E2511" i="8"/>
  <c r="G2511" i="8"/>
  <c r="F2512" i="8"/>
  <c r="E2512" i="8"/>
  <c r="G2512" i="8"/>
  <c r="F2513" i="8"/>
  <c r="E2513" i="8"/>
  <c r="G2513" i="8"/>
  <c r="F2514" i="8"/>
  <c r="E2514" i="8"/>
  <c r="G2514" i="8"/>
  <c r="F2515" i="8"/>
  <c r="E2515" i="8"/>
  <c r="G2515" i="8"/>
  <c r="F2516" i="8"/>
  <c r="E2516" i="8"/>
  <c r="G2516" i="8"/>
  <c r="F2517" i="8"/>
  <c r="E2517" i="8"/>
  <c r="G2517" i="8"/>
  <c r="F2518" i="8"/>
  <c r="E2518" i="8"/>
  <c r="G2518" i="8"/>
  <c r="F2519" i="8"/>
  <c r="E2519" i="8"/>
  <c r="G2519" i="8"/>
  <c r="F2520" i="8"/>
  <c r="E2520" i="8"/>
  <c r="G2520" i="8"/>
  <c r="F2521" i="8"/>
  <c r="E2521" i="8"/>
  <c r="G2521" i="8"/>
  <c r="F2522" i="8"/>
  <c r="E2522" i="8"/>
  <c r="G2522" i="8"/>
  <c r="F2523" i="8"/>
  <c r="E2523" i="8"/>
  <c r="G2523" i="8"/>
  <c r="F2524" i="8"/>
  <c r="E2524" i="8"/>
  <c r="G2524" i="8"/>
  <c r="F2525" i="8"/>
  <c r="E2525" i="8"/>
  <c r="G2525" i="8"/>
  <c r="F2526" i="8"/>
  <c r="E2526" i="8"/>
  <c r="G2526" i="8"/>
  <c r="F2527" i="8"/>
  <c r="E2527" i="8"/>
  <c r="G2527" i="8"/>
  <c r="F2528" i="8"/>
  <c r="E2528" i="8"/>
  <c r="G2528" i="8"/>
  <c r="F2529" i="8"/>
  <c r="E2529" i="8"/>
  <c r="G2529" i="8"/>
  <c r="F2530" i="8"/>
  <c r="E2530" i="8"/>
  <c r="G2530" i="8"/>
  <c r="F2531" i="8"/>
  <c r="E2531" i="8"/>
  <c r="G2531" i="8"/>
  <c r="F2532" i="8"/>
  <c r="E2532" i="8"/>
  <c r="G2532" i="8"/>
  <c r="F2533" i="8"/>
  <c r="E2533" i="8"/>
  <c r="G2533" i="8"/>
  <c r="F2534" i="8"/>
  <c r="E2534" i="8"/>
  <c r="G2534" i="8"/>
  <c r="F2535" i="8"/>
  <c r="E2535" i="8"/>
  <c r="G2535" i="8"/>
  <c r="F2536" i="8"/>
  <c r="E2536" i="8"/>
  <c r="G2536" i="8"/>
  <c r="F2537" i="8"/>
  <c r="E2537" i="8"/>
  <c r="G2537" i="8"/>
  <c r="F2538" i="8"/>
  <c r="E2538" i="8"/>
  <c r="G2538" i="8"/>
  <c r="F2539" i="8"/>
  <c r="E2539" i="8"/>
  <c r="G2539" i="8"/>
  <c r="F2540" i="8"/>
  <c r="E2540" i="8"/>
  <c r="G2540" i="8"/>
  <c r="F2541" i="8"/>
  <c r="E2541" i="8"/>
  <c r="G2541" i="8"/>
  <c r="F2542" i="8"/>
  <c r="E2542" i="8"/>
  <c r="G2542" i="8"/>
  <c r="F2543" i="8"/>
  <c r="E2543" i="8"/>
  <c r="G2543" i="8"/>
  <c r="F2544" i="8"/>
  <c r="E2544" i="8"/>
  <c r="G2544" i="8"/>
  <c r="F2545" i="8"/>
  <c r="E2545" i="8"/>
  <c r="G2545" i="8"/>
  <c r="F2546" i="8"/>
  <c r="E2546" i="8"/>
  <c r="G2546" i="8"/>
  <c r="F2547" i="8"/>
  <c r="E2547" i="8"/>
  <c r="G2547" i="8"/>
  <c r="F2548" i="8"/>
  <c r="E2548" i="8"/>
  <c r="G2548" i="8"/>
  <c r="F2549" i="8"/>
  <c r="E2549" i="8"/>
  <c r="G2549" i="8"/>
  <c r="F2550" i="8"/>
  <c r="E2550" i="8"/>
  <c r="G2550" i="8"/>
  <c r="F2551" i="8"/>
  <c r="E2551" i="8"/>
  <c r="G2551" i="8"/>
  <c r="F2552" i="8"/>
  <c r="E2552" i="8"/>
  <c r="G2552" i="8"/>
  <c r="F2553" i="8"/>
  <c r="E2553" i="8"/>
  <c r="G2553" i="8"/>
  <c r="F2554" i="8"/>
  <c r="E2554" i="8"/>
  <c r="G2554" i="8"/>
  <c r="F2555" i="8"/>
  <c r="E2555" i="8"/>
  <c r="G2555" i="8"/>
  <c r="F2556" i="8"/>
  <c r="E2556" i="8"/>
  <c r="G2556" i="8"/>
  <c r="F2557" i="8"/>
  <c r="E2557" i="8"/>
  <c r="G2557" i="8"/>
  <c r="F2558" i="8"/>
  <c r="E2558" i="8"/>
  <c r="G2558" i="8"/>
  <c r="F2559" i="8"/>
  <c r="E2559" i="8"/>
  <c r="G2559" i="8"/>
  <c r="F2560" i="8"/>
  <c r="E2560" i="8"/>
  <c r="G2560" i="8"/>
  <c r="F2561" i="8"/>
  <c r="E2561" i="8"/>
  <c r="G2561" i="8"/>
  <c r="F2562" i="8"/>
  <c r="E2562" i="8"/>
  <c r="G2562" i="8"/>
  <c r="F2563" i="8"/>
  <c r="E2563" i="8"/>
  <c r="G2563" i="8"/>
  <c r="F2564" i="8"/>
  <c r="E2564" i="8"/>
  <c r="G2564" i="8"/>
  <c r="F2565" i="8"/>
  <c r="E2565" i="8"/>
  <c r="G2565" i="8"/>
  <c r="F2566" i="8"/>
  <c r="E2566" i="8"/>
  <c r="G2566" i="8"/>
  <c r="F2567" i="8"/>
  <c r="E2567" i="8"/>
  <c r="G2567" i="8"/>
  <c r="F2568" i="8"/>
  <c r="E2568" i="8"/>
  <c r="G2568" i="8"/>
  <c r="F2569" i="8"/>
  <c r="E2569" i="8"/>
  <c r="G2569" i="8"/>
  <c r="F2570" i="8"/>
  <c r="E2570" i="8"/>
  <c r="G2570" i="8"/>
  <c r="F2571" i="8"/>
  <c r="E2571" i="8"/>
  <c r="G2571" i="8"/>
  <c r="F2572" i="8"/>
  <c r="E2572" i="8"/>
  <c r="G2572" i="8"/>
  <c r="F2573" i="8"/>
  <c r="E2573" i="8"/>
  <c r="G2573" i="8"/>
  <c r="F2574" i="8"/>
  <c r="E2574" i="8"/>
  <c r="G2574" i="8"/>
  <c r="F2575" i="8"/>
  <c r="E2575" i="8"/>
  <c r="G2575" i="8"/>
  <c r="F2576" i="8"/>
  <c r="E2576" i="8"/>
  <c r="G2576" i="8"/>
  <c r="F2577" i="8"/>
  <c r="E2577" i="8"/>
  <c r="G2577" i="8"/>
  <c r="F2578" i="8"/>
  <c r="E2578" i="8"/>
  <c r="G2578" i="8"/>
  <c r="F2579" i="8"/>
  <c r="E2579" i="8"/>
  <c r="G2579" i="8"/>
  <c r="F2580" i="8"/>
  <c r="E2580" i="8"/>
  <c r="G2580" i="8"/>
  <c r="F2581" i="8"/>
  <c r="E2581" i="8"/>
  <c r="G2581" i="8"/>
  <c r="F2582" i="8"/>
  <c r="E2582" i="8"/>
  <c r="G2582" i="8"/>
  <c r="F2583" i="8"/>
  <c r="E2583" i="8"/>
  <c r="G2583" i="8"/>
  <c r="F2584" i="8"/>
  <c r="E2584" i="8"/>
  <c r="G2584" i="8"/>
  <c r="F2585" i="8"/>
  <c r="E2585" i="8"/>
  <c r="G2585" i="8"/>
  <c r="F2586" i="8"/>
  <c r="E2586" i="8"/>
  <c r="G2586" i="8"/>
  <c r="F2587" i="8"/>
  <c r="E2587" i="8"/>
  <c r="G2587" i="8"/>
  <c r="F2588" i="8"/>
  <c r="E2588" i="8"/>
  <c r="G2588" i="8"/>
  <c r="F2589" i="8"/>
  <c r="E2589" i="8"/>
  <c r="G2589" i="8"/>
  <c r="F2590" i="8"/>
  <c r="E2590" i="8"/>
  <c r="G2590" i="8"/>
  <c r="F2591" i="8"/>
  <c r="E2591" i="8"/>
  <c r="G2591" i="8"/>
  <c r="F2592" i="8"/>
  <c r="E2592" i="8"/>
  <c r="G2592" i="8"/>
  <c r="F2593" i="8"/>
  <c r="E2593" i="8"/>
  <c r="G2593" i="8"/>
  <c r="F2594" i="8"/>
  <c r="E2594" i="8"/>
  <c r="G2594" i="8"/>
  <c r="F2595" i="8"/>
  <c r="E2595" i="8"/>
  <c r="G2595" i="8"/>
  <c r="F2596" i="8"/>
  <c r="E2596" i="8"/>
  <c r="G2596" i="8"/>
  <c r="F2597" i="8"/>
  <c r="E2597" i="8"/>
  <c r="G2597" i="8"/>
  <c r="F2598" i="8"/>
  <c r="E2598" i="8"/>
  <c r="G2598" i="8"/>
  <c r="F2599" i="8"/>
  <c r="E2599" i="8"/>
  <c r="G2599" i="8"/>
  <c r="F2600" i="8"/>
  <c r="E2600" i="8"/>
  <c r="G2600" i="8"/>
  <c r="F2601" i="8"/>
  <c r="E2601" i="8"/>
  <c r="G2601" i="8"/>
  <c r="F2602" i="8"/>
  <c r="E2602" i="8"/>
  <c r="G2602" i="8"/>
  <c r="F2603" i="8"/>
  <c r="E2603" i="8"/>
  <c r="G2603" i="8"/>
  <c r="F2604" i="8"/>
  <c r="E2604" i="8"/>
  <c r="G2604" i="8"/>
  <c r="F2605" i="8"/>
  <c r="E2605" i="8"/>
  <c r="G2605" i="8"/>
  <c r="F2606" i="8"/>
  <c r="E2606" i="8"/>
  <c r="G2606" i="8"/>
  <c r="F2607" i="8"/>
  <c r="E2607" i="8"/>
  <c r="G2607" i="8"/>
  <c r="F2608" i="8"/>
  <c r="E2608" i="8"/>
  <c r="G2608" i="8"/>
  <c r="F2609" i="8"/>
  <c r="E2609" i="8"/>
  <c r="G2609" i="8"/>
  <c r="F2610" i="8"/>
  <c r="E2610" i="8"/>
  <c r="G2610" i="8"/>
  <c r="F2611" i="8"/>
  <c r="E2611" i="8"/>
  <c r="G2611" i="8"/>
  <c r="F2612" i="8"/>
  <c r="E2612" i="8"/>
  <c r="G2612" i="8"/>
  <c r="F2613" i="8"/>
  <c r="E2613" i="8"/>
  <c r="G2613" i="8"/>
  <c r="F2614" i="8"/>
  <c r="E2614" i="8"/>
  <c r="G2614" i="8"/>
  <c r="F2615" i="8"/>
  <c r="E2615" i="8"/>
  <c r="G2615" i="8"/>
  <c r="F2616" i="8"/>
  <c r="E2616" i="8"/>
  <c r="G2616" i="8"/>
  <c r="F2617" i="8"/>
  <c r="E2617" i="8"/>
  <c r="G2617" i="8"/>
  <c r="F2618" i="8"/>
  <c r="E2618" i="8"/>
  <c r="G2618" i="8"/>
  <c r="F2619" i="8"/>
  <c r="E2619" i="8"/>
  <c r="G2619" i="8"/>
  <c r="F2620" i="8"/>
  <c r="E2620" i="8"/>
  <c r="G2620" i="8"/>
  <c r="F2621" i="8"/>
  <c r="E2621" i="8"/>
  <c r="G2621" i="8"/>
  <c r="F2622" i="8"/>
  <c r="E2622" i="8"/>
  <c r="G2622" i="8"/>
  <c r="F2623" i="8"/>
  <c r="E2623" i="8"/>
  <c r="G2623" i="8"/>
  <c r="F2624" i="8"/>
  <c r="E2624" i="8"/>
  <c r="G2624" i="8"/>
  <c r="F2625" i="8"/>
  <c r="E2625" i="8"/>
  <c r="G2625" i="8"/>
  <c r="F2626" i="8"/>
  <c r="E2626" i="8"/>
  <c r="G2626" i="8"/>
  <c r="F2627" i="8"/>
  <c r="E2627" i="8"/>
  <c r="G2627" i="8"/>
  <c r="F2628" i="8"/>
  <c r="E2628" i="8"/>
  <c r="G2628" i="8"/>
  <c r="F2629" i="8"/>
  <c r="E2629" i="8"/>
  <c r="G2629" i="8"/>
  <c r="F2630" i="8"/>
  <c r="E2630" i="8"/>
  <c r="G2630" i="8"/>
  <c r="F2631" i="8"/>
  <c r="E2631" i="8"/>
  <c r="G2631" i="8"/>
  <c r="F2632" i="8"/>
  <c r="E2632" i="8"/>
  <c r="G2632" i="8"/>
  <c r="F2633" i="8"/>
  <c r="E2633" i="8"/>
  <c r="G2633" i="8"/>
  <c r="F2634" i="8"/>
  <c r="E2634" i="8"/>
  <c r="G2634" i="8"/>
  <c r="F2635" i="8"/>
  <c r="E2635" i="8"/>
  <c r="G2635" i="8"/>
  <c r="F2636" i="8"/>
  <c r="E2636" i="8"/>
  <c r="G2636" i="8"/>
  <c r="F2637" i="8"/>
  <c r="E2637" i="8"/>
  <c r="G2637" i="8"/>
  <c r="F2638" i="8"/>
  <c r="E2638" i="8"/>
  <c r="G2638" i="8"/>
  <c r="F2639" i="8"/>
  <c r="E2639" i="8"/>
  <c r="G2639" i="8"/>
  <c r="F2640" i="8"/>
  <c r="E2640" i="8"/>
  <c r="G2640" i="8"/>
  <c r="F2641" i="8"/>
  <c r="E2641" i="8"/>
  <c r="G2641" i="8"/>
  <c r="F2642" i="8"/>
  <c r="E2642" i="8"/>
  <c r="G2642" i="8"/>
  <c r="F2643" i="8"/>
  <c r="E2643" i="8"/>
  <c r="G2643" i="8"/>
  <c r="F2644" i="8"/>
  <c r="E2644" i="8"/>
  <c r="G2644" i="8"/>
  <c r="F2645" i="8"/>
  <c r="E2645" i="8"/>
  <c r="G2645" i="8"/>
  <c r="F2646" i="8"/>
  <c r="E2646" i="8"/>
  <c r="G2646" i="8"/>
  <c r="F2647" i="8"/>
  <c r="E2647" i="8"/>
  <c r="G2647" i="8"/>
  <c r="F2648" i="8"/>
  <c r="E2648" i="8"/>
  <c r="G2648" i="8"/>
  <c r="F2649" i="8"/>
  <c r="E2649" i="8"/>
  <c r="G2649" i="8"/>
  <c r="F2650" i="8"/>
  <c r="E2650" i="8"/>
  <c r="G2650" i="8"/>
  <c r="F2651" i="8"/>
  <c r="E2651" i="8"/>
  <c r="G2651" i="8"/>
  <c r="F2652" i="8"/>
  <c r="E2652" i="8"/>
  <c r="G2652" i="8"/>
  <c r="F2653" i="8"/>
  <c r="E2653" i="8"/>
  <c r="G2653" i="8"/>
  <c r="F2654" i="8"/>
  <c r="E2654" i="8"/>
  <c r="G2654" i="8"/>
  <c r="F2655" i="8"/>
  <c r="E2655" i="8"/>
  <c r="G2655" i="8"/>
  <c r="F2656" i="8"/>
  <c r="E2656" i="8"/>
  <c r="G2656" i="8"/>
  <c r="F2657" i="8"/>
  <c r="E2657" i="8"/>
  <c r="G2657" i="8"/>
  <c r="F2658" i="8"/>
  <c r="E2658" i="8"/>
  <c r="G2658" i="8"/>
  <c r="F2659" i="8"/>
  <c r="E2659" i="8"/>
  <c r="G2659" i="8"/>
  <c r="F2660" i="8"/>
  <c r="E2660" i="8"/>
  <c r="G2660" i="8"/>
  <c r="F2661" i="8"/>
  <c r="E2661" i="8"/>
  <c r="G2661" i="8"/>
  <c r="F2662" i="8"/>
  <c r="E2662" i="8"/>
  <c r="G2662" i="8"/>
  <c r="F2663" i="8"/>
  <c r="E2663" i="8"/>
  <c r="G2663" i="8"/>
  <c r="F2664" i="8"/>
  <c r="E2664" i="8"/>
  <c r="G2664" i="8"/>
  <c r="F2665" i="8"/>
  <c r="E2665" i="8"/>
  <c r="G2665" i="8"/>
  <c r="F2666" i="8"/>
  <c r="E2666" i="8"/>
  <c r="G2666" i="8"/>
  <c r="F2667" i="8"/>
  <c r="E2667" i="8"/>
  <c r="G2667" i="8"/>
  <c r="F2668" i="8"/>
  <c r="E2668" i="8"/>
  <c r="G2668" i="8"/>
  <c r="F2669" i="8"/>
  <c r="E2669" i="8"/>
  <c r="G2669" i="8"/>
  <c r="F2670" i="8"/>
  <c r="E2670" i="8"/>
  <c r="G2670" i="8"/>
  <c r="F2671" i="8"/>
  <c r="E2671" i="8"/>
  <c r="G2671" i="8"/>
  <c r="F2672" i="8"/>
  <c r="E2672" i="8"/>
  <c r="G2672" i="8"/>
  <c r="F2673" i="8"/>
  <c r="E2673" i="8"/>
  <c r="G2673" i="8"/>
  <c r="F2674" i="8"/>
  <c r="E2674" i="8"/>
  <c r="G2674" i="8"/>
  <c r="F2675" i="8"/>
  <c r="E2675" i="8"/>
  <c r="G2675" i="8"/>
  <c r="F2676" i="8"/>
  <c r="E2676" i="8"/>
  <c r="G2676" i="8"/>
  <c r="F2677" i="8"/>
  <c r="E2677" i="8"/>
  <c r="G2677" i="8"/>
  <c r="F2678" i="8"/>
  <c r="E2678" i="8"/>
  <c r="G2678" i="8"/>
  <c r="F2679" i="8"/>
  <c r="E2679" i="8"/>
  <c r="G2679" i="8"/>
  <c r="F2680" i="8"/>
  <c r="E2680" i="8"/>
  <c r="G2680" i="8"/>
  <c r="F2681" i="8"/>
  <c r="E2681" i="8"/>
  <c r="G2681" i="8"/>
  <c r="F2682" i="8"/>
  <c r="E2682" i="8"/>
  <c r="G2682" i="8"/>
  <c r="F2683" i="8"/>
  <c r="E2683" i="8"/>
  <c r="G2683" i="8"/>
  <c r="F2684" i="8"/>
  <c r="E2684" i="8"/>
  <c r="G2684" i="8"/>
  <c r="F2685" i="8"/>
  <c r="E2685" i="8"/>
  <c r="G2685" i="8"/>
  <c r="F2686" i="8"/>
  <c r="E2686" i="8"/>
  <c r="G2686" i="8"/>
  <c r="F2687" i="8"/>
  <c r="E2687" i="8"/>
  <c r="G2687" i="8"/>
  <c r="F2688" i="8"/>
  <c r="E2688" i="8"/>
  <c r="G2688" i="8"/>
  <c r="F2689" i="8"/>
  <c r="E2689" i="8"/>
  <c r="G2689" i="8"/>
  <c r="F2690" i="8"/>
  <c r="E2690" i="8"/>
  <c r="G2690" i="8"/>
  <c r="F2691" i="8"/>
  <c r="E2691" i="8"/>
  <c r="G2691" i="8"/>
  <c r="F2692" i="8"/>
  <c r="E2692" i="8"/>
  <c r="G2692" i="8"/>
  <c r="F2693" i="8"/>
  <c r="E2693" i="8"/>
  <c r="G2693" i="8"/>
  <c r="F2694" i="8"/>
  <c r="E2694" i="8"/>
  <c r="G2694" i="8"/>
  <c r="F2695" i="8"/>
  <c r="E2695" i="8"/>
  <c r="G2695" i="8"/>
  <c r="F2696" i="8"/>
  <c r="E2696" i="8"/>
  <c r="G2696" i="8"/>
  <c r="F2697" i="8"/>
  <c r="E2697" i="8"/>
  <c r="G2697" i="8"/>
  <c r="F2698" i="8"/>
  <c r="E2698" i="8"/>
  <c r="G2698" i="8"/>
  <c r="F2699" i="8"/>
  <c r="E2699" i="8"/>
  <c r="G2699" i="8"/>
  <c r="F2700" i="8"/>
  <c r="E2700" i="8"/>
  <c r="G2700" i="8"/>
  <c r="F2701" i="8"/>
  <c r="E2701" i="8"/>
  <c r="G2701" i="8"/>
  <c r="F2702" i="8"/>
  <c r="E2702" i="8"/>
  <c r="G2702" i="8"/>
  <c r="F2703" i="8"/>
  <c r="E2703" i="8"/>
  <c r="G2703" i="8"/>
  <c r="F2704" i="8"/>
  <c r="E2704" i="8"/>
  <c r="G2704" i="8"/>
  <c r="F2705" i="8"/>
  <c r="E2705" i="8"/>
  <c r="G2705" i="8"/>
  <c r="F2706" i="8"/>
  <c r="E2706" i="8"/>
  <c r="G2706" i="8"/>
  <c r="F2707" i="8"/>
  <c r="E2707" i="8"/>
  <c r="G2707" i="8"/>
  <c r="F2708" i="8"/>
  <c r="E2708" i="8"/>
  <c r="G2708" i="8"/>
  <c r="F2709" i="8"/>
  <c r="E2709" i="8"/>
  <c r="G2709" i="8"/>
  <c r="F2710" i="8"/>
  <c r="E2710" i="8"/>
  <c r="G2710" i="8"/>
  <c r="F2711" i="8"/>
  <c r="E2711" i="8"/>
  <c r="G2711" i="8"/>
  <c r="F2712" i="8"/>
  <c r="E2712" i="8"/>
  <c r="G2712" i="8"/>
  <c r="F2713" i="8"/>
  <c r="E2713" i="8"/>
  <c r="G2713" i="8"/>
  <c r="F2714" i="8"/>
  <c r="E2714" i="8"/>
  <c r="G2714" i="8"/>
  <c r="F2715" i="8"/>
  <c r="E2715" i="8"/>
  <c r="G2715" i="8"/>
  <c r="F2716" i="8"/>
  <c r="E2716" i="8"/>
  <c r="G2716" i="8"/>
  <c r="F2717" i="8"/>
  <c r="E2717" i="8"/>
  <c r="G2717" i="8"/>
  <c r="F2718" i="8"/>
  <c r="E2718" i="8"/>
  <c r="G2718" i="8"/>
  <c r="F2719" i="8"/>
  <c r="E2719" i="8"/>
  <c r="G2719" i="8"/>
  <c r="F2720" i="8"/>
  <c r="E2720" i="8"/>
  <c r="G2720" i="8"/>
  <c r="F2721" i="8"/>
  <c r="E2721" i="8"/>
  <c r="G2721" i="8"/>
  <c r="F2722" i="8"/>
  <c r="E2722" i="8"/>
  <c r="G2722" i="8"/>
  <c r="F2723" i="8"/>
  <c r="E2723" i="8"/>
  <c r="G2723" i="8"/>
  <c r="F2724" i="8"/>
  <c r="E2724" i="8"/>
  <c r="G2724" i="8"/>
  <c r="F2725" i="8"/>
  <c r="E2725" i="8"/>
  <c r="G2725" i="8"/>
  <c r="F2726" i="8"/>
  <c r="E2726" i="8"/>
  <c r="G2726" i="8"/>
  <c r="F2727" i="8"/>
  <c r="E2727" i="8"/>
  <c r="G2727" i="8"/>
  <c r="F2728" i="8"/>
  <c r="E2728" i="8"/>
  <c r="G2728" i="8"/>
  <c r="F2729" i="8"/>
  <c r="E2729" i="8"/>
  <c r="G2729" i="8"/>
  <c r="F2730" i="8"/>
  <c r="E2730" i="8"/>
  <c r="G2730" i="8"/>
  <c r="F2731" i="8"/>
  <c r="E2731" i="8"/>
  <c r="G2731" i="8"/>
  <c r="F2732" i="8"/>
  <c r="E2732" i="8"/>
  <c r="G2732" i="8"/>
  <c r="F2733" i="8"/>
  <c r="E2733" i="8"/>
  <c r="G2733" i="8"/>
  <c r="F2734" i="8"/>
  <c r="E2734" i="8"/>
  <c r="G2734" i="8"/>
  <c r="F2735" i="8"/>
  <c r="E2735" i="8"/>
  <c r="G2735" i="8"/>
  <c r="F2736" i="8"/>
  <c r="E2736" i="8"/>
  <c r="G2736" i="8"/>
  <c r="F2737" i="8"/>
  <c r="E2737" i="8"/>
  <c r="G2737" i="8"/>
  <c r="F2738" i="8"/>
  <c r="E2738" i="8"/>
  <c r="G2738" i="8"/>
  <c r="F2739" i="8"/>
  <c r="E2739" i="8"/>
  <c r="G2739" i="8"/>
  <c r="F2740" i="8"/>
  <c r="E2740" i="8"/>
  <c r="G2740" i="8"/>
  <c r="F2741" i="8"/>
  <c r="E2741" i="8"/>
  <c r="G2741" i="8"/>
  <c r="F2742" i="8"/>
  <c r="E2742" i="8"/>
  <c r="G2742" i="8"/>
  <c r="F2743" i="8"/>
  <c r="E2743" i="8"/>
  <c r="G2743" i="8"/>
  <c r="F2744" i="8"/>
  <c r="E2744" i="8"/>
  <c r="G2744" i="8"/>
  <c r="F2745" i="8"/>
  <c r="E2745" i="8"/>
  <c r="G2745" i="8"/>
  <c r="F2746" i="8"/>
  <c r="E2746" i="8"/>
  <c r="G2746" i="8"/>
  <c r="F2747" i="8"/>
  <c r="E2747" i="8"/>
  <c r="G2747" i="8"/>
  <c r="F2748" i="8"/>
  <c r="E2748" i="8"/>
  <c r="G2748" i="8"/>
  <c r="F2749" i="8"/>
  <c r="E2749" i="8"/>
  <c r="G2749" i="8"/>
  <c r="F2750" i="8"/>
  <c r="E2750" i="8"/>
  <c r="G2750" i="8"/>
  <c r="F2751" i="8"/>
  <c r="E2751" i="8"/>
  <c r="G2751" i="8"/>
  <c r="F2752" i="8"/>
  <c r="E2752" i="8"/>
  <c r="G2752" i="8"/>
  <c r="F2753" i="8"/>
  <c r="E2753" i="8"/>
  <c r="G2753" i="8"/>
  <c r="F2754" i="8"/>
  <c r="E2754" i="8"/>
  <c r="G2754" i="8"/>
  <c r="F2755" i="8"/>
  <c r="E2755" i="8"/>
  <c r="G2755" i="8"/>
  <c r="F2756" i="8"/>
  <c r="E2756" i="8"/>
  <c r="G2756" i="8"/>
  <c r="F2757" i="8"/>
  <c r="E2757" i="8"/>
  <c r="G2757" i="8"/>
  <c r="F2758" i="8"/>
  <c r="E2758" i="8"/>
  <c r="G2758" i="8"/>
  <c r="F2759" i="8"/>
  <c r="E2759" i="8"/>
  <c r="G2759" i="8"/>
  <c r="F2760" i="8"/>
  <c r="E2760" i="8"/>
  <c r="G2760" i="8"/>
  <c r="F2761" i="8"/>
  <c r="E2761" i="8"/>
  <c r="G2761" i="8"/>
  <c r="F2762" i="8"/>
  <c r="E2762" i="8"/>
  <c r="G2762" i="8"/>
  <c r="F2763" i="8"/>
  <c r="E2763" i="8"/>
  <c r="G2763" i="8"/>
  <c r="F2764" i="8"/>
  <c r="E2764" i="8"/>
  <c r="G2764" i="8"/>
  <c r="F2765" i="8"/>
  <c r="E2765" i="8"/>
  <c r="G2765" i="8"/>
  <c r="F2766" i="8"/>
  <c r="E2766" i="8"/>
  <c r="G2766" i="8"/>
  <c r="F2767" i="8"/>
  <c r="E2767" i="8"/>
  <c r="G2767" i="8"/>
  <c r="F2768" i="8"/>
  <c r="E2768" i="8"/>
  <c r="G2768" i="8"/>
  <c r="F2769" i="8"/>
  <c r="E2769" i="8"/>
  <c r="G2769" i="8"/>
  <c r="F2770" i="8"/>
  <c r="E2770" i="8"/>
  <c r="G2770" i="8"/>
  <c r="F2771" i="8"/>
  <c r="E2771" i="8"/>
  <c r="G2771" i="8"/>
  <c r="F2772" i="8"/>
  <c r="E2772" i="8"/>
  <c r="G2772" i="8"/>
  <c r="F2773" i="8"/>
  <c r="E2773" i="8"/>
  <c r="G2773" i="8"/>
  <c r="F2774" i="8"/>
  <c r="E2774" i="8"/>
  <c r="G2774" i="8"/>
  <c r="F2775" i="8"/>
  <c r="E2775" i="8"/>
  <c r="G2775" i="8"/>
  <c r="F2776" i="8"/>
  <c r="E2776" i="8"/>
  <c r="G2776" i="8"/>
  <c r="F2777" i="8"/>
  <c r="E2777" i="8"/>
  <c r="G2777" i="8"/>
  <c r="F2778" i="8"/>
  <c r="E2778" i="8"/>
  <c r="G2778" i="8"/>
  <c r="F2779" i="8"/>
  <c r="E2779" i="8"/>
  <c r="G2779" i="8"/>
  <c r="F2780" i="8"/>
  <c r="E2780" i="8"/>
  <c r="G2780" i="8"/>
  <c r="F2781" i="8"/>
  <c r="E2781" i="8"/>
  <c r="G2781" i="8"/>
  <c r="F2782" i="8"/>
  <c r="E2782" i="8"/>
  <c r="G2782" i="8"/>
  <c r="F2783" i="8"/>
  <c r="E2783" i="8"/>
  <c r="G2783" i="8"/>
  <c r="F2784" i="8"/>
  <c r="E2784" i="8"/>
  <c r="G2784" i="8"/>
  <c r="F2785" i="8"/>
  <c r="E2785" i="8"/>
  <c r="G2785" i="8"/>
  <c r="F2786" i="8"/>
  <c r="E2786" i="8"/>
  <c r="G2786" i="8"/>
  <c r="F2787" i="8"/>
  <c r="E2787" i="8"/>
  <c r="G2787" i="8"/>
  <c r="F2788" i="8"/>
  <c r="E2788" i="8"/>
  <c r="G2788" i="8"/>
  <c r="F2789" i="8"/>
  <c r="E2789" i="8"/>
  <c r="G2789" i="8"/>
  <c r="F2790" i="8"/>
  <c r="E2790" i="8"/>
  <c r="G2790" i="8"/>
  <c r="F2791" i="8"/>
  <c r="E2791" i="8"/>
  <c r="G2791" i="8"/>
  <c r="F2792" i="8"/>
  <c r="E2792" i="8"/>
  <c r="G2792" i="8"/>
  <c r="F2793" i="8"/>
  <c r="E2793" i="8"/>
  <c r="G2793" i="8"/>
  <c r="F2794" i="8"/>
  <c r="E2794" i="8"/>
  <c r="G2794" i="8"/>
  <c r="F2795" i="8"/>
  <c r="E2795" i="8"/>
  <c r="G2795" i="8"/>
  <c r="F2796" i="8"/>
  <c r="E2796" i="8"/>
  <c r="G2796" i="8"/>
  <c r="F2797" i="8"/>
  <c r="E2797" i="8"/>
  <c r="G2797" i="8"/>
  <c r="F2798" i="8"/>
  <c r="E2798" i="8"/>
  <c r="G2798" i="8"/>
  <c r="F2799" i="8"/>
  <c r="E2799" i="8"/>
  <c r="G2799" i="8"/>
  <c r="F2800" i="8"/>
  <c r="E2800" i="8"/>
  <c r="G2800" i="8"/>
  <c r="F2801" i="8"/>
  <c r="E2801" i="8"/>
  <c r="G2801" i="8"/>
  <c r="F2802" i="8"/>
  <c r="E2802" i="8"/>
  <c r="G2802" i="8"/>
  <c r="F2803" i="8"/>
  <c r="E2803" i="8"/>
  <c r="G2803" i="8"/>
  <c r="F2804" i="8"/>
  <c r="E2804" i="8"/>
  <c r="G2804" i="8"/>
  <c r="F2805" i="8"/>
  <c r="E2805" i="8"/>
  <c r="G2805" i="8"/>
  <c r="F2806" i="8"/>
  <c r="E2806" i="8"/>
  <c r="G2806" i="8"/>
  <c r="F2807" i="8"/>
  <c r="E2807" i="8"/>
  <c r="G2807" i="8"/>
  <c r="F2808" i="8"/>
  <c r="E2808" i="8"/>
  <c r="G2808" i="8"/>
  <c r="F2809" i="8"/>
  <c r="E2809" i="8"/>
  <c r="G2809" i="8"/>
  <c r="F2810" i="8"/>
  <c r="E2810" i="8"/>
  <c r="G2810" i="8"/>
  <c r="F2811" i="8"/>
  <c r="E2811" i="8"/>
  <c r="G2811" i="8"/>
  <c r="F2812" i="8"/>
  <c r="E2812" i="8"/>
  <c r="G2812" i="8"/>
  <c r="F2813" i="8"/>
  <c r="E2813" i="8"/>
  <c r="G2813" i="8"/>
  <c r="F2814" i="8"/>
  <c r="E2814" i="8"/>
  <c r="G2814" i="8"/>
  <c r="F2815" i="8"/>
  <c r="E2815" i="8"/>
  <c r="G2815" i="8"/>
  <c r="F2816" i="8"/>
  <c r="E2816" i="8"/>
  <c r="G2816" i="8"/>
  <c r="F2817" i="8"/>
  <c r="E2817" i="8"/>
  <c r="G2817" i="8"/>
  <c r="F2818" i="8"/>
  <c r="E2818" i="8"/>
  <c r="G2818" i="8"/>
  <c r="F2819" i="8"/>
  <c r="E2819" i="8"/>
  <c r="G2819" i="8"/>
  <c r="F2820" i="8"/>
  <c r="E2820" i="8"/>
  <c r="G2820" i="8"/>
  <c r="F2821" i="8"/>
  <c r="E2821" i="8"/>
  <c r="G2821" i="8"/>
  <c r="F2822" i="8"/>
  <c r="E2822" i="8"/>
  <c r="G2822" i="8"/>
  <c r="F2823" i="8"/>
  <c r="E2823" i="8"/>
  <c r="G2823" i="8"/>
  <c r="F2824" i="8"/>
  <c r="E2824" i="8"/>
  <c r="G2824" i="8"/>
  <c r="F2825" i="8"/>
  <c r="E2825" i="8"/>
  <c r="G2825" i="8"/>
  <c r="F2826" i="8"/>
  <c r="E2826" i="8"/>
  <c r="G2826" i="8"/>
  <c r="F2827" i="8"/>
  <c r="E2827" i="8"/>
  <c r="G2827" i="8"/>
  <c r="F2828" i="8"/>
  <c r="E2828" i="8"/>
  <c r="G2828" i="8"/>
  <c r="F2829" i="8"/>
  <c r="E2829" i="8"/>
  <c r="G2829" i="8"/>
  <c r="F2830" i="8"/>
  <c r="E2830" i="8"/>
  <c r="G2830" i="8"/>
  <c r="F2831" i="8"/>
  <c r="E2831" i="8"/>
  <c r="G2831" i="8"/>
  <c r="F2832" i="8"/>
  <c r="E2832" i="8"/>
  <c r="G2832" i="8"/>
  <c r="F2833" i="8"/>
  <c r="E2833" i="8"/>
  <c r="G2833" i="8"/>
  <c r="F2834" i="8"/>
  <c r="E2834" i="8"/>
  <c r="G2834" i="8"/>
  <c r="F2835" i="8"/>
  <c r="E2835" i="8"/>
  <c r="G2835" i="8"/>
  <c r="F2836" i="8"/>
  <c r="E2836" i="8"/>
  <c r="G2836" i="8"/>
  <c r="F2837" i="8"/>
  <c r="E2837" i="8"/>
  <c r="G2837" i="8"/>
  <c r="F2838" i="8"/>
  <c r="E2838" i="8"/>
  <c r="G2838" i="8"/>
  <c r="F2839" i="8"/>
  <c r="E2839" i="8"/>
  <c r="G2839" i="8"/>
  <c r="F2840" i="8"/>
  <c r="E2840" i="8"/>
  <c r="G2840" i="8"/>
  <c r="F2841" i="8"/>
  <c r="E2841" i="8"/>
  <c r="G2841" i="8"/>
  <c r="F2842" i="8"/>
  <c r="E2842" i="8"/>
  <c r="G2842" i="8"/>
  <c r="F2843" i="8"/>
  <c r="E2843" i="8"/>
  <c r="G2843" i="8"/>
  <c r="F2844" i="8"/>
  <c r="E2844" i="8"/>
  <c r="G2844" i="8"/>
  <c r="F2845" i="8"/>
  <c r="E2845" i="8"/>
  <c r="G2845" i="8"/>
  <c r="F2846" i="8"/>
  <c r="E2846" i="8"/>
  <c r="G2846" i="8"/>
  <c r="F2847" i="8"/>
  <c r="E2847" i="8"/>
  <c r="G2847" i="8"/>
  <c r="F2848" i="8"/>
  <c r="E2848" i="8"/>
  <c r="G2848" i="8"/>
  <c r="F2849" i="8"/>
  <c r="E2849" i="8"/>
  <c r="G2849" i="8"/>
  <c r="F2850" i="8"/>
  <c r="E2850" i="8"/>
  <c r="G2850" i="8"/>
  <c r="F2851" i="8"/>
  <c r="E2851" i="8"/>
  <c r="G2851" i="8"/>
  <c r="F2852" i="8"/>
  <c r="E2852" i="8"/>
  <c r="G2852" i="8"/>
  <c r="F2853" i="8"/>
  <c r="E2853" i="8"/>
  <c r="G2853" i="8"/>
  <c r="F2854" i="8"/>
  <c r="E2854" i="8"/>
  <c r="G2854" i="8"/>
  <c r="F2855" i="8"/>
  <c r="E2855" i="8"/>
  <c r="G2855" i="8"/>
  <c r="F2856" i="8"/>
  <c r="E2856" i="8"/>
  <c r="G2856" i="8"/>
  <c r="F2857" i="8"/>
  <c r="E2857" i="8"/>
  <c r="G2857" i="8"/>
  <c r="F2858" i="8"/>
  <c r="E2858" i="8"/>
  <c r="G2858" i="8"/>
  <c r="F2859" i="8"/>
  <c r="E2859" i="8"/>
  <c r="G2859" i="8"/>
  <c r="F2860" i="8"/>
  <c r="E2860" i="8"/>
  <c r="G2860" i="8"/>
  <c r="F2861" i="8"/>
  <c r="E2861" i="8"/>
  <c r="G2861" i="8"/>
  <c r="F2862" i="8"/>
  <c r="E2862" i="8"/>
  <c r="G2862" i="8"/>
  <c r="F2863" i="8"/>
  <c r="E2863" i="8"/>
  <c r="G2863" i="8"/>
  <c r="F2864" i="8"/>
  <c r="E2864" i="8"/>
  <c r="G2864" i="8"/>
  <c r="F2865" i="8"/>
  <c r="E2865" i="8"/>
  <c r="G2865" i="8"/>
  <c r="F2866" i="8"/>
  <c r="E2866" i="8"/>
  <c r="G2866" i="8"/>
  <c r="F2867" i="8"/>
  <c r="E2867" i="8"/>
  <c r="G2867" i="8"/>
  <c r="F2868" i="8"/>
  <c r="E2868" i="8"/>
  <c r="G2868" i="8"/>
  <c r="F2869" i="8"/>
  <c r="E2869" i="8"/>
  <c r="G2869" i="8"/>
  <c r="F2870" i="8"/>
  <c r="E2870" i="8"/>
  <c r="G2870" i="8"/>
  <c r="F2871" i="8"/>
  <c r="E2871" i="8"/>
  <c r="G2871" i="8"/>
  <c r="F2872" i="8"/>
  <c r="E2872" i="8"/>
  <c r="G2872" i="8"/>
  <c r="F2873" i="8"/>
  <c r="E2873" i="8"/>
  <c r="G2873" i="8"/>
  <c r="F2874" i="8"/>
  <c r="E2874" i="8"/>
  <c r="G2874" i="8"/>
  <c r="F2875" i="8"/>
  <c r="E2875" i="8"/>
  <c r="G2875" i="8"/>
  <c r="F2876" i="8"/>
  <c r="E2876" i="8"/>
  <c r="G2876" i="8"/>
  <c r="F2877" i="8"/>
  <c r="E2877" i="8"/>
  <c r="G2877" i="8"/>
  <c r="F2878" i="8"/>
  <c r="E2878" i="8"/>
  <c r="G2878" i="8"/>
  <c r="F2879" i="8"/>
  <c r="E2879" i="8"/>
  <c r="G2879" i="8"/>
  <c r="F2880" i="8"/>
  <c r="E2880" i="8"/>
  <c r="G2880" i="8"/>
  <c r="F2881" i="8"/>
  <c r="E2881" i="8"/>
  <c r="G2881" i="8"/>
  <c r="F2882" i="8"/>
  <c r="E2882" i="8"/>
  <c r="G2882" i="8"/>
  <c r="F2883" i="8"/>
  <c r="E2883" i="8"/>
  <c r="G2883" i="8"/>
  <c r="F2884" i="8"/>
  <c r="E2884" i="8"/>
  <c r="G2884" i="8"/>
  <c r="F2885" i="8"/>
  <c r="E2885" i="8"/>
  <c r="G2885" i="8"/>
  <c r="F2886" i="8"/>
  <c r="E2886" i="8"/>
  <c r="G2886" i="8"/>
  <c r="F2887" i="8"/>
  <c r="E2887" i="8"/>
  <c r="G2887" i="8"/>
  <c r="F2888" i="8"/>
  <c r="E2888" i="8"/>
  <c r="G2888" i="8"/>
  <c r="F2889" i="8"/>
  <c r="E2889" i="8"/>
  <c r="G2889" i="8"/>
  <c r="F2890" i="8"/>
  <c r="E2890" i="8"/>
  <c r="G2890" i="8"/>
  <c r="F2891" i="8"/>
  <c r="E2891" i="8"/>
  <c r="G2891" i="8"/>
  <c r="F2892" i="8"/>
  <c r="E2892" i="8"/>
  <c r="G2892" i="8"/>
  <c r="F2893" i="8"/>
  <c r="E2893" i="8"/>
  <c r="G2893" i="8"/>
  <c r="F2894" i="8"/>
  <c r="E2894" i="8"/>
  <c r="G2894" i="8"/>
  <c r="F2895" i="8"/>
  <c r="E2895" i="8"/>
  <c r="G2895" i="8"/>
  <c r="F2896" i="8"/>
  <c r="E2896" i="8"/>
  <c r="G2896" i="8"/>
  <c r="F2897" i="8"/>
  <c r="E2897" i="8"/>
  <c r="G2897" i="8"/>
  <c r="F2898" i="8"/>
  <c r="E2898" i="8"/>
  <c r="G2898" i="8"/>
  <c r="F2899" i="8"/>
  <c r="E2899" i="8"/>
  <c r="G2899" i="8"/>
  <c r="F2900" i="8"/>
  <c r="E2900" i="8"/>
  <c r="G2900" i="8"/>
  <c r="F2901" i="8"/>
  <c r="E2901" i="8"/>
  <c r="G2901" i="8"/>
  <c r="F2902" i="8"/>
  <c r="E2902" i="8"/>
  <c r="G2902" i="8"/>
  <c r="F2903" i="8"/>
  <c r="E2903" i="8"/>
  <c r="G2903" i="8"/>
  <c r="F2904" i="8"/>
  <c r="E2904" i="8"/>
  <c r="G2904" i="8"/>
  <c r="F2905" i="8"/>
  <c r="E2905" i="8"/>
  <c r="G2905" i="8"/>
  <c r="F2906" i="8"/>
  <c r="E2906" i="8"/>
  <c r="G2906" i="8"/>
  <c r="F2907" i="8"/>
  <c r="E2907" i="8"/>
  <c r="G2907" i="8"/>
  <c r="F2908" i="8"/>
  <c r="E2908" i="8"/>
  <c r="G2908" i="8"/>
  <c r="F2909" i="8"/>
  <c r="E2909" i="8"/>
  <c r="G2909" i="8"/>
  <c r="F2910" i="8"/>
  <c r="E2910" i="8"/>
  <c r="G2910" i="8"/>
  <c r="F2911" i="8"/>
  <c r="E2911" i="8"/>
  <c r="G2911" i="8"/>
  <c r="F2912" i="8"/>
  <c r="E2912" i="8"/>
  <c r="G2912" i="8"/>
  <c r="F2913" i="8"/>
  <c r="E2913" i="8"/>
  <c r="G2913" i="8"/>
  <c r="F2914" i="8"/>
  <c r="E2914" i="8"/>
  <c r="G2914" i="8"/>
  <c r="F2915" i="8"/>
  <c r="E2915" i="8"/>
  <c r="G2915" i="8"/>
  <c r="F2916" i="8"/>
  <c r="E2916" i="8"/>
  <c r="G2916" i="8"/>
  <c r="F2917" i="8"/>
  <c r="E2917" i="8"/>
  <c r="G2917" i="8"/>
  <c r="F2918" i="8"/>
  <c r="E2918" i="8"/>
  <c r="G2918" i="8"/>
  <c r="F2919" i="8"/>
  <c r="E2919" i="8"/>
  <c r="G2919" i="8"/>
  <c r="F2920" i="8"/>
  <c r="E2920" i="8"/>
  <c r="G2920" i="8"/>
  <c r="F2921" i="8"/>
  <c r="E2921" i="8"/>
  <c r="G2921" i="8"/>
  <c r="F2922" i="8"/>
  <c r="E2922" i="8"/>
  <c r="G2922" i="8"/>
  <c r="F2923" i="8"/>
  <c r="E2923" i="8"/>
  <c r="G2923" i="8"/>
  <c r="F2924" i="8"/>
  <c r="E2924" i="8"/>
  <c r="G2924" i="8"/>
  <c r="F2925" i="8"/>
  <c r="E2925" i="8"/>
  <c r="G2925" i="8"/>
  <c r="F2926" i="8"/>
  <c r="E2926" i="8"/>
  <c r="G2926" i="8"/>
  <c r="F2927" i="8"/>
  <c r="E2927" i="8"/>
  <c r="G2927" i="8"/>
  <c r="F2928" i="8"/>
  <c r="E2928" i="8"/>
  <c r="G2928" i="8"/>
  <c r="F2929" i="8"/>
  <c r="E2929" i="8"/>
  <c r="G2929" i="8"/>
  <c r="F2930" i="8"/>
  <c r="E2930" i="8"/>
  <c r="G2930" i="8"/>
  <c r="F2931" i="8"/>
  <c r="E2931" i="8"/>
  <c r="G2931" i="8"/>
  <c r="F2932" i="8"/>
  <c r="E2932" i="8"/>
  <c r="G2932" i="8"/>
  <c r="F2933" i="8"/>
  <c r="E2933" i="8"/>
  <c r="G2933" i="8"/>
  <c r="F2934" i="8"/>
  <c r="E2934" i="8"/>
  <c r="G2934" i="8"/>
  <c r="F2935" i="8"/>
  <c r="E2935" i="8"/>
  <c r="G2935" i="8"/>
  <c r="F2936" i="8"/>
  <c r="E2936" i="8"/>
  <c r="G2936" i="8"/>
  <c r="F2937" i="8"/>
  <c r="E2937" i="8"/>
  <c r="G2937" i="8"/>
  <c r="F2938" i="8"/>
  <c r="E2938" i="8"/>
  <c r="G2938" i="8"/>
  <c r="F2939" i="8"/>
  <c r="E2939" i="8"/>
  <c r="G2939" i="8"/>
  <c r="F2940" i="8"/>
  <c r="E2940" i="8"/>
  <c r="G2940" i="8"/>
  <c r="F2941" i="8"/>
  <c r="E2941" i="8"/>
  <c r="G2941" i="8"/>
  <c r="F2942" i="8"/>
  <c r="E2942" i="8"/>
  <c r="G2942" i="8"/>
  <c r="F2943" i="8"/>
  <c r="E2943" i="8"/>
  <c r="G2943" i="8"/>
  <c r="F2944" i="8"/>
  <c r="E2944" i="8"/>
  <c r="G2944" i="8"/>
  <c r="F2945" i="8"/>
  <c r="E2945" i="8"/>
  <c r="G2945" i="8"/>
  <c r="F2946" i="8"/>
  <c r="E2946" i="8"/>
  <c r="G2946" i="8"/>
  <c r="F2947" i="8"/>
  <c r="E2947" i="8"/>
  <c r="G2947" i="8"/>
  <c r="F2948" i="8"/>
  <c r="E2948" i="8"/>
  <c r="G2948" i="8"/>
  <c r="F2949" i="8"/>
  <c r="E2949" i="8"/>
  <c r="G2949" i="8"/>
  <c r="F2950" i="8"/>
  <c r="E2950" i="8"/>
  <c r="G2950" i="8"/>
  <c r="F2951" i="8"/>
  <c r="E2951" i="8"/>
  <c r="G2951" i="8"/>
  <c r="F2952" i="8"/>
  <c r="E2952" i="8"/>
  <c r="G2952" i="8"/>
  <c r="F2953" i="8"/>
  <c r="E2953" i="8"/>
  <c r="G2953" i="8"/>
  <c r="F2954" i="8"/>
  <c r="E2954" i="8"/>
  <c r="G2954" i="8"/>
  <c r="F2955" i="8"/>
  <c r="E2955" i="8"/>
  <c r="G2955" i="8"/>
  <c r="F2956" i="8"/>
  <c r="E2956" i="8"/>
  <c r="G2956" i="8"/>
  <c r="F2957" i="8"/>
  <c r="E2957" i="8"/>
  <c r="G2957" i="8"/>
  <c r="F2958" i="8"/>
  <c r="E2958" i="8"/>
  <c r="G2958" i="8"/>
  <c r="F2959" i="8"/>
  <c r="E2959" i="8"/>
  <c r="G2959" i="8"/>
  <c r="F2960" i="8"/>
  <c r="E2960" i="8"/>
  <c r="G2960" i="8"/>
  <c r="F2961" i="8"/>
  <c r="E2961" i="8"/>
  <c r="G2961" i="8"/>
  <c r="F2962" i="8"/>
  <c r="E2962" i="8"/>
  <c r="G2962" i="8"/>
  <c r="F2963" i="8"/>
  <c r="E2963" i="8"/>
  <c r="G2963" i="8"/>
  <c r="F2964" i="8"/>
  <c r="E2964" i="8"/>
  <c r="G2964" i="8"/>
  <c r="F2965" i="8"/>
  <c r="E2965" i="8"/>
  <c r="G2965" i="8"/>
  <c r="F2966" i="8"/>
  <c r="E2966" i="8"/>
  <c r="G2966" i="8"/>
  <c r="F2967" i="8"/>
  <c r="E2967" i="8"/>
  <c r="G2967" i="8"/>
  <c r="F2968" i="8"/>
  <c r="E2968" i="8"/>
  <c r="G2968" i="8"/>
  <c r="F2969" i="8"/>
  <c r="E2969" i="8"/>
  <c r="G2969" i="8"/>
  <c r="F2970" i="8"/>
  <c r="E2970" i="8"/>
  <c r="G2970" i="8"/>
  <c r="F2971" i="8"/>
  <c r="E2971" i="8"/>
  <c r="G2971" i="8"/>
  <c r="F2972" i="8"/>
  <c r="E2972" i="8"/>
  <c r="G2972" i="8"/>
  <c r="F2973" i="8"/>
  <c r="E2973" i="8"/>
  <c r="G2973" i="8"/>
  <c r="F2974" i="8"/>
  <c r="E2974" i="8"/>
  <c r="G2974" i="8"/>
  <c r="F2975" i="8"/>
  <c r="E2975" i="8"/>
  <c r="G2975" i="8"/>
  <c r="F2976" i="8"/>
  <c r="E2976" i="8"/>
  <c r="G2976" i="8"/>
  <c r="F2977" i="8"/>
  <c r="E2977" i="8"/>
  <c r="G2977" i="8"/>
  <c r="F2978" i="8"/>
  <c r="E2978" i="8"/>
  <c r="G2978" i="8"/>
  <c r="F2979" i="8"/>
  <c r="E2979" i="8"/>
  <c r="G2979" i="8"/>
  <c r="F2980" i="8"/>
  <c r="E2980" i="8"/>
  <c r="G2980" i="8"/>
  <c r="F2981" i="8"/>
  <c r="E2981" i="8"/>
  <c r="G2981" i="8"/>
  <c r="F2982" i="8"/>
  <c r="E2982" i="8"/>
  <c r="G2982" i="8"/>
  <c r="F2983" i="8"/>
  <c r="E2983" i="8"/>
  <c r="G2983" i="8"/>
  <c r="F2984" i="8"/>
  <c r="E2984" i="8"/>
  <c r="G2984" i="8"/>
  <c r="F2985" i="8"/>
  <c r="E2985" i="8"/>
  <c r="G2985" i="8"/>
  <c r="F2986" i="8"/>
  <c r="E2986" i="8"/>
  <c r="G2986" i="8"/>
  <c r="F2987" i="8"/>
  <c r="E2987" i="8"/>
  <c r="G2987" i="8"/>
  <c r="F2988" i="8"/>
  <c r="E2988" i="8"/>
  <c r="G2988" i="8"/>
  <c r="F2989" i="8"/>
  <c r="E2989" i="8"/>
  <c r="G2989" i="8"/>
  <c r="F2990" i="8"/>
  <c r="E2990" i="8"/>
  <c r="G2990" i="8"/>
  <c r="F2991" i="8"/>
  <c r="E2991" i="8"/>
  <c r="G2991" i="8"/>
  <c r="F2992" i="8"/>
  <c r="E2992" i="8"/>
  <c r="G2992" i="8"/>
  <c r="F2993" i="8"/>
  <c r="E2993" i="8"/>
  <c r="G2993" i="8"/>
  <c r="F2994" i="8"/>
  <c r="E2994" i="8"/>
  <c r="G2994" i="8"/>
  <c r="F2995" i="8"/>
  <c r="E2995" i="8"/>
  <c r="G2995" i="8"/>
  <c r="F2996" i="8"/>
  <c r="E2996" i="8"/>
  <c r="G2996" i="8"/>
  <c r="F2997" i="8"/>
  <c r="E2997" i="8"/>
  <c r="G2997" i="8"/>
  <c r="F2998" i="8"/>
  <c r="E2998" i="8"/>
  <c r="G2998" i="8"/>
  <c r="F2999" i="8"/>
  <c r="E2999" i="8"/>
  <c r="G2999" i="8"/>
  <c r="F3000" i="8"/>
  <c r="E3000" i="8"/>
  <c r="G3000" i="8"/>
  <c r="F3001" i="8"/>
  <c r="E3001" i="8"/>
  <c r="G3001" i="8"/>
  <c r="F3002" i="8"/>
  <c r="E3002" i="8"/>
  <c r="G3002" i="8"/>
  <c r="F3003" i="8"/>
  <c r="E3003" i="8"/>
  <c r="G3003" i="8"/>
  <c r="F3004" i="8"/>
  <c r="E3004" i="8"/>
  <c r="G3004" i="8"/>
  <c r="F3005" i="8"/>
  <c r="E3005" i="8"/>
  <c r="G3005" i="8"/>
  <c r="F3006" i="8"/>
  <c r="E3006" i="8"/>
  <c r="G3006" i="8"/>
  <c r="F3007" i="8"/>
  <c r="E3007" i="8"/>
  <c r="G3007" i="8"/>
  <c r="F3008" i="8"/>
  <c r="E3008" i="8"/>
  <c r="G3008" i="8"/>
  <c r="F3009" i="8"/>
  <c r="E3009" i="8"/>
  <c r="G3009" i="8"/>
  <c r="F3010" i="8"/>
  <c r="E3010" i="8"/>
  <c r="G3010" i="8"/>
  <c r="F3011" i="8"/>
  <c r="E3011" i="8"/>
  <c r="G3011" i="8"/>
  <c r="F3012" i="8"/>
  <c r="E3012" i="8"/>
  <c r="G3012" i="8"/>
  <c r="F3013" i="8"/>
  <c r="E3013" i="8"/>
  <c r="G3013" i="8"/>
  <c r="F3014" i="8"/>
  <c r="E3014" i="8"/>
  <c r="G3014" i="8"/>
  <c r="F3015" i="8"/>
  <c r="E3015" i="8"/>
  <c r="G3015" i="8"/>
  <c r="F3016" i="8"/>
  <c r="E3016" i="8"/>
  <c r="G3016" i="8"/>
  <c r="F3017" i="8"/>
  <c r="E3017" i="8"/>
  <c r="G3017" i="8"/>
  <c r="F3018" i="8"/>
  <c r="E3018" i="8"/>
  <c r="G3018" i="8"/>
  <c r="F3019" i="8"/>
  <c r="E3019" i="8"/>
  <c r="G3019" i="8"/>
  <c r="F3020" i="8"/>
  <c r="E3020" i="8"/>
  <c r="G3020" i="8"/>
  <c r="F3021" i="8"/>
  <c r="E3021" i="8"/>
  <c r="G3021" i="8"/>
  <c r="F3022" i="8"/>
  <c r="E3022" i="8"/>
  <c r="G3022" i="8"/>
  <c r="F3023" i="8"/>
  <c r="E3023" i="8"/>
  <c r="G3023" i="8"/>
  <c r="F3024" i="8"/>
  <c r="E3024" i="8"/>
  <c r="G3024" i="8"/>
  <c r="F3025" i="8"/>
  <c r="E3025" i="8"/>
  <c r="G3025" i="8"/>
  <c r="F3026" i="8"/>
  <c r="E3026" i="8"/>
  <c r="G3026" i="8"/>
  <c r="F3027" i="8"/>
  <c r="E3027" i="8"/>
  <c r="G3027" i="8"/>
  <c r="F3028" i="8"/>
  <c r="E3028" i="8"/>
  <c r="G3028" i="8"/>
  <c r="F3029" i="8"/>
  <c r="E3029" i="8"/>
  <c r="G3029" i="8"/>
  <c r="F3030" i="8"/>
  <c r="E3030" i="8"/>
  <c r="G3030" i="8"/>
  <c r="F3031" i="8"/>
  <c r="E3031" i="8"/>
  <c r="G3031" i="8"/>
  <c r="F3032" i="8"/>
  <c r="E3032" i="8"/>
  <c r="G3032" i="8"/>
  <c r="F3033" i="8"/>
  <c r="E3033" i="8"/>
  <c r="G3033" i="8"/>
  <c r="F3034" i="8"/>
  <c r="E3034" i="8"/>
  <c r="G3034" i="8"/>
  <c r="F3035" i="8"/>
  <c r="E3035" i="8"/>
  <c r="G3035" i="8"/>
  <c r="F3036" i="8"/>
  <c r="E3036" i="8"/>
  <c r="G3036" i="8"/>
  <c r="F3037" i="8"/>
  <c r="E3037" i="8"/>
  <c r="G3037" i="8"/>
  <c r="F3038" i="8"/>
  <c r="E3038" i="8"/>
  <c r="G3038" i="8"/>
  <c r="F3039" i="8"/>
  <c r="E3039" i="8"/>
  <c r="G3039" i="8"/>
  <c r="F3040" i="8"/>
  <c r="E3040" i="8"/>
  <c r="G3040" i="8"/>
  <c r="F3041" i="8"/>
  <c r="E3041" i="8"/>
  <c r="G3041" i="8"/>
  <c r="F3042" i="8"/>
  <c r="E3042" i="8"/>
  <c r="G3042" i="8"/>
  <c r="F3043" i="8"/>
  <c r="E3043" i="8"/>
  <c r="G3043" i="8"/>
  <c r="F3044" i="8"/>
  <c r="E3044" i="8"/>
  <c r="G3044" i="8"/>
  <c r="F3045" i="8"/>
  <c r="E3045" i="8"/>
  <c r="G3045" i="8"/>
  <c r="F3046" i="8"/>
  <c r="E3046" i="8"/>
  <c r="G3046" i="8"/>
  <c r="F3047" i="8"/>
  <c r="E3047" i="8"/>
  <c r="G3047" i="8"/>
  <c r="F3048" i="8"/>
  <c r="E3048" i="8"/>
  <c r="G3048" i="8"/>
  <c r="F3049" i="8"/>
  <c r="E3049" i="8"/>
  <c r="G3049" i="8"/>
  <c r="F3050" i="8"/>
  <c r="E3050" i="8"/>
  <c r="G3050" i="8"/>
  <c r="F3051" i="8"/>
  <c r="E3051" i="8"/>
  <c r="G3051" i="8"/>
  <c r="F3052" i="8"/>
  <c r="E3052" i="8"/>
  <c r="G3052" i="8"/>
  <c r="F3053" i="8"/>
  <c r="E3053" i="8"/>
  <c r="G3053" i="8"/>
  <c r="F3054" i="8"/>
  <c r="E3054" i="8"/>
  <c r="G3054" i="8"/>
  <c r="F3055" i="8"/>
  <c r="E3055" i="8"/>
  <c r="G3055" i="8"/>
  <c r="F3056" i="8"/>
  <c r="E3056" i="8"/>
  <c r="G3056" i="8"/>
  <c r="F3057" i="8"/>
  <c r="E3057" i="8"/>
  <c r="G3057" i="8"/>
  <c r="F3058" i="8"/>
  <c r="E3058" i="8"/>
  <c r="G3058" i="8"/>
  <c r="F3059" i="8"/>
  <c r="E3059" i="8"/>
  <c r="G3059" i="8"/>
  <c r="F3060" i="8"/>
  <c r="E3060" i="8"/>
  <c r="G3060" i="8"/>
  <c r="F3061" i="8"/>
  <c r="E3061" i="8"/>
  <c r="G3061" i="8"/>
  <c r="F3062" i="8"/>
  <c r="E3062" i="8"/>
  <c r="G3062" i="8"/>
  <c r="F3063" i="8"/>
  <c r="E3063" i="8"/>
  <c r="G3063" i="8"/>
  <c r="F3064" i="8"/>
  <c r="E3064" i="8"/>
  <c r="G3064" i="8"/>
  <c r="F3065" i="8"/>
  <c r="E3065" i="8"/>
  <c r="G3065" i="8"/>
  <c r="F3066" i="8"/>
  <c r="E3066" i="8"/>
  <c r="G3066" i="8"/>
  <c r="F3067" i="8"/>
  <c r="E3067" i="8"/>
  <c r="G3067" i="8"/>
  <c r="F3068" i="8"/>
  <c r="E3068" i="8"/>
  <c r="G3068" i="8"/>
  <c r="F3069" i="8"/>
  <c r="E3069" i="8"/>
  <c r="G3069" i="8"/>
  <c r="F3070" i="8"/>
  <c r="E3070" i="8"/>
  <c r="G3070" i="8"/>
  <c r="F3071" i="8"/>
  <c r="E3071" i="8"/>
  <c r="G3071" i="8"/>
  <c r="F3072" i="8"/>
  <c r="E3072" i="8"/>
  <c r="G3072" i="8"/>
  <c r="F3073" i="8"/>
  <c r="E3073" i="8"/>
  <c r="G3073" i="8"/>
  <c r="F3074" i="8"/>
  <c r="E3074" i="8"/>
  <c r="G3074" i="8"/>
  <c r="F3075" i="8"/>
  <c r="E3075" i="8"/>
  <c r="G3075" i="8"/>
  <c r="F3076" i="8"/>
  <c r="E3076" i="8"/>
  <c r="G3076" i="8"/>
  <c r="F3077" i="8"/>
  <c r="E3077" i="8"/>
  <c r="G3077" i="8"/>
  <c r="F3078" i="8"/>
  <c r="E3078" i="8"/>
  <c r="G3078" i="8"/>
  <c r="F3079" i="8"/>
  <c r="E3079" i="8"/>
  <c r="G3079" i="8"/>
  <c r="E3080" i="8"/>
  <c r="G3080" i="8"/>
  <c r="F3081" i="8"/>
  <c r="E3081" i="8"/>
  <c r="G3081" i="8"/>
  <c r="F3082" i="8"/>
  <c r="E3082" i="8"/>
  <c r="G3082" i="8"/>
  <c r="F3083" i="8"/>
  <c r="E3083" i="8"/>
  <c r="G3083" i="8"/>
  <c r="F3084" i="8"/>
  <c r="E3084" i="8"/>
  <c r="G3084" i="8"/>
  <c r="F3085" i="8"/>
  <c r="E3085" i="8"/>
  <c r="G3085" i="8"/>
  <c r="F3086" i="8"/>
  <c r="E3086" i="8"/>
  <c r="G3086" i="8"/>
  <c r="F3087" i="8"/>
  <c r="E3087" i="8"/>
  <c r="G3087" i="8"/>
  <c r="F3088" i="8"/>
  <c r="E3088" i="8"/>
  <c r="G3088" i="8"/>
  <c r="F3089" i="8"/>
  <c r="E3089" i="8"/>
  <c r="G3089" i="8"/>
  <c r="F3090" i="8"/>
  <c r="E3090" i="8"/>
  <c r="G3090" i="8"/>
  <c r="F3091" i="8"/>
  <c r="E3091" i="8"/>
  <c r="G3091" i="8"/>
  <c r="F3092" i="8"/>
  <c r="E3092" i="8"/>
  <c r="G3092" i="8"/>
  <c r="F3093" i="8"/>
  <c r="E3093" i="8"/>
  <c r="G3093" i="8"/>
  <c r="F3094" i="8"/>
  <c r="E3094" i="8"/>
  <c r="G3094" i="8"/>
  <c r="F3095" i="8"/>
  <c r="E3095" i="8"/>
  <c r="G3095" i="8"/>
  <c r="F3096" i="8"/>
  <c r="E3096" i="8"/>
  <c r="G3096" i="8"/>
  <c r="F3097" i="8"/>
  <c r="E3097" i="8"/>
  <c r="G3097" i="8"/>
  <c r="F3098" i="8"/>
  <c r="E3098" i="8"/>
  <c r="G3098" i="8"/>
  <c r="F3099" i="8"/>
  <c r="E3099" i="8"/>
  <c r="G3099" i="8"/>
  <c r="F3100" i="8"/>
  <c r="E3100" i="8"/>
  <c r="G3100" i="8"/>
  <c r="F3101" i="8"/>
  <c r="E3101" i="8"/>
  <c r="G3101" i="8"/>
  <c r="F3102" i="8"/>
  <c r="E3102" i="8"/>
  <c r="G3102" i="8"/>
  <c r="F3103" i="8"/>
  <c r="E3103" i="8"/>
  <c r="G3103" i="8"/>
  <c r="F3104" i="8"/>
  <c r="E3104" i="8"/>
  <c r="G3104" i="8"/>
  <c r="F3105" i="8"/>
  <c r="E3105" i="8"/>
  <c r="G3105" i="8"/>
  <c r="F3106" i="8"/>
  <c r="E3106" i="8"/>
  <c r="G3106" i="8"/>
  <c r="F3107" i="8"/>
  <c r="E3107" i="8"/>
  <c r="G3107" i="8"/>
  <c r="F3108" i="8"/>
  <c r="E3108" i="8"/>
  <c r="G3108" i="8"/>
  <c r="F3109" i="8"/>
  <c r="E3109" i="8"/>
  <c r="G3109" i="8"/>
  <c r="F3110" i="8"/>
  <c r="E3110" i="8"/>
  <c r="G3110" i="8"/>
  <c r="F3111" i="8"/>
  <c r="E3111" i="8"/>
  <c r="G3111" i="8"/>
  <c r="F3112" i="8"/>
  <c r="E3112" i="8"/>
  <c r="G3112" i="8"/>
  <c r="F3113" i="8"/>
  <c r="E3113" i="8"/>
  <c r="G3113" i="8"/>
  <c r="F3114" i="8"/>
  <c r="E3114" i="8"/>
  <c r="G3114" i="8"/>
  <c r="F3115" i="8"/>
  <c r="E3115" i="8"/>
  <c r="G3115" i="8"/>
  <c r="F3116" i="8"/>
  <c r="E3116" i="8"/>
  <c r="G3116" i="8"/>
  <c r="F3117" i="8"/>
  <c r="E3117" i="8"/>
  <c r="G3117" i="8"/>
  <c r="F3118" i="8"/>
  <c r="E3118" i="8"/>
  <c r="G3118" i="8"/>
  <c r="F3119" i="8"/>
  <c r="E3119" i="8"/>
  <c r="G3119" i="8"/>
  <c r="F3120" i="8"/>
  <c r="E3120" i="8"/>
  <c r="G3120" i="8"/>
  <c r="F3121" i="8"/>
  <c r="E3121" i="8"/>
  <c r="G3121" i="8"/>
  <c r="F3122" i="8"/>
  <c r="E3122" i="8"/>
  <c r="G3122" i="8"/>
  <c r="F3123" i="8"/>
  <c r="E3123" i="8"/>
  <c r="G3123" i="8"/>
  <c r="F3124" i="8"/>
  <c r="E3124" i="8"/>
  <c r="G3124" i="8"/>
  <c r="F3125" i="8"/>
  <c r="E3125" i="8"/>
  <c r="G3125" i="8"/>
  <c r="F3126" i="8"/>
  <c r="E3126" i="8"/>
  <c r="G3126" i="8"/>
  <c r="F3127" i="8"/>
  <c r="E3127" i="8"/>
  <c r="G3127" i="8"/>
  <c r="F3128" i="8"/>
  <c r="E3128" i="8"/>
  <c r="G3128" i="8"/>
  <c r="F3129" i="8"/>
  <c r="E3129" i="8"/>
  <c r="G3129" i="8"/>
  <c r="F3130" i="8"/>
  <c r="E3130" i="8"/>
  <c r="G3130" i="8"/>
  <c r="F3131" i="8"/>
  <c r="E3131" i="8"/>
  <c r="G3131" i="8"/>
  <c r="F3132" i="8"/>
  <c r="E3132" i="8"/>
  <c r="G3132" i="8"/>
  <c r="F3133" i="8"/>
  <c r="E3133" i="8"/>
  <c r="G3133" i="8"/>
  <c r="F3134" i="8"/>
  <c r="E3134" i="8"/>
  <c r="G3134" i="8"/>
  <c r="F3135" i="8"/>
  <c r="E3135" i="8"/>
  <c r="G3135" i="8"/>
  <c r="F3136" i="8"/>
  <c r="E3136" i="8"/>
  <c r="G3136" i="8"/>
  <c r="F3137" i="8"/>
  <c r="E3137" i="8"/>
  <c r="G3137" i="8"/>
  <c r="F3138" i="8"/>
  <c r="E3138" i="8"/>
  <c r="G3138" i="8"/>
  <c r="F3139" i="8"/>
  <c r="E3139" i="8"/>
  <c r="G3139" i="8"/>
  <c r="F3140" i="8"/>
  <c r="E3140" i="8"/>
  <c r="G3140" i="8"/>
  <c r="F3141" i="8"/>
  <c r="E3141" i="8"/>
  <c r="G3141" i="8"/>
  <c r="F3142" i="8"/>
  <c r="E3142" i="8"/>
  <c r="G3142" i="8"/>
  <c r="F3143" i="8"/>
  <c r="E3143" i="8"/>
  <c r="G3143" i="8"/>
  <c r="F3144" i="8"/>
  <c r="E3144" i="8"/>
  <c r="G3144" i="8"/>
  <c r="F3145" i="8"/>
  <c r="E3145" i="8"/>
  <c r="G3145" i="8"/>
  <c r="F3146" i="8"/>
  <c r="E3146" i="8"/>
  <c r="G3146" i="8"/>
  <c r="F3147" i="8"/>
  <c r="E3147" i="8"/>
  <c r="G3147" i="8"/>
  <c r="F3148" i="8"/>
  <c r="E3148" i="8"/>
  <c r="G3148" i="8"/>
  <c r="F3149" i="8"/>
  <c r="E3149" i="8"/>
  <c r="G3149" i="8"/>
  <c r="F3150" i="8"/>
  <c r="E3150" i="8"/>
  <c r="G3150" i="8"/>
  <c r="F3151" i="8"/>
  <c r="E3151" i="8"/>
  <c r="G3151" i="8"/>
  <c r="F3152" i="8"/>
  <c r="E3152" i="8"/>
  <c r="G3152" i="8"/>
  <c r="F3153" i="8"/>
  <c r="E3153" i="8"/>
  <c r="G3153" i="8"/>
  <c r="F3154" i="8"/>
  <c r="E3154" i="8"/>
  <c r="G3154" i="8"/>
  <c r="F3155" i="8"/>
  <c r="E3155" i="8"/>
  <c r="G3155" i="8"/>
  <c r="F3156" i="8"/>
  <c r="E3156" i="8"/>
  <c r="G3156" i="8"/>
  <c r="F3157" i="8"/>
  <c r="E3157" i="8"/>
  <c r="G3157" i="8"/>
  <c r="F3158" i="8"/>
  <c r="E3158" i="8"/>
  <c r="G3158" i="8"/>
  <c r="F3159" i="8"/>
  <c r="E3159" i="8"/>
  <c r="G3159" i="8"/>
  <c r="F3160" i="8"/>
  <c r="E3160" i="8"/>
  <c r="G3160" i="8"/>
  <c r="F3161" i="8"/>
  <c r="E3161" i="8"/>
  <c r="G3161" i="8"/>
  <c r="F3162" i="8"/>
  <c r="E3162" i="8"/>
  <c r="G3162" i="8"/>
  <c r="F3163" i="8"/>
  <c r="E3163" i="8"/>
  <c r="G3163" i="8"/>
  <c r="F3164" i="8"/>
  <c r="E3164" i="8"/>
  <c r="G3164" i="8"/>
  <c r="F3165" i="8"/>
  <c r="E3165" i="8"/>
  <c r="G3165" i="8"/>
  <c r="F3166" i="8"/>
  <c r="E3166" i="8"/>
  <c r="G3166" i="8"/>
  <c r="F3167" i="8"/>
  <c r="E3167" i="8"/>
  <c r="G3167" i="8"/>
  <c r="F3168" i="8"/>
  <c r="E3168" i="8"/>
  <c r="G3168" i="8"/>
  <c r="F3169" i="8"/>
  <c r="E3169" i="8"/>
  <c r="G3169" i="8"/>
  <c r="F3170" i="8"/>
  <c r="E3170" i="8"/>
  <c r="G3170" i="8"/>
  <c r="F3171" i="8"/>
  <c r="E3171" i="8"/>
  <c r="G3171" i="8"/>
  <c r="F3172" i="8"/>
  <c r="E3172" i="8"/>
  <c r="G3172" i="8"/>
  <c r="F3173" i="8"/>
  <c r="E3173" i="8"/>
  <c r="G3173" i="8"/>
  <c r="F3174" i="8"/>
  <c r="E3174" i="8"/>
  <c r="G3174" i="8"/>
  <c r="F3175" i="8"/>
  <c r="E3175" i="8"/>
  <c r="G3175" i="8"/>
  <c r="F3176" i="8"/>
  <c r="E3176" i="8"/>
  <c r="G3176" i="8"/>
  <c r="F3177" i="8"/>
  <c r="E3177" i="8"/>
  <c r="G3177" i="8"/>
  <c r="F3178" i="8"/>
  <c r="E3178" i="8"/>
  <c r="G3178" i="8"/>
  <c r="F3179" i="8"/>
  <c r="E3179" i="8"/>
  <c r="G3179" i="8"/>
  <c r="F3180" i="8"/>
  <c r="E3180" i="8"/>
  <c r="G3180" i="8"/>
  <c r="F3181" i="8"/>
  <c r="E3181" i="8"/>
  <c r="G3181" i="8"/>
  <c r="F3182" i="8"/>
  <c r="E3182" i="8"/>
  <c r="G3182" i="8"/>
  <c r="F3183" i="8"/>
  <c r="E3183" i="8"/>
  <c r="G3183" i="8"/>
  <c r="F3184" i="8"/>
  <c r="E3184" i="8"/>
  <c r="G3184" i="8"/>
  <c r="F3185" i="8"/>
  <c r="E3185" i="8"/>
  <c r="G3185" i="8"/>
  <c r="F3186" i="8"/>
  <c r="E3186" i="8"/>
  <c r="G3186" i="8"/>
  <c r="F3187" i="8"/>
  <c r="E3187" i="8"/>
  <c r="G3187" i="8"/>
  <c r="F3188" i="8"/>
  <c r="E3188" i="8"/>
  <c r="G3188" i="8"/>
  <c r="F3189" i="8"/>
  <c r="E3189" i="8"/>
  <c r="G3189" i="8"/>
  <c r="F3190" i="8"/>
  <c r="E3190" i="8"/>
  <c r="G3190" i="8"/>
  <c r="F3191" i="8"/>
  <c r="E3191" i="8"/>
  <c r="G3191" i="8"/>
  <c r="F3192" i="8"/>
  <c r="E3192" i="8"/>
  <c r="G3192" i="8"/>
  <c r="F3193" i="8"/>
  <c r="E3193" i="8"/>
  <c r="G3193" i="8"/>
  <c r="F3194" i="8"/>
  <c r="E3194" i="8"/>
  <c r="G3194" i="8"/>
  <c r="F3195" i="8"/>
  <c r="E3195" i="8"/>
  <c r="G3195" i="8"/>
  <c r="F3196" i="8"/>
  <c r="E3196" i="8"/>
  <c r="G3196" i="8"/>
  <c r="F3197" i="8"/>
  <c r="E3197" i="8"/>
  <c r="G3197" i="8"/>
  <c r="F3198" i="8"/>
  <c r="E3198" i="8"/>
  <c r="G3198" i="8"/>
  <c r="F3199" i="8"/>
  <c r="E3199" i="8"/>
  <c r="G3199" i="8"/>
  <c r="F3200" i="8"/>
  <c r="E3200" i="8"/>
  <c r="G3200" i="8"/>
  <c r="F3201" i="8"/>
  <c r="E3201" i="8"/>
  <c r="G3201" i="8"/>
  <c r="F3202" i="8"/>
  <c r="E3202" i="8"/>
  <c r="G3202" i="8"/>
  <c r="F3203" i="8"/>
  <c r="E3203" i="8"/>
  <c r="G3203" i="8"/>
  <c r="F3204" i="8"/>
  <c r="E3204" i="8"/>
  <c r="G3204" i="8"/>
  <c r="F3205" i="8"/>
  <c r="E3205" i="8"/>
  <c r="G3205" i="8"/>
  <c r="F3206" i="8"/>
  <c r="E3206" i="8"/>
  <c r="G3206" i="8"/>
  <c r="F3207" i="8"/>
  <c r="E3207" i="8"/>
  <c r="G3207" i="8"/>
  <c r="F3208" i="8"/>
  <c r="E3208" i="8"/>
  <c r="G3208" i="8"/>
  <c r="F3209" i="8"/>
  <c r="E3209" i="8"/>
  <c r="G3209" i="8"/>
  <c r="F3210" i="8"/>
  <c r="E3210" i="8"/>
  <c r="G3210" i="8"/>
  <c r="F3211" i="8"/>
  <c r="E3211" i="8"/>
  <c r="G3211" i="8"/>
  <c r="F3212" i="8"/>
  <c r="E3212" i="8"/>
  <c r="G3212" i="8"/>
  <c r="F3213" i="8"/>
  <c r="E3213" i="8"/>
  <c r="G3213" i="8"/>
  <c r="F3214" i="8"/>
  <c r="E3214" i="8"/>
  <c r="G3214" i="8"/>
  <c r="F3215" i="8"/>
  <c r="E3215" i="8"/>
  <c r="G3215" i="8"/>
  <c r="F3216" i="8"/>
  <c r="E3216" i="8"/>
  <c r="G3216" i="8"/>
  <c r="F3217" i="8"/>
  <c r="E3217" i="8"/>
  <c r="G3217" i="8"/>
  <c r="F3218" i="8"/>
  <c r="E3218" i="8"/>
  <c r="G3218" i="8"/>
  <c r="F3219" i="8"/>
  <c r="E3219" i="8"/>
  <c r="G3219" i="8"/>
  <c r="F3220" i="8"/>
  <c r="E3220" i="8"/>
  <c r="G3220" i="8"/>
  <c r="F3221" i="8"/>
  <c r="E3221" i="8"/>
  <c r="G3221" i="8"/>
  <c r="F3222" i="8"/>
  <c r="E3222" i="8"/>
  <c r="G3222" i="8"/>
  <c r="F3223" i="8"/>
  <c r="E3223" i="8"/>
  <c r="G3223" i="8"/>
  <c r="F3224" i="8"/>
  <c r="E3224" i="8"/>
  <c r="G3224" i="8"/>
  <c r="F3225" i="8"/>
  <c r="E3225" i="8"/>
  <c r="G3225" i="8"/>
  <c r="F3226" i="8"/>
  <c r="E3226" i="8"/>
  <c r="G3226" i="8"/>
  <c r="F3227" i="8"/>
  <c r="E3227" i="8"/>
  <c r="G3227" i="8"/>
  <c r="F3228" i="8"/>
  <c r="E3228" i="8"/>
  <c r="G3228" i="8"/>
  <c r="F3229" i="8"/>
  <c r="E3229" i="8"/>
  <c r="G3229" i="8"/>
  <c r="F3230" i="8"/>
  <c r="E3230" i="8"/>
  <c r="G3230" i="8"/>
  <c r="F3231" i="8"/>
  <c r="E3231" i="8"/>
  <c r="G3231" i="8"/>
  <c r="F3232" i="8"/>
  <c r="E3232" i="8"/>
  <c r="G3232" i="8"/>
  <c r="F3233" i="8"/>
  <c r="E3233" i="8"/>
  <c r="G3233" i="8"/>
  <c r="F3234" i="8"/>
  <c r="E3234" i="8"/>
  <c r="G3234" i="8"/>
  <c r="F3235" i="8"/>
  <c r="E3235" i="8"/>
  <c r="G3235" i="8"/>
  <c r="F3236" i="8"/>
  <c r="E3236" i="8"/>
  <c r="G3236" i="8"/>
  <c r="F3237" i="8"/>
  <c r="E3237" i="8"/>
  <c r="G3237" i="8"/>
  <c r="F3238" i="8"/>
  <c r="E3238" i="8"/>
  <c r="G3238" i="8"/>
  <c r="F3239" i="8"/>
  <c r="E3239" i="8"/>
  <c r="G3239" i="8"/>
  <c r="F3240" i="8"/>
  <c r="E3240" i="8"/>
  <c r="G3240" i="8"/>
  <c r="F3241" i="8"/>
  <c r="E3241" i="8"/>
  <c r="G3241" i="8"/>
  <c r="F3242" i="8"/>
  <c r="E3242" i="8"/>
  <c r="G3242" i="8"/>
  <c r="F3243" i="8"/>
  <c r="E3243" i="8"/>
  <c r="G3243" i="8"/>
  <c r="F3244" i="8"/>
  <c r="E3244" i="8"/>
  <c r="G3244" i="8"/>
  <c r="F3245" i="8"/>
  <c r="E3245" i="8"/>
  <c r="G3245" i="8"/>
  <c r="F3246" i="8"/>
  <c r="E3246" i="8"/>
  <c r="G3246" i="8"/>
  <c r="F3247" i="8"/>
  <c r="E3247" i="8"/>
  <c r="G3247" i="8"/>
  <c r="F3248" i="8"/>
  <c r="E3248" i="8"/>
  <c r="G3248" i="8"/>
  <c r="F3249" i="8"/>
  <c r="E3249" i="8"/>
  <c r="G3249" i="8"/>
  <c r="F3250" i="8"/>
  <c r="E3250" i="8"/>
  <c r="G3250" i="8"/>
  <c r="F3251" i="8"/>
  <c r="E3251" i="8"/>
  <c r="G3251" i="8"/>
  <c r="F3252" i="8"/>
  <c r="E3252" i="8"/>
  <c r="G3252" i="8"/>
  <c r="F3253" i="8"/>
  <c r="E3253" i="8"/>
  <c r="G3253" i="8"/>
  <c r="F3254" i="8"/>
  <c r="E3254" i="8"/>
  <c r="G3254" i="8"/>
  <c r="F3255" i="8"/>
  <c r="E3255" i="8"/>
  <c r="G3255" i="8"/>
  <c r="F3256" i="8"/>
  <c r="E3256" i="8"/>
  <c r="G3256" i="8"/>
  <c r="F3257" i="8"/>
  <c r="E3257" i="8"/>
  <c r="G3257" i="8"/>
  <c r="F3258" i="8"/>
  <c r="E3258" i="8"/>
  <c r="G3258" i="8"/>
  <c r="F3259" i="8"/>
  <c r="E3259" i="8"/>
  <c r="G3259" i="8"/>
  <c r="F3260" i="8"/>
  <c r="E3260" i="8"/>
  <c r="G3260" i="8"/>
  <c r="F3261" i="8"/>
  <c r="E3261" i="8"/>
  <c r="G3261" i="8"/>
  <c r="F3262" i="8"/>
  <c r="E3262" i="8"/>
  <c r="G3262" i="8"/>
  <c r="F3263" i="8"/>
  <c r="E3263" i="8"/>
  <c r="G3263" i="8"/>
  <c r="F3264" i="8"/>
  <c r="E3264" i="8"/>
  <c r="G3264" i="8"/>
  <c r="F3265" i="8"/>
  <c r="E3265" i="8"/>
  <c r="G3265" i="8"/>
  <c r="F3266" i="8"/>
  <c r="E3266" i="8"/>
  <c r="G3266" i="8"/>
  <c r="F3267" i="8"/>
  <c r="E3267" i="8"/>
  <c r="G3267" i="8"/>
  <c r="F3268" i="8"/>
  <c r="E3268" i="8"/>
  <c r="G3268" i="8"/>
  <c r="F3269" i="8"/>
  <c r="E3269" i="8"/>
  <c r="G3269" i="8"/>
  <c r="F3270" i="8"/>
  <c r="E3270" i="8"/>
  <c r="G3270" i="8"/>
  <c r="F3271" i="8"/>
  <c r="E3271" i="8"/>
  <c r="G3271" i="8"/>
  <c r="F3272" i="8"/>
  <c r="E3272" i="8"/>
  <c r="G3272" i="8"/>
  <c r="F3273" i="8"/>
  <c r="E3273" i="8"/>
  <c r="G3273" i="8"/>
  <c r="F3274" i="8"/>
  <c r="E3274" i="8"/>
  <c r="G3274" i="8"/>
  <c r="F3275" i="8"/>
  <c r="E3275" i="8"/>
  <c r="G3275" i="8"/>
  <c r="F3276" i="8"/>
  <c r="E3276" i="8"/>
  <c r="G3276" i="8"/>
  <c r="F3277" i="8"/>
  <c r="E3277" i="8"/>
  <c r="G3277" i="8"/>
  <c r="F3278" i="8"/>
  <c r="E3278" i="8"/>
  <c r="G3278" i="8"/>
  <c r="F3279" i="8"/>
  <c r="E3279" i="8"/>
  <c r="G3279" i="8"/>
  <c r="F3280" i="8"/>
  <c r="E3280" i="8"/>
  <c r="G3280" i="8"/>
  <c r="F3281" i="8"/>
  <c r="E3281" i="8"/>
  <c r="G3281" i="8"/>
  <c r="F3282" i="8"/>
  <c r="E3282" i="8"/>
  <c r="G3282" i="8"/>
  <c r="F3283" i="8"/>
  <c r="E3283" i="8"/>
  <c r="G3283" i="8"/>
  <c r="F3284" i="8"/>
  <c r="E3284" i="8"/>
  <c r="G3284" i="8"/>
  <c r="F3285" i="8"/>
  <c r="E3285" i="8"/>
  <c r="G3285" i="8"/>
  <c r="F3286" i="8"/>
  <c r="E3286" i="8"/>
  <c r="G3286" i="8"/>
  <c r="F3287" i="8"/>
  <c r="E3287" i="8"/>
  <c r="G3287" i="8"/>
  <c r="F3288" i="8"/>
  <c r="E3288" i="8"/>
  <c r="G3288" i="8"/>
  <c r="F3289" i="8"/>
  <c r="E3289" i="8"/>
  <c r="G3289" i="8"/>
  <c r="F3290" i="8"/>
  <c r="E3290" i="8"/>
  <c r="G3290" i="8"/>
  <c r="F3291" i="8"/>
  <c r="E3291" i="8"/>
  <c r="G3291" i="8"/>
  <c r="F3292" i="8"/>
  <c r="E3292" i="8"/>
  <c r="G3292" i="8"/>
  <c r="F3293" i="8"/>
  <c r="E3293" i="8"/>
  <c r="G3293" i="8"/>
  <c r="F3294" i="8"/>
  <c r="E3294" i="8"/>
  <c r="G3294" i="8"/>
  <c r="F3295" i="8"/>
  <c r="E3295" i="8"/>
  <c r="G3295" i="8"/>
  <c r="F3296" i="8"/>
  <c r="E3296" i="8"/>
  <c r="G3296" i="8"/>
  <c r="F3297" i="8"/>
  <c r="E3297" i="8"/>
  <c r="G3297" i="8"/>
  <c r="F3298" i="8"/>
  <c r="E3298" i="8"/>
  <c r="G3298" i="8"/>
  <c r="F3299" i="8"/>
  <c r="E3299" i="8"/>
  <c r="G3299" i="8"/>
  <c r="F3300" i="8"/>
  <c r="E3300" i="8"/>
  <c r="G3300" i="8"/>
  <c r="F3301" i="8"/>
  <c r="E3301" i="8"/>
  <c r="G3301" i="8"/>
  <c r="F3302" i="8"/>
  <c r="E3302" i="8"/>
  <c r="G3302" i="8"/>
  <c r="F3303" i="8"/>
  <c r="E3303" i="8"/>
  <c r="G3303" i="8"/>
  <c r="F3304" i="8"/>
  <c r="E3304" i="8"/>
  <c r="G3304" i="8"/>
  <c r="F3305" i="8"/>
  <c r="E3305" i="8"/>
  <c r="G3305" i="8"/>
  <c r="F3306" i="8"/>
  <c r="E3306" i="8"/>
  <c r="G3306" i="8"/>
  <c r="F3307" i="8"/>
  <c r="E3307" i="8"/>
  <c r="G3307" i="8"/>
  <c r="F3308" i="8"/>
  <c r="E3308" i="8"/>
  <c r="G3308" i="8"/>
  <c r="F3309" i="8"/>
  <c r="E3309" i="8"/>
  <c r="G3309" i="8"/>
  <c r="F3310" i="8"/>
  <c r="E3310" i="8"/>
  <c r="G3310" i="8"/>
  <c r="F3311" i="8"/>
  <c r="E3311" i="8"/>
  <c r="G3311" i="8"/>
  <c r="F3312" i="8"/>
  <c r="E3312" i="8"/>
  <c r="G3312" i="8"/>
  <c r="F3313" i="8"/>
  <c r="E3313" i="8"/>
  <c r="G3313" i="8"/>
  <c r="F3314" i="8"/>
  <c r="E3314" i="8"/>
  <c r="G3314" i="8"/>
  <c r="F3315" i="8"/>
  <c r="E3315" i="8"/>
  <c r="G3315" i="8"/>
  <c r="F3316" i="8"/>
  <c r="E3316" i="8"/>
  <c r="G3316" i="8"/>
  <c r="F3317" i="8"/>
  <c r="E3317" i="8"/>
  <c r="G3317" i="8"/>
  <c r="F3318" i="8"/>
  <c r="E3318" i="8"/>
  <c r="G3318" i="8"/>
  <c r="F3319" i="8"/>
  <c r="E3319" i="8"/>
  <c r="G3319" i="8"/>
  <c r="F3320" i="8"/>
  <c r="E3320" i="8"/>
  <c r="G3320" i="8"/>
  <c r="F3321" i="8"/>
  <c r="E3321" i="8"/>
  <c r="G3321" i="8"/>
  <c r="F3322" i="8"/>
  <c r="E3322" i="8"/>
  <c r="G3322" i="8"/>
  <c r="F3323" i="8"/>
  <c r="E3323" i="8"/>
  <c r="G3323" i="8"/>
  <c r="F3324" i="8"/>
  <c r="E3324" i="8"/>
  <c r="G3324" i="8"/>
  <c r="F3325" i="8"/>
  <c r="E3325" i="8"/>
  <c r="G3325" i="8"/>
  <c r="F3326" i="8"/>
  <c r="E3326" i="8"/>
  <c r="G3326" i="8"/>
  <c r="F3327" i="8"/>
  <c r="E3327" i="8"/>
  <c r="G3327" i="8"/>
  <c r="F3328" i="8"/>
  <c r="E3328" i="8"/>
  <c r="G3328" i="8"/>
  <c r="F3329" i="8"/>
  <c r="E3329" i="8"/>
  <c r="G3329" i="8"/>
  <c r="F3330" i="8"/>
  <c r="E3330" i="8"/>
  <c r="G3330" i="8"/>
  <c r="F3331" i="8"/>
  <c r="E3331" i="8"/>
  <c r="G3331" i="8"/>
  <c r="F3332" i="8"/>
  <c r="E3332" i="8"/>
  <c r="G3332" i="8"/>
  <c r="F3333" i="8"/>
  <c r="E3333" i="8"/>
  <c r="G3333" i="8"/>
  <c r="F3334" i="8"/>
  <c r="E3334" i="8"/>
  <c r="G3334" i="8"/>
  <c r="F3335" i="8"/>
  <c r="E3335" i="8"/>
  <c r="G3335" i="8"/>
  <c r="F3336" i="8"/>
  <c r="E3336" i="8"/>
  <c r="G3336" i="8"/>
  <c r="F3337" i="8"/>
  <c r="E3337" i="8"/>
  <c r="G3337" i="8"/>
  <c r="F3338" i="8"/>
  <c r="E3338" i="8"/>
  <c r="G3338" i="8"/>
  <c r="F3339" i="8"/>
  <c r="E3339" i="8"/>
  <c r="G3339" i="8"/>
  <c r="F3340" i="8"/>
  <c r="E3340" i="8"/>
  <c r="G3340" i="8"/>
  <c r="F3341" i="8"/>
  <c r="E3341" i="8"/>
  <c r="G3341" i="8"/>
  <c r="F3342" i="8"/>
  <c r="E3342" i="8"/>
  <c r="G3342" i="8"/>
  <c r="F3343" i="8"/>
  <c r="E3343" i="8"/>
  <c r="G3343" i="8"/>
  <c r="F3344" i="8"/>
  <c r="E3344" i="8"/>
  <c r="G3344" i="8"/>
  <c r="F3345" i="8"/>
  <c r="E3345" i="8"/>
  <c r="G3345" i="8"/>
  <c r="F3346" i="8"/>
  <c r="E3346" i="8"/>
  <c r="G3346" i="8"/>
  <c r="F3347" i="8"/>
  <c r="E3347" i="8"/>
  <c r="G3347" i="8"/>
  <c r="F3348" i="8"/>
  <c r="E3348" i="8"/>
  <c r="G3348" i="8"/>
  <c r="F3349" i="8"/>
  <c r="E3349" i="8"/>
  <c r="G3349" i="8"/>
  <c r="F3350" i="8"/>
  <c r="E3350" i="8"/>
  <c r="G3350" i="8"/>
  <c r="F3351" i="8"/>
  <c r="E3351" i="8"/>
  <c r="G3351" i="8"/>
  <c r="F3352" i="8"/>
  <c r="E3352" i="8"/>
  <c r="G3352" i="8"/>
  <c r="F3353" i="8"/>
  <c r="E3353" i="8"/>
  <c r="G3353" i="8"/>
  <c r="F3354" i="8"/>
  <c r="E3354" i="8"/>
  <c r="G3354" i="8"/>
  <c r="F3355" i="8"/>
  <c r="E3355" i="8"/>
  <c r="G3355" i="8"/>
  <c r="F3356" i="8"/>
  <c r="E3356" i="8"/>
  <c r="G3356" i="8"/>
  <c r="F3357" i="8"/>
  <c r="E3357" i="8"/>
  <c r="G3357" i="8"/>
  <c r="F3358" i="8"/>
  <c r="E3358" i="8"/>
  <c r="G3358" i="8"/>
  <c r="F3359" i="8"/>
  <c r="E3359" i="8"/>
  <c r="G3359" i="8"/>
  <c r="F3360" i="8"/>
  <c r="E3360" i="8"/>
  <c r="G3360" i="8"/>
  <c r="F3361" i="8"/>
  <c r="E3361" i="8"/>
  <c r="G3361" i="8"/>
  <c r="F3362" i="8"/>
  <c r="E3362" i="8"/>
  <c r="G3362" i="8"/>
  <c r="F3363" i="8"/>
  <c r="E3363" i="8"/>
  <c r="G3363" i="8"/>
  <c r="F3364" i="8"/>
  <c r="E3364" i="8"/>
  <c r="G3364" i="8"/>
  <c r="F3365" i="8"/>
  <c r="E3365" i="8"/>
  <c r="G3365" i="8"/>
  <c r="F3366" i="8"/>
  <c r="E3366" i="8"/>
  <c r="G3366" i="8"/>
  <c r="F3367" i="8"/>
  <c r="E3367" i="8"/>
  <c r="G3367" i="8"/>
  <c r="F3368" i="8"/>
  <c r="E3368" i="8"/>
  <c r="G3368" i="8"/>
  <c r="F3369" i="8"/>
  <c r="E3369" i="8"/>
  <c r="G3369" i="8"/>
  <c r="F3370" i="8"/>
  <c r="E3370" i="8"/>
  <c r="G3370" i="8"/>
  <c r="F3371" i="8"/>
  <c r="E3371" i="8"/>
  <c r="G3371" i="8"/>
  <c r="F3372" i="8"/>
  <c r="E3372" i="8"/>
  <c r="G3372" i="8"/>
  <c r="F3373" i="8"/>
  <c r="E3373" i="8"/>
  <c r="G3373" i="8"/>
  <c r="F3374" i="8"/>
  <c r="E3374" i="8"/>
  <c r="G3374" i="8"/>
  <c r="F3375" i="8"/>
  <c r="E3375" i="8"/>
  <c r="G3375" i="8"/>
  <c r="F3376" i="8"/>
  <c r="E3376" i="8"/>
  <c r="G3376" i="8"/>
  <c r="F3377" i="8"/>
  <c r="E3377" i="8"/>
  <c r="G3377" i="8"/>
  <c r="F3378" i="8"/>
  <c r="E3378" i="8"/>
  <c r="G3378" i="8"/>
  <c r="F3379" i="8"/>
  <c r="E3379" i="8"/>
  <c r="G3379" i="8"/>
  <c r="F3380" i="8"/>
  <c r="E3380" i="8"/>
  <c r="G3380" i="8"/>
  <c r="F3381" i="8"/>
  <c r="E3381" i="8"/>
  <c r="G3381" i="8"/>
  <c r="F3382" i="8"/>
  <c r="E3382" i="8"/>
  <c r="G3382" i="8"/>
  <c r="F3383" i="8"/>
  <c r="E3383" i="8"/>
  <c r="G3383" i="8"/>
  <c r="F3384" i="8"/>
  <c r="E3384" i="8"/>
  <c r="G3384" i="8"/>
  <c r="F3385" i="8"/>
  <c r="E3385" i="8"/>
  <c r="G3385" i="8"/>
  <c r="F3386" i="8"/>
  <c r="E3386" i="8"/>
  <c r="G3386" i="8"/>
  <c r="F3387" i="8"/>
  <c r="E3387" i="8"/>
  <c r="G3387" i="8"/>
  <c r="F3388" i="8"/>
  <c r="E3388" i="8"/>
  <c r="G3388" i="8"/>
  <c r="F3389" i="8"/>
  <c r="E3389" i="8"/>
  <c r="G3389" i="8"/>
  <c r="F3390" i="8"/>
  <c r="E3390" i="8"/>
  <c r="G3390" i="8"/>
  <c r="F3391" i="8"/>
  <c r="E3391" i="8"/>
  <c r="G3391" i="8"/>
  <c r="F3392" i="8"/>
  <c r="E3392" i="8"/>
  <c r="G3392" i="8"/>
  <c r="F3393" i="8"/>
  <c r="E3393" i="8"/>
  <c r="G3393" i="8"/>
  <c r="F3394" i="8"/>
  <c r="E3394" i="8"/>
  <c r="G3394" i="8"/>
  <c r="F3395" i="8"/>
  <c r="E3395" i="8"/>
  <c r="G3395" i="8"/>
  <c r="F3396" i="8"/>
  <c r="E3396" i="8"/>
  <c r="G3396" i="8"/>
  <c r="F3397" i="8"/>
  <c r="E3397" i="8"/>
  <c r="G3397" i="8"/>
  <c r="F3398" i="8"/>
  <c r="E3398" i="8"/>
  <c r="G3398" i="8"/>
  <c r="F3399" i="8"/>
  <c r="E3399" i="8"/>
  <c r="G3399" i="8"/>
  <c r="F3400" i="8"/>
  <c r="E3400" i="8"/>
  <c r="G3400" i="8"/>
  <c r="F3401" i="8"/>
  <c r="E3401" i="8"/>
  <c r="G3401" i="8"/>
  <c r="F3402" i="8"/>
  <c r="E3402" i="8"/>
  <c r="G3402" i="8"/>
  <c r="F3403" i="8"/>
  <c r="E3403" i="8"/>
  <c r="G3403" i="8"/>
  <c r="F3404" i="8"/>
  <c r="E3404" i="8"/>
  <c r="G3404" i="8"/>
  <c r="F3405" i="8"/>
  <c r="E3405" i="8"/>
  <c r="G3405" i="8"/>
  <c r="F3406" i="8"/>
  <c r="E3406" i="8"/>
  <c r="G3406" i="8"/>
  <c r="F3407" i="8"/>
  <c r="E3407" i="8"/>
  <c r="G3407" i="8"/>
  <c r="F3408" i="8"/>
  <c r="E3408" i="8"/>
  <c r="G3408" i="8"/>
  <c r="F3409" i="8"/>
  <c r="E3409" i="8"/>
  <c r="G3409" i="8"/>
  <c r="F3410" i="8"/>
  <c r="E3410" i="8"/>
  <c r="G3410" i="8"/>
  <c r="F3411" i="8"/>
  <c r="E3411" i="8"/>
  <c r="G3411" i="8"/>
  <c r="F3412" i="8"/>
  <c r="E3412" i="8"/>
  <c r="G3412" i="8"/>
  <c r="F3413" i="8"/>
  <c r="E3413" i="8"/>
  <c r="G3413" i="8"/>
  <c r="F3414" i="8"/>
  <c r="E3414" i="8"/>
  <c r="G3414" i="8"/>
  <c r="F3415" i="8"/>
  <c r="E3415" i="8"/>
  <c r="G3415" i="8"/>
  <c r="F3416" i="8"/>
  <c r="E3416" i="8"/>
  <c r="G3416" i="8"/>
  <c r="F3417" i="8"/>
  <c r="E3417" i="8"/>
  <c r="G3417" i="8"/>
  <c r="F3418" i="8"/>
  <c r="E3418" i="8"/>
  <c r="G3418" i="8"/>
  <c r="F3419" i="8"/>
  <c r="E3419" i="8"/>
  <c r="G3419" i="8"/>
  <c r="F3420" i="8"/>
  <c r="E3420" i="8"/>
  <c r="G3420" i="8"/>
  <c r="F3421" i="8"/>
  <c r="E3421" i="8"/>
  <c r="G3421" i="8"/>
  <c r="F3422" i="8"/>
  <c r="E3422" i="8"/>
  <c r="G3422" i="8"/>
  <c r="F3423" i="8"/>
  <c r="E3423" i="8"/>
  <c r="G3423" i="8"/>
  <c r="F3424" i="8"/>
  <c r="E3424" i="8"/>
  <c r="G3424" i="8"/>
  <c r="F3425" i="8"/>
  <c r="E3425" i="8"/>
  <c r="G3425" i="8"/>
  <c r="F3426" i="8"/>
  <c r="E3426" i="8"/>
  <c r="G3426" i="8"/>
  <c r="F3427" i="8"/>
  <c r="E3427" i="8"/>
  <c r="G3427" i="8"/>
  <c r="F3428" i="8"/>
  <c r="E3428" i="8"/>
  <c r="G3428" i="8"/>
  <c r="F3429" i="8"/>
  <c r="E3429" i="8"/>
  <c r="G3429" i="8"/>
  <c r="F3430" i="8"/>
  <c r="E3430" i="8"/>
  <c r="G3430" i="8"/>
  <c r="F3431" i="8"/>
  <c r="E3431" i="8"/>
  <c r="G3431" i="8"/>
  <c r="F3432" i="8"/>
  <c r="E3432" i="8"/>
  <c r="G3432" i="8"/>
  <c r="F3433" i="8"/>
  <c r="E3433" i="8"/>
  <c r="G3433" i="8"/>
  <c r="F3434" i="8"/>
  <c r="E3434" i="8"/>
  <c r="G3434" i="8"/>
  <c r="F3435" i="8"/>
  <c r="E3435" i="8"/>
  <c r="G3435" i="8"/>
  <c r="F3436" i="8"/>
  <c r="E3436" i="8"/>
  <c r="G3436" i="8"/>
  <c r="F3437" i="8"/>
  <c r="E3437" i="8"/>
  <c r="G3437" i="8"/>
  <c r="F3438" i="8"/>
  <c r="E3438" i="8"/>
  <c r="G3438" i="8"/>
  <c r="F3439" i="8"/>
  <c r="E3439" i="8"/>
  <c r="G3439" i="8"/>
  <c r="F3440" i="8"/>
  <c r="E3440" i="8"/>
  <c r="G3440" i="8"/>
  <c r="F3441" i="8"/>
  <c r="E3441" i="8"/>
  <c r="G3441" i="8"/>
  <c r="F3442" i="8"/>
  <c r="E3442" i="8"/>
  <c r="G3442" i="8"/>
  <c r="F3443" i="8"/>
  <c r="E3443" i="8"/>
  <c r="G3443" i="8"/>
  <c r="F3444" i="8"/>
  <c r="E3444" i="8"/>
  <c r="G3444" i="8"/>
  <c r="F3445" i="8"/>
  <c r="E3445" i="8"/>
  <c r="G3445" i="8"/>
  <c r="F3446" i="8"/>
  <c r="E3446" i="8"/>
  <c r="G3446" i="8"/>
  <c r="F3447" i="8"/>
  <c r="E3447" i="8"/>
  <c r="G3447" i="8"/>
  <c r="F3448" i="8"/>
  <c r="E3448" i="8"/>
  <c r="G3448" i="8"/>
  <c r="F3449" i="8"/>
  <c r="E3449" i="8"/>
  <c r="G3449" i="8"/>
  <c r="F3450" i="8"/>
  <c r="E3450" i="8"/>
  <c r="G3450" i="8"/>
  <c r="F3451" i="8"/>
  <c r="E3451" i="8"/>
  <c r="G3451" i="8"/>
  <c r="F3452" i="8"/>
  <c r="E3452" i="8"/>
  <c r="G3452" i="8"/>
  <c r="F3453" i="8"/>
  <c r="E3453" i="8"/>
  <c r="G3453" i="8"/>
  <c r="F3454" i="8"/>
  <c r="E3454" i="8"/>
  <c r="G3454" i="8"/>
  <c r="F3455" i="8"/>
  <c r="E3455" i="8"/>
  <c r="G3455" i="8"/>
  <c r="F3456" i="8"/>
  <c r="E3456" i="8"/>
  <c r="G3456" i="8"/>
  <c r="F3457" i="8"/>
  <c r="E3457" i="8"/>
  <c r="G3457" i="8"/>
  <c r="F3458" i="8"/>
  <c r="E3458" i="8"/>
  <c r="G3458" i="8"/>
  <c r="F3459" i="8"/>
  <c r="E3459" i="8"/>
  <c r="G3459" i="8"/>
  <c r="F3460" i="8"/>
  <c r="E3460" i="8"/>
  <c r="G3460" i="8"/>
  <c r="F3461" i="8"/>
  <c r="E3461" i="8"/>
  <c r="G3461" i="8"/>
  <c r="F3462" i="8"/>
  <c r="E3462" i="8"/>
  <c r="G3462" i="8"/>
  <c r="F3463" i="8"/>
  <c r="E3463" i="8"/>
  <c r="G3463" i="8"/>
  <c r="F3464" i="8"/>
  <c r="E3464" i="8"/>
  <c r="G3464" i="8"/>
  <c r="F3465" i="8"/>
  <c r="E3465" i="8"/>
  <c r="G3465" i="8"/>
  <c r="F3466" i="8"/>
  <c r="E3466" i="8"/>
  <c r="G3466" i="8"/>
  <c r="F3467" i="8"/>
  <c r="E3467" i="8"/>
  <c r="G3467" i="8"/>
  <c r="F3468" i="8"/>
  <c r="E3468" i="8"/>
  <c r="G3468" i="8"/>
  <c r="F3469" i="8"/>
  <c r="E3469" i="8"/>
  <c r="G3469" i="8"/>
  <c r="F3470" i="8"/>
  <c r="E3470" i="8"/>
  <c r="G3470" i="8"/>
  <c r="F3471" i="8"/>
  <c r="E3471" i="8"/>
  <c r="G3471" i="8"/>
  <c r="F3472" i="8"/>
  <c r="E3472" i="8"/>
  <c r="G3472" i="8"/>
  <c r="F3473" i="8"/>
  <c r="E3473" i="8"/>
  <c r="G3473" i="8"/>
  <c r="F3474" i="8"/>
  <c r="E3474" i="8"/>
  <c r="G3474" i="8"/>
  <c r="F3475" i="8"/>
  <c r="G3475" i="8"/>
  <c r="F3476" i="8"/>
  <c r="E3476" i="8"/>
  <c r="G3476" i="8"/>
  <c r="F3477" i="8"/>
  <c r="E3477" i="8"/>
  <c r="G3477" i="8"/>
  <c r="F3478" i="8"/>
  <c r="E3478" i="8"/>
  <c r="G3478" i="8"/>
  <c r="F3479" i="8"/>
  <c r="E3479" i="8"/>
  <c r="G3479" i="8"/>
  <c r="F3480" i="8"/>
  <c r="E3480" i="8"/>
  <c r="G3480" i="8"/>
  <c r="F3481" i="8"/>
  <c r="E3481" i="8"/>
  <c r="G3481" i="8"/>
  <c r="F3482" i="8"/>
  <c r="E3482" i="8"/>
  <c r="G3482" i="8"/>
  <c r="F3483" i="8"/>
  <c r="E3483" i="8"/>
  <c r="G3483" i="8"/>
  <c r="F3484" i="8"/>
  <c r="E3484" i="8"/>
  <c r="G3484" i="8"/>
  <c r="F3485" i="8"/>
  <c r="E3485" i="8"/>
  <c r="G3485" i="8"/>
  <c r="F3486" i="8"/>
  <c r="E3486" i="8"/>
  <c r="G3486" i="8"/>
  <c r="F3487" i="8"/>
  <c r="E3487" i="8"/>
  <c r="G3487" i="8"/>
  <c r="F3488" i="8"/>
  <c r="E3488" i="8"/>
  <c r="G3488" i="8"/>
  <c r="F3489" i="8"/>
  <c r="E3489" i="8"/>
  <c r="G3489" i="8"/>
  <c r="F3490" i="8"/>
  <c r="E3490" i="8"/>
  <c r="G3490" i="8"/>
  <c r="F3491" i="8"/>
  <c r="E3491" i="8"/>
  <c r="G3491" i="8"/>
  <c r="F3492" i="8"/>
  <c r="E3492" i="8"/>
  <c r="G3492" i="8"/>
  <c r="F3493" i="8"/>
  <c r="E3493" i="8"/>
  <c r="G3493" i="8"/>
  <c r="F3494" i="8"/>
  <c r="E3494" i="8"/>
  <c r="G3494" i="8"/>
  <c r="F3495" i="8"/>
  <c r="E3495" i="8"/>
  <c r="G3495" i="8"/>
  <c r="F3496" i="8"/>
  <c r="E3496" i="8"/>
  <c r="G3496" i="8"/>
  <c r="F3497" i="8"/>
  <c r="E3497" i="8"/>
  <c r="G3497" i="8"/>
  <c r="F3498" i="8"/>
  <c r="E3498" i="8"/>
  <c r="G3498" i="8"/>
  <c r="F3499" i="8"/>
  <c r="E3499" i="8"/>
  <c r="G3499" i="8"/>
  <c r="F3500" i="8"/>
  <c r="E3500" i="8"/>
  <c r="G3500" i="8"/>
  <c r="F3501" i="8"/>
  <c r="E3501" i="8"/>
  <c r="G3501" i="8"/>
  <c r="F3502" i="8"/>
  <c r="E3502" i="8"/>
  <c r="G3502" i="8"/>
  <c r="F3503" i="8"/>
  <c r="E3503" i="8"/>
  <c r="G3503" i="8"/>
  <c r="F3504" i="8"/>
  <c r="E3504" i="8"/>
  <c r="G3504" i="8"/>
  <c r="F3505" i="8"/>
  <c r="E3505" i="8"/>
  <c r="G3505" i="8"/>
  <c r="F3506" i="8"/>
  <c r="E3506" i="8"/>
  <c r="G3506" i="8"/>
  <c r="F3507" i="8"/>
  <c r="E3507" i="8"/>
  <c r="G3507" i="8"/>
  <c r="F3508" i="8"/>
  <c r="E3508" i="8"/>
  <c r="G3508" i="8"/>
  <c r="F3509" i="8"/>
  <c r="E3509" i="8"/>
  <c r="G3509" i="8"/>
  <c r="F3510" i="8"/>
  <c r="E3510" i="8"/>
  <c r="G3510" i="8"/>
  <c r="F3511" i="8"/>
  <c r="E3511" i="8"/>
  <c r="G3511" i="8"/>
  <c r="F3512" i="8"/>
  <c r="E3512" i="8"/>
  <c r="G3512" i="8"/>
  <c r="F3513" i="8"/>
  <c r="E3513" i="8"/>
  <c r="G3513" i="8"/>
  <c r="F3514" i="8"/>
  <c r="E3514" i="8"/>
  <c r="G3514" i="8"/>
  <c r="F3515" i="8"/>
  <c r="E3515" i="8"/>
  <c r="G3515" i="8"/>
  <c r="F3516" i="8"/>
  <c r="E3516" i="8"/>
  <c r="G3516" i="8"/>
  <c r="F3517" i="8"/>
  <c r="E3517" i="8"/>
  <c r="G3517" i="8"/>
  <c r="F3518" i="8"/>
  <c r="E3518" i="8"/>
  <c r="G3518" i="8"/>
  <c r="F3519" i="8"/>
  <c r="E3519" i="8"/>
  <c r="G3519" i="8"/>
  <c r="F3520" i="8"/>
  <c r="E3520" i="8"/>
  <c r="G3520" i="8"/>
  <c r="F3521" i="8"/>
  <c r="E3521" i="8"/>
  <c r="G3521" i="8"/>
  <c r="F3522" i="8"/>
  <c r="E3522" i="8"/>
  <c r="G3522" i="8"/>
  <c r="F3523" i="8"/>
  <c r="E3523" i="8"/>
  <c r="G3523" i="8"/>
  <c r="F3524" i="8"/>
  <c r="E3524" i="8"/>
  <c r="G3524" i="8"/>
  <c r="F3525" i="8"/>
  <c r="E3525" i="8"/>
  <c r="G3525" i="8"/>
  <c r="F3526" i="8"/>
  <c r="E3526" i="8"/>
  <c r="G3526" i="8"/>
  <c r="F3527" i="8"/>
  <c r="E3527" i="8"/>
  <c r="G3527" i="8"/>
  <c r="F3528" i="8"/>
  <c r="E3528" i="8"/>
  <c r="G3528" i="8"/>
  <c r="F3529" i="8"/>
  <c r="E3529" i="8"/>
  <c r="G3529" i="8"/>
  <c r="F3530" i="8"/>
  <c r="E3530" i="8"/>
  <c r="G3530" i="8"/>
  <c r="F3531" i="8"/>
  <c r="E3531" i="8"/>
  <c r="G3531" i="8"/>
  <c r="F3532" i="8"/>
  <c r="E3532" i="8"/>
  <c r="G3532" i="8"/>
  <c r="F3533" i="8"/>
  <c r="E3533" i="8"/>
  <c r="G3533" i="8"/>
  <c r="F3534" i="8"/>
  <c r="E3534" i="8"/>
  <c r="G3534" i="8"/>
  <c r="F3535" i="8"/>
  <c r="E3535" i="8"/>
  <c r="G3535" i="8"/>
  <c r="F3536" i="8"/>
  <c r="E3536" i="8"/>
  <c r="G3536" i="8"/>
  <c r="F3537" i="8"/>
  <c r="E3537" i="8"/>
  <c r="G3537" i="8"/>
  <c r="F3538" i="8"/>
  <c r="E3538" i="8"/>
  <c r="G3538" i="8"/>
  <c r="F3539" i="8"/>
  <c r="E3539" i="8"/>
  <c r="G3539" i="8"/>
  <c r="F3540" i="8"/>
  <c r="E3540" i="8"/>
  <c r="G3540" i="8"/>
  <c r="F3541" i="8"/>
  <c r="E3541" i="8"/>
  <c r="G3541" i="8"/>
  <c r="F3542" i="8"/>
  <c r="E3542" i="8"/>
  <c r="G3542" i="8"/>
  <c r="F3543" i="8"/>
  <c r="E3543" i="8"/>
  <c r="G3543" i="8"/>
  <c r="F3544" i="8"/>
  <c r="E3544" i="8"/>
  <c r="G3544" i="8"/>
  <c r="F3545" i="8"/>
  <c r="E3545" i="8"/>
  <c r="G3545" i="8"/>
  <c r="F3546" i="8"/>
  <c r="E3546" i="8"/>
  <c r="G3546" i="8"/>
  <c r="F3547" i="8"/>
  <c r="E3547" i="8"/>
  <c r="G3547" i="8"/>
  <c r="F3548" i="8"/>
  <c r="E3548" i="8"/>
  <c r="G3548" i="8"/>
  <c r="F3549" i="8"/>
  <c r="E3549" i="8"/>
  <c r="G3549" i="8"/>
  <c r="F3550" i="8"/>
  <c r="E3550" i="8"/>
  <c r="G3550" i="8"/>
  <c r="F3551" i="8"/>
  <c r="E3551" i="8"/>
  <c r="G3551" i="8"/>
  <c r="F3552" i="8"/>
  <c r="E3552" i="8"/>
  <c r="G3552" i="8"/>
  <c r="F3553" i="8"/>
  <c r="E3553" i="8"/>
  <c r="G3553" i="8"/>
  <c r="F3554" i="8"/>
  <c r="E3554" i="8"/>
  <c r="G3554" i="8"/>
  <c r="F3555" i="8"/>
  <c r="E3555" i="8"/>
  <c r="G3555" i="8"/>
  <c r="F3556" i="8"/>
  <c r="E3556" i="8"/>
  <c r="G3556" i="8"/>
  <c r="F3557" i="8"/>
  <c r="E3557" i="8"/>
  <c r="G3557" i="8"/>
  <c r="F3558" i="8"/>
  <c r="E3558" i="8"/>
  <c r="G3558" i="8"/>
  <c r="F3559" i="8"/>
  <c r="E3559" i="8"/>
  <c r="G3559" i="8"/>
  <c r="F3560" i="8"/>
  <c r="E3560" i="8"/>
  <c r="G3560" i="8"/>
  <c r="F3561" i="8"/>
  <c r="E3561" i="8"/>
  <c r="G3561" i="8"/>
  <c r="F3562" i="8"/>
  <c r="E3562" i="8"/>
  <c r="G3562" i="8"/>
  <c r="F3563" i="8"/>
  <c r="E3563" i="8"/>
  <c r="G3563" i="8"/>
  <c r="F3564" i="8"/>
  <c r="E3564" i="8"/>
  <c r="G3564" i="8"/>
  <c r="F3565" i="8"/>
  <c r="E3565" i="8"/>
  <c r="G3565" i="8"/>
  <c r="F3566" i="8"/>
  <c r="E3566" i="8"/>
  <c r="G3566" i="8"/>
  <c r="F3567" i="8"/>
  <c r="E3567" i="8"/>
  <c r="G3567" i="8"/>
  <c r="F3568" i="8"/>
  <c r="E3568" i="8"/>
  <c r="G3568" i="8"/>
  <c r="F3569" i="8"/>
  <c r="E3569" i="8"/>
  <c r="G3569" i="8"/>
  <c r="F3570" i="8"/>
  <c r="E3570" i="8"/>
  <c r="G3570" i="8"/>
  <c r="F3571" i="8"/>
  <c r="E3571" i="8"/>
  <c r="G3571" i="8"/>
  <c r="F3572" i="8"/>
  <c r="E3572" i="8"/>
  <c r="G3572" i="8"/>
  <c r="F3573" i="8"/>
  <c r="E3573" i="8"/>
  <c r="G3573" i="8"/>
  <c r="F3574" i="8"/>
  <c r="E3574" i="8"/>
  <c r="G3574" i="8"/>
  <c r="F3575" i="8"/>
  <c r="E3575" i="8"/>
  <c r="G3575" i="8"/>
  <c r="F3576" i="8"/>
  <c r="E3576" i="8"/>
  <c r="G3576" i="8"/>
  <c r="F3577" i="8"/>
  <c r="E3577" i="8"/>
  <c r="G3577" i="8"/>
  <c r="F3578" i="8"/>
  <c r="E3578" i="8"/>
  <c r="G3578" i="8"/>
  <c r="F3579" i="8"/>
  <c r="E3579" i="8"/>
  <c r="G3579" i="8"/>
  <c r="F3580" i="8"/>
  <c r="E3580" i="8"/>
  <c r="G3580" i="8"/>
  <c r="F3581" i="8"/>
  <c r="E3581" i="8"/>
  <c r="G3581" i="8"/>
  <c r="F3582" i="8"/>
  <c r="E3582" i="8"/>
  <c r="G3582" i="8"/>
  <c r="F3583" i="8"/>
  <c r="E3583" i="8"/>
  <c r="G3583" i="8"/>
  <c r="F3584" i="8"/>
  <c r="E3584" i="8"/>
  <c r="G3584" i="8"/>
  <c r="F3585" i="8"/>
  <c r="E3585" i="8"/>
  <c r="G3585" i="8"/>
  <c r="F3586" i="8"/>
  <c r="E3586" i="8"/>
  <c r="G3586" i="8"/>
  <c r="F3587" i="8"/>
  <c r="E3587" i="8"/>
  <c r="G3587" i="8"/>
  <c r="F3588" i="8"/>
  <c r="E3588" i="8"/>
  <c r="G3588" i="8"/>
  <c r="F3589" i="8"/>
  <c r="E3589" i="8"/>
  <c r="G3589" i="8"/>
  <c r="F3590" i="8"/>
  <c r="E3590" i="8"/>
  <c r="G3590" i="8"/>
  <c r="F3591" i="8"/>
  <c r="E3591" i="8"/>
  <c r="G3591" i="8"/>
  <c r="F3592" i="8"/>
  <c r="E3592" i="8"/>
  <c r="G3592" i="8"/>
  <c r="F3593" i="8"/>
  <c r="E3593" i="8"/>
  <c r="G3593" i="8"/>
  <c r="F3594" i="8"/>
  <c r="E3594" i="8"/>
  <c r="G3594" i="8"/>
  <c r="F3595" i="8"/>
  <c r="E3595" i="8"/>
  <c r="G3595" i="8"/>
  <c r="F3596" i="8"/>
  <c r="E3596" i="8"/>
  <c r="G3596" i="8"/>
  <c r="F3597" i="8"/>
  <c r="E3597" i="8"/>
  <c r="G3597" i="8"/>
  <c r="F3598" i="8"/>
  <c r="E3598" i="8"/>
  <c r="G3598" i="8"/>
  <c r="F3599" i="8"/>
  <c r="E3599" i="8"/>
  <c r="G3599" i="8"/>
  <c r="F3600" i="8"/>
  <c r="E3600" i="8"/>
  <c r="G3600" i="8"/>
  <c r="F3601" i="8"/>
  <c r="E3601" i="8"/>
  <c r="G3601" i="8"/>
  <c r="F3602" i="8"/>
  <c r="E3602" i="8"/>
  <c r="G3602" i="8"/>
  <c r="F3603" i="8"/>
  <c r="E3603" i="8"/>
  <c r="G3603" i="8"/>
  <c r="F3604" i="8"/>
  <c r="E3604" i="8"/>
  <c r="G3604" i="8"/>
  <c r="F3605" i="8"/>
  <c r="E3605" i="8"/>
  <c r="G3605" i="8"/>
  <c r="F3606" i="8"/>
  <c r="E3606" i="8"/>
  <c r="G3606" i="8"/>
  <c r="F3607" i="8"/>
  <c r="E3607" i="8"/>
  <c r="G3607" i="8"/>
  <c r="F3608" i="8"/>
  <c r="E3608" i="8"/>
  <c r="G3608" i="8"/>
  <c r="F3609" i="8"/>
  <c r="E3609" i="8"/>
  <c r="G3609" i="8"/>
  <c r="F3610" i="8"/>
  <c r="E3610" i="8"/>
  <c r="G3610" i="8"/>
  <c r="F3611" i="8"/>
  <c r="E3611" i="8"/>
  <c r="G3611" i="8"/>
  <c r="F3612" i="8"/>
  <c r="E3612" i="8"/>
  <c r="G3612" i="8"/>
  <c r="F3613" i="8"/>
  <c r="E3613" i="8"/>
  <c r="G3613" i="8"/>
  <c r="F3614" i="8"/>
  <c r="E3614" i="8"/>
  <c r="G3614" i="8"/>
  <c r="F3615" i="8"/>
  <c r="E3615" i="8"/>
  <c r="G3615" i="8"/>
  <c r="F3616" i="8"/>
  <c r="E3616" i="8"/>
  <c r="G3616" i="8"/>
  <c r="F3617" i="8"/>
  <c r="E3617" i="8"/>
  <c r="G3617" i="8"/>
  <c r="F3618" i="8"/>
  <c r="E3618" i="8"/>
  <c r="G3618" i="8"/>
  <c r="F3619" i="8"/>
  <c r="E3619" i="8"/>
  <c r="G3619" i="8"/>
  <c r="F3620" i="8"/>
  <c r="E3620" i="8"/>
  <c r="G3620" i="8"/>
  <c r="F3621" i="8"/>
  <c r="E3621" i="8"/>
  <c r="G3621" i="8"/>
  <c r="F3622" i="8"/>
  <c r="E3622" i="8"/>
  <c r="G3622" i="8"/>
  <c r="F3623" i="8"/>
  <c r="E3623" i="8"/>
  <c r="G3623" i="8"/>
  <c r="F3624" i="8"/>
  <c r="E3624" i="8"/>
  <c r="G3624" i="8"/>
  <c r="F3625" i="8"/>
  <c r="E3625" i="8"/>
  <c r="G3625" i="8"/>
  <c r="F3626" i="8"/>
  <c r="E3626" i="8"/>
  <c r="G3626" i="8"/>
  <c r="F3627" i="8"/>
  <c r="E3627" i="8"/>
  <c r="G3627" i="8"/>
  <c r="F3628" i="8"/>
  <c r="E3628" i="8"/>
  <c r="G3628" i="8"/>
  <c r="F3629" i="8"/>
  <c r="E3629" i="8"/>
  <c r="G3629" i="8"/>
  <c r="F3630" i="8"/>
  <c r="E3630" i="8"/>
  <c r="G3630" i="8"/>
  <c r="F3631" i="8"/>
  <c r="E3631" i="8"/>
  <c r="G3631" i="8"/>
  <c r="F3632" i="8"/>
  <c r="E3632" i="8"/>
  <c r="G3632" i="8"/>
  <c r="F3633" i="8"/>
  <c r="E3633" i="8"/>
  <c r="G3633" i="8"/>
  <c r="F3634" i="8"/>
  <c r="E3634" i="8"/>
  <c r="G3634" i="8"/>
  <c r="F3635" i="8"/>
  <c r="E3635" i="8"/>
  <c r="G3635" i="8"/>
  <c r="F3636" i="8"/>
  <c r="E3636" i="8"/>
  <c r="G3636" i="8"/>
  <c r="F3637" i="8"/>
  <c r="E3637" i="8"/>
  <c r="G3637" i="8"/>
  <c r="F3638" i="8"/>
  <c r="E3638" i="8"/>
  <c r="G3638" i="8"/>
  <c r="F3639" i="8"/>
  <c r="E3639" i="8"/>
  <c r="G3639" i="8"/>
  <c r="F3640" i="8"/>
  <c r="E3640" i="8"/>
  <c r="G3640" i="8"/>
  <c r="F3641" i="8"/>
  <c r="E3641" i="8"/>
  <c r="G3641" i="8"/>
  <c r="F3642" i="8"/>
  <c r="E3642" i="8"/>
  <c r="G3642" i="8"/>
  <c r="F3643" i="8"/>
  <c r="E3643" i="8"/>
  <c r="G3643" i="8"/>
  <c r="F3644" i="8"/>
  <c r="E3644" i="8"/>
  <c r="G3644" i="8"/>
  <c r="F3645" i="8"/>
  <c r="E3645" i="8"/>
  <c r="G3645" i="8"/>
  <c r="F3646" i="8"/>
  <c r="E3646" i="8"/>
  <c r="G3646" i="8"/>
  <c r="F3647" i="8"/>
  <c r="E3647" i="8"/>
  <c r="G3647" i="8"/>
  <c r="F3648" i="8"/>
  <c r="E3648" i="8"/>
  <c r="G3648" i="8"/>
  <c r="F3649" i="8"/>
  <c r="E3649" i="8"/>
  <c r="G3649" i="8"/>
  <c r="F3650" i="8"/>
  <c r="E3650" i="8"/>
  <c r="G3650" i="8"/>
  <c r="F3651" i="8"/>
  <c r="E3651" i="8"/>
  <c r="G3651" i="8"/>
  <c r="F3652" i="8"/>
  <c r="E3652" i="8"/>
  <c r="G3652" i="8"/>
  <c r="F3653" i="8"/>
  <c r="E3653" i="8"/>
  <c r="G3653" i="8"/>
  <c r="F3654" i="8"/>
  <c r="E3654" i="8"/>
  <c r="G3654" i="8"/>
  <c r="F3655" i="8"/>
  <c r="E3655" i="8"/>
  <c r="G3655" i="8"/>
  <c r="F3656" i="8"/>
  <c r="E3656" i="8"/>
  <c r="G3656" i="8"/>
  <c r="F3657" i="8"/>
  <c r="E3657" i="8"/>
  <c r="G3657" i="8"/>
  <c r="F3658" i="8"/>
  <c r="E3658" i="8"/>
  <c r="G3658" i="8"/>
  <c r="F3659" i="8"/>
  <c r="E3659" i="8"/>
  <c r="G3659" i="8"/>
  <c r="F3660" i="8"/>
  <c r="E3660" i="8"/>
  <c r="G3660" i="8"/>
  <c r="F3661" i="8"/>
  <c r="E3661" i="8"/>
  <c r="G3661" i="8"/>
  <c r="F3662" i="8"/>
  <c r="E3662" i="8"/>
  <c r="G3662" i="8"/>
  <c r="F3663" i="8"/>
  <c r="E3663" i="8"/>
  <c r="G3663" i="8"/>
  <c r="F3664" i="8"/>
  <c r="E3664" i="8"/>
  <c r="G3664" i="8"/>
  <c r="F3665" i="8"/>
  <c r="E3665" i="8"/>
  <c r="G3665" i="8"/>
  <c r="F3666" i="8"/>
  <c r="E3666" i="8"/>
  <c r="G3666" i="8"/>
  <c r="F3667" i="8"/>
  <c r="E3667" i="8"/>
  <c r="G3667" i="8"/>
  <c r="F3668" i="8"/>
  <c r="E3668" i="8"/>
  <c r="G3668" i="8"/>
  <c r="F3669" i="8"/>
  <c r="E3669" i="8"/>
  <c r="G3669" i="8"/>
  <c r="F3670" i="8"/>
  <c r="E3670" i="8"/>
  <c r="G3670" i="8"/>
  <c r="F3671" i="8"/>
  <c r="E3671" i="8"/>
  <c r="G3671" i="8"/>
  <c r="F3672" i="8"/>
  <c r="E3672" i="8"/>
  <c r="G3672" i="8"/>
  <c r="F3673" i="8"/>
  <c r="E3673" i="8"/>
  <c r="G3673" i="8"/>
  <c r="F3674" i="8"/>
  <c r="E3674" i="8"/>
  <c r="G3674" i="8"/>
  <c r="F3675" i="8"/>
  <c r="E3675" i="8"/>
  <c r="G3675" i="8"/>
  <c r="F3676" i="8"/>
  <c r="E3676" i="8"/>
  <c r="G3676" i="8"/>
  <c r="F3677" i="8"/>
  <c r="E3677" i="8"/>
  <c r="G3677" i="8"/>
  <c r="F3678" i="8"/>
  <c r="E3678" i="8"/>
  <c r="G3678" i="8"/>
  <c r="F3679" i="8"/>
  <c r="E3679" i="8"/>
  <c r="G3679" i="8"/>
  <c r="F3680" i="8"/>
  <c r="E3680" i="8"/>
  <c r="G3680" i="8"/>
  <c r="F3681" i="8"/>
  <c r="E3681" i="8"/>
  <c r="G3681" i="8"/>
  <c r="F3682" i="8"/>
  <c r="E3682" i="8"/>
  <c r="G3682" i="8"/>
  <c r="F3683" i="8"/>
  <c r="E3683" i="8"/>
  <c r="G3683" i="8"/>
  <c r="F3684" i="8"/>
  <c r="E3684" i="8"/>
  <c r="G3684" i="8"/>
  <c r="F3685" i="8"/>
  <c r="E3685" i="8"/>
  <c r="G3685" i="8"/>
  <c r="F3686" i="8"/>
  <c r="E3686" i="8"/>
  <c r="G3686" i="8"/>
  <c r="F3687" i="8"/>
  <c r="E3687" i="8"/>
  <c r="G3687" i="8"/>
  <c r="F3688" i="8"/>
  <c r="E3688" i="8"/>
  <c r="G3688" i="8"/>
  <c r="F3689" i="8"/>
  <c r="E3689" i="8"/>
  <c r="G3689" i="8"/>
  <c r="F3690" i="8"/>
  <c r="E3690" i="8"/>
  <c r="G3690" i="8"/>
  <c r="F3691" i="8"/>
  <c r="E3691" i="8"/>
  <c r="G3691" i="8"/>
  <c r="F3692" i="8"/>
  <c r="E3692" i="8"/>
  <c r="G3692" i="8"/>
  <c r="F3693" i="8"/>
  <c r="E3693" i="8"/>
  <c r="G3693" i="8"/>
  <c r="F3694" i="8"/>
  <c r="E3694" i="8"/>
  <c r="G3694" i="8"/>
  <c r="F3695" i="8"/>
  <c r="E3695" i="8"/>
  <c r="G3695" i="8"/>
  <c r="F3696" i="8"/>
  <c r="E3696" i="8"/>
  <c r="G3696" i="8"/>
  <c r="F3697" i="8"/>
  <c r="E3697" i="8"/>
  <c r="G3697" i="8"/>
  <c r="F3698" i="8"/>
  <c r="E3698" i="8"/>
  <c r="G3698" i="8"/>
  <c r="F3699" i="8"/>
  <c r="E3699" i="8"/>
  <c r="G3699" i="8"/>
  <c r="F3700" i="8"/>
  <c r="E3700" i="8"/>
  <c r="G3700" i="8"/>
  <c r="F3701" i="8"/>
  <c r="E3701" i="8"/>
  <c r="G3701" i="8"/>
  <c r="F3702" i="8"/>
  <c r="E3702" i="8"/>
  <c r="G3702" i="8"/>
  <c r="F3703" i="8"/>
  <c r="E3703" i="8"/>
  <c r="G3703" i="8"/>
  <c r="F3704" i="8"/>
  <c r="E3704" i="8"/>
  <c r="G3704" i="8"/>
  <c r="F3705" i="8"/>
  <c r="E3705" i="8"/>
  <c r="G3705" i="8"/>
  <c r="F3706" i="8"/>
  <c r="E3706" i="8"/>
  <c r="G3706" i="8"/>
  <c r="F3707" i="8"/>
  <c r="E3707" i="8"/>
  <c r="G3707" i="8"/>
  <c r="F3708" i="8"/>
  <c r="E3708" i="8"/>
  <c r="G3708" i="8"/>
  <c r="F3709" i="8"/>
  <c r="E3709" i="8"/>
  <c r="G3709" i="8"/>
  <c r="F3710" i="8"/>
  <c r="E3710" i="8"/>
  <c r="G3710" i="8"/>
  <c r="F3711" i="8"/>
  <c r="E3711" i="8"/>
  <c r="G3711" i="8"/>
  <c r="F3712" i="8"/>
  <c r="E3712" i="8"/>
  <c r="G3712" i="8"/>
  <c r="F3713" i="8"/>
  <c r="E3713" i="8"/>
  <c r="G3713" i="8"/>
  <c r="F3714" i="8"/>
  <c r="E3714" i="8"/>
  <c r="G3714" i="8"/>
  <c r="F3715" i="8"/>
  <c r="E3715" i="8"/>
  <c r="G3715" i="8"/>
  <c r="F3716" i="8"/>
  <c r="E3716" i="8"/>
  <c r="G3716" i="8"/>
  <c r="F3717" i="8"/>
  <c r="E3717" i="8"/>
  <c r="G3717" i="8"/>
  <c r="F3718" i="8"/>
  <c r="E3718" i="8"/>
  <c r="G3718" i="8"/>
  <c r="F3719" i="8"/>
  <c r="E3719" i="8"/>
  <c r="G3719" i="8"/>
  <c r="F3720" i="8"/>
  <c r="E3720" i="8"/>
  <c r="G3720" i="8"/>
  <c r="F3721" i="8"/>
  <c r="E3721" i="8"/>
  <c r="G3721" i="8"/>
  <c r="F3722" i="8"/>
  <c r="E3722" i="8"/>
  <c r="G3722" i="8"/>
  <c r="F3723" i="8"/>
  <c r="E3723" i="8"/>
  <c r="G3723" i="8"/>
  <c r="F3724" i="8"/>
  <c r="E3724" i="8"/>
  <c r="G3724" i="8"/>
  <c r="F3725" i="8"/>
  <c r="E3725" i="8"/>
  <c r="G3725" i="8"/>
  <c r="F3726" i="8"/>
  <c r="E3726" i="8"/>
  <c r="G3726" i="8"/>
  <c r="F3727" i="8"/>
  <c r="E3727" i="8"/>
  <c r="G3727" i="8"/>
  <c r="F3728" i="8"/>
  <c r="E3728" i="8"/>
  <c r="G3728" i="8"/>
  <c r="F3729" i="8"/>
  <c r="E3729" i="8"/>
  <c r="G3729" i="8"/>
  <c r="F3730" i="8"/>
  <c r="E3730" i="8"/>
  <c r="G3730" i="8"/>
  <c r="F3731" i="8"/>
  <c r="E3731" i="8"/>
  <c r="G3731" i="8"/>
  <c r="F3732" i="8"/>
  <c r="E3732" i="8"/>
  <c r="G3732" i="8"/>
  <c r="F3733" i="8"/>
  <c r="E3733" i="8"/>
  <c r="G3733" i="8"/>
  <c r="F3734" i="8"/>
  <c r="E3734" i="8"/>
  <c r="G3734" i="8"/>
  <c r="F3735" i="8"/>
  <c r="E3735" i="8"/>
  <c r="G3735" i="8"/>
  <c r="F3736" i="8"/>
  <c r="E3736" i="8"/>
  <c r="G3736" i="8"/>
  <c r="F3737" i="8"/>
  <c r="E3737" i="8"/>
  <c r="G3737" i="8"/>
  <c r="F3738" i="8"/>
  <c r="E3738" i="8"/>
  <c r="G3738" i="8"/>
  <c r="F3739" i="8"/>
  <c r="E3739" i="8"/>
  <c r="G3739" i="8"/>
  <c r="F3740" i="8"/>
  <c r="E3740" i="8"/>
  <c r="G3740" i="8"/>
  <c r="F3741" i="8"/>
  <c r="E3741" i="8"/>
  <c r="G3741" i="8"/>
  <c r="F3742" i="8"/>
  <c r="E3742" i="8"/>
  <c r="G3742" i="8"/>
  <c r="F3743" i="8"/>
  <c r="E3743" i="8"/>
  <c r="G3743" i="8"/>
  <c r="F3744" i="8"/>
  <c r="E3744" i="8"/>
  <c r="G3744" i="8"/>
  <c r="F3745" i="8"/>
  <c r="E3745" i="8"/>
  <c r="G3745" i="8"/>
  <c r="F3746" i="8"/>
  <c r="E3746" i="8"/>
  <c r="G3746" i="8"/>
  <c r="F3747" i="8"/>
  <c r="E3747" i="8"/>
  <c r="G3747" i="8"/>
  <c r="F3748" i="8"/>
  <c r="E3748" i="8"/>
  <c r="G3748" i="8"/>
  <c r="F3749" i="8"/>
  <c r="E3749" i="8"/>
  <c r="G3749" i="8"/>
  <c r="F3750" i="8"/>
  <c r="E3750" i="8"/>
  <c r="G3750" i="8"/>
  <c r="F3751" i="8"/>
  <c r="E3751" i="8"/>
  <c r="G3751" i="8"/>
  <c r="F3752" i="8"/>
  <c r="E3752" i="8"/>
  <c r="G3752" i="8"/>
  <c r="F3753" i="8"/>
  <c r="E3753" i="8"/>
  <c r="G3753" i="8"/>
  <c r="F3754" i="8"/>
  <c r="E3754" i="8"/>
  <c r="G3754" i="8"/>
  <c r="F3755" i="8"/>
  <c r="E3755" i="8"/>
  <c r="G3755" i="8"/>
  <c r="F3756" i="8"/>
  <c r="E3756" i="8"/>
  <c r="G3756" i="8"/>
  <c r="F3757" i="8"/>
  <c r="E3757" i="8"/>
  <c r="G3757" i="8"/>
  <c r="F3758" i="8"/>
  <c r="E3758" i="8"/>
  <c r="G3758" i="8"/>
  <c r="F3759" i="8"/>
  <c r="E3759" i="8"/>
  <c r="G3759" i="8"/>
  <c r="F3760" i="8"/>
  <c r="E3760" i="8"/>
  <c r="G3760" i="8"/>
  <c r="F3761" i="8"/>
  <c r="E3761" i="8"/>
  <c r="G3761" i="8"/>
  <c r="F3762" i="8"/>
  <c r="E3762" i="8"/>
  <c r="G3762" i="8"/>
  <c r="F3763" i="8"/>
  <c r="E3763" i="8"/>
  <c r="G3763" i="8"/>
  <c r="F3764" i="8"/>
  <c r="E3764" i="8"/>
  <c r="G3764" i="8"/>
  <c r="F3765" i="8"/>
  <c r="E3765" i="8"/>
  <c r="G3765" i="8"/>
  <c r="F3766" i="8"/>
  <c r="E3766" i="8"/>
  <c r="G3766" i="8"/>
  <c r="F3767" i="8"/>
  <c r="E3767" i="8"/>
  <c r="G3767" i="8"/>
  <c r="F3768" i="8"/>
  <c r="E3768" i="8"/>
  <c r="G3768" i="8"/>
  <c r="F3769" i="8"/>
  <c r="E3769" i="8"/>
  <c r="G3769" i="8"/>
  <c r="F3770" i="8"/>
  <c r="E3770" i="8"/>
  <c r="G3770" i="8"/>
  <c r="F3771" i="8"/>
  <c r="E3771" i="8"/>
  <c r="G3771" i="8"/>
  <c r="F3772" i="8"/>
  <c r="E3772" i="8"/>
  <c r="G3772" i="8"/>
  <c r="F3773" i="8"/>
  <c r="E3773" i="8"/>
  <c r="G3773" i="8"/>
  <c r="F3774" i="8"/>
  <c r="E3774" i="8"/>
  <c r="G3774" i="8"/>
  <c r="F3775" i="8"/>
  <c r="E3775" i="8"/>
  <c r="G3775" i="8"/>
  <c r="F3776" i="8"/>
  <c r="E3776" i="8"/>
  <c r="G3776" i="8"/>
  <c r="F3777" i="8"/>
  <c r="E3777" i="8"/>
  <c r="G3777" i="8"/>
  <c r="F3778" i="8"/>
  <c r="E3778" i="8"/>
  <c r="G3778" i="8"/>
  <c r="F3779" i="8"/>
  <c r="E3779" i="8"/>
  <c r="G3779" i="8"/>
  <c r="F3780" i="8"/>
  <c r="E3780" i="8"/>
  <c r="G3780" i="8"/>
  <c r="F3781" i="8"/>
  <c r="E3781" i="8"/>
  <c r="G3781" i="8"/>
  <c r="F3782" i="8"/>
  <c r="E3782" i="8"/>
  <c r="G3782" i="8"/>
  <c r="F3783" i="8"/>
  <c r="E3783" i="8"/>
  <c r="G3783" i="8"/>
  <c r="F3784" i="8"/>
  <c r="E3784" i="8"/>
  <c r="G3784" i="8"/>
  <c r="F3785" i="8"/>
  <c r="E3785" i="8"/>
  <c r="G3785" i="8"/>
  <c r="F3786" i="8"/>
  <c r="E3786" i="8"/>
  <c r="G3786" i="8"/>
  <c r="F3787" i="8"/>
  <c r="E3787" i="8"/>
  <c r="G3787" i="8"/>
  <c r="F3788" i="8"/>
  <c r="E3788" i="8"/>
  <c r="G3788" i="8"/>
  <c r="F3789" i="8"/>
  <c r="E3789" i="8"/>
  <c r="G3789" i="8"/>
  <c r="F3790" i="8"/>
  <c r="E3790" i="8"/>
  <c r="G3790" i="8"/>
  <c r="F3791" i="8"/>
  <c r="E3791" i="8"/>
  <c r="G3791" i="8"/>
  <c r="F3792" i="8"/>
  <c r="E3792" i="8"/>
  <c r="G3792" i="8"/>
  <c r="F3793" i="8"/>
  <c r="E3793" i="8"/>
  <c r="G3793" i="8"/>
  <c r="F3794" i="8"/>
  <c r="E3794" i="8"/>
  <c r="G3794" i="8"/>
  <c r="F3795" i="8"/>
  <c r="E3795" i="8"/>
  <c r="G3795" i="8"/>
  <c r="F3796" i="8"/>
  <c r="E3796" i="8"/>
  <c r="G3796" i="8"/>
  <c r="F3797" i="8"/>
  <c r="E3797" i="8"/>
  <c r="G3797" i="8"/>
  <c r="F3798" i="8"/>
  <c r="E3798" i="8"/>
  <c r="G3798" i="8"/>
  <c r="F3799" i="8"/>
  <c r="E3799" i="8"/>
  <c r="G3799" i="8"/>
  <c r="F3800" i="8"/>
  <c r="E3800" i="8"/>
  <c r="G3800" i="8"/>
  <c r="F3801" i="8"/>
  <c r="E3801" i="8"/>
  <c r="G3801" i="8"/>
  <c r="F3802" i="8"/>
  <c r="E3802" i="8"/>
  <c r="G3802" i="8"/>
  <c r="F3803" i="8"/>
  <c r="E3803" i="8"/>
  <c r="G3803" i="8"/>
  <c r="F3804" i="8"/>
  <c r="E3804" i="8"/>
  <c r="G3804" i="8"/>
  <c r="F3805" i="8"/>
  <c r="E3805" i="8"/>
  <c r="G3805" i="8"/>
  <c r="F3806" i="8"/>
  <c r="E3806" i="8"/>
  <c r="G3806" i="8"/>
  <c r="F3807" i="8"/>
  <c r="E3807" i="8"/>
  <c r="G3807" i="8"/>
  <c r="F3808" i="8"/>
  <c r="E3808" i="8"/>
  <c r="G3808" i="8"/>
  <c r="F3809" i="8"/>
  <c r="E3809" i="8"/>
  <c r="G3809" i="8"/>
  <c r="F3810" i="8"/>
  <c r="E3810" i="8"/>
  <c r="G3810" i="8"/>
  <c r="F3811" i="8"/>
  <c r="E3811" i="8"/>
  <c r="G3811" i="8"/>
  <c r="F3812" i="8"/>
  <c r="E3812" i="8"/>
  <c r="G3812" i="8"/>
  <c r="F3813" i="8"/>
  <c r="E3813" i="8"/>
  <c r="G3813" i="8"/>
  <c r="F3814" i="8"/>
  <c r="E3814" i="8"/>
  <c r="G3814" i="8"/>
  <c r="F3815" i="8"/>
  <c r="E3815" i="8"/>
  <c r="G3815" i="8"/>
  <c r="F3816" i="8"/>
  <c r="E3816" i="8"/>
  <c r="G3816" i="8"/>
  <c r="F3817" i="8"/>
  <c r="E3817" i="8"/>
  <c r="G3817" i="8"/>
  <c r="F3818" i="8"/>
  <c r="E3818" i="8"/>
  <c r="G3818" i="8"/>
  <c r="F3819" i="8"/>
  <c r="E3819" i="8"/>
  <c r="G3819" i="8"/>
  <c r="F3820" i="8"/>
  <c r="E3820" i="8"/>
  <c r="G3820" i="8"/>
  <c r="F3821" i="8"/>
  <c r="E3821" i="8"/>
  <c r="G3821" i="8"/>
  <c r="F3822" i="8"/>
  <c r="E3822" i="8"/>
  <c r="G3822" i="8"/>
  <c r="F3823" i="8"/>
  <c r="E3823" i="8"/>
  <c r="G3823" i="8"/>
  <c r="F3824" i="8"/>
  <c r="E3824" i="8"/>
  <c r="G3824" i="8"/>
  <c r="F3825" i="8"/>
  <c r="E3825" i="8"/>
  <c r="G3825" i="8"/>
  <c r="F3826" i="8"/>
  <c r="E3826" i="8"/>
  <c r="G3826" i="8"/>
  <c r="F3827" i="8"/>
  <c r="E3827" i="8"/>
  <c r="G3827" i="8"/>
  <c r="F3828" i="8"/>
  <c r="E3828" i="8"/>
  <c r="G3828" i="8"/>
  <c r="F3829" i="8"/>
  <c r="E3829" i="8"/>
  <c r="G3829" i="8"/>
  <c r="F3830" i="8"/>
  <c r="E3830" i="8"/>
  <c r="G3830" i="8"/>
  <c r="F3831" i="8"/>
  <c r="E3831" i="8"/>
  <c r="G3831" i="8"/>
  <c r="F3832" i="8"/>
  <c r="E3832" i="8"/>
  <c r="G3832" i="8"/>
  <c r="F3833" i="8"/>
  <c r="E3833" i="8"/>
  <c r="G3833" i="8"/>
  <c r="F3834" i="8"/>
  <c r="E3834" i="8"/>
  <c r="G3834" i="8"/>
  <c r="F3835" i="8"/>
  <c r="E3835" i="8"/>
  <c r="G3835" i="8"/>
  <c r="F3836" i="8"/>
  <c r="E3836" i="8"/>
  <c r="G3836" i="8"/>
  <c r="F3837" i="8"/>
  <c r="E3837" i="8"/>
  <c r="G3837" i="8"/>
  <c r="F3838" i="8"/>
  <c r="E3838" i="8"/>
  <c r="G3838" i="8"/>
  <c r="F3839" i="8"/>
  <c r="E3839" i="8"/>
  <c r="G3839" i="8"/>
  <c r="F3840" i="8"/>
  <c r="E3840" i="8"/>
  <c r="G3840" i="8"/>
  <c r="F3841" i="8"/>
  <c r="E3841" i="8"/>
  <c r="G3841" i="8"/>
  <c r="F3842" i="8"/>
  <c r="E3842" i="8"/>
  <c r="G3842" i="8"/>
  <c r="F3843" i="8"/>
  <c r="E3843" i="8"/>
  <c r="G3843" i="8"/>
  <c r="F3844" i="8"/>
  <c r="E3844" i="8"/>
  <c r="G3844" i="8"/>
  <c r="F3845" i="8"/>
  <c r="E3845" i="8"/>
  <c r="G3845" i="8"/>
  <c r="F3846" i="8"/>
  <c r="E3846" i="8"/>
  <c r="G3846" i="8"/>
  <c r="F3847" i="8"/>
  <c r="E3847" i="8"/>
  <c r="G3847" i="8"/>
  <c r="F3848" i="8"/>
  <c r="E3848" i="8"/>
  <c r="G3848" i="8"/>
  <c r="F3849" i="8"/>
  <c r="E3849" i="8"/>
  <c r="G3849" i="8"/>
  <c r="F3850" i="8"/>
  <c r="E3850" i="8"/>
  <c r="G3850" i="8"/>
  <c r="F3851" i="8"/>
  <c r="E3851" i="8"/>
  <c r="G3851" i="8"/>
  <c r="F3852" i="8"/>
  <c r="E3852" i="8"/>
  <c r="G3852" i="8"/>
  <c r="F3853" i="8"/>
  <c r="E3853" i="8"/>
  <c r="G3853" i="8"/>
  <c r="F3854" i="8"/>
  <c r="E3854" i="8"/>
  <c r="G3854" i="8"/>
  <c r="F3855" i="8"/>
  <c r="E3855" i="8"/>
  <c r="G3855" i="8"/>
  <c r="F3856" i="8"/>
  <c r="E3856" i="8"/>
  <c r="G3856" i="8"/>
  <c r="F3857" i="8"/>
  <c r="E3857" i="8"/>
  <c r="G3857" i="8"/>
  <c r="F3858" i="8"/>
  <c r="E3858" i="8"/>
  <c r="G3858" i="8"/>
  <c r="F3859" i="8"/>
  <c r="E3859" i="8"/>
  <c r="G3859" i="8"/>
  <c r="F3860" i="8"/>
  <c r="E3860" i="8"/>
  <c r="G3860" i="8"/>
  <c r="F3861" i="8"/>
  <c r="E3861" i="8"/>
  <c r="G3861" i="8"/>
  <c r="F3862" i="8"/>
  <c r="E3862" i="8"/>
  <c r="G3862" i="8"/>
  <c r="F3863" i="8"/>
  <c r="E3863" i="8"/>
  <c r="G3863" i="8"/>
  <c r="F3864" i="8"/>
  <c r="E3864" i="8"/>
  <c r="G3864" i="8"/>
  <c r="F3865" i="8"/>
  <c r="E3865" i="8"/>
  <c r="G3865" i="8"/>
  <c r="F3866" i="8"/>
  <c r="E3866" i="8"/>
  <c r="G3866" i="8"/>
  <c r="F3867" i="8"/>
  <c r="E3867" i="8"/>
  <c r="G3867" i="8"/>
  <c r="F3868" i="8"/>
  <c r="E3868" i="8"/>
  <c r="G3868" i="8"/>
  <c r="F3869" i="8"/>
  <c r="E3869" i="8"/>
  <c r="G3869" i="8"/>
  <c r="F3870" i="8"/>
  <c r="E3870" i="8"/>
  <c r="G3870" i="8"/>
  <c r="F3871" i="8"/>
  <c r="E3871" i="8"/>
  <c r="G3871" i="8"/>
  <c r="F3872" i="8"/>
  <c r="E3872" i="8"/>
  <c r="G3872" i="8"/>
  <c r="F3873" i="8"/>
  <c r="E3873" i="8"/>
  <c r="G3873" i="8"/>
  <c r="F3874" i="8"/>
  <c r="E3874" i="8"/>
  <c r="G3874" i="8"/>
  <c r="F3875" i="8"/>
  <c r="E3875" i="8"/>
  <c r="G3875" i="8"/>
  <c r="F3876" i="8"/>
  <c r="E3876" i="8"/>
  <c r="G3876" i="8"/>
  <c r="F3877" i="8"/>
  <c r="E3877" i="8"/>
  <c r="G3877" i="8"/>
  <c r="F3878" i="8"/>
  <c r="E3878" i="8"/>
  <c r="G3878" i="8"/>
  <c r="F3879" i="8"/>
  <c r="E3879" i="8"/>
  <c r="G3879" i="8"/>
  <c r="F3880" i="8"/>
  <c r="E3880" i="8"/>
  <c r="G3880" i="8"/>
  <c r="F3881" i="8"/>
  <c r="E3881" i="8"/>
  <c r="G3881" i="8"/>
  <c r="F3882" i="8"/>
  <c r="E3882" i="8"/>
  <c r="G3882" i="8"/>
  <c r="F3883" i="8"/>
  <c r="E3883" i="8"/>
  <c r="G3883" i="8"/>
  <c r="F3884" i="8"/>
  <c r="E3884" i="8"/>
  <c r="G3884" i="8"/>
  <c r="F3885" i="8"/>
  <c r="E3885" i="8"/>
  <c r="G3885" i="8"/>
  <c r="F3886" i="8"/>
  <c r="E3886" i="8"/>
  <c r="G3886" i="8"/>
  <c r="F3887" i="8"/>
  <c r="E3887" i="8"/>
  <c r="G3887" i="8"/>
  <c r="F3888" i="8"/>
  <c r="E3888" i="8"/>
  <c r="G3888" i="8"/>
  <c r="F3889" i="8"/>
  <c r="E3889" i="8"/>
  <c r="G3889" i="8"/>
  <c r="F3890" i="8"/>
  <c r="E3890" i="8"/>
  <c r="G3890" i="8"/>
  <c r="F3891" i="8"/>
  <c r="E3891" i="8"/>
  <c r="G3891" i="8"/>
  <c r="F3892" i="8"/>
  <c r="E3892" i="8"/>
  <c r="G3892" i="8"/>
  <c r="F3893" i="8"/>
  <c r="E3893" i="8"/>
  <c r="G3893" i="8"/>
  <c r="F3894" i="8"/>
  <c r="E3894" i="8"/>
  <c r="G3894" i="8"/>
  <c r="F3895" i="8"/>
  <c r="E3895" i="8"/>
  <c r="G3895" i="8"/>
  <c r="F3896" i="8"/>
  <c r="E3896" i="8"/>
  <c r="G3896" i="8"/>
  <c r="F3897" i="8"/>
  <c r="E3897" i="8"/>
  <c r="G3897" i="8"/>
  <c r="F3898" i="8"/>
  <c r="E3898" i="8"/>
  <c r="G3898" i="8"/>
  <c r="F3899" i="8"/>
  <c r="E3899" i="8"/>
  <c r="G3899" i="8"/>
  <c r="F3900" i="8"/>
  <c r="E3900" i="8"/>
  <c r="G3900" i="8"/>
  <c r="F3901" i="8"/>
  <c r="E3901" i="8"/>
  <c r="G3901" i="8"/>
  <c r="F3902" i="8"/>
  <c r="E3902" i="8"/>
  <c r="G3902" i="8"/>
  <c r="F3903" i="8"/>
  <c r="E3903" i="8"/>
  <c r="G3903" i="8"/>
  <c r="F3904" i="8"/>
  <c r="E3904" i="8"/>
  <c r="G3904" i="8"/>
  <c r="F3905" i="8"/>
  <c r="E3905" i="8"/>
  <c r="G3905" i="8"/>
  <c r="F3906" i="8"/>
  <c r="E3906" i="8"/>
  <c r="G3906" i="8"/>
  <c r="F3907" i="8"/>
  <c r="E3907" i="8"/>
  <c r="G3907" i="8"/>
  <c r="F3908" i="8"/>
  <c r="E3908" i="8"/>
  <c r="G3908" i="8"/>
  <c r="F3909" i="8"/>
  <c r="E3909" i="8"/>
  <c r="G3909" i="8"/>
  <c r="F3910" i="8"/>
  <c r="E3910" i="8"/>
  <c r="G3910" i="8"/>
  <c r="F3911" i="8"/>
  <c r="E3911" i="8"/>
  <c r="G3911" i="8"/>
  <c r="F3912" i="8"/>
  <c r="E3912" i="8"/>
  <c r="G3912" i="8"/>
  <c r="F3913" i="8"/>
  <c r="E3913" i="8"/>
  <c r="G3913" i="8"/>
  <c r="F3914" i="8"/>
  <c r="E3914" i="8"/>
  <c r="G3914" i="8"/>
  <c r="F3915" i="8"/>
  <c r="E3915" i="8"/>
  <c r="G3915" i="8"/>
  <c r="F3916" i="8"/>
  <c r="E3916" i="8"/>
  <c r="G3916" i="8"/>
  <c r="F3917" i="8"/>
  <c r="E3917" i="8"/>
  <c r="G3917" i="8"/>
  <c r="F3918" i="8"/>
  <c r="E3918" i="8"/>
  <c r="G3918" i="8"/>
  <c r="F3919" i="8"/>
  <c r="E3919" i="8"/>
  <c r="G3919" i="8"/>
  <c r="F3920" i="8"/>
  <c r="E3920" i="8"/>
  <c r="G3920" i="8"/>
  <c r="F3921" i="8"/>
  <c r="E3921" i="8"/>
  <c r="G3921" i="8"/>
  <c r="F3922" i="8"/>
  <c r="E3922" i="8"/>
  <c r="G3922" i="8"/>
  <c r="F3923" i="8"/>
  <c r="E3923" i="8"/>
  <c r="G3923" i="8"/>
  <c r="F3924" i="8"/>
  <c r="E3924" i="8"/>
  <c r="G3924" i="8"/>
  <c r="F3925" i="8"/>
  <c r="E3925" i="8"/>
  <c r="G3925" i="8"/>
  <c r="F3926" i="8"/>
  <c r="E3926" i="8"/>
  <c r="G3926" i="8"/>
  <c r="F3927" i="8"/>
  <c r="E3927" i="8"/>
  <c r="G3927" i="8"/>
  <c r="F3928" i="8"/>
  <c r="E3928" i="8"/>
  <c r="G3928" i="8"/>
  <c r="F3929" i="8"/>
  <c r="E3929" i="8"/>
  <c r="G3929" i="8"/>
  <c r="F3930" i="8"/>
  <c r="E3930" i="8"/>
  <c r="G3930" i="8"/>
  <c r="F3931" i="8"/>
  <c r="E3931" i="8"/>
  <c r="G3931" i="8"/>
  <c r="F3932" i="8"/>
  <c r="E3932" i="8"/>
  <c r="G3932" i="8"/>
  <c r="F3933" i="8"/>
  <c r="E3933" i="8"/>
  <c r="G3933" i="8"/>
  <c r="F3934" i="8"/>
  <c r="E3934" i="8"/>
  <c r="G3934" i="8"/>
  <c r="F3935" i="8"/>
  <c r="E3935" i="8"/>
  <c r="G3935" i="8"/>
  <c r="F3936" i="8"/>
  <c r="E3936" i="8"/>
  <c r="G3936" i="8"/>
  <c r="F3937" i="8"/>
  <c r="E3937" i="8"/>
  <c r="G3937" i="8"/>
  <c r="F3938" i="8"/>
  <c r="E3938" i="8"/>
  <c r="G3938" i="8"/>
  <c r="F3939" i="8"/>
  <c r="E3939" i="8"/>
  <c r="G3939" i="8"/>
  <c r="F3940" i="8"/>
  <c r="E3940" i="8"/>
  <c r="G3940" i="8"/>
  <c r="F3941" i="8"/>
  <c r="E3941" i="8"/>
  <c r="G3941" i="8"/>
  <c r="F3942" i="8"/>
  <c r="E3942" i="8"/>
  <c r="G3942" i="8"/>
  <c r="F3943" i="8"/>
  <c r="E3943" i="8"/>
  <c r="G3943" i="8"/>
  <c r="F3944" i="8"/>
  <c r="E3944" i="8"/>
  <c r="G3944" i="8"/>
  <c r="E3" i="8"/>
  <c r="G32" i="8"/>
  <c r="F32" i="8"/>
  <c r="F3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G33" i="6"/>
  <c r="F34" i="6"/>
  <c r="E34" i="6"/>
  <c r="G34" i="6"/>
  <c r="F35" i="6"/>
  <c r="E35" i="6"/>
  <c r="G35" i="6"/>
  <c r="F36" i="6"/>
  <c r="E36" i="6"/>
  <c r="G36" i="6"/>
  <c r="F37" i="6"/>
  <c r="G37" i="6"/>
  <c r="F38" i="6"/>
  <c r="E38" i="6"/>
  <c r="G38" i="6"/>
  <c r="F39" i="6"/>
  <c r="E39" i="6"/>
  <c r="G39" i="6"/>
  <c r="F40" i="6"/>
  <c r="E40" i="6"/>
  <c r="G40" i="6"/>
  <c r="F41" i="6"/>
  <c r="E41" i="6"/>
  <c r="G41" i="6"/>
  <c r="F42" i="6"/>
  <c r="E42" i="6"/>
  <c r="G42" i="6"/>
  <c r="F43" i="6"/>
  <c r="E43" i="6"/>
  <c r="G43" i="6"/>
  <c r="F44" i="6"/>
  <c r="E44" i="6"/>
  <c r="G44" i="6"/>
  <c r="F45" i="6"/>
  <c r="E45" i="6"/>
  <c r="G45" i="6"/>
  <c r="F46" i="6"/>
  <c r="E46" i="6"/>
  <c r="G46" i="6"/>
  <c r="F47" i="6"/>
  <c r="E47" i="6"/>
  <c r="G47" i="6"/>
  <c r="F48" i="6"/>
  <c r="E48" i="6"/>
  <c r="G48" i="6"/>
  <c r="F49" i="6"/>
  <c r="E49" i="6"/>
  <c r="G49" i="6"/>
  <c r="F50" i="6"/>
  <c r="E50" i="6"/>
  <c r="G50" i="6"/>
  <c r="F51" i="6"/>
  <c r="E51" i="6"/>
  <c r="G51" i="6"/>
  <c r="F52" i="6"/>
  <c r="E52" i="6"/>
  <c r="G52" i="6"/>
  <c r="F53" i="6"/>
  <c r="E53" i="6"/>
  <c r="G53" i="6"/>
  <c r="F54" i="6"/>
  <c r="E54" i="6"/>
  <c r="G54" i="6"/>
  <c r="F55" i="6"/>
  <c r="E55" i="6"/>
  <c r="G55" i="6"/>
  <c r="F56" i="6"/>
  <c r="E56" i="6"/>
  <c r="G56" i="6"/>
  <c r="F57" i="6"/>
  <c r="E57" i="6"/>
  <c r="G57" i="6"/>
  <c r="F58" i="6"/>
  <c r="E58" i="6"/>
  <c r="G58" i="6"/>
  <c r="F59" i="6"/>
  <c r="E59" i="6"/>
  <c r="G59" i="6"/>
  <c r="F60" i="6"/>
  <c r="E60" i="6"/>
  <c r="G60" i="6"/>
  <c r="F61" i="6"/>
  <c r="E61" i="6"/>
  <c r="G61" i="6"/>
  <c r="F62" i="6"/>
  <c r="E62" i="6"/>
  <c r="G62" i="6"/>
  <c r="F63" i="6"/>
  <c r="E63" i="6"/>
  <c r="G63" i="6"/>
  <c r="F64" i="6"/>
  <c r="E64" i="6"/>
  <c r="G64" i="6"/>
  <c r="F65" i="6"/>
  <c r="E65" i="6"/>
  <c r="G65" i="6"/>
  <c r="F66" i="6"/>
  <c r="E66" i="6"/>
  <c r="G66" i="6"/>
  <c r="F67" i="6"/>
  <c r="E67" i="6"/>
  <c r="G67" i="6"/>
  <c r="F68" i="6"/>
  <c r="E68" i="6"/>
  <c r="G68" i="6"/>
  <c r="F69" i="6"/>
  <c r="E69" i="6"/>
  <c r="G69" i="6"/>
  <c r="F70" i="6"/>
  <c r="E70" i="6"/>
  <c r="G70" i="6"/>
  <c r="F71" i="6"/>
  <c r="E71" i="6"/>
  <c r="G71" i="6"/>
  <c r="F72" i="6"/>
  <c r="E72" i="6"/>
  <c r="G72" i="6"/>
  <c r="F73" i="6"/>
  <c r="E73" i="6"/>
  <c r="G73" i="6"/>
  <c r="F74" i="6"/>
  <c r="E74" i="6"/>
  <c r="G74" i="6"/>
  <c r="F75" i="6"/>
  <c r="E75" i="6"/>
  <c r="G75" i="6"/>
  <c r="F76" i="6"/>
  <c r="E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7" i="6"/>
  <c r="E107" i="6"/>
  <c r="G107" i="6"/>
  <c r="F108" i="6"/>
  <c r="E108" i="6"/>
  <c r="G108" i="6"/>
  <c r="F109" i="6"/>
  <c r="E109" i="6"/>
  <c r="G109" i="6"/>
  <c r="F110" i="6"/>
  <c r="E110" i="6"/>
  <c r="G110" i="6"/>
  <c r="F111" i="6"/>
  <c r="E111" i="6"/>
  <c r="G111" i="6"/>
  <c r="F112" i="6"/>
  <c r="E112" i="6"/>
  <c r="G112" i="6"/>
  <c r="F113" i="6"/>
  <c r="E113" i="6"/>
  <c r="G113" i="6"/>
  <c r="F114" i="6"/>
  <c r="E114" i="6"/>
  <c r="G114" i="6"/>
  <c r="F115" i="6"/>
  <c r="E115" i="6"/>
  <c r="G115" i="6"/>
  <c r="F116" i="6"/>
  <c r="E116" i="6"/>
  <c r="G116" i="6"/>
  <c r="F117" i="6"/>
  <c r="E117" i="6"/>
  <c r="G117" i="6"/>
  <c r="F118" i="6"/>
  <c r="E118" i="6"/>
  <c r="G118" i="6"/>
  <c r="F119" i="6"/>
  <c r="E119" i="6"/>
  <c r="G119" i="6"/>
  <c r="F120" i="6"/>
  <c r="E120" i="6"/>
  <c r="G120" i="6"/>
  <c r="F121" i="6"/>
  <c r="E121" i="6"/>
  <c r="G121" i="6"/>
  <c r="F122" i="6"/>
  <c r="E122" i="6"/>
  <c r="G122" i="6"/>
  <c r="F123" i="6"/>
  <c r="E123" i="6"/>
  <c r="G123" i="6"/>
  <c r="F124" i="6"/>
  <c r="E124" i="6"/>
  <c r="G124" i="6"/>
  <c r="F125" i="6"/>
  <c r="E125" i="6"/>
  <c r="G125" i="6"/>
  <c r="F126" i="6"/>
  <c r="E126" i="6"/>
  <c r="G126" i="6"/>
  <c r="F127" i="6"/>
  <c r="E127" i="6"/>
  <c r="G127" i="6"/>
  <c r="F128" i="6"/>
  <c r="E128" i="6"/>
  <c r="G128" i="6"/>
  <c r="F129" i="6"/>
  <c r="E129" i="6"/>
  <c r="G129" i="6"/>
  <c r="F130" i="6"/>
  <c r="E130" i="6"/>
  <c r="G130" i="6"/>
  <c r="F131" i="6"/>
  <c r="E131" i="6"/>
  <c r="G131" i="6"/>
  <c r="F132" i="6"/>
  <c r="E132" i="6"/>
  <c r="G132" i="6"/>
  <c r="F133" i="6"/>
  <c r="E133" i="6"/>
  <c r="G133" i="6"/>
  <c r="F134" i="6"/>
  <c r="E134" i="6"/>
  <c r="G134" i="6"/>
  <c r="F135" i="6"/>
  <c r="E135" i="6"/>
  <c r="G135" i="6"/>
  <c r="F136" i="6"/>
  <c r="E136" i="6"/>
  <c r="G136" i="6"/>
  <c r="F137" i="6"/>
  <c r="E137" i="6"/>
  <c r="G137" i="6"/>
  <c r="F138" i="6"/>
  <c r="E138" i="6"/>
  <c r="G138" i="6"/>
  <c r="F139" i="6"/>
  <c r="E139" i="6"/>
  <c r="G139" i="6"/>
  <c r="F140" i="6"/>
  <c r="E140" i="6"/>
  <c r="G140" i="6"/>
  <c r="F141" i="6"/>
  <c r="E141" i="6"/>
  <c r="G141" i="6"/>
  <c r="F142" i="6"/>
  <c r="E142" i="6"/>
  <c r="G142" i="6"/>
  <c r="F143" i="6"/>
  <c r="E143" i="6"/>
  <c r="G143" i="6"/>
  <c r="F144" i="6"/>
  <c r="E144" i="6"/>
  <c r="G144" i="6"/>
  <c r="F145" i="6"/>
  <c r="E145" i="6"/>
  <c r="G145" i="6"/>
  <c r="F146" i="6"/>
  <c r="E146" i="6"/>
  <c r="G146" i="6"/>
  <c r="F147" i="6"/>
  <c r="E147" i="6"/>
  <c r="G147" i="6"/>
  <c r="F148" i="6"/>
  <c r="E148" i="6"/>
  <c r="G148" i="6"/>
  <c r="F149" i="6"/>
  <c r="E149" i="6"/>
  <c r="G149" i="6"/>
  <c r="F150" i="6"/>
  <c r="E150" i="6"/>
  <c r="G150" i="6"/>
  <c r="F151" i="6"/>
  <c r="E151" i="6"/>
  <c r="G151" i="6"/>
  <c r="F152" i="6"/>
  <c r="E152" i="6"/>
  <c r="G152" i="6"/>
  <c r="F153" i="6"/>
  <c r="E153" i="6"/>
  <c r="G153" i="6"/>
  <c r="F154" i="6"/>
  <c r="E154" i="6"/>
  <c r="G154" i="6"/>
  <c r="F155" i="6"/>
  <c r="E155" i="6"/>
  <c r="G155" i="6"/>
  <c r="F156" i="6"/>
  <c r="E156" i="6"/>
  <c r="G156" i="6"/>
  <c r="F157" i="6"/>
  <c r="E157" i="6"/>
  <c r="G157" i="6"/>
  <c r="F158" i="6"/>
  <c r="E158" i="6"/>
  <c r="G158" i="6"/>
  <c r="F159" i="6"/>
  <c r="E159" i="6"/>
  <c r="G159" i="6"/>
  <c r="F160" i="6"/>
  <c r="E160" i="6"/>
  <c r="G160" i="6"/>
  <c r="F161" i="6"/>
  <c r="E161" i="6"/>
  <c r="G161" i="6"/>
  <c r="F162" i="6"/>
  <c r="E162" i="6"/>
  <c r="G162" i="6"/>
  <c r="F163" i="6"/>
  <c r="E163" i="6"/>
  <c r="G163" i="6"/>
  <c r="F164" i="6"/>
  <c r="E164" i="6"/>
  <c r="G164" i="6"/>
  <c r="F165" i="6"/>
  <c r="E165" i="6"/>
  <c r="G165" i="6"/>
  <c r="F166" i="6"/>
  <c r="E166" i="6"/>
  <c r="G166" i="6"/>
  <c r="F167" i="6"/>
  <c r="E167" i="6"/>
  <c r="G167" i="6"/>
  <c r="F168" i="6"/>
  <c r="E168" i="6"/>
  <c r="G168" i="6"/>
  <c r="F169" i="6"/>
  <c r="E169" i="6"/>
  <c r="G169" i="6"/>
  <c r="F170" i="6"/>
  <c r="E170" i="6"/>
  <c r="G170" i="6"/>
  <c r="F171" i="6"/>
  <c r="E171" i="6"/>
  <c r="G171" i="6"/>
  <c r="F172" i="6"/>
  <c r="E172" i="6"/>
  <c r="G172" i="6"/>
  <c r="F173" i="6"/>
  <c r="E173" i="6"/>
  <c r="G173" i="6"/>
  <c r="F174" i="6"/>
  <c r="E174" i="6"/>
  <c r="G174" i="6"/>
  <c r="F175" i="6"/>
  <c r="E175" i="6"/>
  <c r="G175" i="6"/>
  <c r="F176" i="6"/>
  <c r="E176" i="6"/>
  <c r="G176" i="6"/>
  <c r="F177" i="6"/>
  <c r="E177" i="6"/>
  <c r="G177" i="6"/>
  <c r="F178" i="6"/>
  <c r="E178" i="6"/>
  <c r="G178" i="6"/>
  <c r="F179" i="6"/>
  <c r="E179" i="6"/>
  <c r="G179" i="6"/>
  <c r="F180" i="6"/>
  <c r="E180" i="6"/>
  <c r="G180" i="6"/>
  <c r="F181" i="6"/>
  <c r="E181" i="6"/>
  <c r="G181" i="6"/>
  <c r="F182" i="6"/>
  <c r="E182" i="6"/>
  <c r="G182" i="6"/>
  <c r="F183" i="6"/>
  <c r="E183" i="6"/>
  <c r="G183" i="6"/>
  <c r="F184" i="6"/>
  <c r="E184" i="6"/>
  <c r="G184" i="6"/>
  <c r="F185" i="6"/>
  <c r="E185" i="6"/>
  <c r="G185" i="6"/>
  <c r="F186" i="6"/>
  <c r="E186" i="6"/>
  <c r="G186" i="6"/>
  <c r="F187" i="6"/>
  <c r="E187" i="6"/>
  <c r="G187" i="6"/>
  <c r="F188" i="6"/>
  <c r="E188" i="6"/>
  <c r="G188" i="6"/>
  <c r="F189" i="6"/>
  <c r="E189" i="6"/>
  <c r="G189" i="6"/>
  <c r="F190" i="6"/>
  <c r="E190" i="6"/>
  <c r="G190" i="6"/>
  <c r="F191" i="6"/>
  <c r="E191" i="6"/>
  <c r="G191" i="6"/>
  <c r="F192" i="6"/>
  <c r="E192" i="6"/>
  <c r="G192" i="6"/>
  <c r="F193" i="6"/>
  <c r="E193" i="6"/>
  <c r="G193" i="6"/>
  <c r="F194" i="6"/>
  <c r="E194" i="6"/>
  <c r="G194" i="6"/>
  <c r="F195" i="6"/>
  <c r="E195" i="6"/>
  <c r="G195" i="6"/>
  <c r="F196" i="6"/>
  <c r="E196" i="6"/>
  <c r="G196" i="6"/>
  <c r="F197" i="6"/>
  <c r="E197" i="6"/>
  <c r="G197" i="6"/>
  <c r="F198" i="6"/>
  <c r="E198" i="6"/>
  <c r="G198" i="6"/>
  <c r="F199" i="6"/>
  <c r="E199" i="6"/>
  <c r="G199" i="6"/>
  <c r="F200" i="6"/>
  <c r="E200" i="6"/>
  <c r="G200" i="6"/>
  <c r="F201" i="6"/>
  <c r="E201" i="6"/>
  <c r="G201" i="6"/>
  <c r="F202" i="6"/>
  <c r="E202" i="6"/>
  <c r="G202" i="6"/>
  <c r="F203" i="6"/>
  <c r="E203" i="6"/>
  <c r="G203" i="6"/>
  <c r="F204" i="6"/>
  <c r="E204" i="6"/>
  <c r="G204" i="6"/>
  <c r="F205" i="6"/>
  <c r="E205" i="6"/>
  <c r="G205" i="6"/>
  <c r="F206" i="6"/>
  <c r="E206" i="6"/>
  <c r="G206" i="6"/>
  <c r="F207" i="6"/>
  <c r="E207" i="6"/>
  <c r="G207" i="6"/>
  <c r="F208" i="6"/>
  <c r="E208" i="6"/>
  <c r="G208" i="6"/>
  <c r="F209" i="6"/>
  <c r="E209" i="6"/>
  <c r="G209" i="6"/>
  <c r="F210" i="6"/>
  <c r="E210" i="6"/>
  <c r="G210" i="6"/>
  <c r="F211" i="6"/>
  <c r="E211" i="6"/>
  <c r="G211" i="6"/>
  <c r="F212" i="6"/>
  <c r="E212" i="6"/>
  <c r="G212" i="6"/>
  <c r="F213" i="6"/>
  <c r="E213" i="6"/>
  <c r="G213" i="6"/>
  <c r="F214" i="6"/>
  <c r="E214" i="6"/>
  <c r="G214" i="6"/>
  <c r="F215" i="6"/>
  <c r="E215" i="6"/>
  <c r="G215" i="6"/>
  <c r="F216" i="6"/>
  <c r="E216" i="6"/>
  <c r="G216" i="6"/>
  <c r="F217" i="6"/>
  <c r="E217" i="6"/>
  <c r="G217" i="6"/>
  <c r="F218" i="6"/>
  <c r="E218" i="6"/>
  <c r="G218" i="6"/>
  <c r="F219" i="6"/>
  <c r="E219" i="6"/>
  <c r="G219" i="6"/>
  <c r="F220" i="6"/>
  <c r="E220" i="6"/>
  <c r="G220" i="6"/>
  <c r="F221" i="6"/>
  <c r="E221" i="6"/>
  <c r="G221" i="6"/>
  <c r="F222" i="6"/>
  <c r="E222" i="6"/>
  <c r="G222" i="6"/>
  <c r="F223" i="6"/>
  <c r="E223" i="6"/>
  <c r="G223" i="6"/>
  <c r="F224" i="6"/>
  <c r="E224" i="6"/>
  <c r="G224" i="6"/>
  <c r="F225" i="6"/>
  <c r="E225" i="6"/>
  <c r="G225" i="6"/>
  <c r="F226" i="6"/>
  <c r="E226" i="6"/>
  <c r="G226" i="6"/>
  <c r="F227" i="6"/>
  <c r="E227" i="6"/>
  <c r="G227" i="6"/>
  <c r="F228" i="6"/>
  <c r="E228" i="6"/>
  <c r="G228" i="6"/>
  <c r="F229" i="6"/>
  <c r="E229" i="6"/>
  <c r="G229" i="6"/>
  <c r="F230" i="6"/>
  <c r="E230" i="6"/>
  <c r="G230" i="6"/>
  <c r="F231" i="6"/>
  <c r="E231" i="6"/>
  <c r="G231" i="6"/>
  <c r="F232" i="6"/>
  <c r="E232" i="6"/>
  <c r="G232" i="6"/>
  <c r="F233" i="6"/>
  <c r="E233" i="6"/>
  <c r="G233" i="6"/>
  <c r="F234" i="6"/>
  <c r="E234" i="6"/>
  <c r="G234" i="6"/>
  <c r="F235" i="6"/>
  <c r="E235" i="6"/>
  <c r="G235" i="6"/>
  <c r="F236" i="6"/>
  <c r="E236" i="6"/>
  <c r="G236" i="6"/>
  <c r="F237" i="6"/>
  <c r="E237" i="6"/>
  <c r="G237" i="6"/>
  <c r="F238" i="6"/>
  <c r="E238" i="6"/>
  <c r="G238" i="6"/>
  <c r="F239" i="6"/>
  <c r="E239" i="6"/>
  <c r="G239" i="6"/>
  <c r="F240" i="6"/>
  <c r="E240" i="6"/>
  <c r="G240" i="6"/>
  <c r="F241" i="6"/>
  <c r="E241" i="6"/>
  <c r="G241" i="6"/>
  <c r="F242" i="6"/>
  <c r="E242" i="6"/>
  <c r="G242" i="6"/>
  <c r="F243" i="6"/>
  <c r="E243" i="6"/>
  <c r="G243" i="6"/>
  <c r="F244" i="6"/>
  <c r="E244" i="6"/>
  <c r="G244" i="6"/>
  <c r="F245" i="6"/>
  <c r="E245" i="6"/>
  <c r="G245" i="6"/>
  <c r="F246" i="6"/>
  <c r="E246" i="6"/>
  <c r="G246" i="6"/>
  <c r="F247" i="6"/>
  <c r="E247" i="6"/>
  <c r="G247" i="6"/>
  <c r="F248" i="6"/>
  <c r="E248" i="6"/>
  <c r="G248" i="6"/>
  <c r="F249" i="6"/>
  <c r="E249" i="6"/>
  <c r="G249" i="6"/>
  <c r="F250" i="6"/>
  <c r="E250" i="6"/>
  <c r="G250" i="6"/>
  <c r="F251" i="6"/>
  <c r="E251" i="6"/>
  <c r="G251" i="6"/>
  <c r="F252" i="6"/>
  <c r="E252" i="6"/>
  <c r="G252" i="6"/>
  <c r="F253" i="6"/>
  <c r="E253" i="6"/>
  <c r="G253" i="6"/>
  <c r="F254" i="6"/>
  <c r="E254" i="6"/>
  <c r="G254" i="6"/>
  <c r="F255" i="6"/>
  <c r="E255" i="6"/>
  <c r="G255" i="6"/>
  <c r="F256" i="6"/>
  <c r="E256" i="6"/>
  <c r="G256" i="6"/>
  <c r="F257" i="6"/>
  <c r="E257" i="6"/>
  <c r="G257" i="6"/>
  <c r="F258" i="6"/>
  <c r="E258" i="6"/>
  <c r="G258" i="6"/>
  <c r="F259" i="6"/>
  <c r="E259" i="6"/>
  <c r="G259" i="6"/>
  <c r="F260" i="6"/>
  <c r="E260" i="6"/>
  <c r="G260" i="6"/>
  <c r="F261" i="6"/>
  <c r="E261" i="6"/>
  <c r="G261" i="6"/>
  <c r="F262" i="6"/>
  <c r="E262" i="6"/>
  <c r="G262" i="6"/>
  <c r="F263" i="6"/>
  <c r="E263" i="6"/>
  <c r="G263" i="6"/>
  <c r="F264" i="6"/>
  <c r="E264" i="6"/>
  <c r="G264" i="6"/>
  <c r="F265" i="6"/>
  <c r="E265" i="6"/>
  <c r="G265" i="6"/>
  <c r="F266" i="6"/>
  <c r="E266" i="6"/>
  <c r="G266" i="6"/>
  <c r="F267" i="6"/>
  <c r="E267" i="6"/>
  <c r="G267" i="6"/>
  <c r="F268" i="6"/>
  <c r="E268" i="6"/>
  <c r="G268" i="6"/>
  <c r="F269" i="6"/>
  <c r="E269" i="6"/>
  <c r="G269" i="6"/>
  <c r="F270" i="6"/>
  <c r="E270" i="6"/>
  <c r="G270" i="6"/>
  <c r="F271" i="6"/>
  <c r="E271" i="6"/>
  <c r="G271" i="6"/>
  <c r="F272" i="6"/>
  <c r="E272" i="6"/>
  <c r="G272" i="6"/>
  <c r="F273" i="6"/>
  <c r="E273" i="6"/>
  <c r="G273" i="6"/>
  <c r="F274" i="6"/>
  <c r="E274" i="6"/>
  <c r="G274" i="6"/>
  <c r="F275" i="6"/>
  <c r="E275" i="6"/>
  <c r="G275" i="6"/>
  <c r="F276" i="6"/>
  <c r="E276" i="6"/>
  <c r="G276" i="6"/>
  <c r="F277" i="6"/>
  <c r="E277" i="6"/>
  <c r="G277" i="6"/>
  <c r="F278" i="6"/>
  <c r="E278" i="6"/>
  <c r="G278" i="6"/>
  <c r="F279" i="6"/>
  <c r="E279" i="6"/>
  <c r="G279" i="6"/>
  <c r="F280" i="6"/>
  <c r="E280" i="6"/>
  <c r="G280" i="6"/>
  <c r="F281" i="6"/>
  <c r="E281" i="6"/>
  <c r="G281" i="6"/>
  <c r="F282" i="6"/>
  <c r="E282" i="6"/>
  <c r="G282" i="6"/>
  <c r="F283" i="6"/>
  <c r="E283" i="6"/>
  <c r="G283" i="6"/>
  <c r="F284" i="6"/>
  <c r="E284" i="6"/>
  <c r="G284" i="6"/>
  <c r="F285" i="6"/>
  <c r="E285" i="6"/>
  <c r="G285" i="6"/>
  <c r="F286" i="6"/>
  <c r="E286" i="6"/>
  <c r="G286" i="6"/>
  <c r="F287" i="6"/>
  <c r="E287" i="6"/>
  <c r="G287" i="6"/>
  <c r="F288" i="6"/>
  <c r="E288" i="6"/>
  <c r="G288" i="6"/>
  <c r="F289" i="6"/>
  <c r="E289" i="6"/>
  <c r="G289" i="6"/>
  <c r="F290" i="6"/>
  <c r="E290" i="6"/>
  <c r="G290" i="6"/>
  <c r="F291" i="6"/>
  <c r="E291" i="6"/>
  <c r="G291" i="6"/>
  <c r="F292" i="6"/>
  <c r="E292" i="6"/>
  <c r="G292" i="6"/>
  <c r="F293" i="6"/>
  <c r="E293" i="6"/>
  <c r="G293" i="6"/>
  <c r="F294" i="6"/>
  <c r="E294" i="6"/>
  <c r="G294" i="6"/>
  <c r="F295" i="6"/>
  <c r="E295" i="6"/>
  <c r="G295" i="6"/>
  <c r="F296" i="6"/>
  <c r="E296" i="6"/>
  <c r="G296" i="6"/>
  <c r="F297" i="6"/>
  <c r="E297" i="6"/>
  <c r="G297" i="6"/>
  <c r="F298" i="6"/>
  <c r="E298" i="6"/>
  <c r="G298" i="6"/>
  <c r="F299" i="6"/>
  <c r="E299" i="6"/>
  <c r="G299" i="6"/>
  <c r="F300" i="6"/>
  <c r="E300" i="6"/>
  <c r="G300" i="6"/>
  <c r="F301" i="6"/>
  <c r="E301" i="6"/>
  <c r="G301" i="6"/>
  <c r="F302" i="6"/>
  <c r="E302" i="6"/>
  <c r="G302" i="6"/>
  <c r="F303" i="6"/>
  <c r="E303" i="6"/>
  <c r="G303" i="6"/>
  <c r="F304" i="6"/>
  <c r="E304" i="6"/>
  <c r="G304" i="6"/>
  <c r="F305" i="6"/>
  <c r="E305" i="6"/>
  <c r="G305" i="6"/>
  <c r="F306" i="6"/>
  <c r="E306" i="6"/>
  <c r="G306" i="6"/>
  <c r="F307" i="6"/>
  <c r="E307" i="6"/>
  <c r="G307" i="6"/>
  <c r="F308" i="6"/>
  <c r="E308" i="6"/>
  <c r="G308" i="6"/>
  <c r="F309" i="6"/>
  <c r="E309" i="6"/>
  <c r="G309" i="6"/>
  <c r="F310" i="6"/>
  <c r="E310" i="6"/>
  <c r="G310" i="6"/>
  <c r="F311" i="6"/>
  <c r="E311" i="6"/>
  <c r="G311" i="6"/>
  <c r="F312" i="6"/>
  <c r="E312" i="6"/>
  <c r="G312" i="6"/>
  <c r="F313" i="6"/>
  <c r="E313" i="6"/>
  <c r="G313" i="6"/>
  <c r="F314" i="6"/>
  <c r="E314" i="6"/>
  <c r="G314" i="6"/>
  <c r="F315" i="6"/>
  <c r="E315" i="6"/>
  <c r="G315" i="6"/>
  <c r="F316" i="6"/>
  <c r="E316" i="6"/>
  <c r="G316" i="6"/>
  <c r="F317" i="6"/>
  <c r="E317" i="6"/>
  <c r="G317" i="6"/>
  <c r="F318" i="6"/>
  <c r="E318" i="6"/>
  <c r="G318" i="6"/>
  <c r="F319" i="6"/>
  <c r="E319" i="6"/>
  <c r="G319" i="6"/>
  <c r="F320" i="6"/>
  <c r="E320" i="6"/>
  <c r="G320" i="6"/>
  <c r="F321" i="6"/>
  <c r="E321" i="6"/>
  <c r="G321" i="6"/>
  <c r="F322" i="6"/>
  <c r="E322" i="6"/>
  <c r="G322" i="6"/>
  <c r="F323" i="6"/>
  <c r="E323" i="6"/>
  <c r="G323" i="6"/>
  <c r="F324" i="6"/>
  <c r="E324" i="6"/>
  <c r="G324" i="6"/>
  <c r="F325" i="6"/>
  <c r="E325" i="6"/>
  <c r="G325" i="6"/>
  <c r="F326" i="6"/>
  <c r="E326" i="6"/>
  <c r="G326" i="6"/>
  <c r="F327" i="6"/>
  <c r="E327" i="6"/>
  <c r="G327" i="6"/>
  <c r="F328" i="6"/>
  <c r="E328" i="6"/>
  <c r="G328" i="6"/>
  <c r="F329" i="6"/>
  <c r="E329" i="6"/>
  <c r="G329" i="6"/>
  <c r="F330" i="6"/>
  <c r="E330" i="6"/>
  <c r="G330" i="6"/>
  <c r="F331" i="6"/>
  <c r="E331" i="6"/>
  <c r="G331" i="6"/>
  <c r="F332" i="6"/>
  <c r="E332" i="6"/>
  <c r="G332" i="6"/>
  <c r="F333" i="6"/>
  <c r="E333" i="6"/>
  <c r="G333" i="6"/>
  <c r="F334" i="6"/>
  <c r="E334" i="6"/>
  <c r="G334" i="6"/>
  <c r="F335" i="6"/>
  <c r="E335" i="6"/>
  <c r="G335" i="6"/>
  <c r="F336" i="6"/>
  <c r="E336" i="6"/>
  <c r="G336" i="6"/>
  <c r="F337" i="6"/>
  <c r="E337" i="6"/>
  <c r="G337" i="6"/>
  <c r="F338" i="6"/>
  <c r="E338" i="6"/>
  <c r="G338" i="6"/>
  <c r="F339" i="6"/>
  <c r="E339" i="6"/>
  <c r="G339" i="6"/>
  <c r="F340" i="6"/>
  <c r="E340" i="6"/>
  <c r="G340" i="6"/>
  <c r="F341" i="6"/>
  <c r="E341" i="6"/>
  <c r="G341" i="6"/>
  <c r="F342" i="6"/>
  <c r="E342" i="6"/>
  <c r="G342" i="6"/>
  <c r="F343" i="6"/>
  <c r="E343" i="6"/>
  <c r="G343" i="6"/>
  <c r="F344" i="6"/>
  <c r="E344" i="6"/>
  <c r="G344" i="6"/>
  <c r="F345" i="6"/>
  <c r="E345" i="6"/>
  <c r="G345" i="6"/>
  <c r="F346" i="6"/>
  <c r="E346" i="6"/>
  <c r="G346" i="6"/>
  <c r="F347" i="6"/>
  <c r="E347" i="6"/>
  <c r="G347" i="6"/>
  <c r="F348" i="6"/>
  <c r="E348" i="6"/>
  <c r="G348" i="6"/>
  <c r="F349" i="6"/>
  <c r="E349" i="6"/>
  <c r="G349" i="6"/>
  <c r="F350" i="6"/>
  <c r="E350" i="6"/>
  <c r="G350" i="6"/>
  <c r="F351" i="6"/>
  <c r="E351" i="6"/>
  <c r="G351" i="6"/>
  <c r="F352" i="6"/>
  <c r="E352" i="6"/>
  <c r="G352" i="6"/>
  <c r="F353" i="6"/>
  <c r="E353" i="6"/>
  <c r="G353" i="6"/>
  <c r="F354" i="6"/>
  <c r="E354" i="6"/>
  <c r="G354" i="6"/>
  <c r="F355" i="6"/>
  <c r="E355" i="6"/>
  <c r="G355" i="6"/>
  <c r="F356" i="6"/>
  <c r="E356" i="6"/>
  <c r="G356" i="6"/>
  <c r="F357" i="6"/>
  <c r="E357" i="6"/>
  <c r="G357" i="6"/>
  <c r="F358" i="6"/>
  <c r="E358" i="6"/>
  <c r="G358" i="6"/>
  <c r="F359" i="6"/>
  <c r="E359" i="6"/>
  <c r="G359" i="6"/>
  <c r="F360" i="6"/>
  <c r="E360" i="6"/>
  <c r="G360" i="6"/>
  <c r="F361" i="6"/>
  <c r="E361" i="6"/>
  <c r="G361" i="6"/>
  <c r="F362" i="6"/>
  <c r="E362" i="6"/>
  <c r="G362" i="6"/>
  <c r="F363" i="6"/>
  <c r="E363" i="6"/>
  <c r="G363" i="6"/>
  <c r="F364" i="6"/>
  <c r="E364" i="6"/>
  <c r="G364" i="6"/>
  <c r="F365" i="6"/>
  <c r="E365" i="6"/>
  <c r="G365" i="6"/>
  <c r="F366" i="6"/>
  <c r="E366" i="6"/>
  <c r="G366" i="6"/>
  <c r="F367" i="6"/>
  <c r="E367" i="6"/>
  <c r="G367" i="6"/>
  <c r="F368" i="6"/>
  <c r="E368" i="6"/>
  <c r="G368" i="6"/>
  <c r="F369" i="6"/>
  <c r="E369" i="6"/>
  <c r="G369" i="6"/>
  <c r="F370" i="6"/>
  <c r="E370" i="6"/>
  <c r="G370" i="6"/>
  <c r="F371" i="6"/>
  <c r="E371" i="6"/>
  <c r="G371" i="6"/>
  <c r="F372" i="6"/>
  <c r="E372" i="6"/>
  <c r="G372" i="6"/>
  <c r="F373" i="6"/>
  <c r="E373" i="6"/>
  <c r="G373" i="6"/>
  <c r="F374" i="6"/>
  <c r="E374" i="6"/>
  <c r="G374" i="6"/>
  <c r="F375" i="6"/>
  <c r="E375" i="6"/>
  <c r="G375" i="6"/>
  <c r="F376" i="6"/>
  <c r="E376" i="6"/>
  <c r="G376" i="6"/>
  <c r="F377" i="6"/>
  <c r="E377" i="6"/>
  <c r="G377" i="6"/>
  <c r="F378" i="6"/>
  <c r="E378" i="6"/>
  <c r="G378" i="6"/>
  <c r="F379" i="6"/>
  <c r="E379" i="6"/>
  <c r="G379" i="6"/>
  <c r="F380" i="6"/>
  <c r="E380" i="6"/>
  <c r="G380" i="6"/>
  <c r="F381" i="6"/>
  <c r="E381" i="6"/>
  <c r="G381" i="6"/>
  <c r="F382" i="6"/>
  <c r="E382" i="6"/>
  <c r="G382" i="6"/>
  <c r="F383" i="6"/>
  <c r="E383" i="6"/>
  <c r="G383" i="6"/>
  <c r="F384" i="6"/>
  <c r="E384" i="6"/>
  <c r="G384" i="6"/>
  <c r="F385" i="6"/>
  <c r="E385" i="6"/>
  <c r="G385" i="6"/>
  <c r="F386" i="6"/>
  <c r="E386" i="6"/>
  <c r="G386" i="6"/>
  <c r="F387" i="6"/>
  <c r="E387" i="6"/>
  <c r="G387" i="6"/>
  <c r="F388" i="6"/>
  <c r="E388" i="6"/>
  <c r="G388" i="6"/>
  <c r="F389" i="6"/>
  <c r="E389" i="6"/>
  <c r="G389" i="6"/>
  <c r="F390" i="6"/>
  <c r="E390" i="6"/>
  <c r="G390" i="6"/>
  <c r="F391" i="6"/>
  <c r="E391" i="6"/>
  <c r="G391" i="6"/>
  <c r="F392" i="6"/>
  <c r="E392" i="6"/>
  <c r="G392" i="6"/>
  <c r="F393" i="6"/>
  <c r="E393" i="6"/>
  <c r="G393" i="6"/>
  <c r="F394" i="6"/>
  <c r="E394" i="6"/>
  <c r="G394" i="6"/>
  <c r="F395" i="6"/>
  <c r="E395" i="6"/>
  <c r="G395" i="6"/>
  <c r="F396" i="6"/>
  <c r="E396" i="6"/>
  <c r="G396" i="6"/>
  <c r="F397" i="6"/>
  <c r="E397" i="6"/>
  <c r="G397" i="6"/>
  <c r="F398" i="6"/>
  <c r="E398" i="6"/>
  <c r="G398" i="6"/>
  <c r="F399" i="6"/>
  <c r="E399" i="6"/>
  <c r="G399" i="6"/>
  <c r="F400" i="6"/>
  <c r="E400" i="6"/>
  <c r="G400" i="6"/>
  <c r="F401" i="6"/>
  <c r="E401" i="6"/>
  <c r="G401" i="6"/>
  <c r="F402" i="6"/>
  <c r="E402" i="6"/>
  <c r="G402" i="6"/>
  <c r="F403" i="6"/>
  <c r="E403" i="6"/>
  <c r="G403" i="6"/>
  <c r="F404" i="6"/>
  <c r="E404" i="6"/>
  <c r="G404" i="6"/>
  <c r="F405" i="6"/>
  <c r="E405" i="6"/>
  <c r="G405" i="6"/>
  <c r="F406" i="6"/>
  <c r="E406" i="6"/>
  <c r="G406" i="6"/>
  <c r="F407" i="6"/>
  <c r="E407" i="6"/>
  <c r="G407" i="6"/>
  <c r="F408" i="6"/>
  <c r="E408" i="6"/>
  <c r="G408" i="6"/>
  <c r="F409" i="6"/>
  <c r="E409" i="6"/>
  <c r="G409" i="6"/>
  <c r="F410" i="6"/>
  <c r="E410" i="6"/>
  <c r="G410" i="6"/>
  <c r="F411" i="6"/>
  <c r="E411" i="6"/>
  <c r="G411" i="6"/>
  <c r="F412" i="6"/>
  <c r="E412" i="6"/>
  <c r="G412" i="6"/>
  <c r="F413" i="6"/>
  <c r="E413" i="6"/>
  <c r="G413" i="6"/>
  <c r="F414" i="6"/>
  <c r="E414" i="6"/>
  <c r="G414" i="6"/>
  <c r="F415" i="6"/>
  <c r="E415" i="6"/>
  <c r="G415" i="6"/>
  <c r="F416" i="6"/>
  <c r="E416" i="6"/>
  <c r="G416" i="6"/>
  <c r="F417" i="6"/>
  <c r="E417" i="6"/>
  <c r="G417" i="6"/>
  <c r="F418" i="6"/>
  <c r="E418" i="6"/>
  <c r="G418" i="6"/>
  <c r="F419" i="6"/>
  <c r="E419" i="6"/>
  <c r="G419" i="6"/>
  <c r="F420" i="6"/>
  <c r="E420" i="6"/>
  <c r="G420" i="6"/>
  <c r="F421" i="6"/>
  <c r="E421" i="6"/>
  <c r="G421" i="6"/>
  <c r="F422" i="6"/>
  <c r="E422" i="6"/>
  <c r="G422" i="6"/>
  <c r="F423" i="6"/>
  <c r="E423" i="6"/>
  <c r="G423" i="6"/>
  <c r="F424" i="6"/>
  <c r="E424" i="6"/>
  <c r="G424" i="6"/>
  <c r="F425" i="6"/>
  <c r="E425" i="6"/>
  <c r="G425" i="6"/>
  <c r="F426" i="6"/>
  <c r="E426" i="6"/>
  <c r="G426" i="6"/>
  <c r="F427" i="6"/>
  <c r="E427" i="6"/>
  <c r="G427" i="6"/>
  <c r="F428" i="6"/>
  <c r="E428" i="6"/>
  <c r="G428" i="6"/>
  <c r="F429" i="6"/>
  <c r="E429" i="6"/>
  <c r="G429" i="6"/>
  <c r="F430" i="6"/>
  <c r="E430" i="6"/>
  <c r="G430" i="6"/>
  <c r="F431" i="6"/>
  <c r="E431" i="6"/>
  <c r="G431" i="6"/>
  <c r="F432" i="6"/>
  <c r="E432" i="6"/>
  <c r="G432" i="6"/>
  <c r="F433" i="6"/>
  <c r="E433" i="6"/>
  <c r="G433" i="6"/>
  <c r="F434" i="6"/>
  <c r="E434" i="6"/>
  <c r="G434" i="6"/>
  <c r="F435" i="6"/>
  <c r="E435" i="6"/>
  <c r="G435" i="6"/>
  <c r="F436" i="6"/>
  <c r="E436" i="6"/>
  <c r="G436" i="6"/>
  <c r="F437" i="6"/>
  <c r="E437" i="6"/>
  <c r="G437" i="6"/>
  <c r="F438" i="6"/>
  <c r="E438" i="6"/>
  <c r="G438" i="6"/>
  <c r="F439" i="6"/>
  <c r="E439" i="6"/>
  <c r="G439" i="6"/>
  <c r="F440" i="6"/>
  <c r="E440" i="6"/>
  <c r="G440" i="6"/>
  <c r="F441" i="6"/>
  <c r="E441" i="6"/>
  <c r="G441" i="6"/>
  <c r="F442" i="6"/>
  <c r="E442" i="6"/>
  <c r="G442" i="6"/>
  <c r="F443" i="6"/>
  <c r="E443" i="6"/>
  <c r="G443" i="6"/>
  <c r="F444" i="6"/>
  <c r="E444" i="6"/>
  <c r="G444" i="6"/>
  <c r="F445" i="6"/>
  <c r="E445" i="6"/>
  <c r="G445" i="6"/>
  <c r="F446" i="6"/>
  <c r="E446" i="6"/>
  <c r="G446" i="6"/>
  <c r="F447" i="6"/>
  <c r="E447" i="6"/>
  <c r="G447" i="6"/>
  <c r="F448" i="6"/>
  <c r="E448" i="6"/>
  <c r="G448" i="6"/>
  <c r="F449" i="6"/>
  <c r="E449" i="6"/>
  <c r="G449" i="6"/>
  <c r="F450" i="6"/>
  <c r="E450" i="6"/>
  <c r="G450" i="6"/>
  <c r="F451" i="6"/>
  <c r="E451" i="6"/>
  <c r="G451" i="6"/>
  <c r="F452" i="6"/>
  <c r="E452" i="6"/>
  <c r="G452" i="6"/>
  <c r="F453" i="6"/>
  <c r="E453" i="6"/>
  <c r="G453" i="6"/>
  <c r="F454" i="6"/>
  <c r="E454" i="6"/>
  <c r="G454" i="6"/>
  <c r="F455" i="6"/>
  <c r="E455" i="6"/>
  <c r="G455" i="6"/>
  <c r="F456" i="6"/>
  <c r="E456" i="6"/>
  <c r="G456" i="6"/>
  <c r="F457" i="6"/>
  <c r="E457" i="6"/>
  <c r="G457" i="6"/>
  <c r="F458" i="6"/>
  <c r="E458" i="6"/>
  <c r="G458" i="6"/>
  <c r="F459" i="6"/>
  <c r="E459" i="6"/>
  <c r="G459" i="6"/>
  <c r="F460" i="6"/>
  <c r="E460" i="6"/>
  <c r="G460" i="6"/>
  <c r="F461" i="6"/>
  <c r="E461" i="6"/>
  <c r="G461" i="6"/>
  <c r="F462" i="6"/>
  <c r="E462" i="6"/>
  <c r="G462" i="6"/>
  <c r="F463" i="6"/>
  <c r="E463" i="6"/>
  <c r="G463" i="6"/>
  <c r="F464" i="6"/>
  <c r="E464" i="6"/>
  <c r="G464" i="6"/>
  <c r="F465" i="6"/>
  <c r="E465" i="6"/>
  <c r="G465" i="6"/>
  <c r="F466" i="6"/>
  <c r="E466" i="6"/>
  <c r="G466" i="6"/>
  <c r="F467" i="6"/>
  <c r="E467" i="6"/>
  <c r="G467" i="6"/>
  <c r="F468" i="6"/>
  <c r="E468" i="6"/>
  <c r="G468" i="6"/>
  <c r="F469" i="6"/>
  <c r="E469" i="6"/>
  <c r="G469" i="6"/>
  <c r="F470" i="6"/>
  <c r="E470" i="6"/>
  <c r="G470" i="6"/>
  <c r="F471" i="6"/>
  <c r="E471" i="6"/>
  <c r="G471" i="6"/>
  <c r="F472" i="6"/>
  <c r="E472" i="6"/>
  <c r="G472" i="6"/>
  <c r="F473" i="6"/>
  <c r="E473" i="6"/>
  <c r="G473" i="6"/>
  <c r="F474" i="6"/>
  <c r="E474" i="6"/>
  <c r="G474" i="6"/>
  <c r="F475" i="6"/>
  <c r="E475" i="6"/>
  <c r="G475" i="6"/>
  <c r="F476" i="6"/>
  <c r="E476" i="6"/>
  <c r="G476" i="6"/>
  <c r="F477" i="6"/>
  <c r="E477" i="6"/>
  <c r="G477" i="6"/>
  <c r="F478" i="6"/>
  <c r="E478" i="6"/>
  <c r="G478" i="6"/>
  <c r="F479" i="6"/>
  <c r="E479" i="6"/>
  <c r="G479" i="6"/>
  <c r="F480" i="6"/>
  <c r="E480" i="6"/>
  <c r="G480" i="6"/>
  <c r="F481" i="6"/>
  <c r="E481" i="6"/>
  <c r="G481" i="6"/>
  <c r="F482" i="6"/>
  <c r="E482" i="6"/>
  <c r="G482" i="6"/>
  <c r="F483" i="6"/>
  <c r="E483" i="6"/>
  <c r="G483" i="6"/>
  <c r="F484" i="6"/>
  <c r="E484" i="6"/>
  <c r="G484" i="6"/>
  <c r="F485" i="6"/>
  <c r="E485" i="6"/>
  <c r="G485" i="6"/>
  <c r="F486" i="6"/>
  <c r="E486" i="6"/>
  <c r="G486" i="6"/>
  <c r="F487" i="6"/>
  <c r="E487" i="6"/>
  <c r="G487" i="6"/>
  <c r="F488" i="6"/>
  <c r="E488" i="6"/>
  <c r="G488" i="6"/>
  <c r="F489" i="6"/>
  <c r="E489" i="6"/>
  <c r="G489" i="6"/>
  <c r="F490" i="6"/>
  <c r="E490" i="6"/>
  <c r="G490" i="6"/>
  <c r="F491" i="6"/>
  <c r="E491" i="6"/>
  <c r="G491" i="6"/>
  <c r="F492" i="6"/>
  <c r="E492" i="6"/>
  <c r="G492" i="6"/>
  <c r="F493" i="6"/>
  <c r="E493" i="6"/>
  <c r="G493" i="6"/>
  <c r="F494" i="6"/>
  <c r="E494" i="6"/>
  <c r="G494" i="6"/>
  <c r="F495" i="6"/>
  <c r="E495" i="6"/>
  <c r="G495" i="6"/>
  <c r="F496" i="6"/>
  <c r="E496" i="6"/>
  <c r="G496" i="6"/>
  <c r="F497" i="6"/>
  <c r="E497" i="6"/>
  <c r="G497" i="6"/>
  <c r="F498" i="6"/>
  <c r="E498" i="6"/>
  <c r="G498" i="6"/>
  <c r="F499" i="6"/>
  <c r="E499" i="6"/>
  <c r="G499" i="6"/>
  <c r="F500" i="6"/>
  <c r="E500" i="6"/>
  <c r="G500" i="6"/>
  <c r="F501" i="6"/>
  <c r="E501" i="6"/>
  <c r="G501" i="6"/>
  <c r="F502" i="6"/>
  <c r="E502" i="6"/>
  <c r="G502" i="6"/>
  <c r="F503" i="6"/>
  <c r="E503" i="6"/>
  <c r="G503" i="6"/>
  <c r="F504" i="6"/>
  <c r="E504" i="6"/>
  <c r="G504" i="6"/>
  <c r="F505" i="6"/>
  <c r="E505" i="6"/>
  <c r="G505" i="6"/>
  <c r="F506" i="6"/>
  <c r="E506" i="6"/>
  <c r="G506" i="6"/>
  <c r="F507" i="6"/>
  <c r="E507" i="6"/>
  <c r="G507" i="6"/>
  <c r="F508" i="6"/>
  <c r="E508" i="6"/>
  <c r="G508" i="6"/>
  <c r="F509" i="6"/>
  <c r="E509" i="6"/>
  <c r="G509" i="6"/>
  <c r="F510" i="6"/>
  <c r="E510" i="6"/>
  <c r="G510" i="6"/>
  <c r="F511" i="6"/>
  <c r="E511" i="6"/>
  <c r="G511" i="6"/>
  <c r="F512" i="6"/>
  <c r="E512" i="6"/>
  <c r="G512" i="6"/>
  <c r="F513" i="6"/>
  <c r="E513" i="6"/>
  <c r="G513" i="6"/>
  <c r="F514" i="6"/>
  <c r="E514" i="6"/>
  <c r="G514" i="6"/>
  <c r="F515" i="6"/>
  <c r="E515" i="6"/>
  <c r="G515" i="6"/>
  <c r="F516" i="6"/>
  <c r="E516" i="6"/>
  <c r="G516" i="6"/>
  <c r="F517" i="6"/>
  <c r="E517" i="6"/>
  <c r="G517" i="6"/>
  <c r="F518" i="6"/>
  <c r="E518" i="6"/>
  <c r="G518" i="6"/>
  <c r="F519" i="6"/>
  <c r="E519" i="6"/>
  <c r="G519" i="6"/>
  <c r="F520" i="6"/>
  <c r="E520" i="6"/>
  <c r="G520" i="6"/>
  <c r="F521" i="6"/>
  <c r="E521" i="6"/>
  <c r="G521" i="6"/>
  <c r="F522" i="6"/>
  <c r="E522" i="6"/>
  <c r="G522" i="6"/>
  <c r="F523" i="6"/>
  <c r="E523" i="6"/>
  <c r="G523" i="6"/>
  <c r="F524" i="6"/>
  <c r="E524" i="6"/>
  <c r="G524" i="6"/>
  <c r="F525" i="6"/>
  <c r="E525" i="6"/>
  <c r="G525" i="6"/>
  <c r="F526" i="6"/>
  <c r="E526" i="6"/>
  <c r="G526" i="6"/>
  <c r="F527" i="6"/>
  <c r="E527" i="6"/>
  <c r="G527" i="6"/>
  <c r="F528" i="6"/>
  <c r="E528" i="6"/>
  <c r="G528" i="6"/>
  <c r="F529" i="6"/>
  <c r="E529" i="6"/>
  <c r="G529" i="6"/>
  <c r="F530" i="6"/>
  <c r="E530" i="6"/>
  <c r="G530" i="6"/>
  <c r="F531" i="6"/>
  <c r="E531" i="6"/>
  <c r="G531" i="6"/>
  <c r="F532" i="6"/>
  <c r="E532" i="6"/>
  <c r="G532" i="6"/>
  <c r="F533" i="6"/>
  <c r="E533" i="6"/>
  <c r="G533" i="6"/>
  <c r="F534" i="6"/>
  <c r="E534" i="6"/>
  <c r="G534" i="6"/>
  <c r="F535" i="6"/>
  <c r="E535" i="6"/>
  <c r="G535" i="6"/>
  <c r="F536" i="6"/>
  <c r="E536" i="6"/>
  <c r="G536" i="6"/>
  <c r="F537" i="6"/>
  <c r="E537" i="6"/>
  <c r="G537" i="6"/>
  <c r="F538" i="6"/>
  <c r="E538" i="6"/>
  <c r="G538" i="6"/>
  <c r="F539" i="6"/>
  <c r="E539" i="6"/>
  <c r="G539" i="6"/>
  <c r="F540" i="6"/>
  <c r="E540" i="6"/>
  <c r="G540" i="6"/>
  <c r="F541" i="6"/>
  <c r="E541" i="6"/>
  <c r="G541" i="6"/>
  <c r="F542" i="6"/>
  <c r="E542" i="6"/>
  <c r="G542" i="6"/>
  <c r="F543" i="6"/>
  <c r="E543" i="6"/>
  <c r="G543" i="6"/>
  <c r="F544" i="6"/>
  <c r="E544" i="6"/>
  <c r="G544" i="6"/>
  <c r="F545" i="6"/>
  <c r="E545" i="6"/>
  <c r="G545" i="6"/>
  <c r="F546" i="6"/>
  <c r="E546" i="6"/>
  <c r="G546" i="6"/>
  <c r="F547" i="6"/>
  <c r="E547" i="6"/>
  <c r="G547" i="6"/>
  <c r="F548" i="6"/>
  <c r="E548" i="6"/>
  <c r="G548" i="6"/>
  <c r="F549" i="6"/>
  <c r="E549" i="6"/>
  <c r="G549" i="6"/>
  <c r="F550" i="6"/>
  <c r="E550" i="6"/>
  <c r="G550" i="6"/>
  <c r="F551" i="6"/>
  <c r="E551" i="6"/>
  <c r="G551" i="6"/>
  <c r="F552" i="6"/>
  <c r="E552" i="6"/>
  <c r="G552" i="6"/>
  <c r="F553" i="6"/>
  <c r="E553" i="6"/>
  <c r="G553" i="6"/>
  <c r="F554" i="6"/>
  <c r="E554" i="6"/>
  <c r="G554" i="6"/>
  <c r="F555" i="6"/>
  <c r="E555" i="6"/>
  <c r="G555" i="6"/>
  <c r="F556" i="6"/>
  <c r="E556" i="6"/>
  <c r="G556" i="6"/>
  <c r="F557" i="6"/>
  <c r="E557" i="6"/>
  <c r="G557" i="6"/>
  <c r="F558" i="6"/>
  <c r="E558" i="6"/>
  <c r="G558" i="6"/>
  <c r="F559" i="6"/>
  <c r="E559" i="6"/>
  <c r="G559" i="6"/>
  <c r="F560" i="6"/>
  <c r="E560" i="6"/>
  <c r="G560" i="6"/>
  <c r="F561" i="6"/>
  <c r="E561" i="6"/>
  <c r="G561" i="6"/>
  <c r="F562" i="6"/>
  <c r="E562" i="6"/>
  <c r="G562" i="6"/>
  <c r="F563" i="6"/>
  <c r="E563" i="6"/>
  <c r="G563" i="6"/>
  <c r="F564" i="6"/>
  <c r="E564" i="6"/>
  <c r="G564" i="6"/>
  <c r="F565" i="6"/>
  <c r="E565" i="6"/>
  <c r="G565" i="6"/>
  <c r="F566" i="6"/>
  <c r="E566" i="6"/>
  <c r="G566" i="6"/>
  <c r="F567" i="6"/>
  <c r="E567" i="6"/>
  <c r="G567" i="6"/>
  <c r="F568" i="6"/>
  <c r="E568" i="6"/>
  <c r="G568" i="6"/>
  <c r="F569" i="6"/>
  <c r="E569" i="6"/>
  <c r="G569" i="6"/>
  <c r="F570" i="6"/>
  <c r="E570" i="6"/>
  <c r="G570" i="6"/>
  <c r="F571" i="6"/>
  <c r="E571" i="6"/>
  <c r="G571" i="6"/>
  <c r="F572" i="6"/>
  <c r="E572" i="6"/>
  <c r="G572" i="6"/>
  <c r="F573" i="6"/>
  <c r="E573" i="6"/>
  <c r="G573" i="6"/>
  <c r="F574" i="6"/>
  <c r="E574" i="6"/>
  <c r="G574" i="6"/>
  <c r="F575" i="6"/>
  <c r="E575" i="6"/>
  <c r="G575" i="6"/>
  <c r="F576" i="6"/>
  <c r="E576" i="6"/>
  <c r="G576" i="6"/>
  <c r="F577" i="6"/>
  <c r="E577" i="6"/>
  <c r="G577" i="6"/>
  <c r="F578" i="6"/>
  <c r="E578" i="6"/>
  <c r="G578" i="6"/>
  <c r="F579" i="6"/>
  <c r="E579" i="6"/>
  <c r="G579" i="6"/>
  <c r="F580" i="6"/>
  <c r="E580" i="6"/>
  <c r="G580" i="6"/>
  <c r="F581" i="6"/>
  <c r="E581" i="6"/>
  <c r="G581" i="6"/>
  <c r="F582" i="6"/>
  <c r="E582" i="6"/>
  <c r="G582" i="6"/>
  <c r="F583" i="6"/>
  <c r="E583" i="6"/>
  <c r="G583" i="6"/>
  <c r="F584" i="6"/>
  <c r="E584" i="6"/>
  <c r="G584" i="6"/>
  <c r="F585" i="6"/>
  <c r="E585" i="6"/>
  <c r="G585" i="6"/>
  <c r="F586" i="6"/>
  <c r="E586" i="6"/>
  <c r="G586" i="6"/>
  <c r="F587" i="6"/>
  <c r="E587" i="6"/>
  <c r="G587" i="6"/>
  <c r="F588" i="6"/>
  <c r="E588" i="6"/>
  <c r="G588" i="6"/>
  <c r="F589" i="6"/>
  <c r="E589" i="6"/>
  <c r="G589" i="6"/>
  <c r="F590" i="6"/>
  <c r="E590" i="6"/>
  <c r="G590" i="6"/>
  <c r="F591" i="6"/>
  <c r="E591" i="6"/>
  <c r="G591" i="6"/>
  <c r="F592" i="6"/>
  <c r="E592" i="6"/>
  <c r="G592" i="6"/>
  <c r="F593" i="6"/>
  <c r="E593" i="6"/>
  <c r="G593" i="6"/>
  <c r="F594" i="6"/>
  <c r="E594" i="6"/>
  <c r="G594" i="6"/>
  <c r="F595" i="6"/>
  <c r="E595" i="6"/>
  <c r="G595" i="6"/>
  <c r="F596" i="6"/>
  <c r="E596" i="6"/>
  <c r="G596" i="6"/>
  <c r="F597" i="6"/>
  <c r="E597" i="6"/>
  <c r="G597" i="6"/>
  <c r="F598" i="6"/>
  <c r="E598" i="6"/>
  <c r="G598" i="6"/>
  <c r="F599" i="6"/>
  <c r="E599" i="6"/>
  <c r="G599" i="6"/>
  <c r="F600" i="6"/>
  <c r="E600" i="6"/>
  <c r="G600" i="6"/>
  <c r="F601" i="6"/>
  <c r="E601" i="6"/>
  <c r="G601" i="6"/>
  <c r="F602" i="6"/>
  <c r="E602" i="6"/>
  <c r="G602" i="6"/>
  <c r="F603" i="6"/>
  <c r="E603" i="6"/>
  <c r="G603" i="6"/>
  <c r="F604" i="6"/>
  <c r="E604" i="6"/>
  <c r="G604" i="6"/>
  <c r="F605" i="6"/>
  <c r="E605" i="6"/>
  <c r="G605" i="6"/>
  <c r="F606" i="6"/>
  <c r="E606" i="6"/>
  <c r="G606" i="6"/>
  <c r="F607" i="6"/>
  <c r="E607" i="6"/>
  <c r="G607" i="6"/>
  <c r="F608" i="6"/>
  <c r="E608" i="6"/>
  <c r="G608" i="6"/>
  <c r="F609" i="6"/>
  <c r="E609" i="6"/>
  <c r="G609" i="6"/>
  <c r="F610" i="6"/>
  <c r="E610" i="6"/>
  <c r="G610" i="6"/>
  <c r="F611" i="6"/>
  <c r="E611" i="6"/>
  <c r="G611" i="6"/>
  <c r="F612" i="6"/>
  <c r="E612" i="6"/>
  <c r="G612" i="6"/>
  <c r="F613" i="6"/>
  <c r="E613" i="6"/>
  <c r="G613" i="6"/>
  <c r="F614" i="6"/>
  <c r="E614" i="6"/>
  <c r="G614" i="6"/>
  <c r="F615" i="6"/>
  <c r="E615" i="6"/>
  <c r="G615" i="6"/>
  <c r="F616" i="6"/>
  <c r="E616" i="6"/>
  <c r="G616" i="6"/>
  <c r="F617" i="6"/>
  <c r="E617" i="6"/>
  <c r="G617" i="6"/>
  <c r="F618" i="6"/>
  <c r="E618" i="6"/>
  <c r="G618" i="6"/>
  <c r="F619" i="6"/>
  <c r="E619" i="6"/>
  <c r="G619" i="6"/>
  <c r="F620" i="6"/>
  <c r="E620" i="6"/>
  <c r="G620" i="6"/>
  <c r="F621" i="6"/>
  <c r="E621" i="6"/>
  <c r="G621" i="6"/>
  <c r="F622" i="6"/>
  <c r="E622" i="6"/>
  <c r="G622" i="6"/>
  <c r="F623" i="6"/>
  <c r="E623" i="6"/>
  <c r="G623" i="6"/>
  <c r="F624" i="6"/>
  <c r="E624" i="6"/>
  <c r="G624" i="6"/>
  <c r="F625" i="6"/>
  <c r="E625" i="6"/>
  <c r="G625" i="6"/>
  <c r="F626" i="6"/>
  <c r="E626" i="6"/>
  <c r="G626" i="6"/>
  <c r="F627" i="6"/>
  <c r="E627" i="6"/>
  <c r="G627" i="6"/>
  <c r="F628" i="6"/>
  <c r="E628" i="6"/>
  <c r="G628" i="6"/>
  <c r="F629" i="6"/>
  <c r="E629" i="6"/>
  <c r="G629" i="6"/>
  <c r="F630" i="6"/>
  <c r="E630" i="6"/>
  <c r="G630" i="6"/>
  <c r="F631" i="6"/>
  <c r="E631" i="6"/>
  <c r="G631" i="6"/>
  <c r="F632" i="6"/>
  <c r="E632" i="6"/>
  <c r="G632" i="6"/>
  <c r="F633" i="6"/>
  <c r="E633" i="6"/>
  <c r="G633" i="6"/>
  <c r="F634" i="6"/>
  <c r="E634" i="6"/>
  <c r="G634" i="6"/>
  <c r="F635" i="6"/>
  <c r="E635" i="6"/>
  <c r="G635" i="6"/>
  <c r="F636" i="6"/>
  <c r="E636" i="6"/>
  <c r="G636" i="6"/>
  <c r="F637" i="6"/>
  <c r="E637" i="6"/>
  <c r="G637" i="6"/>
  <c r="F638" i="6"/>
  <c r="E638" i="6"/>
  <c r="G638" i="6"/>
  <c r="F639" i="6"/>
  <c r="E639" i="6"/>
  <c r="G639" i="6"/>
  <c r="F640" i="6"/>
  <c r="E640" i="6"/>
  <c r="G640" i="6"/>
  <c r="F641" i="6"/>
  <c r="E641" i="6"/>
  <c r="G641" i="6"/>
  <c r="F642" i="6"/>
  <c r="E642" i="6"/>
  <c r="G642" i="6"/>
  <c r="F643" i="6"/>
  <c r="E643" i="6"/>
  <c r="G643" i="6"/>
  <c r="F644" i="6"/>
  <c r="E644" i="6"/>
  <c r="G644" i="6"/>
  <c r="F645" i="6"/>
  <c r="E645" i="6"/>
  <c r="G645" i="6"/>
  <c r="F646" i="6"/>
  <c r="E646" i="6"/>
  <c r="G646" i="6"/>
  <c r="F647" i="6"/>
  <c r="E647" i="6"/>
  <c r="G647" i="6"/>
  <c r="F648" i="6"/>
  <c r="E648" i="6"/>
  <c r="G648" i="6"/>
  <c r="F649" i="6"/>
  <c r="E649" i="6"/>
  <c r="G649" i="6"/>
  <c r="F650" i="6"/>
  <c r="E650" i="6"/>
  <c r="G650" i="6"/>
  <c r="F651" i="6"/>
  <c r="E651" i="6"/>
  <c r="G651" i="6"/>
  <c r="F652" i="6"/>
  <c r="E652" i="6"/>
  <c r="G652" i="6"/>
  <c r="F653" i="6"/>
  <c r="E653" i="6"/>
  <c r="G653" i="6"/>
  <c r="F654" i="6"/>
  <c r="E654" i="6"/>
  <c r="G654" i="6"/>
  <c r="F655" i="6"/>
  <c r="E655" i="6"/>
  <c r="G655" i="6"/>
  <c r="F656" i="6"/>
  <c r="E656" i="6"/>
  <c r="G656" i="6"/>
  <c r="F657" i="6"/>
  <c r="E657" i="6"/>
  <c r="G657" i="6"/>
  <c r="F658" i="6"/>
  <c r="E658" i="6"/>
  <c r="G658" i="6"/>
  <c r="F659" i="6"/>
  <c r="E659" i="6"/>
  <c r="G659" i="6"/>
  <c r="F660" i="6"/>
  <c r="E660" i="6"/>
  <c r="G660" i="6"/>
  <c r="F661" i="6"/>
  <c r="E661" i="6"/>
  <c r="G661" i="6"/>
  <c r="F662" i="6"/>
  <c r="E662" i="6"/>
  <c r="G662" i="6"/>
  <c r="F663" i="6"/>
  <c r="E663" i="6"/>
  <c r="G663" i="6"/>
  <c r="F664" i="6"/>
  <c r="E664" i="6"/>
  <c r="G664" i="6"/>
  <c r="F665" i="6"/>
  <c r="E665" i="6"/>
  <c r="G665" i="6"/>
  <c r="F666" i="6"/>
  <c r="E666" i="6"/>
  <c r="G666" i="6"/>
  <c r="F667" i="6"/>
  <c r="E667" i="6"/>
  <c r="G667" i="6"/>
  <c r="F668" i="6"/>
  <c r="E668" i="6"/>
  <c r="G668" i="6"/>
  <c r="F669" i="6"/>
  <c r="E669" i="6"/>
  <c r="G669" i="6"/>
  <c r="F670" i="6"/>
  <c r="E670" i="6"/>
  <c r="G670" i="6"/>
  <c r="F671" i="6"/>
  <c r="E671" i="6"/>
  <c r="G671" i="6"/>
  <c r="F672" i="6"/>
  <c r="E672" i="6"/>
  <c r="G672" i="6"/>
  <c r="F673" i="6"/>
  <c r="E673" i="6"/>
  <c r="G673" i="6"/>
  <c r="F674" i="6"/>
  <c r="E674" i="6"/>
  <c r="G674" i="6"/>
  <c r="F675" i="6"/>
  <c r="E675" i="6"/>
  <c r="G675" i="6"/>
  <c r="F676" i="6"/>
  <c r="E676" i="6"/>
  <c r="G676" i="6"/>
  <c r="F677" i="6"/>
  <c r="E677" i="6"/>
  <c r="G677" i="6"/>
  <c r="F678" i="6"/>
  <c r="E678" i="6"/>
  <c r="G678" i="6"/>
  <c r="F679" i="6"/>
  <c r="E679" i="6"/>
  <c r="G679" i="6"/>
  <c r="F680" i="6"/>
  <c r="E680" i="6"/>
  <c r="G680" i="6"/>
  <c r="F681" i="6"/>
  <c r="E681" i="6"/>
  <c r="G681" i="6"/>
  <c r="F682" i="6"/>
  <c r="E682" i="6"/>
  <c r="G682" i="6"/>
  <c r="F683" i="6"/>
  <c r="E683" i="6"/>
  <c r="G683" i="6"/>
  <c r="F684" i="6"/>
  <c r="E684" i="6"/>
  <c r="G684" i="6"/>
  <c r="F685" i="6"/>
  <c r="E685" i="6"/>
  <c r="G685" i="6"/>
  <c r="F686" i="6"/>
  <c r="E686" i="6"/>
  <c r="G686" i="6"/>
  <c r="F687" i="6"/>
  <c r="E687" i="6"/>
  <c r="G687" i="6"/>
  <c r="F688" i="6"/>
  <c r="E688" i="6"/>
  <c r="G688" i="6"/>
  <c r="F689" i="6"/>
  <c r="E689" i="6"/>
  <c r="G689" i="6"/>
  <c r="F690" i="6"/>
  <c r="E690" i="6"/>
  <c r="G690" i="6"/>
  <c r="F691" i="6"/>
  <c r="E691" i="6"/>
  <c r="G691" i="6"/>
  <c r="F692" i="6"/>
  <c r="E692" i="6"/>
  <c r="G692" i="6"/>
  <c r="F693" i="6"/>
  <c r="E693" i="6"/>
  <c r="G693" i="6"/>
  <c r="F694" i="6"/>
  <c r="E694" i="6"/>
  <c r="G694" i="6"/>
  <c r="F695" i="6"/>
  <c r="E695" i="6"/>
  <c r="G695" i="6"/>
  <c r="F696" i="6"/>
  <c r="E696" i="6"/>
  <c r="G696" i="6"/>
  <c r="F697" i="6"/>
  <c r="E697" i="6"/>
  <c r="G697" i="6"/>
  <c r="F698" i="6"/>
  <c r="E698" i="6"/>
  <c r="G698" i="6"/>
  <c r="F699" i="6"/>
  <c r="E699" i="6"/>
  <c r="G699" i="6"/>
  <c r="F700" i="6"/>
  <c r="E700" i="6"/>
  <c r="G700" i="6"/>
  <c r="F701" i="6"/>
  <c r="E701" i="6"/>
  <c r="G701" i="6"/>
  <c r="F702" i="6"/>
  <c r="E702" i="6"/>
  <c r="G702" i="6"/>
  <c r="F703" i="6"/>
  <c r="E703" i="6"/>
  <c r="G703" i="6"/>
  <c r="F704" i="6"/>
  <c r="E704" i="6"/>
  <c r="G704" i="6"/>
  <c r="F705" i="6"/>
  <c r="E705" i="6"/>
  <c r="G705" i="6"/>
  <c r="F706" i="6"/>
  <c r="E706" i="6"/>
  <c r="G706" i="6"/>
  <c r="F707" i="6"/>
  <c r="E707" i="6"/>
  <c r="G707" i="6"/>
  <c r="F708" i="6"/>
  <c r="E708" i="6"/>
  <c r="G708" i="6"/>
  <c r="F709" i="6"/>
  <c r="E709" i="6"/>
  <c r="G709" i="6"/>
  <c r="F710" i="6"/>
  <c r="E710" i="6"/>
  <c r="G710" i="6"/>
  <c r="F711" i="6"/>
  <c r="E711" i="6"/>
  <c r="G711" i="6"/>
  <c r="F712" i="6"/>
  <c r="E712" i="6"/>
  <c r="G712" i="6"/>
  <c r="F713" i="6"/>
  <c r="E713" i="6"/>
  <c r="G713" i="6"/>
  <c r="F714" i="6"/>
  <c r="E714" i="6"/>
  <c r="G714" i="6"/>
  <c r="F715" i="6"/>
  <c r="E715" i="6"/>
  <c r="G715" i="6"/>
  <c r="F716" i="6"/>
  <c r="E716" i="6"/>
  <c r="G716" i="6"/>
  <c r="F717" i="6"/>
  <c r="E717" i="6"/>
  <c r="G717" i="6"/>
  <c r="F718" i="6"/>
  <c r="E718" i="6"/>
  <c r="G718" i="6"/>
  <c r="F719" i="6"/>
  <c r="E719" i="6"/>
  <c r="G719" i="6"/>
  <c r="F720" i="6"/>
  <c r="E720" i="6"/>
  <c r="G720" i="6"/>
  <c r="F721" i="6"/>
  <c r="E721" i="6"/>
  <c r="G721" i="6"/>
  <c r="F722" i="6"/>
  <c r="E722" i="6"/>
  <c r="G722" i="6"/>
  <c r="F723" i="6"/>
  <c r="E723" i="6"/>
  <c r="G723" i="6"/>
  <c r="F724" i="6"/>
  <c r="E724" i="6"/>
  <c r="G724" i="6"/>
  <c r="F725" i="6"/>
  <c r="E725" i="6"/>
  <c r="G725" i="6"/>
  <c r="F726" i="6"/>
  <c r="E726" i="6"/>
  <c r="G726" i="6"/>
  <c r="F727" i="6"/>
  <c r="E727" i="6"/>
  <c r="G727" i="6"/>
  <c r="F728" i="6"/>
  <c r="E728" i="6"/>
  <c r="G728" i="6"/>
  <c r="F729" i="6"/>
  <c r="E729" i="6"/>
  <c r="G729" i="6"/>
  <c r="F730" i="6"/>
  <c r="E730" i="6"/>
  <c r="G730" i="6"/>
  <c r="F731" i="6"/>
  <c r="E731" i="6"/>
  <c r="G731" i="6"/>
  <c r="F732" i="6"/>
  <c r="E732" i="6"/>
  <c r="G732" i="6"/>
  <c r="F733" i="6"/>
  <c r="E733" i="6"/>
  <c r="G733" i="6"/>
  <c r="F734" i="6"/>
  <c r="E734" i="6"/>
  <c r="G734" i="6"/>
  <c r="F735" i="6"/>
  <c r="E735" i="6"/>
  <c r="G735" i="6"/>
  <c r="F736" i="6"/>
  <c r="E736" i="6"/>
  <c r="G736" i="6"/>
  <c r="F737" i="6"/>
  <c r="E737" i="6"/>
  <c r="G737" i="6"/>
  <c r="F738" i="6"/>
  <c r="E738" i="6"/>
  <c r="G738" i="6"/>
  <c r="F739" i="6"/>
  <c r="E739" i="6"/>
  <c r="G739" i="6"/>
  <c r="F740" i="6"/>
  <c r="E740" i="6"/>
  <c r="G740" i="6"/>
  <c r="F741" i="6"/>
  <c r="E741" i="6"/>
  <c r="G741" i="6"/>
  <c r="F742" i="6"/>
  <c r="E742" i="6"/>
  <c r="G742" i="6"/>
  <c r="F743" i="6"/>
  <c r="E743" i="6"/>
  <c r="G743" i="6"/>
  <c r="F744" i="6"/>
  <c r="E744" i="6"/>
  <c r="G744" i="6"/>
  <c r="F745" i="6"/>
  <c r="E745" i="6"/>
  <c r="G745" i="6"/>
  <c r="F746" i="6"/>
  <c r="E746" i="6"/>
  <c r="G746" i="6"/>
  <c r="F747" i="6"/>
  <c r="E747" i="6"/>
  <c r="G747" i="6"/>
  <c r="F748" i="6"/>
  <c r="E748" i="6"/>
  <c r="G748" i="6"/>
  <c r="F749" i="6"/>
  <c r="E749" i="6"/>
  <c r="G749" i="6"/>
  <c r="F750" i="6"/>
  <c r="E750" i="6"/>
  <c r="G750" i="6"/>
  <c r="F751" i="6"/>
  <c r="E751" i="6"/>
  <c r="G751" i="6"/>
  <c r="F752" i="6"/>
  <c r="E752" i="6"/>
  <c r="G752" i="6"/>
  <c r="F753" i="6"/>
  <c r="E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E754" i="6"/>
  <c r="G783" i="6"/>
  <c r="F78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G784" i="6"/>
  <c r="F785" i="6"/>
  <c r="E785" i="6"/>
  <c r="G785" i="6"/>
  <c r="F786" i="6"/>
  <c r="E786" i="6"/>
  <c r="G786" i="6"/>
  <c r="F787" i="6"/>
  <c r="E787" i="6"/>
  <c r="G787" i="6"/>
  <c r="F788" i="6"/>
  <c r="E788" i="6"/>
  <c r="G788" i="6"/>
  <c r="F789" i="6"/>
  <c r="E789" i="6"/>
  <c r="G789" i="6"/>
  <c r="F790" i="6"/>
  <c r="E790" i="6"/>
  <c r="G790" i="6"/>
  <c r="F791" i="6"/>
  <c r="E791" i="6"/>
  <c r="G791" i="6"/>
  <c r="F792" i="6"/>
  <c r="E792" i="6"/>
  <c r="G792" i="6"/>
  <c r="F793" i="6"/>
  <c r="E793" i="6"/>
  <c r="G793" i="6"/>
  <c r="F794" i="6"/>
  <c r="E794" i="6"/>
  <c r="G794" i="6"/>
  <c r="F795" i="6"/>
  <c r="E795" i="6"/>
  <c r="G795" i="6"/>
  <c r="F796" i="6"/>
  <c r="E796" i="6"/>
  <c r="G796" i="6"/>
  <c r="F797" i="6"/>
  <c r="E797" i="6"/>
  <c r="G797" i="6"/>
  <c r="F798" i="6"/>
  <c r="E798" i="6"/>
  <c r="G798" i="6"/>
  <c r="F799" i="6"/>
  <c r="E799" i="6"/>
  <c r="G799" i="6"/>
  <c r="F800" i="6"/>
  <c r="E800" i="6"/>
  <c r="G800" i="6"/>
  <c r="F801" i="6"/>
  <c r="E801" i="6"/>
  <c r="G801" i="6"/>
  <c r="F802" i="6"/>
  <c r="E802" i="6"/>
  <c r="G802" i="6"/>
  <c r="F803" i="6"/>
  <c r="E803" i="6"/>
  <c r="G803" i="6"/>
  <c r="F804" i="6"/>
  <c r="E804" i="6"/>
  <c r="G804" i="6"/>
  <c r="F805" i="6"/>
  <c r="E805" i="6"/>
  <c r="G805" i="6"/>
  <c r="F806" i="6"/>
  <c r="E806" i="6"/>
  <c r="G806" i="6"/>
  <c r="F807" i="6"/>
  <c r="E807" i="6"/>
  <c r="G807" i="6"/>
  <c r="F808" i="6"/>
  <c r="E808" i="6"/>
  <c r="G808" i="6"/>
  <c r="F809" i="6"/>
  <c r="E809" i="6"/>
  <c r="G809" i="6"/>
  <c r="F810" i="6"/>
  <c r="E810" i="6"/>
  <c r="G810" i="6"/>
  <c r="F811" i="6"/>
  <c r="E811" i="6"/>
  <c r="G811" i="6"/>
  <c r="F812" i="6"/>
  <c r="E812" i="6"/>
  <c r="G812" i="6"/>
  <c r="F813" i="6"/>
  <c r="E813" i="6"/>
  <c r="G813" i="6"/>
  <c r="F814" i="6"/>
  <c r="E814" i="6"/>
  <c r="G814" i="6"/>
  <c r="F815" i="6"/>
  <c r="E815" i="6"/>
  <c r="G815" i="6"/>
  <c r="F816" i="6"/>
  <c r="E816" i="6"/>
  <c r="G816" i="6"/>
  <c r="F817" i="6"/>
  <c r="E817" i="6"/>
  <c r="G817" i="6"/>
  <c r="F818" i="6"/>
  <c r="E818" i="6"/>
  <c r="G818" i="6"/>
  <c r="F819" i="6"/>
  <c r="E819" i="6"/>
  <c r="G819" i="6"/>
  <c r="F820" i="6"/>
  <c r="E820" i="6"/>
  <c r="G820" i="6"/>
  <c r="F821" i="6"/>
  <c r="E821" i="6"/>
  <c r="G821" i="6"/>
  <c r="F822" i="6"/>
  <c r="E822" i="6"/>
  <c r="G822" i="6"/>
  <c r="F823" i="6"/>
  <c r="E823" i="6"/>
  <c r="G823" i="6"/>
  <c r="F824" i="6"/>
  <c r="E824" i="6"/>
  <c r="G824" i="6"/>
  <c r="F825" i="6"/>
  <c r="E825" i="6"/>
  <c r="G825" i="6"/>
  <c r="F826" i="6"/>
  <c r="E826" i="6"/>
  <c r="G826" i="6"/>
  <c r="F827" i="6"/>
  <c r="E827" i="6"/>
  <c r="G827" i="6"/>
  <c r="F828" i="6"/>
  <c r="E828" i="6"/>
  <c r="G828" i="6"/>
  <c r="F829" i="6"/>
  <c r="E829" i="6"/>
  <c r="G829" i="6"/>
  <c r="F830" i="6"/>
  <c r="E830" i="6"/>
  <c r="G830" i="6"/>
  <c r="F831" i="6"/>
  <c r="E831" i="6"/>
  <c r="G831" i="6"/>
  <c r="F832" i="6"/>
  <c r="E832" i="6"/>
  <c r="G832" i="6"/>
  <c r="F833" i="6"/>
  <c r="E833" i="6"/>
  <c r="G833" i="6"/>
  <c r="F834" i="6"/>
  <c r="E834" i="6"/>
  <c r="G834" i="6"/>
  <c r="F835" i="6"/>
  <c r="E835" i="6"/>
  <c r="G835" i="6"/>
  <c r="F836" i="6"/>
  <c r="E836" i="6"/>
  <c r="G836" i="6"/>
  <c r="F837" i="6"/>
  <c r="E837" i="6"/>
  <c r="G837" i="6"/>
  <c r="F838" i="6"/>
  <c r="E838" i="6"/>
  <c r="G838" i="6"/>
  <c r="F839" i="6"/>
  <c r="E839" i="6"/>
  <c r="G839" i="6"/>
  <c r="F840" i="6"/>
  <c r="E840" i="6"/>
  <c r="G840" i="6"/>
  <c r="F841" i="6"/>
  <c r="E841" i="6"/>
  <c r="G841" i="6"/>
  <c r="F842" i="6"/>
  <c r="E842" i="6"/>
  <c r="G842" i="6"/>
  <c r="F843" i="6"/>
  <c r="E843" i="6"/>
  <c r="G843" i="6"/>
  <c r="F844" i="6"/>
  <c r="E844" i="6"/>
  <c r="G844" i="6"/>
  <c r="F845" i="6"/>
  <c r="E845" i="6"/>
  <c r="G845" i="6"/>
  <c r="F846" i="6"/>
  <c r="E846" i="6"/>
  <c r="G846" i="6"/>
  <c r="F847" i="6"/>
  <c r="E847" i="6"/>
  <c r="G847" i="6"/>
  <c r="F848" i="6"/>
  <c r="E848" i="6"/>
  <c r="G848" i="6"/>
  <c r="F849" i="6"/>
  <c r="E849" i="6"/>
  <c r="G849" i="6"/>
  <c r="F850" i="6"/>
  <c r="E850" i="6"/>
  <c r="G850" i="6"/>
  <c r="F851" i="6"/>
  <c r="E851" i="6"/>
  <c r="G851" i="6"/>
  <c r="F852" i="6"/>
  <c r="E852" i="6"/>
  <c r="G852" i="6"/>
  <c r="F853" i="6"/>
  <c r="E853" i="6"/>
  <c r="G853" i="6"/>
  <c r="F854" i="6"/>
  <c r="E854" i="6"/>
  <c r="G854" i="6"/>
  <c r="F855" i="6"/>
  <c r="E855" i="6"/>
  <c r="G855" i="6"/>
  <c r="F856" i="6"/>
  <c r="E856" i="6"/>
  <c r="G856" i="6"/>
  <c r="F857" i="6"/>
  <c r="E857" i="6"/>
  <c r="G857" i="6"/>
  <c r="F858" i="6"/>
  <c r="E858" i="6"/>
  <c r="G858" i="6"/>
  <c r="F859" i="6"/>
  <c r="E859" i="6"/>
  <c r="G859" i="6"/>
  <c r="F860" i="6"/>
  <c r="E860" i="6"/>
  <c r="G860" i="6"/>
  <c r="F861" i="6"/>
  <c r="E861" i="6"/>
  <c r="G861" i="6"/>
  <c r="F862" i="6"/>
  <c r="E862" i="6"/>
  <c r="G862" i="6"/>
  <c r="F863" i="6"/>
  <c r="E863" i="6"/>
  <c r="G863" i="6"/>
  <c r="F864" i="6"/>
  <c r="E864" i="6"/>
  <c r="G864" i="6"/>
  <c r="F865" i="6"/>
  <c r="E865" i="6"/>
  <c r="G865" i="6"/>
  <c r="F866" i="6"/>
  <c r="E866" i="6"/>
  <c r="G866" i="6"/>
  <c r="F867" i="6"/>
  <c r="E867" i="6"/>
  <c r="G867" i="6"/>
  <c r="F868" i="6"/>
  <c r="E868" i="6"/>
  <c r="G868" i="6"/>
  <c r="F869" i="6"/>
  <c r="E869" i="6"/>
  <c r="G869" i="6"/>
  <c r="F870" i="6"/>
  <c r="E870" i="6"/>
  <c r="G870" i="6"/>
  <c r="F871" i="6"/>
  <c r="E871" i="6"/>
  <c r="G871" i="6"/>
  <c r="F872" i="6"/>
  <c r="E872" i="6"/>
  <c r="G872" i="6"/>
  <c r="F873" i="6"/>
  <c r="E873" i="6"/>
  <c r="G873" i="6"/>
  <c r="F874" i="6"/>
  <c r="E874" i="6"/>
  <c r="G874" i="6"/>
  <c r="F875" i="6"/>
  <c r="E875" i="6"/>
  <c r="G875" i="6"/>
  <c r="F876" i="6"/>
  <c r="E876" i="6"/>
  <c r="G876" i="6"/>
  <c r="F877" i="6"/>
  <c r="E877" i="6"/>
  <c r="G877" i="6"/>
  <c r="F878" i="6"/>
  <c r="E878" i="6"/>
  <c r="G878" i="6"/>
  <c r="F879" i="6"/>
  <c r="E879" i="6"/>
  <c r="G879" i="6"/>
  <c r="F880" i="6"/>
  <c r="E880" i="6"/>
  <c r="G880" i="6"/>
  <c r="F881" i="6"/>
  <c r="E881" i="6"/>
  <c r="G881" i="6"/>
  <c r="F882" i="6"/>
  <c r="E882" i="6"/>
  <c r="G882" i="6"/>
  <c r="F883" i="6"/>
  <c r="E883" i="6"/>
  <c r="G883" i="6"/>
  <c r="F884" i="6"/>
  <c r="E884" i="6"/>
  <c r="G884" i="6"/>
  <c r="F885" i="6"/>
  <c r="E885" i="6"/>
  <c r="G885" i="6"/>
  <c r="F886" i="6"/>
  <c r="E886" i="6"/>
  <c r="G886" i="6"/>
  <c r="F887" i="6"/>
  <c r="E887" i="6"/>
  <c r="G887" i="6"/>
  <c r="F888" i="6"/>
  <c r="E888" i="6"/>
  <c r="G888" i="6"/>
  <c r="F889" i="6"/>
  <c r="E889" i="6"/>
  <c r="G889" i="6"/>
  <c r="F890" i="6"/>
  <c r="E890" i="6"/>
  <c r="G890" i="6"/>
  <c r="F891" i="6"/>
  <c r="E891" i="6"/>
  <c r="G891" i="6"/>
  <c r="F892" i="6"/>
  <c r="E892" i="6"/>
  <c r="G892" i="6"/>
  <c r="F893" i="6"/>
  <c r="E893" i="6"/>
  <c r="G893" i="6"/>
  <c r="F894" i="6"/>
  <c r="E894" i="6"/>
  <c r="G894" i="6"/>
  <c r="F895" i="6"/>
  <c r="E895" i="6"/>
  <c r="G895" i="6"/>
  <c r="F896" i="6"/>
  <c r="E896" i="6"/>
  <c r="G896" i="6"/>
  <c r="F897" i="6"/>
  <c r="E897" i="6"/>
  <c r="G897" i="6"/>
  <c r="F898" i="6"/>
  <c r="E898" i="6"/>
  <c r="G898" i="6"/>
  <c r="F899" i="6"/>
  <c r="E899" i="6"/>
  <c r="G899" i="6"/>
  <c r="F900" i="6"/>
  <c r="E900" i="6"/>
  <c r="G900" i="6"/>
  <c r="F901" i="6"/>
  <c r="E901" i="6"/>
  <c r="G901" i="6"/>
  <c r="F902" i="6"/>
  <c r="E902" i="6"/>
  <c r="G902" i="6"/>
  <c r="F903" i="6"/>
  <c r="E903" i="6"/>
  <c r="G903" i="6"/>
  <c r="F904" i="6"/>
  <c r="E904" i="6"/>
  <c r="G904" i="6"/>
  <c r="F905" i="6"/>
  <c r="E905" i="6"/>
  <c r="G905" i="6"/>
  <c r="F906" i="6"/>
  <c r="E906" i="6"/>
  <c r="G906" i="6"/>
  <c r="F907" i="6"/>
  <c r="E907" i="6"/>
  <c r="G907" i="6"/>
  <c r="F908" i="6"/>
  <c r="E908" i="6"/>
  <c r="G908" i="6"/>
  <c r="F909" i="6"/>
  <c r="E909" i="6"/>
  <c r="G909" i="6"/>
  <c r="F910" i="6"/>
  <c r="E910" i="6"/>
  <c r="G910" i="6"/>
  <c r="F911" i="6"/>
  <c r="E911" i="6"/>
  <c r="G911" i="6"/>
  <c r="F912" i="6"/>
  <c r="E912" i="6"/>
  <c r="G912" i="6"/>
  <c r="F913" i="6"/>
  <c r="E913" i="6"/>
  <c r="G913" i="6"/>
  <c r="F914" i="6"/>
  <c r="E914" i="6"/>
  <c r="G914" i="6"/>
  <c r="F915" i="6"/>
  <c r="E915" i="6"/>
  <c r="G915" i="6"/>
  <c r="F916" i="6"/>
  <c r="E916" i="6"/>
  <c r="G916" i="6"/>
  <c r="F917" i="6"/>
  <c r="E917" i="6"/>
  <c r="G917" i="6"/>
  <c r="F918" i="6"/>
  <c r="E918" i="6"/>
  <c r="G918" i="6"/>
  <c r="F919" i="6"/>
  <c r="E919" i="6"/>
  <c r="G919" i="6"/>
  <c r="F920" i="6"/>
  <c r="E920" i="6"/>
  <c r="G920" i="6"/>
  <c r="F921" i="6"/>
  <c r="E921" i="6"/>
  <c r="G921" i="6"/>
  <c r="F922" i="6"/>
  <c r="E922" i="6"/>
  <c r="G922" i="6"/>
  <c r="F923" i="6"/>
  <c r="E923" i="6"/>
  <c r="G923" i="6"/>
  <c r="F924" i="6"/>
  <c r="E924" i="6"/>
  <c r="G924" i="6"/>
  <c r="F925" i="6"/>
  <c r="E925" i="6"/>
  <c r="G925" i="6"/>
  <c r="F926" i="6"/>
  <c r="E926" i="6"/>
  <c r="G926" i="6"/>
  <c r="F927" i="6"/>
  <c r="E927" i="6"/>
  <c r="G927" i="6"/>
  <c r="F928" i="6"/>
  <c r="E928" i="6"/>
  <c r="G928" i="6"/>
  <c r="F929" i="6"/>
  <c r="E929" i="6"/>
  <c r="G929" i="6"/>
  <c r="F930" i="6"/>
  <c r="E930" i="6"/>
  <c r="G930" i="6"/>
  <c r="F931" i="6"/>
  <c r="E931" i="6"/>
  <c r="G931" i="6"/>
  <c r="F932" i="6"/>
  <c r="E932" i="6"/>
  <c r="G932" i="6"/>
  <c r="F933" i="6"/>
  <c r="E933" i="6"/>
  <c r="G933" i="6"/>
  <c r="F934" i="6"/>
  <c r="E934" i="6"/>
  <c r="G934" i="6"/>
  <c r="F935" i="6"/>
  <c r="E935" i="6"/>
  <c r="G935" i="6"/>
  <c r="F936" i="6"/>
  <c r="E936" i="6"/>
  <c r="G936" i="6"/>
  <c r="F937" i="6"/>
  <c r="E937" i="6"/>
  <c r="G937" i="6"/>
  <c r="F938" i="6"/>
  <c r="E938" i="6"/>
  <c r="G938" i="6"/>
  <c r="F939" i="6"/>
  <c r="E939" i="6"/>
  <c r="G939" i="6"/>
  <c r="F940" i="6"/>
  <c r="E940" i="6"/>
  <c r="G940" i="6"/>
  <c r="F941" i="6"/>
  <c r="E941" i="6"/>
  <c r="G941" i="6"/>
  <c r="F942" i="6"/>
  <c r="E942" i="6"/>
  <c r="G942" i="6"/>
  <c r="F943" i="6"/>
  <c r="E943" i="6"/>
  <c r="G943" i="6"/>
  <c r="F944" i="6"/>
  <c r="E944" i="6"/>
  <c r="G944" i="6"/>
  <c r="F945" i="6"/>
  <c r="E945" i="6"/>
  <c r="G945" i="6"/>
  <c r="F946" i="6"/>
  <c r="E946" i="6"/>
  <c r="G946" i="6"/>
  <c r="F947" i="6"/>
  <c r="E947" i="6"/>
  <c r="G947" i="6"/>
  <c r="F948" i="6"/>
  <c r="E948" i="6"/>
  <c r="G948" i="6"/>
  <c r="F949" i="6"/>
  <c r="E949" i="6"/>
  <c r="G949" i="6"/>
  <c r="F950" i="6"/>
  <c r="E950" i="6"/>
  <c r="G950" i="6"/>
  <c r="F951" i="6"/>
  <c r="E951" i="6"/>
  <c r="G951" i="6"/>
  <c r="F952" i="6"/>
  <c r="E952" i="6"/>
  <c r="G952" i="6"/>
  <c r="F953" i="6"/>
  <c r="E953" i="6"/>
  <c r="G953" i="6"/>
  <c r="F954" i="6"/>
  <c r="E954" i="6"/>
  <c r="G954" i="6"/>
  <c r="F955" i="6"/>
  <c r="E955" i="6"/>
  <c r="G955" i="6"/>
  <c r="F956" i="6"/>
  <c r="E956" i="6"/>
  <c r="G956" i="6"/>
  <c r="F957" i="6"/>
  <c r="E957" i="6"/>
  <c r="G957" i="6"/>
  <c r="F958" i="6"/>
  <c r="E958" i="6"/>
  <c r="G958" i="6"/>
  <c r="F959" i="6"/>
  <c r="E959" i="6"/>
  <c r="G959" i="6"/>
  <c r="F960" i="6"/>
  <c r="E960" i="6"/>
  <c r="G960" i="6"/>
  <c r="F961" i="6"/>
  <c r="E961" i="6"/>
  <c r="G961" i="6"/>
  <c r="F962" i="6"/>
  <c r="E962" i="6"/>
  <c r="G962" i="6"/>
  <c r="F963" i="6"/>
  <c r="E963" i="6"/>
  <c r="G963" i="6"/>
  <c r="F964" i="6"/>
  <c r="E964" i="6"/>
  <c r="G964" i="6"/>
  <c r="F965" i="6"/>
  <c r="E965" i="6"/>
  <c r="G965" i="6"/>
  <c r="F966" i="6"/>
  <c r="E966" i="6"/>
  <c r="G966" i="6"/>
  <c r="F967" i="6"/>
  <c r="E967" i="6"/>
  <c r="G967" i="6"/>
  <c r="F968" i="6"/>
  <c r="E968" i="6"/>
  <c r="G968" i="6"/>
  <c r="F969" i="6"/>
  <c r="E969" i="6"/>
  <c r="G969" i="6"/>
  <c r="F970" i="6"/>
  <c r="E970" i="6"/>
  <c r="G970" i="6"/>
  <c r="F971" i="6"/>
  <c r="E971" i="6"/>
  <c r="G971" i="6"/>
  <c r="F972" i="6"/>
  <c r="E972" i="6"/>
  <c r="G972" i="6"/>
  <c r="F973" i="6"/>
  <c r="E973" i="6"/>
  <c r="G973" i="6"/>
  <c r="F974" i="6"/>
  <c r="E974" i="6"/>
  <c r="G974" i="6"/>
  <c r="F975" i="6"/>
  <c r="E975" i="6"/>
  <c r="G975" i="6"/>
  <c r="F976" i="6"/>
  <c r="E976" i="6"/>
  <c r="G976" i="6"/>
  <c r="F977" i="6"/>
  <c r="E977" i="6"/>
  <c r="G977" i="6"/>
  <c r="F978" i="6"/>
  <c r="E978" i="6"/>
  <c r="G978" i="6"/>
  <c r="F979" i="6"/>
  <c r="E979" i="6"/>
  <c r="G979" i="6"/>
  <c r="F980" i="6"/>
  <c r="E980" i="6"/>
  <c r="G980" i="6"/>
  <c r="F981" i="6"/>
  <c r="E981" i="6"/>
  <c r="G981" i="6"/>
  <c r="F982" i="6"/>
  <c r="E982" i="6"/>
  <c r="G982" i="6"/>
  <c r="F983" i="6"/>
  <c r="E983" i="6"/>
  <c r="G983" i="6"/>
  <c r="F984" i="6"/>
  <c r="E984" i="6"/>
  <c r="G984" i="6"/>
  <c r="F985" i="6"/>
  <c r="E985" i="6"/>
  <c r="G985" i="6"/>
  <c r="F986" i="6"/>
  <c r="E986" i="6"/>
  <c r="G986" i="6"/>
  <c r="F987" i="6"/>
  <c r="E987" i="6"/>
  <c r="G987" i="6"/>
  <c r="F988" i="6"/>
  <c r="E988" i="6"/>
  <c r="G988" i="6"/>
  <c r="F989" i="6"/>
  <c r="E989" i="6"/>
  <c r="G989" i="6"/>
  <c r="F990" i="6"/>
  <c r="E990" i="6"/>
  <c r="G990" i="6"/>
  <c r="F991" i="6"/>
  <c r="E991" i="6"/>
  <c r="G991" i="6"/>
  <c r="F992" i="6"/>
  <c r="E992" i="6"/>
  <c r="G992" i="6"/>
  <c r="F993" i="6"/>
  <c r="E993" i="6"/>
  <c r="G993" i="6"/>
  <c r="F994" i="6"/>
  <c r="E994" i="6"/>
  <c r="G994" i="6"/>
  <c r="F995" i="6"/>
  <c r="E995" i="6"/>
  <c r="G995" i="6"/>
  <c r="F996" i="6"/>
  <c r="E996" i="6"/>
  <c r="G996" i="6"/>
  <c r="F997" i="6"/>
  <c r="E997" i="6"/>
  <c r="G997" i="6"/>
  <c r="F998" i="6"/>
  <c r="E998" i="6"/>
  <c r="G998" i="6"/>
  <c r="F999" i="6"/>
  <c r="E999" i="6"/>
  <c r="G999" i="6"/>
  <c r="F1000" i="6"/>
  <c r="E1000" i="6"/>
  <c r="G1000" i="6"/>
  <c r="F1001" i="6"/>
  <c r="E1001" i="6"/>
  <c r="G1001" i="6"/>
  <c r="F1002" i="6"/>
  <c r="E1002" i="6"/>
  <c r="G1002" i="6"/>
  <c r="F1003" i="6"/>
  <c r="E1003" i="6"/>
  <c r="G1003" i="6"/>
  <c r="F1004" i="6"/>
  <c r="E1004" i="6"/>
  <c r="G1004" i="6"/>
  <c r="F1005" i="6"/>
  <c r="E1005" i="6"/>
  <c r="G1005" i="6"/>
  <c r="F1006" i="6"/>
  <c r="E1006" i="6"/>
  <c r="G1006" i="6"/>
  <c r="F1007" i="6"/>
  <c r="E1007" i="6"/>
  <c r="G1007" i="6"/>
  <c r="F1008" i="6"/>
  <c r="E1008" i="6"/>
  <c r="G1008" i="6"/>
  <c r="F1009" i="6"/>
  <c r="G1009" i="6"/>
  <c r="F1010" i="6"/>
  <c r="G1010" i="6"/>
  <c r="F1011" i="6"/>
  <c r="G1011" i="6"/>
  <c r="F1012" i="6"/>
  <c r="G1012" i="6"/>
  <c r="F1013" i="6"/>
  <c r="G1013" i="6"/>
  <c r="F1014" i="6"/>
  <c r="G1014" i="6"/>
  <c r="F1015" i="6"/>
  <c r="G1015" i="6"/>
  <c r="F1016" i="6"/>
  <c r="G1016" i="6"/>
  <c r="F1017" i="6"/>
  <c r="G1017" i="6"/>
  <c r="F1018" i="6"/>
  <c r="G1018" i="6"/>
  <c r="F1019" i="6"/>
  <c r="G1019" i="6"/>
  <c r="F1020" i="6"/>
  <c r="G1020" i="6"/>
  <c r="F1021" i="6"/>
  <c r="G1021" i="6"/>
  <c r="F1022" i="6"/>
  <c r="G1022" i="6"/>
  <c r="F1023" i="6"/>
  <c r="G1023" i="6"/>
  <c r="F1024" i="6"/>
  <c r="G1024" i="6"/>
  <c r="F1025" i="6"/>
  <c r="G1025" i="6"/>
  <c r="F1026" i="6"/>
  <c r="G1026" i="6"/>
  <c r="F1027" i="6"/>
  <c r="G1027" i="6"/>
  <c r="F1028" i="6"/>
  <c r="G1028" i="6"/>
  <c r="F1029" i="6"/>
  <c r="G1029" i="6"/>
  <c r="F1030" i="6"/>
  <c r="G1030" i="6"/>
  <c r="F1031" i="6"/>
  <c r="G1031" i="6"/>
  <c r="F1032" i="6"/>
  <c r="G1032" i="6"/>
  <c r="F1033" i="6"/>
  <c r="G1033" i="6"/>
  <c r="F1034" i="6"/>
  <c r="G1034" i="6"/>
  <c r="F1035" i="6"/>
  <c r="G1035" i="6"/>
  <c r="F1036" i="6"/>
  <c r="G1036" i="6"/>
  <c r="F1037" i="6"/>
  <c r="G1037" i="6"/>
  <c r="F1038" i="6"/>
  <c r="E1009" i="6"/>
  <c r="G1038" i="6"/>
  <c r="F103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G1039" i="6"/>
  <c r="F1040" i="6"/>
  <c r="E1040" i="6"/>
  <c r="G1040" i="6"/>
  <c r="F1041" i="6"/>
  <c r="E1041" i="6"/>
  <c r="G1041" i="6"/>
  <c r="F1042" i="6"/>
  <c r="E1042" i="6"/>
  <c r="G1042" i="6"/>
  <c r="F1043" i="6"/>
  <c r="E1043" i="6"/>
  <c r="G1043" i="6"/>
  <c r="F1044" i="6"/>
  <c r="E1044" i="6"/>
  <c r="G1044" i="6"/>
  <c r="F1045" i="6"/>
  <c r="E1045" i="6"/>
  <c r="G1045" i="6"/>
  <c r="F1046" i="6"/>
  <c r="E1046" i="6"/>
  <c r="G1046" i="6"/>
  <c r="F1047" i="6"/>
  <c r="E1047" i="6"/>
  <c r="G1047" i="6"/>
  <c r="F1048" i="6"/>
  <c r="E1048" i="6"/>
  <c r="G1048" i="6"/>
  <c r="F1049" i="6"/>
  <c r="E1049" i="6"/>
  <c r="G1049" i="6"/>
  <c r="F1050" i="6"/>
  <c r="E1050" i="6"/>
  <c r="G1050" i="6"/>
  <c r="F1051" i="6"/>
  <c r="E1051" i="6"/>
  <c r="G1051" i="6"/>
  <c r="F1052" i="6"/>
  <c r="E1052" i="6"/>
  <c r="G1052" i="6"/>
  <c r="F1053" i="6"/>
  <c r="E1053" i="6"/>
  <c r="G1053" i="6"/>
  <c r="F1054" i="6"/>
  <c r="E1054" i="6"/>
  <c r="G1054" i="6"/>
  <c r="F1055" i="6"/>
  <c r="E1055" i="6"/>
  <c r="G1055" i="6"/>
  <c r="F1056" i="6"/>
  <c r="E1056" i="6"/>
  <c r="G1056" i="6"/>
  <c r="F1057" i="6"/>
  <c r="E1057" i="6"/>
  <c r="G1057" i="6"/>
  <c r="F1058" i="6"/>
  <c r="E1058" i="6"/>
  <c r="G1058" i="6"/>
  <c r="F1059" i="6"/>
  <c r="E1059" i="6"/>
  <c r="G1059" i="6"/>
  <c r="F1060" i="6"/>
  <c r="E1060" i="6"/>
  <c r="G1060" i="6"/>
  <c r="F1061" i="6"/>
  <c r="E1061" i="6"/>
  <c r="G1061" i="6"/>
  <c r="F1062" i="6"/>
  <c r="E1062" i="6"/>
  <c r="G1062" i="6"/>
  <c r="F1063" i="6"/>
  <c r="E1063" i="6"/>
  <c r="G1063" i="6"/>
  <c r="F1064" i="6"/>
  <c r="E1064" i="6"/>
  <c r="G1064" i="6"/>
  <c r="F1065" i="6"/>
  <c r="E1065" i="6"/>
  <c r="G1065" i="6"/>
  <c r="F1066" i="6"/>
  <c r="E1066" i="6"/>
  <c r="G1066" i="6"/>
  <c r="F1067" i="6"/>
  <c r="E1067" i="6"/>
  <c r="G1067" i="6"/>
  <c r="F1068" i="6"/>
  <c r="E1068" i="6"/>
  <c r="G1068" i="6"/>
  <c r="F1069" i="6"/>
  <c r="E1069" i="6"/>
  <c r="G1069" i="6"/>
  <c r="F1070" i="6"/>
  <c r="E1070" i="6"/>
  <c r="G1070" i="6"/>
  <c r="F1071" i="6"/>
  <c r="E1071" i="6"/>
  <c r="G1071" i="6"/>
  <c r="F1072" i="6"/>
  <c r="E1072" i="6"/>
  <c r="G1072" i="6"/>
  <c r="F1073" i="6"/>
  <c r="E1073" i="6"/>
  <c r="G1073" i="6"/>
  <c r="F1074" i="6"/>
  <c r="E1074" i="6"/>
  <c r="G1074" i="6"/>
  <c r="F1075" i="6"/>
  <c r="E1075" i="6"/>
  <c r="G1075" i="6"/>
  <c r="F1076" i="6"/>
  <c r="E1076" i="6"/>
  <c r="G1076" i="6"/>
  <c r="F1077" i="6"/>
  <c r="E1077" i="6"/>
  <c r="G1077" i="6"/>
  <c r="F1078" i="6"/>
  <c r="E1078" i="6"/>
  <c r="G1078" i="6"/>
  <c r="F1079" i="6"/>
  <c r="E1079" i="6"/>
  <c r="G1079" i="6"/>
  <c r="F1080" i="6"/>
  <c r="E1080" i="6"/>
  <c r="G1080" i="6"/>
  <c r="F1081" i="6"/>
  <c r="E1081" i="6"/>
  <c r="G1081" i="6"/>
  <c r="F1082" i="6"/>
  <c r="E1082" i="6"/>
  <c r="G1082" i="6"/>
  <c r="F1083" i="6"/>
  <c r="E1083" i="6"/>
  <c r="G1083" i="6"/>
  <c r="F1084" i="6"/>
  <c r="E1084" i="6"/>
  <c r="G1084" i="6"/>
  <c r="F1085" i="6"/>
  <c r="E1085" i="6"/>
  <c r="G1085" i="6"/>
  <c r="F1086" i="6"/>
  <c r="E1086" i="6"/>
  <c r="G1086" i="6"/>
  <c r="F1087" i="6"/>
  <c r="E1087" i="6"/>
  <c r="G1087" i="6"/>
  <c r="F1088" i="6"/>
  <c r="E1088" i="6"/>
  <c r="G1088" i="6"/>
  <c r="F1089" i="6"/>
  <c r="E1089" i="6"/>
  <c r="G1089" i="6"/>
  <c r="F1090" i="6"/>
  <c r="E1090" i="6"/>
  <c r="G1090" i="6"/>
  <c r="F1091" i="6"/>
  <c r="E1091" i="6"/>
  <c r="G1091" i="6"/>
  <c r="F1092" i="6"/>
  <c r="E1092" i="6"/>
  <c r="G1092" i="6"/>
  <c r="F1093" i="6"/>
  <c r="E1093" i="6"/>
  <c r="G1093" i="6"/>
  <c r="F1094" i="6"/>
  <c r="E1094" i="6"/>
  <c r="G1094" i="6"/>
  <c r="F1095" i="6"/>
  <c r="E1095" i="6"/>
  <c r="G1095" i="6"/>
  <c r="F1096" i="6"/>
  <c r="E1096" i="6"/>
  <c r="G1096" i="6"/>
  <c r="F1097" i="6"/>
  <c r="E1097" i="6"/>
  <c r="G1097" i="6"/>
  <c r="F1098" i="6"/>
  <c r="E1098" i="6"/>
  <c r="G1098" i="6"/>
  <c r="F1099" i="6"/>
  <c r="E1099" i="6"/>
  <c r="G1099" i="6"/>
  <c r="F1100" i="6"/>
  <c r="E1100" i="6"/>
  <c r="G1100" i="6"/>
  <c r="F1101" i="6"/>
  <c r="E1101" i="6"/>
  <c r="G1101" i="6"/>
  <c r="F1102" i="6"/>
  <c r="E1102" i="6"/>
  <c r="G1102" i="6"/>
  <c r="F1103" i="6"/>
  <c r="E1103" i="6"/>
  <c r="G1103" i="6"/>
  <c r="F1104" i="6"/>
  <c r="E1104" i="6"/>
  <c r="G1104" i="6"/>
  <c r="F1105" i="6"/>
  <c r="E1105" i="6"/>
  <c r="G1105" i="6"/>
  <c r="F1106" i="6"/>
  <c r="E1106" i="6"/>
  <c r="G1106" i="6"/>
  <c r="F1107" i="6"/>
  <c r="E1107" i="6"/>
  <c r="G1107" i="6"/>
  <c r="F1108" i="6"/>
  <c r="E1108" i="6"/>
  <c r="G1108" i="6"/>
  <c r="F1109" i="6"/>
  <c r="E1109" i="6"/>
  <c r="G1109" i="6"/>
  <c r="F1110" i="6"/>
  <c r="E1110" i="6"/>
  <c r="G1110" i="6"/>
  <c r="F1111" i="6"/>
  <c r="E1111" i="6"/>
  <c r="G1111" i="6"/>
  <c r="F1112" i="6"/>
  <c r="E1112" i="6"/>
  <c r="G1112" i="6"/>
  <c r="F1113" i="6"/>
  <c r="E1113" i="6"/>
  <c r="G1113" i="6"/>
  <c r="F1114" i="6"/>
  <c r="E1114" i="6"/>
  <c r="G1114" i="6"/>
  <c r="F1115" i="6"/>
  <c r="E1115" i="6"/>
  <c r="G1115" i="6"/>
  <c r="F1116" i="6"/>
  <c r="E1116" i="6"/>
  <c r="G1116" i="6"/>
  <c r="F1117" i="6"/>
  <c r="E1117" i="6"/>
  <c r="G1117" i="6"/>
  <c r="F1118" i="6"/>
  <c r="E1118" i="6"/>
  <c r="G1118" i="6"/>
  <c r="F1119" i="6"/>
  <c r="E1119" i="6"/>
  <c r="G1119" i="6"/>
  <c r="F1120" i="6"/>
  <c r="E1120" i="6"/>
  <c r="G1120" i="6"/>
  <c r="F1121" i="6"/>
  <c r="E1121" i="6"/>
  <c r="G1121" i="6"/>
  <c r="F1122" i="6"/>
  <c r="E1122" i="6"/>
  <c r="G1122" i="6"/>
  <c r="F1123" i="6"/>
  <c r="E1123" i="6"/>
  <c r="G1123" i="6"/>
  <c r="F1124" i="6"/>
  <c r="E1124" i="6"/>
  <c r="G1124" i="6"/>
  <c r="F1125" i="6"/>
  <c r="E1125" i="6"/>
  <c r="G1125" i="6"/>
  <c r="F1126" i="6"/>
  <c r="E1126" i="6"/>
  <c r="G1126" i="6"/>
  <c r="F1127" i="6"/>
  <c r="E1127" i="6"/>
  <c r="G1127" i="6"/>
  <c r="F1128" i="6"/>
  <c r="E1128" i="6"/>
  <c r="G1128" i="6"/>
  <c r="F1129" i="6"/>
  <c r="E1129" i="6"/>
  <c r="G1129" i="6"/>
  <c r="F1130" i="6"/>
  <c r="E1130" i="6"/>
  <c r="G1130" i="6"/>
  <c r="F1131" i="6"/>
  <c r="E1131" i="6"/>
  <c r="G1131" i="6"/>
  <c r="F1132" i="6"/>
  <c r="E1132" i="6"/>
  <c r="G1132" i="6"/>
  <c r="F1133" i="6"/>
  <c r="E1133" i="6"/>
  <c r="G1133" i="6"/>
  <c r="F1134" i="6"/>
  <c r="E1134" i="6"/>
  <c r="G1134" i="6"/>
  <c r="F1135" i="6"/>
  <c r="E1135" i="6"/>
  <c r="G1135" i="6"/>
  <c r="F1136" i="6"/>
  <c r="E1136" i="6"/>
  <c r="G1136" i="6"/>
  <c r="F1137" i="6"/>
  <c r="E1137" i="6"/>
  <c r="G1137" i="6"/>
  <c r="F1138" i="6"/>
  <c r="E1138" i="6"/>
  <c r="G1138" i="6"/>
  <c r="F1139" i="6"/>
  <c r="E1139" i="6"/>
  <c r="G1139" i="6"/>
  <c r="F1140" i="6"/>
  <c r="E1140" i="6"/>
  <c r="G1140" i="6"/>
  <c r="F1141" i="6"/>
  <c r="E1141" i="6"/>
  <c r="G1141" i="6"/>
  <c r="F1142" i="6"/>
  <c r="E1142" i="6"/>
  <c r="G1142" i="6"/>
  <c r="F1143" i="6"/>
  <c r="E1143" i="6"/>
  <c r="G1143" i="6"/>
  <c r="F1144" i="6"/>
  <c r="E1144" i="6"/>
  <c r="G1144" i="6"/>
  <c r="F1145" i="6"/>
  <c r="E1145" i="6"/>
  <c r="G1145" i="6"/>
  <c r="F1146" i="6"/>
  <c r="E1146" i="6"/>
  <c r="G1146" i="6"/>
  <c r="F1147" i="6"/>
  <c r="E1147" i="6"/>
  <c r="G1147" i="6"/>
  <c r="F1148" i="6"/>
  <c r="E1148" i="6"/>
  <c r="G1148" i="6"/>
  <c r="F1149" i="6"/>
  <c r="E1149" i="6"/>
  <c r="G1149" i="6"/>
  <c r="F1150" i="6"/>
  <c r="E1150" i="6"/>
  <c r="G1150" i="6"/>
  <c r="F1151" i="6"/>
  <c r="E1151" i="6"/>
  <c r="G1151" i="6"/>
  <c r="F1152" i="6"/>
  <c r="E1152" i="6"/>
  <c r="G1152" i="6"/>
  <c r="F1153" i="6"/>
  <c r="E1153" i="6"/>
  <c r="G1153" i="6"/>
  <c r="F1154" i="6"/>
  <c r="E1154" i="6"/>
  <c r="G1154" i="6"/>
  <c r="F1155" i="6"/>
  <c r="E1155" i="6"/>
  <c r="G1155" i="6"/>
  <c r="F1156" i="6"/>
  <c r="E1156" i="6"/>
  <c r="G1156" i="6"/>
  <c r="F1157" i="6"/>
  <c r="E1157" i="6"/>
  <c r="G1157" i="6"/>
  <c r="F1158" i="6"/>
  <c r="E1158" i="6"/>
  <c r="G1158" i="6"/>
  <c r="F1159" i="6"/>
  <c r="E1159" i="6"/>
  <c r="G1159" i="6"/>
  <c r="F1160" i="6"/>
  <c r="E1160" i="6"/>
  <c r="G1160" i="6"/>
  <c r="F1161" i="6"/>
  <c r="E1161" i="6"/>
  <c r="G1161" i="6"/>
  <c r="F1162" i="6"/>
  <c r="E1162" i="6"/>
  <c r="G1162" i="6"/>
  <c r="F1163" i="6"/>
  <c r="E1163" i="6"/>
  <c r="G1163" i="6"/>
  <c r="F1164" i="6"/>
  <c r="E1164" i="6"/>
  <c r="G1164" i="6"/>
  <c r="F1165" i="6"/>
  <c r="E1165" i="6"/>
  <c r="G1165" i="6"/>
  <c r="F1166" i="6"/>
  <c r="E1166" i="6"/>
  <c r="G1166" i="6"/>
  <c r="F1167" i="6"/>
  <c r="E1167" i="6"/>
  <c r="G1167" i="6"/>
  <c r="F1168" i="6"/>
  <c r="E1168" i="6"/>
  <c r="G1168" i="6"/>
  <c r="F1169" i="6"/>
  <c r="E1169" i="6"/>
  <c r="G1169" i="6"/>
  <c r="F1170" i="6"/>
  <c r="E1170" i="6"/>
  <c r="G1170" i="6"/>
  <c r="F1171" i="6"/>
  <c r="E1171" i="6"/>
  <c r="G1171" i="6"/>
  <c r="F1172" i="6"/>
  <c r="E1172" i="6"/>
  <c r="G1172" i="6"/>
  <c r="F1173" i="6"/>
  <c r="E1173" i="6"/>
  <c r="G1173" i="6"/>
  <c r="F1174" i="6"/>
  <c r="E1174" i="6"/>
  <c r="G1174" i="6"/>
  <c r="F1175" i="6"/>
  <c r="E1175" i="6"/>
  <c r="G1175" i="6"/>
  <c r="F1176" i="6"/>
  <c r="E1176" i="6"/>
  <c r="G1176" i="6"/>
  <c r="F1177" i="6"/>
  <c r="E1177" i="6"/>
  <c r="G1177" i="6"/>
  <c r="F1178" i="6"/>
  <c r="E1178" i="6"/>
  <c r="G1178" i="6"/>
  <c r="F1179" i="6"/>
  <c r="E1179" i="6"/>
  <c r="G1179" i="6"/>
  <c r="F1180" i="6"/>
  <c r="E1180" i="6"/>
  <c r="G1180" i="6"/>
  <c r="F1181" i="6"/>
  <c r="E1181" i="6"/>
  <c r="G1181" i="6"/>
  <c r="F1182" i="6"/>
  <c r="E1182" i="6"/>
  <c r="G1182" i="6"/>
  <c r="F1183" i="6"/>
  <c r="E1183" i="6"/>
  <c r="G1183" i="6"/>
  <c r="F1184" i="6"/>
  <c r="E1184" i="6"/>
  <c r="G1184" i="6"/>
  <c r="F1185" i="6"/>
  <c r="E1185" i="6"/>
  <c r="G1185" i="6"/>
  <c r="F1186" i="6"/>
  <c r="E1186" i="6"/>
  <c r="G1186" i="6"/>
  <c r="F1187" i="6"/>
  <c r="E1187" i="6"/>
  <c r="G1187" i="6"/>
  <c r="F1188" i="6"/>
  <c r="E1188" i="6"/>
  <c r="G1188" i="6"/>
  <c r="F1189" i="6"/>
  <c r="E1189" i="6"/>
  <c r="G1189" i="6"/>
  <c r="F1190" i="6"/>
  <c r="E1190" i="6"/>
  <c r="G1190" i="6"/>
  <c r="F1191" i="6"/>
  <c r="E1191" i="6"/>
  <c r="G1191" i="6"/>
  <c r="F1192" i="6"/>
  <c r="E1192" i="6"/>
  <c r="G1192" i="6"/>
  <c r="F1193" i="6"/>
  <c r="E1193" i="6"/>
  <c r="G1193" i="6"/>
  <c r="F1194" i="6"/>
  <c r="E1194" i="6"/>
  <c r="G1194" i="6"/>
  <c r="F1195" i="6"/>
  <c r="E1195" i="6"/>
  <c r="G1195" i="6"/>
  <c r="F1196" i="6"/>
  <c r="E1196" i="6"/>
  <c r="G1196" i="6"/>
  <c r="F1197" i="6"/>
  <c r="E1197" i="6"/>
  <c r="G1197" i="6"/>
  <c r="F1198" i="6"/>
  <c r="E1198" i="6"/>
  <c r="G1198" i="6"/>
  <c r="F1199" i="6"/>
  <c r="E1199" i="6"/>
  <c r="G1199" i="6"/>
  <c r="F1200" i="6"/>
  <c r="E1200" i="6"/>
  <c r="G1200" i="6"/>
  <c r="F1201" i="6"/>
  <c r="E1201" i="6"/>
  <c r="G1201" i="6"/>
  <c r="F1202" i="6"/>
  <c r="E1202" i="6"/>
  <c r="G1202" i="6"/>
  <c r="F1203" i="6"/>
  <c r="E1203" i="6"/>
  <c r="G1203" i="6"/>
  <c r="F1204" i="6"/>
  <c r="E1204" i="6"/>
  <c r="G1204" i="6"/>
  <c r="F1205" i="6"/>
  <c r="E1205" i="6"/>
  <c r="G1205" i="6"/>
  <c r="F1206" i="6"/>
  <c r="E1206" i="6"/>
  <c r="G1206" i="6"/>
  <c r="F1207" i="6"/>
  <c r="E1207" i="6"/>
  <c r="G1207" i="6"/>
  <c r="F1208" i="6"/>
  <c r="E1208" i="6"/>
  <c r="G1208" i="6"/>
  <c r="F1209" i="6"/>
  <c r="E1209" i="6"/>
  <c r="G1209" i="6"/>
  <c r="F1210" i="6"/>
  <c r="E1210" i="6"/>
  <c r="G1210" i="6"/>
  <c r="F1211" i="6"/>
  <c r="E1211" i="6"/>
  <c r="G1211" i="6"/>
  <c r="F1212" i="6"/>
  <c r="E1212" i="6"/>
  <c r="G1212" i="6"/>
  <c r="F1213" i="6"/>
  <c r="E1213" i="6"/>
  <c r="G1213" i="6"/>
  <c r="F1214" i="6"/>
  <c r="E1214" i="6"/>
  <c r="G1214" i="6"/>
  <c r="F1215" i="6"/>
  <c r="E1215" i="6"/>
  <c r="G1215" i="6"/>
  <c r="F1216" i="6"/>
  <c r="E1216" i="6"/>
  <c r="G1216" i="6"/>
  <c r="F1217" i="6"/>
  <c r="E1217" i="6"/>
  <c r="G1217" i="6"/>
  <c r="F1218" i="6"/>
  <c r="E1218" i="6"/>
  <c r="G1218" i="6"/>
  <c r="F1219" i="6"/>
  <c r="E1219" i="6"/>
  <c r="G1219" i="6"/>
  <c r="F1220" i="6"/>
  <c r="E1220" i="6"/>
  <c r="G1220" i="6"/>
  <c r="F1221" i="6"/>
  <c r="E1221" i="6"/>
  <c r="G1221" i="6"/>
  <c r="F1222" i="6"/>
  <c r="E1222" i="6"/>
  <c r="G1222" i="6"/>
  <c r="F1223" i="6"/>
  <c r="E1223" i="6"/>
  <c r="G1223" i="6"/>
  <c r="F1224" i="6"/>
  <c r="E1224" i="6"/>
  <c r="G1224" i="6"/>
  <c r="F1225" i="6"/>
  <c r="E1225" i="6"/>
  <c r="G1225" i="6"/>
  <c r="F1226" i="6"/>
  <c r="E1226" i="6"/>
  <c r="G1226" i="6"/>
  <c r="F1227" i="6"/>
  <c r="E1227" i="6"/>
  <c r="G1227" i="6"/>
  <c r="F1228" i="6"/>
  <c r="E1228" i="6"/>
  <c r="G1228" i="6"/>
  <c r="F1229" i="6"/>
  <c r="E1229" i="6"/>
  <c r="G1229" i="6"/>
  <c r="F1230" i="6"/>
  <c r="E1230" i="6"/>
  <c r="G1230" i="6"/>
  <c r="F1231" i="6"/>
  <c r="E1231" i="6"/>
  <c r="G1231" i="6"/>
  <c r="F1232" i="6"/>
  <c r="E1232" i="6"/>
  <c r="G1232" i="6"/>
  <c r="F1233" i="6"/>
  <c r="E1233" i="6"/>
  <c r="G1233" i="6"/>
  <c r="F1234" i="6"/>
  <c r="E1234" i="6"/>
  <c r="G1234" i="6"/>
  <c r="F1235" i="6"/>
  <c r="E1235" i="6"/>
  <c r="G1235" i="6"/>
  <c r="F1236" i="6"/>
  <c r="E1236" i="6"/>
  <c r="G1236" i="6"/>
  <c r="F1237" i="6"/>
  <c r="E1237" i="6"/>
  <c r="G1237" i="6"/>
  <c r="F1238" i="6"/>
  <c r="E1238" i="6"/>
  <c r="G1238" i="6"/>
  <c r="F1239" i="6"/>
  <c r="E1239" i="6"/>
  <c r="G1239" i="6"/>
  <c r="F1240" i="6"/>
  <c r="E1240" i="6"/>
  <c r="G1240" i="6"/>
  <c r="F1241" i="6"/>
  <c r="E1241" i="6"/>
  <c r="G1241" i="6"/>
  <c r="F1242" i="6"/>
  <c r="E1242" i="6"/>
  <c r="G1242" i="6"/>
  <c r="F1243" i="6"/>
  <c r="E1243" i="6"/>
  <c r="G1243" i="6"/>
  <c r="F1244" i="6"/>
  <c r="E1244" i="6"/>
  <c r="G1244" i="6"/>
  <c r="F1245" i="6"/>
  <c r="E1245" i="6"/>
  <c r="G1245" i="6"/>
  <c r="F1246" i="6"/>
  <c r="E1246" i="6"/>
  <c r="G1246" i="6"/>
  <c r="F1247" i="6"/>
  <c r="E1247" i="6"/>
  <c r="G1247" i="6"/>
  <c r="F1248" i="6"/>
  <c r="E1248" i="6"/>
  <c r="G1248" i="6"/>
  <c r="F1249" i="6"/>
  <c r="E1249" i="6"/>
  <c r="G1249" i="6"/>
  <c r="F1250" i="6"/>
  <c r="E1250" i="6"/>
  <c r="G1250" i="6"/>
  <c r="F1251" i="6"/>
  <c r="E1251" i="6"/>
  <c r="G1251" i="6"/>
  <c r="F1252" i="6"/>
  <c r="E1252" i="6"/>
  <c r="G1252" i="6"/>
  <c r="F1253" i="6"/>
  <c r="E1253" i="6"/>
  <c r="G1253" i="6"/>
  <c r="F1254" i="6"/>
  <c r="E1254" i="6"/>
  <c r="G1254" i="6"/>
  <c r="F1255" i="6"/>
  <c r="E1255" i="6"/>
  <c r="G1255" i="6"/>
  <c r="F1256" i="6"/>
  <c r="E1256" i="6"/>
  <c r="G1256" i="6"/>
  <c r="F1257" i="6"/>
  <c r="E1257" i="6"/>
  <c r="G1257" i="6"/>
  <c r="F1258" i="6"/>
  <c r="E1258" i="6"/>
  <c r="G1258" i="6"/>
  <c r="F1259" i="6"/>
  <c r="E1259" i="6"/>
  <c r="G1259" i="6"/>
  <c r="F1260" i="6"/>
  <c r="E1260" i="6"/>
  <c r="G1260" i="6"/>
  <c r="F1261" i="6"/>
  <c r="E1261" i="6"/>
  <c r="G1261" i="6"/>
  <c r="F1262" i="6"/>
  <c r="E1262" i="6"/>
  <c r="G1262" i="6"/>
  <c r="F1263" i="6"/>
  <c r="E1263" i="6"/>
  <c r="G1263" i="6"/>
  <c r="F1264" i="6"/>
  <c r="E1264" i="6"/>
  <c r="G1264" i="6"/>
  <c r="F1265" i="6"/>
  <c r="E1265" i="6"/>
  <c r="G1265" i="6"/>
  <c r="F1266" i="6"/>
  <c r="E1266" i="6"/>
  <c r="G1266" i="6"/>
  <c r="F1267" i="6"/>
  <c r="E1267" i="6"/>
  <c r="G1267" i="6"/>
  <c r="F1268" i="6"/>
  <c r="E1268" i="6"/>
  <c r="G1268" i="6"/>
  <c r="F1269" i="6"/>
  <c r="E1269" i="6"/>
  <c r="G1269" i="6"/>
  <c r="F1270" i="6"/>
  <c r="E1270" i="6"/>
  <c r="G1270" i="6"/>
  <c r="F1271" i="6"/>
  <c r="E1271" i="6"/>
  <c r="G1271" i="6"/>
  <c r="F1272" i="6"/>
  <c r="E1272" i="6"/>
  <c r="G1272" i="6"/>
  <c r="F1273" i="6"/>
  <c r="E1273" i="6"/>
  <c r="G1273" i="6"/>
  <c r="F1274" i="6"/>
  <c r="E1274" i="6"/>
  <c r="G1274" i="6"/>
  <c r="F1275" i="6"/>
  <c r="E1275" i="6"/>
  <c r="G1275" i="6"/>
  <c r="F1276" i="6"/>
  <c r="E1276" i="6"/>
  <c r="G1276" i="6"/>
  <c r="F1277" i="6"/>
  <c r="E1277" i="6"/>
  <c r="G1277" i="6"/>
  <c r="F1278" i="6"/>
  <c r="E1278" i="6"/>
  <c r="G1278" i="6"/>
  <c r="F1279" i="6"/>
  <c r="E1279" i="6"/>
  <c r="G1279" i="6"/>
  <c r="F1280" i="6"/>
  <c r="E1280" i="6"/>
  <c r="G1280" i="6"/>
  <c r="F1281" i="6"/>
  <c r="E1281" i="6"/>
  <c r="G1281" i="6"/>
  <c r="F1282" i="6"/>
  <c r="E1282" i="6"/>
  <c r="G1282" i="6"/>
  <c r="F1283" i="6"/>
  <c r="E1283" i="6"/>
  <c r="G1283" i="6"/>
  <c r="F1284" i="6"/>
  <c r="E1284" i="6"/>
  <c r="G1284" i="6"/>
  <c r="F1285" i="6"/>
  <c r="E1285" i="6"/>
  <c r="G1285" i="6"/>
  <c r="F1286" i="6"/>
  <c r="E1286" i="6"/>
  <c r="G1286" i="6"/>
  <c r="F1287" i="6"/>
  <c r="E1287" i="6"/>
  <c r="G1287" i="6"/>
  <c r="F1288" i="6"/>
  <c r="E1288" i="6"/>
  <c r="G1288" i="6"/>
  <c r="F1289" i="6"/>
  <c r="E1289" i="6"/>
  <c r="G1289" i="6"/>
  <c r="F1290" i="6"/>
  <c r="E1290" i="6"/>
  <c r="G1290" i="6"/>
  <c r="F1291" i="6"/>
  <c r="E1291" i="6"/>
  <c r="G1291" i="6"/>
  <c r="F1292" i="6"/>
  <c r="E1292" i="6"/>
  <c r="G1292" i="6"/>
  <c r="F1293" i="6"/>
  <c r="E1293" i="6"/>
  <c r="G1293" i="6"/>
  <c r="F1294" i="6"/>
  <c r="E1294" i="6"/>
  <c r="G1294" i="6"/>
  <c r="F1295" i="6"/>
  <c r="E1295" i="6"/>
  <c r="G1295" i="6"/>
  <c r="F1296" i="6"/>
  <c r="E1296" i="6"/>
  <c r="G1296" i="6"/>
  <c r="F1297" i="6"/>
  <c r="E1297" i="6"/>
  <c r="G1297" i="6"/>
  <c r="F1298" i="6"/>
  <c r="E1298" i="6"/>
  <c r="G1298" i="6"/>
  <c r="F1299" i="6"/>
  <c r="E1299" i="6"/>
  <c r="G1299" i="6"/>
  <c r="F1300" i="6"/>
  <c r="E1300" i="6"/>
  <c r="G1300" i="6"/>
  <c r="F1301" i="6"/>
  <c r="E1301" i="6"/>
  <c r="G1301" i="6"/>
  <c r="F1302" i="6"/>
  <c r="E1302" i="6"/>
  <c r="G1302" i="6"/>
  <c r="F1303" i="6"/>
  <c r="E1303" i="6"/>
  <c r="G1303" i="6"/>
  <c r="F1304" i="6"/>
  <c r="E1304" i="6"/>
  <c r="G1304" i="6"/>
  <c r="F1305" i="6"/>
  <c r="E1305" i="6"/>
  <c r="G1305" i="6"/>
  <c r="F1306" i="6"/>
  <c r="E1306" i="6"/>
  <c r="G1306" i="6"/>
  <c r="F1307" i="6"/>
  <c r="E1307" i="6"/>
  <c r="G1307" i="6"/>
  <c r="F1308" i="6"/>
  <c r="E1308" i="6"/>
  <c r="G1308" i="6"/>
  <c r="F1309" i="6"/>
  <c r="E1309" i="6"/>
  <c r="G1309" i="6"/>
  <c r="F1310" i="6"/>
  <c r="E1310" i="6"/>
  <c r="G1310" i="6"/>
  <c r="F1311" i="6"/>
  <c r="E1311" i="6"/>
  <c r="G1311" i="6"/>
  <c r="F1312" i="6"/>
  <c r="E1312" i="6"/>
  <c r="G1312" i="6"/>
  <c r="F1313" i="6"/>
  <c r="E1313" i="6"/>
  <c r="G1313" i="6"/>
  <c r="F1314" i="6"/>
  <c r="E1314" i="6"/>
  <c r="G1314" i="6"/>
  <c r="F1315" i="6"/>
  <c r="E1315" i="6"/>
  <c r="G1315" i="6"/>
  <c r="F1316" i="6"/>
  <c r="E1316" i="6"/>
  <c r="G1316" i="6"/>
  <c r="F1317" i="6"/>
  <c r="E1317" i="6"/>
  <c r="G1317" i="6"/>
  <c r="F1318" i="6"/>
  <c r="E1318" i="6"/>
  <c r="G1318" i="6"/>
  <c r="F1319" i="6"/>
  <c r="E1319" i="6"/>
  <c r="G1319" i="6"/>
  <c r="F1320" i="6"/>
  <c r="E1320" i="6"/>
  <c r="G1320" i="6"/>
  <c r="F1321" i="6"/>
  <c r="E1321" i="6"/>
  <c r="G1321" i="6"/>
  <c r="F1322" i="6"/>
  <c r="E1322" i="6"/>
  <c r="G1322" i="6"/>
  <c r="F1323" i="6"/>
  <c r="E1323" i="6"/>
  <c r="G1323" i="6"/>
  <c r="F1324" i="6"/>
  <c r="E1324" i="6"/>
  <c r="G1324" i="6"/>
  <c r="F1325" i="6"/>
  <c r="E1325" i="6"/>
  <c r="G1325" i="6"/>
  <c r="F1326" i="6"/>
  <c r="E1326" i="6"/>
  <c r="G1326" i="6"/>
  <c r="F1327" i="6"/>
  <c r="E1327" i="6"/>
  <c r="G1327" i="6"/>
  <c r="F1328" i="6"/>
  <c r="E1328" i="6"/>
  <c r="G1328" i="6"/>
  <c r="F1329" i="6"/>
  <c r="E1329" i="6"/>
  <c r="G1329" i="6"/>
  <c r="F1330" i="6"/>
  <c r="E1330" i="6"/>
  <c r="G1330" i="6"/>
  <c r="F1331" i="6"/>
  <c r="E1331" i="6"/>
  <c r="G1331" i="6"/>
  <c r="F1332" i="6"/>
  <c r="E1332" i="6"/>
  <c r="G1332" i="6"/>
  <c r="F1333" i="6"/>
  <c r="E1333" i="6"/>
  <c r="G1333" i="6"/>
  <c r="F1334" i="6"/>
  <c r="E1334" i="6"/>
  <c r="G1334" i="6"/>
  <c r="F1335" i="6"/>
  <c r="E1335" i="6"/>
  <c r="G1335" i="6"/>
  <c r="F1336" i="6"/>
  <c r="E1336" i="6"/>
  <c r="G1336" i="6"/>
  <c r="F1337" i="6"/>
  <c r="E1337" i="6"/>
  <c r="G1337" i="6"/>
  <c r="F1338" i="6"/>
  <c r="E1338" i="6"/>
  <c r="G1338" i="6"/>
  <c r="F1339" i="6"/>
  <c r="E1339" i="6"/>
  <c r="G1339" i="6"/>
  <c r="F1340" i="6"/>
  <c r="E1340" i="6"/>
  <c r="G1340" i="6"/>
  <c r="F1341" i="6"/>
  <c r="E1341" i="6"/>
  <c r="G1341" i="6"/>
  <c r="F1342" i="6"/>
  <c r="E1342" i="6"/>
  <c r="G1342" i="6"/>
  <c r="F1343" i="6"/>
  <c r="E1343" i="6"/>
  <c r="G1343" i="6"/>
  <c r="F1344" i="6"/>
  <c r="E1344" i="6"/>
  <c r="G1344" i="6"/>
  <c r="F1345" i="6"/>
  <c r="E1345" i="6"/>
  <c r="G1345" i="6"/>
  <c r="F1346" i="6"/>
  <c r="E1346" i="6"/>
  <c r="G1346" i="6"/>
  <c r="F1347" i="6"/>
  <c r="E1347" i="6"/>
  <c r="G1347" i="6"/>
  <c r="F1348" i="6"/>
  <c r="E1348" i="6"/>
  <c r="G1348" i="6"/>
  <c r="F1349" i="6"/>
  <c r="E1349" i="6"/>
  <c r="G1349" i="6"/>
  <c r="F1350" i="6"/>
  <c r="E1350" i="6"/>
  <c r="G1350" i="6"/>
  <c r="F1351" i="6"/>
  <c r="E1351" i="6"/>
  <c r="G1351" i="6"/>
  <c r="F1352" i="6"/>
  <c r="E1352" i="6"/>
  <c r="G1352" i="6"/>
  <c r="F1353" i="6"/>
  <c r="E1353" i="6"/>
  <c r="G1353" i="6"/>
  <c r="F1354" i="6"/>
  <c r="E1354" i="6"/>
  <c r="G1354" i="6"/>
  <c r="F1355" i="6"/>
  <c r="E1355" i="6"/>
  <c r="G1355" i="6"/>
  <c r="F1356" i="6"/>
  <c r="E1356" i="6"/>
  <c r="G1356" i="6"/>
  <c r="F1357" i="6"/>
  <c r="E1357" i="6"/>
  <c r="G1357" i="6"/>
  <c r="F1358" i="6"/>
  <c r="E1358" i="6"/>
  <c r="G1358" i="6"/>
  <c r="F1359" i="6"/>
  <c r="E1359" i="6"/>
  <c r="G1359" i="6"/>
  <c r="F1360" i="6"/>
  <c r="E1360" i="6"/>
  <c r="G1360" i="6"/>
  <c r="F1361" i="6"/>
  <c r="E1361" i="6"/>
  <c r="G1361" i="6"/>
  <c r="F1362" i="6"/>
  <c r="E1362" i="6"/>
  <c r="G1362" i="6"/>
  <c r="F1363" i="6"/>
  <c r="E1363" i="6"/>
  <c r="G1363" i="6"/>
  <c r="F1364" i="6"/>
  <c r="E1364" i="6"/>
  <c r="G1364" i="6"/>
  <c r="F1365" i="6"/>
  <c r="E1365" i="6"/>
  <c r="G1365" i="6"/>
  <c r="F1366" i="6"/>
  <c r="E1366" i="6"/>
  <c r="G1366" i="6"/>
  <c r="F1367" i="6"/>
  <c r="E1367" i="6"/>
  <c r="G1367" i="6"/>
  <c r="F1368" i="6"/>
  <c r="E1368" i="6"/>
  <c r="G1368" i="6"/>
  <c r="F1369" i="6"/>
  <c r="E1369" i="6"/>
  <c r="G1369" i="6"/>
  <c r="F1370" i="6"/>
  <c r="E1370" i="6"/>
  <c r="G1370" i="6"/>
  <c r="F1371" i="6"/>
  <c r="E1371" i="6"/>
  <c r="G1371" i="6"/>
  <c r="F1372" i="6"/>
  <c r="E1372" i="6"/>
  <c r="G1372" i="6"/>
  <c r="F1373" i="6"/>
  <c r="E1373" i="6"/>
  <c r="G1373" i="6"/>
  <c r="F1374" i="6"/>
  <c r="E1374" i="6"/>
  <c r="G1374" i="6"/>
  <c r="F1375" i="6"/>
  <c r="E1375" i="6"/>
  <c r="G1375" i="6"/>
  <c r="F1376" i="6"/>
  <c r="E1376" i="6"/>
  <c r="G1376" i="6"/>
  <c r="F1377" i="6"/>
  <c r="E1377" i="6"/>
  <c r="G1377" i="6"/>
  <c r="F1378" i="6"/>
  <c r="E1378" i="6"/>
  <c r="G1378" i="6"/>
  <c r="F1379" i="6"/>
  <c r="E1379" i="6"/>
  <c r="G1379" i="6"/>
  <c r="F1380" i="6"/>
  <c r="E1380" i="6"/>
  <c r="G1380" i="6"/>
  <c r="F1381" i="6"/>
  <c r="E1381" i="6"/>
  <c r="G1381" i="6"/>
  <c r="F1382" i="6"/>
  <c r="E1382" i="6"/>
  <c r="G1382" i="6"/>
  <c r="F1383" i="6"/>
  <c r="E1383" i="6"/>
  <c r="G1383" i="6"/>
  <c r="F1384" i="6"/>
  <c r="E1384" i="6"/>
  <c r="G1384" i="6"/>
  <c r="F1385" i="6"/>
  <c r="E1385" i="6"/>
  <c r="G1385" i="6"/>
  <c r="F1386" i="6"/>
  <c r="E1386" i="6"/>
  <c r="G1386" i="6"/>
  <c r="F1387" i="6"/>
  <c r="E1387" i="6"/>
  <c r="G1387" i="6"/>
  <c r="F1388" i="6"/>
  <c r="E1388" i="6"/>
  <c r="G1388" i="6"/>
  <c r="F1389" i="6"/>
  <c r="E1389" i="6"/>
  <c r="G1389" i="6"/>
  <c r="F1390" i="6"/>
  <c r="E1390" i="6"/>
  <c r="G1390" i="6"/>
  <c r="F1391" i="6"/>
  <c r="E1391" i="6"/>
  <c r="G1391" i="6"/>
  <c r="F1392" i="6"/>
  <c r="E1392" i="6"/>
  <c r="G1392" i="6"/>
  <c r="F1393" i="6"/>
  <c r="E1393" i="6"/>
  <c r="G1393" i="6"/>
  <c r="F1394" i="6"/>
  <c r="E1394" i="6"/>
  <c r="G1394" i="6"/>
  <c r="F1395" i="6"/>
  <c r="E1395" i="6"/>
  <c r="G1395" i="6"/>
  <c r="F1396" i="6"/>
  <c r="E1396" i="6"/>
  <c r="G1396" i="6"/>
  <c r="F1397" i="6"/>
  <c r="E1397" i="6"/>
  <c r="G1397" i="6"/>
  <c r="F1398" i="6"/>
  <c r="E1398" i="6"/>
  <c r="G1398" i="6"/>
  <c r="F1399" i="6"/>
  <c r="E1399" i="6"/>
  <c r="G1399" i="6"/>
  <c r="F1400" i="6"/>
  <c r="E1400" i="6"/>
  <c r="G1400" i="6"/>
  <c r="F1401" i="6"/>
  <c r="E1401" i="6"/>
  <c r="G1401" i="6"/>
  <c r="F1402" i="6"/>
  <c r="E1402" i="6"/>
  <c r="G1402" i="6"/>
  <c r="F1403" i="6"/>
  <c r="E1403" i="6"/>
  <c r="G1403" i="6"/>
  <c r="F1404" i="6"/>
  <c r="E1404" i="6"/>
  <c r="G1404" i="6"/>
  <c r="F1405" i="6"/>
  <c r="E1405" i="6"/>
  <c r="G1405" i="6"/>
  <c r="F1406" i="6"/>
  <c r="E1406" i="6"/>
  <c r="G1406" i="6"/>
  <c r="F1407" i="6"/>
  <c r="E1407" i="6"/>
  <c r="G1407" i="6"/>
  <c r="F1408" i="6"/>
  <c r="E1408" i="6"/>
  <c r="G1408" i="6"/>
  <c r="F1409" i="6"/>
  <c r="E1409" i="6"/>
  <c r="G1409" i="6"/>
  <c r="F1410" i="6"/>
  <c r="E1410" i="6"/>
  <c r="G1410" i="6"/>
  <c r="F1411" i="6"/>
  <c r="E1411" i="6"/>
  <c r="G1411" i="6"/>
  <c r="F1412" i="6"/>
  <c r="E1412" i="6"/>
  <c r="G1412" i="6"/>
  <c r="F1413" i="6"/>
  <c r="E1413" i="6"/>
  <c r="G1413" i="6"/>
  <c r="F1414" i="6"/>
  <c r="E1414" i="6"/>
  <c r="G1414" i="6"/>
  <c r="F1415" i="6"/>
  <c r="E1415" i="6"/>
  <c r="G1415" i="6"/>
  <c r="F1416" i="6"/>
  <c r="E1416" i="6"/>
  <c r="G1416" i="6"/>
  <c r="F1417" i="6"/>
  <c r="E1417" i="6"/>
  <c r="G1417" i="6"/>
  <c r="F1418" i="6"/>
  <c r="E1418" i="6"/>
  <c r="G1418" i="6"/>
  <c r="F1419" i="6"/>
  <c r="E1419" i="6"/>
  <c r="G1419" i="6"/>
  <c r="F1420" i="6"/>
  <c r="E1420" i="6"/>
  <c r="G1420" i="6"/>
  <c r="F1421" i="6"/>
  <c r="E1421" i="6"/>
  <c r="G1421" i="6"/>
  <c r="F1422" i="6"/>
  <c r="E1422" i="6"/>
  <c r="G1422" i="6"/>
  <c r="F1423" i="6"/>
  <c r="E1423" i="6"/>
  <c r="G1423" i="6"/>
  <c r="F1424" i="6"/>
  <c r="E1424" i="6"/>
  <c r="G1424" i="6"/>
  <c r="F1425" i="6"/>
  <c r="E1425" i="6"/>
  <c r="G1425" i="6"/>
  <c r="F1426" i="6"/>
  <c r="E1426" i="6"/>
  <c r="G1426" i="6"/>
  <c r="F1427" i="6"/>
  <c r="E1427" i="6"/>
  <c r="G1427" i="6"/>
  <c r="F1428" i="6"/>
  <c r="E1428" i="6"/>
  <c r="G1428" i="6"/>
  <c r="F1429" i="6"/>
  <c r="E1429" i="6"/>
  <c r="G1429" i="6"/>
  <c r="F1430" i="6"/>
  <c r="E1430" i="6"/>
  <c r="G1430" i="6"/>
  <c r="F1431" i="6"/>
  <c r="E1431" i="6"/>
  <c r="G1431" i="6"/>
  <c r="F1432" i="6"/>
  <c r="E1432" i="6"/>
  <c r="G1432" i="6"/>
  <c r="F1433" i="6"/>
  <c r="E1433" i="6"/>
  <c r="G1433" i="6"/>
  <c r="F1434" i="6"/>
  <c r="E1434" i="6"/>
  <c r="G1434" i="6"/>
  <c r="F1435" i="6"/>
  <c r="E1435" i="6"/>
  <c r="G1435" i="6"/>
  <c r="F1436" i="6"/>
  <c r="E1436" i="6"/>
  <c r="G1436" i="6"/>
  <c r="F1437" i="6"/>
  <c r="E1437" i="6"/>
  <c r="G1437" i="6"/>
  <c r="F1438" i="6"/>
  <c r="E1438" i="6"/>
  <c r="G1438" i="6"/>
  <c r="F1439" i="6"/>
  <c r="E1439" i="6"/>
  <c r="G1439" i="6"/>
  <c r="F1440" i="6"/>
  <c r="E1440" i="6"/>
  <c r="G1440" i="6"/>
  <c r="F1441" i="6"/>
  <c r="E1441" i="6"/>
  <c r="G1441" i="6"/>
  <c r="F1442" i="6"/>
  <c r="E1442" i="6"/>
  <c r="G1442" i="6"/>
  <c r="F1443" i="6"/>
  <c r="E1443" i="6"/>
  <c r="G1443" i="6"/>
  <c r="F1444" i="6"/>
  <c r="E1444" i="6"/>
  <c r="G1444" i="6"/>
  <c r="F1445" i="6"/>
  <c r="E1445" i="6"/>
  <c r="G1445" i="6"/>
  <c r="F1446" i="6"/>
  <c r="E1446" i="6"/>
  <c r="G1446" i="6"/>
  <c r="F1447" i="6"/>
  <c r="E1447" i="6"/>
  <c r="G1447" i="6"/>
  <c r="F1448" i="6"/>
  <c r="E1448" i="6"/>
  <c r="G1448" i="6"/>
  <c r="F1449" i="6"/>
  <c r="E1449" i="6"/>
  <c r="G1449" i="6"/>
  <c r="F1450" i="6"/>
  <c r="E1450" i="6"/>
  <c r="G1450" i="6"/>
  <c r="F1451" i="6"/>
  <c r="E1451" i="6"/>
  <c r="G1451" i="6"/>
  <c r="F1452" i="6"/>
  <c r="E1452" i="6"/>
  <c r="G1452" i="6"/>
  <c r="F1453" i="6"/>
  <c r="E1453" i="6"/>
  <c r="G1453" i="6"/>
  <c r="F1454" i="6"/>
  <c r="E1454" i="6"/>
  <c r="G1454" i="6"/>
  <c r="F1455" i="6"/>
  <c r="E1455" i="6"/>
  <c r="G1455" i="6"/>
  <c r="F1456" i="6"/>
  <c r="E1456" i="6"/>
  <c r="G1456" i="6"/>
  <c r="F1457" i="6"/>
  <c r="E1457" i="6"/>
  <c r="G1457" i="6"/>
  <c r="F1458" i="6"/>
  <c r="E1458" i="6"/>
  <c r="G1458" i="6"/>
  <c r="F1459" i="6"/>
  <c r="E1459" i="6"/>
  <c r="G1459" i="6"/>
  <c r="F1460" i="6"/>
  <c r="E1460" i="6"/>
  <c r="G1460" i="6"/>
  <c r="F1461" i="6"/>
  <c r="E1461" i="6"/>
  <c r="G1461" i="6"/>
  <c r="F1462" i="6"/>
  <c r="E1462" i="6"/>
  <c r="G1462" i="6"/>
  <c r="F1463" i="6"/>
  <c r="E1463" i="6"/>
  <c r="G1463" i="6"/>
  <c r="F1464" i="6"/>
  <c r="E1464" i="6"/>
  <c r="G1464" i="6"/>
  <c r="F1465" i="6"/>
  <c r="E1465" i="6"/>
  <c r="G1465" i="6"/>
  <c r="F1466" i="6"/>
  <c r="E1466" i="6"/>
  <c r="G1466" i="6"/>
  <c r="F1467" i="6"/>
  <c r="E1467" i="6"/>
  <c r="G1467" i="6"/>
  <c r="F1468" i="6"/>
  <c r="E1468" i="6"/>
  <c r="G1468" i="6"/>
  <c r="F1469" i="6"/>
  <c r="E1469" i="6"/>
  <c r="G1469" i="6"/>
  <c r="F1470" i="6"/>
  <c r="E1470" i="6"/>
  <c r="G1470" i="6"/>
  <c r="F1471" i="6"/>
  <c r="E1471" i="6"/>
  <c r="G1471" i="6"/>
  <c r="F1472" i="6"/>
  <c r="E1472" i="6"/>
  <c r="G1472" i="6"/>
  <c r="F1473" i="6"/>
  <c r="E1473" i="6"/>
  <c r="G1473" i="6"/>
  <c r="F1474" i="6"/>
  <c r="E1474" i="6"/>
  <c r="G1474" i="6"/>
  <c r="F1475" i="6"/>
  <c r="E1475" i="6"/>
  <c r="G1475" i="6"/>
  <c r="F1476" i="6"/>
  <c r="E1476" i="6"/>
  <c r="G1476" i="6"/>
  <c r="F1477" i="6"/>
  <c r="E1477" i="6"/>
  <c r="G1477" i="6"/>
  <c r="F1478" i="6"/>
  <c r="E1478" i="6"/>
  <c r="G1478" i="6"/>
  <c r="F1479" i="6"/>
  <c r="E1479" i="6"/>
  <c r="G1479" i="6"/>
  <c r="F1480" i="6"/>
  <c r="E1480" i="6"/>
  <c r="G1480" i="6"/>
  <c r="F1481" i="6"/>
  <c r="E1481" i="6"/>
  <c r="G1481" i="6"/>
  <c r="F1482" i="6"/>
  <c r="E1482" i="6"/>
  <c r="G1482" i="6"/>
  <c r="F1483" i="6"/>
  <c r="E1483" i="6"/>
  <c r="G1483" i="6"/>
  <c r="F1484" i="6"/>
  <c r="E1484" i="6"/>
  <c r="G1484" i="6"/>
  <c r="F1485" i="6"/>
  <c r="E1485" i="6"/>
  <c r="G1485" i="6"/>
  <c r="F1486" i="6"/>
  <c r="E1486" i="6"/>
  <c r="G1486" i="6"/>
  <c r="F1487" i="6"/>
  <c r="E1487" i="6"/>
  <c r="G1487" i="6"/>
  <c r="F1488" i="6"/>
  <c r="E1488" i="6"/>
  <c r="G1488" i="6"/>
  <c r="F1489" i="6"/>
  <c r="E1489" i="6"/>
  <c r="G1489" i="6"/>
  <c r="F1490" i="6"/>
  <c r="E1490" i="6"/>
  <c r="G1490" i="6"/>
  <c r="F1491" i="6"/>
  <c r="E1491" i="6"/>
  <c r="G1491" i="6"/>
  <c r="F1492" i="6"/>
  <c r="E1492" i="6"/>
  <c r="G1492" i="6"/>
  <c r="F1493" i="6"/>
  <c r="E1493" i="6"/>
  <c r="G1493" i="6"/>
  <c r="F1494" i="6"/>
  <c r="E1494" i="6"/>
  <c r="G1494" i="6"/>
  <c r="F1495" i="6"/>
  <c r="E1495" i="6"/>
  <c r="G1495" i="6"/>
  <c r="F1496" i="6"/>
  <c r="E1496" i="6"/>
  <c r="G1496" i="6"/>
  <c r="F1497" i="6"/>
  <c r="E1497" i="6"/>
  <c r="G1497" i="6"/>
  <c r="F1498" i="6"/>
  <c r="E1498" i="6"/>
  <c r="G1498" i="6"/>
  <c r="F1499" i="6"/>
  <c r="E1499" i="6"/>
  <c r="G1499" i="6"/>
  <c r="F1500" i="6"/>
  <c r="E1500" i="6"/>
  <c r="G1500" i="6"/>
  <c r="F1501" i="6"/>
  <c r="E1501" i="6"/>
  <c r="G1501" i="6"/>
  <c r="F1502" i="6"/>
  <c r="E1502" i="6"/>
  <c r="G1502" i="6"/>
  <c r="F1503" i="6"/>
  <c r="E1503" i="6"/>
  <c r="G1503" i="6"/>
  <c r="F1504" i="6"/>
  <c r="E1504" i="6"/>
  <c r="G1504" i="6"/>
  <c r="F1505" i="6"/>
  <c r="E1505" i="6"/>
  <c r="G1505" i="6"/>
  <c r="F1506" i="6"/>
  <c r="E1506" i="6"/>
  <c r="G1506" i="6"/>
  <c r="F1507" i="6"/>
  <c r="E1507" i="6"/>
  <c r="G1507" i="6"/>
  <c r="F1508" i="6"/>
  <c r="E1508" i="6"/>
  <c r="G1508" i="6"/>
  <c r="F1509" i="6"/>
  <c r="E1509" i="6"/>
  <c r="G1509" i="6"/>
  <c r="F1510" i="6"/>
  <c r="E1510" i="6"/>
  <c r="G1510" i="6"/>
  <c r="F1511" i="6"/>
  <c r="E1511" i="6"/>
  <c r="G1511" i="6"/>
  <c r="F1512" i="6"/>
  <c r="E1512" i="6"/>
  <c r="G1512" i="6"/>
  <c r="F1513" i="6"/>
  <c r="E1513" i="6"/>
  <c r="G1513" i="6"/>
  <c r="F1514" i="6"/>
  <c r="E1514" i="6"/>
  <c r="G1514" i="6"/>
  <c r="F1515" i="6"/>
  <c r="E1515" i="6"/>
  <c r="G1515" i="6"/>
  <c r="F1516" i="6"/>
  <c r="E1516" i="6"/>
  <c r="G1516" i="6"/>
  <c r="F1517" i="6"/>
  <c r="E1517" i="6"/>
  <c r="G1517" i="6"/>
  <c r="F1518" i="6"/>
  <c r="E1518" i="6"/>
  <c r="G1518" i="6"/>
  <c r="F1519" i="6"/>
  <c r="E1519" i="6"/>
  <c r="G1519" i="6"/>
  <c r="F1520" i="6"/>
  <c r="E1520" i="6"/>
  <c r="G1520" i="6"/>
  <c r="F1521" i="6"/>
  <c r="E1521" i="6"/>
  <c r="G1521" i="6"/>
  <c r="F1522" i="6"/>
  <c r="E1522" i="6"/>
  <c r="G1522" i="6"/>
  <c r="F1523" i="6"/>
  <c r="E1523" i="6"/>
  <c r="G1523" i="6"/>
  <c r="F1524" i="6"/>
  <c r="E1524" i="6"/>
  <c r="G1524" i="6"/>
  <c r="F1525" i="6"/>
  <c r="E1525" i="6"/>
  <c r="G1525" i="6"/>
  <c r="F1526" i="6"/>
  <c r="E1526" i="6"/>
  <c r="G1526" i="6"/>
  <c r="F1527" i="6"/>
  <c r="E1527" i="6"/>
  <c r="G1527" i="6"/>
  <c r="F1528" i="6"/>
  <c r="E1528" i="6"/>
  <c r="G1528" i="6"/>
  <c r="F1529" i="6"/>
  <c r="E1529" i="6"/>
  <c r="G1529" i="6"/>
  <c r="F1530" i="6"/>
  <c r="E1530" i="6"/>
  <c r="G1530" i="6"/>
  <c r="F1531" i="6"/>
  <c r="E1531" i="6"/>
  <c r="G1531" i="6"/>
  <c r="F1532" i="6"/>
  <c r="E1532" i="6"/>
  <c r="G1532" i="6"/>
  <c r="F1533" i="6"/>
  <c r="E1533" i="6"/>
  <c r="G1533" i="6"/>
  <c r="F1534" i="6"/>
  <c r="E1534" i="6"/>
  <c r="G1534" i="6"/>
  <c r="F1535" i="6"/>
  <c r="E1535" i="6"/>
  <c r="G1535" i="6"/>
  <c r="F1536" i="6"/>
  <c r="E1536" i="6"/>
  <c r="G1536" i="6"/>
  <c r="F1537" i="6"/>
  <c r="E1537" i="6"/>
  <c r="G1537" i="6"/>
  <c r="F1538" i="6"/>
  <c r="E1538" i="6"/>
  <c r="G1538" i="6"/>
  <c r="F1539" i="6"/>
  <c r="E1539" i="6"/>
  <c r="G1539" i="6"/>
  <c r="F1540" i="6"/>
  <c r="E1540" i="6"/>
  <c r="G1540" i="6"/>
  <c r="F1541" i="6"/>
  <c r="E1541" i="6"/>
  <c r="G1541" i="6"/>
  <c r="F1542" i="6"/>
  <c r="E1542" i="6"/>
  <c r="G1542" i="6"/>
  <c r="F1543" i="6"/>
  <c r="E1543" i="6"/>
  <c r="G1543" i="6"/>
  <c r="F1544" i="6"/>
  <c r="E1544" i="6"/>
  <c r="G1544" i="6"/>
  <c r="F1545" i="6"/>
  <c r="E1545" i="6"/>
  <c r="G1545" i="6"/>
  <c r="F1546" i="6"/>
  <c r="E1546" i="6"/>
  <c r="G1546" i="6"/>
  <c r="F1547" i="6"/>
  <c r="E1547" i="6"/>
  <c r="G1547" i="6"/>
  <c r="F1548" i="6"/>
  <c r="E1548" i="6"/>
  <c r="G1548" i="6"/>
  <c r="F1549" i="6"/>
  <c r="E1549" i="6"/>
  <c r="G1549" i="6"/>
  <c r="F1550" i="6"/>
  <c r="E1550" i="6"/>
  <c r="G1550" i="6"/>
  <c r="F1551" i="6"/>
  <c r="E1551" i="6"/>
  <c r="G1551" i="6"/>
  <c r="F1552" i="6"/>
  <c r="E1552" i="6"/>
  <c r="G1552" i="6"/>
  <c r="F1553" i="6"/>
  <c r="E1553" i="6"/>
  <c r="G1553" i="6"/>
  <c r="F1554" i="6"/>
  <c r="E1554" i="6"/>
  <c r="G1554" i="6"/>
  <c r="F1555" i="6"/>
  <c r="E1555" i="6"/>
  <c r="G1555" i="6"/>
  <c r="F1556" i="6"/>
  <c r="E1556" i="6"/>
  <c r="G1556" i="6"/>
  <c r="F1557" i="6"/>
  <c r="E1557" i="6"/>
  <c r="G1557" i="6"/>
  <c r="F1558" i="6"/>
  <c r="E1558" i="6"/>
  <c r="G1558" i="6"/>
  <c r="F1559" i="6"/>
  <c r="E1559" i="6"/>
  <c r="G1559" i="6"/>
  <c r="F1560" i="6"/>
  <c r="E1560" i="6"/>
  <c r="G1560" i="6"/>
  <c r="F1561" i="6"/>
  <c r="E1561" i="6"/>
  <c r="G1561" i="6"/>
  <c r="F1562" i="6"/>
  <c r="E1562" i="6"/>
  <c r="G1562" i="6"/>
  <c r="F1563" i="6"/>
  <c r="E1563" i="6"/>
  <c r="G1563" i="6"/>
  <c r="F1564" i="6"/>
  <c r="E1564" i="6"/>
  <c r="G1564" i="6"/>
  <c r="F1565" i="6"/>
  <c r="E1565" i="6"/>
  <c r="G1565" i="6"/>
  <c r="F1566" i="6"/>
  <c r="E1566" i="6"/>
  <c r="G1566" i="6"/>
  <c r="F1567" i="6"/>
  <c r="E1567" i="6"/>
  <c r="G1567" i="6"/>
  <c r="F1568" i="6"/>
  <c r="E1568" i="6"/>
  <c r="G1568" i="6"/>
  <c r="F1569" i="6"/>
  <c r="E1569" i="6"/>
  <c r="G1569" i="6"/>
  <c r="F1570" i="6"/>
  <c r="E1570" i="6"/>
  <c r="G1570" i="6"/>
  <c r="F1571" i="6"/>
  <c r="E1571" i="6"/>
  <c r="G1571" i="6"/>
  <c r="F1572" i="6"/>
  <c r="E1572" i="6"/>
  <c r="G1572" i="6"/>
  <c r="F1573" i="6"/>
  <c r="E1573" i="6"/>
  <c r="G1573" i="6"/>
  <c r="F1574" i="6"/>
  <c r="E1574" i="6"/>
  <c r="G1574" i="6"/>
  <c r="F1575" i="6"/>
  <c r="E1575" i="6"/>
  <c r="G1575" i="6"/>
  <c r="F1576" i="6"/>
  <c r="E1576" i="6"/>
  <c r="G1576" i="6"/>
  <c r="F1577" i="6"/>
  <c r="E1577" i="6"/>
  <c r="G1577" i="6"/>
  <c r="F1578" i="6"/>
  <c r="E1578" i="6"/>
  <c r="G1578" i="6"/>
  <c r="F1579" i="6"/>
  <c r="E1579" i="6"/>
  <c r="G1579" i="6"/>
  <c r="F1580" i="6"/>
  <c r="E1580" i="6"/>
  <c r="G1580" i="6"/>
  <c r="F1581" i="6"/>
  <c r="E1581" i="6"/>
  <c r="G1581" i="6"/>
  <c r="F1582" i="6"/>
  <c r="E1582" i="6"/>
  <c r="G1582" i="6"/>
  <c r="F1583" i="6"/>
  <c r="E1583" i="6"/>
  <c r="G1583" i="6"/>
  <c r="F1584" i="6"/>
  <c r="E1584" i="6"/>
  <c r="G1584" i="6"/>
  <c r="F1585" i="6"/>
  <c r="E1585" i="6"/>
  <c r="G1585" i="6"/>
  <c r="F1586" i="6"/>
  <c r="E1586" i="6"/>
  <c r="G1586" i="6"/>
  <c r="F1587" i="6"/>
  <c r="E1587" i="6"/>
  <c r="G1587" i="6"/>
  <c r="F1588" i="6"/>
  <c r="E1588" i="6"/>
  <c r="G1588" i="6"/>
  <c r="F1589" i="6"/>
  <c r="E1589" i="6"/>
  <c r="G1589" i="6"/>
  <c r="F1590" i="6"/>
  <c r="E1590" i="6"/>
  <c r="G1590" i="6"/>
  <c r="F1591" i="6"/>
  <c r="E1591" i="6"/>
  <c r="G1591" i="6"/>
  <c r="F1592" i="6"/>
  <c r="E1592" i="6"/>
  <c r="G1592" i="6"/>
  <c r="F1593" i="6"/>
  <c r="E1593" i="6"/>
  <c r="G1593" i="6"/>
  <c r="F1594" i="6"/>
  <c r="E1594" i="6"/>
  <c r="G1594" i="6"/>
  <c r="F1595" i="6"/>
  <c r="E1595" i="6"/>
  <c r="G1595" i="6"/>
  <c r="F1596" i="6"/>
  <c r="E1596" i="6"/>
  <c r="G1596" i="6"/>
  <c r="F1597" i="6"/>
  <c r="E1597" i="6"/>
  <c r="G1597" i="6"/>
  <c r="F1598" i="6"/>
  <c r="E1598" i="6"/>
  <c r="G1598" i="6"/>
  <c r="F1599" i="6"/>
  <c r="E1599" i="6"/>
  <c r="G1599" i="6"/>
  <c r="F1600" i="6"/>
  <c r="E1600" i="6"/>
  <c r="G1600" i="6"/>
  <c r="F1601" i="6"/>
  <c r="E1601" i="6"/>
  <c r="G1601" i="6"/>
  <c r="F1602" i="6"/>
  <c r="E1602" i="6"/>
  <c r="G1602" i="6"/>
  <c r="F1603" i="6"/>
  <c r="E1603" i="6"/>
  <c r="G1603" i="6"/>
  <c r="F1604" i="6"/>
  <c r="E1604" i="6"/>
  <c r="G1604" i="6"/>
  <c r="F1605" i="6"/>
  <c r="E1605" i="6"/>
  <c r="G1605" i="6"/>
  <c r="F1606" i="6"/>
  <c r="E1606" i="6"/>
  <c r="G1606" i="6"/>
  <c r="F1607" i="6"/>
  <c r="E1607" i="6"/>
  <c r="G1607" i="6"/>
  <c r="F1608" i="6"/>
  <c r="E1608" i="6"/>
  <c r="G1608" i="6"/>
  <c r="F1609" i="6"/>
  <c r="E1609" i="6"/>
  <c r="G1609" i="6"/>
  <c r="F1610" i="6"/>
  <c r="E1610" i="6"/>
  <c r="G1610" i="6"/>
  <c r="F1611" i="6"/>
  <c r="E1611" i="6"/>
  <c r="G1611" i="6"/>
  <c r="F1612" i="6"/>
  <c r="E1612" i="6"/>
  <c r="G1612" i="6"/>
  <c r="F1613" i="6"/>
  <c r="E1613" i="6"/>
  <c r="G1613" i="6"/>
  <c r="F1614" i="6"/>
  <c r="E1614" i="6"/>
  <c r="G1614" i="6"/>
  <c r="F1615" i="6"/>
  <c r="E1615" i="6"/>
  <c r="G1615" i="6"/>
  <c r="F1616" i="6"/>
  <c r="E1616" i="6"/>
  <c r="G1616" i="6"/>
  <c r="F1617" i="6"/>
  <c r="E1617" i="6"/>
  <c r="G1617" i="6"/>
  <c r="F1618" i="6"/>
  <c r="E1618" i="6"/>
  <c r="G1618" i="6"/>
  <c r="F1619" i="6"/>
  <c r="E1619" i="6"/>
  <c r="G1619" i="6"/>
  <c r="F1620" i="6"/>
  <c r="E1620" i="6"/>
  <c r="G1620" i="6"/>
  <c r="F1621" i="6"/>
  <c r="E1621" i="6"/>
  <c r="G1621" i="6"/>
  <c r="F1622" i="6"/>
  <c r="E1622" i="6"/>
  <c r="G1622" i="6"/>
  <c r="F1623" i="6"/>
  <c r="E1623" i="6"/>
  <c r="G1623" i="6"/>
  <c r="F1624" i="6"/>
  <c r="E1624" i="6"/>
  <c r="G1624" i="6"/>
  <c r="F1625" i="6"/>
  <c r="E1625" i="6"/>
  <c r="G1625" i="6"/>
  <c r="F1626" i="6"/>
  <c r="E1626" i="6"/>
  <c r="G1626" i="6"/>
  <c r="F1627" i="6"/>
  <c r="E1627" i="6"/>
  <c r="G1627" i="6"/>
  <c r="F1628" i="6"/>
  <c r="E1628" i="6"/>
  <c r="G1628" i="6"/>
  <c r="F1629" i="6"/>
  <c r="E1629" i="6"/>
  <c r="G1629" i="6"/>
  <c r="F1630" i="6"/>
  <c r="E1630" i="6"/>
  <c r="G1630" i="6"/>
  <c r="F1631" i="6"/>
  <c r="E1631" i="6"/>
  <c r="G1631" i="6"/>
  <c r="F1632" i="6"/>
  <c r="E1632" i="6"/>
  <c r="G1632" i="6"/>
  <c r="F1633" i="6"/>
  <c r="E1633" i="6"/>
  <c r="G1633" i="6"/>
  <c r="F1634" i="6"/>
  <c r="E1634" i="6"/>
  <c r="G1634" i="6"/>
  <c r="F1635" i="6"/>
  <c r="E1635" i="6"/>
  <c r="G1635" i="6"/>
  <c r="F1636" i="6"/>
  <c r="E1636" i="6"/>
  <c r="G1636" i="6"/>
  <c r="F1637" i="6"/>
  <c r="E1637" i="6"/>
  <c r="G1637" i="6"/>
  <c r="F1638" i="6"/>
  <c r="E1638" i="6"/>
  <c r="G1638" i="6"/>
  <c r="F1639" i="6"/>
  <c r="E1639" i="6"/>
  <c r="G1639" i="6"/>
  <c r="F1640" i="6"/>
  <c r="E1640" i="6"/>
  <c r="G1640" i="6"/>
  <c r="F1641" i="6"/>
  <c r="E1641" i="6"/>
  <c r="G1641" i="6"/>
  <c r="F1642" i="6"/>
  <c r="E1642" i="6"/>
  <c r="G1642" i="6"/>
  <c r="F1643" i="6"/>
  <c r="E1643" i="6"/>
  <c r="G1643" i="6"/>
  <c r="F1644" i="6"/>
  <c r="E1644" i="6"/>
  <c r="G1644" i="6"/>
  <c r="F1645" i="6"/>
  <c r="E1645" i="6"/>
  <c r="G1645" i="6"/>
  <c r="F1646" i="6"/>
  <c r="E1646" i="6"/>
  <c r="G1646" i="6"/>
  <c r="F1647" i="6"/>
  <c r="E1647" i="6"/>
  <c r="G1647" i="6"/>
  <c r="F1648" i="6"/>
  <c r="E1648" i="6"/>
  <c r="G1648" i="6"/>
  <c r="F1649" i="6"/>
  <c r="E1649" i="6"/>
  <c r="G1649" i="6"/>
  <c r="F1650" i="6"/>
  <c r="E1650" i="6"/>
  <c r="G1650" i="6"/>
  <c r="F1651" i="6"/>
  <c r="E1651" i="6"/>
  <c r="G1651" i="6"/>
  <c r="F1652" i="6"/>
  <c r="E1652" i="6"/>
  <c r="G1652" i="6"/>
  <c r="F1653" i="6"/>
  <c r="E1653" i="6"/>
  <c r="G1653" i="6"/>
  <c r="F1654" i="6"/>
  <c r="E1654" i="6"/>
  <c r="G1654" i="6"/>
  <c r="F1655" i="6"/>
  <c r="E1655" i="6"/>
  <c r="G1655" i="6"/>
  <c r="F1656" i="6"/>
  <c r="E1656" i="6"/>
  <c r="G1656" i="6"/>
  <c r="F1657" i="6"/>
  <c r="E1657" i="6"/>
  <c r="G1657" i="6"/>
  <c r="F1658" i="6"/>
  <c r="E1658" i="6"/>
  <c r="G1658" i="6"/>
  <c r="F1659" i="6"/>
  <c r="E1659" i="6"/>
  <c r="G1659" i="6"/>
  <c r="F1660" i="6"/>
  <c r="E1660" i="6"/>
  <c r="G1660" i="6"/>
  <c r="F1661" i="6"/>
  <c r="E1661" i="6"/>
  <c r="G1661" i="6"/>
  <c r="F1662" i="6"/>
  <c r="E1662" i="6"/>
  <c r="G1662" i="6"/>
  <c r="F1663" i="6"/>
  <c r="E1663" i="6"/>
  <c r="G1663" i="6"/>
  <c r="F1664" i="6"/>
  <c r="E1664" i="6"/>
  <c r="G1664" i="6"/>
  <c r="F1665" i="6"/>
  <c r="E1665" i="6"/>
  <c r="G1665" i="6"/>
  <c r="F1666" i="6"/>
  <c r="E1666" i="6"/>
  <c r="G1666" i="6"/>
  <c r="F1667" i="6"/>
  <c r="E1667" i="6"/>
  <c r="G1667" i="6"/>
  <c r="F1668" i="6"/>
  <c r="E1668" i="6"/>
  <c r="G1668" i="6"/>
  <c r="F1669" i="6"/>
  <c r="E1669" i="6"/>
  <c r="G1669" i="6"/>
  <c r="F1670" i="6"/>
  <c r="E1670" i="6"/>
  <c r="G1670" i="6"/>
  <c r="F1671" i="6"/>
  <c r="E1671" i="6"/>
  <c r="G1671" i="6"/>
  <c r="F1672" i="6"/>
  <c r="E1672" i="6"/>
  <c r="G1672" i="6"/>
  <c r="F1673" i="6"/>
  <c r="E1673" i="6"/>
  <c r="G1673" i="6"/>
  <c r="F1674" i="6"/>
  <c r="E1674" i="6"/>
  <c r="G1674" i="6"/>
  <c r="F1675" i="6"/>
  <c r="E1675" i="6"/>
  <c r="G1675" i="6"/>
  <c r="F1676" i="6"/>
  <c r="E1676" i="6"/>
  <c r="G1676" i="6"/>
  <c r="F1677" i="6"/>
  <c r="E1677" i="6"/>
  <c r="G1677" i="6"/>
  <c r="F1678" i="6"/>
  <c r="E1678" i="6"/>
  <c r="G1678" i="6"/>
  <c r="F1679" i="6"/>
  <c r="E1679" i="6"/>
  <c r="G1679" i="6"/>
  <c r="F1680" i="6"/>
  <c r="E1680" i="6"/>
  <c r="G1680" i="6"/>
  <c r="F1681" i="6"/>
  <c r="E1681" i="6"/>
  <c r="G1681" i="6"/>
  <c r="F1682" i="6"/>
  <c r="E1682" i="6"/>
  <c r="G1682" i="6"/>
  <c r="F1683" i="6"/>
  <c r="E1683" i="6"/>
  <c r="G1683" i="6"/>
  <c r="F1684" i="6"/>
  <c r="E1684" i="6"/>
  <c r="G1684" i="6"/>
  <c r="F1685" i="6"/>
  <c r="E1685" i="6"/>
  <c r="G1685" i="6"/>
  <c r="F1686" i="6"/>
  <c r="E1686" i="6"/>
  <c r="G1686" i="6"/>
  <c r="F1687" i="6"/>
  <c r="E1687" i="6"/>
  <c r="G1687" i="6"/>
  <c r="F1688" i="6"/>
  <c r="E1688" i="6"/>
  <c r="G1688" i="6"/>
  <c r="F1689" i="6"/>
  <c r="E1689" i="6"/>
  <c r="G1689" i="6"/>
  <c r="F1690" i="6"/>
  <c r="E1690" i="6"/>
  <c r="G1690" i="6"/>
  <c r="F1691" i="6"/>
  <c r="E1691" i="6"/>
  <c r="G1691" i="6"/>
  <c r="F1692" i="6"/>
  <c r="E1692" i="6"/>
  <c r="G1692" i="6"/>
  <c r="F1693" i="6"/>
  <c r="E1693" i="6"/>
  <c r="G1693" i="6"/>
  <c r="F1694" i="6"/>
  <c r="E1694" i="6"/>
  <c r="G1694" i="6"/>
  <c r="F1695" i="6"/>
  <c r="E1695" i="6"/>
  <c r="G1695" i="6"/>
  <c r="F1696" i="6"/>
  <c r="E1696" i="6"/>
  <c r="G1696" i="6"/>
  <c r="F1697" i="6"/>
  <c r="E1697" i="6"/>
  <c r="G1697" i="6"/>
  <c r="F1698" i="6"/>
  <c r="E1698" i="6"/>
  <c r="G1698" i="6"/>
  <c r="F1699" i="6"/>
  <c r="E1699" i="6"/>
  <c r="G1699" i="6"/>
  <c r="F1700" i="6"/>
  <c r="E1700" i="6"/>
  <c r="G1700" i="6"/>
  <c r="F1701" i="6"/>
  <c r="E1701" i="6"/>
  <c r="G1701" i="6"/>
  <c r="F1702" i="6"/>
  <c r="E1702" i="6"/>
  <c r="G1702" i="6"/>
  <c r="F1703" i="6"/>
  <c r="E1703" i="6"/>
  <c r="G1703" i="6"/>
  <c r="F1704" i="6"/>
  <c r="E1704" i="6"/>
  <c r="G1704" i="6"/>
  <c r="F1705" i="6"/>
  <c r="E1705" i="6"/>
  <c r="G1705" i="6"/>
  <c r="F1706" i="6"/>
  <c r="E1706" i="6"/>
  <c r="G1706" i="6"/>
  <c r="F1707" i="6"/>
  <c r="E1707" i="6"/>
  <c r="G1707" i="6"/>
  <c r="F1708" i="6"/>
  <c r="E1708" i="6"/>
  <c r="G1708" i="6"/>
  <c r="F1709" i="6"/>
  <c r="E1709" i="6"/>
  <c r="G1709" i="6"/>
  <c r="F1710" i="6"/>
  <c r="E1710" i="6"/>
  <c r="G1710" i="6"/>
  <c r="F1711" i="6"/>
  <c r="E1711" i="6"/>
  <c r="G1711" i="6"/>
  <c r="F1712" i="6"/>
  <c r="E1712" i="6"/>
  <c r="G1712" i="6"/>
  <c r="F1713" i="6"/>
  <c r="E1713" i="6"/>
  <c r="G1713" i="6"/>
  <c r="F1714" i="6"/>
  <c r="E1714" i="6"/>
  <c r="G1714" i="6"/>
  <c r="F1715" i="6"/>
  <c r="E1715" i="6"/>
  <c r="G1715" i="6"/>
  <c r="F1716" i="6"/>
  <c r="E1716" i="6"/>
  <c r="G1716" i="6"/>
  <c r="F1717" i="6"/>
  <c r="E1717" i="6"/>
  <c r="G1717" i="6"/>
  <c r="F1718" i="6"/>
  <c r="E1718" i="6"/>
  <c r="G1718" i="6"/>
  <c r="F1719" i="6"/>
  <c r="E1719" i="6"/>
  <c r="G1719" i="6"/>
  <c r="F1720" i="6"/>
  <c r="E1720" i="6"/>
  <c r="G1720" i="6"/>
  <c r="F1721" i="6"/>
  <c r="E1721" i="6"/>
  <c r="G1721" i="6"/>
  <c r="F1722" i="6"/>
  <c r="E1722" i="6"/>
  <c r="G1722" i="6"/>
  <c r="F1723" i="6"/>
  <c r="E1723" i="6"/>
  <c r="G1723" i="6"/>
  <c r="F1724" i="6"/>
  <c r="E1724" i="6"/>
  <c r="G1724" i="6"/>
  <c r="F1725" i="6"/>
  <c r="E1725" i="6"/>
  <c r="G1725" i="6"/>
  <c r="F1726" i="6"/>
  <c r="E1726" i="6"/>
  <c r="G1726" i="6"/>
  <c r="F1727" i="6"/>
  <c r="E1727" i="6"/>
  <c r="G1727" i="6"/>
  <c r="F1728" i="6"/>
  <c r="E1728" i="6"/>
  <c r="G1728" i="6"/>
  <c r="F1729" i="6"/>
  <c r="E1729" i="6"/>
  <c r="G1729" i="6"/>
  <c r="F1730" i="6"/>
  <c r="E1730" i="6"/>
  <c r="G1730" i="6"/>
  <c r="F1731" i="6"/>
  <c r="E1731" i="6"/>
  <c r="G1731" i="6"/>
  <c r="F1732" i="6"/>
  <c r="E1732" i="6"/>
  <c r="G1732" i="6"/>
  <c r="F1733" i="6"/>
  <c r="E1733" i="6"/>
  <c r="G1733" i="6"/>
  <c r="F1734" i="6"/>
  <c r="E1734" i="6"/>
  <c r="G1734" i="6"/>
  <c r="F1735" i="6"/>
  <c r="E1735" i="6"/>
  <c r="G1735" i="6"/>
  <c r="F1736" i="6"/>
  <c r="E1736" i="6"/>
  <c r="G1736" i="6"/>
  <c r="F1737" i="6"/>
  <c r="E1737" i="6"/>
  <c r="G1737" i="6"/>
  <c r="F1738" i="6"/>
  <c r="E1738" i="6"/>
  <c r="G1738" i="6"/>
  <c r="F1739" i="6"/>
  <c r="E1739" i="6"/>
  <c r="G1739" i="6"/>
  <c r="F1740" i="6"/>
  <c r="E1740" i="6"/>
  <c r="G1740" i="6"/>
  <c r="F1741" i="6"/>
  <c r="E1741" i="6"/>
  <c r="G1741" i="6"/>
  <c r="F1742" i="6"/>
  <c r="E1742" i="6"/>
  <c r="G1742" i="6"/>
  <c r="F1743" i="6"/>
  <c r="E1743" i="6"/>
  <c r="G1743" i="6"/>
  <c r="F1744" i="6"/>
  <c r="E1744" i="6"/>
  <c r="G1744" i="6"/>
  <c r="F1745" i="6"/>
  <c r="E1745" i="6"/>
  <c r="G1745" i="6"/>
  <c r="F1746" i="6"/>
  <c r="E1746" i="6"/>
  <c r="G1746" i="6"/>
  <c r="F1747" i="6"/>
  <c r="E1747" i="6"/>
  <c r="G1747" i="6"/>
  <c r="F1748" i="6"/>
  <c r="E1748" i="6"/>
  <c r="G1748" i="6"/>
  <c r="F1749" i="6"/>
  <c r="E1749" i="6"/>
  <c r="G1749" i="6"/>
  <c r="F1750" i="6"/>
  <c r="E1750" i="6"/>
  <c r="G1750" i="6"/>
  <c r="F1751" i="6"/>
  <c r="E1751" i="6"/>
  <c r="G1751" i="6"/>
  <c r="F1752" i="6"/>
  <c r="E1752" i="6"/>
  <c r="G1752" i="6"/>
  <c r="F1753" i="6"/>
  <c r="E1753" i="6"/>
  <c r="G1753" i="6"/>
  <c r="F1754" i="6"/>
  <c r="E1754" i="6"/>
  <c r="G1754" i="6"/>
  <c r="F1755" i="6"/>
  <c r="E1755" i="6"/>
  <c r="G1755" i="6"/>
  <c r="F1756" i="6"/>
  <c r="E1756" i="6"/>
  <c r="G1756" i="6"/>
  <c r="F1757" i="6"/>
  <c r="E1757" i="6"/>
  <c r="G1757" i="6"/>
  <c r="F1758" i="6"/>
  <c r="E1758" i="6"/>
  <c r="G1758" i="6"/>
  <c r="F1759" i="6"/>
  <c r="E1759" i="6"/>
  <c r="G1759" i="6"/>
  <c r="F1760" i="6"/>
  <c r="E1760" i="6"/>
  <c r="G1760" i="6"/>
  <c r="F1761" i="6"/>
  <c r="E1761" i="6"/>
  <c r="G1761" i="6"/>
  <c r="F1762" i="6"/>
  <c r="E1762" i="6"/>
  <c r="G1762" i="6"/>
  <c r="F1763" i="6"/>
  <c r="E1763" i="6"/>
  <c r="G1763" i="6"/>
  <c r="F1764" i="6"/>
  <c r="E1764" i="6"/>
  <c r="G1764" i="6"/>
  <c r="F1765" i="6"/>
  <c r="E1765" i="6"/>
  <c r="G1765" i="6"/>
  <c r="F1766" i="6"/>
  <c r="E1766" i="6"/>
  <c r="G1766" i="6"/>
  <c r="F1767" i="6"/>
  <c r="E1767" i="6"/>
  <c r="G1767" i="6"/>
  <c r="F1768" i="6"/>
  <c r="E1768" i="6"/>
  <c r="G1768" i="6"/>
  <c r="F1769" i="6"/>
  <c r="E1769" i="6"/>
  <c r="G1769" i="6"/>
  <c r="F1770" i="6"/>
  <c r="E1770" i="6"/>
  <c r="G1770" i="6"/>
  <c r="F1771" i="6"/>
  <c r="E1771" i="6"/>
  <c r="G1771" i="6"/>
  <c r="F1772" i="6"/>
  <c r="E1772" i="6"/>
  <c r="G1772" i="6"/>
  <c r="F1773" i="6"/>
  <c r="E1773" i="6"/>
  <c r="G1773" i="6"/>
  <c r="F1774" i="6"/>
  <c r="E1774" i="6"/>
  <c r="G1774" i="6"/>
  <c r="F1775" i="6"/>
  <c r="E1775" i="6"/>
  <c r="G1775" i="6"/>
  <c r="F1776" i="6"/>
  <c r="E1776" i="6"/>
  <c r="G1776" i="6"/>
  <c r="F1777" i="6"/>
  <c r="E1777" i="6"/>
  <c r="G1777" i="6"/>
  <c r="F1778" i="6"/>
  <c r="E1778" i="6"/>
  <c r="G1778" i="6"/>
  <c r="F1779" i="6"/>
  <c r="E1779" i="6"/>
  <c r="G1779" i="6"/>
  <c r="F1780" i="6"/>
  <c r="E1780" i="6"/>
  <c r="G1780" i="6"/>
  <c r="F1781" i="6"/>
  <c r="E1781" i="6"/>
  <c r="G1781" i="6"/>
  <c r="F1782" i="6"/>
  <c r="E1782" i="6"/>
  <c r="G1782" i="6"/>
  <c r="F1783" i="6"/>
  <c r="E1783" i="6"/>
  <c r="G1783" i="6"/>
  <c r="F1784" i="6"/>
  <c r="E1784" i="6"/>
  <c r="G1784" i="6"/>
  <c r="F1785" i="6"/>
  <c r="E1785" i="6"/>
  <c r="G1785" i="6"/>
  <c r="F1786" i="6"/>
  <c r="E1786" i="6"/>
  <c r="G1786" i="6"/>
  <c r="F1787" i="6"/>
  <c r="E1787" i="6"/>
  <c r="G1787" i="6"/>
  <c r="F1788" i="6"/>
  <c r="E1788" i="6"/>
  <c r="G1788" i="6"/>
  <c r="F1789" i="6"/>
  <c r="E1789" i="6"/>
  <c r="G1789" i="6"/>
  <c r="F1790" i="6"/>
  <c r="E1790" i="6"/>
  <c r="G1790" i="6"/>
  <c r="F1791" i="6"/>
  <c r="E1791" i="6"/>
  <c r="G1791" i="6"/>
  <c r="F1792" i="6"/>
  <c r="E1792" i="6"/>
  <c r="G1792" i="6"/>
  <c r="F1793" i="6"/>
  <c r="E1793" i="6"/>
  <c r="G1793" i="6"/>
  <c r="F1794" i="6"/>
  <c r="E1794" i="6"/>
  <c r="G1794" i="6"/>
  <c r="F1795" i="6"/>
  <c r="E1795" i="6"/>
  <c r="G1795" i="6"/>
  <c r="F1796" i="6"/>
  <c r="E1796" i="6"/>
  <c r="G1796" i="6"/>
  <c r="F1797" i="6"/>
  <c r="E1797" i="6"/>
  <c r="G1797" i="6"/>
  <c r="F1798" i="6"/>
  <c r="E1798" i="6"/>
  <c r="G1798" i="6"/>
  <c r="F1799" i="6"/>
  <c r="E1799" i="6"/>
  <c r="G1799" i="6"/>
  <c r="F1800" i="6"/>
  <c r="E1800" i="6"/>
  <c r="G1800" i="6"/>
  <c r="F1801" i="6"/>
  <c r="E1801" i="6"/>
  <c r="G1801" i="6"/>
  <c r="F1802" i="6"/>
  <c r="E1802" i="6"/>
  <c r="G1802" i="6"/>
  <c r="F1803" i="6"/>
  <c r="E1803" i="6"/>
  <c r="G1803" i="6"/>
  <c r="F1804" i="6"/>
  <c r="E1804" i="6"/>
  <c r="G1804" i="6"/>
  <c r="F1805" i="6"/>
  <c r="E1805" i="6"/>
  <c r="G1805" i="6"/>
  <c r="F1806" i="6"/>
  <c r="E1806" i="6"/>
  <c r="G1806" i="6"/>
  <c r="F1807" i="6"/>
  <c r="E1807" i="6"/>
  <c r="G1807" i="6"/>
  <c r="F1808" i="6"/>
  <c r="E1808" i="6"/>
  <c r="G1808" i="6"/>
  <c r="F1809" i="6"/>
  <c r="E1809" i="6"/>
  <c r="G1809" i="6"/>
  <c r="F1810" i="6"/>
  <c r="E1810" i="6"/>
  <c r="G1810" i="6"/>
  <c r="F1811" i="6"/>
  <c r="E1811" i="6"/>
  <c r="G1811" i="6"/>
  <c r="F1812" i="6"/>
  <c r="E1812" i="6"/>
  <c r="G1812" i="6"/>
  <c r="F1813" i="6"/>
  <c r="E1813" i="6"/>
  <c r="G1813" i="6"/>
  <c r="F1814" i="6"/>
  <c r="E1814" i="6"/>
  <c r="G1814" i="6"/>
  <c r="F1815" i="6"/>
  <c r="E1815" i="6"/>
  <c r="G1815" i="6"/>
  <c r="F1816" i="6"/>
  <c r="E1816" i="6"/>
  <c r="G1816" i="6"/>
  <c r="F1817" i="6"/>
  <c r="E1817" i="6"/>
  <c r="G1817" i="6"/>
  <c r="F1818" i="6"/>
  <c r="E1818" i="6"/>
  <c r="G1818" i="6"/>
  <c r="F1819" i="6"/>
  <c r="E1819" i="6"/>
  <c r="G1819" i="6"/>
  <c r="F1820" i="6"/>
  <c r="E1820" i="6"/>
  <c r="G1820" i="6"/>
  <c r="F1821" i="6"/>
  <c r="E1821" i="6"/>
  <c r="G1821" i="6"/>
  <c r="F1822" i="6"/>
  <c r="E1822" i="6"/>
  <c r="G1822" i="6"/>
  <c r="F1823" i="6"/>
  <c r="E1823" i="6"/>
  <c r="G1823" i="6"/>
  <c r="F1824" i="6"/>
  <c r="E1824" i="6"/>
  <c r="G1824" i="6"/>
  <c r="F1825" i="6"/>
  <c r="E1825" i="6"/>
  <c r="G1825" i="6"/>
  <c r="F1826" i="6"/>
  <c r="E1826" i="6"/>
  <c r="G1826" i="6"/>
  <c r="F1827" i="6"/>
  <c r="E1827" i="6"/>
  <c r="G1827" i="6"/>
  <c r="F1828" i="6"/>
  <c r="E1828" i="6"/>
  <c r="G1828" i="6"/>
  <c r="F1829" i="6"/>
  <c r="E1829" i="6"/>
  <c r="G1829" i="6"/>
  <c r="F1830" i="6"/>
  <c r="E1830" i="6"/>
  <c r="G1830" i="6"/>
  <c r="F1831" i="6"/>
  <c r="E1831" i="6"/>
  <c r="G1831" i="6"/>
  <c r="F1832" i="6"/>
  <c r="E1832" i="6"/>
  <c r="G1832" i="6"/>
  <c r="F1833" i="6"/>
  <c r="E1833" i="6"/>
  <c r="G1833" i="6"/>
  <c r="F1834" i="6"/>
  <c r="E1834" i="6"/>
  <c r="G1834" i="6"/>
  <c r="F1835" i="6"/>
  <c r="E1835" i="6"/>
  <c r="G1835" i="6"/>
  <c r="F1836" i="6"/>
  <c r="E1836" i="6"/>
  <c r="G1836" i="6"/>
  <c r="F1837" i="6"/>
  <c r="E1837" i="6"/>
  <c r="G1837" i="6"/>
  <c r="F1838" i="6"/>
  <c r="E1838" i="6"/>
  <c r="G1838" i="6"/>
  <c r="F1839" i="6"/>
  <c r="E1839" i="6"/>
  <c r="G1839" i="6"/>
  <c r="F1840" i="6"/>
  <c r="E1840" i="6"/>
  <c r="G1840" i="6"/>
  <c r="F1841" i="6"/>
  <c r="E1841" i="6"/>
  <c r="G1841" i="6"/>
  <c r="F1842" i="6"/>
  <c r="E1842" i="6"/>
  <c r="G1842" i="6"/>
  <c r="F1843" i="6"/>
  <c r="E1843" i="6"/>
  <c r="G1843" i="6"/>
  <c r="F1844" i="6"/>
  <c r="E1844" i="6"/>
  <c r="G1844" i="6"/>
  <c r="F1845" i="6"/>
  <c r="E1845" i="6"/>
  <c r="G1845" i="6"/>
  <c r="F1846" i="6"/>
  <c r="E1846" i="6"/>
  <c r="G1846" i="6"/>
  <c r="F1847" i="6"/>
  <c r="E1847" i="6"/>
  <c r="G1847" i="6"/>
  <c r="F1848" i="6"/>
  <c r="E1848" i="6"/>
  <c r="G1848" i="6"/>
  <c r="F1849" i="6"/>
  <c r="E1849" i="6"/>
  <c r="G1849" i="6"/>
  <c r="F1850" i="6"/>
  <c r="E1850" i="6"/>
  <c r="G1850" i="6"/>
  <c r="F1851" i="6"/>
  <c r="E1851" i="6"/>
  <c r="G1851" i="6"/>
  <c r="F1852" i="6"/>
  <c r="E1852" i="6"/>
  <c r="G1852" i="6"/>
  <c r="F1853" i="6"/>
  <c r="E1853" i="6"/>
  <c r="G1853" i="6"/>
  <c r="F1854" i="6"/>
  <c r="E1854" i="6"/>
  <c r="G1854" i="6"/>
  <c r="F1855" i="6"/>
  <c r="E1855" i="6"/>
  <c r="G1855" i="6"/>
  <c r="F1856" i="6"/>
  <c r="E1856" i="6"/>
  <c r="G1856" i="6"/>
  <c r="F1857" i="6"/>
  <c r="E1857" i="6"/>
  <c r="G1857" i="6"/>
  <c r="F1858" i="6"/>
  <c r="E1858" i="6"/>
  <c r="G1858" i="6"/>
  <c r="F1859" i="6"/>
  <c r="E1859" i="6"/>
  <c r="G1859" i="6"/>
  <c r="F1860" i="6"/>
  <c r="E1860" i="6"/>
  <c r="G1860" i="6"/>
  <c r="F1861" i="6"/>
  <c r="E1861" i="6"/>
  <c r="G1861" i="6"/>
  <c r="F1862" i="6"/>
  <c r="E1862" i="6"/>
  <c r="G1862" i="6"/>
  <c r="F1863" i="6"/>
  <c r="E1863" i="6"/>
  <c r="G1863" i="6"/>
  <c r="F1864" i="6"/>
  <c r="E1864" i="6"/>
  <c r="G1864" i="6"/>
  <c r="F1865" i="6"/>
  <c r="E1865" i="6"/>
  <c r="G1865" i="6"/>
  <c r="F1866" i="6"/>
  <c r="E1866" i="6"/>
  <c r="G1866" i="6"/>
  <c r="F1867" i="6"/>
  <c r="E1867" i="6"/>
  <c r="G1867" i="6"/>
  <c r="F1868" i="6"/>
  <c r="E1868" i="6"/>
  <c r="G1868" i="6"/>
  <c r="F1869" i="6"/>
  <c r="E1869" i="6"/>
  <c r="G1869" i="6"/>
  <c r="F1870" i="6"/>
  <c r="E1870" i="6"/>
  <c r="G1870" i="6"/>
  <c r="F1871" i="6"/>
  <c r="E1871" i="6"/>
  <c r="G1871" i="6"/>
  <c r="F1872" i="6"/>
  <c r="E1872" i="6"/>
  <c r="G1872" i="6"/>
  <c r="F1873" i="6"/>
  <c r="E1873" i="6"/>
  <c r="G1873" i="6"/>
  <c r="F1874" i="6"/>
  <c r="E1874" i="6"/>
  <c r="G1874" i="6"/>
  <c r="F1875" i="6"/>
  <c r="E1875" i="6"/>
  <c r="G1875" i="6"/>
  <c r="F1876" i="6"/>
  <c r="E1876" i="6"/>
  <c r="G1876" i="6"/>
  <c r="F1877" i="6"/>
  <c r="E1877" i="6"/>
  <c r="G1877" i="6"/>
  <c r="F1878" i="6"/>
  <c r="E1878" i="6"/>
  <c r="G1878" i="6"/>
  <c r="F1879" i="6"/>
  <c r="E1879" i="6"/>
  <c r="G1879" i="6"/>
  <c r="F1880" i="6"/>
  <c r="E1880" i="6"/>
  <c r="G1880" i="6"/>
  <c r="F1881" i="6"/>
  <c r="E1881" i="6"/>
  <c r="G1881" i="6"/>
  <c r="F1882" i="6"/>
  <c r="E1882" i="6"/>
  <c r="G1882" i="6"/>
  <c r="F1883" i="6"/>
  <c r="E1883" i="6"/>
  <c r="G1883" i="6"/>
  <c r="F1884" i="6"/>
  <c r="E1884" i="6"/>
  <c r="G1884" i="6"/>
  <c r="F1885" i="6"/>
  <c r="E1885" i="6"/>
  <c r="G1885" i="6"/>
  <c r="F1886" i="6"/>
  <c r="E1886" i="6"/>
  <c r="G1886" i="6"/>
  <c r="F1887" i="6"/>
  <c r="E1887" i="6"/>
  <c r="G1887" i="6"/>
  <c r="F1888" i="6"/>
  <c r="E1888" i="6"/>
  <c r="G1888" i="6"/>
  <c r="F1889" i="6"/>
  <c r="E1889" i="6"/>
  <c r="G1889" i="6"/>
  <c r="F1890" i="6"/>
  <c r="E1890" i="6"/>
  <c r="G1890" i="6"/>
  <c r="F1891" i="6"/>
  <c r="E1891" i="6"/>
  <c r="G1891" i="6"/>
  <c r="F1892" i="6"/>
  <c r="E1892" i="6"/>
  <c r="G1892" i="6"/>
  <c r="F1893" i="6"/>
  <c r="E1893" i="6"/>
  <c r="G1893" i="6"/>
  <c r="F1894" i="6"/>
  <c r="E1894" i="6"/>
  <c r="G1894" i="6"/>
  <c r="F1895" i="6"/>
  <c r="E1895" i="6"/>
  <c r="G1895" i="6"/>
  <c r="F1896" i="6"/>
  <c r="E1896" i="6"/>
  <c r="G1896" i="6"/>
  <c r="F1897" i="6"/>
  <c r="E1897" i="6"/>
  <c r="G1897" i="6"/>
  <c r="F1898" i="6"/>
  <c r="E1898" i="6"/>
  <c r="G1898" i="6"/>
  <c r="F1899" i="6"/>
  <c r="E1899" i="6"/>
  <c r="G1899" i="6"/>
  <c r="F1900" i="6"/>
  <c r="E1900" i="6"/>
  <c r="G1900" i="6"/>
  <c r="F1901" i="6"/>
  <c r="E1901" i="6"/>
  <c r="G1901" i="6"/>
  <c r="F1902" i="6"/>
  <c r="E1902" i="6"/>
  <c r="G1902" i="6"/>
  <c r="F1903" i="6"/>
  <c r="E1903" i="6"/>
  <c r="G1903" i="6"/>
  <c r="F1904" i="6"/>
  <c r="E1904" i="6"/>
  <c r="G1904" i="6"/>
  <c r="F1905" i="6"/>
  <c r="E1905" i="6"/>
  <c r="G1905" i="6"/>
  <c r="F1906" i="6"/>
  <c r="E1906" i="6"/>
  <c r="G1906" i="6"/>
  <c r="F1907" i="6"/>
  <c r="E1907" i="6"/>
  <c r="G1907" i="6"/>
  <c r="F1908" i="6"/>
  <c r="E1908" i="6"/>
  <c r="G1908" i="6"/>
  <c r="F1909" i="6"/>
  <c r="E1909" i="6"/>
  <c r="G1909" i="6"/>
  <c r="F1910" i="6"/>
  <c r="E1910" i="6"/>
  <c r="G1910" i="6"/>
  <c r="F1911" i="6"/>
  <c r="E1911" i="6"/>
  <c r="G1911" i="6"/>
  <c r="F1912" i="6"/>
  <c r="E1912" i="6"/>
  <c r="G1912" i="6"/>
  <c r="F1913" i="6"/>
  <c r="E1913" i="6"/>
  <c r="G1913" i="6"/>
  <c r="F1914" i="6"/>
  <c r="E1914" i="6"/>
  <c r="G1914" i="6"/>
  <c r="F1915" i="6"/>
  <c r="E1915" i="6"/>
  <c r="G1915" i="6"/>
  <c r="F1916" i="6"/>
  <c r="E1916" i="6"/>
  <c r="G1916" i="6"/>
  <c r="F1917" i="6"/>
  <c r="E1917" i="6"/>
  <c r="G1917" i="6"/>
  <c r="F1918" i="6"/>
  <c r="E1918" i="6"/>
  <c r="G1918" i="6"/>
  <c r="F1919" i="6"/>
  <c r="E1919" i="6"/>
  <c r="G1919" i="6"/>
  <c r="F1920" i="6"/>
  <c r="E1920" i="6"/>
  <c r="G1920" i="6"/>
  <c r="F1921" i="6"/>
  <c r="E1921" i="6"/>
  <c r="G1921" i="6"/>
  <c r="F1922" i="6"/>
  <c r="E1922" i="6"/>
  <c r="G1922" i="6"/>
  <c r="F1923" i="6"/>
  <c r="E1923" i="6"/>
  <c r="G1923" i="6"/>
  <c r="F1924" i="6"/>
  <c r="E1924" i="6"/>
  <c r="G1924" i="6"/>
  <c r="F1925" i="6"/>
  <c r="E1925" i="6"/>
  <c r="G1925" i="6"/>
  <c r="F1926" i="6"/>
  <c r="E1926" i="6"/>
  <c r="G1926" i="6"/>
  <c r="F1927" i="6"/>
  <c r="E1927" i="6"/>
  <c r="G1927" i="6"/>
  <c r="F1928" i="6"/>
  <c r="E1928" i="6"/>
  <c r="G1928" i="6"/>
  <c r="F1929" i="6"/>
  <c r="E1929" i="6"/>
  <c r="G1929" i="6"/>
  <c r="F1930" i="6"/>
  <c r="E1930" i="6"/>
  <c r="G1930" i="6"/>
  <c r="F1931" i="6"/>
  <c r="E1931" i="6"/>
  <c r="G1931" i="6"/>
  <c r="F1932" i="6"/>
  <c r="E1932" i="6"/>
  <c r="G1932" i="6"/>
  <c r="F1933" i="6"/>
  <c r="E1933" i="6"/>
  <c r="G1933" i="6"/>
  <c r="F1934" i="6"/>
  <c r="E1934" i="6"/>
  <c r="G1934" i="6"/>
  <c r="F1935" i="6"/>
  <c r="E1935" i="6"/>
  <c r="G1935" i="6"/>
  <c r="F1936" i="6"/>
  <c r="E1936" i="6"/>
  <c r="G1936" i="6"/>
  <c r="F1937" i="6"/>
  <c r="E1937" i="6"/>
  <c r="G1937" i="6"/>
  <c r="F1938" i="6"/>
  <c r="E1938" i="6"/>
  <c r="G1938" i="6"/>
  <c r="F1939" i="6"/>
  <c r="E1939" i="6"/>
  <c r="G1939" i="6"/>
  <c r="F1940" i="6"/>
  <c r="E1940" i="6"/>
  <c r="G1940" i="6"/>
  <c r="F1941" i="6"/>
  <c r="E1941" i="6"/>
  <c r="G1941" i="6"/>
  <c r="F1942" i="6"/>
  <c r="E1942" i="6"/>
  <c r="G1942" i="6"/>
  <c r="F1943" i="6"/>
  <c r="E1943" i="6"/>
  <c r="G1943" i="6"/>
  <c r="F1944" i="6"/>
  <c r="E1944" i="6"/>
  <c r="G1944" i="6"/>
  <c r="F1945" i="6"/>
  <c r="E1945" i="6"/>
  <c r="G1945" i="6"/>
  <c r="F1946" i="6"/>
  <c r="E1946" i="6"/>
  <c r="G1946" i="6"/>
  <c r="F1947" i="6"/>
  <c r="E1947" i="6"/>
  <c r="G1947" i="6"/>
  <c r="F1948" i="6"/>
  <c r="E1948" i="6"/>
  <c r="G1948" i="6"/>
  <c r="F1949" i="6"/>
  <c r="E1949" i="6"/>
  <c r="G1949" i="6"/>
  <c r="F1950" i="6"/>
  <c r="E1950" i="6"/>
  <c r="G1950" i="6"/>
  <c r="F1951" i="6"/>
  <c r="E1951" i="6"/>
  <c r="G1951" i="6"/>
  <c r="F1952" i="6"/>
  <c r="E1952" i="6"/>
  <c r="G1952" i="6"/>
  <c r="F1953" i="6"/>
  <c r="E1953" i="6"/>
  <c r="G1953" i="6"/>
  <c r="F1954" i="6"/>
  <c r="E1954" i="6"/>
  <c r="G1954" i="6"/>
  <c r="F1955" i="6"/>
  <c r="E1955" i="6"/>
  <c r="G1955" i="6"/>
  <c r="F1956" i="6"/>
  <c r="E1956" i="6"/>
  <c r="G1956" i="6"/>
  <c r="F1957" i="6"/>
  <c r="E1957" i="6"/>
  <c r="G1957" i="6"/>
  <c r="F1958" i="6"/>
  <c r="E1958" i="6"/>
  <c r="G1958" i="6"/>
  <c r="F1959" i="6"/>
  <c r="E1959" i="6"/>
  <c r="G1959" i="6"/>
  <c r="F1960" i="6"/>
  <c r="E1960" i="6"/>
  <c r="G1960" i="6"/>
  <c r="F1961" i="6"/>
  <c r="E1961" i="6"/>
  <c r="G1961" i="6"/>
  <c r="F1962" i="6"/>
  <c r="E1962" i="6"/>
  <c r="G1962" i="6"/>
  <c r="F1963" i="6"/>
  <c r="E1963" i="6"/>
  <c r="G1963" i="6"/>
  <c r="F1964" i="6"/>
  <c r="E1964" i="6"/>
  <c r="G1964" i="6"/>
  <c r="F1965" i="6"/>
  <c r="E1965" i="6"/>
  <c r="G1965" i="6"/>
  <c r="F1966" i="6"/>
  <c r="E1966" i="6"/>
  <c r="G1966" i="6"/>
  <c r="F1967" i="6"/>
  <c r="E1967" i="6"/>
  <c r="G1967" i="6"/>
  <c r="F1968" i="6"/>
  <c r="E1968" i="6"/>
  <c r="G1968" i="6"/>
  <c r="F1969" i="6"/>
  <c r="E1969" i="6"/>
  <c r="G1969" i="6"/>
  <c r="F1970" i="6"/>
  <c r="E1970" i="6"/>
  <c r="G1970" i="6"/>
  <c r="F1971" i="6"/>
  <c r="E1971" i="6"/>
  <c r="G1971" i="6"/>
  <c r="F1972" i="6"/>
  <c r="E1972" i="6"/>
  <c r="G1972" i="6"/>
  <c r="F1973" i="6"/>
  <c r="E1973" i="6"/>
  <c r="G1973" i="6"/>
  <c r="F1974" i="6"/>
  <c r="E1974" i="6"/>
  <c r="G1974" i="6"/>
  <c r="F1975" i="6"/>
  <c r="E1975" i="6"/>
  <c r="G1975" i="6"/>
  <c r="F1976" i="6"/>
  <c r="E1976" i="6"/>
  <c r="G1976" i="6"/>
  <c r="F1977" i="6"/>
  <c r="E1977" i="6"/>
  <c r="G1977" i="6"/>
  <c r="F1978" i="6"/>
  <c r="E1978" i="6"/>
  <c r="G1978" i="6"/>
  <c r="F1979" i="6"/>
  <c r="E1979" i="6"/>
  <c r="G1979" i="6"/>
  <c r="F1980" i="6"/>
  <c r="E1980" i="6"/>
  <c r="G1980" i="6"/>
  <c r="F1981" i="6"/>
  <c r="E1981" i="6"/>
  <c r="G1981" i="6"/>
  <c r="F1982" i="6"/>
  <c r="E1982" i="6"/>
  <c r="G1982" i="6"/>
  <c r="F1983" i="6"/>
  <c r="E1983" i="6"/>
  <c r="G1983" i="6"/>
  <c r="F1984" i="6"/>
  <c r="E1984" i="6"/>
  <c r="G1984" i="6"/>
  <c r="F1985" i="6"/>
  <c r="E1985" i="6"/>
  <c r="G1985" i="6"/>
  <c r="F1986" i="6"/>
  <c r="E1986" i="6"/>
  <c r="G1986" i="6"/>
  <c r="F1987" i="6"/>
  <c r="E1987" i="6"/>
  <c r="G1987" i="6"/>
  <c r="F1988" i="6"/>
  <c r="E1988" i="6"/>
  <c r="G1988" i="6"/>
  <c r="F1989" i="6"/>
  <c r="E1989" i="6"/>
  <c r="G1989" i="6"/>
  <c r="F1990" i="6"/>
  <c r="E1990" i="6"/>
  <c r="G1990" i="6"/>
  <c r="F1991" i="6"/>
  <c r="E1991" i="6"/>
  <c r="G1991" i="6"/>
  <c r="F1992" i="6"/>
  <c r="E1992" i="6"/>
  <c r="G1992" i="6"/>
  <c r="F1993" i="6"/>
  <c r="E1993" i="6"/>
  <c r="G1993" i="6"/>
  <c r="F1994" i="6"/>
  <c r="E1994" i="6"/>
  <c r="G1994" i="6"/>
  <c r="F1995" i="6"/>
  <c r="E1995" i="6"/>
  <c r="G1995" i="6"/>
  <c r="F1996" i="6"/>
  <c r="E1996" i="6"/>
  <c r="G1996" i="6"/>
  <c r="F1997" i="6"/>
  <c r="E1997" i="6"/>
  <c r="G1997" i="6"/>
  <c r="F1998" i="6"/>
  <c r="E1998" i="6"/>
  <c r="G1998" i="6"/>
  <c r="F1999" i="6"/>
  <c r="E1999" i="6"/>
  <c r="G1999" i="6"/>
  <c r="F2000" i="6"/>
  <c r="E2000" i="6"/>
  <c r="G2000" i="6"/>
  <c r="F2001" i="6"/>
  <c r="E2001" i="6"/>
  <c r="G2001" i="6"/>
  <c r="F2002" i="6"/>
  <c r="E2002" i="6"/>
  <c r="G2002" i="6"/>
  <c r="F2003" i="6"/>
  <c r="E2003" i="6"/>
  <c r="G2003" i="6"/>
  <c r="F2004" i="6"/>
  <c r="E2004" i="6"/>
  <c r="G2004" i="6"/>
  <c r="F2005" i="6"/>
  <c r="E2005" i="6"/>
  <c r="G2005" i="6"/>
  <c r="F2006" i="6"/>
  <c r="E2006" i="6"/>
  <c r="G2006" i="6"/>
  <c r="F2007" i="6"/>
  <c r="E2007" i="6"/>
  <c r="G2007" i="6"/>
  <c r="F2008" i="6"/>
  <c r="E2008" i="6"/>
  <c r="G2008" i="6"/>
  <c r="F2009" i="6"/>
  <c r="E2009" i="6"/>
  <c r="G2009" i="6"/>
  <c r="F2010" i="6"/>
  <c r="E2010" i="6"/>
  <c r="G2010" i="6"/>
  <c r="F2011" i="6"/>
  <c r="E2011" i="6"/>
  <c r="G2011" i="6"/>
  <c r="F2012" i="6"/>
  <c r="E2012" i="6"/>
  <c r="G2012" i="6"/>
  <c r="F2013" i="6"/>
  <c r="E2013" i="6"/>
  <c r="G2013" i="6"/>
  <c r="F2014" i="6"/>
  <c r="E2014" i="6"/>
  <c r="G2014" i="6"/>
  <c r="F2015" i="6"/>
  <c r="E2015" i="6"/>
  <c r="G2015" i="6"/>
  <c r="F2016" i="6"/>
  <c r="E2016" i="6"/>
  <c r="G2016" i="6"/>
  <c r="F2017" i="6"/>
  <c r="E2017" i="6"/>
  <c r="G2017" i="6"/>
  <c r="F2018" i="6"/>
  <c r="E2018" i="6"/>
  <c r="G2018" i="6"/>
  <c r="F2019" i="6"/>
  <c r="E2019" i="6"/>
  <c r="G2019" i="6"/>
  <c r="F2020" i="6"/>
  <c r="E2020" i="6"/>
  <c r="G2020" i="6"/>
  <c r="F2021" i="6"/>
  <c r="E2021" i="6"/>
  <c r="G2021" i="6"/>
  <c r="F2022" i="6"/>
  <c r="E2022" i="6"/>
  <c r="G2022" i="6"/>
  <c r="F2023" i="6"/>
  <c r="E2023" i="6"/>
  <c r="G2023" i="6"/>
  <c r="F2024" i="6"/>
  <c r="E2024" i="6"/>
  <c r="G2024" i="6"/>
  <c r="F2025" i="6"/>
  <c r="E2025" i="6"/>
  <c r="G2025" i="6"/>
  <c r="F2026" i="6"/>
  <c r="E2026" i="6"/>
  <c r="G2026" i="6"/>
  <c r="F2027" i="6"/>
  <c r="E2027" i="6"/>
  <c r="G2027" i="6"/>
  <c r="F2028" i="6"/>
  <c r="E2028" i="6"/>
  <c r="G2028" i="6"/>
  <c r="F2029" i="6"/>
  <c r="E2029" i="6"/>
  <c r="G2029" i="6"/>
  <c r="F2030" i="6"/>
  <c r="E2030" i="6"/>
  <c r="G2030" i="6"/>
  <c r="F2031" i="6"/>
  <c r="E2031" i="6"/>
  <c r="G2031" i="6"/>
  <c r="F2032" i="6"/>
  <c r="E2032" i="6"/>
  <c r="G2032" i="6"/>
  <c r="F2033" i="6"/>
  <c r="E2033" i="6"/>
  <c r="G2033" i="6"/>
  <c r="F2034" i="6"/>
  <c r="E2034" i="6"/>
  <c r="G2034" i="6"/>
  <c r="F2035" i="6"/>
  <c r="E2035" i="6"/>
  <c r="G2035" i="6"/>
  <c r="F2036" i="6"/>
  <c r="E2036" i="6"/>
  <c r="G2036" i="6"/>
  <c r="F2037" i="6"/>
  <c r="E2037" i="6"/>
  <c r="G2037" i="6"/>
  <c r="F2038" i="6"/>
  <c r="E2038" i="6"/>
  <c r="G2038" i="6"/>
  <c r="F2039" i="6"/>
  <c r="E2039" i="6"/>
  <c r="G2039" i="6"/>
  <c r="F2040" i="6"/>
  <c r="E2040" i="6"/>
  <c r="G2040" i="6"/>
  <c r="F2041" i="6"/>
  <c r="E2041" i="6"/>
  <c r="G2041" i="6"/>
  <c r="F2042" i="6"/>
  <c r="E2042" i="6"/>
  <c r="G2042" i="6"/>
  <c r="F2043" i="6"/>
  <c r="E2043" i="6"/>
  <c r="G2043" i="6"/>
  <c r="F2044" i="6"/>
  <c r="E2044" i="6"/>
  <c r="G2044" i="6"/>
  <c r="F2045" i="6"/>
  <c r="E2045" i="6"/>
  <c r="G2045" i="6"/>
  <c r="F2046" i="6"/>
  <c r="E2046" i="6"/>
  <c r="G2046" i="6"/>
  <c r="F2047" i="6"/>
  <c r="E2047" i="6"/>
  <c r="G2047" i="6"/>
  <c r="F2048" i="6"/>
  <c r="E2048" i="6"/>
  <c r="G2048" i="6"/>
  <c r="F2049" i="6"/>
  <c r="E2049" i="6"/>
  <c r="G2049" i="6"/>
  <c r="F2050" i="6"/>
  <c r="E2050" i="6"/>
  <c r="G2050" i="6"/>
  <c r="F2051" i="6"/>
  <c r="E2051" i="6"/>
  <c r="G2051" i="6"/>
  <c r="F2052" i="6"/>
  <c r="E2052" i="6"/>
  <c r="G2052" i="6"/>
  <c r="F2053" i="6"/>
  <c r="E2053" i="6"/>
  <c r="G2053" i="6"/>
  <c r="F2054" i="6"/>
  <c r="E2054" i="6"/>
  <c r="G2054" i="6"/>
  <c r="F2055" i="6"/>
  <c r="E2055" i="6"/>
  <c r="G2055" i="6"/>
  <c r="F2056" i="6"/>
  <c r="E2056" i="6"/>
  <c r="G2056" i="6"/>
  <c r="F2057" i="6"/>
  <c r="E2057" i="6"/>
  <c r="G2057" i="6"/>
  <c r="F2058" i="6"/>
  <c r="E2058" i="6"/>
  <c r="G2058" i="6"/>
  <c r="F2059" i="6"/>
  <c r="E2059" i="6"/>
  <c r="G2059" i="6"/>
  <c r="F2060" i="6"/>
  <c r="E2060" i="6"/>
  <c r="G2060" i="6"/>
  <c r="F2061" i="6"/>
  <c r="E2061" i="6"/>
  <c r="G2061" i="6"/>
  <c r="F2062" i="6"/>
  <c r="E2062" i="6"/>
  <c r="G2062" i="6"/>
  <c r="F2063" i="6"/>
  <c r="E2063" i="6"/>
  <c r="G2063" i="6"/>
  <c r="F2064" i="6"/>
  <c r="E2064" i="6"/>
  <c r="G2064" i="6"/>
  <c r="F2065" i="6"/>
  <c r="E2065" i="6"/>
  <c r="G2065" i="6"/>
  <c r="F2066" i="6"/>
  <c r="E2066" i="6"/>
  <c r="G2066" i="6"/>
  <c r="F2067" i="6"/>
  <c r="E2067" i="6"/>
  <c r="G2067" i="6"/>
  <c r="F2068" i="6"/>
  <c r="E2068" i="6"/>
  <c r="G2068" i="6"/>
  <c r="F2069" i="6"/>
  <c r="E2069" i="6"/>
  <c r="G2069" i="6"/>
  <c r="F2070" i="6"/>
  <c r="E2070" i="6"/>
  <c r="G2070" i="6"/>
  <c r="F2071" i="6"/>
  <c r="E2071" i="6"/>
  <c r="G2071" i="6"/>
  <c r="F2072" i="6"/>
  <c r="E2072" i="6"/>
  <c r="G2072" i="6"/>
  <c r="F2073" i="6"/>
  <c r="E2073" i="6"/>
  <c r="G2073" i="6"/>
  <c r="F2074" i="6"/>
  <c r="E2074" i="6"/>
  <c r="G2074" i="6"/>
  <c r="F2075" i="6"/>
  <c r="E2075" i="6"/>
  <c r="G2075" i="6"/>
  <c r="F2076" i="6"/>
  <c r="E2076" i="6"/>
  <c r="G2076" i="6"/>
  <c r="F2077" i="6"/>
  <c r="E2077" i="6"/>
  <c r="G2077" i="6"/>
  <c r="F2078" i="6"/>
  <c r="E2078" i="6"/>
  <c r="G2078" i="6"/>
  <c r="F2079" i="6"/>
  <c r="E2079" i="6"/>
  <c r="G2079" i="6"/>
  <c r="F2080" i="6"/>
  <c r="E2080" i="6"/>
  <c r="G2080" i="6"/>
  <c r="F2081" i="6"/>
  <c r="E2081" i="6"/>
  <c r="G2081" i="6"/>
  <c r="F2082" i="6"/>
  <c r="E2082" i="6"/>
  <c r="G2082" i="6"/>
  <c r="F2083" i="6"/>
  <c r="E2083" i="6"/>
  <c r="G2083" i="6"/>
  <c r="F2084" i="6"/>
  <c r="E2084" i="6"/>
  <c r="G2084" i="6"/>
  <c r="F2085" i="6"/>
  <c r="E2085" i="6"/>
  <c r="G2085" i="6"/>
  <c r="F2086" i="6"/>
  <c r="E2086" i="6"/>
  <c r="G2086" i="6"/>
  <c r="F2087" i="6"/>
  <c r="E2087" i="6"/>
  <c r="G2087" i="6"/>
  <c r="F2088" i="6"/>
  <c r="E2088" i="6"/>
  <c r="G2088" i="6"/>
  <c r="F2089" i="6"/>
  <c r="E2089" i="6"/>
  <c r="G2089" i="6"/>
  <c r="F2090" i="6"/>
  <c r="E2090" i="6"/>
  <c r="G2090" i="6"/>
  <c r="F2091" i="6"/>
  <c r="E2091" i="6"/>
  <c r="G2091" i="6"/>
  <c r="F2092" i="6"/>
  <c r="E2092" i="6"/>
  <c r="G2092" i="6"/>
  <c r="F2093" i="6"/>
  <c r="E2093" i="6"/>
  <c r="G2093" i="6"/>
  <c r="F2094" i="6"/>
  <c r="E2094" i="6"/>
  <c r="G2094" i="6"/>
  <c r="F2095" i="6"/>
  <c r="E2095" i="6"/>
  <c r="G2095" i="6"/>
  <c r="F2096" i="6"/>
  <c r="E2096" i="6"/>
  <c r="G2096" i="6"/>
  <c r="F2097" i="6"/>
  <c r="E2097" i="6"/>
  <c r="G2097" i="6"/>
  <c r="F2098" i="6"/>
  <c r="E2098" i="6"/>
  <c r="G2098" i="6"/>
  <c r="F2099" i="6"/>
  <c r="E2099" i="6"/>
  <c r="G2099" i="6"/>
  <c r="F2100" i="6"/>
  <c r="E2100" i="6"/>
  <c r="G2100" i="6"/>
  <c r="F2101" i="6"/>
  <c r="E2101" i="6"/>
  <c r="G2101" i="6"/>
  <c r="F2102" i="6"/>
  <c r="E2102" i="6"/>
  <c r="G2102" i="6"/>
  <c r="F2103" i="6"/>
  <c r="E2103" i="6"/>
  <c r="G2103" i="6"/>
  <c r="F2104" i="6"/>
  <c r="E2104" i="6"/>
  <c r="G2104" i="6"/>
  <c r="F2105" i="6"/>
  <c r="E2105" i="6"/>
  <c r="G2105" i="6"/>
  <c r="F2106" i="6"/>
  <c r="E2106" i="6"/>
  <c r="G2106" i="6"/>
  <c r="F2107" i="6"/>
  <c r="E2107" i="6"/>
  <c r="G2107" i="6"/>
  <c r="F2108" i="6"/>
  <c r="E2108" i="6"/>
  <c r="G2108" i="6"/>
  <c r="F2109" i="6"/>
  <c r="E2109" i="6"/>
  <c r="G2109" i="6"/>
  <c r="F2110" i="6"/>
  <c r="E2110" i="6"/>
  <c r="G2110" i="6"/>
  <c r="F2111" i="6"/>
  <c r="E2111" i="6"/>
  <c r="G2111" i="6"/>
  <c r="F2112" i="6"/>
  <c r="E2112" i="6"/>
  <c r="G2112" i="6"/>
  <c r="F2113" i="6"/>
  <c r="E2113" i="6"/>
  <c r="G2113" i="6"/>
  <c r="F2114" i="6"/>
  <c r="E2114" i="6"/>
  <c r="G2114" i="6"/>
  <c r="F2115" i="6"/>
  <c r="E2115" i="6"/>
  <c r="G2115" i="6"/>
  <c r="F2116" i="6"/>
  <c r="E2116" i="6"/>
  <c r="G2116" i="6"/>
  <c r="F2117" i="6"/>
  <c r="E2117" i="6"/>
  <c r="G2117" i="6"/>
  <c r="F2118" i="6"/>
  <c r="E2118" i="6"/>
  <c r="G2118" i="6"/>
  <c r="F2119" i="6"/>
  <c r="E2119" i="6"/>
  <c r="G2119" i="6"/>
  <c r="F2120" i="6"/>
  <c r="E2120" i="6"/>
  <c r="G2120" i="6"/>
  <c r="F2121" i="6"/>
  <c r="E2121" i="6"/>
  <c r="G2121" i="6"/>
  <c r="F2122" i="6"/>
  <c r="E2122" i="6"/>
  <c r="G2122" i="6"/>
  <c r="F2123" i="6"/>
  <c r="E2123" i="6"/>
  <c r="G2123" i="6"/>
  <c r="F2124" i="6"/>
  <c r="E2124" i="6"/>
  <c r="G2124" i="6"/>
  <c r="F2125" i="6"/>
  <c r="E2125" i="6"/>
  <c r="G2125" i="6"/>
  <c r="F2126" i="6"/>
  <c r="E2126" i="6"/>
  <c r="G2126" i="6"/>
  <c r="F2127" i="6"/>
  <c r="E2127" i="6"/>
  <c r="G2127" i="6"/>
  <c r="F2128" i="6"/>
  <c r="E2128" i="6"/>
  <c r="G2128" i="6"/>
  <c r="F2129" i="6"/>
  <c r="E2129" i="6"/>
  <c r="G2129" i="6"/>
  <c r="F2130" i="6"/>
  <c r="E2130" i="6"/>
  <c r="G2130" i="6"/>
  <c r="F2131" i="6"/>
  <c r="E2131" i="6"/>
  <c r="G2131" i="6"/>
  <c r="F2132" i="6"/>
  <c r="E2132" i="6"/>
  <c r="G2132" i="6"/>
  <c r="F2133" i="6"/>
  <c r="E2133" i="6"/>
  <c r="G2133" i="6"/>
  <c r="F2134" i="6"/>
  <c r="E2134" i="6"/>
  <c r="G2134" i="6"/>
  <c r="F2135" i="6"/>
  <c r="E2135" i="6"/>
  <c r="G2135" i="6"/>
  <c r="F2136" i="6"/>
  <c r="E2136" i="6"/>
  <c r="G2136" i="6"/>
  <c r="F2137" i="6"/>
  <c r="E2137" i="6"/>
  <c r="G2137" i="6"/>
  <c r="F2138" i="6"/>
  <c r="E2138" i="6"/>
  <c r="G2138" i="6"/>
  <c r="F2139" i="6"/>
  <c r="E2139" i="6"/>
  <c r="G2139" i="6"/>
  <c r="F2140" i="6"/>
  <c r="E2140" i="6"/>
  <c r="G2140" i="6"/>
  <c r="F2141" i="6"/>
  <c r="E2141" i="6"/>
  <c r="G2141" i="6"/>
  <c r="F2142" i="6"/>
  <c r="E2142" i="6"/>
  <c r="G2142" i="6"/>
  <c r="F2143" i="6"/>
  <c r="E2143" i="6"/>
  <c r="G2143" i="6"/>
  <c r="F2144" i="6"/>
  <c r="E2144" i="6"/>
  <c r="G2144" i="6"/>
  <c r="F2145" i="6"/>
  <c r="E2145" i="6"/>
  <c r="G2145" i="6"/>
  <c r="F2146" i="6"/>
  <c r="E2146" i="6"/>
  <c r="G2146" i="6"/>
  <c r="F2147" i="6"/>
  <c r="E2147" i="6"/>
  <c r="G2147" i="6"/>
  <c r="F2148" i="6"/>
  <c r="E2148" i="6"/>
  <c r="G2148" i="6"/>
  <c r="F2149" i="6"/>
  <c r="E2149" i="6"/>
  <c r="G2149" i="6"/>
  <c r="F2150" i="6"/>
  <c r="E2150" i="6"/>
  <c r="G2150" i="6"/>
  <c r="F2151" i="6"/>
  <c r="E2151" i="6"/>
  <c r="G2151" i="6"/>
  <c r="F2152" i="6"/>
  <c r="E2152" i="6"/>
  <c r="G2152" i="6"/>
  <c r="F2153" i="6"/>
  <c r="E2153" i="6"/>
  <c r="G2153" i="6"/>
  <c r="F2154" i="6"/>
  <c r="E2154" i="6"/>
  <c r="G2154" i="6"/>
  <c r="F2155" i="6"/>
  <c r="E2155" i="6"/>
  <c r="G2155" i="6"/>
  <c r="F2156" i="6"/>
  <c r="E2156" i="6"/>
  <c r="G2156" i="6"/>
  <c r="F2157" i="6"/>
  <c r="E2157" i="6"/>
  <c r="G2157" i="6"/>
  <c r="F2158" i="6"/>
  <c r="E2158" i="6"/>
  <c r="G2158" i="6"/>
  <c r="F2159" i="6"/>
  <c r="E2159" i="6"/>
  <c r="G2159" i="6"/>
  <c r="F2160" i="6"/>
  <c r="E2160" i="6"/>
  <c r="G2160" i="6"/>
  <c r="F2161" i="6"/>
  <c r="E2161" i="6"/>
  <c r="G2161" i="6"/>
  <c r="F2162" i="6"/>
  <c r="E2162" i="6"/>
  <c r="G2162" i="6"/>
  <c r="F2163" i="6"/>
  <c r="E2163" i="6"/>
  <c r="G2163" i="6"/>
  <c r="F2164" i="6"/>
  <c r="E2164" i="6"/>
  <c r="G2164" i="6"/>
  <c r="F2165" i="6"/>
  <c r="E2165" i="6"/>
  <c r="G2165" i="6"/>
  <c r="F2166" i="6"/>
  <c r="E2166" i="6"/>
  <c r="G2166" i="6"/>
  <c r="F2167" i="6"/>
  <c r="E2167" i="6"/>
  <c r="G2167" i="6"/>
  <c r="F2168" i="6"/>
  <c r="E2168" i="6"/>
  <c r="G2168" i="6"/>
  <c r="F2169" i="6"/>
  <c r="E2169" i="6"/>
  <c r="G2169" i="6"/>
  <c r="F2170" i="6"/>
  <c r="E2170" i="6"/>
  <c r="G2170" i="6"/>
  <c r="F2171" i="6"/>
  <c r="E2171" i="6"/>
  <c r="G2171" i="6"/>
  <c r="F2172" i="6"/>
  <c r="E2172" i="6"/>
  <c r="G2172" i="6"/>
  <c r="F2173" i="6"/>
  <c r="E2173" i="6"/>
  <c r="G2173" i="6"/>
  <c r="F2174" i="6"/>
  <c r="E2174" i="6"/>
  <c r="G2174" i="6"/>
  <c r="F2175" i="6"/>
  <c r="E2175" i="6"/>
  <c r="G2175" i="6"/>
  <c r="F2176" i="6"/>
  <c r="E2176" i="6"/>
  <c r="G2176" i="6"/>
  <c r="F2177" i="6"/>
  <c r="E2177" i="6"/>
  <c r="G2177" i="6"/>
  <c r="F2178" i="6"/>
  <c r="E2178" i="6"/>
  <c r="G2178" i="6"/>
  <c r="F2179" i="6"/>
  <c r="E2179" i="6"/>
  <c r="G2179" i="6"/>
  <c r="F2180" i="6"/>
  <c r="E2180" i="6"/>
  <c r="G2180" i="6"/>
  <c r="F2181" i="6"/>
  <c r="E2181" i="6"/>
  <c r="G2181" i="6"/>
  <c r="F2182" i="6"/>
  <c r="E2182" i="6"/>
  <c r="G2182" i="6"/>
  <c r="F2183" i="6"/>
  <c r="E2183" i="6"/>
  <c r="G2183" i="6"/>
  <c r="F2184" i="6"/>
  <c r="E2184" i="6"/>
  <c r="G2184" i="6"/>
  <c r="F2185" i="6"/>
  <c r="E2185" i="6"/>
  <c r="G2185" i="6"/>
  <c r="F2186" i="6"/>
  <c r="E2186" i="6"/>
  <c r="G2186" i="6"/>
  <c r="F2187" i="6"/>
  <c r="E2187" i="6"/>
  <c r="G2187" i="6"/>
  <c r="F2188" i="6"/>
  <c r="E2188" i="6"/>
  <c r="G2188" i="6"/>
  <c r="F2189" i="6"/>
  <c r="E2189" i="6"/>
  <c r="G2189" i="6"/>
  <c r="F2190" i="6"/>
  <c r="E2190" i="6"/>
  <c r="G2190" i="6"/>
  <c r="F2191" i="6"/>
  <c r="E2191" i="6"/>
  <c r="G2191" i="6"/>
  <c r="F2192" i="6"/>
  <c r="E2192" i="6"/>
  <c r="G2192" i="6"/>
  <c r="F2193" i="6"/>
  <c r="E2193" i="6"/>
  <c r="G2193" i="6"/>
  <c r="F2194" i="6"/>
  <c r="E2194" i="6"/>
  <c r="G2194" i="6"/>
  <c r="F2195" i="6"/>
  <c r="E2195" i="6"/>
  <c r="G2195" i="6"/>
  <c r="F2196" i="6"/>
  <c r="E2196" i="6"/>
  <c r="G2196" i="6"/>
  <c r="F2197" i="6"/>
  <c r="E2197" i="6"/>
  <c r="G2197" i="6"/>
  <c r="F2198" i="6"/>
  <c r="E2198" i="6"/>
  <c r="G2198" i="6"/>
  <c r="F2199" i="6"/>
  <c r="E2199" i="6"/>
  <c r="G2199" i="6"/>
  <c r="F2200" i="6"/>
  <c r="E2200" i="6"/>
  <c r="G2200" i="6"/>
  <c r="F2201" i="6"/>
  <c r="E2201" i="6"/>
  <c r="G2201" i="6"/>
  <c r="F2202" i="6"/>
  <c r="E2202" i="6"/>
  <c r="G2202" i="6"/>
  <c r="F2203" i="6"/>
  <c r="E2203" i="6"/>
  <c r="G2203" i="6"/>
  <c r="F2204" i="6"/>
  <c r="E2204" i="6"/>
  <c r="G2204" i="6"/>
  <c r="F2205" i="6"/>
  <c r="E2205" i="6"/>
  <c r="G2205" i="6"/>
  <c r="F2206" i="6"/>
  <c r="E2206" i="6"/>
  <c r="G2206" i="6"/>
  <c r="F2207" i="6"/>
  <c r="E2207" i="6"/>
  <c r="G2207" i="6"/>
  <c r="F2208" i="6"/>
  <c r="E2208" i="6"/>
  <c r="G2208" i="6"/>
  <c r="F2209" i="6"/>
  <c r="E2209" i="6"/>
  <c r="G2209" i="6"/>
  <c r="F2210" i="6"/>
  <c r="E2210" i="6"/>
  <c r="G2210" i="6"/>
  <c r="F2211" i="6"/>
  <c r="E2211" i="6"/>
  <c r="G2211" i="6"/>
  <c r="F2212" i="6"/>
  <c r="E2212" i="6"/>
  <c r="G2212" i="6"/>
  <c r="F2213" i="6"/>
  <c r="E2213" i="6"/>
  <c r="G2213" i="6"/>
  <c r="F2214" i="6"/>
  <c r="E2214" i="6"/>
  <c r="G2214" i="6"/>
  <c r="F2215" i="6"/>
  <c r="E2215" i="6"/>
  <c r="G2215" i="6"/>
  <c r="F2216" i="6"/>
  <c r="E2216" i="6"/>
  <c r="G2216" i="6"/>
  <c r="F2217" i="6"/>
  <c r="E2217" i="6"/>
  <c r="G2217" i="6"/>
  <c r="F2218" i="6"/>
  <c r="E2218" i="6"/>
  <c r="G2218" i="6"/>
  <c r="F2219" i="6"/>
  <c r="E2219" i="6"/>
  <c r="G2219" i="6"/>
  <c r="F2220" i="6"/>
  <c r="E2220" i="6"/>
  <c r="G2220" i="6"/>
  <c r="F2221" i="6"/>
  <c r="E2221" i="6"/>
  <c r="G2221" i="6"/>
  <c r="F2222" i="6"/>
  <c r="E2222" i="6"/>
  <c r="G2222" i="6"/>
  <c r="F2223" i="6"/>
  <c r="E2223" i="6"/>
  <c r="G2223" i="6"/>
  <c r="F2224" i="6"/>
  <c r="E2224" i="6"/>
  <c r="G2224" i="6"/>
  <c r="F2225" i="6"/>
  <c r="E2225" i="6"/>
  <c r="G2225" i="6"/>
  <c r="F2226" i="6"/>
  <c r="E2226" i="6"/>
  <c r="G2226" i="6"/>
  <c r="F2227" i="6"/>
  <c r="E2227" i="6"/>
  <c r="G2227" i="6"/>
  <c r="F2228" i="6"/>
  <c r="E2228" i="6"/>
  <c r="G2228" i="6"/>
  <c r="F2229" i="6"/>
  <c r="E2229" i="6"/>
  <c r="G2229" i="6"/>
  <c r="F2230" i="6"/>
  <c r="E2230" i="6"/>
  <c r="G2230" i="6"/>
  <c r="F2231" i="6"/>
  <c r="E2231" i="6"/>
  <c r="G2231" i="6"/>
  <c r="F2232" i="6"/>
  <c r="E2232" i="6"/>
  <c r="G2232" i="6"/>
  <c r="F2233" i="6"/>
  <c r="E2233" i="6"/>
  <c r="G2233" i="6"/>
  <c r="F2234" i="6"/>
  <c r="E2234" i="6"/>
  <c r="G2234" i="6"/>
  <c r="F2235" i="6"/>
  <c r="E2235" i="6"/>
  <c r="G2235" i="6"/>
  <c r="F2236" i="6"/>
  <c r="E2236" i="6"/>
  <c r="G2236" i="6"/>
  <c r="F2237" i="6"/>
  <c r="E2237" i="6"/>
  <c r="G2237" i="6"/>
  <c r="F2238" i="6"/>
  <c r="E2238" i="6"/>
  <c r="G2238" i="6"/>
  <c r="F2239" i="6"/>
  <c r="E2239" i="6"/>
  <c r="G2239" i="6"/>
  <c r="F2240" i="6"/>
  <c r="E2240" i="6"/>
  <c r="G2240" i="6"/>
  <c r="F2241" i="6"/>
  <c r="E2241" i="6"/>
  <c r="G2241" i="6"/>
  <c r="F2242" i="6"/>
  <c r="E2242" i="6"/>
  <c r="G2242" i="6"/>
  <c r="F2243" i="6"/>
  <c r="E2243" i="6"/>
  <c r="G2243" i="6"/>
  <c r="F2244" i="6"/>
  <c r="E2244" i="6"/>
  <c r="G2244" i="6"/>
  <c r="F2245" i="6"/>
  <c r="E2245" i="6"/>
  <c r="G2245" i="6"/>
  <c r="F2246" i="6"/>
  <c r="E2246" i="6"/>
  <c r="G2246" i="6"/>
  <c r="F2247" i="6"/>
  <c r="E2247" i="6"/>
  <c r="G2247" i="6"/>
  <c r="F2248" i="6"/>
  <c r="E2248" i="6"/>
  <c r="G2248" i="6"/>
  <c r="F2249" i="6"/>
  <c r="E2249" i="6"/>
  <c r="G2249" i="6"/>
  <c r="F2250" i="6"/>
  <c r="E2250" i="6"/>
  <c r="G2250" i="6"/>
  <c r="F2251" i="6"/>
  <c r="E2251" i="6"/>
  <c r="G2251" i="6"/>
  <c r="F2252" i="6"/>
  <c r="E2252" i="6"/>
  <c r="G2252" i="6"/>
  <c r="F2253" i="6"/>
  <c r="E2253" i="6"/>
  <c r="G2253" i="6"/>
  <c r="F2254" i="6"/>
  <c r="E2254" i="6"/>
  <c r="G2254" i="6"/>
  <c r="F2255" i="6"/>
  <c r="E2255" i="6"/>
  <c r="G2255" i="6"/>
  <c r="F2256" i="6"/>
  <c r="E2256" i="6"/>
  <c r="G2256" i="6"/>
  <c r="F2257" i="6"/>
  <c r="E2257" i="6"/>
  <c r="G2257" i="6"/>
  <c r="F2258" i="6"/>
  <c r="E2258" i="6"/>
  <c r="G2258" i="6"/>
  <c r="F2259" i="6"/>
  <c r="E2259" i="6"/>
  <c r="G2259" i="6"/>
  <c r="F2260" i="6"/>
  <c r="E2260" i="6"/>
  <c r="G2260" i="6"/>
  <c r="F2261" i="6"/>
  <c r="E2261" i="6"/>
  <c r="G2261" i="6"/>
  <c r="F2262" i="6"/>
  <c r="E2262" i="6"/>
  <c r="G2262" i="6"/>
  <c r="F2263" i="6"/>
  <c r="E2263" i="6"/>
  <c r="G2263" i="6"/>
  <c r="F2264" i="6"/>
  <c r="E2264" i="6"/>
  <c r="G2264" i="6"/>
  <c r="F2265" i="6"/>
  <c r="E2265" i="6"/>
  <c r="G2265" i="6"/>
  <c r="F2266" i="6"/>
  <c r="E2266" i="6"/>
  <c r="G2266" i="6"/>
  <c r="F2267" i="6"/>
  <c r="E2267" i="6"/>
  <c r="G2267" i="6"/>
  <c r="F2268" i="6"/>
  <c r="E2268" i="6"/>
  <c r="G2268" i="6"/>
  <c r="F2269" i="6"/>
  <c r="E2269" i="6"/>
  <c r="G2269" i="6"/>
  <c r="F2270" i="6"/>
  <c r="E2270" i="6"/>
  <c r="G2270" i="6"/>
  <c r="F2271" i="6"/>
  <c r="E2271" i="6"/>
  <c r="G2271" i="6"/>
  <c r="F2272" i="6"/>
  <c r="E2272" i="6"/>
  <c r="G2272" i="6"/>
  <c r="F2273" i="6"/>
  <c r="E2273" i="6"/>
  <c r="G2273" i="6"/>
  <c r="F2274" i="6"/>
  <c r="E2274" i="6"/>
  <c r="G2274" i="6"/>
  <c r="F2275" i="6"/>
  <c r="E2275" i="6"/>
  <c r="G2275" i="6"/>
  <c r="F2276" i="6"/>
  <c r="E2276" i="6"/>
  <c r="G2276" i="6"/>
  <c r="F2277" i="6"/>
  <c r="E2277" i="6"/>
  <c r="G2277" i="6"/>
  <c r="F2278" i="6"/>
  <c r="E2278" i="6"/>
  <c r="G2278" i="6"/>
  <c r="F2279" i="6"/>
  <c r="E2279" i="6"/>
  <c r="G2279" i="6"/>
  <c r="F2280" i="6"/>
  <c r="E2280" i="6"/>
  <c r="G2280" i="6"/>
  <c r="F2281" i="6"/>
  <c r="E2281" i="6"/>
  <c r="G2281" i="6"/>
  <c r="F2282" i="6"/>
  <c r="E2282" i="6"/>
  <c r="G2282" i="6"/>
  <c r="F2283" i="6"/>
  <c r="E2283" i="6"/>
  <c r="G2283" i="6"/>
  <c r="F2284" i="6"/>
  <c r="E2284" i="6"/>
  <c r="G2284" i="6"/>
  <c r="F2285" i="6"/>
  <c r="E2285" i="6"/>
  <c r="G2285" i="6"/>
  <c r="F2286" i="6"/>
  <c r="E2286" i="6"/>
  <c r="G2286" i="6"/>
  <c r="F2287" i="6"/>
  <c r="E2287" i="6"/>
  <c r="G2287" i="6"/>
  <c r="F2288" i="6"/>
  <c r="E2288" i="6"/>
  <c r="G2288" i="6"/>
  <c r="F2289" i="6"/>
  <c r="E2289" i="6"/>
  <c r="G2289" i="6"/>
  <c r="F2290" i="6"/>
  <c r="E2290" i="6"/>
  <c r="G2290" i="6"/>
  <c r="F2291" i="6"/>
  <c r="E2291" i="6"/>
  <c r="G2291" i="6"/>
  <c r="F2292" i="6"/>
  <c r="E2292" i="6"/>
  <c r="G2292" i="6"/>
  <c r="F2293" i="6"/>
  <c r="E2293" i="6"/>
  <c r="G2293" i="6"/>
  <c r="F2294" i="6"/>
  <c r="E2294" i="6"/>
  <c r="G2294" i="6"/>
  <c r="F2295" i="6"/>
  <c r="E2295" i="6"/>
  <c r="G2295" i="6"/>
  <c r="F2296" i="6"/>
  <c r="E2296" i="6"/>
  <c r="G2296" i="6"/>
  <c r="F2297" i="6"/>
  <c r="E2297" i="6"/>
  <c r="G2297" i="6"/>
  <c r="F2298" i="6"/>
  <c r="E2298" i="6"/>
  <c r="G2298" i="6"/>
  <c r="F2299" i="6"/>
  <c r="E2299" i="6"/>
  <c r="G2299" i="6"/>
  <c r="F2300" i="6"/>
  <c r="E2300" i="6"/>
  <c r="G2300" i="6"/>
  <c r="F2301" i="6"/>
  <c r="E2301" i="6"/>
  <c r="G2301" i="6"/>
  <c r="F2302" i="6"/>
  <c r="E2302" i="6"/>
  <c r="G2302" i="6"/>
  <c r="F2303" i="6"/>
  <c r="E2303" i="6"/>
  <c r="G2303" i="6"/>
  <c r="F2304" i="6"/>
  <c r="E2304" i="6"/>
  <c r="G2304" i="6"/>
  <c r="F2305" i="6"/>
  <c r="E2305" i="6"/>
  <c r="G2305" i="6"/>
  <c r="F2306" i="6"/>
  <c r="E2306" i="6"/>
  <c r="G2306" i="6"/>
  <c r="F2307" i="6"/>
  <c r="E2307" i="6"/>
  <c r="G2307" i="6"/>
  <c r="F2308" i="6"/>
  <c r="E2308" i="6"/>
  <c r="G2308" i="6"/>
  <c r="F2309" i="6"/>
  <c r="E2309" i="6"/>
  <c r="G2309" i="6"/>
  <c r="F2310" i="6"/>
  <c r="E2310" i="6"/>
  <c r="G2310" i="6"/>
  <c r="F2311" i="6"/>
  <c r="E2311" i="6"/>
  <c r="G2311" i="6"/>
  <c r="F2312" i="6"/>
  <c r="E2312" i="6"/>
  <c r="G2312" i="6"/>
  <c r="F2313" i="6"/>
  <c r="E2313" i="6"/>
  <c r="G2313" i="6"/>
  <c r="F2314" i="6"/>
  <c r="E2314" i="6"/>
  <c r="G2314" i="6"/>
  <c r="F2315" i="6"/>
  <c r="E2315" i="6"/>
  <c r="G2315" i="6"/>
  <c r="F2316" i="6"/>
  <c r="E2316" i="6"/>
  <c r="G2316" i="6"/>
  <c r="F2317" i="6"/>
  <c r="E2317" i="6"/>
  <c r="G2317" i="6"/>
  <c r="F2318" i="6"/>
  <c r="E2318" i="6"/>
  <c r="G2318" i="6"/>
  <c r="F2319" i="6"/>
  <c r="E2319" i="6"/>
  <c r="G2319" i="6"/>
  <c r="F2320" i="6"/>
  <c r="E2320" i="6"/>
  <c r="G2320" i="6"/>
  <c r="F2321" i="6"/>
  <c r="E2321" i="6"/>
  <c r="G2321" i="6"/>
  <c r="F2322" i="6"/>
  <c r="E2322" i="6"/>
  <c r="G2322" i="6"/>
  <c r="F2323" i="6"/>
  <c r="E2323" i="6"/>
  <c r="G2323" i="6"/>
  <c r="F2324" i="6"/>
  <c r="E2324" i="6"/>
  <c r="G2324" i="6"/>
  <c r="F2325" i="6"/>
  <c r="E2325" i="6"/>
  <c r="G2325" i="6"/>
  <c r="F2326" i="6"/>
  <c r="E2326" i="6"/>
  <c r="G2326" i="6"/>
  <c r="F2327" i="6"/>
  <c r="E2327" i="6"/>
  <c r="G2327" i="6"/>
  <c r="F2328" i="6"/>
  <c r="E2328" i="6"/>
  <c r="G2328" i="6"/>
  <c r="F2329" i="6"/>
  <c r="E2329" i="6"/>
  <c r="G2329" i="6"/>
  <c r="F2330" i="6"/>
  <c r="E2330" i="6"/>
  <c r="G2330" i="6"/>
  <c r="F2331" i="6"/>
  <c r="E2331" i="6"/>
  <c r="G2331" i="6"/>
  <c r="F2332" i="6"/>
  <c r="E2332" i="6"/>
  <c r="G2332" i="6"/>
  <c r="F2333" i="6"/>
  <c r="E2333" i="6"/>
  <c r="G2333" i="6"/>
  <c r="F2334" i="6"/>
  <c r="E2334" i="6"/>
  <c r="G2334" i="6"/>
  <c r="F2335" i="6"/>
  <c r="E2335" i="6"/>
  <c r="G2335" i="6"/>
  <c r="F2336" i="6"/>
  <c r="E2336" i="6"/>
  <c r="G2336" i="6"/>
  <c r="F2337" i="6"/>
  <c r="E2337" i="6"/>
  <c r="G2337" i="6"/>
  <c r="F2338" i="6"/>
  <c r="E2338" i="6"/>
  <c r="G2338" i="6"/>
  <c r="F2339" i="6"/>
  <c r="E2339" i="6"/>
  <c r="G2339" i="6"/>
  <c r="F2340" i="6"/>
  <c r="E2340" i="6"/>
  <c r="G2340" i="6"/>
  <c r="F2341" i="6"/>
  <c r="E2341" i="6"/>
  <c r="G2341" i="6"/>
  <c r="F2342" i="6"/>
  <c r="E2342" i="6"/>
  <c r="G2342" i="6"/>
  <c r="F2343" i="6"/>
  <c r="E2343" i="6"/>
  <c r="G2343" i="6"/>
  <c r="F2344" i="6"/>
  <c r="E2344" i="6"/>
  <c r="G2344" i="6"/>
  <c r="F2345" i="6"/>
  <c r="E2345" i="6"/>
  <c r="G2345" i="6"/>
  <c r="F2346" i="6"/>
  <c r="E2346" i="6"/>
  <c r="G2346" i="6"/>
  <c r="F2347" i="6"/>
  <c r="E2347" i="6"/>
  <c r="G2347" i="6"/>
  <c r="F2348" i="6"/>
  <c r="E2348" i="6"/>
  <c r="G2348" i="6"/>
  <c r="F2349" i="6"/>
  <c r="E2349" i="6"/>
  <c r="G2349" i="6"/>
  <c r="F2350" i="6"/>
  <c r="E2350" i="6"/>
  <c r="G2350" i="6"/>
  <c r="F2351" i="6"/>
  <c r="E2351" i="6"/>
  <c r="G2351" i="6"/>
  <c r="F2352" i="6"/>
  <c r="E2352" i="6"/>
  <c r="G2352" i="6"/>
  <c r="F2353" i="6"/>
  <c r="E2353" i="6"/>
  <c r="G2353" i="6"/>
  <c r="F2354" i="6"/>
  <c r="E2354" i="6"/>
  <c r="G2354" i="6"/>
  <c r="F2355" i="6"/>
  <c r="E2355" i="6"/>
  <c r="G2355" i="6"/>
  <c r="F2356" i="6"/>
  <c r="E2356" i="6"/>
  <c r="G2356" i="6"/>
  <c r="F2357" i="6"/>
  <c r="E2357" i="6"/>
  <c r="G2357" i="6"/>
  <c r="F2358" i="6"/>
  <c r="E2358" i="6"/>
  <c r="G2358" i="6"/>
  <c r="F2359" i="6"/>
  <c r="E2359" i="6"/>
  <c r="G2359" i="6"/>
  <c r="F2360" i="6"/>
  <c r="E2360" i="6"/>
  <c r="G2360" i="6"/>
  <c r="F2361" i="6"/>
  <c r="E2361" i="6"/>
  <c r="G2361" i="6"/>
  <c r="F2362" i="6"/>
  <c r="E2362" i="6"/>
  <c r="G2362" i="6"/>
  <c r="F2363" i="6"/>
  <c r="E2363" i="6"/>
  <c r="G2363" i="6"/>
  <c r="F2364" i="6"/>
  <c r="E2364" i="6"/>
  <c r="G2364" i="6"/>
  <c r="F2365" i="6"/>
  <c r="E2365" i="6"/>
  <c r="G2365" i="6"/>
  <c r="F2366" i="6"/>
  <c r="E2366" i="6"/>
  <c r="G2366" i="6"/>
  <c r="F2367" i="6"/>
  <c r="E2367" i="6"/>
  <c r="G2367" i="6"/>
  <c r="F2368" i="6"/>
  <c r="E2368" i="6"/>
  <c r="G2368" i="6"/>
  <c r="F2369" i="6"/>
  <c r="E2369" i="6"/>
  <c r="G2369" i="6"/>
  <c r="F2370" i="6"/>
  <c r="E2370" i="6"/>
  <c r="G2370" i="6"/>
  <c r="F2371" i="6"/>
  <c r="E2371" i="6"/>
  <c r="G2371" i="6"/>
  <c r="F2372" i="6"/>
  <c r="E2372" i="6"/>
  <c r="G2372" i="6"/>
  <c r="F2373" i="6"/>
  <c r="E2373" i="6"/>
  <c r="G2373" i="6"/>
  <c r="F2374" i="6"/>
  <c r="E2374" i="6"/>
  <c r="G2374" i="6"/>
  <c r="F2375" i="6"/>
  <c r="E2375" i="6"/>
  <c r="G2375" i="6"/>
  <c r="F2376" i="6"/>
  <c r="E2376" i="6"/>
  <c r="G2376" i="6"/>
  <c r="F2377" i="6"/>
  <c r="E2377" i="6"/>
  <c r="G2377" i="6"/>
  <c r="F2378" i="6"/>
  <c r="E2378" i="6"/>
  <c r="G2378" i="6"/>
  <c r="F2379" i="6"/>
  <c r="E2379" i="6"/>
  <c r="G2379" i="6"/>
  <c r="F2380" i="6"/>
  <c r="E2380" i="6"/>
  <c r="G2380" i="6"/>
  <c r="F2381" i="6"/>
  <c r="E2381" i="6"/>
  <c r="G2381" i="6"/>
  <c r="F2382" i="6"/>
  <c r="E2382" i="6"/>
  <c r="G2382" i="6"/>
  <c r="F2383" i="6"/>
  <c r="E2383" i="6"/>
  <c r="G2383" i="6"/>
  <c r="F2384" i="6"/>
  <c r="E2384" i="6"/>
  <c r="G2384" i="6"/>
  <c r="F2385" i="6"/>
  <c r="E2385" i="6"/>
  <c r="G2385" i="6"/>
  <c r="F2386" i="6"/>
  <c r="E2386" i="6"/>
  <c r="G2386" i="6"/>
  <c r="F2387" i="6"/>
  <c r="E2387" i="6"/>
  <c r="G2387" i="6"/>
  <c r="F2388" i="6"/>
  <c r="E2388" i="6"/>
  <c r="G2388" i="6"/>
  <c r="F2389" i="6"/>
  <c r="E2389" i="6"/>
  <c r="G2389" i="6"/>
  <c r="F2390" i="6"/>
  <c r="E2390" i="6"/>
  <c r="G2390" i="6"/>
  <c r="F2391" i="6"/>
  <c r="E2391" i="6"/>
  <c r="G2391" i="6"/>
  <c r="F2392" i="6"/>
  <c r="E2392" i="6"/>
  <c r="G2392" i="6"/>
  <c r="F2393" i="6"/>
  <c r="E2393" i="6"/>
  <c r="G2393" i="6"/>
  <c r="F2394" i="6"/>
  <c r="E2394" i="6"/>
  <c r="G2394" i="6"/>
  <c r="F2395" i="6"/>
  <c r="E2395" i="6"/>
  <c r="G2395" i="6"/>
  <c r="F2396" i="6"/>
  <c r="E2396" i="6"/>
  <c r="G2396" i="6"/>
  <c r="F2397" i="6"/>
  <c r="E2397" i="6"/>
  <c r="G2397" i="6"/>
  <c r="F2398" i="6"/>
  <c r="E2398" i="6"/>
  <c r="G2398" i="6"/>
  <c r="F2399" i="6"/>
  <c r="E2399" i="6"/>
  <c r="G2399" i="6"/>
  <c r="F2400" i="6"/>
  <c r="E2400" i="6"/>
  <c r="G2400" i="6"/>
  <c r="F2401" i="6"/>
  <c r="E2401" i="6"/>
  <c r="G2401" i="6"/>
  <c r="F2402" i="6"/>
  <c r="E2402" i="6"/>
  <c r="G2402" i="6"/>
  <c r="F2403" i="6"/>
  <c r="E2403" i="6"/>
  <c r="G2403" i="6"/>
  <c r="F2404" i="6"/>
  <c r="E2404" i="6"/>
  <c r="G2404" i="6"/>
  <c r="F2405" i="6"/>
  <c r="E2405" i="6"/>
  <c r="G2405" i="6"/>
  <c r="F2406" i="6"/>
  <c r="E2406" i="6"/>
  <c r="G2406" i="6"/>
  <c r="F2407" i="6"/>
  <c r="E2407" i="6"/>
  <c r="G2407" i="6"/>
  <c r="F2408" i="6"/>
  <c r="E2408" i="6"/>
  <c r="G2408" i="6"/>
  <c r="F2409" i="6"/>
  <c r="E2409" i="6"/>
  <c r="G2409" i="6"/>
  <c r="F2410" i="6"/>
  <c r="E2410" i="6"/>
  <c r="G2410" i="6"/>
  <c r="F2411" i="6"/>
  <c r="E2411" i="6"/>
  <c r="G2411" i="6"/>
  <c r="F2412" i="6"/>
  <c r="E2412" i="6"/>
  <c r="G2412" i="6"/>
  <c r="F2413" i="6"/>
  <c r="E2413" i="6"/>
  <c r="G2413" i="6"/>
  <c r="F2414" i="6"/>
  <c r="E2414" i="6"/>
  <c r="G2414" i="6"/>
  <c r="F2415" i="6"/>
  <c r="E2415" i="6"/>
  <c r="G2415" i="6"/>
  <c r="F2416" i="6"/>
  <c r="E2416" i="6"/>
  <c r="G2416" i="6"/>
  <c r="F2417" i="6"/>
  <c r="E2417" i="6"/>
  <c r="G2417" i="6"/>
  <c r="F2418" i="6"/>
  <c r="E2418" i="6"/>
  <c r="G2418" i="6"/>
  <c r="F2419" i="6"/>
  <c r="E2419" i="6"/>
  <c r="G2419" i="6"/>
  <c r="F2420" i="6"/>
  <c r="E2420" i="6"/>
  <c r="G2420" i="6"/>
  <c r="F2421" i="6"/>
  <c r="E2421" i="6"/>
  <c r="G2421" i="6"/>
  <c r="F2422" i="6"/>
  <c r="E2422" i="6"/>
  <c r="G2422" i="6"/>
  <c r="F2423" i="6"/>
  <c r="E2423" i="6"/>
  <c r="G2423" i="6"/>
  <c r="F2424" i="6"/>
  <c r="E2424" i="6"/>
  <c r="G2424" i="6"/>
  <c r="F2425" i="6"/>
  <c r="E2425" i="6"/>
  <c r="G2425" i="6"/>
  <c r="F2426" i="6"/>
  <c r="E2426" i="6"/>
  <c r="G2426" i="6"/>
  <c r="F2427" i="6"/>
  <c r="E2427" i="6"/>
  <c r="G2427" i="6"/>
  <c r="F2428" i="6"/>
  <c r="E2428" i="6"/>
  <c r="G2428" i="6"/>
  <c r="F2429" i="6"/>
  <c r="E2429" i="6"/>
  <c r="G2429" i="6"/>
  <c r="F2430" i="6"/>
  <c r="E2430" i="6"/>
  <c r="G2430" i="6"/>
  <c r="F2431" i="6"/>
  <c r="E2431" i="6"/>
  <c r="G2431" i="6"/>
  <c r="F2432" i="6"/>
  <c r="E2432" i="6"/>
  <c r="G2432" i="6"/>
  <c r="F2433" i="6"/>
  <c r="E2433" i="6"/>
  <c r="G2433" i="6"/>
  <c r="F2434" i="6"/>
  <c r="E2434" i="6"/>
  <c r="G2434" i="6"/>
  <c r="F2435" i="6"/>
  <c r="E2435" i="6"/>
  <c r="G2435" i="6"/>
  <c r="F2436" i="6"/>
  <c r="E2436" i="6"/>
  <c r="G2436" i="6"/>
  <c r="F2437" i="6"/>
  <c r="E2437" i="6"/>
  <c r="G2437" i="6"/>
  <c r="F2438" i="6"/>
  <c r="E2438" i="6"/>
  <c r="G2438" i="6"/>
  <c r="F2439" i="6"/>
  <c r="E2439" i="6"/>
  <c r="G2439" i="6"/>
  <c r="F2440" i="6"/>
  <c r="E2440" i="6"/>
  <c r="G2440" i="6"/>
  <c r="F2441" i="6"/>
  <c r="E2441" i="6"/>
  <c r="G2441" i="6"/>
  <c r="F2442" i="6"/>
  <c r="E2442" i="6"/>
  <c r="G2442" i="6"/>
  <c r="F2443" i="6"/>
  <c r="E2443" i="6"/>
  <c r="G2443" i="6"/>
  <c r="F2444" i="6"/>
  <c r="E2444" i="6"/>
  <c r="G2444" i="6"/>
  <c r="F2445" i="6"/>
  <c r="E2445" i="6"/>
  <c r="G2445" i="6"/>
  <c r="F2446" i="6"/>
  <c r="E2446" i="6"/>
  <c r="G2446" i="6"/>
  <c r="F2447" i="6"/>
  <c r="E2447" i="6"/>
  <c r="G2447" i="6"/>
  <c r="F2448" i="6"/>
  <c r="E2448" i="6"/>
  <c r="G2448" i="6"/>
  <c r="F2449" i="6"/>
  <c r="E2449" i="6"/>
  <c r="G2449" i="6"/>
  <c r="F2450" i="6"/>
  <c r="E2450" i="6"/>
  <c r="G2450" i="6"/>
  <c r="F2451" i="6"/>
  <c r="E2451" i="6"/>
  <c r="G2451" i="6"/>
  <c r="F2452" i="6"/>
  <c r="E2452" i="6"/>
  <c r="G2452" i="6"/>
  <c r="F2453" i="6"/>
  <c r="E2453" i="6"/>
  <c r="G2453" i="6"/>
  <c r="F2454" i="6"/>
  <c r="E2454" i="6"/>
  <c r="G2454" i="6"/>
  <c r="F2455" i="6"/>
  <c r="E2455" i="6"/>
  <c r="G2455" i="6"/>
  <c r="F2456" i="6"/>
  <c r="E2456" i="6"/>
  <c r="G2456" i="6"/>
  <c r="F2457" i="6"/>
  <c r="E2457" i="6"/>
  <c r="G2457" i="6"/>
  <c r="F2458" i="6"/>
  <c r="E2458" i="6"/>
  <c r="G2458" i="6"/>
  <c r="F2459" i="6"/>
  <c r="E2459" i="6"/>
  <c r="G2459" i="6"/>
  <c r="F2460" i="6"/>
  <c r="E2460" i="6"/>
  <c r="G2460" i="6"/>
  <c r="F2461" i="6"/>
  <c r="E2461" i="6"/>
  <c r="G2461" i="6"/>
  <c r="F2462" i="6"/>
  <c r="E2462" i="6"/>
  <c r="G2462" i="6"/>
  <c r="F2463" i="6"/>
  <c r="E2463" i="6"/>
  <c r="G2463" i="6"/>
  <c r="F2464" i="6"/>
  <c r="E2464" i="6"/>
  <c r="G2464" i="6"/>
  <c r="F2465" i="6"/>
  <c r="E2465" i="6"/>
  <c r="G2465" i="6"/>
  <c r="F2466" i="6"/>
  <c r="E2466" i="6"/>
  <c r="G2466" i="6"/>
  <c r="F2467" i="6"/>
  <c r="E2467" i="6"/>
  <c r="G2467" i="6"/>
  <c r="F2468" i="6"/>
  <c r="E2468" i="6"/>
  <c r="G2468" i="6"/>
  <c r="F2469" i="6"/>
  <c r="E2469" i="6"/>
  <c r="G2469" i="6"/>
  <c r="F2470" i="6"/>
  <c r="E2470" i="6"/>
  <c r="G2470" i="6"/>
  <c r="F2471" i="6"/>
  <c r="E2471" i="6"/>
  <c r="G2471" i="6"/>
  <c r="F2472" i="6"/>
  <c r="E2472" i="6"/>
  <c r="G2472" i="6"/>
  <c r="F2473" i="6"/>
  <c r="E2473" i="6"/>
  <c r="G2473" i="6"/>
  <c r="F2474" i="6"/>
  <c r="E2474" i="6"/>
  <c r="G2474" i="6"/>
  <c r="F2475" i="6"/>
  <c r="E2475" i="6"/>
  <c r="G2475" i="6"/>
  <c r="F2476" i="6"/>
  <c r="E2476" i="6"/>
  <c r="G2476" i="6"/>
  <c r="F2477" i="6"/>
  <c r="E2477" i="6"/>
  <c r="G2477" i="6"/>
  <c r="F2478" i="6"/>
  <c r="E2478" i="6"/>
  <c r="G2478" i="6"/>
  <c r="F2479" i="6"/>
  <c r="E2479" i="6"/>
  <c r="G2479" i="6"/>
  <c r="F2480" i="6"/>
  <c r="E2480" i="6"/>
  <c r="G2480" i="6"/>
  <c r="F2481" i="6"/>
  <c r="E2481" i="6"/>
  <c r="G2481" i="6"/>
  <c r="F2482" i="6"/>
  <c r="E2482" i="6"/>
  <c r="G2482" i="6"/>
  <c r="F2483" i="6"/>
  <c r="E2483" i="6"/>
  <c r="G2483" i="6"/>
  <c r="F2484" i="6"/>
  <c r="E2484" i="6"/>
  <c r="G2484" i="6"/>
  <c r="F2485" i="6"/>
  <c r="E2485" i="6"/>
  <c r="G2485" i="6"/>
  <c r="F2486" i="6"/>
  <c r="E2486" i="6"/>
  <c r="G2486" i="6"/>
  <c r="F2487" i="6"/>
  <c r="E2487" i="6"/>
  <c r="G2487" i="6"/>
  <c r="F2488" i="6"/>
  <c r="E2488" i="6"/>
  <c r="G2488" i="6"/>
  <c r="F2489" i="6"/>
  <c r="E2489" i="6"/>
  <c r="G2489" i="6"/>
  <c r="F2490" i="6"/>
  <c r="E2490" i="6"/>
  <c r="G2490" i="6"/>
  <c r="F2491" i="6"/>
  <c r="E2491" i="6"/>
  <c r="G2491" i="6"/>
  <c r="F2492" i="6"/>
  <c r="E2492" i="6"/>
  <c r="G2492" i="6"/>
  <c r="F2493" i="6"/>
  <c r="E2493" i="6"/>
  <c r="G2493" i="6"/>
  <c r="F2494" i="6"/>
  <c r="E2494" i="6"/>
  <c r="G2494" i="6"/>
  <c r="F2495" i="6"/>
  <c r="E2495" i="6"/>
  <c r="G2495" i="6"/>
  <c r="F2496" i="6"/>
  <c r="E2496" i="6"/>
  <c r="G2496" i="6"/>
  <c r="F2497" i="6"/>
  <c r="E2497" i="6"/>
  <c r="G2497" i="6"/>
  <c r="F2498" i="6"/>
  <c r="E2498" i="6"/>
  <c r="G2498" i="6"/>
  <c r="F2499" i="6"/>
  <c r="E2499" i="6"/>
  <c r="G2499" i="6"/>
  <c r="F2500" i="6"/>
  <c r="E2500" i="6"/>
  <c r="G2500" i="6"/>
  <c r="F2501" i="6"/>
  <c r="E2501" i="6"/>
  <c r="G2501" i="6"/>
  <c r="F2502" i="6"/>
  <c r="E2502" i="6"/>
  <c r="G2502" i="6"/>
  <c r="F2503" i="6"/>
  <c r="E2503" i="6"/>
  <c r="G2503" i="6"/>
  <c r="F2504" i="6"/>
  <c r="E2504" i="6"/>
  <c r="G2504" i="6"/>
  <c r="F2505" i="6"/>
  <c r="E2505" i="6"/>
  <c r="G2505" i="6"/>
  <c r="F2506" i="6"/>
  <c r="E2506" i="6"/>
  <c r="G2506" i="6"/>
  <c r="F2507" i="6"/>
  <c r="E2507" i="6"/>
  <c r="G2507" i="6"/>
  <c r="F2508" i="6"/>
  <c r="E2508" i="6"/>
  <c r="G2508" i="6"/>
  <c r="F2509" i="6"/>
  <c r="E2509" i="6"/>
  <c r="G2509" i="6"/>
  <c r="F2510" i="6"/>
  <c r="E2510" i="6"/>
  <c r="G2510" i="6"/>
  <c r="F2511" i="6"/>
  <c r="E2511" i="6"/>
  <c r="G2511" i="6"/>
  <c r="F2512" i="6"/>
  <c r="E2512" i="6"/>
  <c r="G2512" i="6"/>
  <c r="F2513" i="6"/>
  <c r="E2513" i="6"/>
  <c r="G2513" i="6"/>
  <c r="F2514" i="6"/>
  <c r="E2514" i="6"/>
  <c r="G2514" i="6"/>
  <c r="F2515" i="6"/>
  <c r="E2515" i="6"/>
  <c r="G2515" i="6"/>
  <c r="F2516" i="6"/>
  <c r="E2516" i="6"/>
  <c r="G2516" i="6"/>
  <c r="F2517" i="6"/>
  <c r="E2517" i="6"/>
  <c r="G2517" i="6"/>
  <c r="F2518" i="6"/>
  <c r="E2518" i="6"/>
  <c r="G2518" i="6"/>
  <c r="F2519" i="6"/>
  <c r="E2519" i="6"/>
  <c r="G2519" i="6"/>
  <c r="F2520" i="6"/>
  <c r="E2520" i="6"/>
  <c r="G2520" i="6"/>
  <c r="F2521" i="6"/>
  <c r="E2521" i="6"/>
  <c r="G2521" i="6"/>
  <c r="F2522" i="6"/>
  <c r="E2522" i="6"/>
  <c r="G2522" i="6"/>
  <c r="F2523" i="6"/>
  <c r="E2523" i="6"/>
  <c r="G2523" i="6"/>
  <c r="F2524" i="6"/>
  <c r="E2524" i="6"/>
  <c r="G2524" i="6"/>
  <c r="F2525" i="6"/>
  <c r="E2525" i="6"/>
  <c r="G2525" i="6"/>
  <c r="F2526" i="6"/>
  <c r="E2526" i="6"/>
  <c r="G2526" i="6"/>
  <c r="F2527" i="6"/>
  <c r="E2527" i="6"/>
  <c r="G2527" i="6"/>
  <c r="F2528" i="6"/>
  <c r="E2528" i="6"/>
  <c r="G2528" i="6"/>
  <c r="F2529" i="6"/>
  <c r="E2529" i="6"/>
  <c r="G2529" i="6"/>
  <c r="F2530" i="6"/>
  <c r="E2530" i="6"/>
  <c r="G2530" i="6"/>
  <c r="F2531" i="6"/>
  <c r="E2531" i="6"/>
  <c r="G2531" i="6"/>
  <c r="F2532" i="6"/>
  <c r="E2532" i="6"/>
  <c r="G2532" i="6"/>
  <c r="F2533" i="6"/>
  <c r="E2533" i="6"/>
  <c r="G2533" i="6"/>
  <c r="F2534" i="6"/>
  <c r="E2534" i="6"/>
  <c r="G2534" i="6"/>
  <c r="F2535" i="6"/>
  <c r="E2535" i="6"/>
  <c r="G2535" i="6"/>
  <c r="F2536" i="6"/>
  <c r="E2536" i="6"/>
  <c r="G2536" i="6"/>
  <c r="F2537" i="6"/>
  <c r="E2537" i="6"/>
  <c r="G2537" i="6"/>
  <c r="F2538" i="6"/>
  <c r="E2538" i="6"/>
  <c r="G2538" i="6"/>
  <c r="F2539" i="6"/>
  <c r="E2539" i="6"/>
  <c r="G2539" i="6"/>
  <c r="F2540" i="6"/>
  <c r="E2540" i="6"/>
  <c r="G2540" i="6"/>
  <c r="F2541" i="6"/>
  <c r="E2541" i="6"/>
  <c r="G2541" i="6"/>
  <c r="F2542" i="6"/>
  <c r="E2542" i="6"/>
  <c r="G2542" i="6"/>
  <c r="F2543" i="6"/>
  <c r="E2543" i="6"/>
  <c r="G2543" i="6"/>
  <c r="F2544" i="6"/>
  <c r="E2544" i="6"/>
  <c r="G2544" i="6"/>
  <c r="F2545" i="6"/>
  <c r="E2545" i="6"/>
  <c r="G2545" i="6"/>
  <c r="F2546" i="6"/>
  <c r="E2546" i="6"/>
  <c r="G2546" i="6"/>
  <c r="F2547" i="6"/>
  <c r="E2547" i="6"/>
  <c r="G2547" i="6"/>
  <c r="F2548" i="6"/>
  <c r="E2548" i="6"/>
  <c r="G2548" i="6"/>
  <c r="F2549" i="6"/>
  <c r="E2549" i="6"/>
  <c r="G2549" i="6"/>
  <c r="F2550" i="6"/>
  <c r="E2550" i="6"/>
  <c r="G2550" i="6"/>
  <c r="F2551" i="6"/>
  <c r="E2551" i="6"/>
  <c r="G2551" i="6"/>
  <c r="F2552" i="6"/>
  <c r="E2552" i="6"/>
  <c r="G2552" i="6"/>
  <c r="F2553" i="6"/>
  <c r="E2553" i="6"/>
  <c r="G2553" i="6"/>
  <c r="F2554" i="6"/>
  <c r="E2554" i="6"/>
  <c r="G2554" i="6"/>
  <c r="F2555" i="6"/>
  <c r="E2555" i="6"/>
  <c r="G2555" i="6"/>
  <c r="F2556" i="6"/>
  <c r="E2556" i="6"/>
  <c r="G2556" i="6"/>
  <c r="F2557" i="6"/>
  <c r="E2557" i="6"/>
  <c r="G2557" i="6"/>
  <c r="F2558" i="6"/>
  <c r="E2558" i="6"/>
  <c r="G2558" i="6"/>
  <c r="F2559" i="6"/>
  <c r="E2559" i="6"/>
  <c r="G2559" i="6"/>
  <c r="F2560" i="6"/>
  <c r="E2560" i="6"/>
  <c r="G2560" i="6"/>
  <c r="F2561" i="6"/>
  <c r="E2561" i="6"/>
  <c r="G2561" i="6"/>
  <c r="F2562" i="6"/>
  <c r="E2562" i="6"/>
  <c r="G2562" i="6"/>
  <c r="F2563" i="6"/>
  <c r="E2563" i="6"/>
  <c r="G2563" i="6"/>
  <c r="F2564" i="6"/>
  <c r="E2564" i="6"/>
  <c r="G2564" i="6"/>
  <c r="F2565" i="6"/>
  <c r="E2565" i="6"/>
  <c r="G2565" i="6"/>
  <c r="F2566" i="6"/>
  <c r="E2566" i="6"/>
  <c r="G2566" i="6"/>
  <c r="F2567" i="6"/>
  <c r="E2567" i="6"/>
  <c r="G2567" i="6"/>
  <c r="F2568" i="6"/>
  <c r="E2568" i="6"/>
  <c r="G2568" i="6"/>
  <c r="F2569" i="6"/>
  <c r="E2569" i="6"/>
  <c r="G2569" i="6"/>
  <c r="F2570" i="6"/>
  <c r="E2570" i="6"/>
  <c r="G2570" i="6"/>
  <c r="F2571" i="6"/>
  <c r="E2571" i="6"/>
  <c r="G2571" i="6"/>
  <c r="F2572" i="6"/>
  <c r="E2572" i="6"/>
  <c r="G2572" i="6"/>
  <c r="F2573" i="6"/>
  <c r="E2573" i="6"/>
  <c r="G2573" i="6"/>
  <c r="F2574" i="6"/>
  <c r="E2574" i="6"/>
  <c r="G2574" i="6"/>
  <c r="F2575" i="6"/>
  <c r="E2575" i="6"/>
  <c r="G2575" i="6"/>
  <c r="F2576" i="6"/>
  <c r="E2576" i="6"/>
  <c r="G2576" i="6"/>
  <c r="F2577" i="6"/>
  <c r="E2577" i="6"/>
  <c r="G2577" i="6"/>
  <c r="F2578" i="6"/>
  <c r="E2578" i="6"/>
  <c r="G2578" i="6"/>
  <c r="F2579" i="6"/>
  <c r="E2579" i="6"/>
  <c r="G2579" i="6"/>
  <c r="F2580" i="6"/>
  <c r="E2580" i="6"/>
  <c r="G2580" i="6"/>
  <c r="F2581" i="6"/>
  <c r="E2581" i="6"/>
  <c r="G2581" i="6"/>
  <c r="F2582" i="6"/>
  <c r="E2582" i="6"/>
  <c r="G2582" i="6"/>
  <c r="F2583" i="6"/>
  <c r="E2583" i="6"/>
  <c r="G2583" i="6"/>
  <c r="F2584" i="6"/>
  <c r="E2584" i="6"/>
  <c r="G2584" i="6"/>
  <c r="F2585" i="6"/>
  <c r="E2585" i="6"/>
  <c r="G2585" i="6"/>
  <c r="F2586" i="6"/>
  <c r="E2586" i="6"/>
  <c r="G2586" i="6"/>
  <c r="F2587" i="6"/>
  <c r="E2587" i="6"/>
  <c r="G2587" i="6"/>
  <c r="F2588" i="6"/>
  <c r="E2588" i="6"/>
  <c r="G2588" i="6"/>
  <c r="F2589" i="6"/>
  <c r="E2589" i="6"/>
  <c r="G2589" i="6"/>
  <c r="F2590" i="6"/>
  <c r="E2590" i="6"/>
  <c r="G2590" i="6"/>
  <c r="F2591" i="6"/>
  <c r="E2591" i="6"/>
  <c r="G2591" i="6"/>
  <c r="F2592" i="6"/>
  <c r="E2592" i="6"/>
  <c r="G2592" i="6"/>
  <c r="F2593" i="6"/>
  <c r="E2593" i="6"/>
  <c r="G2593" i="6"/>
  <c r="F2594" i="6"/>
  <c r="E2594" i="6"/>
  <c r="G2594" i="6"/>
  <c r="F2595" i="6"/>
  <c r="E2595" i="6"/>
  <c r="G2595" i="6"/>
  <c r="F2596" i="6"/>
  <c r="E2596" i="6"/>
  <c r="G2596" i="6"/>
  <c r="F2597" i="6"/>
  <c r="E2597" i="6"/>
  <c r="G2597" i="6"/>
  <c r="F2598" i="6"/>
  <c r="E2598" i="6"/>
  <c r="G2598" i="6"/>
  <c r="F2599" i="6"/>
  <c r="E2599" i="6"/>
  <c r="G2599" i="6"/>
  <c r="F2600" i="6"/>
  <c r="E2600" i="6"/>
  <c r="G2600" i="6"/>
  <c r="F2601" i="6"/>
  <c r="E2601" i="6"/>
  <c r="G2601" i="6"/>
  <c r="F2602" i="6"/>
  <c r="E2602" i="6"/>
  <c r="G2602" i="6"/>
  <c r="F2603" i="6"/>
  <c r="E2603" i="6"/>
  <c r="G2603" i="6"/>
  <c r="F2604" i="6"/>
  <c r="E2604" i="6"/>
  <c r="G2604" i="6"/>
  <c r="F2605" i="6"/>
  <c r="E2605" i="6"/>
  <c r="G2605" i="6"/>
  <c r="F2606" i="6"/>
  <c r="E2606" i="6"/>
  <c r="G2606" i="6"/>
  <c r="F2607" i="6"/>
  <c r="E2607" i="6"/>
  <c r="G2607" i="6"/>
  <c r="F2608" i="6"/>
  <c r="E2608" i="6"/>
  <c r="G2608" i="6"/>
  <c r="F2609" i="6"/>
  <c r="E2609" i="6"/>
  <c r="G2609" i="6"/>
  <c r="F2610" i="6"/>
  <c r="E2610" i="6"/>
  <c r="G2610" i="6"/>
  <c r="F2611" i="6"/>
  <c r="E2611" i="6"/>
  <c r="G2611" i="6"/>
  <c r="F2612" i="6"/>
  <c r="E2612" i="6"/>
  <c r="G2612" i="6"/>
  <c r="F2613" i="6"/>
  <c r="E2613" i="6"/>
  <c r="G2613" i="6"/>
  <c r="F2614" i="6"/>
  <c r="E2614" i="6"/>
  <c r="G2614" i="6"/>
  <c r="F2615" i="6"/>
  <c r="E2615" i="6"/>
  <c r="G2615" i="6"/>
  <c r="F2616" i="6"/>
  <c r="E2616" i="6"/>
  <c r="G2616" i="6"/>
  <c r="F2617" i="6"/>
  <c r="E2617" i="6"/>
  <c r="G2617" i="6"/>
  <c r="F2618" i="6"/>
  <c r="E2618" i="6"/>
  <c r="G2618" i="6"/>
  <c r="F2619" i="6"/>
  <c r="E2619" i="6"/>
  <c r="G2619" i="6"/>
  <c r="F2620" i="6"/>
  <c r="E2620" i="6"/>
  <c r="G2620" i="6"/>
  <c r="F2621" i="6"/>
  <c r="E2621" i="6"/>
  <c r="G2621" i="6"/>
  <c r="F2622" i="6"/>
  <c r="E2622" i="6"/>
  <c r="G2622" i="6"/>
  <c r="F2623" i="6"/>
  <c r="E2623" i="6"/>
  <c r="G2623" i="6"/>
  <c r="F2624" i="6"/>
  <c r="E2624" i="6"/>
  <c r="G2624" i="6"/>
  <c r="F2625" i="6"/>
  <c r="E2625" i="6"/>
  <c r="G2625" i="6"/>
  <c r="F2626" i="6"/>
  <c r="E2626" i="6"/>
  <c r="G2626" i="6"/>
  <c r="F2627" i="6"/>
  <c r="E2627" i="6"/>
  <c r="G2627" i="6"/>
  <c r="F2628" i="6"/>
  <c r="E2628" i="6"/>
  <c r="G2628" i="6"/>
  <c r="F2629" i="6"/>
  <c r="E2629" i="6"/>
  <c r="G2629" i="6"/>
  <c r="F2630" i="6"/>
  <c r="E2630" i="6"/>
  <c r="G2630" i="6"/>
  <c r="F2631" i="6"/>
  <c r="E2631" i="6"/>
  <c r="G2631" i="6"/>
  <c r="F2632" i="6"/>
  <c r="E2632" i="6"/>
  <c r="G2632" i="6"/>
  <c r="F2633" i="6"/>
  <c r="E2633" i="6"/>
  <c r="G2633" i="6"/>
  <c r="F2634" i="6"/>
  <c r="E2634" i="6"/>
  <c r="G2634" i="6"/>
  <c r="F2635" i="6"/>
  <c r="E2635" i="6"/>
  <c r="G2635" i="6"/>
  <c r="F2636" i="6"/>
  <c r="E2636" i="6"/>
  <c r="G2636" i="6"/>
  <c r="F2637" i="6"/>
  <c r="E2637" i="6"/>
  <c r="G2637" i="6"/>
  <c r="F2638" i="6"/>
  <c r="E2638" i="6"/>
  <c r="G2638" i="6"/>
  <c r="F2639" i="6"/>
  <c r="E2639" i="6"/>
  <c r="G2639" i="6"/>
  <c r="F2640" i="6"/>
  <c r="E2640" i="6"/>
  <c r="G2640" i="6"/>
  <c r="F2641" i="6"/>
  <c r="E2641" i="6"/>
  <c r="G2641" i="6"/>
  <c r="F2642" i="6"/>
  <c r="E2642" i="6"/>
  <c r="G2642" i="6"/>
  <c r="F2643" i="6"/>
  <c r="E2643" i="6"/>
  <c r="G2643" i="6"/>
  <c r="F2644" i="6"/>
  <c r="E2644" i="6"/>
  <c r="G2644" i="6"/>
  <c r="F2645" i="6"/>
  <c r="E2645" i="6"/>
  <c r="G2645" i="6"/>
  <c r="F2646" i="6"/>
  <c r="E2646" i="6"/>
  <c r="G2646" i="6"/>
  <c r="F2647" i="6"/>
  <c r="E2647" i="6"/>
  <c r="G2647" i="6"/>
  <c r="F2648" i="6"/>
  <c r="E2648" i="6"/>
  <c r="G2648" i="6"/>
  <c r="F2649" i="6"/>
  <c r="E2649" i="6"/>
  <c r="G2649" i="6"/>
  <c r="F2650" i="6"/>
  <c r="E2650" i="6"/>
  <c r="G2650" i="6"/>
  <c r="F2651" i="6"/>
  <c r="E2651" i="6"/>
  <c r="G2651" i="6"/>
  <c r="F2652" i="6"/>
  <c r="E2652" i="6"/>
  <c r="G2652" i="6"/>
  <c r="F2653" i="6"/>
  <c r="E2653" i="6"/>
  <c r="G2653" i="6"/>
  <c r="F2654" i="6"/>
  <c r="E2654" i="6"/>
  <c r="G2654" i="6"/>
  <c r="F2655" i="6"/>
  <c r="E2655" i="6"/>
  <c r="G2655" i="6"/>
  <c r="F2656" i="6"/>
  <c r="E2656" i="6"/>
  <c r="G2656" i="6"/>
  <c r="F2657" i="6"/>
  <c r="E2657" i="6"/>
  <c r="G2657" i="6"/>
  <c r="F2658" i="6"/>
  <c r="E2658" i="6"/>
  <c r="G2658" i="6"/>
  <c r="F2659" i="6"/>
  <c r="E2659" i="6"/>
  <c r="G2659" i="6"/>
  <c r="F2660" i="6"/>
  <c r="E2660" i="6"/>
  <c r="G2660" i="6"/>
  <c r="F2661" i="6"/>
  <c r="E2661" i="6"/>
  <c r="G2661" i="6"/>
  <c r="F2662" i="6"/>
  <c r="E2662" i="6"/>
  <c r="G2662" i="6"/>
  <c r="F2663" i="6"/>
  <c r="E2663" i="6"/>
  <c r="G2663" i="6"/>
  <c r="F2664" i="6"/>
  <c r="E2664" i="6"/>
  <c r="G2664" i="6"/>
  <c r="F2665" i="6"/>
  <c r="E2665" i="6"/>
  <c r="G2665" i="6"/>
  <c r="F2666" i="6"/>
  <c r="E2666" i="6"/>
  <c r="G2666" i="6"/>
  <c r="F2667" i="6"/>
  <c r="E2667" i="6"/>
  <c r="G2667" i="6"/>
  <c r="F2668" i="6"/>
  <c r="E2668" i="6"/>
  <c r="G2668" i="6"/>
  <c r="F2669" i="6"/>
  <c r="E2669" i="6"/>
  <c r="G2669" i="6"/>
  <c r="F2670" i="6"/>
  <c r="E2670" i="6"/>
  <c r="G2670" i="6"/>
  <c r="F2671" i="6"/>
  <c r="E2671" i="6"/>
  <c r="G2671" i="6"/>
  <c r="F2672" i="6"/>
  <c r="E2672" i="6"/>
  <c r="G2672" i="6"/>
  <c r="F2673" i="6"/>
  <c r="E2673" i="6"/>
  <c r="G2673" i="6"/>
  <c r="F2674" i="6"/>
  <c r="E2674" i="6"/>
  <c r="G2674" i="6"/>
  <c r="F2675" i="6"/>
  <c r="E2675" i="6"/>
  <c r="G2675" i="6"/>
  <c r="F2676" i="6"/>
  <c r="E2676" i="6"/>
  <c r="G2676" i="6"/>
  <c r="F2677" i="6"/>
  <c r="E2677" i="6"/>
  <c r="G2677" i="6"/>
  <c r="F2678" i="6"/>
  <c r="E2678" i="6"/>
  <c r="G2678" i="6"/>
  <c r="F2679" i="6"/>
  <c r="E2679" i="6"/>
  <c r="G2679" i="6"/>
  <c r="F2680" i="6"/>
  <c r="E2680" i="6"/>
  <c r="G2680" i="6"/>
  <c r="F2681" i="6"/>
  <c r="E2681" i="6"/>
  <c r="G2681" i="6"/>
  <c r="F2682" i="6"/>
  <c r="E2682" i="6"/>
  <c r="G2682" i="6"/>
  <c r="F2683" i="6"/>
  <c r="E2683" i="6"/>
  <c r="G2683" i="6"/>
  <c r="F2684" i="6"/>
  <c r="E2684" i="6"/>
  <c r="G2684" i="6"/>
  <c r="F2685" i="6"/>
  <c r="E2685" i="6"/>
  <c r="G2685" i="6"/>
  <c r="F2686" i="6"/>
  <c r="E2686" i="6"/>
  <c r="G2686" i="6"/>
  <c r="F2687" i="6"/>
  <c r="E2687" i="6"/>
  <c r="G2687" i="6"/>
  <c r="F2688" i="6"/>
  <c r="E2688" i="6"/>
  <c r="G2688" i="6"/>
  <c r="F2689" i="6"/>
  <c r="E2689" i="6"/>
  <c r="G2689" i="6"/>
  <c r="F2690" i="6"/>
  <c r="E2690" i="6"/>
  <c r="G2690" i="6"/>
  <c r="F2691" i="6"/>
  <c r="E2691" i="6"/>
  <c r="G2691" i="6"/>
  <c r="F2692" i="6"/>
  <c r="E2692" i="6"/>
  <c r="G2692" i="6"/>
  <c r="F2693" i="6"/>
  <c r="E2693" i="6"/>
  <c r="G2693" i="6"/>
  <c r="F2694" i="6"/>
  <c r="E2694" i="6"/>
  <c r="G2694" i="6"/>
  <c r="F2695" i="6"/>
  <c r="E2695" i="6"/>
  <c r="G2695" i="6"/>
  <c r="F2696" i="6"/>
  <c r="E2696" i="6"/>
  <c r="G2696" i="6"/>
  <c r="F2697" i="6"/>
  <c r="E2697" i="6"/>
  <c r="G2697" i="6"/>
  <c r="F2698" i="6"/>
  <c r="E2698" i="6"/>
  <c r="G2698" i="6"/>
  <c r="F2699" i="6"/>
  <c r="E2699" i="6"/>
  <c r="G2699" i="6"/>
  <c r="F2700" i="6"/>
  <c r="E2700" i="6"/>
  <c r="G2700" i="6"/>
  <c r="F2701" i="6"/>
  <c r="E2701" i="6"/>
  <c r="G2701" i="6"/>
  <c r="F2702" i="6"/>
  <c r="E2702" i="6"/>
  <c r="G2702" i="6"/>
  <c r="F2703" i="6"/>
  <c r="E2703" i="6"/>
  <c r="G2703" i="6"/>
  <c r="F2704" i="6"/>
  <c r="E2704" i="6"/>
  <c r="G2704" i="6"/>
  <c r="F2705" i="6"/>
  <c r="E2705" i="6"/>
  <c r="G2705" i="6"/>
  <c r="F2706" i="6"/>
  <c r="E2706" i="6"/>
  <c r="G2706" i="6"/>
  <c r="F2707" i="6"/>
  <c r="E2707" i="6"/>
  <c r="G2707" i="6"/>
  <c r="F2708" i="6"/>
  <c r="E2708" i="6"/>
  <c r="G2708" i="6"/>
  <c r="F2709" i="6"/>
  <c r="E2709" i="6"/>
  <c r="G2709" i="6"/>
  <c r="F2710" i="6"/>
  <c r="E2710" i="6"/>
  <c r="G2710" i="6"/>
  <c r="F2711" i="6"/>
  <c r="E2711" i="6"/>
  <c r="G2711" i="6"/>
  <c r="F2712" i="6"/>
  <c r="E2712" i="6"/>
  <c r="G2712" i="6"/>
  <c r="F2713" i="6"/>
  <c r="E2713" i="6"/>
  <c r="G2713" i="6"/>
  <c r="F2714" i="6"/>
  <c r="E2714" i="6"/>
  <c r="G2714" i="6"/>
  <c r="F2715" i="6"/>
  <c r="E2715" i="6"/>
  <c r="G2715" i="6"/>
  <c r="F2716" i="6"/>
  <c r="E2716" i="6"/>
  <c r="G2716" i="6"/>
  <c r="F2717" i="6"/>
  <c r="E2717" i="6"/>
  <c r="G2717" i="6"/>
  <c r="F2718" i="6"/>
  <c r="E2718" i="6"/>
  <c r="G2718" i="6"/>
  <c r="F2719" i="6"/>
  <c r="E2719" i="6"/>
  <c r="G2719" i="6"/>
  <c r="F2720" i="6"/>
  <c r="E2720" i="6"/>
  <c r="G2720" i="6"/>
  <c r="F2721" i="6"/>
  <c r="E2721" i="6"/>
  <c r="G2721" i="6"/>
  <c r="F2722" i="6"/>
  <c r="E2722" i="6"/>
  <c r="G2722" i="6"/>
  <c r="F2723" i="6"/>
  <c r="E2723" i="6"/>
  <c r="G2723" i="6"/>
  <c r="F2724" i="6"/>
  <c r="E2724" i="6"/>
  <c r="G2724" i="6"/>
  <c r="F2725" i="6"/>
  <c r="E2725" i="6"/>
  <c r="G2725" i="6"/>
  <c r="F2726" i="6"/>
  <c r="E2726" i="6"/>
  <c r="G2726" i="6"/>
  <c r="F2727" i="6"/>
  <c r="E2727" i="6"/>
  <c r="G2727" i="6"/>
  <c r="F2728" i="6"/>
  <c r="E2728" i="6"/>
  <c r="G2728" i="6"/>
  <c r="F2729" i="6"/>
  <c r="E2729" i="6"/>
  <c r="G2729" i="6"/>
  <c r="F2730" i="6"/>
  <c r="E2730" i="6"/>
  <c r="G2730" i="6"/>
  <c r="F2731" i="6"/>
  <c r="E2731" i="6"/>
  <c r="G2731" i="6"/>
  <c r="F2732" i="6"/>
  <c r="E2732" i="6"/>
  <c r="G2732" i="6"/>
  <c r="F2733" i="6"/>
  <c r="E2733" i="6"/>
  <c r="G2733" i="6"/>
  <c r="F2734" i="6"/>
  <c r="E2734" i="6"/>
  <c r="G2734" i="6"/>
  <c r="F2735" i="6"/>
  <c r="E2735" i="6"/>
  <c r="G2735" i="6"/>
  <c r="F2736" i="6"/>
  <c r="E2736" i="6"/>
  <c r="G2736" i="6"/>
  <c r="F2737" i="6"/>
  <c r="E2737" i="6"/>
  <c r="G2737" i="6"/>
  <c r="F2738" i="6"/>
  <c r="E2738" i="6"/>
  <c r="G2738" i="6"/>
  <c r="F2739" i="6"/>
  <c r="E2739" i="6"/>
  <c r="G2739" i="6"/>
  <c r="F2740" i="6"/>
  <c r="E2740" i="6"/>
  <c r="G2740" i="6"/>
  <c r="F2741" i="6"/>
  <c r="E2741" i="6"/>
  <c r="G2741" i="6"/>
  <c r="F2742" i="6"/>
  <c r="E2742" i="6"/>
  <c r="G2742" i="6"/>
  <c r="F2743" i="6"/>
  <c r="E2743" i="6"/>
  <c r="G2743" i="6"/>
  <c r="F2744" i="6"/>
  <c r="E2744" i="6"/>
  <c r="G2744" i="6"/>
  <c r="F2745" i="6"/>
  <c r="E2745" i="6"/>
  <c r="G2745" i="6"/>
  <c r="F2746" i="6"/>
  <c r="E2746" i="6"/>
  <c r="G2746" i="6"/>
  <c r="F2747" i="6"/>
  <c r="E2747" i="6"/>
  <c r="G2747" i="6"/>
  <c r="F2748" i="6"/>
  <c r="E2748" i="6"/>
  <c r="G2748" i="6"/>
  <c r="F2749" i="6"/>
  <c r="E2749" i="6"/>
  <c r="G2749" i="6"/>
  <c r="F2750" i="6"/>
  <c r="E2750" i="6"/>
  <c r="G2750" i="6"/>
  <c r="F2751" i="6"/>
  <c r="E2751" i="6"/>
  <c r="G2751" i="6"/>
  <c r="F2752" i="6"/>
  <c r="E2752" i="6"/>
  <c r="G2752" i="6"/>
  <c r="F2753" i="6"/>
  <c r="E2753" i="6"/>
  <c r="G2753" i="6"/>
  <c r="F2754" i="6"/>
  <c r="E2754" i="6"/>
  <c r="G2754" i="6"/>
  <c r="F2755" i="6"/>
  <c r="E2755" i="6"/>
  <c r="G2755" i="6"/>
  <c r="F2756" i="6"/>
  <c r="E2756" i="6"/>
  <c r="G2756" i="6"/>
  <c r="F2757" i="6"/>
  <c r="E2757" i="6"/>
  <c r="G2757" i="6"/>
  <c r="F2758" i="6"/>
  <c r="E2758" i="6"/>
  <c r="G2758" i="6"/>
  <c r="F2759" i="6"/>
  <c r="E2759" i="6"/>
  <c r="G2759" i="6"/>
  <c r="F2760" i="6"/>
  <c r="E2760" i="6"/>
  <c r="G2760" i="6"/>
  <c r="F2761" i="6"/>
  <c r="E2761" i="6"/>
  <c r="G2761" i="6"/>
  <c r="F2762" i="6"/>
  <c r="E2762" i="6"/>
  <c r="G2762" i="6"/>
  <c r="F2763" i="6"/>
  <c r="E2763" i="6"/>
  <c r="G2763" i="6"/>
  <c r="F2764" i="6"/>
  <c r="E2764" i="6"/>
  <c r="G2764" i="6"/>
  <c r="F2765" i="6"/>
  <c r="E2765" i="6"/>
  <c r="G2765" i="6"/>
  <c r="F2766" i="6"/>
  <c r="E2766" i="6"/>
  <c r="G2766" i="6"/>
  <c r="F2767" i="6"/>
  <c r="E2767" i="6"/>
  <c r="G2767" i="6"/>
  <c r="F2768" i="6"/>
  <c r="E2768" i="6"/>
  <c r="G2768" i="6"/>
  <c r="F2769" i="6"/>
  <c r="E2769" i="6"/>
  <c r="G2769" i="6"/>
  <c r="F2770" i="6"/>
  <c r="E2770" i="6"/>
  <c r="G2770" i="6"/>
  <c r="F2771" i="6"/>
  <c r="E2771" i="6"/>
  <c r="G2771" i="6"/>
  <c r="F2772" i="6"/>
  <c r="E2772" i="6"/>
  <c r="G2772" i="6"/>
  <c r="F2773" i="6"/>
  <c r="E2773" i="6"/>
  <c r="G2773" i="6"/>
  <c r="F2774" i="6"/>
  <c r="E2774" i="6"/>
  <c r="G2774" i="6"/>
  <c r="F2775" i="6"/>
  <c r="E2775" i="6"/>
  <c r="G2775" i="6"/>
  <c r="F2776" i="6"/>
  <c r="E2776" i="6"/>
  <c r="G2776" i="6"/>
  <c r="F2777" i="6"/>
  <c r="E2777" i="6"/>
  <c r="G2777" i="6"/>
  <c r="F2778" i="6"/>
  <c r="E2778" i="6"/>
  <c r="G2778" i="6"/>
  <c r="F2779" i="6"/>
  <c r="E2779" i="6"/>
  <c r="G2779" i="6"/>
  <c r="F2780" i="6"/>
  <c r="E2780" i="6"/>
  <c r="G2780" i="6"/>
  <c r="F2781" i="6"/>
  <c r="E2781" i="6"/>
  <c r="G2781" i="6"/>
  <c r="F2782" i="6"/>
  <c r="E2782" i="6"/>
  <c r="G2782" i="6"/>
  <c r="F2783" i="6"/>
  <c r="E2783" i="6"/>
  <c r="G2783" i="6"/>
  <c r="F2784" i="6"/>
  <c r="E2784" i="6"/>
  <c r="G2784" i="6"/>
  <c r="F2785" i="6"/>
  <c r="E2785" i="6"/>
  <c r="G2785" i="6"/>
  <c r="F2786" i="6"/>
  <c r="E2786" i="6"/>
  <c r="G2786" i="6"/>
  <c r="F2787" i="6"/>
  <c r="E2787" i="6"/>
  <c r="G2787" i="6"/>
  <c r="F2788" i="6"/>
  <c r="E2788" i="6"/>
  <c r="G2788" i="6"/>
  <c r="F2789" i="6"/>
  <c r="E2789" i="6"/>
  <c r="G2789" i="6"/>
  <c r="F2790" i="6"/>
  <c r="E2790" i="6"/>
  <c r="G2790" i="6"/>
  <c r="F2791" i="6"/>
  <c r="E2791" i="6"/>
  <c r="G2791" i="6"/>
  <c r="F2792" i="6"/>
  <c r="E2792" i="6"/>
  <c r="G2792" i="6"/>
  <c r="F2793" i="6"/>
  <c r="E2793" i="6"/>
  <c r="G2793" i="6"/>
  <c r="F2794" i="6"/>
  <c r="E2794" i="6"/>
  <c r="G2794" i="6"/>
  <c r="F2795" i="6"/>
  <c r="E2795" i="6"/>
  <c r="G2795" i="6"/>
  <c r="F2796" i="6"/>
  <c r="E2796" i="6"/>
  <c r="G2796" i="6"/>
  <c r="F2797" i="6"/>
  <c r="E2797" i="6"/>
  <c r="G2797" i="6"/>
  <c r="F2798" i="6"/>
  <c r="E2798" i="6"/>
  <c r="G2798" i="6"/>
  <c r="F2799" i="6"/>
  <c r="E2799" i="6"/>
  <c r="G2799" i="6"/>
  <c r="F2800" i="6"/>
  <c r="E2800" i="6"/>
  <c r="G2800" i="6"/>
  <c r="F2801" i="6"/>
  <c r="E2801" i="6"/>
  <c r="G2801" i="6"/>
  <c r="F2802" i="6"/>
  <c r="E2802" i="6"/>
  <c r="G2802" i="6"/>
  <c r="F2803" i="6"/>
  <c r="E2803" i="6"/>
  <c r="G2803" i="6"/>
  <c r="F2804" i="6"/>
  <c r="E2804" i="6"/>
  <c r="G2804" i="6"/>
  <c r="F2805" i="6"/>
  <c r="E2805" i="6"/>
  <c r="G2805" i="6"/>
  <c r="F2806" i="6"/>
  <c r="E2806" i="6"/>
  <c r="G2806" i="6"/>
  <c r="F2807" i="6"/>
  <c r="E2807" i="6"/>
  <c r="G2807" i="6"/>
  <c r="F2808" i="6"/>
  <c r="E2808" i="6"/>
  <c r="G2808" i="6"/>
  <c r="F2809" i="6"/>
  <c r="E2809" i="6"/>
  <c r="G2809" i="6"/>
  <c r="F2810" i="6"/>
  <c r="E2810" i="6"/>
  <c r="G2810" i="6"/>
  <c r="F2811" i="6"/>
  <c r="E2811" i="6"/>
  <c r="G2811" i="6"/>
  <c r="F2812" i="6"/>
  <c r="E2812" i="6"/>
  <c r="G2812" i="6"/>
  <c r="F2813" i="6"/>
  <c r="E2813" i="6"/>
  <c r="G2813" i="6"/>
  <c r="F2814" i="6"/>
  <c r="E2814" i="6"/>
  <c r="G2814" i="6"/>
  <c r="F2815" i="6"/>
  <c r="E2815" i="6"/>
  <c r="G2815" i="6"/>
  <c r="F2816" i="6"/>
  <c r="E2816" i="6"/>
  <c r="G2816" i="6"/>
  <c r="F2817" i="6"/>
  <c r="E2817" i="6"/>
  <c r="G2817" i="6"/>
  <c r="F2818" i="6"/>
  <c r="E2818" i="6"/>
  <c r="G2818" i="6"/>
  <c r="F2819" i="6"/>
  <c r="E2819" i="6"/>
  <c r="G2819" i="6"/>
  <c r="F2820" i="6"/>
  <c r="E2820" i="6"/>
  <c r="G2820" i="6"/>
  <c r="F2821" i="6"/>
  <c r="E2821" i="6"/>
  <c r="G2821" i="6"/>
  <c r="F2822" i="6"/>
  <c r="E2822" i="6"/>
  <c r="G2822" i="6"/>
  <c r="F2823" i="6"/>
  <c r="E2823" i="6"/>
  <c r="G2823" i="6"/>
  <c r="F2824" i="6"/>
  <c r="E2824" i="6"/>
  <c r="G2824" i="6"/>
  <c r="F2825" i="6"/>
  <c r="E2825" i="6"/>
  <c r="G2825" i="6"/>
  <c r="F2826" i="6"/>
  <c r="E2826" i="6"/>
  <c r="G2826" i="6"/>
  <c r="F2827" i="6"/>
  <c r="E2827" i="6"/>
  <c r="G2827" i="6"/>
  <c r="F2828" i="6"/>
  <c r="E2828" i="6"/>
  <c r="G2828" i="6"/>
  <c r="F2829" i="6"/>
  <c r="E2829" i="6"/>
  <c r="G2829" i="6"/>
  <c r="F2830" i="6"/>
  <c r="E2830" i="6"/>
  <c r="G2830" i="6"/>
  <c r="F2831" i="6"/>
  <c r="E2831" i="6"/>
  <c r="G2831" i="6"/>
  <c r="F2832" i="6"/>
  <c r="E2832" i="6"/>
  <c r="G2832" i="6"/>
  <c r="F2833" i="6"/>
  <c r="E2833" i="6"/>
  <c r="G2833" i="6"/>
  <c r="F2834" i="6"/>
  <c r="E2834" i="6"/>
  <c r="G2834" i="6"/>
  <c r="F2835" i="6"/>
  <c r="E2835" i="6"/>
  <c r="G2835" i="6"/>
  <c r="F2836" i="6"/>
  <c r="E2836" i="6"/>
  <c r="G2836" i="6"/>
  <c r="F2837" i="6"/>
  <c r="E2837" i="6"/>
  <c r="G2837" i="6"/>
  <c r="F2838" i="6"/>
  <c r="E2838" i="6"/>
  <c r="G2838" i="6"/>
  <c r="F2839" i="6"/>
  <c r="E2839" i="6"/>
  <c r="G2839" i="6"/>
  <c r="F2840" i="6"/>
  <c r="E2840" i="6"/>
  <c r="G2840" i="6"/>
  <c r="F2841" i="6"/>
  <c r="E2841" i="6"/>
  <c r="G2841" i="6"/>
  <c r="F2842" i="6"/>
  <c r="E2842" i="6"/>
  <c r="G2842" i="6"/>
  <c r="F2843" i="6"/>
  <c r="E2843" i="6"/>
  <c r="G2843" i="6"/>
  <c r="F2844" i="6"/>
  <c r="E2844" i="6"/>
  <c r="G2844" i="6"/>
  <c r="F2845" i="6"/>
  <c r="E2845" i="6"/>
  <c r="G2845" i="6"/>
  <c r="F2846" i="6"/>
  <c r="E2846" i="6"/>
  <c r="G2846" i="6"/>
  <c r="F2847" i="6"/>
  <c r="E2847" i="6"/>
  <c r="G2847" i="6"/>
  <c r="F2848" i="6"/>
  <c r="E2848" i="6"/>
  <c r="G2848" i="6"/>
  <c r="F2849" i="6"/>
  <c r="E2849" i="6"/>
  <c r="G2849" i="6"/>
  <c r="F2850" i="6"/>
  <c r="E2850" i="6"/>
  <c r="G2850" i="6"/>
  <c r="F2851" i="6"/>
  <c r="E2851" i="6"/>
  <c r="G2851" i="6"/>
  <c r="F2852" i="6"/>
  <c r="E2852" i="6"/>
  <c r="G2852" i="6"/>
  <c r="F2853" i="6"/>
  <c r="E2853" i="6"/>
  <c r="G2853" i="6"/>
  <c r="F2854" i="6"/>
  <c r="E2854" i="6"/>
  <c r="G2854" i="6"/>
  <c r="F2855" i="6"/>
  <c r="E2855" i="6"/>
  <c r="G2855" i="6"/>
  <c r="F2856" i="6"/>
  <c r="E2856" i="6"/>
  <c r="G2856" i="6"/>
  <c r="F2857" i="6"/>
  <c r="E2857" i="6"/>
  <c r="G2857" i="6"/>
  <c r="F2858" i="6"/>
  <c r="E2858" i="6"/>
  <c r="G2858" i="6"/>
  <c r="F2859" i="6"/>
  <c r="E2859" i="6"/>
  <c r="G2859" i="6"/>
  <c r="F2860" i="6"/>
  <c r="E2860" i="6"/>
  <c r="G2860" i="6"/>
  <c r="F2861" i="6"/>
  <c r="E2861" i="6"/>
  <c r="G2861" i="6"/>
  <c r="F2862" i="6"/>
  <c r="E2862" i="6"/>
  <c r="G2862" i="6"/>
  <c r="F2863" i="6"/>
  <c r="E2863" i="6"/>
  <c r="G2863" i="6"/>
  <c r="F2864" i="6"/>
  <c r="E2864" i="6"/>
  <c r="G2864" i="6"/>
  <c r="F2865" i="6"/>
  <c r="E2865" i="6"/>
  <c r="G2865" i="6"/>
  <c r="F2866" i="6"/>
  <c r="E2866" i="6"/>
  <c r="G2866" i="6"/>
  <c r="F2867" i="6"/>
  <c r="E2867" i="6"/>
  <c r="G2867" i="6"/>
  <c r="F2868" i="6"/>
  <c r="E2868" i="6"/>
  <c r="G2868" i="6"/>
  <c r="F2869" i="6"/>
  <c r="E2869" i="6"/>
  <c r="G2869" i="6"/>
  <c r="F2870" i="6"/>
  <c r="E2870" i="6"/>
  <c r="G2870" i="6"/>
  <c r="F2871" i="6"/>
  <c r="E2871" i="6"/>
  <c r="G2871" i="6"/>
  <c r="F2872" i="6"/>
  <c r="E2872" i="6"/>
  <c r="G2872" i="6"/>
  <c r="F2873" i="6"/>
  <c r="E2873" i="6"/>
  <c r="G2873" i="6"/>
  <c r="F2874" i="6"/>
  <c r="E2874" i="6"/>
  <c r="G2874" i="6"/>
  <c r="F2875" i="6"/>
  <c r="E2875" i="6"/>
  <c r="G2875" i="6"/>
  <c r="F2876" i="6"/>
  <c r="E2876" i="6"/>
  <c r="G2876" i="6"/>
  <c r="F2877" i="6"/>
  <c r="E2877" i="6"/>
  <c r="G2877" i="6"/>
  <c r="F2878" i="6"/>
  <c r="E2878" i="6"/>
  <c r="G2878" i="6"/>
  <c r="F2879" i="6"/>
  <c r="E2879" i="6"/>
  <c r="G2879" i="6"/>
  <c r="F2880" i="6"/>
  <c r="E2880" i="6"/>
  <c r="G2880" i="6"/>
  <c r="F2881" i="6"/>
  <c r="E2881" i="6"/>
  <c r="G2881" i="6"/>
  <c r="F2882" i="6"/>
  <c r="E2882" i="6"/>
  <c r="G2882" i="6"/>
  <c r="F2883" i="6"/>
  <c r="E2883" i="6"/>
  <c r="G2883" i="6"/>
  <c r="F2884" i="6"/>
  <c r="E2884" i="6"/>
  <c r="G2884" i="6"/>
  <c r="F2885" i="6"/>
  <c r="E2885" i="6"/>
  <c r="G2885" i="6"/>
  <c r="F2886" i="6"/>
  <c r="E2886" i="6"/>
  <c r="G2886" i="6"/>
  <c r="F2887" i="6"/>
  <c r="E2887" i="6"/>
  <c r="G2887" i="6"/>
  <c r="F2888" i="6"/>
  <c r="E2888" i="6"/>
  <c r="G2888" i="6"/>
  <c r="F2889" i="6"/>
  <c r="E2889" i="6"/>
  <c r="G2889" i="6"/>
  <c r="F2890" i="6"/>
  <c r="E2890" i="6"/>
  <c r="G2890" i="6"/>
  <c r="F2891" i="6"/>
  <c r="E2891" i="6"/>
  <c r="G2891" i="6"/>
  <c r="F2892" i="6"/>
  <c r="E2892" i="6"/>
  <c r="G2892" i="6"/>
  <c r="F2893" i="6"/>
  <c r="E2893" i="6"/>
  <c r="G2893" i="6"/>
  <c r="F2894" i="6"/>
  <c r="E2894" i="6"/>
  <c r="G2894" i="6"/>
  <c r="F2895" i="6"/>
  <c r="E2895" i="6"/>
  <c r="G2895" i="6"/>
  <c r="F2896" i="6"/>
  <c r="E2896" i="6"/>
  <c r="G2896" i="6"/>
  <c r="F2897" i="6"/>
  <c r="E2897" i="6"/>
  <c r="G2897" i="6"/>
  <c r="F2898" i="6"/>
  <c r="E2898" i="6"/>
  <c r="G2898" i="6"/>
  <c r="F2899" i="6"/>
  <c r="E2899" i="6"/>
  <c r="G2899" i="6"/>
  <c r="F2900" i="6"/>
  <c r="E2900" i="6"/>
  <c r="G2900" i="6"/>
  <c r="F2901" i="6"/>
  <c r="E2901" i="6"/>
  <c r="G2901" i="6"/>
  <c r="F2902" i="6"/>
  <c r="E2902" i="6"/>
  <c r="G2902" i="6"/>
  <c r="F2903" i="6"/>
  <c r="E2903" i="6"/>
  <c r="G2903" i="6"/>
  <c r="F2904" i="6"/>
  <c r="E2904" i="6"/>
  <c r="G2904" i="6"/>
  <c r="F2905" i="6"/>
  <c r="E2905" i="6"/>
  <c r="G2905" i="6"/>
  <c r="F2906" i="6"/>
  <c r="E2906" i="6"/>
  <c r="G2906" i="6"/>
  <c r="F2907" i="6"/>
  <c r="E2907" i="6"/>
  <c r="G2907" i="6"/>
  <c r="F2908" i="6"/>
  <c r="E2908" i="6"/>
  <c r="G2908" i="6"/>
  <c r="F2909" i="6"/>
  <c r="E2909" i="6"/>
  <c r="G2909" i="6"/>
  <c r="F2910" i="6"/>
  <c r="E2910" i="6"/>
  <c r="G2910" i="6"/>
  <c r="F2911" i="6"/>
  <c r="E2911" i="6"/>
  <c r="G2911" i="6"/>
  <c r="F2912" i="6"/>
  <c r="E2912" i="6"/>
  <c r="G2912" i="6"/>
  <c r="F2913" i="6"/>
  <c r="E2913" i="6"/>
  <c r="G2913" i="6"/>
  <c r="F2914" i="6"/>
  <c r="E2914" i="6"/>
  <c r="G2914" i="6"/>
  <c r="F2915" i="6"/>
  <c r="E2915" i="6"/>
  <c r="G2915" i="6"/>
  <c r="F2916" i="6"/>
  <c r="E2916" i="6"/>
  <c r="G2916" i="6"/>
  <c r="F2917" i="6"/>
  <c r="E2917" i="6"/>
  <c r="G2917" i="6"/>
  <c r="F2918" i="6"/>
  <c r="E2918" i="6"/>
  <c r="G2918" i="6"/>
  <c r="F2919" i="6"/>
  <c r="E2919" i="6"/>
  <c r="G2919" i="6"/>
  <c r="F2920" i="6"/>
  <c r="E2920" i="6"/>
  <c r="G2920" i="6"/>
  <c r="F2921" i="6"/>
  <c r="E2921" i="6"/>
  <c r="G2921" i="6"/>
  <c r="F2922" i="6"/>
  <c r="E2922" i="6"/>
  <c r="G2922" i="6"/>
  <c r="F2923" i="6"/>
  <c r="E2923" i="6"/>
  <c r="G2923" i="6"/>
  <c r="F2924" i="6"/>
  <c r="E2924" i="6"/>
  <c r="G2924" i="6"/>
  <c r="F2925" i="6"/>
  <c r="E2925" i="6"/>
  <c r="G2925" i="6"/>
  <c r="F2926" i="6"/>
  <c r="E2926" i="6"/>
  <c r="G2926" i="6"/>
  <c r="F2927" i="6"/>
  <c r="E2927" i="6"/>
  <c r="G2927" i="6"/>
  <c r="F2928" i="6"/>
  <c r="E2928" i="6"/>
  <c r="G2928" i="6"/>
  <c r="F2929" i="6"/>
  <c r="E2929" i="6"/>
  <c r="G2929" i="6"/>
  <c r="F2930" i="6"/>
  <c r="E2930" i="6"/>
  <c r="G2930" i="6"/>
  <c r="F2931" i="6"/>
  <c r="E2931" i="6"/>
  <c r="G2931" i="6"/>
  <c r="F2932" i="6"/>
  <c r="E2932" i="6"/>
  <c r="G2932" i="6"/>
  <c r="F2933" i="6"/>
  <c r="E2933" i="6"/>
  <c r="G2933" i="6"/>
  <c r="F2934" i="6"/>
  <c r="E2934" i="6"/>
  <c r="G2934" i="6"/>
  <c r="F2935" i="6"/>
  <c r="E2935" i="6"/>
  <c r="G2935" i="6"/>
  <c r="F2936" i="6"/>
  <c r="E2936" i="6"/>
  <c r="G2936" i="6"/>
  <c r="F2937" i="6"/>
  <c r="E2937" i="6"/>
  <c r="G2937" i="6"/>
  <c r="F2938" i="6"/>
  <c r="E2938" i="6"/>
  <c r="G2938" i="6"/>
  <c r="F2939" i="6"/>
  <c r="E2939" i="6"/>
  <c r="G2939" i="6"/>
  <c r="F2940" i="6"/>
  <c r="E2940" i="6"/>
  <c r="G2940" i="6"/>
  <c r="F2941" i="6"/>
  <c r="E2941" i="6"/>
  <c r="G2941" i="6"/>
  <c r="F2942" i="6"/>
  <c r="E2942" i="6"/>
  <c r="G2942" i="6"/>
  <c r="F2943" i="6"/>
  <c r="E2943" i="6"/>
  <c r="G2943" i="6"/>
  <c r="F2944" i="6"/>
  <c r="E2944" i="6"/>
  <c r="G2944" i="6"/>
  <c r="F2945" i="6"/>
  <c r="E2945" i="6"/>
  <c r="G2945" i="6"/>
  <c r="F2946" i="6"/>
  <c r="E2946" i="6"/>
  <c r="G2946" i="6"/>
  <c r="F2947" i="6"/>
  <c r="E2947" i="6"/>
  <c r="G2947" i="6"/>
  <c r="F2948" i="6"/>
  <c r="E2948" i="6"/>
  <c r="G2948" i="6"/>
  <c r="F2949" i="6"/>
  <c r="E2949" i="6"/>
  <c r="G2949" i="6"/>
  <c r="F2950" i="6"/>
  <c r="E2950" i="6"/>
  <c r="G2950" i="6"/>
  <c r="F2951" i="6"/>
  <c r="E2951" i="6"/>
  <c r="G2951" i="6"/>
  <c r="F2952" i="6"/>
  <c r="E2952" i="6"/>
  <c r="G2952" i="6"/>
  <c r="F2953" i="6"/>
  <c r="E2953" i="6"/>
  <c r="G2953" i="6"/>
  <c r="F2954" i="6"/>
  <c r="E2954" i="6"/>
  <c r="G2954" i="6"/>
  <c r="F2955" i="6"/>
  <c r="E2955" i="6"/>
  <c r="G2955" i="6"/>
  <c r="F2956" i="6"/>
  <c r="E2956" i="6"/>
  <c r="G2956" i="6"/>
  <c r="F2957" i="6"/>
  <c r="E2957" i="6"/>
  <c r="G2957" i="6"/>
  <c r="F2958" i="6"/>
  <c r="E2958" i="6"/>
  <c r="G2958" i="6"/>
  <c r="F2959" i="6"/>
  <c r="E2959" i="6"/>
  <c r="G2959" i="6"/>
  <c r="F2960" i="6"/>
  <c r="E2960" i="6"/>
  <c r="G2960" i="6"/>
  <c r="F2961" i="6"/>
  <c r="E2961" i="6"/>
  <c r="G2961" i="6"/>
  <c r="F2962" i="6"/>
  <c r="E2962" i="6"/>
  <c r="G2962" i="6"/>
  <c r="F2963" i="6"/>
  <c r="E2963" i="6"/>
  <c r="G2963" i="6"/>
  <c r="F2964" i="6"/>
  <c r="E2964" i="6"/>
  <c r="G2964" i="6"/>
  <c r="F2965" i="6"/>
  <c r="E2965" i="6"/>
  <c r="G2965" i="6"/>
  <c r="F2966" i="6"/>
  <c r="E2966" i="6"/>
  <c r="G2966" i="6"/>
  <c r="F2967" i="6"/>
  <c r="E2967" i="6"/>
  <c r="G2967" i="6"/>
  <c r="F2968" i="6"/>
  <c r="E2968" i="6"/>
  <c r="G2968" i="6"/>
  <c r="F2969" i="6"/>
  <c r="E2969" i="6"/>
  <c r="G2969" i="6"/>
  <c r="F2970" i="6"/>
  <c r="E2970" i="6"/>
  <c r="G2970" i="6"/>
  <c r="F2971" i="6"/>
  <c r="E2971" i="6"/>
  <c r="G2971" i="6"/>
  <c r="F2972" i="6"/>
  <c r="E2972" i="6"/>
  <c r="G2972" i="6"/>
  <c r="F2973" i="6"/>
  <c r="E2973" i="6"/>
  <c r="G2973" i="6"/>
  <c r="F2974" i="6"/>
  <c r="E2974" i="6"/>
  <c r="G2974" i="6"/>
  <c r="F2975" i="6"/>
  <c r="E2975" i="6"/>
  <c r="G2975" i="6"/>
  <c r="F2976" i="6"/>
  <c r="E2976" i="6"/>
  <c r="G2976" i="6"/>
  <c r="F2977" i="6"/>
  <c r="E2977" i="6"/>
  <c r="G2977" i="6"/>
  <c r="F2978" i="6"/>
  <c r="E2978" i="6"/>
  <c r="G2978" i="6"/>
  <c r="F2979" i="6"/>
  <c r="E2979" i="6"/>
  <c r="G2979" i="6"/>
  <c r="F2980" i="6"/>
  <c r="E2980" i="6"/>
  <c r="G2980" i="6"/>
  <c r="F2981" i="6"/>
  <c r="E2981" i="6"/>
  <c r="G2981" i="6"/>
  <c r="F2982" i="6"/>
  <c r="E2982" i="6"/>
  <c r="G2982" i="6"/>
  <c r="F2983" i="6"/>
  <c r="E2983" i="6"/>
  <c r="G2983" i="6"/>
  <c r="F2984" i="6"/>
  <c r="E2984" i="6"/>
  <c r="G2984" i="6"/>
  <c r="F2985" i="6"/>
  <c r="E2985" i="6"/>
  <c r="G2985" i="6"/>
  <c r="F2986" i="6"/>
  <c r="E2986" i="6"/>
  <c r="G2986" i="6"/>
  <c r="F2987" i="6"/>
  <c r="E2987" i="6"/>
  <c r="G2987" i="6"/>
  <c r="F2988" i="6"/>
  <c r="E2988" i="6"/>
  <c r="G2988" i="6"/>
  <c r="F2989" i="6"/>
  <c r="E2989" i="6"/>
  <c r="G2989" i="6"/>
  <c r="F2990" i="6"/>
  <c r="E2990" i="6"/>
  <c r="G2990" i="6"/>
  <c r="F2991" i="6"/>
  <c r="E2991" i="6"/>
  <c r="G2991" i="6"/>
  <c r="F2992" i="6"/>
  <c r="E2992" i="6"/>
  <c r="G2992" i="6"/>
  <c r="F2993" i="6"/>
  <c r="E2993" i="6"/>
  <c r="G2993" i="6"/>
  <c r="F2994" i="6"/>
  <c r="E2994" i="6"/>
  <c r="G2994" i="6"/>
  <c r="F2995" i="6"/>
  <c r="E2995" i="6"/>
  <c r="G2995" i="6"/>
  <c r="F2996" i="6"/>
  <c r="E2996" i="6"/>
  <c r="G2996" i="6"/>
  <c r="F2997" i="6"/>
  <c r="E2997" i="6"/>
  <c r="G2997" i="6"/>
  <c r="F2998" i="6"/>
  <c r="E2998" i="6"/>
  <c r="G2998" i="6"/>
  <c r="F2999" i="6"/>
  <c r="E2999" i="6"/>
  <c r="G2999" i="6"/>
  <c r="F3000" i="6"/>
  <c r="E3000" i="6"/>
  <c r="G3000" i="6"/>
  <c r="F3001" i="6"/>
  <c r="E3001" i="6"/>
  <c r="G3001" i="6"/>
  <c r="F3002" i="6"/>
  <c r="E3002" i="6"/>
  <c r="G3002" i="6"/>
  <c r="F3003" i="6"/>
  <c r="E3003" i="6"/>
  <c r="G3003" i="6"/>
  <c r="F3004" i="6"/>
  <c r="E3004" i="6"/>
  <c r="G3004" i="6"/>
  <c r="F3005" i="6"/>
  <c r="E3005" i="6"/>
  <c r="G3005" i="6"/>
  <c r="F3006" i="6"/>
  <c r="E3006" i="6"/>
  <c r="G3006" i="6"/>
  <c r="F3007" i="6"/>
  <c r="E3007" i="6"/>
  <c r="G3007" i="6"/>
  <c r="F3008" i="6"/>
  <c r="E3008" i="6"/>
  <c r="G3008" i="6"/>
  <c r="F3009" i="6"/>
  <c r="E3009" i="6"/>
  <c r="G3009" i="6"/>
  <c r="F3010" i="6"/>
  <c r="E3010" i="6"/>
  <c r="G3010" i="6"/>
  <c r="F3011" i="6"/>
  <c r="E3011" i="6"/>
  <c r="G3011" i="6"/>
  <c r="F3012" i="6"/>
  <c r="E3012" i="6"/>
  <c r="G3012" i="6"/>
  <c r="F3013" i="6"/>
  <c r="E3013" i="6"/>
  <c r="G3013" i="6"/>
  <c r="F3014" i="6"/>
  <c r="E3014" i="6"/>
  <c r="G3014" i="6"/>
  <c r="F3015" i="6"/>
  <c r="E3015" i="6"/>
  <c r="G3015" i="6"/>
  <c r="F3016" i="6"/>
  <c r="E3016" i="6"/>
  <c r="G3016" i="6"/>
  <c r="F3017" i="6"/>
  <c r="E3017" i="6"/>
  <c r="G3017" i="6"/>
  <c r="F3018" i="6"/>
  <c r="E3018" i="6"/>
  <c r="G3018" i="6"/>
  <c r="F3019" i="6"/>
  <c r="E3019" i="6"/>
  <c r="G3019" i="6"/>
  <c r="F3020" i="6"/>
  <c r="E3020" i="6"/>
  <c r="G3020" i="6"/>
  <c r="F3021" i="6"/>
  <c r="E3021" i="6"/>
  <c r="G3021" i="6"/>
  <c r="F3022" i="6"/>
  <c r="E3022" i="6"/>
  <c r="G3022" i="6"/>
  <c r="F3023" i="6"/>
  <c r="E3023" i="6"/>
  <c r="G3023" i="6"/>
  <c r="F3024" i="6"/>
  <c r="E3024" i="6"/>
  <c r="G3024" i="6"/>
  <c r="F3025" i="6"/>
  <c r="E3025" i="6"/>
  <c r="G3025" i="6"/>
  <c r="F3026" i="6"/>
  <c r="E3026" i="6"/>
  <c r="G3026" i="6"/>
  <c r="F3027" i="6"/>
  <c r="E3027" i="6"/>
  <c r="G3027" i="6"/>
  <c r="F3028" i="6"/>
  <c r="E3028" i="6"/>
  <c r="G3028" i="6"/>
  <c r="F3029" i="6"/>
  <c r="E3029" i="6"/>
  <c r="G3029" i="6"/>
  <c r="F3030" i="6"/>
  <c r="E3030" i="6"/>
  <c r="G3030" i="6"/>
  <c r="F3031" i="6"/>
  <c r="E3031" i="6"/>
  <c r="G3031" i="6"/>
  <c r="F3032" i="6"/>
  <c r="E3032" i="6"/>
  <c r="G3032" i="6"/>
  <c r="F3033" i="6"/>
  <c r="E3033" i="6"/>
  <c r="G3033" i="6"/>
  <c r="F3034" i="6"/>
  <c r="E3034" i="6"/>
  <c r="G3034" i="6"/>
  <c r="F3035" i="6"/>
  <c r="E3035" i="6"/>
  <c r="G3035" i="6"/>
  <c r="F3036" i="6"/>
  <c r="E3036" i="6"/>
  <c r="G3036" i="6"/>
  <c r="F3037" i="6"/>
  <c r="E3037" i="6"/>
  <c r="G3037" i="6"/>
  <c r="F3038" i="6"/>
  <c r="E3038" i="6"/>
  <c r="G3038" i="6"/>
  <c r="F3039" i="6"/>
  <c r="E3039" i="6"/>
  <c r="G3039" i="6"/>
  <c r="F3040" i="6"/>
  <c r="E3040" i="6"/>
  <c r="G3040" i="6"/>
  <c r="F3041" i="6"/>
  <c r="E3041" i="6"/>
  <c r="G3041" i="6"/>
  <c r="F3042" i="6"/>
  <c r="E3042" i="6"/>
  <c r="G3042" i="6"/>
  <c r="F3043" i="6"/>
  <c r="E3043" i="6"/>
  <c r="G3043" i="6"/>
  <c r="F3044" i="6"/>
  <c r="E3044" i="6"/>
  <c r="G3044" i="6"/>
  <c r="F3045" i="6"/>
  <c r="E3045" i="6"/>
  <c r="G3045" i="6"/>
  <c r="F3046" i="6"/>
  <c r="E3046" i="6"/>
  <c r="G3046" i="6"/>
  <c r="F3047" i="6"/>
  <c r="E3047" i="6"/>
  <c r="G3047" i="6"/>
  <c r="F3048" i="6"/>
  <c r="E3048" i="6"/>
  <c r="G3048" i="6"/>
  <c r="F3049" i="6"/>
  <c r="E3049" i="6"/>
  <c r="G3049" i="6"/>
  <c r="F3050" i="6"/>
  <c r="E3050" i="6"/>
  <c r="G3050" i="6"/>
  <c r="F3051" i="6"/>
  <c r="E3051" i="6"/>
  <c r="G3051" i="6"/>
  <c r="F3052" i="6"/>
  <c r="E3052" i="6"/>
  <c r="G3052" i="6"/>
  <c r="F3053" i="6"/>
  <c r="E3053" i="6"/>
  <c r="G3053" i="6"/>
  <c r="F3054" i="6"/>
  <c r="E3054" i="6"/>
  <c r="G3054" i="6"/>
  <c r="F3055" i="6"/>
  <c r="E3055" i="6"/>
  <c r="G3055" i="6"/>
  <c r="F3056" i="6"/>
  <c r="E3056" i="6"/>
  <c r="G3056" i="6"/>
  <c r="F3057" i="6"/>
  <c r="E3057" i="6"/>
  <c r="G3057" i="6"/>
  <c r="F3058" i="6"/>
  <c r="E3058" i="6"/>
  <c r="G3058" i="6"/>
  <c r="F3059" i="6"/>
  <c r="E3059" i="6"/>
  <c r="G3059" i="6"/>
  <c r="F3060" i="6"/>
  <c r="E3060" i="6"/>
  <c r="G3060" i="6"/>
  <c r="F3061" i="6"/>
  <c r="E3061" i="6"/>
  <c r="G3061" i="6"/>
  <c r="F3062" i="6"/>
  <c r="E3062" i="6"/>
  <c r="G3062" i="6"/>
  <c r="F3063" i="6"/>
  <c r="E3063" i="6"/>
  <c r="G3063" i="6"/>
  <c r="F3064" i="6"/>
  <c r="E3064" i="6"/>
  <c r="G3064" i="6"/>
  <c r="F3065" i="6"/>
  <c r="E3065" i="6"/>
  <c r="G3065" i="6"/>
  <c r="F3066" i="6"/>
  <c r="E3066" i="6"/>
  <c r="G3066" i="6"/>
  <c r="F3067" i="6"/>
  <c r="E3067" i="6"/>
  <c r="G3067" i="6"/>
  <c r="F3068" i="6"/>
  <c r="E3068" i="6"/>
  <c r="G3068" i="6"/>
  <c r="F3069" i="6"/>
  <c r="E3069" i="6"/>
  <c r="G3069" i="6"/>
  <c r="F3070" i="6"/>
  <c r="E3070" i="6"/>
  <c r="G3070" i="6"/>
  <c r="F3071" i="6"/>
  <c r="E3071" i="6"/>
  <c r="G3071" i="6"/>
  <c r="F3072" i="6"/>
  <c r="E3072" i="6"/>
  <c r="G3072" i="6"/>
  <c r="F3073" i="6"/>
  <c r="E3073" i="6"/>
  <c r="G3073" i="6"/>
  <c r="F3074" i="6"/>
  <c r="E3074" i="6"/>
  <c r="G3074" i="6"/>
  <c r="F3075" i="6"/>
  <c r="E3075" i="6"/>
  <c r="G3075" i="6"/>
  <c r="F3076" i="6"/>
  <c r="E3076" i="6"/>
  <c r="G3076" i="6"/>
  <c r="F3077" i="6"/>
  <c r="E3077" i="6"/>
  <c r="G3077" i="6"/>
  <c r="F3078" i="6"/>
  <c r="E3078" i="6"/>
  <c r="G3078" i="6"/>
  <c r="F3079" i="6"/>
  <c r="E3079" i="6"/>
  <c r="G3079" i="6"/>
  <c r="F3080" i="6"/>
  <c r="E3080" i="6"/>
  <c r="G3080" i="6"/>
  <c r="F3081" i="6"/>
  <c r="E3081" i="6"/>
  <c r="G3081" i="6"/>
  <c r="F3082" i="6"/>
  <c r="E3082" i="6"/>
  <c r="G3082" i="6"/>
  <c r="F3083" i="6"/>
  <c r="E3083" i="6"/>
  <c r="G3083" i="6"/>
  <c r="F3084" i="6"/>
  <c r="E3084" i="6"/>
  <c r="G3084" i="6"/>
  <c r="F3085" i="6"/>
  <c r="E3085" i="6"/>
  <c r="G3085" i="6"/>
  <c r="F3086" i="6"/>
  <c r="E3086" i="6"/>
  <c r="G3086" i="6"/>
  <c r="F3087" i="6"/>
  <c r="E3087" i="6"/>
  <c r="G3087" i="6"/>
  <c r="F3088" i="6"/>
  <c r="E3088" i="6"/>
  <c r="G3088" i="6"/>
  <c r="F3089" i="6"/>
  <c r="E3089" i="6"/>
  <c r="G3089" i="6"/>
  <c r="F3090" i="6"/>
  <c r="E3090" i="6"/>
  <c r="G3090" i="6"/>
  <c r="F3091" i="6"/>
  <c r="E3091" i="6"/>
  <c r="G3091" i="6"/>
  <c r="F3092" i="6"/>
  <c r="E3092" i="6"/>
  <c r="G3092" i="6"/>
  <c r="F3093" i="6"/>
  <c r="E3093" i="6"/>
  <c r="G3093" i="6"/>
  <c r="F3094" i="6"/>
  <c r="E3094" i="6"/>
  <c r="G3094" i="6"/>
  <c r="F3095" i="6"/>
  <c r="E3095" i="6"/>
  <c r="G3095" i="6"/>
  <c r="F3096" i="6"/>
  <c r="E3096" i="6"/>
  <c r="G3096" i="6"/>
  <c r="F3097" i="6"/>
  <c r="E3097" i="6"/>
  <c r="G3097" i="6"/>
  <c r="F3098" i="6"/>
  <c r="E3098" i="6"/>
  <c r="G3098" i="6"/>
  <c r="F3099" i="6"/>
  <c r="E3099" i="6"/>
  <c r="G3099" i="6"/>
  <c r="F3100" i="6"/>
  <c r="E3100" i="6"/>
  <c r="G3100" i="6"/>
  <c r="F3101" i="6"/>
  <c r="E3101" i="6"/>
  <c r="G3101" i="6"/>
  <c r="F3102" i="6"/>
  <c r="E3102" i="6"/>
  <c r="G3102" i="6"/>
  <c r="F3103" i="6"/>
  <c r="E3103" i="6"/>
  <c r="G3103" i="6"/>
  <c r="F3104" i="6"/>
  <c r="E3104" i="6"/>
  <c r="G3104" i="6"/>
  <c r="F3105" i="6"/>
  <c r="E3105" i="6"/>
  <c r="G3105" i="6"/>
  <c r="F3106" i="6"/>
  <c r="E3106" i="6"/>
  <c r="G3106" i="6"/>
  <c r="F3107" i="6"/>
  <c r="E3107" i="6"/>
  <c r="G3107" i="6"/>
  <c r="F3108" i="6"/>
  <c r="E3108" i="6"/>
  <c r="G3108" i="6"/>
  <c r="F3109" i="6"/>
  <c r="E3109" i="6"/>
  <c r="G3109" i="6"/>
  <c r="F3110" i="6"/>
  <c r="E3110" i="6"/>
  <c r="G3110" i="6"/>
  <c r="F3111" i="6"/>
  <c r="E3111" i="6"/>
  <c r="G3111" i="6"/>
  <c r="F3112" i="6"/>
  <c r="E3112" i="6"/>
  <c r="G3112" i="6"/>
  <c r="F3113" i="6"/>
  <c r="E3113" i="6"/>
  <c r="G3113" i="6"/>
  <c r="F3114" i="6"/>
  <c r="E3114" i="6"/>
  <c r="G3114" i="6"/>
  <c r="F3115" i="6"/>
  <c r="E3115" i="6"/>
  <c r="G3115" i="6"/>
  <c r="F3116" i="6"/>
  <c r="E3116" i="6"/>
  <c r="G3116" i="6"/>
  <c r="F3117" i="6"/>
  <c r="E3117" i="6"/>
  <c r="G3117" i="6"/>
  <c r="F3118" i="6"/>
  <c r="E3118" i="6"/>
  <c r="G3118" i="6"/>
  <c r="F3119" i="6"/>
  <c r="E3119" i="6"/>
  <c r="G3119" i="6"/>
  <c r="F3120" i="6"/>
  <c r="E3120" i="6"/>
  <c r="G3120" i="6"/>
  <c r="F3121" i="6"/>
  <c r="E3121" i="6"/>
  <c r="G3121" i="6"/>
  <c r="F3122" i="6"/>
  <c r="E3122" i="6"/>
  <c r="G3122" i="6"/>
  <c r="F3123" i="6"/>
  <c r="E3123" i="6"/>
  <c r="G3123" i="6"/>
  <c r="F3124" i="6"/>
  <c r="E3124" i="6"/>
  <c r="G3124" i="6"/>
  <c r="F3125" i="6"/>
  <c r="E3125" i="6"/>
  <c r="G3125" i="6"/>
  <c r="F3126" i="6"/>
  <c r="E3126" i="6"/>
  <c r="G3126" i="6"/>
  <c r="F3127" i="6"/>
  <c r="E3127" i="6"/>
  <c r="G3127" i="6"/>
  <c r="F3128" i="6"/>
  <c r="E3128" i="6"/>
  <c r="G3128" i="6"/>
  <c r="F3129" i="6"/>
  <c r="E3129" i="6"/>
  <c r="G3129" i="6"/>
  <c r="F3130" i="6"/>
  <c r="E3130" i="6"/>
  <c r="G3130" i="6"/>
  <c r="F3131" i="6"/>
  <c r="E3131" i="6"/>
  <c r="G3131" i="6"/>
  <c r="F3132" i="6"/>
  <c r="E3132" i="6"/>
  <c r="G3132" i="6"/>
  <c r="F3133" i="6"/>
  <c r="E3133" i="6"/>
  <c r="G3133" i="6"/>
  <c r="F3134" i="6"/>
  <c r="E3134" i="6"/>
  <c r="G3134" i="6"/>
  <c r="F3135" i="6"/>
  <c r="E3135" i="6"/>
  <c r="G3135" i="6"/>
  <c r="F3136" i="6"/>
  <c r="E3136" i="6"/>
  <c r="G3136" i="6"/>
  <c r="F3137" i="6"/>
  <c r="E3137" i="6"/>
  <c r="G3137" i="6"/>
  <c r="F3138" i="6"/>
  <c r="E3138" i="6"/>
  <c r="G3138" i="6"/>
  <c r="F3139" i="6"/>
  <c r="E3139" i="6"/>
  <c r="G3139" i="6"/>
  <c r="F3140" i="6"/>
  <c r="E3140" i="6"/>
  <c r="G3140" i="6"/>
  <c r="F3141" i="6"/>
  <c r="E3141" i="6"/>
  <c r="G3141" i="6"/>
  <c r="F3142" i="6"/>
  <c r="E3142" i="6"/>
  <c r="G3142" i="6"/>
  <c r="F3143" i="6"/>
  <c r="E3143" i="6"/>
  <c r="G3143" i="6"/>
  <c r="F3144" i="6"/>
  <c r="E3144" i="6"/>
  <c r="G3144" i="6"/>
  <c r="F3145" i="6"/>
  <c r="E3145" i="6"/>
  <c r="G3145" i="6"/>
  <c r="F3146" i="6"/>
  <c r="E3146" i="6"/>
  <c r="G3146" i="6"/>
  <c r="F3147" i="6"/>
  <c r="E3147" i="6"/>
  <c r="G3147" i="6"/>
  <c r="F3148" i="6"/>
  <c r="E3148" i="6"/>
  <c r="G3148" i="6"/>
  <c r="F3149" i="6"/>
  <c r="E3149" i="6"/>
  <c r="G3149" i="6"/>
  <c r="F3150" i="6"/>
  <c r="E3150" i="6"/>
  <c r="G3150" i="6"/>
  <c r="F3151" i="6"/>
  <c r="E3151" i="6"/>
  <c r="G3151" i="6"/>
  <c r="F3152" i="6"/>
  <c r="E3152" i="6"/>
  <c r="G3152" i="6"/>
  <c r="F3153" i="6"/>
  <c r="E3153" i="6"/>
  <c r="G3153" i="6"/>
  <c r="F3154" i="6"/>
  <c r="E3154" i="6"/>
  <c r="G3154" i="6"/>
  <c r="F3155" i="6"/>
  <c r="E3155" i="6"/>
  <c r="G3155" i="6"/>
  <c r="F3156" i="6"/>
  <c r="E3156" i="6"/>
  <c r="G3156" i="6"/>
  <c r="F3157" i="6"/>
  <c r="E3157" i="6"/>
  <c r="G3157" i="6"/>
  <c r="F3158" i="6"/>
  <c r="E3158" i="6"/>
  <c r="G3158" i="6"/>
  <c r="F3159" i="6"/>
  <c r="E3159" i="6"/>
  <c r="G3159" i="6"/>
  <c r="F3160" i="6"/>
  <c r="E3160" i="6"/>
  <c r="G3160" i="6"/>
  <c r="F3161" i="6"/>
  <c r="E3161" i="6"/>
  <c r="G3161" i="6"/>
  <c r="F3162" i="6"/>
  <c r="E3162" i="6"/>
  <c r="G3162" i="6"/>
  <c r="F3163" i="6"/>
  <c r="E3163" i="6"/>
  <c r="G3163" i="6"/>
  <c r="F3164" i="6"/>
  <c r="E3164" i="6"/>
  <c r="G3164" i="6"/>
  <c r="F3165" i="6"/>
  <c r="E3165" i="6"/>
  <c r="G3165" i="6"/>
  <c r="F3166" i="6"/>
  <c r="E3166" i="6"/>
  <c r="G3166" i="6"/>
  <c r="F3167" i="6"/>
  <c r="E3167" i="6"/>
  <c r="G3167" i="6"/>
  <c r="F3168" i="6"/>
  <c r="E3168" i="6"/>
  <c r="G3168" i="6"/>
  <c r="F3169" i="6"/>
  <c r="E3169" i="6"/>
  <c r="G3169" i="6"/>
  <c r="F3170" i="6"/>
  <c r="E3170" i="6"/>
  <c r="G3170" i="6"/>
  <c r="F3171" i="6"/>
  <c r="E3171" i="6"/>
  <c r="G3171" i="6"/>
  <c r="F3172" i="6"/>
  <c r="E3172" i="6"/>
  <c r="G3172" i="6"/>
  <c r="F3173" i="6"/>
  <c r="E3173" i="6"/>
  <c r="G3173" i="6"/>
  <c r="F3174" i="6"/>
  <c r="E3174" i="6"/>
  <c r="G3174" i="6"/>
  <c r="F3175" i="6"/>
  <c r="E3175" i="6"/>
  <c r="G3175" i="6"/>
  <c r="F3176" i="6"/>
  <c r="E3176" i="6"/>
  <c r="G3176" i="6"/>
  <c r="F3177" i="6"/>
  <c r="E3177" i="6"/>
  <c r="G3177" i="6"/>
  <c r="F3178" i="6"/>
  <c r="E3178" i="6"/>
  <c r="G3178" i="6"/>
  <c r="F3179" i="6"/>
  <c r="E3179" i="6"/>
  <c r="G3179" i="6"/>
  <c r="F3180" i="6"/>
  <c r="E3180" i="6"/>
  <c r="G3180" i="6"/>
  <c r="F3181" i="6"/>
  <c r="E3181" i="6"/>
  <c r="G3181" i="6"/>
  <c r="F3182" i="6"/>
  <c r="E3182" i="6"/>
  <c r="G3182" i="6"/>
  <c r="F3183" i="6"/>
  <c r="E3183" i="6"/>
  <c r="G3183" i="6"/>
  <c r="F3184" i="6"/>
  <c r="E3184" i="6"/>
  <c r="G3184" i="6"/>
  <c r="F3185" i="6"/>
  <c r="E3185" i="6"/>
  <c r="G3185" i="6"/>
  <c r="F3186" i="6"/>
  <c r="E3186" i="6"/>
  <c r="G3186" i="6"/>
  <c r="F3187" i="6"/>
  <c r="E3187" i="6"/>
  <c r="G3187" i="6"/>
  <c r="F3188" i="6"/>
  <c r="E3188" i="6"/>
  <c r="G3188" i="6"/>
  <c r="F3189" i="6"/>
  <c r="E3189" i="6"/>
  <c r="G3189" i="6"/>
  <c r="F3190" i="6"/>
  <c r="E3190" i="6"/>
  <c r="G3190" i="6"/>
  <c r="F3191" i="6"/>
  <c r="E3191" i="6"/>
  <c r="G3191" i="6"/>
  <c r="F3192" i="6"/>
  <c r="E3192" i="6"/>
  <c r="G3192" i="6"/>
  <c r="F3193" i="6"/>
  <c r="E3193" i="6"/>
  <c r="G3193" i="6"/>
  <c r="F3194" i="6"/>
  <c r="E3194" i="6"/>
  <c r="G3194" i="6"/>
  <c r="F3195" i="6"/>
  <c r="E3195" i="6"/>
  <c r="G3195" i="6"/>
  <c r="F3196" i="6"/>
  <c r="E3196" i="6"/>
  <c r="G3196" i="6"/>
  <c r="F3197" i="6"/>
  <c r="E3197" i="6"/>
  <c r="G3197" i="6"/>
  <c r="F3198" i="6"/>
  <c r="E3198" i="6"/>
  <c r="G3198" i="6"/>
  <c r="F3199" i="6"/>
  <c r="E3199" i="6"/>
  <c r="G3199" i="6"/>
  <c r="F3200" i="6"/>
  <c r="E3200" i="6"/>
  <c r="G3200" i="6"/>
  <c r="F3201" i="6"/>
  <c r="E3201" i="6"/>
  <c r="G3201" i="6"/>
  <c r="F3202" i="6"/>
  <c r="E3202" i="6"/>
  <c r="G3202" i="6"/>
  <c r="F3203" i="6"/>
  <c r="E3203" i="6"/>
  <c r="G3203" i="6"/>
  <c r="F3204" i="6"/>
  <c r="E3204" i="6"/>
  <c r="G3204" i="6"/>
  <c r="F3205" i="6"/>
  <c r="E3205" i="6"/>
  <c r="G3205" i="6"/>
  <c r="F3206" i="6"/>
  <c r="E3206" i="6"/>
  <c r="G3206" i="6"/>
  <c r="F3207" i="6"/>
  <c r="E3207" i="6"/>
  <c r="G3207" i="6"/>
  <c r="F3208" i="6"/>
  <c r="E3208" i="6"/>
  <c r="G3208" i="6"/>
  <c r="F3209" i="6"/>
  <c r="E3209" i="6"/>
  <c r="G3209" i="6"/>
  <c r="F3210" i="6"/>
  <c r="E3210" i="6"/>
  <c r="G3210" i="6"/>
  <c r="F3211" i="6"/>
  <c r="E3211" i="6"/>
  <c r="G3211" i="6"/>
  <c r="F3212" i="6"/>
  <c r="E3212" i="6"/>
  <c r="G3212" i="6"/>
  <c r="F3213" i="6"/>
  <c r="E3213" i="6"/>
  <c r="G3213" i="6"/>
  <c r="F3214" i="6"/>
  <c r="E3214" i="6"/>
  <c r="G3214" i="6"/>
  <c r="F3215" i="6"/>
  <c r="E3215" i="6"/>
  <c r="G3215" i="6"/>
  <c r="F3216" i="6"/>
  <c r="E3216" i="6"/>
  <c r="G3216" i="6"/>
  <c r="F3217" i="6"/>
  <c r="E3217" i="6"/>
  <c r="G3217" i="6"/>
  <c r="F3218" i="6"/>
  <c r="E3218" i="6"/>
  <c r="G3218" i="6"/>
  <c r="F3219" i="6"/>
  <c r="E3219" i="6"/>
  <c r="G3219" i="6"/>
  <c r="F3220" i="6"/>
  <c r="E3220" i="6"/>
  <c r="G3220" i="6"/>
  <c r="F3221" i="6"/>
  <c r="E3221" i="6"/>
  <c r="G3221" i="6"/>
  <c r="F3222" i="6"/>
  <c r="E3222" i="6"/>
  <c r="G3222" i="6"/>
  <c r="F3223" i="6"/>
  <c r="E3223" i="6"/>
  <c r="G3223" i="6"/>
  <c r="F3224" i="6"/>
  <c r="E3224" i="6"/>
  <c r="G3224" i="6"/>
  <c r="F3225" i="6"/>
  <c r="E3225" i="6"/>
  <c r="G3225" i="6"/>
  <c r="F3226" i="6"/>
  <c r="E3226" i="6"/>
  <c r="G3226" i="6"/>
  <c r="F3227" i="6"/>
  <c r="E3227" i="6"/>
  <c r="G3227" i="6"/>
  <c r="F3228" i="6"/>
  <c r="E3228" i="6"/>
  <c r="G3228" i="6"/>
  <c r="F3229" i="6"/>
  <c r="E3229" i="6"/>
  <c r="G3229" i="6"/>
  <c r="F3230" i="6"/>
  <c r="E3230" i="6"/>
  <c r="G3230" i="6"/>
  <c r="F3231" i="6"/>
  <c r="E3231" i="6"/>
  <c r="G3231" i="6"/>
  <c r="F3232" i="6"/>
  <c r="E3232" i="6"/>
  <c r="G3232" i="6"/>
  <c r="F3233" i="6"/>
  <c r="E3233" i="6"/>
  <c r="G3233" i="6"/>
  <c r="F3234" i="6"/>
  <c r="E3234" i="6"/>
  <c r="G3234" i="6"/>
  <c r="F3235" i="6"/>
  <c r="E3235" i="6"/>
  <c r="G3235" i="6"/>
  <c r="F3236" i="6"/>
  <c r="E3236" i="6"/>
  <c r="G3236" i="6"/>
  <c r="F3237" i="6"/>
  <c r="E3237" i="6"/>
  <c r="G3237" i="6"/>
  <c r="F3238" i="6"/>
  <c r="E3238" i="6"/>
  <c r="G3238" i="6"/>
  <c r="F3239" i="6"/>
  <c r="E3239" i="6"/>
  <c r="G3239" i="6"/>
  <c r="F3240" i="6"/>
  <c r="E3240" i="6"/>
  <c r="G3240" i="6"/>
  <c r="F3241" i="6"/>
  <c r="E3241" i="6"/>
  <c r="G3241" i="6"/>
  <c r="F3242" i="6"/>
  <c r="E3242" i="6"/>
  <c r="G3242" i="6"/>
  <c r="F3243" i="6"/>
  <c r="E3243" i="6"/>
  <c r="G3243" i="6"/>
  <c r="F3244" i="6"/>
  <c r="E3244" i="6"/>
  <c r="G3244" i="6"/>
  <c r="F3245" i="6"/>
  <c r="E3245" i="6"/>
  <c r="G3245" i="6"/>
  <c r="F3246" i="6"/>
  <c r="E3246" i="6"/>
  <c r="G3246" i="6"/>
  <c r="F3247" i="6"/>
  <c r="E3247" i="6"/>
  <c r="G3247" i="6"/>
  <c r="F3248" i="6"/>
  <c r="E3248" i="6"/>
  <c r="G3248" i="6"/>
  <c r="F3249" i="6"/>
  <c r="E3249" i="6"/>
  <c r="G3249" i="6"/>
  <c r="F3250" i="6"/>
  <c r="E3250" i="6"/>
  <c r="G3250" i="6"/>
  <c r="F3251" i="6"/>
  <c r="E3251" i="6"/>
  <c r="G3251" i="6"/>
  <c r="F3252" i="6"/>
  <c r="E3252" i="6"/>
  <c r="G3252" i="6"/>
  <c r="F3253" i="6"/>
  <c r="E3253" i="6"/>
  <c r="G3253" i="6"/>
  <c r="F3254" i="6"/>
  <c r="E3254" i="6"/>
  <c r="G3254" i="6"/>
  <c r="F3255" i="6"/>
  <c r="E3255" i="6"/>
  <c r="G3255" i="6"/>
  <c r="F3256" i="6"/>
  <c r="E3256" i="6"/>
  <c r="G3256" i="6"/>
  <c r="F3257" i="6"/>
  <c r="E3257" i="6"/>
  <c r="G3257" i="6"/>
  <c r="F3258" i="6"/>
  <c r="E3258" i="6"/>
  <c r="G3258" i="6"/>
  <c r="F3259" i="6"/>
  <c r="E3259" i="6"/>
  <c r="G3259" i="6"/>
  <c r="F3260" i="6"/>
  <c r="E3260" i="6"/>
  <c r="G3260" i="6"/>
  <c r="F3261" i="6"/>
  <c r="E3261" i="6"/>
  <c r="G3261" i="6"/>
  <c r="F3262" i="6"/>
  <c r="E3262" i="6"/>
  <c r="G3262" i="6"/>
  <c r="F3263" i="6"/>
  <c r="E3263" i="6"/>
  <c r="G3263" i="6"/>
  <c r="F3264" i="6"/>
  <c r="E3264" i="6"/>
  <c r="G3264" i="6"/>
  <c r="F3265" i="6"/>
  <c r="E3265" i="6"/>
  <c r="G3265" i="6"/>
  <c r="F3266" i="6"/>
  <c r="E3266" i="6"/>
  <c r="G3266" i="6"/>
  <c r="F3267" i="6"/>
  <c r="E3267" i="6"/>
  <c r="G3267" i="6"/>
  <c r="F3268" i="6"/>
  <c r="E3268" i="6"/>
  <c r="G3268" i="6"/>
  <c r="F3269" i="6"/>
  <c r="E3269" i="6"/>
  <c r="G3269" i="6"/>
  <c r="F3270" i="6"/>
  <c r="E3270" i="6"/>
  <c r="G3270" i="6"/>
  <c r="F3271" i="6"/>
  <c r="E3271" i="6"/>
  <c r="G3271" i="6"/>
  <c r="F3272" i="6"/>
  <c r="E3272" i="6"/>
  <c r="G3272" i="6"/>
  <c r="F3273" i="6"/>
  <c r="E3273" i="6"/>
  <c r="G3273" i="6"/>
  <c r="F3274" i="6"/>
  <c r="E3274" i="6"/>
  <c r="G3274" i="6"/>
  <c r="F3275" i="6"/>
  <c r="E3275" i="6"/>
  <c r="G3275" i="6"/>
  <c r="F3276" i="6"/>
  <c r="E3276" i="6"/>
  <c r="G3276" i="6"/>
  <c r="F3277" i="6"/>
  <c r="E3277" i="6"/>
  <c r="G3277" i="6"/>
  <c r="F3278" i="6"/>
  <c r="E3278" i="6"/>
  <c r="G3278" i="6"/>
  <c r="F3279" i="6"/>
  <c r="E3279" i="6"/>
  <c r="G3279" i="6"/>
  <c r="F3280" i="6"/>
  <c r="E3280" i="6"/>
  <c r="G3280" i="6"/>
  <c r="F3281" i="6"/>
  <c r="E3281" i="6"/>
  <c r="G3281" i="6"/>
  <c r="F3282" i="6"/>
  <c r="E3282" i="6"/>
  <c r="G3282" i="6"/>
  <c r="F3283" i="6"/>
  <c r="E3283" i="6"/>
  <c r="G3283" i="6"/>
  <c r="F3284" i="6"/>
  <c r="E3284" i="6"/>
  <c r="G3284" i="6"/>
  <c r="F3285" i="6"/>
  <c r="E3285" i="6"/>
  <c r="G3285" i="6"/>
  <c r="F3286" i="6"/>
  <c r="E3286" i="6"/>
  <c r="G3286" i="6"/>
  <c r="F3287" i="6"/>
  <c r="E3287" i="6"/>
  <c r="G3287" i="6"/>
  <c r="F3288" i="6"/>
  <c r="E3288" i="6"/>
  <c r="G3288" i="6"/>
  <c r="F3289" i="6"/>
  <c r="E3289" i="6"/>
  <c r="G3289" i="6"/>
  <c r="F3290" i="6"/>
  <c r="E3290" i="6"/>
  <c r="G3290" i="6"/>
  <c r="F3291" i="6"/>
  <c r="E3291" i="6"/>
  <c r="G3291" i="6"/>
  <c r="F3292" i="6"/>
  <c r="E3292" i="6"/>
  <c r="G3292" i="6"/>
  <c r="F3293" i="6"/>
  <c r="E3293" i="6"/>
  <c r="G3293" i="6"/>
  <c r="F3294" i="6"/>
  <c r="E3294" i="6"/>
  <c r="G3294" i="6"/>
  <c r="F3295" i="6"/>
  <c r="E3295" i="6"/>
  <c r="G3295" i="6"/>
  <c r="F3296" i="6"/>
  <c r="E3296" i="6"/>
  <c r="G3296" i="6"/>
  <c r="F3297" i="6"/>
  <c r="E3297" i="6"/>
  <c r="G3297" i="6"/>
  <c r="F3298" i="6"/>
  <c r="E3298" i="6"/>
  <c r="G3298" i="6"/>
  <c r="F3299" i="6"/>
  <c r="E3299" i="6"/>
  <c r="G3299" i="6"/>
  <c r="F3300" i="6"/>
  <c r="E3300" i="6"/>
  <c r="G3300" i="6"/>
  <c r="F3301" i="6"/>
  <c r="E3301" i="6"/>
  <c r="G3301" i="6"/>
  <c r="F3302" i="6"/>
  <c r="E3302" i="6"/>
  <c r="G3302" i="6"/>
  <c r="F3303" i="6"/>
  <c r="E3303" i="6"/>
  <c r="G3303" i="6"/>
  <c r="F3304" i="6"/>
  <c r="E3304" i="6"/>
  <c r="G3304" i="6"/>
  <c r="F3305" i="6"/>
  <c r="E3305" i="6"/>
  <c r="G3305" i="6"/>
  <c r="F3306" i="6"/>
  <c r="E3306" i="6"/>
  <c r="G3306" i="6"/>
  <c r="F3307" i="6"/>
  <c r="E3307" i="6"/>
  <c r="G3307" i="6"/>
  <c r="F3308" i="6"/>
  <c r="E3308" i="6"/>
  <c r="G3308" i="6"/>
  <c r="F3309" i="6"/>
  <c r="E3309" i="6"/>
  <c r="G3309" i="6"/>
  <c r="F3310" i="6"/>
  <c r="E3310" i="6"/>
  <c r="G3310" i="6"/>
  <c r="F3311" i="6"/>
  <c r="E3311" i="6"/>
  <c r="G3311" i="6"/>
  <c r="F3312" i="6"/>
  <c r="E3312" i="6"/>
  <c r="G3312" i="6"/>
  <c r="F3313" i="6"/>
  <c r="E3313" i="6"/>
  <c r="G3313" i="6"/>
  <c r="F3314" i="6"/>
  <c r="E3314" i="6"/>
  <c r="G3314" i="6"/>
  <c r="F3315" i="6"/>
  <c r="E3315" i="6"/>
  <c r="G3315" i="6"/>
  <c r="F3316" i="6"/>
  <c r="E3316" i="6"/>
  <c r="G3316" i="6"/>
  <c r="F3317" i="6"/>
  <c r="E3317" i="6"/>
  <c r="G3317" i="6"/>
  <c r="F3318" i="6"/>
  <c r="E3318" i="6"/>
  <c r="G3318" i="6"/>
  <c r="F3319" i="6"/>
  <c r="E3319" i="6"/>
  <c r="G3319" i="6"/>
  <c r="F3320" i="6"/>
  <c r="E3320" i="6"/>
  <c r="G3320" i="6"/>
  <c r="F3321" i="6"/>
  <c r="E3321" i="6"/>
  <c r="G3321" i="6"/>
  <c r="F3322" i="6"/>
  <c r="E3322" i="6"/>
  <c r="G3322" i="6"/>
  <c r="F3323" i="6"/>
  <c r="E3323" i="6"/>
  <c r="G3323" i="6"/>
  <c r="F3324" i="6"/>
  <c r="E3324" i="6"/>
  <c r="G3324" i="6"/>
  <c r="F3325" i="6"/>
  <c r="E3325" i="6"/>
  <c r="G3325" i="6"/>
  <c r="F3326" i="6"/>
  <c r="E3326" i="6"/>
  <c r="G3326" i="6"/>
  <c r="F3327" i="6"/>
  <c r="E3327" i="6"/>
  <c r="G3327" i="6"/>
  <c r="F3328" i="6"/>
  <c r="E3328" i="6"/>
  <c r="G3328" i="6"/>
  <c r="F3329" i="6"/>
  <c r="E3329" i="6"/>
  <c r="G3329" i="6"/>
  <c r="F3330" i="6"/>
  <c r="E3330" i="6"/>
  <c r="G3330" i="6"/>
  <c r="F3331" i="6"/>
  <c r="E3331" i="6"/>
  <c r="G3331" i="6"/>
  <c r="F3332" i="6"/>
  <c r="E3332" i="6"/>
  <c r="G3332" i="6"/>
  <c r="F3333" i="6"/>
  <c r="E3333" i="6"/>
  <c r="G3333" i="6"/>
  <c r="F3334" i="6"/>
  <c r="E3334" i="6"/>
  <c r="G3334" i="6"/>
  <c r="F3335" i="6"/>
  <c r="E3335" i="6"/>
  <c r="G3335" i="6"/>
  <c r="F3336" i="6"/>
  <c r="E3336" i="6"/>
  <c r="G3336" i="6"/>
  <c r="F3337" i="6"/>
  <c r="E3337" i="6"/>
  <c r="G3337" i="6"/>
  <c r="F3338" i="6"/>
  <c r="E3338" i="6"/>
  <c r="G3338" i="6"/>
  <c r="F3339" i="6"/>
  <c r="E3339" i="6"/>
  <c r="G3339" i="6"/>
  <c r="F3340" i="6"/>
  <c r="E3340" i="6"/>
  <c r="G3340" i="6"/>
  <c r="F3341" i="6"/>
  <c r="E3341" i="6"/>
  <c r="G3341" i="6"/>
  <c r="F3342" i="6"/>
  <c r="E3342" i="6"/>
  <c r="G3342" i="6"/>
  <c r="F3343" i="6"/>
  <c r="E3343" i="6"/>
  <c r="G3343" i="6"/>
  <c r="F3344" i="6"/>
  <c r="E3344" i="6"/>
  <c r="G3344" i="6"/>
  <c r="F3345" i="6"/>
  <c r="E3345" i="6"/>
  <c r="G3345" i="6"/>
  <c r="F3346" i="6"/>
  <c r="E3346" i="6"/>
  <c r="G3346" i="6"/>
  <c r="F3347" i="6"/>
  <c r="E3347" i="6"/>
  <c r="G3347" i="6"/>
  <c r="F3348" i="6"/>
  <c r="E3348" i="6"/>
  <c r="G3348" i="6"/>
  <c r="F3349" i="6"/>
  <c r="E3349" i="6"/>
  <c r="G3349" i="6"/>
  <c r="F3350" i="6"/>
  <c r="E3350" i="6"/>
  <c r="G3350" i="6"/>
  <c r="F3351" i="6"/>
  <c r="E3351" i="6"/>
  <c r="G3351" i="6"/>
  <c r="F3352" i="6"/>
  <c r="E3352" i="6"/>
  <c r="G3352" i="6"/>
  <c r="F3353" i="6"/>
  <c r="E3353" i="6"/>
  <c r="G3353" i="6"/>
  <c r="F3354" i="6"/>
  <c r="E3354" i="6"/>
  <c r="G3354" i="6"/>
  <c r="F3355" i="6"/>
  <c r="E3355" i="6"/>
  <c r="G3355" i="6"/>
  <c r="F3356" i="6"/>
  <c r="E3356" i="6"/>
  <c r="G3356" i="6"/>
  <c r="F3357" i="6"/>
  <c r="E3357" i="6"/>
  <c r="G3357" i="6"/>
  <c r="F3358" i="6"/>
  <c r="E3358" i="6"/>
  <c r="G3358" i="6"/>
  <c r="F3359" i="6"/>
  <c r="E3359" i="6"/>
  <c r="G3359" i="6"/>
  <c r="F3360" i="6"/>
  <c r="E3360" i="6"/>
  <c r="G3360" i="6"/>
  <c r="F3361" i="6"/>
  <c r="E3361" i="6"/>
  <c r="G3361" i="6"/>
  <c r="F3362" i="6"/>
  <c r="E3362" i="6"/>
  <c r="G3362" i="6"/>
  <c r="F3363" i="6"/>
  <c r="E3363" i="6"/>
  <c r="G3363" i="6"/>
  <c r="F3364" i="6"/>
  <c r="E3364" i="6"/>
  <c r="G3364" i="6"/>
  <c r="F3365" i="6"/>
  <c r="E3365" i="6"/>
  <c r="G3365" i="6"/>
  <c r="F3366" i="6"/>
  <c r="E3366" i="6"/>
  <c r="G3366" i="6"/>
  <c r="F3367" i="6"/>
  <c r="E3367" i="6"/>
  <c r="G3367" i="6"/>
  <c r="F3368" i="6"/>
  <c r="E3368" i="6"/>
  <c r="G3368" i="6"/>
  <c r="F3369" i="6"/>
  <c r="E3369" i="6"/>
  <c r="G3369" i="6"/>
  <c r="F3370" i="6"/>
  <c r="E3370" i="6"/>
  <c r="G3370" i="6"/>
  <c r="F3371" i="6"/>
  <c r="E3371" i="6"/>
  <c r="G3371" i="6"/>
  <c r="F3372" i="6"/>
  <c r="E3372" i="6"/>
  <c r="G3372" i="6"/>
  <c r="F3373" i="6"/>
  <c r="E3373" i="6"/>
  <c r="G3373" i="6"/>
  <c r="F3374" i="6"/>
  <c r="E3374" i="6"/>
  <c r="G3374" i="6"/>
  <c r="F3375" i="6"/>
  <c r="E3375" i="6"/>
  <c r="G3375" i="6"/>
  <c r="F3376" i="6"/>
  <c r="E3376" i="6"/>
  <c r="G3376" i="6"/>
  <c r="F3377" i="6"/>
  <c r="E3377" i="6"/>
  <c r="G3377" i="6"/>
  <c r="F3378" i="6"/>
  <c r="E3378" i="6"/>
  <c r="G3378" i="6"/>
  <c r="F3379" i="6"/>
  <c r="E3379" i="6"/>
  <c r="G3379" i="6"/>
  <c r="F3380" i="6"/>
  <c r="E3380" i="6"/>
  <c r="G3380" i="6"/>
  <c r="F3381" i="6"/>
  <c r="E3381" i="6"/>
  <c r="G3381" i="6"/>
  <c r="F3382" i="6"/>
  <c r="E3382" i="6"/>
  <c r="G3382" i="6"/>
  <c r="F3383" i="6"/>
  <c r="E3383" i="6"/>
  <c r="G3383" i="6"/>
  <c r="F3384" i="6"/>
  <c r="G3384" i="6"/>
  <c r="F3385" i="6"/>
  <c r="E3385" i="6"/>
  <c r="G3385" i="6"/>
  <c r="F3386" i="6"/>
  <c r="E3386" i="6"/>
  <c r="G3386" i="6"/>
  <c r="F3387" i="6"/>
  <c r="E3387" i="6"/>
  <c r="G3387" i="6"/>
  <c r="F3388" i="6"/>
  <c r="E3388" i="6"/>
  <c r="G3388" i="6"/>
  <c r="F3389" i="6"/>
  <c r="E3389" i="6"/>
  <c r="G3389" i="6"/>
  <c r="F3390" i="6"/>
  <c r="E3390" i="6"/>
  <c r="G3390" i="6"/>
  <c r="F3391" i="6"/>
  <c r="E3391" i="6"/>
  <c r="G3391" i="6"/>
  <c r="F3392" i="6"/>
  <c r="E3392" i="6"/>
  <c r="G3392" i="6"/>
  <c r="F3393" i="6"/>
  <c r="E3393" i="6"/>
  <c r="G3393" i="6"/>
  <c r="F3394" i="6"/>
  <c r="E3394" i="6"/>
  <c r="G3394" i="6"/>
  <c r="F3395" i="6"/>
  <c r="E3395" i="6"/>
  <c r="G3395" i="6"/>
  <c r="F3396" i="6"/>
  <c r="E3396" i="6"/>
  <c r="G3396" i="6"/>
  <c r="F3397" i="6"/>
  <c r="E3397" i="6"/>
  <c r="G3397" i="6"/>
  <c r="F3398" i="6"/>
  <c r="E3398" i="6"/>
  <c r="G3398" i="6"/>
  <c r="F3399" i="6"/>
  <c r="E3399" i="6"/>
  <c r="G3399" i="6"/>
  <c r="F3400" i="6"/>
  <c r="E3400" i="6"/>
  <c r="G3400" i="6"/>
  <c r="F3401" i="6"/>
  <c r="E3401" i="6"/>
  <c r="G3401" i="6"/>
  <c r="F3402" i="6"/>
  <c r="E3402" i="6"/>
  <c r="G3402" i="6"/>
  <c r="F3403" i="6"/>
  <c r="E3403" i="6"/>
  <c r="G3403" i="6"/>
  <c r="F3404" i="6"/>
  <c r="E3404" i="6"/>
  <c r="G3404" i="6"/>
  <c r="F3405" i="6"/>
  <c r="E3405" i="6"/>
  <c r="G3405" i="6"/>
  <c r="F3406" i="6"/>
  <c r="E3406" i="6"/>
  <c r="G3406" i="6"/>
  <c r="F3407" i="6"/>
  <c r="E3407" i="6"/>
  <c r="G3407" i="6"/>
  <c r="F3408" i="6"/>
  <c r="E3408" i="6"/>
  <c r="G3408" i="6"/>
  <c r="F3409" i="6"/>
  <c r="E3409" i="6"/>
  <c r="G3409" i="6"/>
  <c r="F3410" i="6"/>
  <c r="E3410" i="6"/>
  <c r="G3410" i="6"/>
  <c r="F3411" i="6"/>
  <c r="E3411" i="6"/>
  <c r="G3411" i="6"/>
  <c r="F3412" i="6"/>
  <c r="E3412" i="6"/>
  <c r="G3412" i="6"/>
  <c r="F3413" i="6"/>
  <c r="E3413" i="6"/>
  <c r="G3413" i="6"/>
  <c r="F3414" i="6"/>
  <c r="E3414" i="6"/>
  <c r="G3414" i="6"/>
  <c r="F3415" i="6"/>
  <c r="E3415" i="6"/>
  <c r="G3415" i="6"/>
  <c r="F3416" i="6"/>
  <c r="E3416" i="6"/>
  <c r="G3416" i="6"/>
  <c r="F3417" i="6"/>
  <c r="E3417" i="6"/>
  <c r="G3417" i="6"/>
  <c r="F3418" i="6"/>
  <c r="E3418" i="6"/>
  <c r="G3418" i="6"/>
  <c r="F3419" i="6"/>
  <c r="E3419" i="6"/>
  <c r="G3419" i="6"/>
  <c r="F3420" i="6"/>
  <c r="E3420" i="6"/>
  <c r="G3420" i="6"/>
  <c r="F3421" i="6"/>
  <c r="E3421" i="6"/>
  <c r="G3421" i="6"/>
  <c r="F3422" i="6"/>
  <c r="E3422" i="6"/>
  <c r="G3422" i="6"/>
  <c r="F3423" i="6"/>
  <c r="E3423" i="6"/>
  <c r="G3423" i="6"/>
  <c r="F3424" i="6"/>
  <c r="E3424" i="6"/>
  <c r="G3424" i="6"/>
  <c r="F3425" i="6"/>
  <c r="E3425" i="6"/>
  <c r="G3425" i="6"/>
  <c r="F3426" i="6"/>
  <c r="E3426" i="6"/>
  <c r="G3426" i="6"/>
  <c r="F3427" i="6"/>
  <c r="E3427" i="6"/>
  <c r="G3427" i="6"/>
  <c r="F3428" i="6"/>
  <c r="E3428" i="6"/>
  <c r="G3428" i="6"/>
  <c r="F3429" i="6"/>
  <c r="E3429" i="6"/>
  <c r="G3429" i="6"/>
  <c r="F3430" i="6"/>
  <c r="E3430" i="6"/>
  <c r="G3430" i="6"/>
  <c r="F3431" i="6"/>
  <c r="E3431" i="6"/>
  <c r="G3431" i="6"/>
  <c r="F3432" i="6"/>
  <c r="E3432" i="6"/>
  <c r="G3432" i="6"/>
  <c r="F3433" i="6"/>
  <c r="E3433" i="6"/>
  <c r="G3433" i="6"/>
  <c r="F3434" i="6"/>
  <c r="E3434" i="6"/>
  <c r="G3434" i="6"/>
  <c r="F3435" i="6"/>
  <c r="E3435" i="6"/>
  <c r="G3435" i="6"/>
  <c r="F3436" i="6"/>
  <c r="E3436" i="6"/>
  <c r="G3436" i="6"/>
  <c r="F3437" i="6"/>
  <c r="E3437" i="6"/>
  <c r="G3437" i="6"/>
  <c r="F3438" i="6"/>
  <c r="E3438" i="6"/>
  <c r="G3438" i="6"/>
  <c r="F3439" i="6"/>
  <c r="E3439" i="6"/>
  <c r="G3439" i="6"/>
  <c r="F3440" i="6"/>
  <c r="E3440" i="6"/>
  <c r="G3440" i="6"/>
  <c r="F3441" i="6"/>
  <c r="E3441" i="6"/>
  <c r="G3441" i="6"/>
  <c r="F3442" i="6"/>
  <c r="E3442" i="6"/>
  <c r="G3442" i="6"/>
  <c r="F3443" i="6"/>
  <c r="E3443" i="6"/>
  <c r="G3443" i="6"/>
  <c r="F3444" i="6"/>
  <c r="E3444" i="6"/>
  <c r="G3444" i="6"/>
  <c r="F3445" i="6"/>
  <c r="E3445" i="6"/>
  <c r="G3445" i="6"/>
  <c r="F3446" i="6"/>
  <c r="E3446" i="6"/>
  <c r="G3446" i="6"/>
  <c r="F3447" i="6"/>
  <c r="E3447" i="6"/>
  <c r="G3447" i="6"/>
  <c r="F3448" i="6"/>
  <c r="E3448" i="6"/>
  <c r="G3448" i="6"/>
  <c r="F3449" i="6"/>
  <c r="E3449" i="6"/>
  <c r="G3449" i="6"/>
  <c r="F3450" i="6"/>
  <c r="E3450" i="6"/>
  <c r="G3450" i="6"/>
  <c r="F3451" i="6"/>
  <c r="E3451" i="6"/>
  <c r="G3451" i="6"/>
  <c r="F3452" i="6"/>
  <c r="E3452" i="6"/>
  <c r="G3452" i="6"/>
  <c r="F3453" i="6"/>
  <c r="E3453" i="6"/>
  <c r="G3453" i="6"/>
  <c r="F3454" i="6"/>
  <c r="E3454" i="6"/>
  <c r="G3454" i="6"/>
  <c r="F3455" i="6"/>
  <c r="E3455" i="6"/>
  <c r="G3455" i="6"/>
  <c r="F3456" i="6"/>
  <c r="E3456" i="6"/>
  <c r="G3456" i="6"/>
  <c r="F3457" i="6"/>
  <c r="E3457" i="6"/>
  <c r="G3457" i="6"/>
  <c r="F3458" i="6"/>
  <c r="E3458" i="6"/>
  <c r="G3458" i="6"/>
  <c r="F3459" i="6"/>
  <c r="E3459" i="6"/>
  <c r="G3459" i="6"/>
  <c r="F3460" i="6"/>
  <c r="E3460" i="6"/>
  <c r="G3460" i="6"/>
  <c r="F3461" i="6"/>
  <c r="E3461" i="6"/>
  <c r="G3461" i="6"/>
  <c r="F3462" i="6"/>
  <c r="E3462" i="6"/>
  <c r="G3462" i="6"/>
  <c r="F3463" i="6"/>
  <c r="E3463" i="6"/>
  <c r="G3463" i="6"/>
  <c r="F3464" i="6"/>
  <c r="E3464" i="6"/>
  <c r="G3464" i="6"/>
  <c r="F3465" i="6"/>
  <c r="E3465" i="6"/>
  <c r="G3465" i="6"/>
  <c r="F3466" i="6"/>
  <c r="E3466" i="6"/>
  <c r="G3466" i="6"/>
  <c r="F3467" i="6"/>
  <c r="E3467" i="6"/>
  <c r="G3467" i="6"/>
  <c r="F3468" i="6"/>
  <c r="E3468" i="6"/>
  <c r="G3468" i="6"/>
  <c r="F3469" i="6"/>
  <c r="E3469" i="6"/>
  <c r="G3469" i="6"/>
  <c r="F3470" i="6"/>
  <c r="E3470" i="6"/>
  <c r="G3470" i="6"/>
  <c r="F3471" i="6"/>
  <c r="E3471" i="6"/>
  <c r="G3471" i="6"/>
  <c r="F3472" i="6"/>
  <c r="E3472" i="6"/>
  <c r="G3472" i="6"/>
  <c r="F3473" i="6"/>
  <c r="E3473" i="6"/>
  <c r="G3473" i="6"/>
  <c r="F3474" i="6"/>
  <c r="E3474" i="6"/>
  <c r="G3474" i="6"/>
  <c r="F3475" i="6"/>
  <c r="E3475" i="6"/>
  <c r="G3475" i="6"/>
  <c r="F3476" i="6"/>
  <c r="E3476" i="6"/>
  <c r="G3476" i="6"/>
  <c r="F3477" i="6"/>
  <c r="E3477" i="6"/>
  <c r="G3477" i="6"/>
  <c r="F3478" i="6"/>
  <c r="E3478" i="6"/>
  <c r="G3478" i="6"/>
  <c r="F3479" i="6"/>
  <c r="E3479" i="6"/>
  <c r="G3479" i="6"/>
  <c r="F3480" i="6"/>
  <c r="E3480" i="6"/>
  <c r="G3480" i="6"/>
  <c r="F3481" i="6"/>
  <c r="E3481" i="6"/>
  <c r="G3481" i="6"/>
  <c r="F3482" i="6"/>
  <c r="E3482" i="6"/>
  <c r="G3482" i="6"/>
  <c r="F3483" i="6"/>
  <c r="E3483" i="6"/>
  <c r="G3483" i="6"/>
  <c r="F3484" i="6"/>
  <c r="E3484" i="6"/>
  <c r="G3484" i="6"/>
  <c r="F3485" i="6"/>
  <c r="E3485" i="6"/>
  <c r="G3485" i="6"/>
  <c r="F3486" i="6"/>
  <c r="E3486" i="6"/>
  <c r="G3486" i="6"/>
  <c r="F3487" i="6"/>
  <c r="E3487" i="6"/>
  <c r="G3487" i="6"/>
  <c r="F3488" i="6"/>
  <c r="E3488" i="6"/>
  <c r="G3488" i="6"/>
  <c r="F3489" i="6"/>
  <c r="E3489" i="6"/>
  <c r="G3489" i="6"/>
  <c r="F3490" i="6"/>
  <c r="E3490" i="6"/>
  <c r="G3490" i="6"/>
  <c r="F3491" i="6"/>
  <c r="E3491" i="6"/>
  <c r="G3491" i="6"/>
  <c r="F3492" i="6"/>
  <c r="E3492" i="6"/>
  <c r="G3492" i="6"/>
  <c r="F3493" i="6"/>
  <c r="E3493" i="6"/>
  <c r="G3493" i="6"/>
  <c r="F3494" i="6"/>
  <c r="E3494" i="6"/>
  <c r="G3494" i="6"/>
  <c r="F3495" i="6"/>
  <c r="E3495" i="6"/>
  <c r="G3495" i="6"/>
  <c r="F3496" i="6"/>
  <c r="E3496" i="6"/>
  <c r="G3496" i="6"/>
  <c r="F3497" i="6"/>
  <c r="E3497" i="6"/>
  <c r="G3497" i="6"/>
  <c r="F3498" i="6"/>
  <c r="E3498" i="6"/>
  <c r="G3498" i="6"/>
  <c r="F3499" i="6"/>
  <c r="E3499" i="6"/>
  <c r="G3499" i="6"/>
  <c r="F3500" i="6"/>
  <c r="E3500" i="6"/>
  <c r="G3500" i="6"/>
  <c r="F3501" i="6"/>
  <c r="E3501" i="6"/>
  <c r="G3501" i="6"/>
  <c r="F3502" i="6"/>
  <c r="E3502" i="6"/>
  <c r="G3502" i="6"/>
  <c r="F3503" i="6"/>
  <c r="E3503" i="6"/>
  <c r="G3503" i="6"/>
  <c r="F3504" i="6"/>
  <c r="E3504" i="6"/>
  <c r="G3504" i="6"/>
  <c r="F3505" i="6"/>
  <c r="E3505" i="6"/>
  <c r="G3505" i="6"/>
  <c r="F3506" i="6"/>
  <c r="E3506" i="6"/>
  <c r="G3506" i="6"/>
  <c r="F3507" i="6"/>
  <c r="E3507" i="6"/>
  <c r="G3507" i="6"/>
  <c r="F3508" i="6"/>
  <c r="E3508" i="6"/>
  <c r="G3508" i="6"/>
  <c r="F3509" i="6"/>
  <c r="E3509" i="6"/>
  <c r="G3509" i="6"/>
  <c r="F3510" i="6"/>
  <c r="E3510" i="6"/>
  <c r="G3510" i="6"/>
  <c r="F3511" i="6"/>
  <c r="E3511" i="6"/>
  <c r="G3511" i="6"/>
  <c r="F3512" i="6"/>
  <c r="E3512" i="6"/>
  <c r="G3512" i="6"/>
  <c r="F3513" i="6"/>
  <c r="E3513" i="6"/>
  <c r="G3513" i="6"/>
  <c r="F3514" i="6"/>
  <c r="E3514" i="6"/>
  <c r="G3514" i="6"/>
  <c r="F3515" i="6"/>
  <c r="E3515" i="6"/>
  <c r="G3515" i="6"/>
  <c r="F3516" i="6"/>
  <c r="E3516" i="6"/>
  <c r="G3516" i="6"/>
  <c r="F3517" i="6"/>
  <c r="E3517" i="6"/>
  <c r="G3517" i="6"/>
  <c r="F3518" i="6"/>
  <c r="E3518" i="6"/>
  <c r="G3518" i="6"/>
  <c r="F3519" i="6"/>
  <c r="E3519" i="6"/>
  <c r="G3519" i="6"/>
  <c r="F3520" i="6"/>
  <c r="E3520" i="6"/>
  <c r="G3520" i="6"/>
  <c r="F3521" i="6"/>
  <c r="E3521" i="6"/>
  <c r="G3521" i="6"/>
  <c r="F3522" i="6"/>
  <c r="E3522" i="6"/>
  <c r="G3522" i="6"/>
  <c r="F3523" i="6"/>
  <c r="E3523" i="6"/>
  <c r="G3523" i="6"/>
  <c r="F3524" i="6"/>
  <c r="E3524" i="6"/>
  <c r="G3524" i="6"/>
  <c r="F3525" i="6"/>
  <c r="E3525" i="6"/>
  <c r="G3525" i="6"/>
  <c r="F3526" i="6"/>
  <c r="E3526" i="6"/>
  <c r="G3526" i="6"/>
  <c r="F3527" i="6"/>
  <c r="E3527" i="6"/>
  <c r="G3527" i="6"/>
  <c r="F3528" i="6"/>
  <c r="E3528" i="6"/>
  <c r="G3528" i="6"/>
  <c r="F3529" i="6"/>
  <c r="E3529" i="6"/>
  <c r="G3529" i="6"/>
  <c r="F3530" i="6"/>
  <c r="E3530" i="6"/>
  <c r="G3530" i="6"/>
  <c r="F3531" i="6"/>
  <c r="E3531" i="6"/>
  <c r="G3531" i="6"/>
  <c r="F3532" i="6"/>
  <c r="E3532" i="6"/>
  <c r="G3532" i="6"/>
  <c r="F3533" i="6"/>
  <c r="E3533" i="6"/>
  <c r="G3533" i="6"/>
  <c r="F3534" i="6"/>
  <c r="E3534" i="6"/>
  <c r="G3534" i="6"/>
  <c r="F3535" i="6"/>
  <c r="E3535" i="6"/>
  <c r="G3535" i="6"/>
  <c r="F3536" i="6"/>
  <c r="E3536" i="6"/>
  <c r="G3536" i="6"/>
  <c r="F3537" i="6"/>
  <c r="E3537" i="6"/>
  <c r="G3537" i="6"/>
  <c r="F3538" i="6"/>
  <c r="E3538" i="6"/>
  <c r="G3538" i="6"/>
  <c r="F3539" i="6"/>
  <c r="E3539" i="6"/>
  <c r="G3539" i="6"/>
  <c r="F3540" i="6"/>
  <c r="E3540" i="6"/>
  <c r="G3540" i="6"/>
  <c r="F3541" i="6"/>
  <c r="E3541" i="6"/>
  <c r="G3541" i="6"/>
  <c r="F3542" i="6"/>
  <c r="E3542" i="6"/>
  <c r="G3542" i="6"/>
  <c r="F3543" i="6"/>
  <c r="E3543" i="6"/>
  <c r="G3543" i="6"/>
  <c r="F3544" i="6"/>
  <c r="E3544" i="6"/>
  <c r="G3544" i="6"/>
  <c r="F3545" i="6"/>
  <c r="E3545" i="6"/>
  <c r="G3545" i="6"/>
  <c r="F3546" i="6"/>
  <c r="E3546" i="6"/>
  <c r="G3546" i="6"/>
  <c r="F3547" i="6"/>
  <c r="E3547" i="6"/>
  <c r="G3547" i="6"/>
  <c r="F3548" i="6"/>
  <c r="E3548" i="6"/>
  <c r="G3548" i="6"/>
  <c r="F3549" i="6"/>
  <c r="E3549" i="6"/>
  <c r="G3549" i="6"/>
  <c r="F3550" i="6"/>
  <c r="E3550" i="6"/>
  <c r="G3550" i="6"/>
  <c r="F3551" i="6"/>
  <c r="E3551" i="6"/>
  <c r="G3551" i="6"/>
  <c r="F3552" i="6"/>
  <c r="E3552" i="6"/>
  <c r="G3552" i="6"/>
  <c r="F3553" i="6"/>
  <c r="E3553" i="6"/>
  <c r="G3553" i="6"/>
  <c r="F3554" i="6"/>
  <c r="E3554" i="6"/>
  <c r="G3554" i="6"/>
  <c r="F3555" i="6"/>
  <c r="E3555" i="6"/>
  <c r="G3555" i="6"/>
  <c r="F3556" i="6"/>
  <c r="E3556" i="6"/>
  <c r="G3556" i="6"/>
  <c r="F3557" i="6"/>
  <c r="E3557" i="6"/>
  <c r="G3557" i="6"/>
  <c r="F3558" i="6"/>
  <c r="E3558" i="6"/>
  <c r="G3558" i="6"/>
  <c r="F3559" i="6"/>
  <c r="E3559" i="6"/>
  <c r="G3559" i="6"/>
  <c r="F3560" i="6"/>
  <c r="E3560" i="6"/>
  <c r="G3560" i="6"/>
  <c r="F3561" i="6"/>
  <c r="E3561" i="6"/>
  <c r="G3561" i="6"/>
  <c r="F3562" i="6"/>
  <c r="E3562" i="6"/>
  <c r="G3562" i="6"/>
  <c r="F3563" i="6"/>
  <c r="E3563" i="6"/>
  <c r="G3563" i="6"/>
  <c r="F3564" i="6"/>
  <c r="E3564" i="6"/>
  <c r="G3564" i="6"/>
  <c r="F3565" i="6"/>
  <c r="E3565" i="6"/>
  <c r="G3565" i="6"/>
  <c r="F3566" i="6"/>
  <c r="E3566" i="6"/>
  <c r="G3566" i="6"/>
  <c r="F3567" i="6"/>
  <c r="E3567" i="6"/>
  <c r="G3567" i="6"/>
  <c r="F3568" i="6"/>
  <c r="E3568" i="6"/>
  <c r="G3568" i="6"/>
  <c r="F3569" i="6"/>
  <c r="E3569" i="6"/>
  <c r="G3569" i="6"/>
  <c r="F3570" i="6"/>
  <c r="E3570" i="6"/>
  <c r="G3570" i="6"/>
  <c r="F3571" i="6"/>
  <c r="E3571" i="6"/>
  <c r="G3571" i="6"/>
  <c r="F3572" i="6"/>
  <c r="E3572" i="6"/>
  <c r="G3572" i="6"/>
  <c r="F3573" i="6"/>
  <c r="E3573" i="6"/>
  <c r="G3573" i="6"/>
  <c r="F3574" i="6"/>
  <c r="E3574" i="6"/>
  <c r="G3574" i="6"/>
  <c r="F3575" i="6"/>
  <c r="E3575" i="6"/>
  <c r="G3575" i="6"/>
  <c r="F3576" i="6"/>
  <c r="E3576" i="6"/>
  <c r="G3576" i="6"/>
  <c r="F3577" i="6"/>
  <c r="E3577" i="6"/>
  <c r="G3577" i="6"/>
  <c r="F3578" i="6"/>
  <c r="E3578" i="6"/>
  <c r="G3578" i="6"/>
  <c r="F3579" i="6"/>
  <c r="E3579" i="6"/>
  <c r="G3579" i="6"/>
  <c r="F3580" i="6"/>
  <c r="E3580" i="6"/>
  <c r="G3580" i="6"/>
  <c r="F3581" i="6"/>
  <c r="E3581" i="6"/>
  <c r="G3581" i="6"/>
  <c r="F3582" i="6"/>
  <c r="E3582" i="6"/>
  <c r="G3582" i="6"/>
  <c r="F3583" i="6"/>
  <c r="E3583" i="6"/>
  <c r="G3583" i="6"/>
  <c r="F3584" i="6"/>
  <c r="E3584" i="6"/>
  <c r="G3584" i="6"/>
  <c r="F3585" i="6"/>
  <c r="E3585" i="6"/>
  <c r="G3585" i="6"/>
  <c r="F3586" i="6"/>
  <c r="E3586" i="6"/>
  <c r="G3586" i="6"/>
  <c r="F3587" i="6"/>
  <c r="E3587" i="6"/>
  <c r="G3587" i="6"/>
  <c r="F3588" i="6"/>
  <c r="E3588" i="6"/>
  <c r="G3588" i="6"/>
  <c r="F3589" i="6"/>
  <c r="E3589" i="6"/>
  <c r="G3589" i="6"/>
  <c r="F3590" i="6"/>
  <c r="E3590" i="6"/>
  <c r="G3590" i="6"/>
  <c r="F3591" i="6"/>
  <c r="E3591" i="6"/>
  <c r="G3591" i="6"/>
  <c r="F3592" i="6"/>
  <c r="E3592" i="6"/>
  <c r="G3592" i="6"/>
  <c r="F3593" i="6"/>
  <c r="E3593" i="6"/>
  <c r="G3593" i="6"/>
  <c r="F3594" i="6"/>
  <c r="E3594" i="6"/>
  <c r="G3594" i="6"/>
  <c r="F3595" i="6"/>
  <c r="E3595" i="6"/>
  <c r="G3595" i="6"/>
  <c r="F3596" i="6"/>
  <c r="E3596" i="6"/>
  <c r="G3596" i="6"/>
  <c r="F3597" i="6"/>
  <c r="E3597" i="6"/>
  <c r="G3597" i="6"/>
  <c r="F3598" i="6"/>
  <c r="E3598" i="6"/>
  <c r="G3598" i="6"/>
  <c r="F3599" i="6"/>
  <c r="E3599" i="6"/>
  <c r="G3599" i="6"/>
  <c r="F3600" i="6"/>
  <c r="E3600" i="6"/>
  <c r="G3600" i="6"/>
  <c r="F3601" i="6"/>
  <c r="E3601" i="6"/>
  <c r="G3601" i="6"/>
  <c r="F3602" i="6"/>
  <c r="E3602" i="6"/>
  <c r="G3602" i="6"/>
  <c r="F3603" i="6"/>
  <c r="E3603" i="6"/>
  <c r="G3603" i="6"/>
  <c r="F3604" i="6"/>
  <c r="E3604" i="6"/>
  <c r="G3604" i="6"/>
  <c r="F3605" i="6"/>
  <c r="E3605" i="6"/>
  <c r="G3605" i="6"/>
  <c r="F3606" i="6"/>
  <c r="E3606" i="6"/>
  <c r="G3606" i="6"/>
  <c r="F3607" i="6"/>
  <c r="E3607" i="6"/>
  <c r="G3607" i="6"/>
  <c r="F3608" i="6"/>
  <c r="E3608" i="6"/>
  <c r="G3608" i="6"/>
  <c r="F3609" i="6"/>
  <c r="E3609" i="6"/>
  <c r="G3609" i="6"/>
  <c r="F3610" i="6"/>
  <c r="E3610" i="6"/>
  <c r="G3610" i="6"/>
  <c r="F3611" i="6"/>
  <c r="E3611" i="6"/>
  <c r="G3611" i="6"/>
  <c r="F3612" i="6"/>
  <c r="E3612" i="6"/>
  <c r="G3612" i="6"/>
  <c r="F3613" i="6"/>
  <c r="E3613" i="6"/>
  <c r="G3613" i="6"/>
  <c r="F3614" i="6"/>
  <c r="E3614" i="6"/>
  <c r="G3614" i="6"/>
  <c r="F3615" i="6"/>
  <c r="E3615" i="6"/>
  <c r="G3615" i="6"/>
  <c r="F3616" i="6"/>
  <c r="E3616" i="6"/>
  <c r="G3616" i="6"/>
  <c r="F3617" i="6"/>
  <c r="E3617" i="6"/>
  <c r="G3617" i="6"/>
  <c r="F3618" i="6"/>
  <c r="E3618" i="6"/>
  <c r="G3618" i="6"/>
  <c r="F3619" i="6"/>
  <c r="E3619" i="6"/>
  <c r="G3619" i="6"/>
  <c r="F3620" i="6"/>
  <c r="E3620" i="6"/>
  <c r="G3620" i="6"/>
  <c r="F3621" i="6"/>
  <c r="E3621" i="6"/>
  <c r="G3621" i="6"/>
  <c r="F3622" i="6"/>
  <c r="E3622" i="6"/>
  <c r="G3622" i="6"/>
  <c r="F3623" i="6"/>
  <c r="E3623" i="6"/>
  <c r="G3623" i="6"/>
  <c r="F3624" i="6"/>
  <c r="E3624" i="6"/>
  <c r="G3624" i="6"/>
  <c r="F3625" i="6"/>
  <c r="E3625" i="6"/>
  <c r="G3625" i="6"/>
  <c r="F3626" i="6"/>
  <c r="E3626" i="6"/>
  <c r="G3626" i="6"/>
  <c r="F3627" i="6"/>
  <c r="E3627" i="6"/>
  <c r="G3627" i="6"/>
  <c r="F3628" i="6"/>
  <c r="E3628" i="6"/>
  <c r="G3628" i="6"/>
  <c r="F3629" i="6"/>
  <c r="E3629" i="6"/>
  <c r="G3629" i="6"/>
  <c r="F3630" i="6"/>
  <c r="E3630" i="6"/>
  <c r="G3630" i="6"/>
  <c r="F3631" i="6"/>
  <c r="E3631" i="6"/>
  <c r="G3631" i="6"/>
  <c r="F3632" i="6"/>
  <c r="E3632" i="6"/>
  <c r="G3632" i="6"/>
  <c r="F3633" i="6"/>
  <c r="E3633" i="6"/>
  <c r="G3633" i="6"/>
  <c r="F3634" i="6"/>
  <c r="E3634" i="6"/>
  <c r="G3634" i="6"/>
  <c r="F3635" i="6"/>
  <c r="E3635" i="6"/>
  <c r="G3635" i="6"/>
  <c r="F3636" i="6"/>
  <c r="E3636" i="6"/>
  <c r="G3636" i="6"/>
  <c r="F3637" i="6"/>
  <c r="E3637" i="6"/>
  <c r="G3637" i="6"/>
  <c r="F3638" i="6"/>
  <c r="E3638" i="6"/>
  <c r="G3638" i="6"/>
  <c r="F3639" i="6"/>
  <c r="E3639" i="6"/>
  <c r="G3639" i="6"/>
  <c r="F3640" i="6"/>
  <c r="E3640" i="6"/>
  <c r="G3640" i="6"/>
  <c r="F3641" i="6"/>
  <c r="E3641" i="6"/>
  <c r="G3641" i="6"/>
  <c r="F3642" i="6"/>
  <c r="E3642" i="6"/>
  <c r="G3642" i="6"/>
  <c r="F3643" i="6"/>
  <c r="E3643" i="6"/>
  <c r="G3643" i="6"/>
  <c r="F3644" i="6"/>
  <c r="E3644" i="6"/>
  <c r="G3644" i="6"/>
  <c r="F3645" i="6"/>
  <c r="E3645" i="6"/>
  <c r="G3645" i="6"/>
  <c r="F3646" i="6"/>
  <c r="E3646" i="6"/>
  <c r="G3646" i="6"/>
  <c r="F3647" i="6"/>
  <c r="E3647" i="6"/>
  <c r="G3647" i="6"/>
  <c r="F3648" i="6"/>
  <c r="E3648" i="6"/>
  <c r="G3648" i="6"/>
  <c r="F3649" i="6"/>
  <c r="E3649" i="6"/>
  <c r="G3649" i="6"/>
  <c r="F3650" i="6"/>
  <c r="E3650" i="6"/>
  <c r="G3650" i="6"/>
  <c r="F3651" i="6"/>
  <c r="E3651" i="6"/>
  <c r="G3651" i="6"/>
  <c r="F3652" i="6"/>
  <c r="E3652" i="6"/>
  <c r="G3652" i="6"/>
  <c r="F3653" i="6"/>
  <c r="E3653" i="6"/>
  <c r="G3653" i="6"/>
  <c r="F3654" i="6"/>
  <c r="E3654" i="6"/>
  <c r="G3654" i="6"/>
  <c r="F3655" i="6"/>
  <c r="E3655" i="6"/>
  <c r="G3655" i="6"/>
  <c r="F3656" i="6"/>
  <c r="E3656" i="6"/>
  <c r="G3656" i="6"/>
  <c r="F3657" i="6"/>
  <c r="E3657" i="6"/>
  <c r="G3657" i="6"/>
  <c r="F3658" i="6"/>
  <c r="E3658" i="6"/>
  <c r="G3658" i="6"/>
  <c r="F3659" i="6"/>
  <c r="E3659" i="6"/>
  <c r="G3659" i="6"/>
  <c r="F3660" i="6"/>
  <c r="E3660" i="6"/>
  <c r="G3660" i="6"/>
  <c r="F3661" i="6"/>
  <c r="E3661" i="6"/>
  <c r="G3661" i="6"/>
  <c r="F3662" i="6"/>
  <c r="E3662" i="6"/>
  <c r="G3662" i="6"/>
  <c r="F3663" i="6"/>
  <c r="E3663" i="6"/>
  <c r="G3663" i="6"/>
  <c r="F3664" i="6"/>
  <c r="E3664" i="6"/>
  <c r="G3664" i="6"/>
  <c r="F3665" i="6"/>
  <c r="E3665" i="6"/>
  <c r="G3665" i="6"/>
  <c r="F3666" i="6"/>
  <c r="E3666" i="6"/>
  <c r="G3666" i="6"/>
  <c r="F3667" i="6"/>
  <c r="E3667" i="6"/>
  <c r="G3667" i="6"/>
  <c r="F3668" i="6"/>
  <c r="E3668" i="6"/>
  <c r="G3668" i="6"/>
  <c r="F3669" i="6"/>
  <c r="E3669" i="6"/>
  <c r="G3669" i="6"/>
  <c r="F3670" i="6"/>
  <c r="E3670" i="6"/>
  <c r="G3670" i="6"/>
  <c r="F3671" i="6"/>
  <c r="E3671" i="6"/>
  <c r="G3671" i="6"/>
  <c r="F3672" i="6"/>
  <c r="E3672" i="6"/>
  <c r="G3672" i="6"/>
  <c r="F3673" i="6"/>
  <c r="E3673" i="6"/>
  <c r="G3673" i="6"/>
  <c r="F3674" i="6"/>
  <c r="E3674" i="6"/>
  <c r="G3674" i="6"/>
  <c r="F3675" i="6"/>
  <c r="E3675" i="6"/>
  <c r="G3675" i="6"/>
  <c r="F3676" i="6"/>
  <c r="E3676" i="6"/>
  <c r="G3676" i="6"/>
  <c r="F3677" i="6"/>
  <c r="E3677" i="6"/>
  <c r="G3677" i="6"/>
  <c r="F3678" i="6"/>
  <c r="E3678" i="6"/>
  <c r="G3678" i="6"/>
  <c r="F3679" i="6"/>
  <c r="E3679" i="6"/>
  <c r="G3679" i="6"/>
  <c r="F3680" i="6"/>
  <c r="E3680" i="6"/>
  <c r="G3680" i="6"/>
  <c r="F3681" i="6"/>
  <c r="E3681" i="6"/>
  <c r="G3681" i="6"/>
  <c r="F3682" i="6"/>
  <c r="E3682" i="6"/>
  <c r="G3682" i="6"/>
  <c r="F3683" i="6"/>
  <c r="E3683" i="6"/>
  <c r="G3683" i="6"/>
  <c r="F3684" i="6"/>
  <c r="E3684" i="6"/>
  <c r="G3684" i="6"/>
  <c r="F3685" i="6"/>
  <c r="E3685" i="6"/>
  <c r="G3685" i="6"/>
  <c r="F3686" i="6"/>
  <c r="E3686" i="6"/>
  <c r="G3686" i="6"/>
  <c r="F3687" i="6"/>
  <c r="E3687" i="6"/>
  <c r="G3687" i="6"/>
  <c r="F3688" i="6"/>
  <c r="E3688" i="6"/>
  <c r="G3688" i="6"/>
  <c r="F3689" i="6"/>
  <c r="E3689" i="6"/>
  <c r="G3689" i="6"/>
  <c r="F3690" i="6"/>
  <c r="E3690" i="6"/>
  <c r="G3690" i="6"/>
  <c r="F3691" i="6"/>
  <c r="E3691" i="6"/>
  <c r="G3691" i="6"/>
  <c r="F3692" i="6"/>
  <c r="E3692" i="6"/>
  <c r="G3692" i="6"/>
  <c r="F3693" i="6"/>
  <c r="E3693" i="6"/>
  <c r="G3693" i="6"/>
  <c r="F3694" i="6"/>
  <c r="E3694" i="6"/>
  <c r="G3694" i="6"/>
  <c r="F3695" i="6"/>
  <c r="E3695" i="6"/>
  <c r="G3695" i="6"/>
  <c r="F3696" i="6"/>
  <c r="E3696" i="6"/>
  <c r="G3696" i="6"/>
  <c r="F3697" i="6"/>
  <c r="E3697" i="6"/>
  <c r="G3697" i="6"/>
  <c r="F3698" i="6"/>
  <c r="E3698" i="6"/>
  <c r="G3698" i="6"/>
  <c r="F3699" i="6"/>
  <c r="E3699" i="6"/>
  <c r="G3699" i="6"/>
  <c r="F3700" i="6"/>
  <c r="E3700" i="6"/>
  <c r="G3700" i="6"/>
  <c r="F3701" i="6"/>
  <c r="E3701" i="6"/>
  <c r="G3701" i="6"/>
  <c r="F3702" i="6"/>
  <c r="E3702" i="6"/>
  <c r="G3702" i="6"/>
  <c r="F3703" i="6"/>
  <c r="E3703" i="6"/>
  <c r="G3703" i="6"/>
  <c r="F3704" i="6"/>
  <c r="E3704" i="6"/>
  <c r="G3704" i="6"/>
  <c r="F3705" i="6"/>
  <c r="E3705" i="6"/>
  <c r="G3705" i="6"/>
  <c r="F3706" i="6"/>
  <c r="E3706" i="6"/>
  <c r="G3706" i="6"/>
  <c r="F3707" i="6"/>
  <c r="E3707" i="6"/>
  <c r="G3707" i="6"/>
  <c r="F3708" i="6"/>
  <c r="E3708" i="6"/>
  <c r="G3708" i="6"/>
  <c r="F3709" i="6"/>
  <c r="E3709" i="6"/>
  <c r="G3709" i="6"/>
  <c r="F3710" i="6"/>
  <c r="E3710" i="6"/>
  <c r="G3710" i="6"/>
  <c r="F3711" i="6"/>
  <c r="E3711" i="6"/>
  <c r="G3711" i="6"/>
  <c r="F3712" i="6"/>
  <c r="E3712" i="6"/>
  <c r="G3712" i="6"/>
  <c r="F3713" i="6"/>
  <c r="E3713" i="6"/>
  <c r="G3713" i="6"/>
  <c r="F3714" i="6"/>
  <c r="E3714" i="6"/>
  <c r="G3714" i="6"/>
  <c r="F3715" i="6"/>
  <c r="E3715" i="6"/>
  <c r="G3715" i="6"/>
  <c r="F3716" i="6"/>
  <c r="E3716" i="6"/>
  <c r="G3716" i="6"/>
  <c r="F3717" i="6"/>
  <c r="E3717" i="6"/>
  <c r="G3717" i="6"/>
  <c r="F3718" i="6"/>
  <c r="E3718" i="6"/>
  <c r="G3718" i="6"/>
  <c r="F3719" i="6"/>
  <c r="E3719" i="6"/>
  <c r="G3719" i="6"/>
  <c r="F3720" i="6"/>
  <c r="E3720" i="6"/>
  <c r="G3720" i="6"/>
  <c r="F3721" i="6"/>
  <c r="E3721" i="6"/>
  <c r="G3721" i="6"/>
  <c r="F3722" i="6"/>
  <c r="E3722" i="6"/>
  <c r="G3722" i="6"/>
  <c r="F3723" i="6"/>
  <c r="E3723" i="6"/>
  <c r="G3723" i="6"/>
  <c r="F3724" i="6"/>
  <c r="E3724" i="6"/>
  <c r="G3724" i="6"/>
  <c r="F3725" i="6"/>
  <c r="E3725" i="6"/>
  <c r="G3725" i="6"/>
  <c r="F3726" i="6"/>
  <c r="E3726" i="6"/>
  <c r="G3726" i="6"/>
  <c r="F3727" i="6"/>
  <c r="E3727" i="6"/>
  <c r="G3727" i="6"/>
  <c r="F3728" i="6"/>
  <c r="E3728" i="6"/>
  <c r="G3728" i="6"/>
  <c r="F3729" i="6"/>
  <c r="E3729" i="6"/>
  <c r="G3729" i="6"/>
  <c r="F3730" i="6"/>
  <c r="E3730" i="6"/>
  <c r="G3730" i="6"/>
  <c r="F3731" i="6"/>
  <c r="E3731" i="6"/>
  <c r="G3731" i="6"/>
  <c r="F3732" i="6"/>
  <c r="E3732" i="6"/>
  <c r="G3732" i="6"/>
  <c r="F3733" i="6"/>
  <c r="E3733" i="6"/>
  <c r="G3733" i="6"/>
  <c r="F3734" i="6"/>
  <c r="E3734" i="6"/>
  <c r="G3734" i="6"/>
  <c r="F3735" i="6"/>
  <c r="E3735" i="6"/>
  <c r="G3735" i="6"/>
  <c r="F3736" i="6"/>
  <c r="E3736" i="6"/>
  <c r="G3736" i="6"/>
  <c r="F3737" i="6"/>
  <c r="E3737" i="6"/>
  <c r="G3737" i="6"/>
  <c r="F3738" i="6"/>
  <c r="E3738" i="6"/>
  <c r="G3738" i="6"/>
  <c r="F3739" i="6"/>
  <c r="E3739" i="6"/>
  <c r="G3739" i="6"/>
  <c r="F3740" i="6"/>
  <c r="E3740" i="6"/>
  <c r="G3740" i="6"/>
  <c r="F3741" i="6"/>
  <c r="E3741" i="6"/>
  <c r="G3741" i="6"/>
  <c r="F3742" i="6"/>
  <c r="E3742" i="6"/>
  <c r="G3742" i="6"/>
  <c r="F3743" i="6"/>
  <c r="E3743" i="6"/>
  <c r="G3743" i="6"/>
  <c r="F3744" i="6"/>
  <c r="E3744" i="6"/>
  <c r="G3744" i="6"/>
  <c r="F3745" i="6"/>
  <c r="E3745" i="6"/>
  <c r="G3745" i="6"/>
  <c r="F3746" i="6"/>
  <c r="E3746" i="6"/>
  <c r="G3746" i="6"/>
  <c r="F3747" i="6"/>
  <c r="E3747" i="6"/>
  <c r="G3747" i="6"/>
  <c r="F3748" i="6"/>
  <c r="E3748" i="6"/>
  <c r="G3748" i="6"/>
  <c r="F3749" i="6"/>
  <c r="E3749" i="6"/>
  <c r="G3749" i="6"/>
  <c r="F3750" i="6"/>
  <c r="E3750" i="6"/>
  <c r="G3750" i="6"/>
  <c r="F3751" i="6"/>
  <c r="E3751" i="6"/>
  <c r="G3751" i="6"/>
  <c r="F3752" i="6"/>
  <c r="E3752" i="6"/>
  <c r="G3752" i="6"/>
  <c r="F3753" i="6"/>
  <c r="E3753" i="6"/>
  <c r="G3753" i="6"/>
  <c r="F3754" i="6"/>
  <c r="E3754" i="6"/>
  <c r="G3754" i="6"/>
  <c r="F3755" i="6"/>
  <c r="E3755" i="6"/>
  <c r="G3755" i="6"/>
  <c r="F3756" i="6"/>
  <c r="E3756" i="6"/>
  <c r="G3756" i="6"/>
  <c r="F3757" i="6"/>
  <c r="E3757" i="6"/>
  <c r="G3757" i="6"/>
  <c r="F3758" i="6"/>
  <c r="E3758" i="6"/>
  <c r="G3758" i="6"/>
  <c r="F3759" i="6"/>
  <c r="E3759" i="6"/>
  <c r="G3759" i="6"/>
  <c r="F3760" i="6"/>
  <c r="E3760" i="6"/>
  <c r="G3760" i="6"/>
  <c r="F3761" i="6"/>
  <c r="E3761" i="6"/>
  <c r="G3761" i="6"/>
  <c r="F3762" i="6"/>
  <c r="E3762" i="6"/>
  <c r="G3762" i="6"/>
  <c r="F3763" i="6"/>
  <c r="E3763" i="6"/>
  <c r="G3763" i="6"/>
  <c r="F3764" i="6"/>
  <c r="E3764" i="6"/>
  <c r="G3764" i="6"/>
  <c r="F3765" i="6"/>
  <c r="E3765" i="6"/>
  <c r="G3765" i="6"/>
  <c r="F3766" i="6"/>
  <c r="E3766" i="6"/>
  <c r="G3766" i="6"/>
  <c r="F3767" i="6"/>
  <c r="E3767" i="6"/>
  <c r="G3767" i="6"/>
  <c r="F3768" i="6"/>
  <c r="E3768" i="6"/>
  <c r="G3768" i="6"/>
  <c r="F3769" i="6"/>
  <c r="E3769" i="6"/>
  <c r="G3769" i="6"/>
  <c r="F3770" i="6"/>
  <c r="E3770" i="6"/>
  <c r="G3770" i="6"/>
  <c r="F3771" i="6"/>
  <c r="E3771" i="6"/>
  <c r="G3771" i="6"/>
  <c r="F3772" i="6"/>
  <c r="E3772" i="6"/>
  <c r="G3772" i="6"/>
  <c r="F3773" i="6"/>
  <c r="E3773" i="6"/>
  <c r="G3773" i="6"/>
  <c r="F3774" i="6"/>
  <c r="E3774" i="6"/>
  <c r="G3774" i="6"/>
  <c r="F3775" i="6"/>
  <c r="E3775" i="6"/>
  <c r="G3775" i="6"/>
  <c r="F3776" i="6"/>
  <c r="E3776" i="6"/>
  <c r="G3776" i="6"/>
  <c r="F3777" i="6"/>
  <c r="E3777" i="6"/>
  <c r="G3777" i="6"/>
  <c r="F3778" i="6"/>
  <c r="E3778" i="6"/>
  <c r="G3778" i="6"/>
  <c r="F3779" i="6"/>
  <c r="E3779" i="6"/>
  <c r="G3779" i="6"/>
  <c r="F3780" i="6"/>
  <c r="E3780" i="6"/>
  <c r="G3780" i="6"/>
  <c r="F3781" i="6"/>
  <c r="E3781" i="6"/>
  <c r="G3781" i="6"/>
  <c r="F3782" i="6"/>
  <c r="E3782" i="6"/>
  <c r="G3782" i="6"/>
  <c r="F3783" i="6"/>
  <c r="E3783" i="6"/>
  <c r="G3783" i="6"/>
  <c r="F3784" i="6"/>
  <c r="E3784" i="6"/>
  <c r="G3784" i="6"/>
  <c r="F3785" i="6"/>
  <c r="E3785" i="6"/>
  <c r="G3785" i="6"/>
  <c r="F3786" i="6"/>
  <c r="E3786" i="6"/>
  <c r="G3786" i="6"/>
  <c r="F3787" i="6"/>
  <c r="E3787" i="6"/>
  <c r="G3787" i="6"/>
  <c r="F3788" i="6"/>
  <c r="E3788" i="6"/>
  <c r="G3788" i="6"/>
  <c r="F3789" i="6"/>
  <c r="E3789" i="6"/>
  <c r="G3789" i="6"/>
  <c r="F3790" i="6"/>
  <c r="E3790" i="6"/>
  <c r="G3790" i="6"/>
  <c r="F3791" i="6"/>
  <c r="E3791" i="6"/>
  <c r="G3791" i="6"/>
  <c r="F3792" i="6"/>
  <c r="E3792" i="6"/>
  <c r="G3792" i="6"/>
  <c r="F3793" i="6"/>
  <c r="E3793" i="6"/>
  <c r="G3793" i="6"/>
  <c r="F3794" i="6"/>
  <c r="E3794" i="6"/>
  <c r="G3794" i="6"/>
  <c r="F3795" i="6"/>
  <c r="E3795" i="6"/>
  <c r="G3795" i="6"/>
  <c r="F3796" i="6"/>
  <c r="E3796" i="6"/>
  <c r="G3796" i="6"/>
  <c r="F3797" i="6"/>
  <c r="E3797" i="6"/>
  <c r="G3797" i="6"/>
  <c r="F3798" i="6"/>
  <c r="E3798" i="6"/>
  <c r="G3798" i="6"/>
  <c r="F3799" i="6"/>
  <c r="E3799" i="6"/>
  <c r="G3799" i="6"/>
  <c r="F3800" i="6"/>
  <c r="E3800" i="6"/>
  <c r="G3800" i="6"/>
  <c r="F3801" i="6"/>
  <c r="E3801" i="6"/>
  <c r="G3801" i="6"/>
  <c r="F3802" i="6"/>
  <c r="E3802" i="6"/>
  <c r="G3802" i="6"/>
  <c r="F3803" i="6"/>
  <c r="E3803" i="6"/>
  <c r="G3803" i="6"/>
  <c r="F3804" i="6"/>
  <c r="E3804" i="6"/>
  <c r="G3804" i="6"/>
  <c r="F3805" i="6"/>
  <c r="E3805" i="6"/>
  <c r="G3805" i="6"/>
  <c r="F3806" i="6"/>
  <c r="E3806" i="6"/>
  <c r="G3806" i="6"/>
  <c r="F3807" i="6"/>
  <c r="E3807" i="6"/>
  <c r="G3807" i="6"/>
  <c r="F3808" i="6"/>
  <c r="E3808" i="6"/>
  <c r="G3808" i="6"/>
  <c r="F3809" i="6"/>
  <c r="E3809" i="6"/>
  <c r="G3809" i="6"/>
  <c r="F3810" i="6"/>
  <c r="E3810" i="6"/>
  <c r="G3810" i="6"/>
  <c r="F3811" i="6"/>
  <c r="E3811" i="6"/>
  <c r="G3811" i="6"/>
  <c r="F3812" i="6"/>
  <c r="E3812" i="6"/>
  <c r="G3812" i="6"/>
  <c r="F3813" i="6"/>
  <c r="E3813" i="6"/>
  <c r="G3813" i="6"/>
  <c r="F3814" i="6"/>
  <c r="E3814" i="6"/>
  <c r="G3814" i="6"/>
  <c r="F3815" i="6"/>
  <c r="E3815" i="6"/>
  <c r="G3815" i="6"/>
  <c r="F3816" i="6"/>
  <c r="E3816" i="6"/>
  <c r="G3816" i="6"/>
  <c r="F3817" i="6"/>
  <c r="E3817" i="6"/>
  <c r="G3817" i="6"/>
  <c r="F3818" i="6"/>
  <c r="E3818" i="6"/>
  <c r="G3818" i="6"/>
  <c r="F3819" i="6"/>
  <c r="E3819" i="6"/>
  <c r="G3819" i="6"/>
  <c r="F3820" i="6"/>
  <c r="E3820" i="6"/>
  <c r="G3820" i="6"/>
  <c r="F3821" i="6"/>
  <c r="E3821" i="6"/>
  <c r="G3821" i="6"/>
  <c r="F3822" i="6"/>
  <c r="E3822" i="6"/>
  <c r="G3822" i="6"/>
  <c r="F3823" i="6"/>
  <c r="E3823" i="6"/>
  <c r="G3823" i="6"/>
  <c r="F3824" i="6"/>
  <c r="E3824" i="6"/>
  <c r="G3824" i="6"/>
  <c r="F3825" i="6"/>
  <c r="E3825" i="6"/>
  <c r="G3825" i="6"/>
  <c r="F3826" i="6"/>
  <c r="E3826" i="6"/>
  <c r="G3826" i="6"/>
  <c r="F3827" i="6"/>
  <c r="E3827" i="6"/>
  <c r="G3827" i="6"/>
  <c r="F3828" i="6"/>
  <c r="E3828" i="6"/>
  <c r="G3828" i="6"/>
  <c r="F3829" i="6"/>
  <c r="E3829" i="6"/>
  <c r="G3829" i="6"/>
  <c r="F3830" i="6"/>
  <c r="E3830" i="6"/>
  <c r="G3830" i="6"/>
  <c r="F3831" i="6"/>
  <c r="E3831" i="6"/>
  <c r="G3831" i="6"/>
  <c r="F3832" i="6"/>
  <c r="E3832" i="6"/>
  <c r="G3832" i="6"/>
  <c r="F3833" i="6"/>
  <c r="E3833" i="6"/>
  <c r="G3833" i="6"/>
  <c r="F3834" i="6"/>
  <c r="E3834" i="6"/>
  <c r="G3834" i="6"/>
  <c r="F3835" i="6"/>
  <c r="E3835" i="6"/>
  <c r="G3835" i="6"/>
  <c r="F3836" i="6"/>
  <c r="E3836" i="6"/>
  <c r="G3836" i="6"/>
  <c r="F3837" i="6"/>
  <c r="E3837" i="6"/>
  <c r="G3837" i="6"/>
  <c r="F3838" i="6"/>
  <c r="E3838" i="6"/>
  <c r="G3838" i="6"/>
  <c r="F3839" i="6"/>
  <c r="E3839" i="6"/>
  <c r="G3839" i="6"/>
  <c r="F3840" i="6"/>
  <c r="E3840" i="6"/>
  <c r="G3840" i="6"/>
  <c r="F3841" i="6"/>
  <c r="E3841" i="6"/>
  <c r="G3841" i="6"/>
  <c r="F3842" i="6"/>
  <c r="E3842" i="6"/>
  <c r="G3842" i="6"/>
  <c r="F3843" i="6"/>
  <c r="E3843" i="6"/>
  <c r="G3843" i="6"/>
  <c r="F3844" i="6"/>
  <c r="E3844" i="6"/>
  <c r="G3844" i="6"/>
  <c r="F3845" i="6"/>
  <c r="E3845" i="6"/>
  <c r="G3845" i="6"/>
  <c r="F3846" i="6"/>
  <c r="E3846" i="6"/>
  <c r="G3846" i="6"/>
  <c r="F3847" i="6"/>
  <c r="E3847" i="6"/>
  <c r="G3847" i="6"/>
  <c r="F3848" i="6"/>
  <c r="E3848" i="6"/>
  <c r="G3848" i="6"/>
  <c r="F3849" i="6"/>
  <c r="E3849" i="6"/>
  <c r="G3849" i="6"/>
  <c r="F3850" i="6"/>
  <c r="E3850" i="6"/>
  <c r="G3850" i="6"/>
  <c r="F3851" i="6"/>
  <c r="E3851" i="6"/>
  <c r="G3851" i="6"/>
  <c r="F3852" i="6"/>
  <c r="E3852" i="6"/>
  <c r="G3852" i="6"/>
  <c r="F3853" i="6"/>
  <c r="E3853" i="6"/>
  <c r="G3853" i="6"/>
  <c r="F3854" i="6"/>
  <c r="E3854" i="6"/>
  <c r="G3854" i="6"/>
  <c r="F3855" i="6"/>
  <c r="E3855" i="6"/>
  <c r="G3855" i="6"/>
  <c r="F3856" i="6"/>
  <c r="E3856" i="6"/>
  <c r="G3856" i="6"/>
  <c r="F3857" i="6"/>
  <c r="E3857" i="6"/>
  <c r="G3857" i="6"/>
  <c r="F3858" i="6"/>
  <c r="E3858" i="6"/>
  <c r="G3858" i="6"/>
  <c r="F3859" i="6"/>
  <c r="E3859" i="6"/>
  <c r="G3859" i="6"/>
  <c r="F3860" i="6"/>
  <c r="E3860" i="6"/>
  <c r="G3860" i="6"/>
  <c r="F3861" i="6"/>
  <c r="E3861" i="6"/>
  <c r="G3861" i="6"/>
  <c r="F3862" i="6"/>
  <c r="E3862" i="6"/>
  <c r="G3862" i="6"/>
  <c r="F3863" i="6"/>
  <c r="E3863" i="6"/>
  <c r="G3863" i="6"/>
  <c r="F3864" i="6"/>
  <c r="E3864" i="6"/>
  <c r="G3864" i="6"/>
  <c r="F3865" i="6"/>
  <c r="E3865" i="6"/>
  <c r="G3865" i="6"/>
  <c r="F3866" i="6"/>
  <c r="E3866" i="6"/>
  <c r="G3866" i="6"/>
  <c r="F3867" i="6"/>
  <c r="E3867" i="6"/>
  <c r="G3867" i="6"/>
  <c r="F3868" i="6"/>
  <c r="E3868" i="6"/>
  <c r="G3868" i="6"/>
  <c r="F3869" i="6"/>
  <c r="E3869" i="6"/>
  <c r="G3869" i="6"/>
  <c r="F3870" i="6"/>
  <c r="E3870" i="6"/>
  <c r="G3870" i="6"/>
  <c r="F3871" i="6"/>
  <c r="E3871" i="6"/>
  <c r="G3871" i="6"/>
  <c r="F3872" i="6"/>
  <c r="E3872" i="6"/>
  <c r="G3872" i="6"/>
  <c r="F3873" i="6"/>
  <c r="E3873" i="6"/>
  <c r="G3873" i="6"/>
  <c r="F3874" i="6"/>
  <c r="E3874" i="6"/>
  <c r="G3874" i="6"/>
  <c r="F3875" i="6"/>
  <c r="E3875" i="6"/>
  <c r="G3875" i="6"/>
  <c r="F3876" i="6"/>
  <c r="E3876" i="6"/>
  <c r="G3876" i="6"/>
  <c r="F3877" i="6"/>
  <c r="E3877" i="6"/>
  <c r="G3877" i="6"/>
  <c r="F3878" i="6"/>
  <c r="E3878" i="6"/>
  <c r="G3878" i="6"/>
  <c r="F3879" i="6"/>
  <c r="E3879" i="6"/>
  <c r="G3879" i="6"/>
  <c r="F3880" i="6"/>
  <c r="E3880" i="6"/>
  <c r="G3880" i="6"/>
  <c r="E3881" i="6"/>
  <c r="G3881" i="6"/>
  <c r="F3882" i="6"/>
  <c r="E3882" i="6"/>
  <c r="G3882" i="6"/>
  <c r="F3883" i="6"/>
  <c r="E3883" i="6"/>
  <c r="G3883" i="6"/>
  <c r="F3884" i="6"/>
  <c r="E3884" i="6"/>
  <c r="G3884" i="6"/>
  <c r="F3885" i="6"/>
  <c r="E3885" i="6"/>
  <c r="G3885" i="6"/>
  <c r="F3886" i="6"/>
  <c r="E3886" i="6"/>
  <c r="G3886" i="6"/>
  <c r="F3887" i="6"/>
  <c r="E3887" i="6"/>
  <c r="G3887" i="6"/>
  <c r="F3888" i="6"/>
  <c r="E3888" i="6"/>
  <c r="G3888" i="6"/>
  <c r="F3889" i="6"/>
  <c r="E3889" i="6"/>
  <c r="G3889" i="6"/>
  <c r="F3890" i="6"/>
  <c r="E3890" i="6"/>
  <c r="G3890" i="6"/>
  <c r="F3891" i="6"/>
  <c r="E3891" i="6"/>
  <c r="G3891" i="6"/>
  <c r="F3892" i="6"/>
  <c r="E3892" i="6"/>
  <c r="G3892" i="6"/>
  <c r="F3893" i="6"/>
  <c r="E3893" i="6"/>
  <c r="G3893" i="6"/>
  <c r="F3894" i="6"/>
  <c r="E3894" i="6"/>
  <c r="G3894" i="6"/>
  <c r="F3895" i="6"/>
  <c r="E3895" i="6"/>
  <c r="G3895" i="6"/>
  <c r="F3896" i="6"/>
  <c r="E3896" i="6"/>
  <c r="G3896" i="6"/>
  <c r="F3897" i="6"/>
  <c r="E3897" i="6"/>
  <c r="G3897" i="6"/>
  <c r="F3898" i="6"/>
  <c r="E3898" i="6"/>
  <c r="G3898" i="6"/>
  <c r="F3899" i="6"/>
  <c r="E3899" i="6"/>
  <c r="G3899" i="6"/>
  <c r="F3900" i="6"/>
  <c r="E3900" i="6"/>
  <c r="G3900" i="6"/>
  <c r="F3901" i="6"/>
  <c r="E3901" i="6"/>
  <c r="G3901" i="6"/>
  <c r="F3902" i="6"/>
  <c r="E3902" i="6"/>
  <c r="G3902" i="6"/>
  <c r="F3903" i="6"/>
  <c r="E3903" i="6"/>
  <c r="G3903" i="6"/>
  <c r="F3904" i="6"/>
  <c r="E3904" i="6"/>
  <c r="G3904" i="6"/>
  <c r="F3905" i="6"/>
  <c r="E3905" i="6"/>
  <c r="G3905" i="6"/>
  <c r="F3906" i="6"/>
  <c r="E3906" i="6"/>
  <c r="G3906" i="6"/>
  <c r="F3907" i="6"/>
  <c r="E3907" i="6"/>
  <c r="G3907" i="6"/>
  <c r="F3908" i="6"/>
  <c r="E3908" i="6"/>
  <c r="G3908" i="6"/>
  <c r="F3909" i="6"/>
  <c r="E3909" i="6"/>
  <c r="G3909" i="6"/>
  <c r="F3910" i="6"/>
  <c r="E3910" i="6"/>
  <c r="G3910" i="6"/>
  <c r="F3911" i="6"/>
  <c r="E3911" i="6"/>
  <c r="G3911" i="6"/>
  <c r="F3912" i="6"/>
  <c r="E3912" i="6"/>
  <c r="G3912" i="6"/>
  <c r="F3913" i="6"/>
  <c r="E3913" i="6"/>
  <c r="G3913" i="6"/>
  <c r="F3914" i="6"/>
  <c r="E3914" i="6"/>
  <c r="G3914" i="6"/>
  <c r="F3915" i="6"/>
  <c r="E3915" i="6"/>
  <c r="G3915" i="6"/>
  <c r="F3916" i="6"/>
  <c r="E3916" i="6"/>
  <c r="G3916" i="6"/>
  <c r="F3917" i="6"/>
  <c r="E3917" i="6"/>
  <c r="G3917" i="6"/>
  <c r="F3918" i="6"/>
  <c r="E3918" i="6"/>
  <c r="G3918" i="6"/>
  <c r="F3919" i="6"/>
  <c r="E3919" i="6"/>
  <c r="G3919" i="6"/>
  <c r="F3920" i="6"/>
  <c r="E3920" i="6"/>
  <c r="G3920" i="6"/>
  <c r="F3921" i="6"/>
  <c r="E3921" i="6"/>
  <c r="G3921" i="6"/>
  <c r="F3922" i="6"/>
  <c r="E3922" i="6"/>
  <c r="G3922" i="6"/>
  <c r="F3923" i="6"/>
  <c r="E3923" i="6"/>
  <c r="G3923" i="6"/>
  <c r="F3924" i="6"/>
  <c r="E3924" i="6"/>
  <c r="G3924" i="6"/>
  <c r="F3925" i="6"/>
  <c r="E3925" i="6"/>
  <c r="G3925" i="6"/>
  <c r="F3926" i="6"/>
  <c r="E3926" i="6"/>
  <c r="G3926" i="6"/>
  <c r="F3927" i="6"/>
  <c r="E3927" i="6"/>
  <c r="G3927" i="6"/>
  <c r="F3928" i="6"/>
  <c r="E3928" i="6"/>
  <c r="G3928" i="6"/>
  <c r="F3929" i="6"/>
  <c r="E3929" i="6"/>
  <c r="G3929" i="6"/>
  <c r="F3930" i="6"/>
  <c r="E3930" i="6"/>
  <c r="G3930" i="6"/>
  <c r="F3931" i="6"/>
  <c r="E3931" i="6"/>
  <c r="G3931" i="6"/>
  <c r="F3932" i="6"/>
  <c r="E3932" i="6"/>
  <c r="G3932" i="6"/>
  <c r="F3933" i="6"/>
  <c r="E3933" i="6"/>
  <c r="G3933" i="6"/>
  <c r="F3934" i="6"/>
  <c r="E3934" i="6"/>
  <c r="G3934" i="6"/>
  <c r="F3935" i="6"/>
  <c r="E3935" i="6"/>
  <c r="G3935" i="6"/>
  <c r="F3936" i="6"/>
  <c r="E3936" i="6"/>
  <c r="G3936" i="6"/>
  <c r="F3937" i="6"/>
  <c r="E3937" i="6"/>
  <c r="G3937" i="6"/>
  <c r="F3938" i="6"/>
  <c r="E3938" i="6"/>
  <c r="G3938" i="6"/>
  <c r="F3939" i="6"/>
  <c r="E3939" i="6"/>
  <c r="G3939" i="6"/>
  <c r="F3940" i="6"/>
  <c r="E3940" i="6"/>
  <c r="G3940" i="6"/>
  <c r="F3941" i="6"/>
  <c r="E3941" i="6"/>
  <c r="G3941" i="6"/>
  <c r="F3942" i="6"/>
  <c r="E3942" i="6"/>
  <c r="G3942" i="6"/>
  <c r="F3943" i="6"/>
  <c r="E3943" i="6"/>
  <c r="G3943" i="6"/>
  <c r="F3944" i="6"/>
  <c r="E3944" i="6"/>
  <c r="G3944" i="6"/>
  <c r="F3945" i="6"/>
  <c r="E3945" i="6"/>
  <c r="G3945" i="6"/>
  <c r="F3946" i="6"/>
  <c r="E3946" i="6"/>
  <c r="G3946" i="6"/>
  <c r="F3947" i="6"/>
  <c r="E3947" i="6"/>
  <c r="G3947" i="6"/>
  <c r="F3948" i="6"/>
  <c r="E3948" i="6"/>
  <c r="G3948" i="6"/>
  <c r="F3949" i="6"/>
  <c r="E3949" i="6"/>
  <c r="G3949" i="6"/>
  <c r="F3950" i="6"/>
  <c r="E3950" i="6"/>
  <c r="G3950" i="6"/>
  <c r="F3951" i="6"/>
  <c r="E3951" i="6"/>
  <c r="G3951" i="6"/>
  <c r="F3952" i="6"/>
  <c r="E3952" i="6"/>
  <c r="G3952" i="6"/>
  <c r="F3953" i="6"/>
  <c r="E3953" i="6"/>
  <c r="G3953" i="6"/>
  <c r="F3954" i="6"/>
  <c r="E3954" i="6"/>
  <c r="G3954" i="6"/>
  <c r="F3955" i="6"/>
  <c r="E3955" i="6"/>
  <c r="G3955" i="6"/>
  <c r="F3956" i="6"/>
  <c r="E3956" i="6"/>
  <c r="G3956" i="6"/>
  <c r="F3957" i="6"/>
  <c r="E3957" i="6"/>
  <c r="G3957" i="6"/>
  <c r="F3958" i="6"/>
  <c r="E3958" i="6"/>
  <c r="G3958" i="6"/>
  <c r="F3959" i="6"/>
  <c r="E3959" i="6"/>
  <c r="G3959" i="6"/>
  <c r="F3960" i="6"/>
  <c r="E3960" i="6"/>
  <c r="G3960" i="6"/>
  <c r="F3961" i="6"/>
  <c r="E3961" i="6"/>
  <c r="G3961" i="6"/>
  <c r="F3962" i="6"/>
  <c r="E3962" i="6"/>
  <c r="G3962" i="6"/>
  <c r="F3963" i="6"/>
  <c r="E3963" i="6"/>
  <c r="G3963" i="6"/>
  <c r="F3964" i="6"/>
  <c r="E3964" i="6"/>
  <c r="G3964" i="6"/>
  <c r="F3965" i="6"/>
  <c r="E3965" i="6"/>
  <c r="G3965" i="6"/>
  <c r="F3966" i="6"/>
  <c r="E3966" i="6"/>
  <c r="G3966" i="6"/>
  <c r="F3967" i="6"/>
  <c r="E3967" i="6"/>
  <c r="G3967" i="6"/>
  <c r="F3968" i="6"/>
  <c r="E3968" i="6"/>
  <c r="G3968" i="6"/>
  <c r="F3969" i="6"/>
  <c r="E3969" i="6"/>
  <c r="G3969" i="6"/>
  <c r="F3970" i="6"/>
  <c r="E3970" i="6"/>
  <c r="G3970" i="6"/>
  <c r="F3971" i="6"/>
  <c r="E3971" i="6"/>
  <c r="G3971" i="6"/>
  <c r="F3972" i="6"/>
  <c r="E3972" i="6"/>
  <c r="G3972" i="6"/>
  <c r="F3973" i="6"/>
  <c r="E3973" i="6"/>
  <c r="G3973" i="6"/>
  <c r="F3974" i="6"/>
  <c r="E3974" i="6"/>
  <c r="G3974" i="6"/>
  <c r="F3975" i="6"/>
  <c r="E3975" i="6"/>
  <c r="G3975" i="6"/>
  <c r="F3976" i="6"/>
  <c r="E3976" i="6"/>
  <c r="G3976" i="6"/>
  <c r="F3977" i="6"/>
  <c r="E3977" i="6"/>
  <c r="G3977" i="6"/>
  <c r="F3978" i="6"/>
  <c r="E3978" i="6"/>
  <c r="G3978" i="6"/>
  <c r="F3979" i="6"/>
  <c r="E3979" i="6"/>
  <c r="G3979" i="6"/>
  <c r="F3980" i="6"/>
  <c r="E3980" i="6"/>
  <c r="G3980" i="6"/>
  <c r="F3981" i="6"/>
  <c r="E3981" i="6"/>
  <c r="G3981" i="6"/>
  <c r="F3982" i="6"/>
  <c r="E3982" i="6"/>
  <c r="G3982" i="6"/>
  <c r="F3983" i="6"/>
  <c r="E3983" i="6"/>
  <c r="G3983" i="6"/>
  <c r="F3984" i="6"/>
  <c r="E3984" i="6"/>
  <c r="G3984" i="6"/>
  <c r="F3985" i="6"/>
  <c r="E3985" i="6"/>
  <c r="G3985" i="6"/>
  <c r="F3986" i="6"/>
  <c r="E3986" i="6"/>
  <c r="G3986" i="6"/>
  <c r="F3987" i="6"/>
  <c r="E3987" i="6"/>
  <c r="G3987" i="6"/>
  <c r="F3988" i="6"/>
  <c r="E3988" i="6"/>
  <c r="G3988" i="6"/>
  <c r="F3989" i="6"/>
  <c r="E3989" i="6"/>
  <c r="G3989" i="6"/>
  <c r="F3990" i="6"/>
  <c r="E3990" i="6"/>
  <c r="G3990" i="6"/>
  <c r="F3991" i="6"/>
  <c r="E3991" i="6"/>
  <c r="G3991" i="6"/>
  <c r="F3992" i="6"/>
  <c r="E3992" i="6"/>
  <c r="G3992" i="6"/>
  <c r="F3993" i="6"/>
  <c r="E3993" i="6"/>
  <c r="G3993" i="6"/>
  <c r="F3994" i="6"/>
  <c r="E3994" i="6"/>
  <c r="G3994" i="6"/>
  <c r="F3995" i="6"/>
  <c r="E3995" i="6"/>
  <c r="G3995" i="6"/>
  <c r="F3996" i="6"/>
  <c r="E3996" i="6"/>
  <c r="G3996" i="6"/>
  <c r="F3997" i="6"/>
  <c r="E3997" i="6"/>
  <c r="G3997" i="6"/>
  <c r="F3998" i="6"/>
  <c r="E3998" i="6"/>
  <c r="G3998" i="6"/>
  <c r="F3999" i="6"/>
  <c r="E3999" i="6"/>
  <c r="G3999" i="6"/>
  <c r="F4000" i="6"/>
  <c r="E4000" i="6"/>
  <c r="G4000" i="6"/>
  <c r="F4001" i="6"/>
  <c r="E4001" i="6"/>
  <c r="G4001" i="6"/>
  <c r="F4002" i="6"/>
  <c r="E4002" i="6"/>
  <c r="G4002" i="6"/>
  <c r="F4003" i="6"/>
  <c r="E4003" i="6"/>
  <c r="G4003" i="6"/>
  <c r="F4004" i="6"/>
  <c r="E4004" i="6"/>
  <c r="G4004" i="6"/>
  <c r="F4005" i="6"/>
  <c r="E4005" i="6"/>
  <c r="G4005" i="6"/>
  <c r="F4006" i="6"/>
  <c r="E4006" i="6"/>
  <c r="G4006" i="6"/>
  <c r="F4007" i="6"/>
  <c r="E4007" i="6"/>
  <c r="G4007" i="6"/>
  <c r="F4008" i="6"/>
  <c r="E4008" i="6"/>
  <c r="G4008" i="6"/>
  <c r="F4009" i="6"/>
  <c r="E4009" i="6"/>
  <c r="G4009" i="6"/>
  <c r="F4010" i="6"/>
  <c r="E4010" i="6"/>
  <c r="G4010" i="6"/>
  <c r="F4011" i="6"/>
  <c r="E4011" i="6"/>
  <c r="G4011" i="6"/>
  <c r="F4012" i="6"/>
  <c r="E4012" i="6"/>
  <c r="G4012" i="6"/>
  <c r="F4013" i="6"/>
  <c r="E4013" i="6"/>
  <c r="G4013" i="6"/>
  <c r="F4014" i="6"/>
  <c r="E4014" i="6"/>
  <c r="G4014" i="6"/>
  <c r="F4015" i="6"/>
  <c r="E4015" i="6"/>
  <c r="G4015" i="6"/>
  <c r="F4016" i="6"/>
  <c r="E4016" i="6"/>
  <c r="G4016" i="6"/>
  <c r="F4017" i="6"/>
  <c r="E4017" i="6"/>
  <c r="G4017" i="6"/>
  <c r="F4018" i="6"/>
  <c r="E4018" i="6"/>
  <c r="G4018" i="6"/>
  <c r="F4019" i="6"/>
  <c r="E4019" i="6"/>
  <c r="G4019" i="6"/>
  <c r="F4020" i="6"/>
  <c r="E4020" i="6"/>
  <c r="G4020" i="6"/>
  <c r="F4021" i="6"/>
  <c r="E4021" i="6"/>
  <c r="G4021" i="6"/>
  <c r="F4022" i="6"/>
  <c r="E4022" i="6"/>
  <c r="G4022" i="6"/>
  <c r="F4023" i="6"/>
  <c r="E4023" i="6"/>
  <c r="G4023" i="6"/>
  <c r="F4024" i="6"/>
  <c r="E4024" i="6"/>
  <c r="G4024" i="6"/>
  <c r="F4025" i="6"/>
  <c r="E4025" i="6"/>
  <c r="G4025" i="6"/>
  <c r="F4026" i="6"/>
  <c r="E4026" i="6"/>
  <c r="G4026" i="6"/>
  <c r="F4027" i="6"/>
  <c r="E4027" i="6"/>
  <c r="G4027" i="6"/>
  <c r="F4028" i="6"/>
  <c r="E4028" i="6"/>
  <c r="G4028" i="6"/>
  <c r="F4029" i="6"/>
  <c r="E4029" i="6"/>
  <c r="G4029" i="6"/>
  <c r="F4030" i="6"/>
  <c r="E4030" i="6"/>
  <c r="G4030" i="6"/>
  <c r="F4031" i="6"/>
  <c r="E4031" i="6"/>
  <c r="G4031" i="6"/>
  <c r="F4032" i="6"/>
  <c r="E4032" i="6"/>
  <c r="G4032" i="6"/>
  <c r="F4033" i="6"/>
  <c r="E4033" i="6"/>
  <c r="G4033" i="6"/>
  <c r="F4034" i="6"/>
  <c r="E4034" i="6"/>
  <c r="G4034" i="6"/>
  <c r="F4035" i="6"/>
  <c r="E4035" i="6"/>
  <c r="G4035" i="6"/>
  <c r="F4036" i="6"/>
  <c r="E4036" i="6"/>
  <c r="G4036" i="6"/>
  <c r="F4037" i="6"/>
  <c r="E4037" i="6"/>
  <c r="G4037" i="6"/>
  <c r="F4038" i="6"/>
  <c r="E4038" i="6"/>
  <c r="G4038" i="6"/>
  <c r="F4039" i="6"/>
  <c r="E4039" i="6"/>
  <c r="G4039" i="6"/>
  <c r="F4040" i="6"/>
  <c r="E4040" i="6"/>
  <c r="G4040" i="6"/>
  <c r="F4041" i="6"/>
  <c r="E4041" i="6"/>
  <c r="G4041" i="6"/>
  <c r="F4042" i="6"/>
  <c r="E4042" i="6"/>
  <c r="G4042" i="6"/>
  <c r="F4043" i="6"/>
  <c r="E4043" i="6"/>
  <c r="G4043" i="6"/>
  <c r="F4044" i="6"/>
  <c r="E4044" i="6"/>
  <c r="G4044" i="6"/>
  <c r="F4045" i="6"/>
  <c r="E4045" i="6"/>
  <c r="G4045" i="6"/>
  <c r="F4046" i="6"/>
  <c r="E4046" i="6"/>
  <c r="G4046" i="6"/>
  <c r="F4047" i="6"/>
  <c r="E4047" i="6"/>
  <c r="G4047" i="6"/>
  <c r="F4048" i="6"/>
  <c r="E4048" i="6"/>
  <c r="G4048" i="6"/>
  <c r="F4049" i="6"/>
  <c r="E4049" i="6"/>
  <c r="G4049" i="6"/>
  <c r="F4050" i="6"/>
  <c r="E4050" i="6"/>
  <c r="G4050" i="6"/>
  <c r="F4051" i="6"/>
  <c r="E4051" i="6"/>
  <c r="G4051" i="6"/>
  <c r="F4052" i="6"/>
  <c r="E4052" i="6"/>
  <c r="G4052" i="6"/>
  <c r="F4053" i="6"/>
  <c r="E4053" i="6"/>
  <c r="G4053" i="6"/>
  <c r="F4054" i="6"/>
  <c r="E4054" i="6"/>
  <c r="G4054" i="6"/>
  <c r="F4055" i="6"/>
  <c r="E4055" i="6"/>
  <c r="G4055" i="6"/>
  <c r="F4056" i="6"/>
  <c r="E4056" i="6"/>
  <c r="G4056" i="6"/>
  <c r="F4057" i="6"/>
  <c r="E4057" i="6"/>
  <c r="G4057" i="6"/>
  <c r="F4058" i="6"/>
  <c r="E4058" i="6"/>
  <c r="G4058" i="6"/>
  <c r="F4059" i="6"/>
  <c r="E4059" i="6"/>
  <c r="G4059" i="6"/>
  <c r="F4060" i="6"/>
  <c r="E4060" i="6"/>
  <c r="G4060" i="6"/>
  <c r="F4061" i="6"/>
  <c r="E4061" i="6"/>
  <c r="G4061" i="6"/>
  <c r="F4062" i="6"/>
  <c r="E4062" i="6"/>
  <c r="G4062" i="6"/>
  <c r="F4063" i="6"/>
  <c r="E4063" i="6"/>
  <c r="G4063" i="6"/>
  <c r="F4064" i="6"/>
  <c r="E4064" i="6"/>
  <c r="G4064" i="6"/>
  <c r="F4065" i="6"/>
  <c r="E4065" i="6"/>
  <c r="G4065" i="6"/>
  <c r="F4066" i="6"/>
  <c r="E4066" i="6"/>
  <c r="G4066" i="6"/>
  <c r="F4067" i="6"/>
  <c r="E4067" i="6"/>
  <c r="G4067" i="6"/>
  <c r="F4068" i="6"/>
  <c r="E4068" i="6"/>
  <c r="G4068" i="6"/>
  <c r="F4069" i="6"/>
  <c r="E4069" i="6"/>
  <c r="G4069" i="6"/>
  <c r="F4070" i="6"/>
  <c r="E4070" i="6"/>
  <c r="G4070" i="6"/>
  <c r="F4071" i="6"/>
  <c r="E4071" i="6"/>
  <c r="G4071" i="6"/>
  <c r="F4072" i="6"/>
  <c r="E4072" i="6"/>
  <c r="G4072" i="6"/>
  <c r="F4073" i="6"/>
  <c r="E4073" i="6"/>
  <c r="G4073" i="6"/>
  <c r="F4074" i="6"/>
  <c r="E4074" i="6"/>
  <c r="G4074" i="6"/>
  <c r="F4075" i="6"/>
  <c r="E4075" i="6"/>
  <c r="G4075" i="6"/>
  <c r="F4076" i="6"/>
  <c r="E4076" i="6"/>
  <c r="G4076" i="6"/>
  <c r="F4077" i="6"/>
  <c r="E4077" i="6"/>
  <c r="G4077" i="6"/>
  <c r="F4078" i="6"/>
  <c r="E4078" i="6"/>
  <c r="G4078" i="6"/>
  <c r="F4079" i="6"/>
  <c r="E4079" i="6"/>
  <c r="G4079" i="6"/>
  <c r="F4080" i="6"/>
  <c r="E4080" i="6"/>
  <c r="G4080" i="6"/>
  <c r="F4081" i="6"/>
  <c r="E4081" i="6"/>
  <c r="G4081" i="6"/>
  <c r="F4082" i="6"/>
  <c r="E4082" i="6"/>
  <c r="G4082" i="6"/>
  <c r="F4083" i="6"/>
  <c r="E4083" i="6"/>
  <c r="G4083" i="6"/>
  <c r="F4084" i="6"/>
  <c r="E4084" i="6"/>
  <c r="G4084" i="6"/>
  <c r="F4085" i="6"/>
  <c r="E4085" i="6"/>
  <c r="G4085" i="6"/>
  <c r="F4086" i="6"/>
  <c r="E4086" i="6"/>
  <c r="G4086" i="6"/>
  <c r="F4087" i="6"/>
  <c r="E4087" i="6"/>
  <c r="G4087" i="6"/>
  <c r="F4088" i="6"/>
  <c r="E4088" i="6"/>
  <c r="G4088" i="6"/>
  <c r="F4089" i="6"/>
  <c r="E4089" i="6"/>
  <c r="G4089" i="6"/>
  <c r="F4090" i="6"/>
  <c r="E4090" i="6"/>
  <c r="G4090" i="6"/>
  <c r="F4091" i="6"/>
  <c r="E4091" i="6"/>
  <c r="G4091" i="6"/>
  <c r="F4092" i="6"/>
  <c r="E4092" i="6"/>
  <c r="G4092" i="6"/>
  <c r="F4093" i="6"/>
  <c r="E4093" i="6"/>
  <c r="G4093" i="6"/>
  <c r="F4094" i="6"/>
  <c r="E4094" i="6"/>
  <c r="G4094" i="6"/>
  <c r="F4095" i="6"/>
  <c r="E4095" i="6"/>
  <c r="G4095" i="6"/>
  <c r="F4096" i="6"/>
  <c r="E4096" i="6"/>
  <c r="G4096" i="6"/>
  <c r="F4097" i="6"/>
  <c r="E4097" i="6"/>
  <c r="G4097" i="6"/>
  <c r="F4098" i="6"/>
  <c r="E4098" i="6"/>
  <c r="G4098" i="6"/>
  <c r="F4099" i="6"/>
  <c r="E4099" i="6"/>
  <c r="G4099" i="6"/>
  <c r="F4100" i="6"/>
  <c r="E4100" i="6"/>
  <c r="G4100" i="6"/>
  <c r="F4101" i="6"/>
  <c r="E4101" i="6"/>
  <c r="G4101" i="6"/>
  <c r="F4102" i="6"/>
  <c r="E4102" i="6"/>
  <c r="G4102" i="6"/>
  <c r="F4103" i="6"/>
  <c r="E4103" i="6"/>
  <c r="G4103" i="6"/>
  <c r="F4104" i="6"/>
  <c r="E4104" i="6"/>
  <c r="G4104" i="6"/>
  <c r="F4105" i="6"/>
  <c r="E4105" i="6"/>
  <c r="G4105" i="6"/>
  <c r="F4106" i="6"/>
  <c r="E4106" i="6"/>
  <c r="G4106" i="6"/>
  <c r="F4107" i="6"/>
  <c r="E4107" i="6"/>
  <c r="G4107" i="6"/>
  <c r="F4108" i="6"/>
  <c r="E4108" i="6"/>
  <c r="G4108" i="6"/>
  <c r="F4109" i="6"/>
  <c r="E4109" i="6"/>
  <c r="G4109" i="6"/>
  <c r="F4110" i="6"/>
  <c r="E4110" i="6"/>
  <c r="G4110" i="6"/>
  <c r="F4111" i="6"/>
  <c r="E4111" i="6"/>
  <c r="G4111" i="6"/>
  <c r="F4112" i="6"/>
  <c r="E4112" i="6"/>
  <c r="G4112" i="6"/>
  <c r="F4113" i="6"/>
  <c r="E4113" i="6"/>
  <c r="G4113" i="6"/>
  <c r="F4114" i="6"/>
  <c r="E4114" i="6"/>
  <c r="G4114" i="6"/>
  <c r="E3" i="6"/>
  <c r="G32" i="6"/>
  <c r="F32" i="6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G4100" i="7"/>
  <c r="E33" i="7"/>
  <c r="E34" i="7"/>
  <c r="E35" i="7"/>
  <c r="E36" i="7"/>
  <c r="E37" i="7"/>
  <c r="E38" i="7"/>
  <c r="E39" i="7"/>
  <c r="G39" i="7"/>
  <c r="E40" i="7"/>
  <c r="G40" i="7"/>
  <c r="E41" i="7"/>
  <c r="G41" i="7"/>
  <c r="E42" i="7"/>
  <c r="G42" i="7"/>
  <c r="E43" i="7"/>
  <c r="G43" i="7"/>
  <c r="E44" i="7"/>
  <c r="G44" i="7"/>
  <c r="E45" i="7"/>
  <c r="G45" i="7"/>
  <c r="E46" i="7"/>
  <c r="G46" i="7"/>
  <c r="E47" i="7"/>
  <c r="G47" i="7"/>
  <c r="E48" i="7"/>
  <c r="G48" i="7"/>
  <c r="E49" i="7"/>
  <c r="G49" i="7"/>
  <c r="E50" i="7"/>
  <c r="G50" i="7"/>
  <c r="E51" i="7"/>
  <c r="G51" i="7"/>
  <c r="E52" i="7"/>
  <c r="G52" i="7"/>
  <c r="E53" i="7"/>
  <c r="G53" i="7"/>
  <c r="E54" i="7"/>
  <c r="G54" i="7"/>
  <c r="E55" i="7"/>
  <c r="G55" i="7"/>
  <c r="E56" i="7"/>
  <c r="G56" i="7"/>
  <c r="E57" i="7"/>
  <c r="G57" i="7"/>
  <c r="E58" i="7"/>
  <c r="G58" i="7"/>
  <c r="E59" i="7"/>
  <c r="G59" i="7"/>
  <c r="E60" i="7"/>
  <c r="G60" i="7"/>
  <c r="E61" i="7"/>
  <c r="G61" i="7"/>
  <c r="E62" i="7"/>
  <c r="G62" i="7"/>
  <c r="E63" i="7"/>
  <c r="G63" i="7"/>
  <c r="E64" i="7"/>
  <c r="G64" i="7"/>
  <c r="E65" i="7"/>
  <c r="G65" i="7"/>
  <c r="E66" i="7"/>
  <c r="G66" i="7"/>
  <c r="E67" i="7"/>
  <c r="G67" i="7"/>
  <c r="E68" i="7"/>
  <c r="G68" i="7"/>
  <c r="E69" i="7"/>
  <c r="G69" i="7"/>
  <c r="E70" i="7"/>
  <c r="G70" i="7"/>
  <c r="E71" i="7"/>
  <c r="G71" i="7"/>
  <c r="E72" i="7"/>
  <c r="G72" i="7"/>
  <c r="E73" i="7"/>
  <c r="G73" i="7"/>
  <c r="E74" i="7"/>
  <c r="G74" i="7"/>
  <c r="E75" i="7"/>
  <c r="G75" i="7"/>
  <c r="E76" i="7"/>
  <c r="G76" i="7"/>
  <c r="E77" i="7"/>
  <c r="G77" i="7"/>
  <c r="E78" i="7"/>
  <c r="G78" i="7"/>
  <c r="E79" i="7"/>
  <c r="G79" i="7"/>
  <c r="E80" i="7"/>
  <c r="G80" i="7"/>
  <c r="E81" i="7"/>
  <c r="G81" i="7"/>
  <c r="E82" i="7"/>
  <c r="G82" i="7"/>
  <c r="E83" i="7"/>
  <c r="G83" i="7"/>
  <c r="E84" i="7"/>
  <c r="G84" i="7"/>
  <c r="E85" i="7"/>
  <c r="G85" i="7"/>
  <c r="E86" i="7"/>
  <c r="G86" i="7"/>
  <c r="E87" i="7"/>
  <c r="G87" i="7"/>
  <c r="E88" i="7"/>
  <c r="G88" i="7"/>
  <c r="E89" i="7"/>
  <c r="G89" i="7"/>
  <c r="E90" i="7"/>
  <c r="G90" i="7"/>
  <c r="E91" i="7"/>
  <c r="G91" i="7"/>
  <c r="E92" i="7"/>
  <c r="G92" i="7"/>
  <c r="E93" i="7"/>
  <c r="G93" i="7"/>
  <c r="E94" i="7"/>
  <c r="G94" i="7"/>
  <c r="E95" i="7"/>
  <c r="G95" i="7"/>
  <c r="E96" i="7"/>
  <c r="G96" i="7"/>
  <c r="E97" i="7"/>
  <c r="G97" i="7"/>
  <c r="E98" i="7"/>
  <c r="G98" i="7"/>
  <c r="E99" i="7"/>
  <c r="G99" i="7"/>
  <c r="E100" i="7"/>
  <c r="G100" i="7"/>
  <c r="E101" i="7"/>
  <c r="G101" i="7"/>
  <c r="E102" i="7"/>
  <c r="G102" i="7"/>
  <c r="E103" i="7"/>
  <c r="G103" i="7"/>
  <c r="E104" i="7"/>
  <c r="G104" i="7"/>
  <c r="E105" i="7"/>
  <c r="G105" i="7"/>
  <c r="E106" i="7"/>
  <c r="G106" i="7"/>
  <c r="E107" i="7"/>
  <c r="G107" i="7"/>
  <c r="E108" i="7"/>
  <c r="G108" i="7"/>
  <c r="E109" i="7"/>
  <c r="G109" i="7"/>
  <c r="E110" i="7"/>
  <c r="G110" i="7"/>
  <c r="E111" i="7"/>
  <c r="G111" i="7"/>
  <c r="E112" i="7"/>
  <c r="G112" i="7"/>
  <c r="E113" i="7"/>
  <c r="G113" i="7"/>
  <c r="E114" i="7"/>
  <c r="G114" i="7"/>
  <c r="E115" i="7"/>
  <c r="G115" i="7"/>
  <c r="E116" i="7"/>
  <c r="G116" i="7"/>
  <c r="E117" i="7"/>
  <c r="G117" i="7"/>
  <c r="E118" i="7"/>
  <c r="G118" i="7"/>
  <c r="E119" i="7"/>
  <c r="G119" i="7"/>
  <c r="E120" i="7"/>
  <c r="G120" i="7"/>
  <c r="E121" i="7"/>
  <c r="G121" i="7"/>
  <c r="E122" i="7"/>
  <c r="G122" i="7"/>
  <c r="E123" i="7"/>
  <c r="G123" i="7"/>
  <c r="E124" i="7"/>
  <c r="G124" i="7"/>
  <c r="E125" i="7"/>
  <c r="G125" i="7"/>
  <c r="E126" i="7"/>
  <c r="G126" i="7"/>
  <c r="E127" i="7"/>
  <c r="G127" i="7"/>
  <c r="E128" i="7"/>
  <c r="G128" i="7"/>
  <c r="E129" i="7"/>
  <c r="G129" i="7"/>
  <c r="E130" i="7"/>
  <c r="G130" i="7"/>
  <c r="E131" i="7"/>
  <c r="G131" i="7"/>
  <c r="E132" i="7"/>
  <c r="G132" i="7"/>
  <c r="E133" i="7"/>
  <c r="G133" i="7"/>
  <c r="E134" i="7"/>
  <c r="G134" i="7"/>
  <c r="E135" i="7"/>
  <c r="G135" i="7"/>
  <c r="E136" i="7"/>
  <c r="G136" i="7"/>
  <c r="E137" i="7"/>
  <c r="G137" i="7"/>
  <c r="E138" i="7"/>
  <c r="G138" i="7"/>
  <c r="E139" i="7"/>
  <c r="G139" i="7"/>
  <c r="E140" i="7"/>
  <c r="G140" i="7"/>
  <c r="E141" i="7"/>
  <c r="G141" i="7"/>
  <c r="E142" i="7"/>
  <c r="G142" i="7"/>
  <c r="E143" i="7"/>
  <c r="G143" i="7"/>
  <c r="E144" i="7"/>
  <c r="G144" i="7"/>
  <c r="E145" i="7"/>
  <c r="G145" i="7"/>
  <c r="E146" i="7"/>
  <c r="G146" i="7"/>
  <c r="E147" i="7"/>
  <c r="G147" i="7"/>
  <c r="E148" i="7"/>
  <c r="G148" i="7"/>
  <c r="E149" i="7"/>
  <c r="G149" i="7"/>
  <c r="E150" i="7"/>
  <c r="G150" i="7"/>
  <c r="E151" i="7"/>
  <c r="G151" i="7"/>
  <c r="E152" i="7"/>
  <c r="G152" i="7"/>
  <c r="E153" i="7"/>
  <c r="G153" i="7"/>
  <c r="E154" i="7"/>
  <c r="G154" i="7"/>
  <c r="E155" i="7"/>
  <c r="G155" i="7"/>
  <c r="E156" i="7"/>
  <c r="G156" i="7"/>
  <c r="E157" i="7"/>
  <c r="G157" i="7"/>
  <c r="E158" i="7"/>
  <c r="G158" i="7"/>
  <c r="E159" i="7"/>
  <c r="G159" i="7"/>
  <c r="E160" i="7"/>
  <c r="G160" i="7"/>
  <c r="E161" i="7"/>
  <c r="G161" i="7"/>
  <c r="E162" i="7"/>
  <c r="G162" i="7"/>
  <c r="E163" i="7"/>
  <c r="G163" i="7"/>
  <c r="E164" i="7"/>
  <c r="G164" i="7"/>
  <c r="E165" i="7"/>
  <c r="G165" i="7"/>
  <c r="E166" i="7"/>
  <c r="G166" i="7"/>
  <c r="E167" i="7"/>
  <c r="G167" i="7"/>
  <c r="E168" i="7"/>
  <c r="G168" i="7"/>
  <c r="E169" i="7"/>
  <c r="G169" i="7"/>
  <c r="E170" i="7"/>
  <c r="G170" i="7"/>
  <c r="E171" i="7"/>
  <c r="G171" i="7"/>
  <c r="E172" i="7"/>
  <c r="G172" i="7"/>
  <c r="E173" i="7"/>
  <c r="G173" i="7"/>
  <c r="E174" i="7"/>
  <c r="G174" i="7"/>
  <c r="E175" i="7"/>
  <c r="G175" i="7"/>
  <c r="E176" i="7"/>
  <c r="G176" i="7"/>
  <c r="E177" i="7"/>
  <c r="G177" i="7"/>
  <c r="E178" i="7"/>
  <c r="G178" i="7"/>
  <c r="E179" i="7"/>
  <c r="G179" i="7"/>
  <c r="E180" i="7"/>
  <c r="G180" i="7"/>
  <c r="E181" i="7"/>
  <c r="G181" i="7"/>
  <c r="E182" i="7"/>
  <c r="G182" i="7"/>
  <c r="E183" i="7"/>
  <c r="G183" i="7"/>
  <c r="E184" i="7"/>
  <c r="G184" i="7"/>
  <c r="E185" i="7"/>
  <c r="G185" i="7"/>
  <c r="E186" i="7"/>
  <c r="G186" i="7"/>
  <c r="E187" i="7"/>
  <c r="G187" i="7"/>
  <c r="E188" i="7"/>
  <c r="G188" i="7"/>
  <c r="E189" i="7"/>
  <c r="G189" i="7"/>
  <c r="E190" i="7"/>
  <c r="G190" i="7"/>
  <c r="E191" i="7"/>
  <c r="G191" i="7"/>
  <c r="E192" i="7"/>
  <c r="G192" i="7"/>
  <c r="E193" i="7"/>
  <c r="G193" i="7"/>
  <c r="E194" i="7"/>
  <c r="G194" i="7"/>
  <c r="E195" i="7"/>
  <c r="G195" i="7"/>
  <c r="E196" i="7"/>
  <c r="G196" i="7"/>
  <c r="E197" i="7"/>
  <c r="G197" i="7"/>
  <c r="E198" i="7"/>
  <c r="G198" i="7"/>
  <c r="E199" i="7"/>
  <c r="G199" i="7"/>
  <c r="E200" i="7"/>
  <c r="G200" i="7"/>
  <c r="E201" i="7"/>
  <c r="G201" i="7"/>
  <c r="E202" i="7"/>
  <c r="G202" i="7"/>
  <c r="E203" i="7"/>
  <c r="G203" i="7"/>
  <c r="E204" i="7"/>
  <c r="G204" i="7"/>
  <c r="E205" i="7"/>
  <c r="G205" i="7"/>
  <c r="E206" i="7"/>
  <c r="G206" i="7"/>
  <c r="E207" i="7"/>
  <c r="G207" i="7"/>
  <c r="E208" i="7"/>
  <c r="G208" i="7"/>
  <c r="E209" i="7"/>
  <c r="G209" i="7"/>
  <c r="E210" i="7"/>
  <c r="G210" i="7"/>
  <c r="E211" i="7"/>
  <c r="G211" i="7"/>
  <c r="E212" i="7"/>
  <c r="G212" i="7"/>
  <c r="E213" i="7"/>
  <c r="G213" i="7"/>
  <c r="E214" i="7"/>
  <c r="G214" i="7"/>
  <c r="E215" i="7"/>
  <c r="G215" i="7"/>
  <c r="E216" i="7"/>
  <c r="G216" i="7"/>
  <c r="E217" i="7"/>
  <c r="G217" i="7"/>
  <c r="E218" i="7"/>
  <c r="G218" i="7"/>
  <c r="E219" i="7"/>
  <c r="G219" i="7"/>
  <c r="E220" i="7"/>
  <c r="G220" i="7"/>
  <c r="E221" i="7"/>
  <c r="G221" i="7"/>
  <c r="E222" i="7"/>
  <c r="G222" i="7"/>
  <c r="E223" i="7"/>
  <c r="G223" i="7"/>
  <c r="E224" i="7"/>
  <c r="G224" i="7"/>
  <c r="E225" i="7"/>
  <c r="G225" i="7"/>
  <c r="E226" i="7"/>
  <c r="G226" i="7"/>
  <c r="E227" i="7"/>
  <c r="G227" i="7"/>
  <c r="E228" i="7"/>
  <c r="G228" i="7"/>
  <c r="E229" i="7"/>
  <c r="G229" i="7"/>
  <c r="E230" i="7"/>
  <c r="G230" i="7"/>
  <c r="E231" i="7"/>
  <c r="G231" i="7"/>
  <c r="E232" i="7"/>
  <c r="G232" i="7"/>
  <c r="E233" i="7"/>
  <c r="G233" i="7"/>
  <c r="E234" i="7"/>
  <c r="G234" i="7"/>
  <c r="E235" i="7"/>
  <c r="G235" i="7"/>
  <c r="E236" i="7"/>
  <c r="G236" i="7"/>
  <c r="E237" i="7"/>
  <c r="G237" i="7"/>
  <c r="E238" i="7"/>
  <c r="G238" i="7"/>
  <c r="E239" i="7"/>
  <c r="G239" i="7"/>
  <c r="E240" i="7"/>
  <c r="G240" i="7"/>
  <c r="E241" i="7"/>
  <c r="G241" i="7"/>
  <c r="E242" i="7"/>
  <c r="G242" i="7"/>
  <c r="E243" i="7"/>
  <c r="G243" i="7"/>
  <c r="E244" i="7"/>
  <c r="G244" i="7"/>
  <c r="E245" i="7"/>
  <c r="G245" i="7"/>
  <c r="E246" i="7"/>
  <c r="G246" i="7"/>
  <c r="E247" i="7"/>
  <c r="G247" i="7"/>
  <c r="E248" i="7"/>
  <c r="G248" i="7"/>
  <c r="E249" i="7"/>
  <c r="G249" i="7"/>
  <c r="E250" i="7"/>
  <c r="G250" i="7"/>
  <c r="E251" i="7"/>
  <c r="G251" i="7"/>
  <c r="E252" i="7"/>
  <c r="G252" i="7"/>
  <c r="E253" i="7"/>
  <c r="G253" i="7"/>
  <c r="E254" i="7"/>
  <c r="G254" i="7"/>
  <c r="E255" i="7"/>
  <c r="G255" i="7"/>
  <c r="E256" i="7"/>
  <c r="G256" i="7"/>
  <c r="E257" i="7"/>
  <c r="G257" i="7"/>
  <c r="E258" i="7"/>
  <c r="G258" i="7"/>
  <c r="E259" i="7"/>
  <c r="G259" i="7"/>
  <c r="E260" i="7"/>
  <c r="G260" i="7"/>
  <c r="E261" i="7"/>
  <c r="G261" i="7"/>
  <c r="E262" i="7"/>
  <c r="G262" i="7"/>
  <c r="E263" i="7"/>
  <c r="G263" i="7"/>
  <c r="E264" i="7"/>
  <c r="G264" i="7"/>
  <c r="E265" i="7"/>
  <c r="G265" i="7"/>
  <c r="E266" i="7"/>
  <c r="G266" i="7"/>
  <c r="E267" i="7"/>
  <c r="G267" i="7"/>
  <c r="E268" i="7"/>
  <c r="G268" i="7"/>
  <c r="E269" i="7"/>
  <c r="G269" i="7"/>
  <c r="E270" i="7"/>
  <c r="G270" i="7"/>
  <c r="E271" i="7"/>
  <c r="G271" i="7"/>
  <c r="E272" i="7"/>
  <c r="G272" i="7"/>
  <c r="E273" i="7"/>
  <c r="G273" i="7"/>
  <c r="E274" i="7"/>
  <c r="G274" i="7"/>
  <c r="E275" i="7"/>
  <c r="G275" i="7"/>
  <c r="E276" i="7"/>
  <c r="G276" i="7"/>
  <c r="E277" i="7"/>
  <c r="G277" i="7"/>
  <c r="E278" i="7"/>
  <c r="G278" i="7"/>
  <c r="E279" i="7"/>
  <c r="G279" i="7"/>
  <c r="E280" i="7"/>
  <c r="G280" i="7"/>
  <c r="E281" i="7"/>
  <c r="G281" i="7"/>
  <c r="E282" i="7"/>
  <c r="G282" i="7"/>
  <c r="E283" i="7"/>
  <c r="G283" i="7"/>
  <c r="E284" i="7"/>
  <c r="G284" i="7"/>
  <c r="E285" i="7"/>
  <c r="G285" i="7"/>
  <c r="E286" i="7"/>
  <c r="G286" i="7"/>
  <c r="E287" i="7"/>
  <c r="G287" i="7"/>
  <c r="E288" i="7"/>
  <c r="G288" i="7"/>
  <c r="E289" i="7"/>
  <c r="G289" i="7"/>
  <c r="E290" i="7"/>
  <c r="G290" i="7"/>
  <c r="E291" i="7"/>
  <c r="G291" i="7"/>
  <c r="E292" i="7"/>
  <c r="G292" i="7"/>
  <c r="E293" i="7"/>
  <c r="G293" i="7"/>
  <c r="E294" i="7"/>
  <c r="G294" i="7"/>
  <c r="E295" i="7"/>
  <c r="G295" i="7"/>
  <c r="E296" i="7"/>
  <c r="G296" i="7"/>
  <c r="E297" i="7"/>
  <c r="G297" i="7"/>
  <c r="E298" i="7"/>
  <c r="G298" i="7"/>
  <c r="E299" i="7"/>
  <c r="G299" i="7"/>
  <c r="E300" i="7"/>
  <c r="G300" i="7"/>
  <c r="E301" i="7"/>
  <c r="G301" i="7"/>
  <c r="E302" i="7"/>
  <c r="G302" i="7"/>
  <c r="E303" i="7"/>
  <c r="G303" i="7"/>
  <c r="E304" i="7"/>
  <c r="G304" i="7"/>
  <c r="E305" i="7"/>
  <c r="G305" i="7"/>
  <c r="E306" i="7"/>
  <c r="G306" i="7"/>
  <c r="E307" i="7"/>
  <c r="G307" i="7"/>
  <c r="E308" i="7"/>
  <c r="G308" i="7"/>
  <c r="E309" i="7"/>
  <c r="G309" i="7"/>
  <c r="E310" i="7"/>
  <c r="G310" i="7"/>
  <c r="E311" i="7"/>
  <c r="G311" i="7"/>
  <c r="E312" i="7"/>
  <c r="G312" i="7"/>
  <c r="E313" i="7"/>
  <c r="G313" i="7"/>
  <c r="E314" i="7"/>
  <c r="G314" i="7"/>
  <c r="E315" i="7"/>
  <c r="G315" i="7"/>
  <c r="E316" i="7"/>
  <c r="G316" i="7"/>
  <c r="E317" i="7"/>
  <c r="G317" i="7"/>
  <c r="E318" i="7"/>
  <c r="G318" i="7"/>
  <c r="E319" i="7"/>
  <c r="G319" i="7"/>
  <c r="E320" i="7"/>
  <c r="G320" i="7"/>
  <c r="E321" i="7"/>
  <c r="G321" i="7"/>
  <c r="E322" i="7"/>
  <c r="G322" i="7"/>
  <c r="E323" i="7"/>
  <c r="G323" i="7"/>
  <c r="E324" i="7"/>
  <c r="G324" i="7"/>
  <c r="E325" i="7"/>
  <c r="G325" i="7"/>
  <c r="E326" i="7"/>
  <c r="G326" i="7"/>
  <c r="E327" i="7"/>
  <c r="G327" i="7"/>
  <c r="E328" i="7"/>
  <c r="G328" i="7"/>
  <c r="E329" i="7"/>
  <c r="G329" i="7"/>
  <c r="E330" i="7"/>
  <c r="G330" i="7"/>
  <c r="E331" i="7"/>
  <c r="G331" i="7"/>
  <c r="E332" i="7"/>
  <c r="G332" i="7"/>
  <c r="E333" i="7"/>
  <c r="G333" i="7"/>
  <c r="E334" i="7"/>
  <c r="G334" i="7"/>
  <c r="E335" i="7"/>
  <c r="G335" i="7"/>
  <c r="E336" i="7"/>
  <c r="G336" i="7"/>
  <c r="E337" i="7"/>
  <c r="G337" i="7"/>
  <c r="E338" i="7"/>
  <c r="G338" i="7"/>
  <c r="E339" i="7"/>
  <c r="G339" i="7"/>
  <c r="E340" i="7"/>
  <c r="G340" i="7"/>
  <c r="E341" i="7"/>
  <c r="G341" i="7"/>
  <c r="E342" i="7"/>
  <c r="G342" i="7"/>
  <c r="E343" i="7"/>
  <c r="G343" i="7"/>
  <c r="E344" i="7"/>
  <c r="G344" i="7"/>
  <c r="E345" i="7"/>
  <c r="G345" i="7"/>
  <c r="E346" i="7"/>
  <c r="G346" i="7"/>
  <c r="E347" i="7"/>
  <c r="G347" i="7"/>
  <c r="E348" i="7"/>
  <c r="G348" i="7"/>
  <c r="E349" i="7"/>
  <c r="G349" i="7"/>
  <c r="E350" i="7"/>
  <c r="G350" i="7"/>
  <c r="E351" i="7"/>
  <c r="G351" i="7"/>
  <c r="E352" i="7"/>
  <c r="G352" i="7"/>
  <c r="E353" i="7"/>
  <c r="G353" i="7"/>
  <c r="E354" i="7"/>
  <c r="G354" i="7"/>
  <c r="E355" i="7"/>
  <c r="G355" i="7"/>
  <c r="E356" i="7"/>
  <c r="G356" i="7"/>
  <c r="E357" i="7"/>
  <c r="G357" i="7"/>
  <c r="E358" i="7"/>
  <c r="G358" i="7"/>
  <c r="E359" i="7"/>
  <c r="G359" i="7"/>
  <c r="E360" i="7"/>
  <c r="G360" i="7"/>
  <c r="E361" i="7"/>
  <c r="G361" i="7"/>
  <c r="E362" i="7"/>
  <c r="G362" i="7"/>
  <c r="E363" i="7"/>
  <c r="G363" i="7"/>
  <c r="E364" i="7"/>
  <c r="G364" i="7"/>
  <c r="E365" i="7"/>
  <c r="G365" i="7"/>
  <c r="E366" i="7"/>
  <c r="G366" i="7"/>
  <c r="E367" i="7"/>
  <c r="G367" i="7"/>
  <c r="E368" i="7"/>
  <c r="G368" i="7"/>
  <c r="E369" i="7"/>
  <c r="G369" i="7"/>
  <c r="E370" i="7"/>
  <c r="G370" i="7"/>
  <c r="E371" i="7"/>
  <c r="G371" i="7"/>
  <c r="E372" i="7"/>
  <c r="G372" i="7"/>
  <c r="E373" i="7"/>
  <c r="G373" i="7"/>
  <c r="E374" i="7"/>
  <c r="G374" i="7"/>
  <c r="E375" i="7"/>
  <c r="G375" i="7"/>
  <c r="E376" i="7"/>
  <c r="G376" i="7"/>
  <c r="E377" i="7"/>
  <c r="G377" i="7"/>
  <c r="E378" i="7"/>
  <c r="G378" i="7"/>
  <c r="E379" i="7"/>
  <c r="G379" i="7"/>
  <c r="E380" i="7"/>
  <c r="G380" i="7"/>
  <c r="E381" i="7"/>
  <c r="G381" i="7"/>
  <c r="E382" i="7"/>
  <c r="G382" i="7"/>
  <c r="E383" i="7"/>
  <c r="G383" i="7"/>
  <c r="E384" i="7"/>
  <c r="G384" i="7"/>
  <c r="E385" i="7"/>
  <c r="G385" i="7"/>
  <c r="E386" i="7"/>
  <c r="G386" i="7"/>
  <c r="E387" i="7"/>
  <c r="G387" i="7"/>
  <c r="E388" i="7"/>
  <c r="G388" i="7"/>
  <c r="E389" i="7"/>
  <c r="G389" i="7"/>
  <c r="E390" i="7"/>
  <c r="G390" i="7"/>
  <c r="E391" i="7"/>
  <c r="G391" i="7"/>
  <c r="E392" i="7"/>
  <c r="G392" i="7"/>
  <c r="E393" i="7"/>
  <c r="G393" i="7"/>
  <c r="E394" i="7"/>
  <c r="G394" i="7"/>
  <c r="E395" i="7"/>
  <c r="G395" i="7"/>
  <c r="E396" i="7"/>
  <c r="G396" i="7"/>
  <c r="E397" i="7"/>
  <c r="G397" i="7"/>
  <c r="E398" i="7"/>
  <c r="G398" i="7"/>
  <c r="E399" i="7"/>
  <c r="G399" i="7"/>
  <c r="E400" i="7"/>
  <c r="G400" i="7"/>
  <c r="E401" i="7"/>
  <c r="G401" i="7"/>
  <c r="E402" i="7"/>
  <c r="G402" i="7"/>
  <c r="E403" i="7"/>
  <c r="G403" i="7"/>
  <c r="E404" i="7"/>
  <c r="G404" i="7"/>
  <c r="E405" i="7"/>
  <c r="G405" i="7"/>
  <c r="E406" i="7"/>
  <c r="G406" i="7"/>
  <c r="E407" i="7"/>
  <c r="G407" i="7"/>
  <c r="E408" i="7"/>
  <c r="G408" i="7"/>
  <c r="E409" i="7"/>
  <c r="G409" i="7"/>
  <c r="E410" i="7"/>
  <c r="G410" i="7"/>
  <c r="E411" i="7"/>
  <c r="G411" i="7"/>
  <c r="E412" i="7"/>
  <c r="G412" i="7"/>
  <c r="E413" i="7"/>
  <c r="G413" i="7"/>
  <c r="E414" i="7"/>
  <c r="G414" i="7"/>
  <c r="E415" i="7"/>
  <c r="G415" i="7"/>
  <c r="E416" i="7"/>
  <c r="G416" i="7"/>
  <c r="E417" i="7"/>
  <c r="G417" i="7"/>
  <c r="E418" i="7"/>
  <c r="G418" i="7"/>
  <c r="E419" i="7"/>
  <c r="G419" i="7"/>
  <c r="E420" i="7"/>
  <c r="G420" i="7"/>
  <c r="E421" i="7"/>
  <c r="G421" i="7"/>
  <c r="E422" i="7"/>
  <c r="G422" i="7"/>
  <c r="E423" i="7"/>
  <c r="G423" i="7"/>
  <c r="E424" i="7"/>
  <c r="G424" i="7"/>
  <c r="E425" i="7"/>
  <c r="G425" i="7"/>
  <c r="E426" i="7"/>
  <c r="G426" i="7"/>
  <c r="E427" i="7"/>
  <c r="G427" i="7"/>
  <c r="E428" i="7"/>
  <c r="G428" i="7"/>
  <c r="E429" i="7"/>
  <c r="G429" i="7"/>
  <c r="E430" i="7"/>
  <c r="G430" i="7"/>
  <c r="E431" i="7"/>
  <c r="G431" i="7"/>
  <c r="E432" i="7"/>
  <c r="G432" i="7"/>
  <c r="E433" i="7"/>
  <c r="G433" i="7"/>
  <c r="E434" i="7"/>
  <c r="G434" i="7"/>
  <c r="E435" i="7"/>
  <c r="G435" i="7"/>
  <c r="E436" i="7"/>
  <c r="G436" i="7"/>
  <c r="E437" i="7"/>
  <c r="G437" i="7"/>
  <c r="E438" i="7"/>
  <c r="G438" i="7"/>
  <c r="E439" i="7"/>
  <c r="G439" i="7"/>
  <c r="E440" i="7"/>
  <c r="G440" i="7"/>
  <c r="E441" i="7"/>
  <c r="G441" i="7"/>
  <c r="E442" i="7"/>
  <c r="G442" i="7"/>
  <c r="E443" i="7"/>
  <c r="G443" i="7"/>
  <c r="E444" i="7"/>
  <c r="G444" i="7"/>
  <c r="E445" i="7"/>
  <c r="G445" i="7"/>
  <c r="E446" i="7"/>
  <c r="G446" i="7"/>
  <c r="E447" i="7"/>
  <c r="G447" i="7"/>
  <c r="E448" i="7"/>
  <c r="G448" i="7"/>
  <c r="E449" i="7"/>
  <c r="G449" i="7"/>
  <c r="E450" i="7"/>
  <c r="G450" i="7"/>
  <c r="E451" i="7"/>
  <c r="G451" i="7"/>
  <c r="E452" i="7"/>
  <c r="G452" i="7"/>
  <c r="E453" i="7"/>
  <c r="G453" i="7"/>
  <c r="E454" i="7"/>
  <c r="G454" i="7"/>
  <c r="E455" i="7"/>
  <c r="G455" i="7"/>
  <c r="E456" i="7"/>
  <c r="G456" i="7"/>
  <c r="E457" i="7"/>
  <c r="G457" i="7"/>
  <c r="E458" i="7"/>
  <c r="G458" i="7"/>
  <c r="E459" i="7"/>
  <c r="G459" i="7"/>
  <c r="E460" i="7"/>
  <c r="G460" i="7"/>
  <c r="E461" i="7"/>
  <c r="G461" i="7"/>
  <c r="E462" i="7"/>
  <c r="G462" i="7"/>
  <c r="E463" i="7"/>
  <c r="G463" i="7"/>
  <c r="E464" i="7"/>
  <c r="G464" i="7"/>
  <c r="E465" i="7"/>
  <c r="G465" i="7"/>
  <c r="E466" i="7"/>
  <c r="G466" i="7"/>
  <c r="E467" i="7"/>
  <c r="G467" i="7"/>
  <c r="E468" i="7"/>
  <c r="G468" i="7"/>
  <c r="E469" i="7"/>
  <c r="G469" i="7"/>
  <c r="E470" i="7"/>
  <c r="G470" i="7"/>
  <c r="E471" i="7"/>
  <c r="G471" i="7"/>
  <c r="E472" i="7"/>
  <c r="G472" i="7"/>
  <c r="E473" i="7"/>
  <c r="G473" i="7"/>
  <c r="E474" i="7"/>
  <c r="G474" i="7"/>
  <c r="E475" i="7"/>
  <c r="G475" i="7"/>
  <c r="E476" i="7"/>
  <c r="G476" i="7"/>
  <c r="E477" i="7"/>
  <c r="G477" i="7"/>
  <c r="E478" i="7"/>
  <c r="G478" i="7"/>
  <c r="E479" i="7"/>
  <c r="G479" i="7"/>
  <c r="E480" i="7"/>
  <c r="G480" i="7"/>
  <c r="E481" i="7"/>
  <c r="G481" i="7"/>
  <c r="E482" i="7"/>
  <c r="G482" i="7"/>
  <c r="E483" i="7"/>
  <c r="G483" i="7"/>
  <c r="E484" i="7"/>
  <c r="G484" i="7"/>
  <c r="E485" i="7"/>
  <c r="G485" i="7"/>
  <c r="E486" i="7"/>
  <c r="G486" i="7"/>
  <c r="E487" i="7"/>
  <c r="G487" i="7"/>
  <c r="E488" i="7"/>
  <c r="G488" i="7"/>
  <c r="E489" i="7"/>
  <c r="G489" i="7"/>
  <c r="E490" i="7"/>
  <c r="G490" i="7"/>
  <c r="E491" i="7"/>
  <c r="G491" i="7"/>
  <c r="E492" i="7"/>
  <c r="G492" i="7"/>
  <c r="E493" i="7"/>
  <c r="G493" i="7"/>
  <c r="E494" i="7"/>
  <c r="G494" i="7"/>
  <c r="E495" i="7"/>
  <c r="G495" i="7"/>
  <c r="E496" i="7"/>
  <c r="G496" i="7"/>
  <c r="E497" i="7"/>
  <c r="G497" i="7"/>
  <c r="E498" i="7"/>
  <c r="G498" i="7"/>
  <c r="E499" i="7"/>
  <c r="G499" i="7"/>
  <c r="E500" i="7"/>
  <c r="G500" i="7"/>
  <c r="E501" i="7"/>
  <c r="G501" i="7"/>
  <c r="E502" i="7"/>
  <c r="G502" i="7"/>
  <c r="E503" i="7"/>
  <c r="G503" i="7"/>
  <c r="E504" i="7"/>
  <c r="G504" i="7"/>
  <c r="E505" i="7"/>
  <c r="G505" i="7"/>
  <c r="E506" i="7"/>
  <c r="G506" i="7"/>
  <c r="E507" i="7"/>
  <c r="G507" i="7"/>
  <c r="E508" i="7"/>
  <c r="G508" i="7"/>
  <c r="E509" i="7"/>
  <c r="G509" i="7"/>
  <c r="E510" i="7"/>
  <c r="G510" i="7"/>
  <c r="E511" i="7"/>
  <c r="G511" i="7"/>
  <c r="E512" i="7"/>
  <c r="G512" i="7"/>
  <c r="E513" i="7"/>
  <c r="G513" i="7"/>
  <c r="E514" i="7"/>
  <c r="G514" i="7"/>
  <c r="E515" i="7"/>
  <c r="G515" i="7"/>
  <c r="E516" i="7"/>
  <c r="G516" i="7"/>
  <c r="E517" i="7"/>
  <c r="G517" i="7"/>
  <c r="E518" i="7"/>
  <c r="G518" i="7"/>
  <c r="E519" i="7"/>
  <c r="G519" i="7"/>
  <c r="E520" i="7"/>
  <c r="G520" i="7"/>
  <c r="E521" i="7"/>
  <c r="G521" i="7"/>
  <c r="E522" i="7"/>
  <c r="G522" i="7"/>
  <c r="E523" i="7"/>
  <c r="G523" i="7"/>
  <c r="E524" i="7"/>
  <c r="G524" i="7"/>
  <c r="E525" i="7"/>
  <c r="G525" i="7"/>
  <c r="E526" i="7"/>
  <c r="G526" i="7"/>
  <c r="E527" i="7"/>
  <c r="G527" i="7"/>
  <c r="E528" i="7"/>
  <c r="G528" i="7"/>
  <c r="E529" i="7"/>
  <c r="G529" i="7"/>
  <c r="E530" i="7"/>
  <c r="G530" i="7"/>
  <c r="E531" i="7"/>
  <c r="G531" i="7"/>
  <c r="E532" i="7"/>
  <c r="G532" i="7"/>
  <c r="E533" i="7"/>
  <c r="G533" i="7"/>
  <c r="E534" i="7"/>
  <c r="G534" i="7"/>
  <c r="E535" i="7"/>
  <c r="G535" i="7"/>
  <c r="E536" i="7"/>
  <c r="G536" i="7"/>
  <c r="E537" i="7"/>
  <c r="G537" i="7"/>
  <c r="E538" i="7"/>
  <c r="G538" i="7"/>
  <c r="E539" i="7"/>
  <c r="G539" i="7"/>
  <c r="E540" i="7"/>
  <c r="G540" i="7"/>
  <c r="E541" i="7"/>
  <c r="G541" i="7"/>
  <c r="E542" i="7"/>
  <c r="G542" i="7"/>
  <c r="E543" i="7"/>
  <c r="G543" i="7"/>
  <c r="E544" i="7"/>
  <c r="G544" i="7"/>
  <c r="E545" i="7"/>
  <c r="G545" i="7"/>
  <c r="E546" i="7"/>
  <c r="G546" i="7"/>
  <c r="E547" i="7"/>
  <c r="G547" i="7"/>
  <c r="E548" i="7"/>
  <c r="G548" i="7"/>
  <c r="E549" i="7"/>
  <c r="G549" i="7"/>
  <c r="E550" i="7"/>
  <c r="G550" i="7"/>
  <c r="E551" i="7"/>
  <c r="G551" i="7"/>
  <c r="E552" i="7"/>
  <c r="G552" i="7"/>
  <c r="E553" i="7"/>
  <c r="G553" i="7"/>
  <c r="E554" i="7"/>
  <c r="G554" i="7"/>
  <c r="E555" i="7"/>
  <c r="G555" i="7"/>
  <c r="E556" i="7"/>
  <c r="G556" i="7"/>
  <c r="E557" i="7"/>
  <c r="G557" i="7"/>
  <c r="E558" i="7"/>
  <c r="G558" i="7"/>
  <c r="E559" i="7"/>
  <c r="G559" i="7"/>
  <c r="E560" i="7"/>
  <c r="G560" i="7"/>
  <c r="E561" i="7"/>
  <c r="G561" i="7"/>
  <c r="E562" i="7"/>
  <c r="G562" i="7"/>
  <c r="E563" i="7"/>
  <c r="G563" i="7"/>
  <c r="E564" i="7"/>
  <c r="G564" i="7"/>
  <c r="E565" i="7"/>
  <c r="G565" i="7"/>
  <c r="E566" i="7"/>
  <c r="G566" i="7"/>
  <c r="E567" i="7"/>
  <c r="G567" i="7"/>
  <c r="E568" i="7"/>
  <c r="G568" i="7"/>
  <c r="E569" i="7"/>
  <c r="G569" i="7"/>
  <c r="E570" i="7"/>
  <c r="G570" i="7"/>
  <c r="E571" i="7"/>
  <c r="G571" i="7"/>
  <c r="E572" i="7"/>
  <c r="G572" i="7"/>
  <c r="E573" i="7"/>
  <c r="G573" i="7"/>
  <c r="E574" i="7"/>
  <c r="G574" i="7"/>
  <c r="E575" i="7"/>
  <c r="G575" i="7"/>
  <c r="E576" i="7"/>
  <c r="G576" i="7"/>
  <c r="E577" i="7"/>
  <c r="G577" i="7"/>
  <c r="E578" i="7"/>
  <c r="G578" i="7"/>
  <c r="E579" i="7"/>
  <c r="G579" i="7"/>
  <c r="E580" i="7"/>
  <c r="G580" i="7"/>
  <c r="E581" i="7"/>
  <c r="G581" i="7"/>
  <c r="E582" i="7"/>
  <c r="G582" i="7"/>
  <c r="E583" i="7"/>
  <c r="G583" i="7"/>
  <c r="E584" i="7"/>
  <c r="G584" i="7"/>
  <c r="E585" i="7"/>
  <c r="G585" i="7"/>
  <c r="E586" i="7"/>
  <c r="G586" i="7"/>
  <c r="E587" i="7"/>
  <c r="G587" i="7"/>
  <c r="E588" i="7"/>
  <c r="G588" i="7"/>
  <c r="E589" i="7"/>
  <c r="G589" i="7"/>
  <c r="E590" i="7"/>
  <c r="G590" i="7"/>
  <c r="E591" i="7"/>
  <c r="G591" i="7"/>
  <c r="E592" i="7"/>
  <c r="G592" i="7"/>
  <c r="E593" i="7"/>
  <c r="G593" i="7"/>
  <c r="E594" i="7"/>
  <c r="G594" i="7"/>
  <c r="E595" i="7"/>
  <c r="G595" i="7"/>
  <c r="E596" i="7"/>
  <c r="G596" i="7"/>
  <c r="E597" i="7"/>
  <c r="G597" i="7"/>
  <c r="E598" i="7"/>
  <c r="G598" i="7"/>
  <c r="E599" i="7"/>
  <c r="G599" i="7"/>
  <c r="E600" i="7"/>
  <c r="G600" i="7"/>
  <c r="E601" i="7"/>
  <c r="G601" i="7"/>
  <c r="E602" i="7"/>
  <c r="G602" i="7"/>
  <c r="E603" i="7"/>
  <c r="G603" i="7"/>
  <c r="E604" i="7"/>
  <c r="G604" i="7"/>
  <c r="E605" i="7"/>
  <c r="G605" i="7"/>
  <c r="E606" i="7"/>
  <c r="G606" i="7"/>
  <c r="E607" i="7"/>
  <c r="G607" i="7"/>
  <c r="E608" i="7"/>
  <c r="G608" i="7"/>
  <c r="E609" i="7"/>
  <c r="G609" i="7"/>
  <c r="E610" i="7"/>
  <c r="G610" i="7"/>
  <c r="E611" i="7"/>
  <c r="G611" i="7"/>
  <c r="E612" i="7"/>
  <c r="G612" i="7"/>
  <c r="E613" i="7"/>
  <c r="G613" i="7"/>
  <c r="E614" i="7"/>
  <c r="G614" i="7"/>
  <c r="E615" i="7"/>
  <c r="G615" i="7"/>
  <c r="E616" i="7"/>
  <c r="G616" i="7"/>
  <c r="E617" i="7"/>
  <c r="G617" i="7"/>
  <c r="E618" i="7"/>
  <c r="G618" i="7"/>
  <c r="E619" i="7"/>
  <c r="G619" i="7"/>
  <c r="E620" i="7"/>
  <c r="G620" i="7"/>
  <c r="E621" i="7"/>
  <c r="G621" i="7"/>
  <c r="E622" i="7"/>
  <c r="G622" i="7"/>
  <c r="E623" i="7"/>
  <c r="G623" i="7"/>
  <c r="E624" i="7"/>
  <c r="G624" i="7"/>
  <c r="E625" i="7"/>
  <c r="G625" i="7"/>
  <c r="E626" i="7"/>
  <c r="G626" i="7"/>
  <c r="E627" i="7"/>
  <c r="G627" i="7"/>
  <c r="E628" i="7"/>
  <c r="G628" i="7"/>
  <c r="E629" i="7"/>
  <c r="G629" i="7"/>
  <c r="E630" i="7"/>
  <c r="G630" i="7"/>
  <c r="E631" i="7"/>
  <c r="G631" i="7"/>
  <c r="E632" i="7"/>
  <c r="G632" i="7"/>
  <c r="E633" i="7"/>
  <c r="G633" i="7"/>
  <c r="E634" i="7"/>
  <c r="G634" i="7"/>
  <c r="E635" i="7"/>
  <c r="G635" i="7"/>
  <c r="E636" i="7"/>
  <c r="G636" i="7"/>
  <c r="E637" i="7"/>
  <c r="G637" i="7"/>
  <c r="E638" i="7"/>
  <c r="G638" i="7"/>
  <c r="E639" i="7"/>
  <c r="G639" i="7"/>
  <c r="E640" i="7"/>
  <c r="G640" i="7"/>
  <c r="E641" i="7"/>
  <c r="G641" i="7"/>
  <c r="E642" i="7"/>
  <c r="G642" i="7"/>
  <c r="E643" i="7"/>
  <c r="G643" i="7"/>
  <c r="E644" i="7"/>
  <c r="G644" i="7"/>
  <c r="E645" i="7"/>
  <c r="G645" i="7"/>
  <c r="E646" i="7"/>
  <c r="G646" i="7"/>
  <c r="E647" i="7"/>
  <c r="G647" i="7"/>
  <c r="E648" i="7"/>
  <c r="G648" i="7"/>
  <c r="E649" i="7"/>
  <c r="G649" i="7"/>
  <c r="E650" i="7"/>
  <c r="G650" i="7"/>
  <c r="E651" i="7"/>
  <c r="G651" i="7"/>
  <c r="E652" i="7"/>
  <c r="G652" i="7"/>
  <c r="E653" i="7"/>
  <c r="G653" i="7"/>
  <c r="E654" i="7"/>
  <c r="G654" i="7"/>
  <c r="E655" i="7"/>
  <c r="G655" i="7"/>
  <c r="E656" i="7"/>
  <c r="G656" i="7"/>
  <c r="E657" i="7"/>
  <c r="G657" i="7"/>
  <c r="E658" i="7"/>
  <c r="G658" i="7"/>
  <c r="E659" i="7"/>
  <c r="G659" i="7"/>
  <c r="E660" i="7"/>
  <c r="G660" i="7"/>
  <c r="E661" i="7"/>
  <c r="G661" i="7"/>
  <c r="E662" i="7"/>
  <c r="G662" i="7"/>
  <c r="E663" i="7"/>
  <c r="G663" i="7"/>
  <c r="E664" i="7"/>
  <c r="G664" i="7"/>
  <c r="E665" i="7"/>
  <c r="G665" i="7"/>
  <c r="E666" i="7"/>
  <c r="G666" i="7"/>
  <c r="E667" i="7"/>
  <c r="G667" i="7"/>
  <c r="E668" i="7"/>
  <c r="G668" i="7"/>
  <c r="E669" i="7"/>
  <c r="G669" i="7"/>
  <c r="E670" i="7"/>
  <c r="G670" i="7"/>
  <c r="E671" i="7"/>
  <c r="G671" i="7"/>
  <c r="E672" i="7"/>
  <c r="G672" i="7"/>
  <c r="E673" i="7"/>
  <c r="G673" i="7"/>
  <c r="E674" i="7"/>
  <c r="G674" i="7"/>
  <c r="E675" i="7"/>
  <c r="G675" i="7"/>
  <c r="E676" i="7"/>
  <c r="G676" i="7"/>
  <c r="E677" i="7"/>
  <c r="G677" i="7"/>
  <c r="E678" i="7"/>
  <c r="G678" i="7"/>
  <c r="E679" i="7"/>
  <c r="G679" i="7"/>
  <c r="E680" i="7"/>
  <c r="G680" i="7"/>
  <c r="E681" i="7"/>
  <c r="G681" i="7"/>
  <c r="E682" i="7"/>
  <c r="G682" i="7"/>
  <c r="E683" i="7"/>
  <c r="G683" i="7"/>
  <c r="E684" i="7"/>
  <c r="G684" i="7"/>
  <c r="E685" i="7"/>
  <c r="G685" i="7"/>
  <c r="E686" i="7"/>
  <c r="G686" i="7"/>
  <c r="E687" i="7"/>
  <c r="G687" i="7"/>
  <c r="E688" i="7"/>
  <c r="G688" i="7"/>
  <c r="E689" i="7"/>
  <c r="G689" i="7"/>
  <c r="E690" i="7"/>
  <c r="G690" i="7"/>
  <c r="E691" i="7"/>
  <c r="G691" i="7"/>
  <c r="E692" i="7"/>
  <c r="G692" i="7"/>
  <c r="E693" i="7"/>
  <c r="G693" i="7"/>
  <c r="E694" i="7"/>
  <c r="G694" i="7"/>
  <c r="E695" i="7"/>
  <c r="G695" i="7"/>
  <c r="E696" i="7"/>
  <c r="G696" i="7"/>
  <c r="E697" i="7"/>
  <c r="G697" i="7"/>
  <c r="E698" i="7"/>
  <c r="G698" i="7"/>
  <c r="E699" i="7"/>
  <c r="G699" i="7"/>
  <c r="E700" i="7"/>
  <c r="G700" i="7"/>
  <c r="E701" i="7"/>
  <c r="G701" i="7"/>
  <c r="E702" i="7"/>
  <c r="G702" i="7"/>
  <c r="E703" i="7"/>
  <c r="G703" i="7"/>
  <c r="E704" i="7"/>
  <c r="G704" i="7"/>
  <c r="E705" i="7"/>
  <c r="G705" i="7"/>
  <c r="E706" i="7"/>
  <c r="G706" i="7"/>
  <c r="E707" i="7"/>
  <c r="G707" i="7"/>
  <c r="E708" i="7"/>
  <c r="G708" i="7"/>
  <c r="E709" i="7"/>
  <c r="G709" i="7"/>
  <c r="E710" i="7"/>
  <c r="G710" i="7"/>
  <c r="E711" i="7"/>
  <c r="G711" i="7"/>
  <c r="E712" i="7"/>
  <c r="G712" i="7"/>
  <c r="E713" i="7"/>
  <c r="G713" i="7"/>
  <c r="E714" i="7"/>
  <c r="G714" i="7"/>
  <c r="E715" i="7"/>
  <c r="G715" i="7"/>
  <c r="E716" i="7"/>
  <c r="G716" i="7"/>
  <c r="E717" i="7"/>
  <c r="G717" i="7"/>
  <c r="E718" i="7"/>
  <c r="G718" i="7"/>
  <c r="E719" i="7"/>
  <c r="G719" i="7"/>
  <c r="E720" i="7"/>
  <c r="G720" i="7"/>
  <c r="E721" i="7"/>
  <c r="G721" i="7"/>
  <c r="E722" i="7"/>
  <c r="G722" i="7"/>
  <c r="E723" i="7"/>
  <c r="G723" i="7"/>
  <c r="E724" i="7"/>
  <c r="G724" i="7"/>
  <c r="E725" i="7"/>
  <c r="G725" i="7"/>
  <c r="E726" i="7"/>
  <c r="G726" i="7"/>
  <c r="E727" i="7"/>
  <c r="G727" i="7"/>
  <c r="E728" i="7"/>
  <c r="G728" i="7"/>
  <c r="E729" i="7"/>
  <c r="G729" i="7"/>
  <c r="E730" i="7"/>
  <c r="G730" i="7"/>
  <c r="E731" i="7"/>
  <c r="G731" i="7"/>
  <c r="E732" i="7"/>
  <c r="G732" i="7"/>
  <c r="E733" i="7"/>
  <c r="G733" i="7"/>
  <c r="E734" i="7"/>
  <c r="G734" i="7"/>
  <c r="E735" i="7"/>
  <c r="G735" i="7"/>
  <c r="E736" i="7"/>
  <c r="G736" i="7"/>
  <c r="E737" i="7"/>
  <c r="G737" i="7"/>
  <c r="E738" i="7"/>
  <c r="G738" i="7"/>
  <c r="E739" i="7"/>
  <c r="G739" i="7"/>
  <c r="E740" i="7"/>
  <c r="G740" i="7"/>
  <c r="E741" i="7"/>
  <c r="G741" i="7"/>
  <c r="E742" i="7"/>
  <c r="G742" i="7"/>
  <c r="E743" i="7"/>
  <c r="G743" i="7"/>
  <c r="E744" i="7"/>
  <c r="G744" i="7"/>
  <c r="E745" i="7"/>
  <c r="G745" i="7"/>
  <c r="E746" i="7"/>
  <c r="G746" i="7"/>
  <c r="E747" i="7"/>
  <c r="G747" i="7"/>
  <c r="E748" i="7"/>
  <c r="G748" i="7"/>
  <c r="E749" i="7"/>
  <c r="G749" i="7"/>
  <c r="E750" i="7"/>
  <c r="G750" i="7"/>
  <c r="E751" i="7"/>
  <c r="G751" i="7"/>
  <c r="E752" i="7"/>
  <c r="G752" i="7"/>
  <c r="E753" i="7"/>
  <c r="G753" i="7"/>
  <c r="E754" i="7"/>
  <c r="G754" i="7"/>
  <c r="E755" i="7"/>
  <c r="G755" i="7"/>
  <c r="E756" i="7"/>
  <c r="G756" i="7"/>
  <c r="E757" i="7"/>
  <c r="G757" i="7"/>
  <c r="E758" i="7"/>
  <c r="G758" i="7"/>
  <c r="E759" i="7"/>
  <c r="G759" i="7"/>
  <c r="E760" i="7"/>
  <c r="G760" i="7"/>
  <c r="E761" i="7"/>
  <c r="G761" i="7"/>
  <c r="E762" i="7"/>
  <c r="G762" i="7"/>
  <c r="E763" i="7"/>
  <c r="G763" i="7"/>
  <c r="E764" i="7"/>
  <c r="G764" i="7"/>
  <c r="E765" i="7"/>
  <c r="G765" i="7"/>
  <c r="E766" i="7"/>
  <c r="G766" i="7"/>
  <c r="E767" i="7"/>
  <c r="G767" i="7"/>
  <c r="E768" i="7"/>
  <c r="G768" i="7"/>
  <c r="E769" i="7"/>
  <c r="G769" i="7"/>
  <c r="E770" i="7"/>
  <c r="G770" i="7"/>
  <c r="E771" i="7"/>
  <c r="G771" i="7"/>
  <c r="E772" i="7"/>
  <c r="G772" i="7"/>
  <c r="E773" i="7"/>
  <c r="G773" i="7"/>
  <c r="E774" i="7"/>
  <c r="G774" i="7"/>
  <c r="E775" i="7"/>
  <c r="G775" i="7"/>
  <c r="E776" i="7"/>
  <c r="G776" i="7"/>
  <c r="E777" i="7"/>
  <c r="G777" i="7"/>
  <c r="E778" i="7"/>
  <c r="G778" i="7"/>
  <c r="E779" i="7"/>
  <c r="G779" i="7"/>
  <c r="E780" i="7"/>
  <c r="G780" i="7"/>
  <c r="E781" i="7"/>
  <c r="G781" i="7"/>
  <c r="E782" i="7"/>
  <c r="G782" i="7"/>
  <c r="E783" i="7"/>
  <c r="G783" i="7"/>
  <c r="E784" i="7"/>
  <c r="G784" i="7"/>
  <c r="E785" i="7"/>
  <c r="G785" i="7"/>
  <c r="E786" i="7"/>
  <c r="G786" i="7"/>
  <c r="E787" i="7"/>
  <c r="G787" i="7"/>
  <c r="E788" i="7"/>
  <c r="G788" i="7"/>
  <c r="E789" i="7"/>
  <c r="G789" i="7"/>
  <c r="E790" i="7"/>
  <c r="G790" i="7"/>
  <c r="E791" i="7"/>
  <c r="G791" i="7"/>
  <c r="E792" i="7"/>
  <c r="G792" i="7"/>
  <c r="E793" i="7"/>
  <c r="G793" i="7"/>
  <c r="E794" i="7"/>
  <c r="G794" i="7"/>
  <c r="E795" i="7"/>
  <c r="G795" i="7"/>
  <c r="E796" i="7"/>
  <c r="G796" i="7"/>
  <c r="E797" i="7"/>
  <c r="G797" i="7"/>
  <c r="E798" i="7"/>
  <c r="G798" i="7"/>
  <c r="E799" i="7"/>
  <c r="G799" i="7"/>
  <c r="E800" i="7"/>
  <c r="G800" i="7"/>
  <c r="E801" i="7"/>
  <c r="G801" i="7"/>
  <c r="E802" i="7"/>
  <c r="G802" i="7"/>
  <c r="E803" i="7"/>
  <c r="G803" i="7"/>
  <c r="E804" i="7"/>
  <c r="G804" i="7"/>
  <c r="E805" i="7"/>
  <c r="G805" i="7"/>
  <c r="E806" i="7"/>
  <c r="G806" i="7"/>
  <c r="E807" i="7"/>
  <c r="G807" i="7"/>
  <c r="E808" i="7"/>
  <c r="G808" i="7"/>
  <c r="E809" i="7"/>
  <c r="G809" i="7"/>
  <c r="E810" i="7"/>
  <c r="G810" i="7"/>
  <c r="E811" i="7"/>
  <c r="G811" i="7"/>
  <c r="E812" i="7"/>
  <c r="G812" i="7"/>
  <c r="E813" i="7"/>
  <c r="G813" i="7"/>
  <c r="E814" i="7"/>
  <c r="G814" i="7"/>
  <c r="E815" i="7"/>
  <c r="G815" i="7"/>
  <c r="E816" i="7"/>
  <c r="G816" i="7"/>
  <c r="E817" i="7"/>
  <c r="G817" i="7"/>
  <c r="E818" i="7"/>
  <c r="G818" i="7"/>
  <c r="E819" i="7"/>
  <c r="G819" i="7"/>
  <c r="E820" i="7"/>
  <c r="G820" i="7"/>
  <c r="E821" i="7"/>
  <c r="G821" i="7"/>
  <c r="E822" i="7"/>
  <c r="G822" i="7"/>
  <c r="E823" i="7"/>
  <c r="G823" i="7"/>
  <c r="E824" i="7"/>
  <c r="G824" i="7"/>
  <c r="E825" i="7"/>
  <c r="G825" i="7"/>
  <c r="E826" i="7"/>
  <c r="G826" i="7"/>
  <c r="E827" i="7"/>
  <c r="G827" i="7"/>
  <c r="E828" i="7"/>
  <c r="G828" i="7"/>
  <c r="E829" i="7"/>
  <c r="G829" i="7"/>
  <c r="E830" i="7"/>
  <c r="G830" i="7"/>
  <c r="E831" i="7"/>
  <c r="G831" i="7"/>
  <c r="E832" i="7"/>
  <c r="G832" i="7"/>
  <c r="E833" i="7"/>
  <c r="G833" i="7"/>
  <c r="E834" i="7"/>
  <c r="G834" i="7"/>
  <c r="E835" i="7"/>
  <c r="G835" i="7"/>
  <c r="E836" i="7"/>
  <c r="G836" i="7"/>
  <c r="E837" i="7"/>
  <c r="G837" i="7"/>
  <c r="E838" i="7"/>
  <c r="G838" i="7"/>
  <c r="E839" i="7"/>
  <c r="G839" i="7"/>
  <c r="E840" i="7"/>
  <c r="G840" i="7"/>
  <c r="E841" i="7"/>
  <c r="G841" i="7"/>
  <c r="E842" i="7"/>
  <c r="G842" i="7"/>
  <c r="E843" i="7"/>
  <c r="G843" i="7"/>
  <c r="E844" i="7"/>
  <c r="G844" i="7"/>
  <c r="E845" i="7"/>
  <c r="G845" i="7"/>
  <c r="E846" i="7"/>
  <c r="G846" i="7"/>
  <c r="E847" i="7"/>
  <c r="G847" i="7"/>
  <c r="E848" i="7"/>
  <c r="G848" i="7"/>
  <c r="E849" i="7"/>
  <c r="G849" i="7"/>
  <c r="E850" i="7"/>
  <c r="G850" i="7"/>
  <c r="E851" i="7"/>
  <c r="G851" i="7"/>
  <c r="E852" i="7"/>
  <c r="G852" i="7"/>
  <c r="E853" i="7"/>
  <c r="G853" i="7"/>
  <c r="E854" i="7"/>
  <c r="G854" i="7"/>
  <c r="E855" i="7"/>
  <c r="G855" i="7"/>
  <c r="E856" i="7"/>
  <c r="G856" i="7"/>
  <c r="E857" i="7"/>
  <c r="G857" i="7"/>
  <c r="E858" i="7"/>
  <c r="G858" i="7"/>
  <c r="E859" i="7"/>
  <c r="G859" i="7"/>
  <c r="E860" i="7"/>
  <c r="G860" i="7"/>
  <c r="E861" i="7"/>
  <c r="G861" i="7"/>
  <c r="E862" i="7"/>
  <c r="G862" i="7"/>
  <c r="E863" i="7"/>
  <c r="G863" i="7"/>
  <c r="E864" i="7"/>
  <c r="G864" i="7"/>
  <c r="E865" i="7"/>
  <c r="G865" i="7"/>
  <c r="E866" i="7"/>
  <c r="G866" i="7"/>
  <c r="E867" i="7"/>
  <c r="G867" i="7"/>
  <c r="E868" i="7"/>
  <c r="G868" i="7"/>
  <c r="E869" i="7"/>
  <c r="G869" i="7"/>
  <c r="E870" i="7"/>
  <c r="G870" i="7"/>
  <c r="E871" i="7"/>
  <c r="G871" i="7"/>
  <c r="E872" i="7"/>
  <c r="G872" i="7"/>
  <c r="E873" i="7"/>
  <c r="G873" i="7"/>
  <c r="E874" i="7"/>
  <c r="G874" i="7"/>
  <c r="E875" i="7"/>
  <c r="G875" i="7"/>
  <c r="E876" i="7"/>
  <c r="G876" i="7"/>
  <c r="E877" i="7"/>
  <c r="G877" i="7"/>
  <c r="E878" i="7"/>
  <c r="G878" i="7"/>
  <c r="E879" i="7"/>
  <c r="G879" i="7"/>
  <c r="E880" i="7"/>
  <c r="G880" i="7"/>
  <c r="E881" i="7"/>
  <c r="G881" i="7"/>
  <c r="E882" i="7"/>
  <c r="G882" i="7"/>
  <c r="E883" i="7"/>
  <c r="G883" i="7"/>
  <c r="E884" i="7"/>
  <c r="G884" i="7"/>
  <c r="E885" i="7"/>
  <c r="G885" i="7"/>
  <c r="E886" i="7"/>
  <c r="G886" i="7"/>
  <c r="E887" i="7"/>
  <c r="G887" i="7"/>
  <c r="E888" i="7"/>
  <c r="G888" i="7"/>
  <c r="E889" i="7"/>
  <c r="G889" i="7"/>
  <c r="E890" i="7"/>
  <c r="G890" i="7"/>
  <c r="E891" i="7"/>
  <c r="G891" i="7"/>
  <c r="E892" i="7"/>
  <c r="G892" i="7"/>
  <c r="E893" i="7"/>
  <c r="G893" i="7"/>
  <c r="E894" i="7"/>
  <c r="G894" i="7"/>
  <c r="E895" i="7"/>
  <c r="G895" i="7"/>
  <c r="E896" i="7"/>
  <c r="G896" i="7"/>
  <c r="E897" i="7"/>
  <c r="G897" i="7"/>
  <c r="E898" i="7"/>
  <c r="G898" i="7"/>
  <c r="E899" i="7"/>
  <c r="G899" i="7"/>
  <c r="E900" i="7"/>
  <c r="G900" i="7"/>
  <c r="E901" i="7"/>
  <c r="G901" i="7"/>
  <c r="E902" i="7"/>
  <c r="G902" i="7"/>
  <c r="E903" i="7"/>
  <c r="G903" i="7"/>
  <c r="E904" i="7"/>
  <c r="G904" i="7"/>
  <c r="E905" i="7"/>
  <c r="G905" i="7"/>
  <c r="E906" i="7"/>
  <c r="G906" i="7"/>
  <c r="E907" i="7"/>
  <c r="G907" i="7"/>
  <c r="E908" i="7"/>
  <c r="G908" i="7"/>
  <c r="E909" i="7"/>
  <c r="G909" i="7"/>
  <c r="E910" i="7"/>
  <c r="G910" i="7"/>
  <c r="E911" i="7"/>
  <c r="G911" i="7"/>
  <c r="E912" i="7"/>
  <c r="G912" i="7"/>
  <c r="E913" i="7"/>
  <c r="G913" i="7"/>
  <c r="E914" i="7"/>
  <c r="G914" i="7"/>
  <c r="E915" i="7"/>
  <c r="G915" i="7"/>
  <c r="E916" i="7"/>
  <c r="G916" i="7"/>
  <c r="E917" i="7"/>
  <c r="G917" i="7"/>
  <c r="E918" i="7"/>
  <c r="G918" i="7"/>
  <c r="E919" i="7"/>
  <c r="G919" i="7"/>
  <c r="E920" i="7"/>
  <c r="G920" i="7"/>
  <c r="E921" i="7"/>
  <c r="G921" i="7"/>
  <c r="E922" i="7"/>
  <c r="G922" i="7"/>
  <c r="E923" i="7"/>
  <c r="G923" i="7"/>
  <c r="E924" i="7"/>
  <c r="G924" i="7"/>
  <c r="E925" i="7"/>
  <c r="G925" i="7"/>
  <c r="E926" i="7"/>
  <c r="G926" i="7"/>
  <c r="E927" i="7"/>
  <c r="G927" i="7"/>
  <c r="E928" i="7"/>
  <c r="G928" i="7"/>
  <c r="E929" i="7"/>
  <c r="G929" i="7"/>
  <c r="E930" i="7"/>
  <c r="G930" i="7"/>
  <c r="E931" i="7"/>
  <c r="G931" i="7"/>
  <c r="E932" i="7"/>
  <c r="G932" i="7"/>
  <c r="E933" i="7"/>
  <c r="G933" i="7"/>
  <c r="E934" i="7"/>
  <c r="G934" i="7"/>
  <c r="E935" i="7"/>
  <c r="G935" i="7"/>
  <c r="E936" i="7"/>
  <c r="G936" i="7"/>
  <c r="E937" i="7"/>
  <c r="G937" i="7"/>
  <c r="E938" i="7"/>
  <c r="G938" i="7"/>
  <c r="E939" i="7"/>
  <c r="G939" i="7"/>
  <c r="E940" i="7"/>
  <c r="G940" i="7"/>
  <c r="E941" i="7"/>
  <c r="G941" i="7"/>
  <c r="E942" i="7"/>
  <c r="G942" i="7"/>
  <c r="E943" i="7"/>
  <c r="G943" i="7"/>
  <c r="E944" i="7"/>
  <c r="G944" i="7"/>
  <c r="E945" i="7"/>
  <c r="G945" i="7"/>
  <c r="E946" i="7"/>
  <c r="G946" i="7"/>
  <c r="E947" i="7"/>
  <c r="G947" i="7"/>
  <c r="E948" i="7"/>
  <c r="G948" i="7"/>
  <c r="E949" i="7"/>
  <c r="G949" i="7"/>
  <c r="E950" i="7"/>
  <c r="G950" i="7"/>
  <c r="E951" i="7"/>
  <c r="G951" i="7"/>
  <c r="E952" i="7"/>
  <c r="G952" i="7"/>
  <c r="E953" i="7"/>
  <c r="G953" i="7"/>
  <c r="E954" i="7"/>
  <c r="G954" i="7"/>
  <c r="E955" i="7"/>
  <c r="G955" i="7"/>
  <c r="E956" i="7"/>
  <c r="G956" i="7"/>
  <c r="E957" i="7"/>
  <c r="G957" i="7"/>
  <c r="E958" i="7"/>
  <c r="G958" i="7"/>
  <c r="E959" i="7"/>
  <c r="G959" i="7"/>
  <c r="E960" i="7"/>
  <c r="G960" i="7"/>
  <c r="E961" i="7"/>
  <c r="G961" i="7"/>
  <c r="E962" i="7"/>
  <c r="G962" i="7"/>
  <c r="E963" i="7"/>
  <c r="G963" i="7"/>
  <c r="E964" i="7"/>
  <c r="G964" i="7"/>
  <c r="E965" i="7"/>
  <c r="G965" i="7"/>
  <c r="E966" i="7"/>
  <c r="G966" i="7"/>
  <c r="E967" i="7"/>
  <c r="G967" i="7"/>
  <c r="E968" i="7"/>
  <c r="G968" i="7"/>
  <c r="E969" i="7"/>
  <c r="G969" i="7"/>
  <c r="E970" i="7"/>
  <c r="G970" i="7"/>
  <c r="E971" i="7"/>
  <c r="G971" i="7"/>
  <c r="E972" i="7"/>
  <c r="G972" i="7"/>
  <c r="E973" i="7"/>
  <c r="G973" i="7"/>
  <c r="E974" i="7"/>
  <c r="G974" i="7"/>
  <c r="E975" i="7"/>
  <c r="G975" i="7"/>
  <c r="E976" i="7"/>
  <c r="G976" i="7"/>
  <c r="E977" i="7"/>
  <c r="G977" i="7"/>
  <c r="E978" i="7"/>
  <c r="G978" i="7"/>
  <c r="E979" i="7"/>
  <c r="G979" i="7"/>
  <c r="E980" i="7"/>
  <c r="G980" i="7"/>
  <c r="E981" i="7"/>
  <c r="G981" i="7"/>
  <c r="E982" i="7"/>
  <c r="G982" i="7"/>
  <c r="E983" i="7"/>
  <c r="G983" i="7"/>
  <c r="E984" i="7"/>
  <c r="G984" i="7"/>
  <c r="E985" i="7"/>
  <c r="G985" i="7"/>
  <c r="E986" i="7"/>
  <c r="G986" i="7"/>
  <c r="E987" i="7"/>
  <c r="G987" i="7"/>
  <c r="E988" i="7"/>
  <c r="G988" i="7"/>
  <c r="E989" i="7"/>
  <c r="G989" i="7"/>
  <c r="E990" i="7"/>
  <c r="G990" i="7"/>
  <c r="E991" i="7"/>
  <c r="G991" i="7"/>
  <c r="E992" i="7"/>
  <c r="G992" i="7"/>
  <c r="E993" i="7"/>
  <c r="G993" i="7"/>
  <c r="E994" i="7"/>
  <c r="G994" i="7"/>
  <c r="E995" i="7"/>
  <c r="G995" i="7"/>
  <c r="E996" i="7"/>
  <c r="G996" i="7"/>
  <c r="E997" i="7"/>
  <c r="G997" i="7"/>
  <c r="E998" i="7"/>
  <c r="G998" i="7"/>
  <c r="E999" i="7"/>
  <c r="G999" i="7"/>
  <c r="E1000" i="7"/>
  <c r="G1000" i="7"/>
  <c r="E1001" i="7"/>
  <c r="G1001" i="7"/>
  <c r="E1002" i="7"/>
  <c r="G1002" i="7"/>
  <c r="E1003" i="7"/>
  <c r="G1003" i="7"/>
  <c r="E1004" i="7"/>
  <c r="G1004" i="7"/>
  <c r="E1005" i="7"/>
  <c r="G1005" i="7"/>
  <c r="E1006" i="7"/>
  <c r="G1006" i="7"/>
  <c r="E1007" i="7"/>
  <c r="G1007" i="7"/>
  <c r="E1008" i="7"/>
  <c r="G1008" i="7"/>
  <c r="E1009" i="7"/>
  <c r="G1009" i="7"/>
  <c r="E1010" i="7"/>
  <c r="G1010" i="7"/>
  <c r="E1011" i="7"/>
  <c r="G1011" i="7"/>
  <c r="E1012" i="7"/>
  <c r="G1012" i="7"/>
  <c r="E1013" i="7"/>
  <c r="G1013" i="7"/>
  <c r="E1014" i="7"/>
  <c r="G1014" i="7"/>
  <c r="E1015" i="7"/>
  <c r="G1015" i="7"/>
  <c r="E1016" i="7"/>
  <c r="G1016" i="7"/>
  <c r="E1017" i="7"/>
  <c r="G1017" i="7"/>
  <c r="E1018" i="7"/>
  <c r="G1018" i="7"/>
  <c r="E1019" i="7"/>
  <c r="G1019" i="7"/>
  <c r="E1020" i="7"/>
  <c r="G1020" i="7"/>
  <c r="E1021" i="7"/>
  <c r="G1021" i="7"/>
  <c r="E1022" i="7"/>
  <c r="G1022" i="7"/>
  <c r="E1023" i="7"/>
  <c r="G1023" i="7"/>
  <c r="E1024" i="7"/>
  <c r="G1024" i="7"/>
  <c r="E1025" i="7"/>
  <c r="G1025" i="7"/>
  <c r="E1026" i="7"/>
  <c r="G1026" i="7"/>
  <c r="E1027" i="7"/>
  <c r="G1027" i="7"/>
  <c r="E1028" i="7"/>
  <c r="G1028" i="7"/>
  <c r="E1029" i="7"/>
  <c r="G1029" i="7"/>
  <c r="E1030" i="7"/>
  <c r="G1030" i="7"/>
  <c r="E1031" i="7"/>
  <c r="G1031" i="7"/>
  <c r="E1032" i="7"/>
  <c r="G1032" i="7"/>
  <c r="E1033" i="7"/>
  <c r="G1033" i="7"/>
  <c r="E1034" i="7"/>
  <c r="G1034" i="7"/>
  <c r="E1035" i="7"/>
  <c r="G1035" i="7"/>
  <c r="E1036" i="7"/>
  <c r="G1036" i="7"/>
  <c r="E1037" i="7"/>
  <c r="G1037" i="7"/>
  <c r="E1038" i="7"/>
  <c r="G1038" i="7"/>
  <c r="E1039" i="7"/>
  <c r="G1039" i="7"/>
  <c r="E1040" i="7"/>
  <c r="G1040" i="7"/>
  <c r="E1041" i="7"/>
  <c r="G1041" i="7"/>
  <c r="E1042" i="7"/>
  <c r="G1042" i="7"/>
  <c r="E1043" i="7"/>
  <c r="G1043" i="7"/>
  <c r="E1044" i="7"/>
  <c r="G1044" i="7"/>
  <c r="E1045" i="7"/>
  <c r="G1045" i="7"/>
  <c r="E1046" i="7"/>
  <c r="G1046" i="7"/>
  <c r="E1047" i="7"/>
  <c r="G1047" i="7"/>
  <c r="E1048" i="7"/>
  <c r="G1048" i="7"/>
  <c r="E1049" i="7"/>
  <c r="G1049" i="7"/>
  <c r="E1050" i="7"/>
  <c r="G1050" i="7"/>
  <c r="E1051" i="7"/>
  <c r="G1051" i="7"/>
  <c r="E1052" i="7"/>
  <c r="G1052" i="7"/>
  <c r="E1053" i="7"/>
  <c r="G1053" i="7"/>
  <c r="E1054" i="7"/>
  <c r="G1054" i="7"/>
  <c r="E1055" i="7"/>
  <c r="G1055" i="7"/>
  <c r="E1056" i="7"/>
  <c r="G1056" i="7"/>
  <c r="E1057" i="7"/>
  <c r="G1057" i="7"/>
  <c r="E1058" i="7"/>
  <c r="G1058" i="7"/>
  <c r="E1059" i="7"/>
  <c r="G1059" i="7"/>
  <c r="E1060" i="7"/>
  <c r="G1060" i="7"/>
  <c r="E1061" i="7"/>
  <c r="G1061" i="7"/>
  <c r="E1062" i="7"/>
  <c r="G1062" i="7"/>
  <c r="E1063" i="7"/>
  <c r="G1063" i="7"/>
  <c r="E1064" i="7"/>
  <c r="G1064" i="7"/>
  <c r="E1065" i="7"/>
  <c r="G1065" i="7"/>
  <c r="E1066" i="7"/>
  <c r="G1066" i="7"/>
  <c r="E1067" i="7"/>
  <c r="G1067" i="7"/>
  <c r="E1068" i="7"/>
  <c r="G1068" i="7"/>
  <c r="E1069" i="7"/>
  <c r="G1069" i="7"/>
  <c r="E1070" i="7"/>
  <c r="G1070" i="7"/>
  <c r="E1071" i="7"/>
  <c r="G1071" i="7"/>
  <c r="E1072" i="7"/>
  <c r="G1072" i="7"/>
  <c r="E1073" i="7"/>
  <c r="G1073" i="7"/>
  <c r="E1074" i="7"/>
  <c r="G1074" i="7"/>
  <c r="E1075" i="7"/>
  <c r="G1075" i="7"/>
  <c r="E1076" i="7"/>
  <c r="G1076" i="7"/>
  <c r="E1077" i="7"/>
  <c r="G1077" i="7"/>
  <c r="E1078" i="7"/>
  <c r="G1078" i="7"/>
  <c r="E1079" i="7"/>
  <c r="G1079" i="7"/>
  <c r="E1080" i="7"/>
  <c r="G1080" i="7"/>
  <c r="E1081" i="7"/>
  <c r="G1081" i="7"/>
  <c r="E1082" i="7"/>
  <c r="G1082" i="7"/>
  <c r="E1083" i="7"/>
  <c r="G1083" i="7"/>
  <c r="E1084" i="7"/>
  <c r="G1084" i="7"/>
  <c r="E1085" i="7"/>
  <c r="G1085" i="7"/>
  <c r="E1086" i="7"/>
  <c r="G1086" i="7"/>
  <c r="E1087" i="7"/>
  <c r="G1087" i="7"/>
  <c r="E1088" i="7"/>
  <c r="G1088" i="7"/>
  <c r="E1089" i="7"/>
  <c r="G1089" i="7"/>
  <c r="E1090" i="7"/>
  <c r="G1090" i="7"/>
  <c r="E1091" i="7"/>
  <c r="G1091" i="7"/>
  <c r="E1092" i="7"/>
  <c r="G1092" i="7"/>
  <c r="E1093" i="7"/>
  <c r="G1093" i="7"/>
  <c r="E1094" i="7"/>
  <c r="G1094" i="7"/>
  <c r="E1095" i="7"/>
  <c r="G1095" i="7"/>
  <c r="E1096" i="7"/>
  <c r="G1096" i="7"/>
  <c r="E1097" i="7"/>
  <c r="G1097" i="7"/>
  <c r="E1098" i="7"/>
  <c r="G1098" i="7"/>
  <c r="E1099" i="7"/>
  <c r="G1099" i="7"/>
  <c r="E1100" i="7"/>
  <c r="G1100" i="7"/>
  <c r="E1101" i="7"/>
  <c r="G1101" i="7"/>
  <c r="E1102" i="7"/>
  <c r="G1102" i="7"/>
  <c r="E1103" i="7"/>
  <c r="G1103" i="7"/>
  <c r="E1104" i="7"/>
  <c r="G1104" i="7"/>
  <c r="E1105" i="7"/>
  <c r="G1105" i="7"/>
  <c r="E1106" i="7"/>
  <c r="G1106" i="7"/>
  <c r="E1107" i="7"/>
  <c r="G1107" i="7"/>
  <c r="E1108" i="7"/>
  <c r="G1108" i="7"/>
  <c r="E1109" i="7"/>
  <c r="G1109" i="7"/>
  <c r="E1110" i="7"/>
  <c r="G1110" i="7"/>
  <c r="E1111" i="7"/>
  <c r="G1111" i="7"/>
  <c r="E1112" i="7"/>
  <c r="G1112" i="7"/>
  <c r="E1113" i="7"/>
  <c r="G1113" i="7"/>
  <c r="E1114" i="7"/>
  <c r="G1114" i="7"/>
  <c r="E1115" i="7"/>
  <c r="G1115" i="7"/>
  <c r="E1116" i="7"/>
  <c r="G1116" i="7"/>
  <c r="E1117" i="7"/>
  <c r="G1117" i="7"/>
  <c r="E1118" i="7"/>
  <c r="G1118" i="7"/>
  <c r="E1119" i="7"/>
  <c r="G1119" i="7"/>
  <c r="E1120" i="7"/>
  <c r="G1120" i="7"/>
  <c r="E1121" i="7"/>
  <c r="G1121" i="7"/>
  <c r="E1122" i="7"/>
  <c r="G1122" i="7"/>
  <c r="E1123" i="7"/>
  <c r="G1123" i="7"/>
  <c r="E1124" i="7"/>
  <c r="G1124" i="7"/>
  <c r="E1125" i="7"/>
  <c r="G1125" i="7"/>
  <c r="E1126" i="7"/>
  <c r="G1126" i="7"/>
  <c r="E1127" i="7"/>
  <c r="G1127" i="7"/>
  <c r="E1128" i="7"/>
  <c r="G1128" i="7"/>
  <c r="E1129" i="7"/>
  <c r="G1129" i="7"/>
  <c r="E1130" i="7"/>
  <c r="G1130" i="7"/>
  <c r="E1131" i="7"/>
  <c r="G1131" i="7"/>
  <c r="E1132" i="7"/>
  <c r="G1132" i="7"/>
  <c r="E1133" i="7"/>
  <c r="G1133" i="7"/>
  <c r="E1134" i="7"/>
  <c r="G1134" i="7"/>
  <c r="E1135" i="7"/>
  <c r="G1135" i="7"/>
  <c r="E1136" i="7"/>
  <c r="G1136" i="7"/>
  <c r="E1137" i="7"/>
  <c r="G1137" i="7"/>
  <c r="E1138" i="7"/>
  <c r="G1138" i="7"/>
  <c r="E1139" i="7"/>
  <c r="G1139" i="7"/>
  <c r="E1140" i="7"/>
  <c r="G1140" i="7"/>
  <c r="E1141" i="7"/>
  <c r="G1141" i="7"/>
  <c r="E1142" i="7"/>
  <c r="G1142" i="7"/>
  <c r="E1143" i="7"/>
  <c r="G1143" i="7"/>
  <c r="E1144" i="7"/>
  <c r="G1144" i="7"/>
  <c r="E1145" i="7"/>
  <c r="G1145" i="7"/>
  <c r="E1146" i="7"/>
  <c r="G1146" i="7"/>
  <c r="E1147" i="7"/>
  <c r="G1147" i="7"/>
  <c r="E1148" i="7"/>
  <c r="G1148" i="7"/>
  <c r="E1149" i="7"/>
  <c r="G1149" i="7"/>
  <c r="E1150" i="7"/>
  <c r="G1150" i="7"/>
  <c r="E1151" i="7"/>
  <c r="G1151" i="7"/>
  <c r="E1152" i="7"/>
  <c r="G1152" i="7"/>
  <c r="E1153" i="7"/>
  <c r="G1153" i="7"/>
  <c r="E1154" i="7"/>
  <c r="G1154" i="7"/>
  <c r="E1155" i="7"/>
  <c r="G1155" i="7"/>
  <c r="E1156" i="7"/>
  <c r="G1156" i="7"/>
  <c r="E1157" i="7"/>
  <c r="G1157" i="7"/>
  <c r="E1158" i="7"/>
  <c r="G1158" i="7"/>
  <c r="E1159" i="7"/>
  <c r="G1159" i="7"/>
  <c r="E1160" i="7"/>
  <c r="G1160" i="7"/>
  <c r="E1161" i="7"/>
  <c r="G1161" i="7"/>
  <c r="E1162" i="7"/>
  <c r="G1162" i="7"/>
  <c r="E1163" i="7"/>
  <c r="G1163" i="7"/>
  <c r="E1164" i="7"/>
  <c r="G1164" i="7"/>
  <c r="E1165" i="7"/>
  <c r="G1165" i="7"/>
  <c r="E1166" i="7"/>
  <c r="G1166" i="7"/>
  <c r="E1167" i="7"/>
  <c r="G1167" i="7"/>
  <c r="E1168" i="7"/>
  <c r="G1168" i="7"/>
  <c r="E1169" i="7"/>
  <c r="G1169" i="7"/>
  <c r="E1170" i="7"/>
  <c r="G1170" i="7"/>
  <c r="E1171" i="7"/>
  <c r="G1171" i="7"/>
  <c r="E1172" i="7"/>
  <c r="G1172" i="7"/>
  <c r="E1173" i="7"/>
  <c r="G1173" i="7"/>
  <c r="E1174" i="7"/>
  <c r="G1174" i="7"/>
  <c r="E1175" i="7"/>
  <c r="G1175" i="7"/>
  <c r="E1176" i="7"/>
  <c r="G1176" i="7"/>
  <c r="E1177" i="7"/>
  <c r="G1177" i="7"/>
  <c r="E1178" i="7"/>
  <c r="G1178" i="7"/>
  <c r="E1179" i="7"/>
  <c r="G1179" i="7"/>
  <c r="E1180" i="7"/>
  <c r="G1180" i="7"/>
  <c r="E1181" i="7"/>
  <c r="G1181" i="7"/>
  <c r="E1182" i="7"/>
  <c r="G1182" i="7"/>
  <c r="E1183" i="7"/>
  <c r="G1183" i="7"/>
  <c r="E1184" i="7"/>
  <c r="G1184" i="7"/>
  <c r="E1185" i="7"/>
  <c r="G1185" i="7"/>
  <c r="E1186" i="7"/>
  <c r="G1186" i="7"/>
  <c r="E1187" i="7"/>
  <c r="G1187" i="7"/>
  <c r="E1188" i="7"/>
  <c r="G1188" i="7"/>
  <c r="E1189" i="7"/>
  <c r="G1189" i="7"/>
  <c r="E1190" i="7"/>
  <c r="G1190" i="7"/>
  <c r="E1191" i="7"/>
  <c r="G1191" i="7"/>
  <c r="E1192" i="7"/>
  <c r="G1192" i="7"/>
  <c r="E1193" i="7"/>
  <c r="G1193" i="7"/>
  <c r="E1194" i="7"/>
  <c r="G1194" i="7"/>
  <c r="E1195" i="7"/>
  <c r="G1195" i="7"/>
  <c r="E1196" i="7"/>
  <c r="G1196" i="7"/>
  <c r="E1197" i="7"/>
  <c r="G1197" i="7"/>
  <c r="E1198" i="7"/>
  <c r="G1198" i="7"/>
  <c r="E1199" i="7"/>
  <c r="G1199" i="7"/>
  <c r="E1200" i="7"/>
  <c r="G1200" i="7"/>
  <c r="E1201" i="7"/>
  <c r="G1201" i="7"/>
  <c r="E1202" i="7"/>
  <c r="G1202" i="7"/>
  <c r="E1203" i="7"/>
  <c r="G1203" i="7"/>
  <c r="E1204" i="7"/>
  <c r="G1204" i="7"/>
  <c r="E1205" i="7"/>
  <c r="G1205" i="7"/>
  <c r="E1206" i="7"/>
  <c r="G1206" i="7"/>
  <c r="E1207" i="7"/>
  <c r="G1207" i="7"/>
  <c r="E1208" i="7"/>
  <c r="G1208" i="7"/>
  <c r="E1209" i="7"/>
  <c r="G1209" i="7"/>
  <c r="E1210" i="7"/>
  <c r="G1210" i="7"/>
  <c r="E1211" i="7"/>
  <c r="G1211" i="7"/>
  <c r="E1212" i="7"/>
  <c r="G1212" i="7"/>
  <c r="E1213" i="7"/>
  <c r="G1213" i="7"/>
  <c r="E1214" i="7"/>
  <c r="G1214" i="7"/>
  <c r="E1215" i="7"/>
  <c r="G1215" i="7"/>
  <c r="E1216" i="7"/>
  <c r="G1216" i="7"/>
  <c r="E1217" i="7"/>
  <c r="G1217" i="7"/>
  <c r="E1218" i="7"/>
  <c r="G1218" i="7"/>
  <c r="E1219" i="7"/>
  <c r="G1219" i="7"/>
  <c r="E1220" i="7"/>
  <c r="G1220" i="7"/>
  <c r="E1221" i="7"/>
  <c r="G1221" i="7"/>
  <c r="E1222" i="7"/>
  <c r="G1222" i="7"/>
  <c r="E1223" i="7"/>
  <c r="G1223" i="7"/>
  <c r="E1224" i="7"/>
  <c r="G1224" i="7"/>
  <c r="E1225" i="7"/>
  <c r="G1225" i="7"/>
  <c r="E1226" i="7"/>
  <c r="G1226" i="7"/>
  <c r="E1227" i="7"/>
  <c r="G1227" i="7"/>
  <c r="E1228" i="7"/>
  <c r="G1228" i="7"/>
  <c r="E1229" i="7"/>
  <c r="G1229" i="7"/>
  <c r="E1230" i="7"/>
  <c r="G1230" i="7"/>
  <c r="E1231" i="7"/>
  <c r="G1231" i="7"/>
  <c r="E1232" i="7"/>
  <c r="G1232" i="7"/>
  <c r="E1233" i="7"/>
  <c r="G1233" i="7"/>
  <c r="E1234" i="7"/>
  <c r="G1234" i="7"/>
  <c r="E1235" i="7"/>
  <c r="G1235" i="7"/>
  <c r="E1236" i="7"/>
  <c r="G1236" i="7"/>
  <c r="E1237" i="7"/>
  <c r="G1237" i="7"/>
  <c r="E1238" i="7"/>
  <c r="G1238" i="7"/>
  <c r="E1239" i="7"/>
  <c r="G1239" i="7"/>
  <c r="E1240" i="7"/>
  <c r="G1240" i="7"/>
  <c r="E1241" i="7"/>
  <c r="G1241" i="7"/>
  <c r="E1242" i="7"/>
  <c r="G1242" i="7"/>
  <c r="E1243" i="7"/>
  <c r="G1243" i="7"/>
  <c r="E1244" i="7"/>
  <c r="G1244" i="7"/>
  <c r="E1245" i="7"/>
  <c r="G1245" i="7"/>
  <c r="E1246" i="7"/>
  <c r="G1246" i="7"/>
  <c r="E1247" i="7"/>
  <c r="G1247" i="7"/>
  <c r="E1248" i="7"/>
  <c r="G1248" i="7"/>
  <c r="E1249" i="7"/>
  <c r="G1249" i="7"/>
  <c r="E1250" i="7"/>
  <c r="G1250" i="7"/>
  <c r="E1251" i="7"/>
  <c r="G1251" i="7"/>
  <c r="E1252" i="7"/>
  <c r="G1252" i="7"/>
  <c r="E1253" i="7"/>
  <c r="G1253" i="7"/>
  <c r="E1254" i="7"/>
  <c r="G1254" i="7"/>
  <c r="E1255" i="7"/>
  <c r="G1255" i="7"/>
  <c r="E1256" i="7"/>
  <c r="G1256" i="7"/>
  <c r="E1257" i="7"/>
  <c r="G1257" i="7"/>
  <c r="E1258" i="7"/>
  <c r="G1258" i="7"/>
  <c r="E1259" i="7"/>
  <c r="G1259" i="7"/>
  <c r="E1260" i="7"/>
  <c r="G1260" i="7"/>
  <c r="E1261" i="7"/>
  <c r="G1261" i="7"/>
  <c r="E1262" i="7"/>
  <c r="G1262" i="7"/>
  <c r="E1263" i="7"/>
  <c r="G1263" i="7"/>
  <c r="E1264" i="7"/>
  <c r="G1264" i="7"/>
  <c r="E1265" i="7"/>
  <c r="G1265" i="7"/>
  <c r="E1266" i="7"/>
  <c r="G1266" i="7"/>
  <c r="E1267" i="7"/>
  <c r="G1267" i="7"/>
  <c r="E1268" i="7"/>
  <c r="G1268" i="7"/>
  <c r="E1269" i="7"/>
  <c r="G1269" i="7"/>
  <c r="E1270" i="7"/>
  <c r="G1270" i="7"/>
  <c r="E1271" i="7"/>
  <c r="G1271" i="7"/>
  <c r="E1272" i="7"/>
  <c r="G1272" i="7"/>
  <c r="E1273" i="7"/>
  <c r="G1273" i="7"/>
  <c r="E1274" i="7"/>
  <c r="G1274" i="7"/>
  <c r="E1275" i="7"/>
  <c r="G1275" i="7"/>
  <c r="E1276" i="7"/>
  <c r="G1276" i="7"/>
  <c r="E1277" i="7"/>
  <c r="G1277" i="7"/>
  <c r="E1278" i="7"/>
  <c r="G1278" i="7"/>
  <c r="E1279" i="7"/>
  <c r="G1279" i="7"/>
  <c r="E1280" i="7"/>
  <c r="G1280" i="7"/>
  <c r="E1281" i="7"/>
  <c r="G1281" i="7"/>
  <c r="E1282" i="7"/>
  <c r="G1282" i="7"/>
  <c r="E1283" i="7"/>
  <c r="G1283" i="7"/>
  <c r="E1284" i="7"/>
  <c r="G1284" i="7"/>
  <c r="E1285" i="7"/>
  <c r="G1285" i="7"/>
  <c r="E1286" i="7"/>
  <c r="G1286" i="7"/>
  <c r="E1287" i="7"/>
  <c r="G1287" i="7"/>
  <c r="E1288" i="7"/>
  <c r="G1288" i="7"/>
  <c r="E1289" i="7"/>
  <c r="G1289" i="7"/>
  <c r="E1290" i="7"/>
  <c r="G1290" i="7"/>
  <c r="E1291" i="7"/>
  <c r="G1291" i="7"/>
  <c r="E1292" i="7"/>
  <c r="G1292" i="7"/>
  <c r="E1293" i="7"/>
  <c r="G1293" i="7"/>
  <c r="E1294" i="7"/>
  <c r="G1294" i="7"/>
  <c r="E1295" i="7"/>
  <c r="G1295" i="7"/>
  <c r="E1296" i="7"/>
  <c r="G1296" i="7"/>
  <c r="E1297" i="7"/>
  <c r="G1297" i="7"/>
  <c r="E1298" i="7"/>
  <c r="G1298" i="7"/>
  <c r="E1299" i="7"/>
  <c r="G1299" i="7"/>
  <c r="E1300" i="7"/>
  <c r="G1300" i="7"/>
  <c r="E1301" i="7"/>
  <c r="G1301" i="7"/>
  <c r="E1302" i="7"/>
  <c r="G1302" i="7"/>
  <c r="E1303" i="7"/>
  <c r="G1303" i="7"/>
  <c r="E1304" i="7"/>
  <c r="G1304" i="7"/>
  <c r="E1305" i="7"/>
  <c r="G1305" i="7"/>
  <c r="E1306" i="7"/>
  <c r="G1306" i="7"/>
  <c r="E1307" i="7"/>
  <c r="G1307" i="7"/>
  <c r="E1308" i="7"/>
  <c r="G1308" i="7"/>
  <c r="E1309" i="7"/>
  <c r="G1309" i="7"/>
  <c r="E1310" i="7"/>
  <c r="G1310" i="7"/>
  <c r="E1311" i="7"/>
  <c r="G1311" i="7"/>
  <c r="E1312" i="7"/>
  <c r="G1312" i="7"/>
  <c r="E1313" i="7"/>
  <c r="G1313" i="7"/>
  <c r="E1314" i="7"/>
  <c r="G1314" i="7"/>
  <c r="E1315" i="7"/>
  <c r="G1315" i="7"/>
  <c r="E1316" i="7"/>
  <c r="G1316" i="7"/>
  <c r="E1317" i="7"/>
  <c r="G1317" i="7"/>
  <c r="E1318" i="7"/>
  <c r="G1318" i="7"/>
  <c r="E1319" i="7"/>
  <c r="G1319" i="7"/>
  <c r="E1320" i="7"/>
  <c r="G1320" i="7"/>
  <c r="E1321" i="7"/>
  <c r="G1321" i="7"/>
  <c r="E1322" i="7"/>
  <c r="G1322" i="7"/>
  <c r="E1323" i="7"/>
  <c r="G1323" i="7"/>
  <c r="E1324" i="7"/>
  <c r="G1324" i="7"/>
  <c r="E1325" i="7"/>
  <c r="G1325" i="7"/>
  <c r="E1326" i="7"/>
  <c r="G1326" i="7"/>
  <c r="E1327" i="7"/>
  <c r="G1327" i="7"/>
  <c r="E1328" i="7"/>
  <c r="G1328" i="7"/>
  <c r="E1329" i="7"/>
  <c r="G1329" i="7"/>
  <c r="E1330" i="7"/>
  <c r="G1330" i="7"/>
  <c r="E1331" i="7"/>
  <c r="G1331" i="7"/>
  <c r="E1332" i="7"/>
  <c r="G1332" i="7"/>
  <c r="E1333" i="7"/>
  <c r="G1333" i="7"/>
  <c r="E1334" i="7"/>
  <c r="G1334" i="7"/>
  <c r="E1335" i="7"/>
  <c r="G1335" i="7"/>
  <c r="E1336" i="7"/>
  <c r="G1336" i="7"/>
  <c r="E1337" i="7"/>
  <c r="G1337" i="7"/>
  <c r="E1338" i="7"/>
  <c r="G1338" i="7"/>
  <c r="E1339" i="7"/>
  <c r="G1339" i="7"/>
  <c r="E1340" i="7"/>
  <c r="G1340" i="7"/>
  <c r="E1341" i="7"/>
  <c r="G1341" i="7"/>
  <c r="E1342" i="7"/>
  <c r="G1342" i="7"/>
  <c r="E1343" i="7"/>
  <c r="G1343" i="7"/>
  <c r="E1344" i="7"/>
  <c r="G1344" i="7"/>
  <c r="E1345" i="7"/>
  <c r="G1345" i="7"/>
  <c r="E1346" i="7"/>
  <c r="G1346" i="7"/>
  <c r="E1347" i="7"/>
  <c r="G1347" i="7"/>
  <c r="E1348" i="7"/>
  <c r="G1348" i="7"/>
  <c r="E1349" i="7"/>
  <c r="G1349" i="7"/>
  <c r="E1350" i="7"/>
  <c r="G1350" i="7"/>
  <c r="E1351" i="7"/>
  <c r="G1351" i="7"/>
  <c r="E1352" i="7"/>
  <c r="G1352" i="7"/>
  <c r="E1353" i="7"/>
  <c r="G1353" i="7"/>
  <c r="E1354" i="7"/>
  <c r="G1354" i="7"/>
  <c r="E1355" i="7"/>
  <c r="G1355" i="7"/>
  <c r="E1356" i="7"/>
  <c r="G1356" i="7"/>
  <c r="E1357" i="7"/>
  <c r="G1357" i="7"/>
  <c r="E1358" i="7"/>
  <c r="G1358" i="7"/>
  <c r="E1359" i="7"/>
  <c r="G1359" i="7"/>
  <c r="E1360" i="7"/>
  <c r="G1360" i="7"/>
  <c r="E1361" i="7"/>
  <c r="G1361" i="7"/>
  <c r="E1362" i="7"/>
  <c r="G1362" i="7"/>
  <c r="E1363" i="7"/>
  <c r="G1363" i="7"/>
  <c r="E1364" i="7"/>
  <c r="G1364" i="7"/>
  <c r="E1365" i="7"/>
  <c r="G1365" i="7"/>
  <c r="E1366" i="7"/>
  <c r="G1366" i="7"/>
  <c r="E1367" i="7"/>
  <c r="G1367" i="7"/>
  <c r="E1368" i="7"/>
  <c r="G1368" i="7"/>
  <c r="E1369" i="7"/>
  <c r="G1369" i="7"/>
  <c r="E1370" i="7"/>
  <c r="G1370" i="7"/>
  <c r="E1371" i="7"/>
  <c r="G1371" i="7"/>
  <c r="E1372" i="7"/>
  <c r="G1372" i="7"/>
  <c r="E1373" i="7"/>
  <c r="G1373" i="7"/>
  <c r="E1374" i="7"/>
  <c r="G1374" i="7"/>
  <c r="E1375" i="7"/>
  <c r="G1375" i="7"/>
  <c r="E1376" i="7"/>
  <c r="G1376" i="7"/>
  <c r="E1377" i="7"/>
  <c r="G1377" i="7"/>
  <c r="E1378" i="7"/>
  <c r="G1378" i="7"/>
  <c r="E1379" i="7"/>
  <c r="G1379" i="7"/>
  <c r="E1380" i="7"/>
  <c r="G1380" i="7"/>
  <c r="E1381" i="7"/>
  <c r="G1381" i="7"/>
  <c r="E1382" i="7"/>
  <c r="G1382" i="7"/>
  <c r="E1383" i="7"/>
  <c r="G1383" i="7"/>
  <c r="E1384" i="7"/>
  <c r="G1384" i="7"/>
  <c r="E1385" i="7"/>
  <c r="G1385" i="7"/>
  <c r="E1386" i="7"/>
  <c r="G1386" i="7"/>
  <c r="E1387" i="7"/>
  <c r="G1387" i="7"/>
  <c r="E1388" i="7"/>
  <c r="G1388" i="7"/>
  <c r="E1389" i="7"/>
  <c r="G1389" i="7"/>
  <c r="E1390" i="7"/>
  <c r="G1390" i="7"/>
  <c r="E1391" i="7"/>
  <c r="G1391" i="7"/>
  <c r="E1392" i="7"/>
  <c r="G1392" i="7"/>
  <c r="E1393" i="7"/>
  <c r="G1393" i="7"/>
  <c r="E1394" i="7"/>
  <c r="G1394" i="7"/>
  <c r="E1395" i="7"/>
  <c r="G1395" i="7"/>
  <c r="E1396" i="7"/>
  <c r="G1396" i="7"/>
  <c r="E1397" i="7"/>
  <c r="G1397" i="7"/>
  <c r="E1398" i="7"/>
  <c r="G1398" i="7"/>
  <c r="E1399" i="7"/>
  <c r="G1399" i="7"/>
  <c r="E1400" i="7"/>
  <c r="G1400" i="7"/>
  <c r="E1401" i="7"/>
  <c r="G1401" i="7"/>
  <c r="E1402" i="7"/>
  <c r="G1402" i="7"/>
  <c r="E1403" i="7"/>
  <c r="G1403" i="7"/>
  <c r="E1404" i="7"/>
  <c r="G1404" i="7"/>
  <c r="E1405" i="7"/>
  <c r="G1405" i="7"/>
  <c r="E1406" i="7"/>
  <c r="G1406" i="7"/>
  <c r="E1407" i="7"/>
  <c r="G1407" i="7"/>
  <c r="E1408" i="7"/>
  <c r="G1408" i="7"/>
  <c r="E1409" i="7"/>
  <c r="G1409" i="7"/>
  <c r="E1410" i="7"/>
  <c r="G1410" i="7"/>
  <c r="E1411" i="7"/>
  <c r="G1411" i="7"/>
  <c r="E1412" i="7"/>
  <c r="G1412" i="7"/>
  <c r="E1413" i="7"/>
  <c r="G1413" i="7"/>
  <c r="E1414" i="7"/>
  <c r="G1414" i="7"/>
  <c r="E1415" i="7"/>
  <c r="G1415" i="7"/>
  <c r="E1416" i="7"/>
  <c r="G1416" i="7"/>
  <c r="E1417" i="7"/>
  <c r="G1417" i="7"/>
  <c r="E1418" i="7"/>
  <c r="G1418" i="7"/>
  <c r="E1419" i="7"/>
  <c r="G1419" i="7"/>
  <c r="E1420" i="7"/>
  <c r="G1420" i="7"/>
  <c r="E1421" i="7"/>
  <c r="G1421" i="7"/>
  <c r="E1422" i="7"/>
  <c r="G1422" i="7"/>
  <c r="E1423" i="7"/>
  <c r="G1423" i="7"/>
  <c r="E1424" i="7"/>
  <c r="G1424" i="7"/>
  <c r="E1425" i="7"/>
  <c r="G1425" i="7"/>
  <c r="E1426" i="7"/>
  <c r="G1426" i="7"/>
  <c r="E1427" i="7"/>
  <c r="G1427" i="7"/>
  <c r="E1428" i="7"/>
  <c r="G1428" i="7"/>
  <c r="E1429" i="7"/>
  <c r="G1429" i="7"/>
  <c r="E1430" i="7"/>
  <c r="G1430" i="7"/>
  <c r="E1431" i="7"/>
  <c r="G1431" i="7"/>
  <c r="E1432" i="7"/>
  <c r="G1432" i="7"/>
  <c r="E1433" i="7"/>
  <c r="G1433" i="7"/>
  <c r="E1434" i="7"/>
  <c r="G1434" i="7"/>
  <c r="E1435" i="7"/>
  <c r="G1435" i="7"/>
  <c r="E1436" i="7"/>
  <c r="G1436" i="7"/>
  <c r="E1437" i="7"/>
  <c r="G1437" i="7"/>
  <c r="E1438" i="7"/>
  <c r="G1438" i="7"/>
  <c r="E1439" i="7"/>
  <c r="G1439" i="7"/>
  <c r="E1440" i="7"/>
  <c r="G1440" i="7"/>
  <c r="E1441" i="7"/>
  <c r="G1441" i="7"/>
  <c r="E1442" i="7"/>
  <c r="G1442" i="7"/>
  <c r="E1443" i="7"/>
  <c r="G1443" i="7"/>
  <c r="E1444" i="7"/>
  <c r="G1444" i="7"/>
  <c r="E1445" i="7"/>
  <c r="G1445" i="7"/>
  <c r="E1446" i="7"/>
  <c r="G1446" i="7"/>
  <c r="E1447" i="7"/>
  <c r="G1447" i="7"/>
  <c r="E1448" i="7"/>
  <c r="G1448" i="7"/>
  <c r="E1449" i="7"/>
  <c r="G1449" i="7"/>
  <c r="E1450" i="7"/>
  <c r="G1450" i="7"/>
  <c r="E1451" i="7"/>
  <c r="G1451" i="7"/>
  <c r="E1452" i="7"/>
  <c r="G1452" i="7"/>
  <c r="E1453" i="7"/>
  <c r="G1453" i="7"/>
  <c r="E1454" i="7"/>
  <c r="G1454" i="7"/>
  <c r="E1455" i="7"/>
  <c r="G1455" i="7"/>
  <c r="E1456" i="7"/>
  <c r="G1456" i="7"/>
  <c r="E1457" i="7"/>
  <c r="G1457" i="7"/>
  <c r="E1458" i="7"/>
  <c r="G1458" i="7"/>
  <c r="E1459" i="7"/>
  <c r="G1459" i="7"/>
  <c r="E1460" i="7"/>
  <c r="G1460" i="7"/>
  <c r="E1461" i="7"/>
  <c r="G1461" i="7"/>
  <c r="E1462" i="7"/>
  <c r="G1462" i="7"/>
  <c r="E1463" i="7"/>
  <c r="G1463" i="7"/>
  <c r="E1464" i="7"/>
  <c r="G1464" i="7"/>
  <c r="E1465" i="7"/>
  <c r="G1465" i="7"/>
  <c r="E1466" i="7"/>
  <c r="G1466" i="7"/>
  <c r="E1467" i="7"/>
  <c r="G1467" i="7"/>
  <c r="E1468" i="7"/>
  <c r="G1468" i="7"/>
  <c r="E1469" i="7"/>
  <c r="G1469" i="7"/>
  <c r="E1470" i="7"/>
  <c r="G1470" i="7"/>
  <c r="E1471" i="7"/>
  <c r="G1471" i="7"/>
  <c r="E1472" i="7"/>
  <c r="G1472" i="7"/>
  <c r="E1473" i="7"/>
  <c r="G1473" i="7"/>
  <c r="E1474" i="7"/>
  <c r="G1474" i="7"/>
  <c r="E1475" i="7"/>
  <c r="G1475" i="7"/>
  <c r="E1476" i="7"/>
  <c r="G1476" i="7"/>
  <c r="E1477" i="7"/>
  <c r="G1477" i="7"/>
  <c r="E1478" i="7"/>
  <c r="G1478" i="7"/>
  <c r="E1479" i="7"/>
  <c r="G1479" i="7"/>
  <c r="E1480" i="7"/>
  <c r="G1480" i="7"/>
  <c r="E1481" i="7"/>
  <c r="G1481" i="7"/>
  <c r="E1482" i="7"/>
  <c r="G1482" i="7"/>
  <c r="E1483" i="7"/>
  <c r="G1483" i="7"/>
  <c r="E1484" i="7"/>
  <c r="G1484" i="7"/>
  <c r="E1485" i="7"/>
  <c r="G1485" i="7"/>
  <c r="E1486" i="7"/>
  <c r="G1486" i="7"/>
  <c r="E1487" i="7"/>
  <c r="G1487" i="7"/>
  <c r="E1488" i="7"/>
  <c r="G1488" i="7"/>
  <c r="E1489" i="7"/>
  <c r="G1489" i="7"/>
  <c r="E1490" i="7"/>
  <c r="G1490" i="7"/>
  <c r="E1491" i="7"/>
  <c r="G1491" i="7"/>
  <c r="E1492" i="7"/>
  <c r="G1492" i="7"/>
  <c r="E1493" i="7"/>
  <c r="G1493" i="7"/>
  <c r="E1494" i="7"/>
  <c r="G1494" i="7"/>
  <c r="E1495" i="7"/>
  <c r="G1495" i="7"/>
  <c r="E1496" i="7"/>
  <c r="G1496" i="7"/>
  <c r="E1497" i="7"/>
  <c r="G1497" i="7"/>
  <c r="E1498" i="7"/>
  <c r="G1498" i="7"/>
  <c r="E1499" i="7"/>
  <c r="G1499" i="7"/>
  <c r="E1500" i="7"/>
  <c r="G1500" i="7"/>
  <c r="E1501" i="7"/>
  <c r="G1501" i="7"/>
  <c r="E1502" i="7"/>
  <c r="G1502" i="7"/>
  <c r="E1503" i="7"/>
  <c r="G1503" i="7"/>
  <c r="E1504" i="7"/>
  <c r="G1504" i="7"/>
  <c r="E1505" i="7"/>
  <c r="G1505" i="7"/>
  <c r="E1506" i="7"/>
  <c r="G1506" i="7"/>
  <c r="E1507" i="7"/>
  <c r="G1507" i="7"/>
  <c r="E1508" i="7"/>
  <c r="G1508" i="7"/>
  <c r="E1509" i="7"/>
  <c r="G1509" i="7"/>
  <c r="E1510" i="7"/>
  <c r="G1510" i="7"/>
  <c r="E1511" i="7"/>
  <c r="G1511" i="7"/>
  <c r="E1512" i="7"/>
  <c r="G1512" i="7"/>
  <c r="E1513" i="7"/>
  <c r="G1513" i="7"/>
  <c r="E1514" i="7"/>
  <c r="G1514" i="7"/>
  <c r="E1515" i="7"/>
  <c r="G1515" i="7"/>
  <c r="E1516" i="7"/>
  <c r="G1516" i="7"/>
  <c r="E1517" i="7"/>
  <c r="G1517" i="7"/>
  <c r="E1518" i="7"/>
  <c r="G1518" i="7"/>
  <c r="E1519" i="7"/>
  <c r="G1519" i="7"/>
  <c r="E1520" i="7"/>
  <c r="G1520" i="7"/>
  <c r="E1521" i="7"/>
  <c r="G1521" i="7"/>
  <c r="E1522" i="7"/>
  <c r="G1522" i="7"/>
  <c r="E1523" i="7"/>
  <c r="G1523" i="7"/>
  <c r="E1524" i="7"/>
  <c r="G1524" i="7"/>
  <c r="E1525" i="7"/>
  <c r="G1525" i="7"/>
  <c r="E1526" i="7"/>
  <c r="G1526" i="7"/>
  <c r="E1527" i="7"/>
  <c r="G1527" i="7"/>
  <c r="E1528" i="7"/>
  <c r="G1528" i="7"/>
  <c r="E1529" i="7"/>
  <c r="G1529" i="7"/>
  <c r="E1530" i="7"/>
  <c r="G1530" i="7"/>
  <c r="E1531" i="7"/>
  <c r="G1531" i="7"/>
  <c r="E1532" i="7"/>
  <c r="G1532" i="7"/>
  <c r="E1533" i="7"/>
  <c r="G1533" i="7"/>
  <c r="E1534" i="7"/>
  <c r="G1534" i="7"/>
  <c r="E1535" i="7"/>
  <c r="G1535" i="7"/>
  <c r="E1536" i="7"/>
  <c r="G1536" i="7"/>
  <c r="E1537" i="7"/>
  <c r="G1537" i="7"/>
  <c r="E1538" i="7"/>
  <c r="G1538" i="7"/>
  <c r="E1539" i="7"/>
  <c r="G1539" i="7"/>
  <c r="E1540" i="7"/>
  <c r="G1540" i="7"/>
  <c r="E1541" i="7"/>
  <c r="G1541" i="7"/>
  <c r="E1542" i="7"/>
  <c r="G1542" i="7"/>
  <c r="E1543" i="7"/>
  <c r="G1543" i="7"/>
  <c r="E1544" i="7"/>
  <c r="G1544" i="7"/>
  <c r="E1545" i="7"/>
  <c r="G1545" i="7"/>
  <c r="E1546" i="7"/>
  <c r="G1546" i="7"/>
  <c r="E1547" i="7"/>
  <c r="G1547" i="7"/>
  <c r="E1548" i="7"/>
  <c r="G1548" i="7"/>
  <c r="E1549" i="7"/>
  <c r="G1549" i="7"/>
  <c r="E1550" i="7"/>
  <c r="G1550" i="7"/>
  <c r="E1551" i="7"/>
  <c r="G1551" i="7"/>
  <c r="E1552" i="7"/>
  <c r="G1552" i="7"/>
  <c r="E1553" i="7"/>
  <c r="G1553" i="7"/>
  <c r="E1554" i="7"/>
  <c r="G1554" i="7"/>
  <c r="E1555" i="7"/>
  <c r="G1555" i="7"/>
  <c r="E1556" i="7"/>
  <c r="G1556" i="7"/>
  <c r="E1557" i="7"/>
  <c r="G1557" i="7"/>
  <c r="E1558" i="7"/>
  <c r="G1558" i="7"/>
  <c r="E1559" i="7"/>
  <c r="G1559" i="7"/>
  <c r="E1560" i="7"/>
  <c r="G1560" i="7"/>
  <c r="E1561" i="7"/>
  <c r="G1561" i="7"/>
  <c r="E1562" i="7"/>
  <c r="G1562" i="7"/>
  <c r="E1563" i="7"/>
  <c r="G1563" i="7"/>
  <c r="E1564" i="7"/>
  <c r="G1564" i="7"/>
  <c r="E1565" i="7"/>
  <c r="G1565" i="7"/>
  <c r="E1566" i="7"/>
  <c r="G1566" i="7"/>
  <c r="E1567" i="7"/>
  <c r="G1567" i="7"/>
  <c r="E1568" i="7"/>
  <c r="G1568" i="7"/>
  <c r="E1569" i="7"/>
  <c r="G1569" i="7"/>
  <c r="E1570" i="7"/>
  <c r="G1570" i="7"/>
  <c r="E1571" i="7"/>
  <c r="G1571" i="7"/>
  <c r="E1572" i="7"/>
  <c r="G1572" i="7"/>
  <c r="E1573" i="7"/>
  <c r="G1573" i="7"/>
  <c r="E1574" i="7"/>
  <c r="G1574" i="7"/>
  <c r="E1575" i="7"/>
  <c r="G1575" i="7"/>
  <c r="E1576" i="7"/>
  <c r="G1576" i="7"/>
  <c r="E1577" i="7"/>
  <c r="G1577" i="7"/>
  <c r="E1578" i="7"/>
  <c r="G1578" i="7"/>
  <c r="E1579" i="7"/>
  <c r="G1579" i="7"/>
  <c r="E1580" i="7"/>
  <c r="G1580" i="7"/>
  <c r="E1581" i="7"/>
  <c r="G1581" i="7"/>
  <c r="E1582" i="7"/>
  <c r="G1582" i="7"/>
  <c r="E1583" i="7"/>
  <c r="G1583" i="7"/>
  <c r="E1584" i="7"/>
  <c r="G1584" i="7"/>
  <c r="E1585" i="7"/>
  <c r="G1585" i="7"/>
  <c r="E1586" i="7"/>
  <c r="G1586" i="7"/>
  <c r="E1587" i="7"/>
  <c r="G1587" i="7"/>
  <c r="E1588" i="7"/>
  <c r="G1588" i="7"/>
  <c r="E1589" i="7"/>
  <c r="G1589" i="7"/>
  <c r="E1590" i="7"/>
  <c r="G1590" i="7"/>
  <c r="E1591" i="7"/>
  <c r="G1591" i="7"/>
  <c r="E1592" i="7"/>
  <c r="G1592" i="7"/>
  <c r="E1593" i="7"/>
  <c r="G1593" i="7"/>
  <c r="E1594" i="7"/>
  <c r="G1594" i="7"/>
  <c r="E1595" i="7"/>
  <c r="G1595" i="7"/>
  <c r="E1596" i="7"/>
  <c r="G1596" i="7"/>
  <c r="E1597" i="7"/>
  <c r="G1597" i="7"/>
  <c r="E1598" i="7"/>
  <c r="G1598" i="7"/>
  <c r="E1599" i="7"/>
  <c r="G1599" i="7"/>
  <c r="E1600" i="7"/>
  <c r="G1600" i="7"/>
  <c r="E1601" i="7"/>
  <c r="G1601" i="7"/>
  <c r="E1602" i="7"/>
  <c r="G1602" i="7"/>
  <c r="E1603" i="7"/>
  <c r="G1603" i="7"/>
  <c r="E1604" i="7"/>
  <c r="G1604" i="7"/>
  <c r="E1605" i="7"/>
  <c r="G1605" i="7"/>
  <c r="E1606" i="7"/>
  <c r="G1606" i="7"/>
  <c r="E1607" i="7"/>
  <c r="G1607" i="7"/>
  <c r="E1608" i="7"/>
  <c r="G1608" i="7"/>
  <c r="E1609" i="7"/>
  <c r="G1609" i="7"/>
  <c r="E1610" i="7"/>
  <c r="G1610" i="7"/>
  <c r="E1611" i="7"/>
  <c r="G1611" i="7"/>
  <c r="E1612" i="7"/>
  <c r="G1612" i="7"/>
  <c r="E1613" i="7"/>
  <c r="G1613" i="7"/>
  <c r="E1614" i="7"/>
  <c r="G1614" i="7"/>
  <c r="E1615" i="7"/>
  <c r="G1615" i="7"/>
  <c r="E1616" i="7"/>
  <c r="G1616" i="7"/>
  <c r="E1617" i="7"/>
  <c r="G1617" i="7"/>
  <c r="E1618" i="7"/>
  <c r="G1618" i="7"/>
  <c r="E1619" i="7"/>
  <c r="G1619" i="7"/>
  <c r="E1620" i="7"/>
  <c r="G1620" i="7"/>
  <c r="E1621" i="7"/>
  <c r="G1621" i="7"/>
  <c r="E1622" i="7"/>
  <c r="G1622" i="7"/>
  <c r="E1623" i="7"/>
  <c r="G1623" i="7"/>
  <c r="E1624" i="7"/>
  <c r="G1624" i="7"/>
  <c r="E1625" i="7"/>
  <c r="G1625" i="7"/>
  <c r="E1626" i="7"/>
  <c r="G1626" i="7"/>
  <c r="E1627" i="7"/>
  <c r="G1627" i="7"/>
  <c r="E1628" i="7"/>
  <c r="G1628" i="7"/>
  <c r="E1629" i="7"/>
  <c r="G1629" i="7"/>
  <c r="E1630" i="7"/>
  <c r="G1630" i="7"/>
  <c r="E1631" i="7"/>
  <c r="G1631" i="7"/>
  <c r="E1632" i="7"/>
  <c r="G1632" i="7"/>
  <c r="E1633" i="7"/>
  <c r="G1633" i="7"/>
  <c r="E1634" i="7"/>
  <c r="G1634" i="7"/>
  <c r="E1635" i="7"/>
  <c r="G1635" i="7"/>
  <c r="E1636" i="7"/>
  <c r="G1636" i="7"/>
  <c r="E1637" i="7"/>
  <c r="G1637" i="7"/>
  <c r="E1638" i="7"/>
  <c r="G1638" i="7"/>
  <c r="E1639" i="7"/>
  <c r="G1639" i="7"/>
  <c r="E1640" i="7"/>
  <c r="G1640" i="7"/>
  <c r="E1641" i="7"/>
  <c r="G1641" i="7"/>
  <c r="E1642" i="7"/>
  <c r="G1642" i="7"/>
  <c r="E1643" i="7"/>
  <c r="G1643" i="7"/>
  <c r="E1644" i="7"/>
  <c r="G1644" i="7"/>
  <c r="E1645" i="7"/>
  <c r="G1645" i="7"/>
  <c r="E1646" i="7"/>
  <c r="G1646" i="7"/>
  <c r="E1647" i="7"/>
  <c r="G1647" i="7"/>
  <c r="E1648" i="7"/>
  <c r="G1648" i="7"/>
  <c r="E1649" i="7"/>
  <c r="G1649" i="7"/>
  <c r="E1650" i="7"/>
  <c r="G1650" i="7"/>
  <c r="E1651" i="7"/>
  <c r="G1651" i="7"/>
  <c r="E1652" i="7"/>
  <c r="G1652" i="7"/>
  <c r="E1653" i="7"/>
  <c r="G1653" i="7"/>
  <c r="E1654" i="7"/>
  <c r="G1654" i="7"/>
  <c r="E1655" i="7"/>
  <c r="G1655" i="7"/>
  <c r="E1656" i="7"/>
  <c r="G1656" i="7"/>
  <c r="E1657" i="7"/>
  <c r="G1657" i="7"/>
  <c r="E1658" i="7"/>
  <c r="G1658" i="7"/>
  <c r="E1659" i="7"/>
  <c r="G1659" i="7"/>
  <c r="E1660" i="7"/>
  <c r="G1660" i="7"/>
  <c r="E1661" i="7"/>
  <c r="G1661" i="7"/>
  <c r="E1662" i="7"/>
  <c r="G1662" i="7"/>
  <c r="E1663" i="7"/>
  <c r="G1663" i="7"/>
  <c r="E1664" i="7"/>
  <c r="G1664" i="7"/>
  <c r="E1665" i="7"/>
  <c r="G1665" i="7"/>
  <c r="E1666" i="7"/>
  <c r="G1666" i="7"/>
  <c r="E1667" i="7"/>
  <c r="G1667" i="7"/>
  <c r="E1668" i="7"/>
  <c r="G1668" i="7"/>
  <c r="E1669" i="7"/>
  <c r="G1669" i="7"/>
  <c r="E1670" i="7"/>
  <c r="G1670" i="7"/>
  <c r="E1671" i="7"/>
  <c r="G1671" i="7"/>
  <c r="E1672" i="7"/>
  <c r="G1672" i="7"/>
  <c r="E1673" i="7"/>
  <c r="G1673" i="7"/>
  <c r="E1674" i="7"/>
  <c r="G1674" i="7"/>
  <c r="E1675" i="7"/>
  <c r="G1675" i="7"/>
  <c r="E1676" i="7"/>
  <c r="G1676" i="7"/>
  <c r="E1677" i="7"/>
  <c r="G1677" i="7"/>
  <c r="E1678" i="7"/>
  <c r="G1678" i="7"/>
  <c r="E1679" i="7"/>
  <c r="G1679" i="7"/>
  <c r="E1680" i="7"/>
  <c r="G1680" i="7"/>
  <c r="E1681" i="7"/>
  <c r="G1681" i="7"/>
  <c r="E1682" i="7"/>
  <c r="G1682" i="7"/>
  <c r="E1683" i="7"/>
  <c r="G1683" i="7"/>
  <c r="E1684" i="7"/>
  <c r="G1684" i="7"/>
  <c r="E1685" i="7"/>
  <c r="G1685" i="7"/>
  <c r="E1686" i="7"/>
  <c r="G1686" i="7"/>
  <c r="E1687" i="7"/>
  <c r="G1687" i="7"/>
  <c r="E1688" i="7"/>
  <c r="G1688" i="7"/>
  <c r="E1689" i="7"/>
  <c r="G1689" i="7"/>
  <c r="E1690" i="7"/>
  <c r="G1690" i="7"/>
  <c r="E1691" i="7"/>
  <c r="G1691" i="7"/>
  <c r="E1692" i="7"/>
  <c r="G1692" i="7"/>
  <c r="E1693" i="7"/>
  <c r="G1693" i="7"/>
  <c r="E1694" i="7"/>
  <c r="G1694" i="7"/>
  <c r="E1695" i="7"/>
  <c r="G1695" i="7"/>
  <c r="E1696" i="7"/>
  <c r="G1696" i="7"/>
  <c r="E1697" i="7"/>
  <c r="G1697" i="7"/>
  <c r="E1698" i="7"/>
  <c r="G1698" i="7"/>
  <c r="E1699" i="7"/>
  <c r="G1699" i="7"/>
  <c r="E1700" i="7"/>
  <c r="G1700" i="7"/>
  <c r="E1701" i="7"/>
  <c r="G1701" i="7"/>
  <c r="E1702" i="7"/>
  <c r="G1702" i="7"/>
  <c r="E1703" i="7"/>
  <c r="G1703" i="7"/>
  <c r="E1704" i="7"/>
  <c r="G1704" i="7"/>
  <c r="E1705" i="7"/>
  <c r="G1705" i="7"/>
  <c r="E1706" i="7"/>
  <c r="G1706" i="7"/>
  <c r="E1707" i="7"/>
  <c r="G1707" i="7"/>
  <c r="E1708" i="7"/>
  <c r="G1708" i="7"/>
  <c r="E1709" i="7"/>
  <c r="G1709" i="7"/>
  <c r="E1710" i="7"/>
  <c r="G1710" i="7"/>
  <c r="E1711" i="7"/>
  <c r="G1711" i="7"/>
  <c r="E1712" i="7"/>
  <c r="G1712" i="7"/>
  <c r="E1713" i="7"/>
  <c r="G1713" i="7"/>
  <c r="E1714" i="7"/>
  <c r="G1714" i="7"/>
  <c r="E1715" i="7"/>
  <c r="G1715" i="7"/>
  <c r="E1716" i="7"/>
  <c r="G1716" i="7"/>
  <c r="E1717" i="7"/>
  <c r="G1717" i="7"/>
  <c r="E1718" i="7"/>
  <c r="G1718" i="7"/>
  <c r="E1719" i="7"/>
  <c r="G1719" i="7"/>
  <c r="E1720" i="7"/>
  <c r="G1720" i="7"/>
  <c r="E1721" i="7"/>
  <c r="G1721" i="7"/>
  <c r="E1722" i="7"/>
  <c r="G1722" i="7"/>
  <c r="E1723" i="7"/>
  <c r="G1723" i="7"/>
  <c r="E1724" i="7"/>
  <c r="G1724" i="7"/>
  <c r="E1725" i="7"/>
  <c r="G1725" i="7"/>
  <c r="E1726" i="7"/>
  <c r="G1726" i="7"/>
  <c r="E1727" i="7"/>
  <c r="G1727" i="7"/>
  <c r="E1728" i="7"/>
  <c r="G1728" i="7"/>
  <c r="E1729" i="7"/>
  <c r="G1729" i="7"/>
  <c r="E1730" i="7"/>
  <c r="G1730" i="7"/>
  <c r="E1731" i="7"/>
  <c r="G1731" i="7"/>
  <c r="E1732" i="7"/>
  <c r="G1732" i="7"/>
  <c r="E1733" i="7"/>
  <c r="G1733" i="7"/>
  <c r="E1734" i="7"/>
  <c r="G1734" i="7"/>
  <c r="E1735" i="7"/>
  <c r="G1735" i="7"/>
  <c r="E1736" i="7"/>
  <c r="G1736" i="7"/>
  <c r="E1737" i="7"/>
  <c r="G1737" i="7"/>
  <c r="E1738" i="7"/>
  <c r="G1738" i="7"/>
  <c r="E1739" i="7"/>
  <c r="G1739" i="7"/>
  <c r="E1740" i="7"/>
  <c r="G1740" i="7"/>
  <c r="E1741" i="7"/>
  <c r="G1741" i="7"/>
  <c r="E1742" i="7"/>
  <c r="G1742" i="7"/>
  <c r="E1743" i="7"/>
  <c r="G1743" i="7"/>
  <c r="E1744" i="7"/>
  <c r="G1744" i="7"/>
  <c r="E1745" i="7"/>
  <c r="G1745" i="7"/>
  <c r="E1746" i="7"/>
  <c r="G1746" i="7"/>
  <c r="E1747" i="7"/>
  <c r="G1747" i="7"/>
  <c r="E1748" i="7"/>
  <c r="G1748" i="7"/>
  <c r="E1749" i="7"/>
  <c r="G1749" i="7"/>
  <c r="E1750" i="7"/>
  <c r="G1750" i="7"/>
  <c r="E1751" i="7"/>
  <c r="G1751" i="7"/>
  <c r="E1752" i="7"/>
  <c r="G1752" i="7"/>
  <c r="E1753" i="7"/>
  <c r="G1753" i="7"/>
  <c r="E1754" i="7"/>
  <c r="G1754" i="7"/>
  <c r="E1755" i="7"/>
  <c r="G1755" i="7"/>
  <c r="E1756" i="7"/>
  <c r="G1756" i="7"/>
  <c r="E1757" i="7"/>
  <c r="G1757" i="7"/>
  <c r="E1758" i="7"/>
  <c r="G1758" i="7"/>
  <c r="E1759" i="7"/>
  <c r="G1759" i="7"/>
  <c r="E1760" i="7"/>
  <c r="G1760" i="7"/>
  <c r="E1761" i="7"/>
  <c r="G1761" i="7"/>
  <c r="E1762" i="7"/>
  <c r="G1762" i="7"/>
  <c r="E1763" i="7"/>
  <c r="G1763" i="7"/>
  <c r="E1764" i="7"/>
  <c r="G1764" i="7"/>
  <c r="E1765" i="7"/>
  <c r="G1765" i="7"/>
  <c r="E1766" i="7"/>
  <c r="G1766" i="7"/>
  <c r="E1767" i="7"/>
  <c r="G1767" i="7"/>
  <c r="E1768" i="7"/>
  <c r="G1768" i="7"/>
  <c r="E1769" i="7"/>
  <c r="G1769" i="7"/>
  <c r="E1770" i="7"/>
  <c r="G1770" i="7"/>
  <c r="E1771" i="7"/>
  <c r="G1771" i="7"/>
  <c r="E1772" i="7"/>
  <c r="G1772" i="7"/>
  <c r="E1773" i="7"/>
  <c r="G1773" i="7"/>
  <c r="E1774" i="7"/>
  <c r="G1774" i="7"/>
  <c r="E1775" i="7"/>
  <c r="G1775" i="7"/>
  <c r="E1776" i="7"/>
  <c r="G1776" i="7"/>
  <c r="E1777" i="7"/>
  <c r="G1777" i="7"/>
  <c r="E1778" i="7"/>
  <c r="G1778" i="7"/>
  <c r="E1779" i="7"/>
  <c r="G1779" i="7"/>
  <c r="E1780" i="7"/>
  <c r="G1780" i="7"/>
  <c r="E1781" i="7"/>
  <c r="G1781" i="7"/>
  <c r="E1782" i="7"/>
  <c r="G1782" i="7"/>
  <c r="E1783" i="7"/>
  <c r="G1783" i="7"/>
  <c r="E1784" i="7"/>
  <c r="G1784" i="7"/>
  <c r="E1785" i="7"/>
  <c r="G1785" i="7"/>
  <c r="E1786" i="7"/>
  <c r="G1786" i="7"/>
  <c r="E1787" i="7"/>
  <c r="G1787" i="7"/>
  <c r="E1788" i="7"/>
  <c r="G1788" i="7"/>
  <c r="E1789" i="7"/>
  <c r="G1789" i="7"/>
  <c r="E1790" i="7"/>
  <c r="G1790" i="7"/>
  <c r="E1791" i="7"/>
  <c r="G1791" i="7"/>
  <c r="E1792" i="7"/>
  <c r="G1792" i="7"/>
  <c r="E1793" i="7"/>
  <c r="G1793" i="7"/>
  <c r="E1794" i="7"/>
  <c r="G1794" i="7"/>
  <c r="E1795" i="7"/>
  <c r="G1795" i="7"/>
  <c r="E1796" i="7"/>
  <c r="G1796" i="7"/>
  <c r="E1797" i="7"/>
  <c r="G1797" i="7"/>
  <c r="E1798" i="7"/>
  <c r="G1798" i="7"/>
  <c r="E1799" i="7"/>
  <c r="G1799" i="7"/>
  <c r="E1800" i="7"/>
  <c r="G1800" i="7"/>
  <c r="E1801" i="7"/>
  <c r="G1801" i="7"/>
  <c r="E1802" i="7"/>
  <c r="G1802" i="7"/>
  <c r="E1803" i="7"/>
  <c r="G1803" i="7"/>
  <c r="E1804" i="7"/>
  <c r="G1804" i="7"/>
  <c r="E1805" i="7"/>
  <c r="G1805" i="7"/>
  <c r="E1806" i="7"/>
  <c r="G1806" i="7"/>
  <c r="E1807" i="7"/>
  <c r="G1807" i="7"/>
  <c r="E1808" i="7"/>
  <c r="G1808" i="7"/>
  <c r="E1809" i="7"/>
  <c r="G1809" i="7"/>
  <c r="E1810" i="7"/>
  <c r="G1810" i="7"/>
  <c r="E1811" i="7"/>
  <c r="G1811" i="7"/>
  <c r="E1812" i="7"/>
  <c r="G1812" i="7"/>
  <c r="E1813" i="7"/>
  <c r="G1813" i="7"/>
  <c r="E1814" i="7"/>
  <c r="G1814" i="7"/>
  <c r="E1815" i="7"/>
  <c r="G1815" i="7"/>
  <c r="E1816" i="7"/>
  <c r="G1816" i="7"/>
  <c r="E1817" i="7"/>
  <c r="G1817" i="7"/>
  <c r="E1818" i="7"/>
  <c r="G1818" i="7"/>
  <c r="E1819" i="7"/>
  <c r="G1819" i="7"/>
  <c r="E1820" i="7"/>
  <c r="G1820" i="7"/>
  <c r="E1821" i="7"/>
  <c r="G1821" i="7"/>
  <c r="E1822" i="7"/>
  <c r="G1822" i="7"/>
  <c r="E1823" i="7"/>
  <c r="G1823" i="7"/>
  <c r="E1824" i="7"/>
  <c r="G1824" i="7"/>
  <c r="E1825" i="7"/>
  <c r="G1825" i="7"/>
  <c r="E1826" i="7"/>
  <c r="G1826" i="7"/>
  <c r="E1827" i="7"/>
  <c r="G1827" i="7"/>
  <c r="E1828" i="7"/>
  <c r="G1828" i="7"/>
  <c r="E1829" i="7"/>
  <c r="G1829" i="7"/>
  <c r="E1830" i="7"/>
  <c r="G1830" i="7"/>
  <c r="E1831" i="7"/>
  <c r="G1831" i="7"/>
  <c r="E1832" i="7"/>
  <c r="G1832" i="7"/>
  <c r="E1833" i="7"/>
  <c r="G1833" i="7"/>
  <c r="E1834" i="7"/>
  <c r="G1834" i="7"/>
  <c r="E1835" i="7"/>
  <c r="G1835" i="7"/>
  <c r="E1836" i="7"/>
  <c r="G1836" i="7"/>
  <c r="E1837" i="7"/>
  <c r="G1837" i="7"/>
  <c r="E1838" i="7"/>
  <c r="G1838" i="7"/>
  <c r="E1839" i="7"/>
  <c r="G1839" i="7"/>
  <c r="E1840" i="7"/>
  <c r="G1840" i="7"/>
  <c r="E1841" i="7"/>
  <c r="G1841" i="7"/>
  <c r="E1842" i="7"/>
  <c r="G1842" i="7"/>
  <c r="E1843" i="7"/>
  <c r="G1843" i="7"/>
  <c r="E1844" i="7"/>
  <c r="G1844" i="7"/>
  <c r="E1845" i="7"/>
  <c r="G1845" i="7"/>
  <c r="E1846" i="7"/>
  <c r="G1846" i="7"/>
  <c r="E1847" i="7"/>
  <c r="G1847" i="7"/>
  <c r="E1848" i="7"/>
  <c r="G1848" i="7"/>
  <c r="E1849" i="7"/>
  <c r="G1849" i="7"/>
  <c r="E1850" i="7"/>
  <c r="G1850" i="7"/>
  <c r="E1851" i="7"/>
  <c r="G1851" i="7"/>
  <c r="E1852" i="7"/>
  <c r="G1852" i="7"/>
  <c r="E1853" i="7"/>
  <c r="G1853" i="7"/>
  <c r="E1854" i="7"/>
  <c r="G1854" i="7"/>
  <c r="E1855" i="7"/>
  <c r="G1855" i="7"/>
  <c r="E1856" i="7"/>
  <c r="G1856" i="7"/>
  <c r="E1857" i="7"/>
  <c r="G1857" i="7"/>
  <c r="E1858" i="7"/>
  <c r="G1858" i="7"/>
  <c r="E1859" i="7"/>
  <c r="G1859" i="7"/>
  <c r="E1860" i="7"/>
  <c r="G1860" i="7"/>
  <c r="E1861" i="7"/>
  <c r="G1861" i="7"/>
  <c r="E1862" i="7"/>
  <c r="G1862" i="7"/>
  <c r="E1863" i="7"/>
  <c r="G1863" i="7"/>
  <c r="E1864" i="7"/>
  <c r="G1864" i="7"/>
  <c r="E1865" i="7"/>
  <c r="G1865" i="7"/>
  <c r="E1866" i="7"/>
  <c r="G1866" i="7"/>
  <c r="E1867" i="7"/>
  <c r="G1867" i="7"/>
  <c r="E1868" i="7"/>
  <c r="G1868" i="7"/>
  <c r="E1869" i="7"/>
  <c r="G1869" i="7"/>
  <c r="E1870" i="7"/>
  <c r="G1870" i="7"/>
  <c r="E1871" i="7"/>
  <c r="G1871" i="7"/>
  <c r="E1872" i="7"/>
  <c r="G1872" i="7"/>
  <c r="E1873" i="7"/>
  <c r="G1873" i="7"/>
  <c r="E1874" i="7"/>
  <c r="G1874" i="7"/>
  <c r="E1875" i="7"/>
  <c r="G1875" i="7"/>
  <c r="E1876" i="7"/>
  <c r="G1876" i="7"/>
  <c r="E1877" i="7"/>
  <c r="G1877" i="7"/>
  <c r="E1878" i="7"/>
  <c r="G1878" i="7"/>
  <c r="E1879" i="7"/>
  <c r="G1879" i="7"/>
  <c r="E1880" i="7"/>
  <c r="G1880" i="7"/>
  <c r="E1881" i="7"/>
  <c r="G1881" i="7"/>
  <c r="E1882" i="7"/>
  <c r="G1882" i="7"/>
  <c r="E1883" i="7"/>
  <c r="G1883" i="7"/>
  <c r="E1884" i="7"/>
  <c r="G1884" i="7"/>
  <c r="E1885" i="7"/>
  <c r="G1885" i="7"/>
  <c r="E1886" i="7"/>
  <c r="G1886" i="7"/>
  <c r="E1887" i="7"/>
  <c r="G1887" i="7"/>
  <c r="E1888" i="7"/>
  <c r="G1888" i="7"/>
  <c r="E1889" i="7"/>
  <c r="G1889" i="7"/>
  <c r="E1890" i="7"/>
  <c r="G1890" i="7"/>
  <c r="E1891" i="7"/>
  <c r="G1891" i="7"/>
  <c r="E1892" i="7"/>
  <c r="G1892" i="7"/>
  <c r="E1893" i="7"/>
  <c r="G1893" i="7"/>
  <c r="E1894" i="7"/>
  <c r="G1894" i="7"/>
  <c r="E1895" i="7"/>
  <c r="G1895" i="7"/>
  <c r="E1896" i="7"/>
  <c r="G1896" i="7"/>
  <c r="E1897" i="7"/>
  <c r="G1897" i="7"/>
  <c r="E1898" i="7"/>
  <c r="G1898" i="7"/>
  <c r="E1899" i="7"/>
  <c r="G1899" i="7"/>
  <c r="E1900" i="7"/>
  <c r="G1900" i="7"/>
  <c r="E1901" i="7"/>
  <c r="G1901" i="7"/>
  <c r="E1902" i="7"/>
  <c r="G1902" i="7"/>
  <c r="E1903" i="7"/>
  <c r="G1903" i="7"/>
  <c r="E1904" i="7"/>
  <c r="G1904" i="7"/>
  <c r="E1905" i="7"/>
  <c r="G1905" i="7"/>
  <c r="E1906" i="7"/>
  <c r="G1906" i="7"/>
  <c r="E1907" i="7"/>
  <c r="G1907" i="7"/>
  <c r="E1908" i="7"/>
  <c r="G1908" i="7"/>
  <c r="E1909" i="7"/>
  <c r="G1909" i="7"/>
  <c r="E1910" i="7"/>
  <c r="G1910" i="7"/>
  <c r="E1911" i="7"/>
  <c r="G1911" i="7"/>
  <c r="E1912" i="7"/>
  <c r="G1912" i="7"/>
  <c r="E1913" i="7"/>
  <c r="G1913" i="7"/>
  <c r="E1914" i="7"/>
  <c r="G1914" i="7"/>
  <c r="E1915" i="7"/>
  <c r="G1915" i="7"/>
  <c r="E1916" i="7"/>
  <c r="G1916" i="7"/>
  <c r="E1917" i="7"/>
  <c r="G1917" i="7"/>
  <c r="E1918" i="7"/>
  <c r="G1918" i="7"/>
  <c r="E1919" i="7"/>
  <c r="G1919" i="7"/>
  <c r="E1920" i="7"/>
  <c r="G1920" i="7"/>
  <c r="E1921" i="7"/>
  <c r="G1921" i="7"/>
  <c r="E1922" i="7"/>
  <c r="G1922" i="7"/>
  <c r="E1923" i="7"/>
  <c r="G1923" i="7"/>
  <c r="E1924" i="7"/>
  <c r="G1924" i="7"/>
  <c r="E1925" i="7"/>
  <c r="G1925" i="7"/>
  <c r="E1926" i="7"/>
  <c r="G1926" i="7"/>
  <c r="E1927" i="7"/>
  <c r="G1927" i="7"/>
  <c r="E1928" i="7"/>
  <c r="G1928" i="7"/>
  <c r="E1929" i="7"/>
  <c r="G1929" i="7"/>
  <c r="E1930" i="7"/>
  <c r="G1930" i="7"/>
  <c r="E1931" i="7"/>
  <c r="G1931" i="7"/>
  <c r="E1932" i="7"/>
  <c r="G1932" i="7"/>
  <c r="E1933" i="7"/>
  <c r="G1933" i="7"/>
  <c r="E1934" i="7"/>
  <c r="G1934" i="7"/>
  <c r="E1935" i="7"/>
  <c r="G1935" i="7"/>
  <c r="E1936" i="7"/>
  <c r="G1936" i="7"/>
  <c r="E1937" i="7"/>
  <c r="G1937" i="7"/>
  <c r="E1938" i="7"/>
  <c r="G1938" i="7"/>
  <c r="E1939" i="7"/>
  <c r="G1939" i="7"/>
  <c r="E1940" i="7"/>
  <c r="G1940" i="7"/>
  <c r="E1941" i="7"/>
  <c r="G1941" i="7"/>
  <c r="E1942" i="7"/>
  <c r="G1942" i="7"/>
  <c r="E1943" i="7"/>
  <c r="G1943" i="7"/>
  <c r="E1944" i="7"/>
  <c r="G1944" i="7"/>
  <c r="E1945" i="7"/>
  <c r="G1945" i="7"/>
  <c r="E1946" i="7"/>
  <c r="G1946" i="7"/>
  <c r="E1947" i="7"/>
  <c r="G1947" i="7"/>
  <c r="E1948" i="7"/>
  <c r="G1948" i="7"/>
  <c r="E1949" i="7"/>
  <c r="G1949" i="7"/>
  <c r="E1950" i="7"/>
  <c r="G1950" i="7"/>
  <c r="E1951" i="7"/>
  <c r="G1951" i="7"/>
  <c r="E1952" i="7"/>
  <c r="G1952" i="7"/>
  <c r="E1953" i="7"/>
  <c r="G1953" i="7"/>
  <c r="E1954" i="7"/>
  <c r="G1954" i="7"/>
  <c r="E1955" i="7"/>
  <c r="G1955" i="7"/>
  <c r="E1956" i="7"/>
  <c r="G1956" i="7"/>
  <c r="E1957" i="7"/>
  <c r="G1957" i="7"/>
  <c r="E1958" i="7"/>
  <c r="G1958" i="7"/>
  <c r="E1959" i="7"/>
  <c r="G1959" i="7"/>
  <c r="E1960" i="7"/>
  <c r="G1960" i="7"/>
  <c r="E1961" i="7"/>
  <c r="G1961" i="7"/>
  <c r="E1962" i="7"/>
  <c r="G1962" i="7"/>
  <c r="E1963" i="7"/>
  <c r="G1963" i="7"/>
  <c r="E1964" i="7"/>
  <c r="G1964" i="7"/>
  <c r="E1965" i="7"/>
  <c r="G1965" i="7"/>
  <c r="E1966" i="7"/>
  <c r="G1966" i="7"/>
  <c r="E1967" i="7"/>
  <c r="G1967" i="7"/>
  <c r="E1968" i="7"/>
  <c r="G1968" i="7"/>
  <c r="E1969" i="7"/>
  <c r="G1969" i="7"/>
  <c r="E1970" i="7"/>
  <c r="G1970" i="7"/>
  <c r="E1971" i="7"/>
  <c r="G1971" i="7"/>
  <c r="E1972" i="7"/>
  <c r="G1972" i="7"/>
  <c r="E1973" i="7"/>
  <c r="G1973" i="7"/>
  <c r="E1974" i="7"/>
  <c r="G1974" i="7"/>
  <c r="E1975" i="7"/>
  <c r="G1975" i="7"/>
  <c r="E1976" i="7"/>
  <c r="G1976" i="7"/>
  <c r="E1977" i="7"/>
  <c r="G1977" i="7"/>
  <c r="E1978" i="7"/>
  <c r="G1978" i="7"/>
  <c r="E1979" i="7"/>
  <c r="G1979" i="7"/>
  <c r="E1980" i="7"/>
  <c r="G1980" i="7"/>
  <c r="E1981" i="7"/>
  <c r="G1981" i="7"/>
  <c r="E1982" i="7"/>
  <c r="G1982" i="7"/>
  <c r="E1983" i="7"/>
  <c r="G1983" i="7"/>
  <c r="E1984" i="7"/>
  <c r="G1984" i="7"/>
  <c r="E1985" i="7"/>
  <c r="G1985" i="7"/>
  <c r="E1986" i="7"/>
  <c r="G1986" i="7"/>
  <c r="E1987" i="7"/>
  <c r="G1987" i="7"/>
  <c r="E1988" i="7"/>
  <c r="G1988" i="7"/>
  <c r="E1989" i="7"/>
  <c r="G1989" i="7"/>
  <c r="E1990" i="7"/>
  <c r="G1990" i="7"/>
  <c r="E1991" i="7"/>
  <c r="G1991" i="7"/>
  <c r="E1992" i="7"/>
  <c r="G1992" i="7"/>
  <c r="E1993" i="7"/>
  <c r="G1993" i="7"/>
  <c r="E1994" i="7"/>
  <c r="G1994" i="7"/>
  <c r="E1995" i="7"/>
  <c r="G1995" i="7"/>
  <c r="E1996" i="7"/>
  <c r="G1996" i="7"/>
  <c r="E1997" i="7"/>
  <c r="G1997" i="7"/>
  <c r="E1998" i="7"/>
  <c r="G1998" i="7"/>
  <c r="E1999" i="7"/>
  <c r="G1999" i="7"/>
  <c r="E2000" i="7"/>
  <c r="G2000" i="7"/>
  <c r="E2001" i="7"/>
  <c r="G2001" i="7"/>
  <c r="E2002" i="7"/>
  <c r="G2002" i="7"/>
  <c r="E2003" i="7"/>
  <c r="G2003" i="7"/>
  <c r="E2004" i="7"/>
  <c r="G2004" i="7"/>
  <c r="E2005" i="7"/>
  <c r="G2005" i="7"/>
  <c r="E2006" i="7"/>
  <c r="G2006" i="7"/>
  <c r="E2007" i="7"/>
  <c r="G2007" i="7"/>
  <c r="E2008" i="7"/>
  <c r="G2008" i="7"/>
  <c r="E2009" i="7"/>
  <c r="G2009" i="7"/>
  <c r="E2010" i="7"/>
  <c r="G2010" i="7"/>
  <c r="E2011" i="7"/>
  <c r="G2011" i="7"/>
  <c r="E2012" i="7"/>
  <c r="G2012" i="7"/>
  <c r="E2013" i="7"/>
  <c r="G2013" i="7"/>
  <c r="E2014" i="7"/>
  <c r="G2014" i="7"/>
  <c r="E2015" i="7"/>
  <c r="G2015" i="7"/>
  <c r="E2016" i="7"/>
  <c r="G2016" i="7"/>
  <c r="E2017" i="7"/>
  <c r="G2017" i="7"/>
  <c r="E2018" i="7"/>
  <c r="G2018" i="7"/>
  <c r="E2019" i="7"/>
  <c r="G2019" i="7"/>
  <c r="E2020" i="7"/>
  <c r="G2020" i="7"/>
  <c r="E2021" i="7"/>
  <c r="G2021" i="7"/>
  <c r="E2022" i="7"/>
  <c r="G2022" i="7"/>
  <c r="E2023" i="7"/>
  <c r="G2023" i="7"/>
  <c r="E2024" i="7"/>
  <c r="G2024" i="7"/>
  <c r="E2025" i="7"/>
  <c r="G2025" i="7"/>
  <c r="E2026" i="7"/>
  <c r="G2026" i="7"/>
  <c r="E2027" i="7"/>
  <c r="G2027" i="7"/>
  <c r="E2028" i="7"/>
  <c r="G2028" i="7"/>
  <c r="E2029" i="7"/>
  <c r="G2029" i="7"/>
  <c r="E2030" i="7"/>
  <c r="G2030" i="7"/>
  <c r="E2031" i="7"/>
  <c r="G2031" i="7"/>
  <c r="E2032" i="7"/>
  <c r="G2032" i="7"/>
  <c r="E2033" i="7"/>
  <c r="G2033" i="7"/>
  <c r="E2034" i="7"/>
  <c r="G2034" i="7"/>
  <c r="E2035" i="7"/>
  <c r="G2035" i="7"/>
  <c r="E2036" i="7"/>
  <c r="G2036" i="7"/>
  <c r="E2037" i="7"/>
  <c r="G2037" i="7"/>
  <c r="E2038" i="7"/>
  <c r="G2038" i="7"/>
  <c r="E2039" i="7"/>
  <c r="G2039" i="7"/>
  <c r="E2040" i="7"/>
  <c r="G2040" i="7"/>
  <c r="E2041" i="7"/>
  <c r="G2041" i="7"/>
  <c r="E2042" i="7"/>
  <c r="G2042" i="7"/>
  <c r="E2043" i="7"/>
  <c r="G2043" i="7"/>
  <c r="E2044" i="7"/>
  <c r="G2044" i="7"/>
  <c r="E2045" i="7"/>
  <c r="G2045" i="7"/>
  <c r="E2046" i="7"/>
  <c r="G2046" i="7"/>
  <c r="E2047" i="7"/>
  <c r="G2047" i="7"/>
  <c r="E2048" i="7"/>
  <c r="G2048" i="7"/>
  <c r="E2049" i="7"/>
  <c r="G2049" i="7"/>
  <c r="E2050" i="7"/>
  <c r="G2050" i="7"/>
  <c r="E2051" i="7"/>
  <c r="G2051" i="7"/>
  <c r="E2052" i="7"/>
  <c r="G2052" i="7"/>
  <c r="E2053" i="7"/>
  <c r="G2053" i="7"/>
  <c r="E2054" i="7"/>
  <c r="G2054" i="7"/>
  <c r="E2055" i="7"/>
  <c r="G2055" i="7"/>
  <c r="E2056" i="7"/>
  <c r="G2056" i="7"/>
  <c r="E2057" i="7"/>
  <c r="G2057" i="7"/>
  <c r="E2058" i="7"/>
  <c r="G2058" i="7"/>
  <c r="E2059" i="7"/>
  <c r="G2059" i="7"/>
  <c r="E2060" i="7"/>
  <c r="G2060" i="7"/>
  <c r="E2061" i="7"/>
  <c r="G2061" i="7"/>
  <c r="E2062" i="7"/>
  <c r="G2062" i="7"/>
  <c r="E2063" i="7"/>
  <c r="G2063" i="7"/>
  <c r="E2064" i="7"/>
  <c r="G2064" i="7"/>
  <c r="E2065" i="7"/>
  <c r="G2065" i="7"/>
  <c r="E2066" i="7"/>
  <c r="G2066" i="7"/>
  <c r="E2067" i="7"/>
  <c r="G2067" i="7"/>
  <c r="E2068" i="7"/>
  <c r="G2068" i="7"/>
  <c r="E2069" i="7"/>
  <c r="G2069" i="7"/>
  <c r="E2070" i="7"/>
  <c r="G2070" i="7"/>
  <c r="E2071" i="7"/>
  <c r="G2071" i="7"/>
  <c r="E2072" i="7"/>
  <c r="G2072" i="7"/>
  <c r="E2073" i="7"/>
  <c r="G2073" i="7"/>
  <c r="E2074" i="7"/>
  <c r="G2074" i="7"/>
  <c r="E2075" i="7"/>
  <c r="G2075" i="7"/>
  <c r="E2076" i="7"/>
  <c r="G2076" i="7"/>
  <c r="E2077" i="7"/>
  <c r="G2077" i="7"/>
  <c r="E2078" i="7"/>
  <c r="G2078" i="7"/>
  <c r="E2079" i="7"/>
  <c r="G2079" i="7"/>
  <c r="E2080" i="7"/>
  <c r="G2080" i="7"/>
  <c r="E2081" i="7"/>
  <c r="G2081" i="7"/>
  <c r="E2082" i="7"/>
  <c r="G2082" i="7"/>
  <c r="E2083" i="7"/>
  <c r="G2083" i="7"/>
  <c r="E2084" i="7"/>
  <c r="G2084" i="7"/>
  <c r="E2085" i="7"/>
  <c r="G2085" i="7"/>
  <c r="E2086" i="7"/>
  <c r="G2086" i="7"/>
  <c r="E2087" i="7"/>
  <c r="G2087" i="7"/>
  <c r="E2088" i="7"/>
  <c r="G2088" i="7"/>
  <c r="E2089" i="7"/>
  <c r="G2089" i="7"/>
  <c r="E2090" i="7"/>
  <c r="G2090" i="7"/>
  <c r="E2091" i="7"/>
  <c r="G2091" i="7"/>
  <c r="E2092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E2093" i="7"/>
  <c r="G2122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G2142" i="7"/>
  <c r="E2143" i="7"/>
  <c r="G2143" i="7"/>
  <c r="E2144" i="7"/>
  <c r="G2144" i="7"/>
  <c r="E2145" i="7"/>
  <c r="G2145" i="7"/>
  <c r="E2146" i="7"/>
  <c r="G2146" i="7"/>
  <c r="E2147" i="7"/>
  <c r="G2147" i="7"/>
  <c r="E2148" i="7"/>
  <c r="G2148" i="7"/>
  <c r="E2149" i="7"/>
  <c r="G2149" i="7"/>
  <c r="E2150" i="7"/>
  <c r="G2150" i="7"/>
  <c r="E2151" i="7"/>
  <c r="G2151" i="7"/>
  <c r="E2152" i="7"/>
  <c r="G2152" i="7"/>
  <c r="E2153" i="7"/>
  <c r="G2153" i="7"/>
  <c r="E2154" i="7"/>
  <c r="G2154" i="7"/>
  <c r="E2155" i="7"/>
  <c r="G2155" i="7"/>
  <c r="E2156" i="7"/>
  <c r="G2156" i="7"/>
  <c r="E2157" i="7"/>
  <c r="G2157" i="7"/>
  <c r="E2158" i="7"/>
  <c r="G2158" i="7"/>
  <c r="E2159" i="7"/>
  <c r="G2159" i="7"/>
  <c r="E2160" i="7"/>
  <c r="G2160" i="7"/>
  <c r="E2161" i="7"/>
  <c r="G2161" i="7"/>
  <c r="E2162" i="7"/>
  <c r="G2162" i="7"/>
  <c r="E2163" i="7"/>
  <c r="G2163" i="7"/>
  <c r="E2164" i="7"/>
  <c r="G2164" i="7"/>
  <c r="E2165" i="7"/>
  <c r="G2165" i="7"/>
  <c r="E2166" i="7"/>
  <c r="G2166" i="7"/>
  <c r="E2167" i="7"/>
  <c r="G2167" i="7"/>
  <c r="E2168" i="7"/>
  <c r="G2168" i="7"/>
  <c r="E2169" i="7"/>
  <c r="G2169" i="7"/>
  <c r="E2170" i="7"/>
  <c r="G2170" i="7"/>
  <c r="E2171" i="7"/>
  <c r="G2171" i="7"/>
  <c r="E2172" i="7"/>
  <c r="G2172" i="7"/>
  <c r="E2173" i="7"/>
  <c r="G2173" i="7"/>
  <c r="E2174" i="7"/>
  <c r="G2174" i="7"/>
  <c r="E2175" i="7"/>
  <c r="G2175" i="7"/>
  <c r="E2176" i="7"/>
  <c r="G2176" i="7"/>
  <c r="E2177" i="7"/>
  <c r="G2177" i="7"/>
  <c r="E2178" i="7"/>
  <c r="G2178" i="7"/>
  <c r="E2179" i="7"/>
  <c r="G2179" i="7"/>
  <c r="E2180" i="7"/>
  <c r="G2180" i="7"/>
  <c r="E2181" i="7"/>
  <c r="G2181" i="7"/>
  <c r="E2182" i="7"/>
  <c r="G2182" i="7"/>
  <c r="E2183" i="7"/>
  <c r="G2183" i="7"/>
  <c r="E2184" i="7"/>
  <c r="G2184" i="7"/>
  <c r="E2185" i="7"/>
  <c r="G2185" i="7"/>
  <c r="E2186" i="7"/>
  <c r="G2186" i="7"/>
  <c r="E2187" i="7"/>
  <c r="G2187" i="7"/>
  <c r="E2188" i="7"/>
  <c r="G2188" i="7"/>
  <c r="E2189" i="7"/>
  <c r="G2189" i="7"/>
  <c r="E2190" i="7"/>
  <c r="G2190" i="7"/>
  <c r="E2191" i="7"/>
  <c r="G2191" i="7"/>
  <c r="E2192" i="7"/>
  <c r="G2192" i="7"/>
  <c r="E2193" i="7"/>
  <c r="G2193" i="7"/>
  <c r="E2194" i="7"/>
  <c r="G2194" i="7"/>
  <c r="E2195" i="7"/>
  <c r="G2195" i="7"/>
  <c r="E2196" i="7"/>
  <c r="G2196" i="7"/>
  <c r="E2197" i="7"/>
  <c r="G2197" i="7"/>
  <c r="E2198" i="7"/>
  <c r="G2198" i="7"/>
  <c r="E2199" i="7"/>
  <c r="G2199" i="7"/>
  <c r="E2200" i="7"/>
  <c r="G2200" i="7"/>
  <c r="E2201" i="7"/>
  <c r="G2201" i="7"/>
  <c r="E2202" i="7"/>
  <c r="G2202" i="7"/>
  <c r="E2203" i="7"/>
  <c r="G2203" i="7"/>
  <c r="E2204" i="7"/>
  <c r="G2204" i="7"/>
  <c r="E2205" i="7"/>
  <c r="G2205" i="7"/>
  <c r="E2206" i="7"/>
  <c r="G2206" i="7"/>
  <c r="E2207" i="7"/>
  <c r="G2207" i="7"/>
  <c r="E2208" i="7"/>
  <c r="G2208" i="7"/>
  <c r="E2209" i="7"/>
  <c r="G2209" i="7"/>
  <c r="E2210" i="7"/>
  <c r="G2210" i="7"/>
  <c r="E2211" i="7"/>
  <c r="G2211" i="7"/>
  <c r="E2212" i="7"/>
  <c r="G2212" i="7"/>
  <c r="E2213" i="7"/>
  <c r="G2213" i="7"/>
  <c r="E2214" i="7"/>
  <c r="G2214" i="7"/>
  <c r="E2215" i="7"/>
  <c r="G2215" i="7"/>
  <c r="E2216" i="7"/>
  <c r="G2216" i="7"/>
  <c r="E2217" i="7"/>
  <c r="G2217" i="7"/>
  <c r="E2218" i="7"/>
  <c r="G2218" i="7"/>
  <c r="E2219" i="7"/>
  <c r="G2219" i="7"/>
  <c r="E2220" i="7"/>
  <c r="G2220" i="7"/>
  <c r="E2221" i="7"/>
  <c r="G2221" i="7"/>
  <c r="E2222" i="7"/>
  <c r="G2222" i="7"/>
  <c r="E2223" i="7"/>
  <c r="G2223" i="7"/>
  <c r="E2224" i="7"/>
  <c r="G2224" i="7"/>
  <c r="E2225" i="7"/>
  <c r="G2225" i="7"/>
  <c r="E2226" i="7"/>
  <c r="G2226" i="7"/>
  <c r="E2227" i="7"/>
  <c r="G2227" i="7"/>
  <c r="E2228" i="7"/>
  <c r="G2228" i="7"/>
  <c r="E2229" i="7"/>
  <c r="G2229" i="7"/>
  <c r="E2230" i="7"/>
  <c r="G2230" i="7"/>
  <c r="E2231" i="7"/>
  <c r="G2231" i="7"/>
  <c r="E2232" i="7"/>
  <c r="G2232" i="7"/>
  <c r="E2233" i="7"/>
  <c r="G2233" i="7"/>
  <c r="E2234" i="7"/>
  <c r="G2234" i="7"/>
  <c r="E2235" i="7"/>
  <c r="G2235" i="7"/>
  <c r="E2236" i="7"/>
  <c r="G2236" i="7"/>
  <c r="E2237" i="7"/>
  <c r="G2237" i="7"/>
  <c r="E2238" i="7"/>
  <c r="G2238" i="7"/>
  <c r="E2239" i="7"/>
  <c r="G2239" i="7"/>
  <c r="E2240" i="7"/>
  <c r="G2240" i="7"/>
  <c r="E2241" i="7"/>
  <c r="G2241" i="7"/>
  <c r="E2242" i="7"/>
  <c r="G2242" i="7"/>
  <c r="E2243" i="7"/>
  <c r="G2243" i="7"/>
  <c r="E2244" i="7"/>
  <c r="G2244" i="7"/>
  <c r="E2245" i="7"/>
  <c r="G2245" i="7"/>
  <c r="E2246" i="7"/>
  <c r="G2246" i="7"/>
  <c r="E2247" i="7"/>
  <c r="G2247" i="7"/>
  <c r="E2248" i="7"/>
  <c r="G2248" i="7"/>
  <c r="E2249" i="7"/>
  <c r="G2249" i="7"/>
  <c r="E2250" i="7"/>
  <c r="G2250" i="7"/>
  <c r="E2251" i="7"/>
  <c r="G2251" i="7"/>
  <c r="E2252" i="7"/>
  <c r="G2252" i="7"/>
  <c r="E2253" i="7"/>
  <c r="G2253" i="7"/>
  <c r="E2254" i="7"/>
  <c r="G2254" i="7"/>
  <c r="E2255" i="7"/>
  <c r="G2255" i="7"/>
  <c r="E2256" i="7"/>
  <c r="G2256" i="7"/>
  <c r="E2257" i="7"/>
  <c r="G2257" i="7"/>
  <c r="E2258" i="7"/>
  <c r="G2258" i="7"/>
  <c r="E2259" i="7"/>
  <c r="G2259" i="7"/>
  <c r="E2260" i="7"/>
  <c r="G2260" i="7"/>
  <c r="E2261" i="7"/>
  <c r="G2261" i="7"/>
  <c r="E2262" i="7"/>
  <c r="G2262" i="7"/>
  <c r="E2263" i="7"/>
  <c r="G2263" i="7"/>
  <c r="E2264" i="7"/>
  <c r="G2264" i="7"/>
  <c r="E2265" i="7"/>
  <c r="G2265" i="7"/>
  <c r="E2266" i="7"/>
  <c r="G2266" i="7"/>
  <c r="E2267" i="7"/>
  <c r="G2267" i="7"/>
  <c r="E2268" i="7"/>
  <c r="G2268" i="7"/>
  <c r="E2269" i="7"/>
  <c r="G2269" i="7"/>
  <c r="E2270" i="7"/>
  <c r="G2270" i="7"/>
  <c r="E2271" i="7"/>
  <c r="G2271" i="7"/>
  <c r="E2272" i="7"/>
  <c r="G2272" i="7"/>
  <c r="E2273" i="7"/>
  <c r="G2273" i="7"/>
  <c r="E2274" i="7"/>
  <c r="G2274" i="7"/>
  <c r="E2275" i="7"/>
  <c r="G2275" i="7"/>
  <c r="E2276" i="7"/>
  <c r="G2276" i="7"/>
  <c r="E2277" i="7"/>
  <c r="G2277" i="7"/>
  <c r="E2278" i="7"/>
  <c r="G2278" i="7"/>
  <c r="E2279" i="7"/>
  <c r="G2279" i="7"/>
  <c r="E2280" i="7"/>
  <c r="G2280" i="7"/>
  <c r="E2281" i="7"/>
  <c r="G2281" i="7"/>
  <c r="E2282" i="7"/>
  <c r="G2282" i="7"/>
  <c r="E2283" i="7"/>
  <c r="G2283" i="7"/>
  <c r="E2284" i="7"/>
  <c r="G2284" i="7"/>
  <c r="E2285" i="7"/>
  <c r="G2285" i="7"/>
  <c r="E2286" i="7"/>
  <c r="G2286" i="7"/>
  <c r="E2287" i="7"/>
  <c r="G2287" i="7"/>
  <c r="E2288" i="7"/>
  <c r="G2288" i="7"/>
  <c r="E2289" i="7"/>
  <c r="G2289" i="7"/>
  <c r="E2290" i="7"/>
  <c r="G2290" i="7"/>
  <c r="E2291" i="7"/>
  <c r="G2291" i="7"/>
  <c r="E2292" i="7"/>
  <c r="G2292" i="7"/>
  <c r="E2293" i="7"/>
  <c r="G2293" i="7"/>
  <c r="E2294" i="7"/>
  <c r="G2294" i="7"/>
  <c r="E2295" i="7"/>
  <c r="G2295" i="7"/>
  <c r="E2296" i="7"/>
  <c r="G2296" i="7"/>
  <c r="E2297" i="7"/>
  <c r="G2297" i="7"/>
  <c r="E2298" i="7"/>
  <c r="G2298" i="7"/>
  <c r="E2299" i="7"/>
  <c r="G2299" i="7"/>
  <c r="E2300" i="7"/>
  <c r="G2300" i="7"/>
  <c r="E2301" i="7"/>
  <c r="G2301" i="7"/>
  <c r="E2302" i="7"/>
  <c r="G2302" i="7"/>
  <c r="E2303" i="7"/>
  <c r="G2303" i="7"/>
  <c r="E2304" i="7"/>
  <c r="G2304" i="7"/>
  <c r="E2305" i="7"/>
  <c r="G2305" i="7"/>
  <c r="E2306" i="7"/>
  <c r="G2306" i="7"/>
  <c r="E2307" i="7"/>
  <c r="G2307" i="7"/>
  <c r="E2308" i="7"/>
  <c r="G2308" i="7"/>
  <c r="E2309" i="7"/>
  <c r="G2309" i="7"/>
  <c r="E2310" i="7"/>
  <c r="G2310" i="7"/>
  <c r="E2311" i="7"/>
  <c r="G2311" i="7"/>
  <c r="E2312" i="7"/>
  <c r="G2312" i="7"/>
  <c r="E2313" i="7"/>
  <c r="G2313" i="7"/>
  <c r="E2314" i="7"/>
  <c r="G2314" i="7"/>
  <c r="E2315" i="7"/>
  <c r="G2315" i="7"/>
  <c r="E2316" i="7"/>
  <c r="G2316" i="7"/>
  <c r="E2317" i="7"/>
  <c r="G2317" i="7"/>
  <c r="E2318" i="7"/>
  <c r="G2318" i="7"/>
  <c r="E2319" i="7"/>
  <c r="G2319" i="7"/>
  <c r="E2320" i="7"/>
  <c r="G2320" i="7"/>
  <c r="E2321" i="7"/>
  <c r="G2321" i="7"/>
  <c r="E2322" i="7"/>
  <c r="G2322" i="7"/>
  <c r="E2323" i="7"/>
  <c r="G2323" i="7"/>
  <c r="E2324" i="7"/>
  <c r="G2324" i="7"/>
  <c r="E2325" i="7"/>
  <c r="G2325" i="7"/>
  <c r="E2326" i="7"/>
  <c r="G2326" i="7"/>
  <c r="E2327" i="7"/>
  <c r="G2327" i="7"/>
  <c r="E2328" i="7"/>
  <c r="G2328" i="7"/>
  <c r="E2329" i="7"/>
  <c r="G2329" i="7"/>
  <c r="E2330" i="7"/>
  <c r="G2330" i="7"/>
  <c r="E2331" i="7"/>
  <c r="G2331" i="7"/>
  <c r="E2332" i="7"/>
  <c r="G2332" i="7"/>
  <c r="E2333" i="7"/>
  <c r="G2333" i="7"/>
  <c r="E2334" i="7"/>
  <c r="G2334" i="7"/>
  <c r="E2335" i="7"/>
  <c r="G2335" i="7"/>
  <c r="E2336" i="7"/>
  <c r="G2336" i="7"/>
  <c r="E2337" i="7"/>
  <c r="G2337" i="7"/>
  <c r="E2338" i="7"/>
  <c r="G2338" i="7"/>
  <c r="E2339" i="7"/>
  <c r="G2339" i="7"/>
  <c r="E2340" i="7"/>
  <c r="G2340" i="7"/>
  <c r="E2341" i="7"/>
  <c r="G2341" i="7"/>
  <c r="E2342" i="7"/>
  <c r="G2342" i="7"/>
  <c r="E2343" i="7"/>
  <c r="G2343" i="7"/>
  <c r="E2344" i="7"/>
  <c r="G2344" i="7"/>
  <c r="E2345" i="7"/>
  <c r="G2345" i="7"/>
  <c r="E2346" i="7"/>
  <c r="G2346" i="7"/>
  <c r="E2347" i="7"/>
  <c r="G2347" i="7"/>
  <c r="E2348" i="7"/>
  <c r="G2348" i="7"/>
  <c r="E2349" i="7"/>
  <c r="G2349" i="7"/>
  <c r="E2350" i="7"/>
  <c r="G2350" i="7"/>
  <c r="E2351" i="7"/>
  <c r="G2351" i="7"/>
  <c r="E2352" i="7"/>
  <c r="G2352" i="7"/>
  <c r="E2353" i="7"/>
  <c r="G2353" i="7"/>
  <c r="E2354" i="7"/>
  <c r="G2354" i="7"/>
  <c r="E2355" i="7"/>
  <c r="G2355" i="7"/>
  <c r="E2356" i="7"/>
  <c r="G2356" i="7"/>
  <c r="E2357" i="7"/>
  <c r="G2357" i="7"/>
  <c r="E2358" i="7"/>
  <c r="G2358" i="7"/>
  <c r="E2359" i="7"/>
  <c r="G2359" i="7"/>
  <c r="E2360" i="7"/>
  <c r="G2360" i="7"/>
  <c r="E2361" i="7"/>
  <c r="G2361" i="7"/>
  <c r="E2362" i="7"/>
  <c r="G2362" i="7"/>
  <c r="E2363" i="7"/>
  <c r="G2363" i="7"/>
  <c r="E2364" i="7"/>
  <c r="G2364" i="7"/>
  <c r="E2365" i="7"/>
  <c r="G2365" i="7"/>
  <c r="E2366" i="7"/>
  <c r="G2366" i="7"/>
  <c r="E2367" i="7"/>
  <c r="G2367" i="7"/>
  <c r="E2368" i="7"/>
  <c r="G2368" i="7"/>
  <c r="E2369" i="7"/>
  <c r="G2369" i="7"/>
  <c r="E2370" i="7"/>
  <c r="G2370" i="7"/>
  <c r="E2371" i="7"/>
  <c r="G2371" i="7"/>
  <c r="E2372" i="7"/>
  <c r="G2372" i="7"/>
  <c r="E2373" i="7"/>
  <c r="G2373" i="7"/>
  <c r="E2374" i="7"/>
  <c r="G2374" i="7"/>
  <c r="E2375" i="7"/>
  <c r="G2375" i="7"/>
  <c r="E2376" i="7"/>
  <c r="G2376" i="7"/>
  <c r="E2377" i="7"/>
  <c r="G2377" i="7"/>
  <c r="E2378" i="7"/>
  <c r="G2378" i="7"/>
  <c r="E2379" i="7"/>
  <c r="G2379" i="7"/>
  <c r="E2380" i="7"/>
  <c r="G2380" i="7"/>
  <c r="E2381" i="7"/>
  <c r="G2381" i="7"/>
  <c r="E2382" i="7"/>
  <c r="G2382" i="7"/>
  <c r="E2383" i="7"/>
  <c r="G2383" i="7"/>
  <c r="E2384" i="7"/>
  <c r="G2384" i="7"/>
  <c r="E2385" i="7"/>
  <c r="G2385" i="7"/>
  <c r="E2386" i="7"/>
  <c r="G2386" i="7"/>
  <c r="E2387" i="7"/>
  <c r="G2387" i="7"/>
  <c r="E2388" i="7"/>
  <c r="G2388" i="7"/>
  <c r="E2389" i="7"/>
  <c r="G2389" i="7"/>
  <c r="E2390" i="7"/>
  <c r="G2390" i="7"/>
  <c r="E2391" i="7"/>
  <c r="G2391" i="7"/>
  <c r="E2392" i="7"/>
  <c r="G2392" i="7"/>
  <c r="E2393" i="7"/>
  <c r="G2393" i="7"/>
  <c r="E2394" i="7"/>
  <c r="G2394" i="7"/>
  <c r="E2395" i="7"/>
  <c r="G2395" i="7"/>
  <c r="E2396" i="7"/>
  <c r="G2396" i="7"/>
  <c r="E2397" i="7"/>
  <c r="G2397" i="7"/>
  <c r="E2398" i="7"/>
  <c r="G2398" i="7"/>
  <c r="E2399" i="7"/>
  <c r="G2399" i="7"/>
  <c r="E2400" i="7"/>
  <c r="G2400" i="7"/>
  <c r="E2401" i="7"/>
  <c r="G2401" i="7"/>
  <c r="E2402" i="7"/>
  <c r="G2402" i="7"/>
  <c r="E2403" i="7"/>
  <c r="G2403" i="7"/>
  <c r="E2404" i="7"/>
  <c r="G2404" i="7"/>
  <c r="E2405" i="7"/>
  <c r="G2405" i="7"/>
  <c r="E2406" i="7"/>
  <c r="G2406" i="7"/>
  <c r="E2407" i="7"/>
  <c r="G2407" i="7"/>
  <c r="E2408" i="7"/>
  <c r="G2408" i="7"/>
  <c r="E2409" i="7"/>
  <c r="G2409" i="7"/>
  <c r="E2410" i="7"/>
  <c r="G2410" i="7"/>
  <c r="E2411" i="7"/>
  <c r="G2411" i="7"/>
  <c r="E2412" i="7"/>
  <c r="G2412" i="7"/>
  <c r="E2413" i="7"/>
  <c r="G2413" i="7"/>
  <c r="E2414" i="7"/>
  <c r="G2414" i="7"/>
  <c r="E2415" i="7"/>
  <c r="G2415" i="7"/>
  <c r="E2416" i="7"/>
  <c r="G2416" i="7"/>
  <c r="E2417" i="7"/>
  <c r="G2417" i="7"/>
  <c r="E2418" i="7"/>
  <c r="G2418" i="7"/>
  <c r="E2419" i="7"/>
  <c r="G2419" i="7"/>
  <c r="E2420" i="7"/>
  <c r="G2420" i="7"/>
  <c r="E2421" i="7"/>
  <c r="G2421" i="7"/>
  <c r="E2422" i="7"/>
  <c r="G2422" i="7"/>
  <c r="E2423" i="7"/>
  <c r="G2423" i="7"/>
  <c r="E2424" i="7"/>
  <c r="G2424" i="7"/>
  <c r="E2425" i="7"/>
  <c r="G2425" i="7"/>
  <c r="E2426" i="7"/>
  <c r="G2426" i="7"/>
  <c r="E2427" i="7"/>
  <c r="G2427" i="7"/>
  <c r="E2428" i="7"/>
  <c r="G2428" i="7"/>
  <c r="E2429" i="7"/>
  <c r="G2429" i="7"/>
  <c r="E2430" i="7"/>
  <c r="G2430" i="7"/>
  <c r="E2431" i="7"/>
  <c r="G2431" i="7"/>
  <c r="E2432" i="7"/>
  <c r="G2432" i="7"/>
  <c r="E2433" i="7"/>
  <c r="G2433" i="7"/>
  <c r="E2434" i="7"/>
  <c r="G2434" i="7"/>
  <c r="E2435" i="7"/>
  <c r="G2435" i="7"/>
  <c r="E2436" i="7"/>
  <c r="G2436" i="7"/>
  <c r="E2437" i="7"/>
  <c r="G2437" i="7"/>
  <c r="E2438" i="7"/>
  <c r="G2438" i="7"/>
  <c r="E2439" i="7"/>
  <c r="G2439" i="7"/>
  <c r="E2440" i="7"/>
  <c r="G2440" i="7"/>
  <c r="E2441" i="7"/>
  <c r="G2441" i="7"/>
  <c r="E2442" i="7"/>
  <c r="G2442" i="7"/>
  <c r="E2443" i="7"/>
  <c r="G2443" i="7"/>
  <c r="E2444" i="7"/>
  <c r="G2444" i="7"/>
  <c r="E2445" i="7"/>
  <c r="G2445" i="7"/>
  <c r="E2446" i="7"/>
  <c r="G2446" i="7"/>
  <c r="E2447" i="7"/>
  <c r="G2447" i="7"/>
  <c r="E2448" i="7"/>
  <c r="G2448" i="7"/>
  <c r="E2449" i="7"/>
  <c r="G2449" i="7"/>
  <c r="E2450" i="7"/>
  <c r="G2450" i="7"/>
  <c r="E2451" i="7"/>
  <c r="G2451" i="7"/>
  <c r="E2452" i="7"/>
  <c r="G2452" i="7"/>
  <c r="E2453" i="7"/>
  <c r="G2453" i="7"/>
  <c r="E2454" i="7"/>
  <c r="G2454" i="7"/>
  <c r="E2455" i="7"/>
  <c r="G2455" i="7"/>
  <c r="E2456" i="7"/>
  <c r="G2456" i="7"/>
  <c r="E2457" i="7"/>
  <c r="G2457" i="7"/>
  <c r="E2458" i="7"/>
  <c r="G2458" i="7"/>
  <c r="E2459" i="7"/>
  <c r="G2459" i="7"/>
  <c r="E2460" i="7"/>
  <c r="G2460" i="7"/>
  <c r="E2461" i="7"/>
  <c r="G2461" i="7"/>
  <c r="E2462" i="7"/>
  <c r="G2462" i="7"/>
  <c r="E2463" i="7"/>
  <c r="G2463" i="7"/>
  <c r="E2464" i="7"/>
  <c r="G2464" i="7"/>
  <c r="E2465" i="7"/>
  <c r="G2465" i="7"/>
  <c r="E2466" i="7"/>
  <c r="G2466" i="7"/>
  <c r="E2467" i="7"/>
  <c r="G2467" i="7"/>
  <c r="E2468" i="7"/>
  <c r="G2468" i="7"/>
  <c r="E2469" i="7"/>
  <c r="G2469" i="7"/>
  <c r="E2470" i="7"/>
  <c r="G2470" i="7"/>
  <c r="E2471" i="7"/>
  <c r="G2471" i="7"/>
  <c r="E2472" i="7"/>
  <c r="G2472" i="7"/>
  <c r="E2473" i="7"/>
  <c r="G2473" i="7"/>
  <c r="E2474" i="7"/>
  <c r="G2474" i="7"/>
  <c r="E2475" i="7"/>
  <c r="G2475" i="7"/>
  <c r="E2476" i="7"/>
  <c r="G2476" i="7"/>
  <c r="E2477" i="7"/>
  <c r="G2477" i="7"/>
  <c r="E2478" i="7"/>
  <c r="G2478" i="7"/>
  <c r="E2479" i="7"/>
  <c r="G2479" i="7"/>
  <c r="E2480" i="7"/>
  <c r="G2480" i="7"/>
  <c r="E2481" i="7"/>
  <c r="G2481" i="7"/>
  <c r="E2482" i="7"/>
  <c r="G2482" i="7"/>
  <c r="E2483" i="7"/>
  <c r="G2483" i="7"/>
  <c r="E2484" i="7"/>
  <c r="G2484" i="7"/>
  <c r="E2485" i="7"/>
  <c r="G2485" i="7"/>
  <c r="E2486" i="7"/>
  <c r="G2486" i="7"/>
  <c r="E2487" i="7"/>
  <c r="G2487" i="7"/>
  <c r="E2488" i="7"/>
  <c r="G2488" i="7"/>
  <c r="E2489" i="7"/>
  <c r="G2489" i="7"/>
  <c r="E2490" i="7"/>
  <c r="G2490" i="7"/>
  <c r="E2491" i="7"/>
  <c r="G2491" i="7"/>
  <c r="E2492" i="7"/>
  <c r="G2492" i="7"/>
  <c r="E2493" i="7"/>
  <c r="G2493" i="7"/>
  <c r="E2494" i="7"/>
  <c r="G2494" i="7"/>
  <c r="E2495" i="7"/>
  <c r="G2495" i="7"/>
  <c r="E2496" i="7"/>
  <c r="G2496" i="7"/>
  <c r="E2497" i="7"/>
  <c r="G2497" i="7"/>
  <c r="E2498" i="7"/>
  <c r="G2498" i="7"/>
  <c r="E2499" i="7"/>
  <c r="G2499" i="7"/>
  <c r="E2500" i="7"/>
  <c r="G2500" i="7"/>
  <c r="E2501" i="7"/>
  <c r="G2501" i="7"/>
  <c r="E2502" i="7"/>
  <c r="G2502" i="7"/>
  <c r="E2503" i="7"/>
  <c r="G2503" i="7"/>
  <c r="E2504" i="7"/>
  <c r="G2504" i="7"/>
  <c r="E2505" i="7"/>
  <c r="G2505" i="7"/>
  <c r="E2506" i="7"/>
  <c r="G2506" i="7"/>
  <c r="E2507" i="7"/>
  <c r="G2507" i="7"/>
  <c r="E2508" i="7"/>
  <c r="G2508" i="7"/>
  <c r="E2509" i="7"/>
  <c r="G2509" i="7"/>
  <c r="E2510" i="7"/>
  <c r="G2510" i="7"/>
  <c r="E2511" i="7"/>
  <c r="G2511" i="7"/>
  <c r="E2512" i="7"/>
  <c r="G2512" i="7"/>
  <c r="E2513" i="7"/>
  <c r="G2513" i="7"/>
  <c r="E2514" i="7"/>
  <c r="G2514" i="7"/>
  <c r="E2515" i="7"/>
  <c r="G2515" i="7"/>
  <c r="E2516" i="7"/>
  <c r="G2516" i="7"/>
  <c r="E2517" i="7"/>
  <c r="G2517" i="7"/>
  <c r="E2518" i="7"/>
  <c r="G2518" i="7"/>
  <c r="E2519" i="7"/>
  <c r="G2519" i="7"/>
  <c r="E2520" i="7"/>
  <c r="G2520" i="7"/>
  <c r="E2521" i="7"/>
  <c r="G2521" i="7"/>
  <c r="E2522" i="7"/>
  <c r="G2522" i="7"/>
  <c r="E2523" i="7"/>
  <c r="G2523" i="7"/>
  <c r="E2524" i="7"/>
  <c r="G2524" i="7"/>
  <c r="E2525" i="7"/>
  <c r="G2525" i="7"/>
  <c r="E2526" i="7"/>
  <c r="G2526" i="7"/>
  <c r="E2527" i="7"/>
  <c r="G2527" i="7"/>
  <c r="E2528" i="7"/>
  <c r="G2528" i="7"/>
  <c r="E2529" i="7"/>
  <c r="G2529" i="7"/>
  <c r="E2530" i="7"/>
  <c r="G2530" i="7"/>
  <c r="E2531" i="7"/>
  <c r="G2531" i="7"/>
  <c r="E2532" i="7"/>
  <c r="G2532" i="7"/>
  <c r="E2533" i="7"/>
  <c r="G2533" i="7"/>
  <c r="E2534" i="7"/>
  <c r="G2534" i="7"/>
  <c r="E2535" i="7"/>
  <c r="G2535" i="7"/>
  <c r="E2536" i="7"/>
  <c r="G2536" i="7"/>
  <c r="E2537" i="7"/>
  <c r="G2537" i="7"/>
  <c r="E2538" i="7"/>
  <c r="G2538" i="7"/>
  <c r="E2539" i="7"/>
  <c r="G2539" i="7"/>
  <c r="E2540" i="7"/>
  <c r="G2540" i="7"/>
  <c r="E2541" i="7"/>
  <c r="G2541" i="7"/>
  <c r="E2542" i="7"/>
  <c r="G2542" i="7"/>
  <c r="E2543" i="7"/>
  <c r="G2543" i="7"/>
  <c r="E2544" i="7"/>
  <c r="G2544" i="7"/>
  <c r="E2545" i="7"/>
  <c r="G2545" i="7"/>
  <c r="E2546" i="7"/>
  <c r="G2546" i="7"/>
  <c r="E2547" i="7"/>
  <c r="G2547" i="7"/>
  <c r="E2548" i="7"/>
  <c r="G2548" i="7"/>
  <c r="E2549" i="7"/>
  <c r="G2549" i="7"/>
  <c r="E2550" i="7"/>
  <c r="G2550" i="7"/>
  <c r="E2551" i="7"/>
  <c r="G2551" i="7"/>
  <c r="E2552" i="7"/>
  <c r="G2552" i="7"/>
  <c r="E2553" i="7"/>
  <c r="G2553" i="7"/>
  <c r="E2554" i="7"/>
  <c r="G2554" i="7"/>
  <c r="E2555" i="7"/>
  <c r="G2555" i="7"/>
  <c r="E2556" i="7"/>
  <c r="G2556" i="7"/>
  <c r="E2557" i="7"/>
  <c r="G2557" i="7"/>
  <c r="E2558" i="7"/>
  <c r="G2558" i="7"/>
  <c r="E2559" i="7"/>
  <c r="G2559" i="7"/>
  <c r="E2560" i="7"/>
  <c r="G2560" i="7"/>
  <c r="E2561" i="7"/>
  <c r="G2561" i="7"/>
  <c r="E2562" i="7"/>
  <c r="G2562" i="7"/>
  <c r="E2563" i="7"/>
  <c r="G2563" i="7"/>
  <c r="E2564" i="7"/>
  <c r="G2564" i="7"/>
  <c r="E2565" i="7"/>
  <c r="G2565" i="7"/>
  <c r="E2566" i="7"/>
  <c r="G2566" i="7"/>
  <c r="E2567" i="7"/>
  <c r="G2567" i="7"/>
  <c r="E2568" i="7"/>
  <c r="G2568" i="7"/>
  <c r="E2569" i="7"/>
  <c r="G2569" i="7"/>
  <c r="E2570" i="7"/>
  <c r="G2570" i="7"/>
  <c r="E2571" i="7"/>
  <c r="G2571" i="7"/>
  <c r="E2572" i="7"/>
  <c r="G2572" i="7"/>
  <c r="E2573" i="7"/>
  <c r="G2573" i="7"/>
  <c r="E2574" i="7"/>
  <c r="G2574" i="7"/>
  <c r="E2575" i="7"/>
  <c r="G2575" i="7"/>
  <c r="E2576" i="7"/>
  <c r="G2576" i="7"/>
  <c r="E2577" i="7"/>
  <c r="G2577" i="7"/>
  <c r="E2578" i="7"/>
  <c r="G2578" i="7"/>
  <c r="E2579" i="7"/>
  <c r="G2579" i="7"/>
  <c r="E2580" i="7"/>
  <c r="G2580" i="7"/>
  <c r="E2581" i="7"/>
  <c r="G2581" i="7"/>
  <c r="E2582" i="7"/>
  <c r="G2582" i="7"/>
  <c r="E2583" i="7"/>
  <c r="G2583" i="7"/>
  <c r="E2584" i="7"/>
  <c r="G2584" i="7"/>
  <c r="E2585" i="7"/>
  <c r="G2585" i="7"/>
  <c r="E2586" i="7"/>
  <c r="G2586" i="7"/>
  <c r="E2587" i="7"/>
  <c r="G2587" i="7"/>
  <c r="E2588" i="7"/>
  <c r="G2588" i="7"/>
  <c r="E2589" i="7"/>
  <c r="G2589" i="7"/>
  <c r="E2590" i="7"/>
  <c r="G2590" i="7"/>
  <c r="E2591" i="7"/>
  <c r="G2591" i="7"/>
  <c r="E2592" i="7"/>
  <c r="G2592" i="7"/>
  <c r="E2593" i="7"/>
  <c r="G2593" i="7"/>
  <c r="E2594" i="7"/>
  <c r="G2594" i="7"/>
  <c r="E2595" i="7"/>
  <c r="G2595" i="7"/>
  <c r="E2596" i="7"/>
  <c r="G2596" i="7"/>
  <c r="E2597" i="7"/>
  <c r="G2597" i="7"/>
  <c r="E2598" i="7"/>
  <c r="G2598" i="7"/>
  <c r="E2599" i="7"/>
  <c r="G2599" i="7"/>
  <c r="E2600" i="7"/>
  <c r="G2600" i="7"/>
  <c r="E2601" i="7"/>
  <c r="G2601" i="7"/>
  <c r="E2602" i="7"/>
  <c r="G2602" i="7"/>
  <c r="E2603" i="7"/>
  <c r="G2603" i="7"/>
  <c r="E2604" i="7"/>
  <c r="G2604" i="7"/>
  <c r="E2605" i="7"/>
  <c r="G2605" i="7"/>
  <c r="E2606" i="7"/>
  <c r="G2606" i="7"/>
  <c r="E2607" i="7"/>
  <c r="G2607" i="7"/>
  <c r="E2608" i="7"/>
  <c r="G2608" i="7"/>
  <c r="E2609" i="7"/>
  <c r="G2609" i="7"/>
  <c r="E2610" i="7"/>
  <c r="G2610" i="7"/>
  <c r="E2611" i="7"/>
  <c r="G2611" i="7"/>
  <c r="E2612" i="7"/>
  <c r="G2612" i="7"/>
  <c r="E2613" i="7"/>
  <c r="G2613" i="7"/>
  <c r="E2614" i="7"/>
  <c r="G2614" i="7"/>
  <c r="E2615" i="7"/>
  <c r="G2615" i="7"/>
  <c r="E2616" i="7"/>
  <c r="G2616" i="7"/>
  <c r="E2617" i="7"/>
  <c r="G2617" i="7"/>
  <c r="E2618" i="7"/>
  <c r="G2618" i="7"/>
  <c r="E2619" i="7"/>
  <c r="G2619" i="7"/>
  <c r="E2620" i="7"/>
  <c r="G2620" i="7"/>
  <c r="E2621" i="7"/>
  <c r="G2621" i="7"/>
  <c r="E2622" i="7"/>
  <c r="G2622" i="7"/>
  <c r="E2623" i="7"/>
  <c r="G2623" i="7"/>
  <c r="E2624" i="7"/>
  <c r="G2624" i="7"/>
  <c r="E2625" i="7"/>
  <c r="G2625" i="7"/>
  <c r="E2626" i="7"/>
  <c r="G2626" i="7"/>
  <c r="E2627" i="7"/>
  <c r="G2627" i="7"/>
  <c r="E2628" i="7"/>
  <c r="G2628" i="7"/>
  <c r="E2629" i="7"/>
  <c r="G2629" i="7"/>
  <c r="E2630" i="7"/>
  <c r="G2630" i="7"/>
  <c r="E2631" i="7"/>
  <c r="G2631" i="7"/>
  <c r="E2632" i="7"/>
  <c r="G2632" i="7"/>
  <c r="E2633" i="7"/>
  <c r="G2633" i="7"/>
  <c r="E2634" i="7"/>
  <c r="G2634" i="7"/>
  <c r="E2635" i="7"/>
  <c r="G2635" i="7"/>
  <c r="E2636" i="7"/>
  <c r="G2636" i="7"/>
  <c r="E2637" i="7"/>
  <c r="G2637" i="7"/>
  <c r="E2638" i="7"/>
  <c r="G2638" i="7"/>
  <c r="E2639" i="7"/>
  <c r="G2639" i="7"/>
  <c r="E2640" i="7"/>
  <c r="G2640" i="7"/>
  <c r="E2641" i="7"/>
  <c r="G2641" i="7"/>
  <c r="E2642" i="7"/>
  <c r="G2642" i="7"/>
  <c r="E2643" i="7"/>
  <c r="G2643" i="7"/>
  <c r="E2644" i="7"/>
  <c r="G2644" i="7"/>
  <c r="E2645" i="7"/>
  <c r="G2645" i="7"/>
  <c r="E2646" i="7"/>
  <c r="G2646" i="7"/>
  <c r="E2647" i="7"/>
  <c r="G2647" i="7"/>
  <c r="E2648" i="7"/>
  <c r="G2648" i="7"/>
  <c r="E2649" i="7"/>
  <c r="G2649" i="7"/>
  <c r="E2650" i="7"/>
  <c r="G2650" i="7"/>
  <c r="E2651" i="7"/>
  <c r="G2651" i="7"/>
  <c r="E2652" i="7"/>
  <c r="G2652" i="7"/>
  <c r="E2653" i="7"/>
  <c r="G2653" i="7"/>
  <c r="E2654" i="7"/>
  <c r="G2654" i="7"/>
  <c r="E2655" i="7"/>
  <c r="G2655" i="7"/>
  <c r="E2656" i="7"/>
  <c r="G2656" i="7"/>
  <c r="E2657" i="7"/>
  <c r="G2657" i="7"/>
  <c r="E2658" i="7"/>
  <c r="G2658" i="7"/>
  <c r="E2659" i="7"/>
  <c r="G2659" i="7"/>
  <c r="E2660" i="7"/>
  <c r="G2660" i="7"/>
  <c r="E2661" i="7"/>
  <c r="G2661" i="7"/>
  <c r="E2662" i="7"/>
  <c r="G2662" i="7"/>
  <c r="E2663" i="7"/>
  <c r="G2663" i="7"/>
  <c r="E2664" i="7"/>
  <c r="G2664" i="7"/>
  <c r="E2665" i="7"/>
  <c r="G2665" i="7"/>
  <c r="E2666" i="7"/>
  <c r="G2666" i="7"/>
  <c r="E2667" i="7"/>
  <c r="G2667" i="7"/>
  <c r="E2668" i="7"/>
  <c r="G2668" i="7"/>
  <c r="E2669" i="7"/>
  <c r="G2669" i="7"/>
  <c r="E2670" i="7"/>
  <c r="G2670" i="7"/>
  <c r="E2671" i="7"/>
  <c r="G2671" i="7"/>
  <c r="E2672" i="7"/>
  <c r="G2672" i="7"/>
  <c r="E2673" i="7"/>
  <c r="G2673" i="7"/>
  <c r="E2674" i="7"/>
  <c r="G2674" i="7"/>
  <c r="E2675" i="7"/>
  <c r="G2675" i="7"/>
  <c r="E2676" i="7"/>
  <c r="G2676" i="7"/>
  <c r="E2677" i="7"/>
  <c r="G2677" i="7"/>
  <c r="E2678" i="7"/>
  <c r="G2678" i="7"/>
  <c r="E2679" i="7"/>
  <c r="G2679" i="7"/>
  <c r="E2680" i="7"/>
  <c r="G2680" i="7"/>
  <c r="E2681" i="7"/>
  <c r="G2681" i="7"/>
  <c r="E2682" i="7"/>
  <c r="G2682" i="7"/>
  <c r="E2683" i="7"/>
  <c r="G2683" i="7"/>
  <c r="E2684" i="7"/>
  <c r="G2684" i="7"/>
  <c r="E2685" i="7"/>
  <c r="G2685" i="7"/>
  <c r="E2686" i="7"/>
  <c r="G2686" i="7"/>
  <c r="E2687" i="7"/>
  <c r="G2687" i="7"/>
  <c r="E2688" i="7"/>
  <c r="G2688" i="7"/>
  <c r="E2689" i="7"/>
  <c r="G2689" i="7"/>
  <c r="E2690" i="7"/>
  <c r="G2690" i="7"/>
  <c r="E2691" i="7"/>
  <c r="G2691" i="7"/>
  <c r="E2692" i="7"/>
  <c r="G2692" i="7"/>
  <c r="E2693" i="7"/>
  <c r="G2693" i="7"/>
  <c r="E2694" i="7"/>
  <c r="G2694" i="7"/>
  <c r="E2695" i="7"/>
  <c r="G2695" i="7"/>
  <c r="E2696" i="7"/>
  <c r="G2696" i="7"/>
  <c r="E2697" i="7"/>
  <c r="G2697" i="7"/>
  <c r="E2698" i="7"/>
  <c r="G2698" i="7"/>
  <c r="E2699" i="7"/>
  <c r="G2699" i="7"/>
  <c r="E2700" i="7"/>
  <c r="G2700" i="7"/>
  <c r="E2701" i="7"/>
  <c r="G2701" i="7"/>
  <c r="E2702" i="7"/>
  <c r="G2702" i="7"/>
  <c r="E2703" i="7"/>
  <c r="G2703" i="7"/>
  <c r="E2704" i="7"/>
  <c r="G2704" i="7"/>
  <c r="E2705" i="7"/>
  <c r="G2705" i="7"/>
  <c r="E2706" i="7"/>
  <c r="G2706" i="7"/>
  <c r="E2707" i="7"/>
  <c r="G2707" i="7"/>
  <c r="E2708" i="7"/>
  <c r="G2708" i="7"/>
  <c r="E2709" i="7"/>
  <c r="G2709" i="7"/>
  <c r="E2710" i="7"/>
  <c r="G2710" i="7"/>
  <c r="E2711" i="7"/>
  <c r="G2711" i="7"/>
  <c r="E2712" i="7"/>
  <c r="G2712" i="7"/>
  <c r="E2713" i="7"/>
  <c r="G2713" i="7"/>
  <c r="E2714" i="7"/>
  <c r="G2714" i="7"/>
  <c r="E2715" i="7"/>
  <c r="G2715" i="7"/>
  <c r="E2716" i="7"/>
  <c r="G2716" i="7"/>
  <c r="E2717" i="7"/>
  <c r="G2717" i="7"/>
  <c r="E2718" i="7"/>
  <c r="G2718" i="7"/>
  <c r="E2719" i="7"/>
  <c r="G2719" i="7"/>
  <c r="E2720" i="7"/>
  <c r="G2720" i="7"/>
  <c r="E2721" i="7"/>
  <c r="G2721" i="7"/>
  <c r="E2722" i="7"/>
  <c r="G2722" i="7"/>
  <c r="E2723" i="7"/>
  <c r="G2723" i="7"/>
  <c r="E2724" i="7"/>
  <c r="G2724" i="7"/>
  <c r="E2725" i="7"/>
  <c r="G2725" i="7"/>
  <c r="E2726" i="7"/>
  <c r="G2726" i="7"/>
  <c r="E2727" i="7"/>
  <c r="G2727" i="7"/>
  <c r="E2728" i="7"/>
  <c r="G2728" i="7"/>
  <c r="E2729" i="7"/>
  <c r="G2729" i="7"/>
  <c r="E2730" i="7"/>
  <c r="G2730" i="7"/>
  <c r="E2731" i="7"/>
  <c r="G2731" i="7"/>
  <c r="E2732" i="7"/>
  <c r="G2732" i="7"/>
  <c r="E2733" i="7"/>
  <c r="G2733" i="7"/>
  <c r="E2734" i="7"/>
  <c r="G2734" i="7"/>
  <c r="E2735" i="7"/>
  <c r="G2735" i="7"/>
  <c r="E2736" i="7"/>
  <c r="G2736" i="7"/>
  <c r="E2737" i="7"/>
  <c r="G2737" i="7"/>
  <c r="E2738" i="7"/>
  <c r="G2738" i="7"/>
  <c r="E2739" i="7"/>
  <c r="G2739" i="7"/>
  <c r="E2740" i="7"/>
  <c r="G2740" i="7"/>
  <c r="E2741" i="7"/>
  <c r="G2741" i="7"/>
  <c r="E2742" i="7"/>
  <c r="G2742" i="7"/>
  <c r="E2743" i="7"/>
  <c r="G2743" i="7"/>
  <c r="E2744" i="7"/>
  <c r="G2744" i="7"/>
  <c r="E2745" i="7"/>
  <c r="G2745" i="7"/>
  <c r="E2746" i="7"/>
  <c r="G2746" i="7"/>
  <c r="E2747" i="7"/>
  <c r="G2747" i="7"/>
  <c r="E2748" i="7"/>
  <c r="G2748" i="7"/>
  <c r="E2749" i="7"/>
  <c r="G2749" i="7"/>
  <c r="E2750" i="7"/>
  <c r="G2750" i="7"/>
  <c r="E2751" i="7"/>
  <c r="G2751" i="7"/>
  <c r="E2752" i="7"/>
  <c r="G2752" i="7"/>
  <c r="E2753" i="7"/>
  <c r="G2753" i="7"/>
  <c r="E2754" i="7"/>
  <c r="G2754" i="7"/>
  <c r="E2755" i="7"/>
  <c r="G2755" i="7"/>
  <c r="E2756" i="7"/>
  <c r="G2756" i="7"/>
  <c r="E2757" i="7"/>
  <c r="G2757" i="7"/>
  <c r="E2758" i="7"/>
  <c r="G2758" i="7"/>
  <c r="E2759" i="7"/>
  <c r="G2759" i="7"/>
  <c r="E2760" i="7"/>
  <c r="G2760" i="7"/>
  <c r="E2761" i="7"/>
  <c r="G2761" i="7"/>
  <c r="E2762" i="7"/>
  <c r="G2762" i="7"/>
  <c r="E2763" i="7"/>
  <c r="G2763" i="7"/>
  <c r="E2764" i="7"/>
  <c r="G2764" i="7"/>
  <c r="E2765" i="7"/>
  <c r="G2765" i="7"/>
  <c r="E2766" i="7"/>
  <c r="G2766" i="7"/>
  <c r="E2767" i="7"/>
  <c r="G2767" i="7"/>
  <c r="E2768" i="7"/>
  <c r="G2768" i="7"/>
  <c r="E2769" i="7"/>
  <c r="G2769" i="7"/>
  <c r="E2770" i="7"/>
  <c r="G2770" i="7"/>
  <c r="E2771" i="7"/>
  <c r="G2771" i="7"/>
  <c r="E2772" i="7"/>
  <c r="G2772" i="7"/>
  <c r="E2773" i="7"/>
  <c r="G2773" i="7"/>
  <c r="E2774" i="7"/>
  <c r="G2774" i="7"/>
  <c r="E2775" i="7"/>
  <c r="G2775" i="7"/>
  <c r="E2776" i="7"/>
  <c r="G2776" i="7"/>
  <c r="E2777" i="7"/>
  <c r="G2777" i="7"/>
  <c r="E2778" i="7"/>
  <c r="G2778" i="7"/>
  <c r="E2779" i="7"/>
  <c r="G2779" i="7"/>
  <c r="E2780" i="7"/>
  <c r="G2780" i="7"/>
  <c r="E2781" i="7"/>
  <c r="G2781" i="7"/>
  <c r="E2782" i="7"/>
  <c r="G2782" i="7"/>
  <c r="E2783" i="7"/>
  <c r="G2783" i="7"/>
  <c r="E2784" i="7"/>
  <c r="G2784" i="7"/>
  <c r="E2785" i="7"/>
  <c r="G2785" i="7"/>
  <c r="E2786" i="7"/>
  <c r="G2786" i="7"/>
  <c r="E2787" i="7"/>
  <c r="G2787" i="7"/>
  <c r="E2788" i="7"/>
  <c r="G2788" i="7"/>
  <c r="E2789" i="7"/>
  <c r="G2789" i="7"/>
  <c r="E2790" i="7"/>
  <c r="G2790" i="7"/>
  <c r="E2791" i="7"/>
  <c r="G2791" i="7"/>
  <c r="E2792" i="7"/>
  <c r="G2792" i="7"/>
  <c r="E2793" i="7"/>
  <c r="G2793" i="7"/>
  <c r="E2794" i="7"/>
  <c r="G2794" i="7"/>
  <c r="E2795" i="7"/>
  <c r="G2795" i="7"/>
  <c r="E2796" i="7"/>
  <c r="G2796" i="7"/>
  <c r="E2797" i="7"/>
  <c r="G2797" i="7"/>
  <c r="E2798" i="7"/>
  <c r="G2798" i="7"/>
  <c r="E2799" i="7"/>
  <c r="G2799" i="7"/>
  <c r="E2800" i="7"/>
  <c r="G2800" i="7"/>
  <c r="E2801" i="7"/>
  <c r="G2801" i="7"/>
  <c r="E2802" i="7"/>
  <c r="G2802" i="7"/>
  <c r="E2803" i="7"/>
  <c r="G2803" i="7"/>
  <c r="E2804" i="7"/>
  <c r="G2804" i="7"/>
  <c r="E2805" i="7"/>
  <c r="G2805" i="7"/>
  <c r="E2806" i="7"/>
  <c r="G2806" i="7"/>
  <c r="E2807" i="7"/>
  <c r="G2807" i="7"/>
  <c r="E2808" i="7"/>
  <c r="G2808" i="7"/>
  <c r="E2809" i="7"/>
  <c r="G2809" i="7"/>
  <c r="E2810" i="7"/>
  <c r="G2810" i="7"/>
  <c r="E2811" i="7"/>
  <c r="G2811" i="7"/>
  <c r="E2812" i="7"/>
  <c r="G2812" i="7"/>
  <c r="E2813" i="7"/>
  <c r="G2813" i="7"/>
  <c r="E2814" i="7"/>
  <c r="G2814" i="7"/>
  <c r="E2815" i="7"/>
  <c r="G2815" i="7"/>
  <c r="E2816" i="7"/>
  <c r="G2816" i="7"/>
  <c r="E2817" i="7"/>
  <c r="G2817" i="7"/>
  <c r="E2818" i="7"/>
  <c r="G2818" i="7"/>
  <c r="E2819" i="7"/>
  <c r="G2819" i="7"/>
  <c r="E2820" i="7"/>
  <c r="G2820" i="7"/>
  <c r="E2821" i="7"/>
  <c r="G2821" i="7"/>
  <c r="E2822" i="7"/>
  <c r="G2822" i="7"/>
  <c r="E2823" i="7"/>
  <c r="G2823" i="7"/>
  <c r="E2824" i="7"/>
  <c r="G2824" i="7"/>
  <c r="E2825" i="7"/>
  <c r="G2825" i="7"/>
  <c r="E2826" i="7"/>
  <c r="G2826" i="7"/>
  <c r="E2827" i="7"/>
  <c r="G2827" i="7"/>
  <c r="E2828" i="7"/>
  <c r="G2828" i="7"/>
  <c r="E2829" i="7"/>
  <c r="G2829" i="7"/>
  <c r="E2830" i="7"/>
  <c r="G2830" i="7"/>
  <c r="E2831" i="7"/>
  <c r="G2831" i="7"/>
  <c r="E2832" i="7"/>
  <c r="G2832" i="7"/>
  <c r="E2833" i="7"/>
  <c r="G2833" i="7"/>
  <c r="E2834" i="7"/>
  <c r="G2834" i="7"/>
  <c r="E2835" i="7"/>
  <c r="G2835" i="7"/>
  <c r="E2836" i="7"/>
  <c r="G2836" i="7"/>
  <c r="E2837" i="7"/>
  <c r="G2837" i="7"/>
  <c r="E2838" i="7"/>
  <c r="G2838" i="7"/>
  <c r="E2839" i="7"/>
  <c r="G2839" i="7"/>
  <c r="E2840" i="7"/>
  <c r="G2840" i="7"/>
  <c r="E2841" i="7"/>
  <c r="G2841" i="7"/>
  <c r="E2842" i="7"/>
  <c r="G2842" i="7"/>
  <c r="E2843" i="7"/>
  <c r="G2843" i="7"/>
  <c r="E2844" i="7"/>
  <c r="G2844" i="7"/>
  <c r="E2845" i="7"/>
  <c r="G2845" i="7"/>
  <c r="E2846" i="7"/>
  <c r="G2846" i="7"/>
  <c r="E2847" i="7"/>
  <c r="G2847" i="7"/>
  <c r="E2848" i="7"/>
  <c r="G2848" i="7"/>
  <c r="E2849" i="7"/>
  <c r="G2849" i="7"/>
  <c r="E2850" i="7"/>
  <c r="G2850" i="7"/>
  <c r="E2851" i="7"/>
  <c r="G2851" i="7"/>
  <c r="E2852" i="7"/>
  <c r="G2852" i="7"/>
  <c r="E2853" i="7"/>
  <c r="G2853" i="7"/>
  <c r="E2854" i="7"/>
  <c r="G2854" i="7"/>
  <c r="E2855" i="7"/>
  <c r="G2855" i="7"/>
  <c r="E2856" i="7"/>
  <c r="G2856" i="7"/>
  <c r="E2857" i="7"/>
  <c r="G2857" i="7"/>
  <c r="E2858" i="7"/>
  <c r="G2858" i="7"/>
  <c r="E2859" i="7"/>
  <c r="G2859" i="7"/>
  <c r="E2860" i="7"/>
  <c r="G2860" i="7"/>
  <c r="E2861" i="7"/>
  <c r="G2861" i="7"/>
  <c r="E2862" i="7"/>
  <c r="G2862" i="7"/>
  <c r="E2863" i="7"/>
  <c r="G2863" i="7"/>
  <c r="E2864" i="7"/>
  <c r="G2864" i="7"/>
  <c r="E2865" i="7"/>
  <c r="G2865" i="7"/>
  <c r="E2866" i="7"/>
  <c r="G2866" i="7"/>
  <c r="E2867" i="7"/>
  <c r="G2867" i="7"/>
  <c r="E2868" i="7"/>
  <c r="G2868" i="7"/>
  <c r="E2869" i="7"/>
  <c r="G2869" i="7"/>
  <c r="E2870" i="7"/>
  <c r="G2870" i="7"/>
  <c r="E2871" i="7"/>
  <c r="G2871" i="7"/>
  <c r="E2872" i="7"/>
  <c r="G2872" i="7"/>
  <c r="E2873" i="7"/>
  <c r="G2873" i="7"/>
  <c r="E2874" i="7"/>
  <c r="G2874" i="7"/>
  <c r="E2875" i="7"/>
  <c r="G2875" i="7"/>
  <c r="E2876" i="7"/>
  <c r="G2876" i="7"/>
  <c r="E2877" i="7"/>
  <c r="G2877" i="7"/>
  <c r="E2878" i="7"/>
  <c r="G2878" i="7"/>
  <c r="E2879" i="7"/>
  <c r="G2879" i="7"/>
  <c r="E2880" i="7"/>
  <c r="G2880" i="7"/>
  <c r="E2881" i="7"/>
  <c r="G2881" i="7"/>
  <c r="E2882" i="7"/>
  <c r="G2882" i="7"/>
  <c r="E2883" i="7"/>
  <c r="G2883" i="7"/>
  <c r="E2884" i="7"/>
  <c r="G2884" i="7"/>
  <c r="E2885" i="7"/>
  <c r="G2885" i="7"/>
  <c r="E2886" i="7"/>
  <c r="G2886" i="7"/>
  <c r="E2887" i="7"/>
  <c r="G2887" i="7"/>
  <c r="E2888" i="7"/>
  <c r="G2888" i="7"/>
  <c r="E2889" i="7"/>
  <c r="G2889" i="7"/>
  <c r="E2890" i="7"/>
  <c r="G2890" i="7"/>
  <c r="E2891" i="7"/>
  <c r="G2891" i="7"/>
  <c r="E2892" i="7"/>
  <c r="G2892" i="7"/>
  <c r="E2893" i="7"/>
  <c r="G2893" i="7"/>
  <c r="E2894" i="7"/>
  <c r="G2894" i="7"/>
  <c r="E2895" i="7"/>
  <c r="G2895" i="7"/>
  <c r="E2896" i="7"/>
  <c r="G2896" i="7"/>
  <c r="E2897" i="7"/>
  <c r="G2897" i="7"/>
  <c r="E2898" i="7"/>
  <c r="G2898" i="7"/>
  <c r="E2899" i="7"/>
  <c r="G2899" i="7"/>
  <c r="E2900" i="7"/>
  <c r="G2900" i="7"/>
  <c r="E2901" i="7"/>
  <c r="G2901" i="7"/>
  <c r="E2902" i="7"/>
  <c r="G2902" i="7"/>
  <c r="E2903" i="7"/>
  <c r="G2903" i="7"/>
  <c r="E2904" i="7"/>
  <c r="G2904" i="7"/>
  <c r="E2905" i="7"/>
  <c r="G2905" i="7"/>
  <c r="E2906" i="7"/>
  <c r="G2906" i="7"/>
  <c r="E2907" i="7"/>
  <c r="G2907" i="7"/>
  <c r="E2908" i="7"/>
  <c r="G2908" i="7"/>
  <c r="E2909" i="7"/>
  <c r="G2909" i="7"/>
  <c r="E2910" i="7"/>
  <c r="G2910" i="7"/>
  <c r="E2911" i="7"/>
  <c r="G2911" i="7"/>
  <c r="E2912" i="7"/>
  <c r="G2912" i="7"/>
  <c r="E2913" i="7"/>
  <c r="G2913" i="7"/>
  <c r="E2914" i="7"/>
  <c r="G2914" i="7"/>
  <c r="E2915" i="7"/>
  <c r="G2915" i="7"/>
  <c r="E2916" i="7"/>
  <c r="G2916" i="7"/>
  <c r="E2917" i="7"/>
  <c r="G2917" i="7"/>
  <c r="E2918" i="7"/>
  <c r="G2918" i="7"/>
  <c r="E2919" i="7"/>
  <c r="G2919" i="7"/>
  <c r="E2920" i="7"/>
  <c r="G2920" i="7"/>
  <c r="E2921" i="7"/>
  <c r="G2921" i="7"/>
  <c r="E2922" i="7"/>
  <c r="G2922" i="7"/>
  <c r="E2923" i="7"/>
  <c r="G2923" i="7"/>
  <c r="E2924" i="7"/>
  <c r="G2924" i="7"/>
  <c r="E2925" i="7"/>
  <c r="G2925" i="7"/>
  <c r="E2926" i="7"/>
  <c r="G2926" i="7"/>
  <c r="E2927" i="7"/>
  <c r="G2927" i="7"/>
  <c r="E2928" i="7"/>
  <c r="G2928" i="7"/>
  <c r="E2929" i="7"/>
  <c r="G2929" i="7"/>
  <c r="E2930" i="7"/>
  <c r="G2930" i="7"/>
  <c r="E2931" i="7"/>
  <c r="G2931" i="7"/>
  <c r="E2932" i="7"/>
  <c r="G2932" i="7"/>
  <c r="E2933" i="7"/>
  <c r="G2933" i="7"/>
  <c r="E2934" i="7"/>
  <c r="G2934" i="7"/>
  <c r="E2935" i="7"/>
  <c r="G2935" i="7"/>
  <c r="E2936" i="7"/>
  <c r="G2936" i="7"/>
  <c r="E2937" i="7"/>
  <c r="G2937" i="7"/>
  <c r="E2938" i="7"/>
  <c r="G2938" i="7"/>
  <c r="E2939" i="7"/>
  <c r="G2939" i="7"/>
  <c r="E2940" i="7"/>
  <c r="G2940" i="7"/>
  <c r="E2941" i="7"/>
  <c r="G2941" i="7"/>
  <c r="E2942" i="7"/>
  <c r="G2942" i="7"/>
  <c r="E2943" i="7"/>
  <c r="G2943" i="7"/>
  <c r="E2944" i="7"/>
  <c r="G2944" i="7"/>
  <c r="E2945" i="7"/>
  <c r="G2945" i="7"/>
  <c r="E2946" i="7"/>
  <c r="G2946" i="7"/>
  <c r="E2947" i="7"/>
  <c r="G2947" i="7"/>
  <c r="E2948" i="7"/>
  <c r="G2948" i="7"/>
  <c r="E2949" i="7"/>
  <c r="G2949" i="7"/>
  <c r="E2950" i="7"/>
  <c r="G2950" i="7"/>
  <c r="E2951" i="7"/>
  <c r="G2951" i="7"/>
  <c r="E2952" i="7"/>
  <c r="G2952" i="7"/>
  <c r="E2953" i="7"/>
  <c r="G2953" i="7"/>
  <c r="E2954" i="7"/>
  <c r="G2954" i="7"/>
  <c r="E2955" i="7"/>
  <c r="G2955" i="7"/>
  <c r="E2956" i="7"/>
  <c r="G2956" i="7"/>
  <c r="E2957" i="7"/>
  <c r="G2957" i="7"/>
  <c r="E2958" i="7"/>
  <c r="G2958" i="7"/>
  <c r="E2959" i="7"/>
  <c r="G2959" i="7"/>
  <c r="E2960" i="7"/>
  <c r="G2960" i="7"/>
  <c r="E2961" i="7"/>
  <c r="G2961" i="7"/>
  <c r="E2962" i="7"/>
  <c r="G2962" i="7"/>
  <c r="E2963" i="7"/>
  <c r="G2963" i="7"/>
  <c r="E2964" i="7"/>
  <c r="G2964" i="7"/>
  <c r="E2965" i="7"/>
  <c r="G2965" i="7"/>
  <c r="E2966" i="7"/>
  <c r="G2966" i="7"/>
  <c r="E2967" i="7"/>
  <c r="G2967" i="7"/>
  <c r="E2968" i="7"/>
  <c r="G2968" i="7"/>
  <c r="E2969" i="7"/>
  <c r="G2969" i="7"/>
  <c r="E2970" i="7"/>
  <c r="G2970" i="7"/>
  <c r="E2971" i="7"/>
  <c r="G2971" i="7"/>
  <c r="E2972" i="7"/>
  <c r="G2972" i="7"/>
  <c r="E2973" i="7"/>
  <c r="G2973" i="7"/>
  <c r="E2974" i="7"/>
  <c r="G2974" i="7"/>
  <c r="E2975" i="7"/>
  <c r="G2975" i="7"/>
  <c r="E2976" i="7"/>
  <c r="G2976" i="7"/>
  <c r="E2977" i="7"/>
  <c r="G2977" i="7"/>
  <c r="E2978" i="7"/>
  <c r="G2978" i="7"/>
  <c r="E2979" i="7"/>
  <c r="G2979" i="7"/>
  <c r="E2980" i="7"/>
  <c r="G2980" i="7"/>
  <c r="E2981" i="7"/>
  <c r="G2981" i="7"/>
  <c r="E2982" i="7"/>
  <c r="G2982" i="7"/>
  <c r="E2983" i="7"/>
  <c r="G2983" i="7"/>
  <c r="E2984" i="7"/>
  <c r="G2984" i="7"/>
  <c r="E2985" i="7"/>
  <c r="G2985" i="7"/>
  <c r="E2986" i="7"/>
  <c r="G2986" i="7"/>
  <c r="E2987" i="7"/>
  <c r="G2987" i="7"/>
  <c r="E2988" i="7"/>
  <c r="G2988" i="7"/>
  <c r="E2989" i="7"/>
  <c r="G2989" i="7"/>
  <c r="E2990" i="7"/>
  <c r="G2990" i="7"/>
  <c r="E2991" i="7"/>
  <c r="G2991" i="7"/>
  <c r="E2992" i="7"/>
  <c r="G2992" i="7"/>
  <c r="E2993" i="7"/>
  <c r="G2993" i="7"/>
  <c r="E2994" i="7"/>
  <c r="G2994" i="7"/>
  <c r="E2995" i="7"/>
  <c r="G2995" i="7"/>
  <c r="E2996" i="7"/>
  <c r="G2996" i="7"/>
  <c r="E2997" i="7"/>
  <c r="G2997" i="7"/>
  <c r="E2998" i="7"/>
  <c r="G2998" i="7"/>
  <c r="E2999" i="7"/>
  <c r="G2999" i="7"/>
  <c r="E3000" i="7"/>
  <c r="G3000" i="7"/>
  <c r="E3001" i="7"/>
  <c r="G3001" i="7"/>
  <c r="E3002" i="7"/>
  <c r="G3002" i="7"/>
  <c r="E3003" i="7"/>
  <c r="G3003" i="7"/>
  <c r="E3004" i="7"/>
  <c r="G3004" i="7"/>
  <c r="E3005" i="7"/>
  <c r="G3005" i="7"/>
  <c r="E3006" i="7"/>
  <c r="G3006" i="7"/>
  <c r="E3007" i="7"/>
  <c r="G3007" i="7"/>
  <c r="E3008" i="7"/>
  <c r="G3008" i="7"/>
  <c r="E3009" i="7"/>
  <c r="G3009" i="7"/>
  <c r="E3010" i="7"/>
  <c r="G3010" i="7"/>
  <c r="E3011" i="7"/>
  <c r="G3011" i="7"/>
  <c r="E3012" i="7"/>
  <c r="G3012" i="7"/>
  <c r="E3013" i="7"/>
  <c r="G3013" i="7"/>
  <c r="E3014" i="7"/>
  <c r="G3014" i="7"/>
  <c r="E3015" i="7"/>
  <c r="G3015" i="7"/>
  <c r="E3016" i="7"/>
  <c r="G3016" i="7"/>
  <c r="E3017" i="7"/>
  <c r="G3017" i="7"/>
  <c r="E3018" i="7"/>
  <c r="G3018" i="7"/>
  <c r="E3019" i="7"/>
  <c r="G3019" i="7"/>
  <c r="E3020" i="7"/>
  <c r="G3020" i="7"/>
  <c r="E3021" i="7"/>
  <c r="G3021" i="7"/>
  <c r="E3022" i="7"/>
  <c r="G3022" i="7"/>
  <c r="E3023" i="7"/>
  <c r="G3023" i="7"/>
  <c r="E3024" i="7"/>
  <c r="G3024" i="7"/>
  <c r="E3025" i="7"/>
  <c r="G3025" i="7"/>
  <c r="E3026" i="7"/>
  <c r="G3026" i="7"/>
  <c r="E3027" i="7"/>
  <c r="G3027" i="7"/>
  <c r="E3028" i="7"/>
  <c r="G3028" i="7"/>
  <c r="E3029" i="7"/>
  <c r="G3029" i="7"/>
  <c r="E3030" i="7"/>
  <c r="G3030" i="7"/>
  <c r="E3031" i="7"/>
  <c r="G3031" i="7"/>
  <c r="E3032" i="7"/>
  <c r="G3032" i="7"/>
  <c r="E3033" i="7"/>
  <c r="G3033" i="7"/>
  <c r="E3034" i="7"/>
  <c r="G3034" i="7"/>
  <c r="E3035" i="7"/>
  <c r="G3035" i="7"/>
  <c r="E3036" i="7"/>
  <c r="G3036" i="7"/>
  <c r="E3037" i="7"/>
  <c r="G3037" i="7"/>
  <c r="E3038" i="7"/>
  <c r="G3038" i="7"/>
  <c r="E3039" i="7"/>
  <c r="G3039" i="7"/>
  <c r="E3040" i="7"/>
  <c r="G3040" i="7"/>
  <c r="E3041" i="7"/>
  <c r="G3041" i="7"/>
  <c r="E3042" i="7"/>
  <c r="G3042" i="7"/>
  <c r="E3043" i="7"/>
  <c r="G3043" i="7"/>
  <c r="E3044" i="7"/>
  <c r="G3044" i="7"/>
  <c r="E3045" i="7"/>
  <c r="G3045" i="7"/>
  <c r="E3046" i="7"/>
  <c r="G3046" i="7"/>
  <c r="E3047" i="7"/>
  <c r="G3047" i="7"/>
  <c r="E3048" i="7"/>
  <c r="G3048" i="7"/>
  <c r="E3049" i="7"/>
  <c r="G3049" i="7"/>
  <c r="E3050" i="7"/>
  <c r="G3050" i="7"/>
  <c r="E3051" i="7"/>
  <c r="G3051" i="7"/>
  <c r="E3052" i="7"/>
  <c r="G3052" i="7"/>
  <c r="E3053" i="7"/>
  <c r="G3053" i="7"/>
  <c r="E3054" i="7"/>
  <c r="G3054" i="7"/>
  <c r="E3055" i="7"/>
  <c r="G3055" i="7"/>
  <c r="E3056" i="7"/>
  <c r="G3056" i="7"/>
  <c r="E3057" i="7"/>
  <c r="G3057" i="7"/>
  <c r="E3058" i="7"/>
  <c r="G3058" i="7"/>
  <c r="E3059" i="7"/>
  <c r="G3059" i="7"/>
  <c r="E3060" i="7"/>
  <c r="G3060" i="7"/>
  <c r="E3061" i="7"/>
  <c r="G3061" i="7"/>
  <c r="E3062" i="7"/>
  <c r="G3062" i="7"/>
  <c r="E3063" i="7"/>
  <c r="G3063" i="7"/>
  <c r="E3064" i="7"/>
  <c r="G3064" i="7"/>
  <c r="E3065" i="7"/>
  <c r="G3065" i="7"/>
  <c r="E3066" i="7"/>
  <c r="G3066" i="7"/>
  <c r="E3067" i="7"/>
  <c r="G3067" i="7"/>
  <c r="E3068" i="7"/>
  <c r="G3068" i="7"/>
  <c r="E3069" i="7"/>
  <c r="G3069" i="7"/>
  <c r="E3070" i="7"/>
  <c r="G3070" i="7"/>
  <c r="E3071" i="7"/>
  <c r="G3071" i="7"/>
  <c r="E3072" i="7"/>
  <c r="G3072" i="7"/>
  <c r="E3073" i="7"/>
  <c r="G3073" i="7"/>
  <c r="E3074" i="7"/>
  <c r="G3074" i="7"/>
  <c r="E3075" i="7"/>
  <c r="G3075" i="7"/>
  <c r="E3076" i="7"/>
  <c r="G3076" i="7"/>
  <c r="E3077" i="7"/>
  <c r="G3077" i="7"/>
  <c r="E3078" i="7"/>
  <c r="G3078" i="7"/>
  <c r="E3079" i="7"/>
  <c r="G3079" i="7"/>
  <c r="E3080" i="7"/>
  <c r="G3080" i="7"/>
  <c r="E3081" i="7"/>
  <c r="G3081" i="7"/>
  <c r="E3082" i="7"/>
  <c r="G3082" i="7"/>
  <c r="E3083" i="7"/>
  <c r="G3083" i="7"/>
  <c r="E3084" i="7"/>
  <c r="G3084" i="7"/>
  <c r="E3085" i="7"/>
  <c r="G3085" i="7"/>
  <c r="E3086" i="7"/>
  <c r="G3086" i="7"/>
  <c r="E3087" i="7"/>
  <c r="G3087" i="7"/>
  <c r="E3088" i="7"/>
  <c r="G3088" i="7"/>
  <c r="E3089" i="7"/>
  <c r="G3089" i="7"/>
  <c r="E3090" i="7"/>
  <c r="G3090" i="7"/>
  <c r="E3091" i="7"/>
  <c r="G3091" i="7"/>
  <c r="E3092" i="7"/>
  <c r="G3092" i="7"/>
  <c r="E3093" i="7"/>
  <c r="G3093" i="7"/>
  <c r="E3094" i="7"/>
  <c r="G3094" i="7"/>
  <c r="E3095" i="7"/>
  <c r="G3095" i="7"/>
  <c r="E3096" i="7"/>
  <c r="G3096" i="7"/>
  <c r="E3097" i="7"/>
  <c r="G3097" i="7"/>
  <c r="E3098" i="7"/>
  <c r="G3098" i="7"/>
  <c r="E3099" i="7"/>
  <c r="G3099" i="7"/>
  <c r="E3100" i="7"/>
  <c r="G3100" i="7"/>
  <c r="E3101" i="7"/>
  <c r="G3101" i="7"/>
  <c r="E3102" i="7"/>
  <c r="G3102" i="7"/>
  <c r="E3103" i="7"/>
  <c r="G3103" i="7"/>
  <c r="E3104" i="7"/>
  <c r="G3104" i="7"/>
  <c r="E3105" i="7"/>
  <c r="G3105" i="7"/>
  <c r="E3106" i="7"/>
  <c r="G3106" i="7"/>
  <c r="E3107" i="7"/>
  <c r="G3107" i="7"/>
  <c r="E3108" i="7"/>
  <c r="G3108" i="7"/>
  <c r="E3109" i="7"/>
  <c r="G3109" i="7"/>
  <c r="E3110" i="7"/>
  <c r="G3110" i="7"/>
  <c r="E3111" i="7"/>
  <c r="G3111" i="7"/>
  <c r="E3112" i="7"/>
  <c r="G3112" i="7"/>
  <c r="E3113" i="7"/>
  <c r="G3113" i="7"/>
  <c r="E3114" i="7"/>
  <c r="G3114" i="7"/>
  <c r="E3115" i="7"/>
  <c r="G3115" i="7"/>
  <c r="E3116" i="7"/>
  <c r="G3116" i="7"/>
  <c r="E3117" i="7"/>
  <c r="G3117" i="7"/>
  <c r="E3118" i="7"/>
  <c r="G3118" i="7"/>
  <c r="E3119" i="7"/>
  <c r="G3119" i="7"/>
  <c r="E3120" i="7"/>
  <c r="G3120" i="7"/>
  <c r="E3121" i="7"/>
  <c r="G3121" i="7"/>
  <c r="E3122" i="7"/>
  <c r="G3122" i="7"/>
  <c r="E3123" i="7"/>
  <c r="G3123" i="7"/>
  <c r="E3124" i="7"/>
  <c r="G3124" i="7"/>
  <c r="E3125" i="7"/>
  <c r="G3125" i="7"/>
  <c r="E3126" i="7"/>
  <c r="G3126" i="7"/>
  <c r="E3127" i="7"/>
  <c r="G3127" i="7"/>
  <c r="E3128" i="7"/>
  <c r="G3128" i="7"/>
  <c r="E3129" i="7"/>
  <c r="G3129" i="7"/>
  <c r="E3130" i="7"/>
  <c r="G3130" i="7"/>
  <c r="E3131" i="7"/>
  <c r="G3131" i="7"/>
  <c r="E3132" i="7"/>
  <c r="G3132" i="7"/>
  <c r="E3133" i="7"/>
  <c r="G3133" i="7"/>
  <c r="E3134" i="7"/>
  <c r="G3134" i="7"/>
  <c r="E3135" i="7"/>
  <c r="G3135" i="7"/>
  <c r="E3136" i="7"/>
  <c r="G3136" i="7"/>
  <c r="E3137" i="7"/>
  <c r="G3137" i="7"/>
  <c r="E3138" i="7"/>
  <c r="G3138" i="7"/>
  <c r="E3139" i="7"/>
  <c r="G3139" i="7"/>
  <c r="E3140" i="7"/>
  <c r="G3140" i="7"/>
  <c r="E3141" i="7"/>
  <c r="G3141" i="7"/>
  <c r="E3142" i="7"/>
  <c r="G3142" i="7"/>
  <c r="E3143" i="7"/>
  <c r="G3143" i="7"/>
  <c r="E3144" i="7"/>
  <c r="G3144" i="7"/>
  <c r="E3145" i="7"/>
  <c r="G3145" i="7"/>
  <c r="E3146" i="7"/>
  <c r="G3146" i="7"/>
  <c r="E3147" i="7"/>
  <c r="G3147" i="7"/>
  <c r="E3148" i="7"/>
  <c r="G3148" i="7"/>
  <c r="E3149" i="7"/>
  <c r="G3149" i="7"/>
  <c r="E3150" i="7"/>
  <c r="G3150" i="7"/>
  <c r="E3151" i="7"/>
  <c r="G3151" i="7"/>
  <c r="E3152" i="7"/>
  <c r="G3152" i="7"/>
  <c r="E3153" i="7"/>
  <c r="G3153" i="7"/>
  <c r="E3154" i="7"/>
  <c r="G3154" i="7"/>
  <c r="E3155" i="7"/>
  <c r="G3155" i="7"/>
  <c r="E3156" i="7"/>
  <c r="G3156" i="7"/>
  <c r="E3157" i="7"/>
  <c r="G3157" i="7"/>
  <c r="E3158" i="7"/>
  <c r="G3158" i="7"/>
  <c r="E3159" i="7"/>
  <c r="G3159" i="7"/>
  <c r="E3160" i="7"/>
  <c r="G3160" i="7"/>
  <c r="E3161" i="7"/>
  <c r="G3161" i="7"/>
  <c r="E3162" i="7"/>
  <c r="G3162" i="7"/>
  <c r="E3163" i="7"/>
  <c r="G3163" i="7"/>
  <c r="E3164" i="7"/>
  <c r="G3164" i="7"/>
  <c r="E3165" i="7"/>
  <c r="G3165" i="7"/>
  <c r="E3166" i="7"/>
  <c r="G3166" i="7"/>
  <c r="E3167" i="7"/>
  <c r="G3167" i="7"/>
  <c r="E3168" i="7"/>
  <c r="G3168" i="7"/>
  <c r="E3169" i="7"/>
  <c r="G3169" i="7"/>
  <c r="E3170" i="7"/>
  <c r="G3170" i="7"/>
  <c r="E3171" i="7"/>
  <c r="G3171" i="7"/>
  <c r="E3172" i="7"/>
  <c r="G3172" i="7"/>
  <c r="E3173" i="7"/>
  <c r="G3173" i="7"/>
  <c r="E3174" i="7"/>
  <c r="G3174" i="7"/>
  <c r="E3175" i="7"/>
  <c r="G3175" i="7"/>
  <c r="E3176" i="7"/>
  <c r="G3176" i="7"/>
  <c r="E3177" i="7"/>
  <c r="G3177" i="7"/>
  <c r="E3178" i="7"/>
  <c r="G3178" i="7"/>
  <c r="E3179" i="7"/>
  <c r="G3179" i="7"/>
  <c r="E3180" i="7"/>
  <c r="G3180" i="7"/>
  <c r="E3181" i="7"/>
  <c r="G3181" i="7"/>
  <c r="E3182" i="7"/>
  <c r="G3182" i="7"/>
  <c r="E3183" i="7"/>
  <c r="G3183" i="7"/>
  <c r="E3184" i="7"/>
  <c r="G3184" i="7"/>
  <c r="E3185" i="7"/>
  <c r="G3185" i="7"/>
  <c r="E3186" i="7"/>
  <c r="G3186" i="7"/>
  <c r="E3187" i="7"/>
  <c r="G3187" i="7"/>
  <c r="E3188" i="7"/>
  <c r="G3188" i="7"/>
  <c r="E3189" i="7"/>
  <c r="G3189" i="7"/>
  <c r="E3190" i="7"/>
  <c r="G3190" i="7"/>
  <c r="E3191" i="7"/>
  <c r="G3191" i="7"/>
  <c r="E3192" i="7"/>
  <c r="G3192" i="7"/>
  <c r="E3193" i="7"/>
  <c r="G3193" i="7"/>
  <c r="E3194" i="7"/>
  <c r="G3194" i="7"/>
  <c r="E3195" i="7"/>
  <c r="G3195" i="7"/>
  <c r="E3196" i="7"/>
  <c r="G3196" i="7"/>
  <c r="E3197" i="7"/>
  <c r="G3197" i="7"/>
  <c r="E3198" i="7"/>
  <c r="G3198" i="7"/>
  <c r="E3199" i="7"/>
  <c r="G3199" i="7"/>
  <c r="E3200" i="7"/>
  <c r="G3200" i="7"/>
  <c r="E3201" i="7"/>
  <c r="G3201" i="7"/>
  <c r="E3202" i="7"/>
  <c r="G3202" i="7"/>
  <c r="E3203" i="7"/>
  <c r="G3203" i="7"/>
  <c r="E3204" i="7"/>
  <c r="G3204" i="7"/>
  <c r="E3205" i="7"/>
  <c r="G3205" i="7"/>
  <c r="E3206" i="7"/>
  <c r="G3206" i="7"/>
  <c r="E3207" i="7"/>
  <c r="G3207" i="7"/>
  <c r="E3208" i="7"/>
  <c r="G3208" i="7"/>
  <c r="E3209" i="7"/>
  <c r="G3209" i="7"/>
  <c r="E3210" i="7"/>
  <c r="G3210" i="7"/>
  <c r="E3211" i="7"/>
  <c r="G3211" i="7"/>
  <c r="E3212" i="7"/>
  <c r="G3212" i="7"/>
  <c r="E3213" i="7"/>
  <c r="G3213" i="7"/>
  <c r="E3214" i="7"/>
  <c r="G3214" i="7"/>
  <c r="E3215" i="7"/>
  <c r="G3215" i="7"/>
  <c r="E3216" i="7"/>
  <c r="G3216" i="7"/>
  <c r="E3217" i="7"/>
  <c r="G3217" i="7"/>
  <c r="E3218" i="7"/>
  <c r="G3218" i="7"/>
  <c r="E3219" i="7"/>
  <c r="G3219" i="7"/>
  <c r="E3220" i="7"/>
  <c r="G3220" i="7"/>
  <c r="E3221" i="7"/>
  <c r="G3221" i="7"/>
  <c r="E3222" i="7"/>
  <c r="G3222" i="7"/>
  <c r="E3223" i="7"/>
  <c r="G3223" i="7"/>
  <c r="E3224" i="7"/>
  <c r="G3224" i="7"/>
  <c r="E3225" i="7"/>
  <c r="G3225" i="7"/>
  <c r="E3226" i="7"/>
  <c r="G3226" i="7"/>
  <c r="E3227" i="7"/>
  <c r="G3227" i="7"/>
  <c r="E3228" i="7"/>
  <c r="G3228" i="7"/>
  <c r="E3229" i="7"/>
  <c r="G3229" i="7"/>
  <c r="E3230" i="7"/>
  <c r="G3230" i="7"/>
  <c r="E3231" i="7"/>
  <c r="G3231" i="7"/>
  <c r="E3232" i="7"/>
  <c r="G3232" i="7"/>
  <c r="E3233" i="7"/>
  <c r="G3233" i="7"/>
  <c r="E3234" i="7"/>
  <c r="G3234" i="7"/>
  <c r="E3235" i="7"/>
  <c r="G3235" i="7"/>
  <c r="E3236" i="7"/>
  <c r="G3236" i="7"/>
  <c r="E3237" i="7"/>
  <c r="G3237" i="7"/>
  <c r="E3238" i="7"/>
  <c r="G3238" i="7"/>
  <c r="E3239" i="7"/>
  <c r="G3239" i="7"/>
  <c r="E3240" i="7"/>
  <c r="G3240" i="7"/>
  <c r="E3241" i="7"/>
  <c r="G3241" i="7"/>
  <c r="E3242" i="7"/>
  <c r="G3242" i="7"/>
  <c r="E3243" i="7"/>
  <c r="G3243" i="7"/>
  <c r="E3244" i="7"/>
  <c r="G3244" i="7"/>
  <c r="E3245" i="7"/>
  <c r="G3245" i="7"/>
  <c r="E3246" i="7"/>
  <c r="G3246" i="7"/>
  <c r="E3247" i="7"/>
  <c r="G3247" i="7"/>
  <c r="E3248" i="7"/>
  <c r="G3248" i="7"/>
  <c r="E3249" i="7"/>
  <c r="G3249" i="7"/>
  <c r="E3250" i="7"/>
  <c r="G3250" i="7"/>
  <c r="E3251" i="7"/>
  <c r="G3251" i="7"/>
  <c r="E3252" i="7"/>
  <c r="G3252" i="7"/>
  <c r="E3253" i="7"/>
  <c r="G3253" i="7"/>
  <c r="E3254" i="7"/>
  <c r="G3254" i="7"/>
  <c r="E3255" i="7"/>
  <c r="G3255" i="7"/>
  <c r="E3256" i="7"/>
  <c r="G3256" i="7"/>
  <c r="E3257" i="7"/>
  <c r="G3257" i="7"/>
  <c r="E3258" i="7"/>
  <c r="G3258" i="7"/>
  <c r="E3259" i="7"/>
  <c r="G3259" i="7"/>
  <c r="E3260" i="7"/>
  <c r="G3260" i="7"/>
  <c r="E3261" i="7"/>
  <c r="G3261" i="7"/>
  <c r="E3262" i="7"/>
  <c r="G3262" i="7"/>
  <c r="E3263" i="7"/>
  <c r="G3263" i="7"/>
  <c r="E3264" i="7"/>
  <c r="G3264" i="7"/>
  <c r="E3265" i="7"/>
  <c r="G3265" i="7"/>
  <c r="E3266" i="7"/>
  <c r="G3266" i="7"/>
  <c r="E3267" i="7"/>
  <c r="G3267" i="7"/>
  <c r="E3268" i="7"/>
  <c r="G3268" i="7"/>
  <c r="E3269" i="7"/>
  <c r="G3269" i="7"/>
  <c r="E3270" i="7"/>
  <c r="G3270" i="7"/>
  <c r="E3271" i="7"/>
  <c r="G3271" i="7"/>
  <c r="E3272" i="7"/>
  <c r="G3272" i="7"/>
  <c r="E3273" i="7"/>
  <c r="G3273" i="7"/>
  <c r="E3274" i="7"/>
  <c r="G3274" i="7"/>
  <c r="E3275" i="7"/>
  <c r="G3275" i="7"/>
  <c r="E3276" i="7"/>
  <c r="G3276" i="7"/>
  <c r="E3277" i="7"/>
  <c r="G3277" i="7"/>
  <c r="E3278" i="7"/>
  <c r="G3278" i="7"/>
  <c r="E3279" i="7"/>
  <c r="G3279" i="7"/>
  <c r="E3280" i="7"/>
  <c r="G3280" i="7"/>
  <c r="E3281" i="7"/>
  <c r="G3281" i="7"/>
  <c r="E3282" i="7"/>
  <c r="G3282" i="7"/>
  <c r="E3283" i="7"/>
  <c r="G3283" i="7"/>
  <c r="E3284" i="7"/>
  <c r="G3284" i="7"/>
  <c r="E3285" i="7"/>
  <c r="G3285" i="7"/>
  <c r="E3286" i="7"/>
  <c r="G3286" i="7"/>
  <c r="E3287" i="7"/>
  <c r="G3287" i="7"/>
  <c r="E3288" i="7"/>
  <c r="G3288" i="7"/>
  <c r="E3289" i="7"/>
  <c r="G3289" i="7"/>
  <c r="E3290" i="7"/>
  <c r="G3290" i="7"/>
  <c r="E3291" i="7"/>
  <c r="G3291" i="7"/>
  <c r="E3292" i="7"/>
  <c r="G3292" i="7"/>
  <c r="E3293" i="7"/>
  <c r="G3293" i="7"/>
  <c r="E3294" i="7"/>
  <c r="G3294" i="7"/>
  <c r="E3295" i="7"/>
  <c r="G3295" i="7"/>
  <c r="E3296" i="7"/>
  <c r="G3296" i="7"/>
  <c r="E3297" i="7"/>
  <c r="G3297" i="7"/>
  <c r="E3298" i="7"/>
  <c r="G3298" i="7"/>
  <c r="E3299" i="7"/>
  <c r="G3299" i="7"/>
  <c r="E3300" i="7"/>
  <c r="G3300" i="7"/>
  <c r="E3301" i="7"/>
  <c r="G3301" i="7"/>
  <c r="E3302" i="7"/>
  <c r="G3302" i="7"/>
  <c r="E3303" i="7"/>
  <c r="G3303" i="7"/>
  <c r="E3304" i="7"/>
  <c r="G3304" i="7"/>
  <c r="E3305" i="7"/>
  <c r="G3305" i="7"/>
  <c r="E3306" i="7"/>
  <c r="G3306" i="7"/>
  <c r="E3307" i="7"/>
  <c r="G3307" i="7"/>
  <c r="E3308" i="7"/>
  <c r="G3308" i="7"/>
  <c r="E3309" i="7"/>
  <c r="G3309" i="7"/>
  <c r="E3310" i="7"/>
  <c r="G3310" i="7"/>
  <c r="E3311" i="7"/>
  <c r="G3311" i="7"/>
  <c r="E3312" i="7"/>
  <c r="G3312" i="7"/>
  <c r="E3313" i="7"/>
  <c r="G3313" i="7"/>
  <c r="E3314" i="7"/>
  <c r="G3314" i="7"/>
  <c r="E3315" i="7"/>
  <c r="G3315" i="7"/>
  <c r="E3316" i="7"/>
  <c r="G3316" i="7"/>
  <c r="E3317" i="7"/>
  <c r="G3317" i="7"/>
  <c r="E3318" i="7"/>
  <c r="G3318" i="7"/>
  <c r="E3319" i="7"/>
  <c r="G3319" i="7"/>
  <c r="E3320" i="7"/>
  <c r="G3320" i="7"/>
  <c r="E3321" i="7"/>
  <c r="G3321" i="7"/>
  <c r="E3322" i="7"/>
  <c r="G3322" i="7"/>
  <c r="E3323" i="7"/>
  <c r="G3323" i="7"/>
  <c r="E3324" i="7"/>
  <c r="G3324" i="7"/>
  <c r="E3325" i="7"/>
  <c r="G3325" i="7"/>
  <c r="E3326" i="7"/>
  <c r="G3326" i="7"/>
  <c r="E3327" i="7"/>
  <c r="G3327" i="7"/>
  <c r="E3328" i="7"/>
  <c r="G3328" i="7"/>
  <c r="E3329" i="7"/>
  <c r="G3329" i="7"/>
  <c r="E3330" i="7"/>
  <c r="G3330" i="7"/>
  <c r="E3331" i="7"/>
  <c r="G3331" i="7"/>
  <c r="E3332" i="7"/>
  <c r="G3332" i="7"/>
  <c r="E3333" i="7"/>
  <c r="G3333" i="7"/>
  <c r="E3334" i="7"/>
  <c r="G3334" i="7"/>
  <c r="E3335" i="7"/>
  <c r="G3335" i="7"/>
  <c r="E3336" i="7"/>
  <c r="G3336" i="7"/>
  <c r="E3337" i="7"/>
  <c r="G3337" i="7"/>
  <c r="E3338" i="7"/>
  <c r="G3338" i="7"/>
  <c r="E3339" i="7"/>
  <c r="G3339" i="7"/>
  <c r="E3340" i="7"/>
  <c r="G3340" i="7"/>
  <c r="E3341" i="7"/>
  <c r="G3341" i="7"/>
  <c r="E3342" i="7"/>
  <c r="G3342" i="7"/>
  <c r="E3343" i="7"/>
  <c r="G3343" i="7"/>
  <c r="E3344" i="7"/>
  <c r="G3344" i="7"/>
  <c r="E3345" i="7"/>
  <c r="G3345" i="7"/>
  <c r="E3346" i="7"/>
  <c r="G3346" i="7"/>
  <c r="E3347" i="7"/>
  <c r="G3347" i="7"/>
  <c r="E3348" i="7"/>
  <c r="G3348" i="7"/>
  <c r="E3349" i="7"/>
  <c r="G3349" i="7"/>
  <c r="E3350" i="7"/>
  <c r="G3350" i="7"/>
  <c r="E3351" i="7"/>
  <c r="G3351" i="7"/>
  <c r="E3352" i="7"/>
  <c r="G3352" i="7"/>
  <c r="E3353" i="7"/>
  <c r="G3353" i="7"/>
  <c r="E3354" i="7"/>
  <c r="G3354" i="7"/>
  <c r="E3355" i="7"/>
  <c r="G3355" i="7"/>
  <c r="E3356" i="7"/>
  <c r="G3356" i="7"/>
  <c r="E3357" i="7"/>
  <c r="G3357" i="7"/>
  <c r="E3358" i="7"/>
  <c r="G3358" i="7"/>
  <c r="E3359" i="7"/>
  <c r="G3359" i="7"/>
  <c r="E3360" i="7"/>
  <c r="G3360" i="7"/>
  <c r="E3361" i="7"/>
  <c r="G3361" i="7"/>
  <c r="E3362" i="7"/>
  <c r="G3362" i="7"/>
  <c r="E3363" i="7"/>
  <c r="G3363" i="7"/>
  <c r="E3364" i="7"/>
  <c r="G3364" i="7"/>
  <c r="E3365" i="7"/>
  <c r="G3365" i="7"/>
  <c r="E3366" i="7"/>
  <c r="G3366" i="7"/>
  <c r="E3367" i="7"/>
  <c r="G3367" i="7"/>
  <c r="E3368" i="7"/>
  <c r="G3368" i="7"/>
  <c r="E3369" i="7"/>
  <c r="G3369" i="7"/>
  <c r="E3370" i="7"/>
  <c r="G3370" i="7"/>
  <c r="E3371" i="7"/>
  <c r="G3371" i="7"/>
  <c r="E3372" i="7"/>
  <c r="G3372" i="7"/>
  <c r="E3373" i="7"/>
  <c r="G3373" i="7"/>
  <c r="E3374" i="7"/>
  <c r="G3374" i="7"/>
  <c r="E3375" i="7"/>
  <c r="G3375" i="7"/>
  <c r="E3376" i="7"/>
  <c r="G3376" i="7"/>
  <c r="E3377" i="7"/>
  <c r="G3377" i="7"/>
  <c r="E3378" i="7"/>
  <c r="G3378" i="7"/>
  <c r="E3379" i="7"/>
  <c r="G3379" i="7"/>
  <c r="E3380" i="7"/>
  <c r="G3380" i="7"/>
  <c r="E3381" i="7"/>
  <c r="G3381" i="7"/>
  <c r="E3382" i="7"/>
  <c r="G3382" i="7"/>
  <c r="E3383" i="7"/>
  <c r="G3383" i="7"/>
  <c r="E3384" i="7"/>
  <c r="G3384" i="7"/>
  <c r="E3385" i="7"/>
  <c r="G3385" i="7"/>
  <c r="E3386" i="7"/>
  <c r="G3386" i="7"/>
  <c r="E3387" i="7"/>
  <c r="G3387" i="7"/>
  <c r="E3388" i="7"/>
  <c r="G3388" i="7"/>
  <c r="E3389" i="7"/>
  <c r="G3389" i="7"/>
  <c r="E3390" i="7"/>
  <c r="G3390" i="7"/>
  <c r="E3391" i="7"/>
  <c r="G3391" i="7"/>
  <c r="E3392" i="7"/>
  <c r="G3392" i="7"/>
  <c r="E3393" i="7"/>
  <c r="G3393" i="7"/>
  <c r="E3394" i="7"/>
  <c r="G3394" i="7"/>
  <c r="E3395" i="7"/>
  <c r="G3395" i="7"/>
  <c r="E3396" i="7"/>
  <c r="G3396" i="7"/>
  <c r="E3397" i="7"/>
  <c r="G3397" i="7"/>
  <c r="E3398" i="7"/>
  <c r="G3398" i="7"/>
  <c r="E3399" i="7"/>
  <c r="G3399" i="7"/>
  <c r="E3400" i="7"/>
  <c r="G3400" i="7"/>
  <c r="E3401" i="7"/>
  <c r="G3401" i="7"/>
  <c r="E3402" i="7"/>
  <c r="G3402" i="7"/>
  <c r="E3403" i="7"/>
  <c r="G3403" i="7"/>
  <c r="E3404" i="7"/>
  <c r="G3404" i="7"/>
  <c r="E3405" i="7"/>
  <c r="G3405" i="7"/>
  <c r="E3406" i="7"/>
  <c r="G3406" i="7"/>
  <c r="E3407" i="7"/>
  <c r="G3407" i="7"/>
  <c r="E3408" i="7"/>
  <c r="G3408" i="7"/>
  <c r="E3409" i="7"/>
  <c r="G3409" i="7"/>
  <c r="E3410" i="7"/>
  <c r="G3410" i="7"/>
  <c r="E3411" i="7"/>
  <c r="G3411" i="7"/>
  <c r="E3412" i="7"/>
  <c r="G3412" i="7"/>
  <c r="E3413" i="7"/>
  <c r="G3413" i="7"/>
  <c r="E3414" i="7"/>
  <c r="G3414" i="7"/>
  <c r="E3415" i="7"/>
  <c r="G3415" i="7"/>
  <c r="E3416" i="7"/>
  <c r="G3416" i="7"/>
  <c r="E3417" i="7"/>
  <c r="G3417" i="7"/>
  <c r="E3418" i="7"/>
  <c r="G3418" i="7"/>
  <c r="E3419" i="7"/>
  <c r="G3419" i="7"/>
  <c r="E3420" i="7"/>
  <c r="G3420" i="7"/>
  <c r="E3421" i="7"/>
  <c r="G3421" i="7"/>
  <c r="E3422" i="7"/>
  <c r="G3422" i="7"/>
  <c r="E3423" i="7"/>
  <c r="G3423" i="7"/>
  <c r="E3424" i="7"/>
  <c r="G3424" i="7"/>
  <c r="E3425" i="7"/>
  <c r="G3425" i="7"/>
  <c r="E3426" i="7"/>
  <c r="G3426" i="7"/>
  <c r="E3427" i="7"/>
  <c r="G3427" i="7"/>
  <c r="E3428" i="7"/>
  <c r="G3428" i="7"/>
  <c r="E3429" i="7"/>
  <c r="G3429" i="7"/>
  <c r="E3430" i="7"/>
  <c r="G3430" i="7"/>
  <c r="E3431" i="7"/>
  <c r="G3431" i="7"/>
  <c r="E3432" i="7"/>
  <c r="G3432" i="7"/>
  <c r="E3433" i="7"/>
  <c r="G3433" i="7"/>
  <c r="E3434" i="7"/>
  <c r="G3434" i="7"/>
  <c r="E3435" i="7"/>
  <c r="G3435" i="7"/>
  <c r="E3436" i="7"/>
  <c r="G3436" i="7"/>
  <c r="E3437" i="7"/>
  <c r="G3437" i="7"/>
  <c r="E3438" i="7"/>
  <c r="G3438" i="7"/>
  <c r="E3439" i="7"/>
  <c r="G3439" i="7"/>
  <c r="E3440" i="7"/>
  <c r="G3440" i="7"/>
  <c r="E3441" i="7"/>
  <c r="G3441" i="7"/>
  <c r="E3442" i="7"/>
  <c r="G3442" i="7"/>
  <c r="E3443" i="7"/>
  <c r="G3443" i="7"/>
  <c r="E3444" i="7"/>
  <c r="G3444" i="7"/>
  <c r="E3445" i="7"/>
  <c r="G3445" i="7"/>
  <c r="E3446" i="7"/>
  <c r="G3446" i="7"/>
  <c r="E3447" i="7"/>
  <c r="G3447" i="7"/>
  <c r="E3448" i="7"/>
  <c r="G3448" i="7"/>
  <c r="E3449" i="7"/>
  <c r="G3449" i="7"/>
  <c r="E3450" i="7"/>
  <c r="G3450" i="7"/>
  <c r="E3451" i="7"/>
  <c r="G3451" i="7"/>
  <c r="E3452" i="7"/>
  <c r="G3452" i="7"/>
  <c r="E3453" i="7"/>
  <c r="G3453" i="7"/>
  <c r="E3454" i="7"/>
  <c r="G3454" i="7"/>
  <c r="E3455" i="7"/>
  <c r="G3455" i="7"/>
  <c r="E3456" i="7"/>
  <c r="G3456" i="7"/>
  <c r="E3457" i="7"/>
  <c r="G3457" i="7"/>
  <c r="E3458" i="7"/>
  <c r="G3458" i="7"/>
  <c r="E3459" i="7"/>
  <c r="G3459" i="7"/>
  <c r="E3460" i="7"/>
  <c r="G3460" i="7"/>
  <c r="E3461" i="7"/>
  <c r="G3461" i="7"/>
  <c r="E3462" i="7"/>
  <c r="G3462" i="7"/>
  <c r="E3463" i="7"/>
  <c r="G3463" i="7"/>
  <c r="E3464" i="7"/>
  <c r="G3464" i="7"/>
  <c r="E3465" i="7"/>
  <c r="G3465" i="7"/>
  <c r="E3466" i="7"/>
  <c r="G3466" i="7"/>
  <c r="E3467" i="7"/>
  <c r="G3467" i="7"/>
  <c r="E3468" i="7"/>
  <c r="G3468" i="7"/>
  <c r="E3469" i="7"/>
  <c r="G3469" i="7"/>
  <c r="E3470" i="7"/>
  <c r="G3470" i="7"/>
  <c r="E3471" i="7"/>
  <c r="G3471" i="7"/>
  <c r="E3472" i="7"/>
  <c r="G3472" i="7"/>
  <c r="E3473" i="7"/>
  <c r="G3473" i="7"/>
  <c r="E3474" i="7"/>
  <c r="G3474" i="7"/>
  <c r="E3475" i="7"/>
  <c r="G3475" i="7"/>
  <c r="E3476" i="7"/>
  <c r="G3476" i="7"/>
  <c r="E3477" i="7"/>
  <c r="G3477" i="7"/>
  <c r="E3478" i="7"/>
  <c r="G3478" i="7"/>
  <c r="E3479" i="7"/>
  <c r="G3479" i="7"/>
  <c r="E3480" i="7"/>
  <c r="G3480" i="7"/>
  <c r="E3481" i="7"/>
  <c r="G3481" i="7"/>
  <c r="E3482" i="7"/>
  <c r="G3482" i="7"/>
  <c r="E3483" i="7"/>
  <c r="G3483" i="7"/>
  <c r="E3484" i="7"/>
  <c r="G3484" i="7"/>
  <c r="E3485" i="7"/>
  <c r="G3485" i="7"/>
  <c r="E3486" i="7"/>
  <c r="G3486" i="7"/>
  <c r="E3487" i="7"/>
  <c r="G3487" i="7"/>
  <c r="E3488" i="7"/>
  <c r="G3488" i="7"/>
  <c r="E3489" i="7"/>
  <c r="G3489" i="7"/>
  <c r="E3490" i="7"/>
  <c r="G3490" i="7"/>
  <c r="E3491" i="7"/>
  <c r="G3491" i="7"/>
  <c r="E3492" i="7"/>
  <c r="G3492" i="7"/>
  <c r="E3493" i="7"/>
  <c r="G3493" i="7"/>
  <c r="E3494" i="7"/>
  <c r="G3494" i="7"/>
  <c r="E3495" i="7"/>
  <c r="G3495" i="7"/>
  <c r="E3496" i="7"/>
  <c r="G3496" i="7"/>
  <c r="E3497" i="7"/>
  <c r="G3497" i="7"/>
  <c r="E3498" i="7"/>
  <c r="G3498" i="7"/>
  <c r="E3499" i="7"/>
  <c r="G3499" i="7"/>
  <c r="E3500" i="7"/>
  <c r="G3500" i="7"/>
  <c r="E3501" i="7"/>
  <c r="G3501" i="7"/>
  <c r="E3502" i="7"/>
  <c r="G3502" i="7"/>
  <c r="E3503" i="7"/>
  <c r="G3503" i="7"/>
  <c r="E3504" i="7"/>
  <c r="G3504" i="7"/>
  <c r="E3505" i="7"/>
  <c r="G3505" i="7"/>
  <c r="E3506" i="7"/>
  <c r="G3506" i="7"/>
  <c r="E3507" i="7"/>
  <c r="G3507" i="7"/>
  <c r="E3508" i="7"/>
  <c r="G3508" i="7"/>
  <c r="E3509" i="7"/>
  <c r="G3509" i="7"/>
  <c r="E3510" i="7"/>
  <c r="G3510" i="7"/>
  <c r="E3511" i="7"/>
  <c r="G3511" i="7"/>
  <c r="E3512" i="7"/>
  <c r="G3512" i="7"/>
  <c r="E3513" i="7"/>
  <c r="G3513" i="7"/>
  <c r="E3514" i="7"/>
  <c r="G3514" i="7"/>
  <c r="E3515" i="7"/>
  <c r="G3515" i="7"/>
  <c r="E3516" i="7"/>
  <c r="G3516" i="7"/>
  <c r="E3517" i="7"/>
  <c r="G3517" i="7"/>
  <c r="E3518" i="7"/>
  <c r="G3518" i="7"/>
  <c r="E3519" i="7"/>
  <c r="G3519" i="7"/>
  <c r="E3520" i="7"/>
  <c r="G3520" i="7"/>
  <c r="E3521" i="7"/>
  <c r="G3521" i="7"/>
  <c r="E3522" i="7"/>
  <c r="G3522" i="7"/>
  <c r="E3523" i="7"/>
  <c r="G3523" i="7"/>
  <c r="E3524" i="7"/>
  <c r="G3524" i="7"/>
  <c r="E3525" i="7"/>
  <c r="G3525" i="7"/>
  <c r="E3526" i="7"/>
  <c r="G3526" i="7"/>
  <c r="E3527" i="7"/>
  <c r="G3527" i="7"/>
  <c r="E3528" i="7"/>
  <c r="G3528" i="7"/>
  <c r="E3529" i="7"/>
  <c r="G3529" i="7"/>
  <c r="E3530" i="7"/>
  <c r="G3530" i="7"/>
  <c r="E3531" i="7"/>
  <c r="G3531" i="7"/>
  <c r="E3532" i="7"/>
  <c r="G3532" i="7"/>
  <c r="E3533" i="7"/>
  <c r="G3533" i="7"/>
  <c r="E3534" i="7"/>
  <c r="G3534" i="7"/>
  <c r="E3535" i="7"/>
  <c r="G3535" i="7"/>
  <c r="E3536" i="7"/>
  <c r="G3536" i="7"/>
  <c r="E3537" i="7"/>
  <c r="G3537" i="7"/>
  <c r="E3538" i="7"/>
  <c r="G3538" i="7"/>
  <c r="E3539" i="7"/>
  <c r="G3539" i="7"/>
  <c r="E3540" i="7"/>
  <c r="G3540" i="7"/>
  <c r="E3541" i="7"/>
  <c r="G3541" i="7"/>
  <c r="E3542" i="7"/>
  <c r="G3542" i="7"/>
  <c r="E3543" i="7"/>
  <c r="G3543" i="7"/>
  <c r="E3544" i="7"/>
  <c r="G3544" i="7"/>
  <c r="E3545" i="7"/>
  <c r="G3545" i="7"/>
  <c r="E3546" i="7"/>
  <c r="G3546" i="7"/>
  <c r="E3547" i="7"/>
  <c r="G3547" i="7"/>
  <c r="E3548" i="7"/>
  <c r="G3548" i="7"/>
  <c r="E3549" i="7"/>
  <c r="G3549" i="7"/>
  <c r="E3550" i="7"/>
  <c r="G3550" i="7"/>
  <c r="E3551" i="7"/>
  <c r="G3551" i="7"/>
  <c r="E3552" i="7"/>
  <c r="G3552" i="7"/>
  <c r="E3553" i="7"/>
  <c r="G3553" i="7"/>
  <c r="E3554" i="7"/>
  <c r="G3554" i="7"/>
  <c r="E3555" i="7"/>
  <c r="G3555" i="7"/>
  <c r="E3556" i="7"/>
  <c r="G3556" i="7"/>
  <c r="E3557" i="7"/>
  <c r="G3557" i="7"/>
  <c r="E3558" i="7"/>
  <c r="G3558" i="7"/>
  <c r="E3559" i="7"/>
  <c r="G3559" i="7"/>
  <c r="E3560" i="7"/>
  <c r="G3560" i="7"/>
  <c r="E3561" i="7"/>
  <c r="G3561" i="7"/>
  <c r="E3562" i="7"/>
  <c r="G3562" i="7"/>
  <c r="E3563" i="7"/>
  <c r="G3563" i="7"/>
  <c r="E3564" i="7"/>
  <c r="G3564" i="7"/>
  <c r="E3565" i="7"/>
  <c r="G3565" i="7"/>
  <c r="E3566" i="7"/>
  <c r="G3566" i="7"/>
  <c r="E3567" i="7"/>
  <c r="G3567" i="7"/>
  <c r="E3568" i="7"/>
  <c r="G3568" i="7"/>
  <c r="E3569" i="7"/>
  <c r="G3569" i="7"/>
  <c r="E3570" i="7"/>
  <c r="G3570" i="7"/>
  <c r="E3571" i="7"/>
  <c r="G3571" i="7"/>
  <c r="E3572" i="7"/>
  <c r="G3572" i="7"/>
  <c r="E3573" i="7"/>
  <c r="G3573" i="7"/>
  <c r="E3574" i="7"/>
  <c r="G3574" i="7"/>
  <c r="E3575" i="7"/>
  <c r="G3575" i="7"/>
  <c r="E3576" i="7"/>
  <c r="G3576" i="7"/>
  <c r="E3577" i="7"/>
  <c r="G3577" i="7"/>
  <c r="E3578" i="7"/>
  <c r="G3578" i="7"/>
  <c r="E3579" i="7"/>
  <c r="G3579" i="7"/>
  <c r="E3580" i="7"/>
  <c r="G3580" i="7"/>
  <c r="E3581" i="7"/>
  <c r="G3581" i="7"/>
  <c r="E3582" i="7"/>
  <c r="G3582" i="7"/>
  <c r="E3583" i="7"/>
  <c r="G3583" i="7"/>
  <c r="E3584" i="7"/>
  <c r="G3584" i="7"/>
  <c r="E3585" i="7"/>
  <c r="G3585" i="7"/>
  <c r="E3586" i="7"/>
  <c r="G3586" i="7"/>
  <c r="E3587" i="7"/>
  <c r="G3587" i="7"/>
  <c r="E3588" i="7"/>
  <c r="G3588" i="7"/>
  <c r="E3589" i="7"/>
  <c r="G3589" i="7"/>
  <c r="E3590" i="7"/>
  <c r="G3590" i="7"/>
  <c r="E3591" i="7"/>
  <c r="G3591" i="7"/>
  <c r="E3592" i="7"/>
  <c r="G3592" i="7"/>
  <c r="E3593" i="7"/>
  <c r="G3593" i="7"/>
  <c r="E3594" i="7"/>
  <c r="G3594" i="7"/>
  <c r="E3595" i="7"/>
  <c r="G3595" i="7"/>
  <c r="E3596" i="7"/>
  <c r="G3596" i="7"/>
  <c r="E3597" i="7"/>
  <c r="G3597" i="7"/>
  <c r="E3598" i="7"/>
  <c r="G3598" i="7"/>
  <c r="E3599" i="7"/>
  <c r="G3599" i="7"/>
  <c r="E3600" i="7"/>
  <c r="G3600" i="7"/>
  <c r="E3601" i="7"/>
  <c r="G3601" i="7"/>
  <c r="E3602" i="7"/>
  <c r="G3602" i="7"/>
  <c r="E3603" i="7"/>
  <c r="G3603" i="7"/>
  <c r="E3604" i="7"/>
  <c r="G3604" i="7"/>
  <c r="E3605" i="7"/>
  <c r="G3605" i="7"/>
  <c r="E3606" i="7"/>
  <c r="G3606" i="7"/>
  <c r="E3607" i="7"/>
  <c r="G3607" i="7"/>
  <c r="E3608" i="7"/>
  <c r="G3608" i="7"/>
  <c r="E3609" i="7"/>
  <c r="G3609" i="7"/>
  <c r="E3610" i="7"/>
  <c r="G3610" i="7"/>
  <c r="E3611" i="7"/>
  <c r="G3611" i="7"/>
  <c r="E3612" i="7"/>
  <c r="G3612" i="7"/>
  <c r="E3613" i="7"/>
  <c r="G3613" i="7"/>
  <c r="E3614" i="7"/>
  <c r="G3614" i="7"/>
  <c r="E3615" i="7"/>
  <c r="G3615" i="7"/>
  <c r="E3616" i="7"/>
  <c r="G3616" i="7"/>
  <c r="E3617" i="7"/>
  <c r="G3617" i="7"/>
  <c r="E3618" i="7"/>
  <c r="G3618" i="7"/>
  <c r="E3619" i="7"/>
  <c r="G3619" i="7"/>
  <c r="E3620" i="7"/>
  <c r="G3620" i="7"/>
  <c r="E3621" i="7"/>
  <c r="G3621" i="7"/>
  <c r="E3622" i="7"/>
  <c r="G3622" i="7"/>
  <c r="E3623" i="7"/>
  <c r="G3623" i="7"/>
  <c r="E3624" i="7"/>
  <c r="G3624" i="7"/>
  <c r="E3625" i="7"/>
  <c r="G3625" i="7"/>
  <c r="E3626" i="7"/>
  <c r="G3626" i="7"/>
  <c r="E3627" i="7"/>
  <c r="G3627" i="7"/>
  <c r="E3628" i="7"/>
  <c r="G3628" i="7"/>
  <c r="E3629" i="7"/>
  <c r="G3629" i="7"/>
  <c r="E3630" i="7"/>
  <c r="G3630" i="7"/>
  <c r="E3631" i="7"/>
  <c r="G3631" i="7"/>
  <c r="E3632" i="7"/>
  <c r="G3632" i="7"/>
  <c r="E3633" i="7"/>
  <c r="G3633" i="7"/>
  <c r="E3634" i="7"/>
  <c r="G3634" i="7"/>
  <c r="E3635" i="7"/>
  <c r="G3635" i="7"/>
  <c r="E3636" i="7"/>
  <c r="G3636" i="7"/>
  <c r="E3637" i="7"/>
  <c r="G3637" i="7"/>
  <c r="E3638" i="7"/>
  <c r="G3638" i="7"/>
  <c r="E3639" i="7"/>
  <c r="G3639" i="7"/>
  <c r="E3640" i="7"/>
  <c r="G3640" i="7"/>
  <c r="E3641" i="7"/>
  <c r="G3641" i="7"/>
  <c r="E3642" i="7"/>
  <c r="G3642" i="7"/>
  <c r="E3643" i="7"/>
  <c r="G3643" i="7"/>
  <c r="E3644" i="7"/>
  <c r="G3644" i="7"/>
  <c r="E3645" i="7"/>
  <c r="G3645" i="7"/>
  <c r="E3646" i="7"/>
  <c r="G3646" i="7"/>
  <c r="E3647" i="7"/>
  <c r="G3647" i="7"/>
  <c r="E3648" i="7"/>
  <c r="G3648" i="7"/>
  <c r="E3649" i="7"/>
  <c r="G3649" i="7"/>
  <c r="E3650" i="7"/>
  <c r="G3650" i="7"/>
  <c r="E3651" i="7"/>
  <c r="G3651" i="7"/>
  <c r="E3652" i="7"/>
  <c r="G3652" i="7"/>
  <c r="E3653" i="7"/>
  <c r="G3653" i="7"/>
  <c r="E3654" i="7"/>
  <c r="G3654" i="7"/>
  <c r="E3655" i="7"/>
  <c r="G3655" i="7"/>
  <c r="E3656" i="7"/>
  <c r="G3656" i="7"/>
  <c r="E3657" i="7"/>
  <c r="G3657" i="7"/>
  <c r="E3658" i="7"/>
  <c r="G3658" i="7"/>
  <c r="E3659" i="7"/>
  <c r="G3659" i="7"/>
  <c r="E3660" i="7"/>
  <c r="G3660" i="7"/>
  <c r="E3661" i="7"/>
  <c r="G3661" i="7"/>
  <c r="E3662" i="7"/>
  <c r="G3662" i="7"/>
  <c r="E3663" i="7"/>
  <c r="G3663" i="7"/>
  <c r="E3664" i="7"/>
  <c r="G3664" i="7"/>
  <c r="E3665" i="7"/>
  <c r="G3665" i="7"/>
  <c r="E3666" i="7"/>
  <c r="G3666" i="7"/>
  <c r="E3667" i="7"/>
  <c r="G3667" i="7"/>
  <c r="E3668" i="7"/>
  <c r="G3668" i="7"/>
  <c r="E3669" i="7"/>
  <c r="G3669" i="7"/>
  <c r="E3670" i="7"/>
  <c r="G3670" i="7"/>
  <c r="E3671" i="7"/>
  <c r="G3671" i="7"/>
  <c r="E3672" i="7"/>
  <c r="G3672" i="7"/>
  <c r="E3673" i="7"/>
  <c r="G3673" i="7"/>
  <c r="E3674" i="7"/>
  <c r="G3674" i="7"/>
  <c r="E3675" i="7"/>
  <c r="G3675" i="7"/>
  <c r="E3676" i="7"/>
  <c r="G3676" i="7"/>
  <c r="E3677" i="7"/>
  <c r="G3677" i="7"/>
  <c r="E3678" i="7"/>
  <c r="G3678" i="7"/>
  <c r="E3679" i="7"/>
  <c r="G3679" i="7"/>
  <c r="E3680" i="7"/>
  <c r="G3680" i="7"/>
  <c r="E3681" i="7"/>
  <c r="G3681" i="7"/>
  <c r="E3682" i="7"/>
  <c r="G3682" i="7"/>
  <c r="E3683" i="7"/>
  <c r="G3683" i="7"/>
  <c r="E3684" i="7"/>
  <c r="G3684" i="7"/>
  <c r="E3685" i="7"/>
  <c r="G3685" i="7"/>
  <c r="E3686" i="7"/>
  <c r="G3686" i="7"/>
  <c r="E3687" i="7"/>
  <c r="G3687" i="7"/>
  <c r="E3688" i="7"/>
  <c r="G3688" i="7"/>
  <c r="E3689" i="7"/>
  <c r="G3689" i="7"/>
  <c r="E3690" i="7"/>
  <c r="G3690" i="7"/>
  <c r="E3691" i="7"/>
  <c r="G3691" i="7"/>
  <c r="E3692" i="7"/>
  <c r="G3692" i="7"/>
  <c r="E3693" i="7"/>
  <c r="G3693" i="7"/>
  <c r="E3694" i="7"/>
  <c r="G3694" i="7"/>
  <c r="E3695" i="7"/>
  <c r="G3695" i="7"/>
  <c r="E3696" i="7"/>
  <c r="G3696" i="7"/>
  <c r="E3697" i="7"/>
  <c r="G3697" i="7"/>
  <c r="E3698" i="7"/>
  <c r="G3698" i="7"/>
  <c r="E3699" i="7"/>
  <c r="G3699" i="7"/>
  <c r="E3700" i="7"/>
  <c r="G3700" i="7"/>
  <c r="E3701" i="7"/>
  <c r="G3701" i="7"/>
  <c r="E3702" i="7"/>
  <c r="G3702" i="7"/>
  <c r="E3703" i="7"/>
  <c r="G3703" i="7"/>
  <c r="E3704" i="7"/>
  <c r="G3704" i="7"/>
  <c r="E3705" i="7"/>
  <c r="G3705" i="7"/>
  <c r="E3706" i="7"/>
  <c r="G3706" i="7"/>
  <c r="E3707" i="7"/>
  <c r="G3707" i="7"/>
  <c r="E3708" i="7"/>
  <c r="G3708" i="7"/>
  <c r="E3709" i="7"/>
  <c r="G3709" i="7"/>
  <c r="E3710" i="7"/>
  <c r="G3710" i="7"/>
  <c r="E3711" i="7"/>
  <c r="G3711" i="7"/>
  <c r="E3712" i="7"/>
  <c r="G3712" i="7"/>
  <c r="E3713" i="7"/>
  <c r="G3713" i="7"/>
  <c r="E3714" i="7"/>
  <c r="G3714" i="7"/>
  <c r="E3715" i="7"/>
  <c r="G3715" i="7"/>
  <c r="E3716" i="7"/>
  <c r="G3716" i="7"/>
  <c r="E3717" i="7"/>
  <c r="G3717" i="7"/>
  <c r="E3718" i="7"/>
  <c r="G3718" i="7"/>
  <c r="E3719" i="7"/>
  <c r="G3719" i="7"/>
  <c r="E3720" i="7"/>
  <c r="G3720" i="7"/>
  <c r="E3721" i="7"/>
  <c r="G3721" i="7"/>
  <c r="E3722" i="7"/>
  <c r="G3722" i="7"/>
  <c r="E3723" i="7"/>
  <c r="G3723" i="7"/>
  <c r="E3724" i="7"/>
  <c r="G3724" i="7"/>
  <c r="E3725" i="7"/>
  <c r="G3725" i="7"/>
  <c r="E3726" i="7"/>
  <c r="G3726" i="7"/>
  <c r="E3727" i="7"/>
  <c r="G3727" i="7"/>
  <c r="E3728" i="7"/>
  <c r="G3728" i="7"/>
  <c r="E3729" i="7"/>
  <c r="G3729" i="7"/>
  <c r="E3730" i="7"/>
  <c r="G3730" i="7"/>
  <c r="E3731" i="7"/>
  <c r="G3731" i="7"/>
  <c r="E3732" i="7"/>
  <c r="G3732" i="7"/>
  <c r="E3733" i="7"/>
  <c r="G3733" i="7"/>
  <c r="E3734" i="7"/>
  <c r="G3734" i="7"/>
  <c r="E3735" i="7"/>
  <c r="G3735" i="7"/>
  <c r="E3736" i="7"/>
  <c r="G3736" i="7"/>
  <c r="E3737" i="7"/>
  <c r="G3737" i="7"/>
  <c r="E3738" i="7"/>
  <c r="G3738" i="7"/>
  <c r="E3739" i="7"/>
  <c r="G3739" i="7"/>
  <c r="E3740" i="7"/>
  <c r="G3740" i="7"/>
  <c r="E3741" i="7"/>
  <c r="G3741" i="7"/>
  <c r="E3742" i="7"/>
  <c r="G3742" i="7"/>
  <c r="E3743" i="7"/>
  <c r="G3743" i="7"/>
  <c r="E3744" i="7"/>
  <c r="G3744" i="7"/>
  <c r="E3745" i="7"/>
  <c r="G3745" i="7"/>
  <c r="E3746" i="7"/>
  <c r="G3746" i="7"/>
  <c r="E3747" i="7"/>
  <c r="G3747" i="7"/>
  <c r="E3748" i="7"/>
  <c r="G3748" i="7"/>
  <c r="E3749" i="7"/>
  <c r="G3749" i="7"/>
  <c r="E3750" i="7"/>
  <c r="G3750" i="7"/>
  <c r="E3751" i="7"/>
  <c r="G3751" i="7"/>
  <c r="E3752" i="7"/>
  <c r="G3752" i="7"/>
  <c r="E3753" i="7"/>
  <c r="G3753" i="7"/>
  <c r="E3754" i="7"/>
  <c r="G3754" i="7"/>
  <c r="E3755" i="7"/>
  <c r="G3755" i="7"/>
  <c r="E3756" i="7"/>
  <c r="G3756" i="7"/>
  <c r="E3757" i="7"/>
  <c r="G3757" i="7"/>
  <c r="E3758" i="7"/>
  <c r="G3758" i="7"/>
  <c r="E3759" i="7"/>
  <c r="G3759" i="7"/>
  <c r="E3760" i="7"/>
  <c r="G3760" i="7"/>
  <c r="E3761" i="7"/>
  <c r="G3761" i="7"/>
  <c r="E3762" i="7"/>
  <c r="G3762" i="7"/>
  <c r="E3763" i="7"/>
  <c r="G3763" i="7"/>
  <c r="E3764" i="7"/>
  <c r="G3764" i="7"/>
  <c r="E3765" i="7"/>
  <c r="G3765" i="7"/>
  <c r="E3766" i="7"/>
  <c r="G3766" i="7"/>
  <c r="E3767" i="7"/>
  <c r="G3767" i="7"/>
  <c r="E3768" i="7"/>
  <c r="G3768" i="7"/>
  <c r="E3769" i="7"/>
  <c r="G3769" i="7"/>
  <c r="E3770" i="7"/>
  <c r="G3770" i="7"/>
  <c r="E3771" i="7"/>
  <c r="G3771" i="7"/>
  <c r="E3772" i="7"/>
  <c r="G3772" i="7"/>
  <c r="E3773" i="7"/>
  <c r="G3773" i="7"/>
  <c r="E3774" i="7"/>
  <c r="G3774" i="7"/>
  <c r="E3775" i="7"/>
  <c r="G3775" i="7"/>
  <c r="E3776" i="7"/>
  <c r="G3776" i="7"/>
  <c r="E3777" i="7"/>
  <c r="G3777" i="7"/>
  <c r="E3778" i="7"/>
  <c r="G3778" i="7"/>
  <c r="E3779" i="7"/>
  <c r="G3779" i="7"/>
  <c r="E3780" i="7"/>
  <c r="G3780" i="7"/>
  <c r="E3781" i="7"/>
  <c r="G3781" i="7"/>
  <c r="E3782" i="7"/>
  <c r="G3782" i="7"/>
  <c r="E3783" i="7"/>
  <c r="G3783" i="7"/>
  <c r="E3784" i="7"/>
  <c r="G3784" i="7"/>
  <c r="E3785" i="7"/>
  <c r="G3785" i="7"/>
  <c r="E3786" i="7"/>
  <c r="G3786" i="7"/>
  <c r="E3787" i="7"/>
  <c r="G3787" i="7"/>
  <c r="E3788" i="7"/>
  <c r="G3788" i="7"/>
  <c r="E3789" i="7"/>
  <c r="G3789" i="7"/>
  <c r="E3790" i="7"/>
  <c r="G3790" i="7"/>
  <c r="E3791" i="7"/>
  <c r="G3791" i="7"/>
  <c r="E3792" i="7"/>
  <c r="G3792" i="7"/>
  <c r="E3793" i="7"/>
  <c r="G3793" i="7"/>
  <c r="E3794" i="7"/>
  <c r="G3794" i="7"/>
  <c r="E3795" i="7"/>
  <c r="G3795" i="7"/>
  <c r="E3796" i="7"/>
  <c r="G3796" i="7"/>
  <c r="E3797" i="7"/>
  <c r="G3797" i="7"/>
  <c r="E3798" i="7"/>
  <c r="G3798" i="7"/>
  <c r="E3799" i="7"/>
  <c r="G3799" i="7"/>
  <c r="E3800" i="7"/>
  <c r="G3800" i="7"/>
  <c r="E3801" i="7"/>
  <c r="G3801" i="7"/>
  <c r="E3802" i="7"/>
  <c r="G3802" i="7"/>
  <c r="E3803" i="7"/>
  <c r="G3803" i="7"/>
  <c r="E3804" i="7"/>
  <c r="G3804" i="7"/>
  <c r="E3805" i="7"/>
  <c r="G3805" i="7"/>
  <c r="E3806" i="7"/>
  <c r="G3806" i="7"/>
  <c r="E3807" i="7"/>
  <c r="G3807" i="7"/>
  <c r="E3808" i="7"/>
  <c r="G3808" i="7"/>
  <c r="E3809" i="7"/>
  <c r="G3809" i="7"/>
  <c r="E3810" i="7"/>
  <c r="G3810" i="7"/>
  <c r="E3811" i="7"/>
  <c r="G3811" i="7"/>
  <c r="E3812" i="7"/>
  <c r="G3812" i="7"/>
  <c r="E3813" i="7"/>
  <c r="G3813" i="7"/>
  <c r="E3814" i="7"/>
  <c r="G3814" i="7"/>
  <c r="E3815" i="7"/>
  <c r="G3815" i="7"/>
  <c r="E3816" i="7"/>
  <c r="G3816" i="7"/>
  <c r="E3817" i="7"/>
  <c r="G3817" i="7"/>
  <c r="E3818" i="7"/>
  <c r="G3818" i="7"/>
  <c r="E3819" i="7"/>
  <c r="G3819" i="7"/>
  <c r="E3820" i="7"/>
  <c r="G3820" i="7"/>
  <c r="E3821" i="7"/>
  <c r="G3821" i="7"/>
  <c r="E3822" i="7"/>
  <c r="G3822" i="7"/>
  <c r="E3823" i="7"/>
  <c r="G3823" i="7"/>
  <c r="E3824" i="7"/>
  <c r="G3824" i="7"/>
  <c r="E3825" i="7"/>
  <c r="G3825" i="7"/>
  <c r="E3826" i="7"/>
  <c r="G3826" i="7"/>
  <c r="E3827" i="7"/>
  <c r="G3827" i="7"/>
  <c r="E3828" i="7"/>
  <c r="G3828" i="7"/>
  <c r="E3829" i="7"/>
  <c r="G3829" i="7"/>
  <c r="E3830" i="7"/>
  <c r="G3830" i="7"/>
  <c r="E3831" i="7"/>
  <c r="G3831" i="7"/>
  <c r="E3832" i="7"/>
  <c r="G3832" i="7"/>
  <c r="E3833" i="7"/>
  <c r="G3833" i="7"/>
  <c r="E3834" i="7"/>
  <c r="G3834" i="7"/>
  <c r="E3835" i="7"/>
  <c r="G3835" i="7"/>
  <c r="E3836" i="7"/>
  <c r="G3836" i="7"/>
  <c r="E3837" i="7"/>
  <c r="G3837" i="7"/>
  <c r="E3838" i="7"/>
  <c r="G3838" i="7"/>
  <c r="E3839" i="7"/>
  <c r="G3839" i="7"/>
  <c r="E3840" i="7"/>
  <c r="G3840" i="7"/>
  <c r="E3841" i="7"/>
  <c r="G3841" i="7"/>
  <c r="E3842" i="7"/>
  <c r="G3842" i="7"/>
  <c r="E3843" i="7"/>
  <c r="G3843" i="7"/>
  <c r="E3844" i="7"/>
  <c r="G3844" i="7"/>
  <c r="E3845" i="7"/>
  <c r="G3845" i="7"/>
  <c r="E3846" i="7"/>
  <c r="G3846" i="7"/>
  <c r="E3847" i="7"/>
  <c r="G3847" i="7"/>
  <c r="E3848" i="7"/>
  <c r="G3848" i="7"/>
  <c r="E3849" i="7"/>
  <c r="G3849" i="7"/>
  <c r="E3850" i="7"/>
  <c r="G3850" i="7"/>
  <c r="E3851" i="7"/>
  <c r="G3851" i="7"/>
  <c r="E3852" i="7"/>
  <c r="G3852" i="7"/>
  <c r="E3853" i="7"/>
  <c r="G3853" i="7"/>
  <c r="E3854" i="7"/>
  <c r="G3854" i="7"/>
  <c r="E3855" i="7"/>
  <c r="G3855" i="7"/>
  <c r="E3856" i="7"/>
  <c r="G3856" i="7"/>
  <c r="E3857" i="7"/>
  <c r="G3857" i="7"/>
  <c r="E3858" i="7"/>
  <c r="G3858" i="7"/>
  <c r="E3859" i="7"/>
  <c r="G3859" i="7"/>
  <c r="E3860" i="7"/>
  <c r="G3860" i="7"/>
  <c r="E3861" i="7"/>
  <c r="G3861" i="7"/>
  <c r="E3862" i="7"/>
  <c r="G3862" i="7"/>
  <c r="E3863" i="7"/>
  <c r="G3863" i="7"/>
  <c r="E3864" i="7"/>
  <c r="G3864" i="7"/>
  <c r="E3865" i="7"/>
  <c r="G3865" i="7"/>
  <c r="E3866" i="7"/>
  <c r="G3866" i="7"/>
  <c r="E3867" i="7"/>
  <c r="G3867" i="7"/>
  <c r="E3868" i="7"/>
  <c r="G3868" i="7"/>
  <c r="E3869" i="7"/>
  <c r="G3869" i="7"/>
  <c r="E3870" i="7"/>
  <c r="G3870" i="7"/>
  <c r="E3871" i="7"/>
  <c r="G3871" i="7"/>
  <c r="E3872" i="7"/>
  <c r="G3872" i="7"/>
  <c r="E3873" i="7"/>
  <c r="G3873" i="7"/>
  <c r="E3874" i="7"/>
  <c r="G3874" i="7"/>
  <c r="E3875" i="7"/>
  <c r="G3875" i="7"/>
  <c r="E3876" i="7"/>
  <c r="G3876" i="7"/>
  <c r="E3877" i="7"/>
  <c r="G3877" i="7"/>
  <c r="E3878" i="7"/>
  <c r="G3878" i="7"/>
  <c r="E3879" i="7"/>
  <c r="G3879" i="7"/>
  <c r="E3880" i="7"/>
  <c r="G3880" i="7"/>
  <c r="E3881" i="7"/>
  <c r="G3881" i="7"/>
  <c r="E3882" i="7"/>
  <c r="G3882" i="7"/>
  <c r="E3883" i="7"/>
  <c r="G3883" i="7"/>
  <c r="E3884" i="7"/>
  <c r="G3884" i="7"/>
  <c r="E3885" i="7"/>
  <c r="G3885" i="7"/>
  <c r="E3886" i="7"/>
  <c r="G3886" i="7"/>
  <c r="E3887" i="7"/>
  <c r="G3887" i="7"/>
  <c r="E3888" i="7"/>
  <c r="G3888" i="7"/>
  <c r="E3889" i="7"/>
  <c r="G3889" i="7"/>
  <c r="E3890" i="7"/>
  <c r="G3890" i="7"/>
  <c r="E3891" i="7"/>
  <c r="G3891" i="7"/>
  <c r="E3892" i="7"/>
  <c r="G3892" i="7"/>
  <c r="E3893" i="7"/>
  <c r="G3893" i="7"/>
  <c r="E3894" i="7"/>
  <c r="G3894" i="7"/>
  <c r="E3895" i="7"/>
  <c r="G3895" i="7"/>
  <c r="E3896" i="7"/>
  <c r="G3896" i="7"/>
  <c r="E3897" i="7"/>
  <c r="G3897" i="7"/>
  <c r="E3898" i="7"/>
  <c r="G3898" i="7"/>
  <c r="E3899" i="7"/>
  <c r="G3899" i="7"/>
  <c r="E3900" i="7"/>
  <c r="G3900" i="7"/>
  <c r="E3901" i="7"/>
  <c r="G3901" i="7"/>
  <c r="E3902" i="7"/>
  <c r="G3902" i="7"/>
  <c r="E3903" i="7"/>
  <c r="G3903" i="7"/>
  <c r="E3904" i="7"/>
  <c r="G3904" i="7"/>
  <c r="E3905" i="7"/>
  <c r="G3905" i="7"/>
  <c r="E3906" i="7"/>
  <c r="G3906" i="7"/>
  <c r="E3907" i="7"/>
  <c r="G3907" i="7"/>
  <c r="E3908" i="7"/>
  <c r="G3908" i="7"/>
  <c r="E3909" i="7"/>
  <c r="G3909" i="7"/>
  <c r="E3910" i="7"/>
  <c r="G3910" i="7"/>
  <c r="E3911" i="7"/>
  <c r="G3911" i="7"/>
  <c r="E3912" i="7"/>
  <c r="G3912" i="7"/>
  <c r="E3913" i="7"/>
  <c r="G3913" i="7"/>
  <c r="E3914" i="7"/>
  <c r="G3914" i="7"/>
  <c r="E3915" i="7"/>
  <c r="G3915" i="7"/>
  <c r="E3916" i="7"/>
  <c r="G3916" i="7"/>
  <c r="E3917" i="7"/>
  <c r="G3917" i="7"/>
  <c r="E3918" i="7"/>
  <c r="G3918" i="7"/>
  <c r="E3919" i="7"/>
  <c r="G3919" i="7"/>
  <c r="E3920" i="7"/>
  <c r="G3920" i="7"/>
  <c r="E3921" i="7"/>
  <c r="G3921" i="7"/>
  <c r="E3922" i="7"/>
  <c r="G3922" i="7"/>
  <c r="E3923" i="7"/>
  <c r="G3923" i="7"/>
  <c r="E3924" i="7"/>
  <c r="G3924" i="7"/>
  <c r="E3925" i="7"/>
  <c r="G3925" i="7"/>
  <c r="E3926" i="7"/>
  <c r="G3926" i="7"/>
  <c r="E3927" i="7"/>
  <c r="G3927" i="7"/>
  <c r="E3928" i="7"/>
  <c r="G3928" i="7"/>
  <c r="E3929" i="7"/>
  <c r="G3929" i="7"/>
  <c r="E3930" i="7"/>
  <c r="G3930" i="7"/>
  <c r="E3931" i="7"/>
  <c r="G3931" i="7"/>
  <c r="E3932" i="7"/>
  <c r="G3932" i="7"/>
  <c r="E3933" i="7"/>
  <c r="G3933" i="7"/>
  <c r="E3934" i="7"/>
  <c r="G3934" i="7"/>
  <c r="E3935" i="7"/>
  <c r="G3935" i="7"/>
  <c r="E3936" i="7"/>
  <c r="G3936" i="7"/>
  <c r="E3937" i="7"/>
  <c r="G3937" i="7"/>
  <c r="E3938" i="7"/>
  <c r="G3938" i="7"/>
  <c r="E3939" i="7"/>
  <c r="G3939" i="7"/>
  <c r="E3940" i="7"/>
  <c r="G3940" i="7"/>
  <c r="E3941" i="7"/>
  <c r="G3941" i="7"/>
  <c r="E3942" i="7"/>
  <c r="G3942" i="7"/>
  <c r="E3943" i="7"/>
  <c r="G3943" i="7"/>
  <c r="E3944" i="7"/>
  <c r="G3944" i="7"/>
  <c r="E3945" i="7"/>
  <c r="G3945" i="7"/>
  <c r="E3946" i="7"/>
  <c r="G3946" i="7"/>
  <c r="E3947" i="7"/>
  <c r="G3947" i="7"/>
  <c r="E3948" i="7"/>
  <c r="G3948" i="7"/>
  <c r="E3949" i="7"/>
  <c r="G3949" i="7"/>
  <c r="E3950" i="7"/>
  <c r="G3950" i="7"/>
  <c r="E3951" i="7"/>
  <c r="G3951" i="7"/>
  <c r="E3952" i="7"/>
  <c r="G3952" i="7"/>
  <c r="E3953" i="7"/>
  <c r="G3953" i="7"/>
  <c r="E3954" i="7"/>
  <c r="G3954" i="7"/>
  <c r="E3955" i="7"/>
  <c r="G3955" i="7"/>
  <c r="E3956" i="7"/>
  <c r="G3956" i="7"/>
  <c r="E3957" i="7"/>
  <c r="G3957" i="7"/>
  <c r="E3958" i="7"/>
  <c r="G3958" i="7"/>
  <c r="E3959" i="7"/>
  <c r="G3959" i="7"/>
  <c r="E3960" i="7"/>
  <c r="G3960" i="7"/>
  <c r="E3961" i="7"/>
  <c r="G3961" i="7"/>
  <c r="E3962" i="7"/>
  <c r="G3962" i="7"/>
  <c r="E3963" i="7"/>
  <c r="G3963" i="7"/>
  <c r="E3964" i="7"/>
  <c r="G3964" i="7"/>
  <c r="E3965" i="7"/>
  <c r="G3965" i="7"/>
  <c r="E3966" i="7"/>
  <c r="G3966" i="7"/>
  <c r="E3967" i="7"/>
  <c r="G3967" i="7"/>
  <c r="E3968" i="7"/>
  <c r="G3968" i="7"/>
  <c r="E3969" i="7"/>
  <c r="G3969" i="7"/>
  <c r="E3970" i="7"/>
  <c r="G3970" i="7"/>
  <c r="E3971" i="7"/>
  <c r="G3971" i="7"/>
  <c r="E3972" i="7"/>
  <c r="G3972" i="7"/>
  <c r="E3973" i="7"/>
  <c r="G3973" i="7"/>
  <c r="E3974" i="7"/>
  <c r="G3974" i="7"/>
  <c r="E3975" i="7"/>
  <c r="G3975" i="7"/>
  <c r="E3976" i="7"/>
  <c r="G3976" i="7"/>
  <c r="E3977" i="7"/>
  <c r="G3977" i="7"/>
  <c r="E3978" i="7"/>
  <c r="G3978" i="7"/>
  <c r="E3979" i="7"/>
  <c r="G3979" i="7"/>
  <c r="E3980" i="7"/>
  <c r="G3980" i="7"/>
  <c r="E3981" i="7"/>
  <c r="G3981" i="7"/>
  <c r="E3982" i="7"/>
  <c r="G3982" i="7"/>
  <c r="E3983" i="7"/>
  <c r="G3983" i="7"/>
  <c r="E3984" i="7"/>
  <c r="G3984" i="7"/>
  <c r="E3985" i="7"/>
  <c r="G3985" i="7"/>
  <c r="E3986" i="7"/>
  <c r="G3986" i="7"/>
  <c r="E3987" i="7"/>
  <c r="G3987" i="7"/>
  <c r="E3988" i="7"/>
  <c r="G3988" i="7"/>
  <c r="E3989" i="7"/>
  <c r="G3989" i="7"/>
  <c r="E3990" i="7"/>
  <c r="G3990" i="7"/>
  <c r="E3991" i="7"/>
  <c r="G3991" i="7"/>
  <c r="E3992" i="7"/>
  <c r="G3992" i="7"/>
  <c r="E3993" i="7"/>
  <c r="G3993" i="7"/>
  <c r="E3994" i="7"/>
  <c r="G3994" i="7"/>
  <c r="E3995" i="7"/>
  <c r="G3995" i="7"/>
  <c r="E3996" i="7"/>
  <c r="G3996" i="7"/>
  <c r="E3997" i="7"/>
  <c r="G3997" i="7"/>
  <c r="E3998" i="7"/>
  <c r="G3998" i="7"/>
  <c r="E3999" i="7"/>
  <c r="G3999" i="7"/>
  <c r="E4000" i="7"/>
  <c r="G4000" i="7"/>
  <c r="E4001" i="7"/>
  <c r="G4001" i="7"/>
  <c r="E4002" i="7"/>
  <c r="G4002" i="7"/>
  <c r="E4003" i="7"/>
  <c r="G4003" i="7"/>
  <c r="E4004" i="7"/>
  <c r="G4004" i="7"/>
  <c r="E4005" i="7"/>
  <c r="G4005" i="7"/>
  <c r="E4006" i="7"/>
  <c r="G4006" i="7"/>
  <c r="E4007" i="7"/>
  <c r="G4007" i="7"/>
  <c r="E4008" i="7"/>
  <c r="G4008" i="7"/>
  <c r="E4009" i="7"/>
  <c r="G4009" i="7"/>
  <c r="E4010" i="7"/>
  <c r="G4010" i="7"/>
  <c r="E4011" i="7"/>
  <c r="G4011" i="7"/>
  <c r="E4012" i="7"/>
  <c r="G4012" i="7"/>
  <c r="E4013" i="7"/>
  <c r="G4013" i="7"/>
  <c r="E4014" i="7"/>
  <c r="G4014" i="7"/>
  <c r="E4015" i="7"/>
  <c r="G4015" i="7"/>
  <c r="E4016" i="7"/>
  <c r="G4016" i="7"/>
  <c r="E4017" i="7"/>
  <c r="G4017" i="7"/>
  <c r="E4018" i="7"/>
  <c r="G4018" i="7"/>
  <c r="E4019" i="7"/>
  <c r="G4019" i="7"/>
  <c r="E4020" i="7"/>
  <c r="G4020" i="7"/>
  <c r="E4021" i="7"/>
  <c r="G4021" i="7"/>
  <c r="E4022" i="7"/>
  <c r="G4022" i="7"/>
  <c r="E4023" i="7"/>
  <c r="G4023" i="7"/>
  <c r="E4024" i="7"/>
  <c r="G4024" i="7"/>
  <c r="E4025" i="7"/>
  <c r="G4025" i="7"/>
  <c r="E4026" i="7"/>
  <c r="G4026" i="7"/>
  <c r="E4027" i="7"/>
  <c r="G4027" i="7"/>
  <c r="E4028" i="7"/>
  <c r="G4028" i="7"/>
  <c r="E4029" i="7"/>
  <c r="G4029" i="7"/>
  <c r="E4030" i="7"/>
  <c r="G4030" i="7"/>
  <c r="E4031" i="7"/>
  <c r="G4031" i="7"/>
  <c r="E4032" i="7"/>
  <c r="G4032" i="7"/>
  <c r="E4033" i="7"/>
  <c r="G4033" i="7"/>
  <c r="E4034" i="7"/>
  <c r="G4034" i="7"/>
  <c r="E4035" i="7"/>
  <c r="G4035" i="7"/>
  <c r="E4036" i="7"/>
  <c r="G4036" i="7"/>
  <c r="E4037" i="7"/>
  <c r="G4037" i="7"/>
  <c r="E4038" i="7"/>
  <c r="G4038" i="7"/>
  <c r="E4039" i="7"/>
  <c r="G4039" i="7"/>
  <c r="E4040" i="7"/>
  <c r="G4040" i="7"/>
  <c r="E4041" i="7"/>
  <c r="G4041" i="7"/>
  <c r="E4042" i="7"/>
  <c r="G4042" i="7"/>
  <c r="E4043" i="7"/>
  <c r="G4043" i="7"/>
  <c r="E4044" i="7"/>
  <c r="G4044" i="7"/>
  <c r="E4045" i="7"/>
  <c r="G4045" i="7"/>
  <c r="E4046" i="7"/>
  <c r="G4046" i="7"/>
  <c r="E4047" i="7"/>
  <c r="G4047" i="7"/>
  <c r="E4048" i="7"/>
  <c r="G4048" i="7"/>
  <c r="E4049" i="7"/>
  <c r="G4049" i="7"/>
  <c r="E4050" i="7"/>
  <c r="G4050" i="7"/>
  <c r="E4051" i="7"/>
  <c r="G4051" i="7"/>
  <c r="E4052" i="7"/>
  <c r="G4052" i="7"/>
  <c r="E4053" i="7"/>
  <c r="G4053" i="7"/>
  <c r="E4054" i="7"/>
  <c r="G4054" i="7"/>
  <c r="E4055" i="7"/>
  <c r="G4055" i="7"/>
  <c r="E4056" i="7"/>
  <c r="G4056" i="7"/>
  <c r="E4057" i="7"/>
  <c r="G4057" i="7"/>
  <c r="E4058" i="7"/>
  <c r="G4058" i="7"/>
  <c r="E4059" i="7"/>
  <c r="G4059" i="7"/>
  <c r="E4060" i="7"/>
  <c r="G4060" i="7"/>
  <c r="E4061" i="7"/>
  <c r="G4061" i="7"/>
  <c r="E4062" i="7"/>
  <c r="G4062" i="7"/>
  <c r="E4063" i="7"/>
  <c r="G4063" i="7"/>
  <c r="E4064" i="7"/>
  <c r="G4064" i="7"/>
  <c r="E4065" i="7"/>
  <c r="G4065" i="7"/>
  <c r="E4066" i="7"/>
  <c r="G4066" i="7"/>
  <c r="E4067" i="7"/>
  <c r="G4067" i="7"/>
  <c r="E4068" i="7"/>
  <c r="G4068" i="7"/>
  <c r="E4069" i="7"/>
  <c r="G4069" i="7"/>
  <c r="E4070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38" i="7"/>
  <c r="G33" i="7"/>
  <c r="G34" i="7"/>
  <c r="G35" i="7"/>
  <c r="G36" i="7"/>
  <c r="G37" i="7"/>
  <c r="F33" i="7"/>
  <c r="R67" i="2"/>
  <c r="AL124" i="2"/>
  <c r="D1" i="10"/>
  <c r="H8" i="13"/>
  <c r="H9" i="13"/>
  <c r="I8" i="13"/>
  <c r="I9" i="13"/>
  <c r="J8" i="13"/>
  <c r="J9" i="13"/>
  <c r="K8" i="13"/>
  <c r="K9" i="13"/>
  <c r="L9" i="13"/>
  <c r="N8" i="13"/>
  <c r="N9" i="13"/>
  <c r="O8" i="13"/>
  <c r="O9" i="13"/>
  <c r="P8" i="13"/>
  <c r="P9" i="13"/>
  <c r="Q8" i="13"/>
  <c r="Q9" i="13"/>
  <c r="R8" i="13"/>
  <c r="R9" i="13"/>
  <c r="S8" i="13"/>
  <c r="S9" i="13"/>
  <c r="T8" i="13"/>
  <c r="T9" i="13"/>
  <c r="U8" i="13"/>
  <c r="U9" i="13"/>
  <c r="V8" i="13"/>
  <c r="V9" i="13"/>
  <c r="W8" i="13"/>
  <c r="W9" i="13"/>
  <c r="X5" i="13"/>
  <c r="X6" i="13"/>
  <c r="X7" i="13"/>
  <c r="X8" i="13"/>
  <c r="X9" i="13"/>
  <c r="AE2" i="2"/>
  <c r="R132" i="2"/>
  <c r="R77" i="2"/>
  <c r="R219" i="2"/>
  <c r="R111" i="2"/>
  <c r="R78" i="2"/>
  <c r="R80" i="2"/>
  <c r="R112" i="2"/>
  <c r="R81" i="2"/>
  <c r="R82" i="2"/>
  <c r="R83" i="2"/>
  <c r="R84" i="2"/>
  <c r="R133" i="2"/>
  <c r="R85" i="2"/>
  <c r="R102" i="2"/>
  <c r="R187" i="2"/>
  <c r="R35" i="2"/>
  <c r="R188" i="2"/>
  <c r="R189" i="2"/>
  <c r="R103" i="2"/>
  <c r="R190" i="2"/>
  <c r="R191" i="2"/>
  <c r="R104" i="2"/>
  <c r="R192" i="2"/>
  <c r="R193" i="2"/>
  <c r="R194" i="2"/>
  <c r="R36" i="2"/>
  <c r="R195" i="2"/>
  <c r="R37" i="2"/>
  <c r="R38" i="2"/>
  <c r="R39" i="2"/>
  <c r="R40" i="2"/>
  <c r="R196" i="2"/>
  <c r="R105" i="2"/>
  <c r="R197" i="2"/>
  <c r="R198" i="2"/>
  <c r="R199" i="2"/>
  <c r="R200" i="2"/>
  <c r="R106" i="2"/>
  <c r="R201" i="2"/>
  <c r="R202" i="2"/>
  <c r="R123" i="2"/>
  <c r="R203" i="2"/>
  <c r="R124" i="2"/>
  <c r="R41" i="2"/>
  <c r="R204" i="2"/>
  <c r="R42" i="2"/>
  <c r="R43" i="2"/>
  <c r="R107" i="2"/>
  <c r="R44" i="2"/>
  <c r="R108" i="2"/>
  <c r="R45" i="2"/>
  <c r="R205" i="2"/>
  <c r="R46" i="2"/>
  <c r="R47" i="2"/>
  <c r="R48" i="2"/>
  <c r="R206" i="2"/>
  <c r="R49" i="2"/>
  <c r="R208" i="2"/>
  <c r="R207" i="2"/>
  <c r="R209" i="2"/>
  <c r="R50" i="2"/>
  <c r="R210" i="2"/>
  <c r="R211" i="2"/>
  <c r="R51" i="2"/>
  <c r="R212" i="2"/>
  <c r="R52" i="2"/>
  <c r="R53" i="2"/>
  <c r="R54" i="2"/>
  <c r="R213" i="2"/>
  <c r="R55" i="2"/>
  <c r="R56" i="2"/>
  <c r="R109" i="2"/>
  <c r="R214" i="2"/>
  <c r="R57" i="2"/>
  <c r="R58" i="2"/>
  <c r="R125" i="2"/>
  <c r="R59" i="2"/>
  <c r="R215" i="2"/>
  <c r="R126" i="2"/>
  <c r="R60" i="2"/>
  <c r="R127" i="2"/>
  <c r="R61" i="2"/>
  <c r="R62" i="2"/>
  <c r="R63" i="2"/>
  <c r="R65" i="2"/>
  <c r="R64" i="2"/>
  <c r="R216" i="2"/>
  <c r="R66" i="2"/>
  <c r="R128" i="2"/>
  <c r="R68" i="2"/>
  <c r="R69" i="2"/>
  <c r="R218" i="2"/>
  <c r="R217" i="2"/>
  <c r="R70" i="2"/>
  <c r="R71" i="2"/>
  <c r="R72" i="2"/>
  <c r="R129" i="2"/>
  <c r="R73" i="2"/>
  <c r="R130" i="2"/>
  <c r="R110" i="2"/>
  <c r="R74" i="2"/>
  <c r="R75" i="2"/>
  <c r="R131" i="2"/>
  <c r="R76" i="2"/>
  <c r="R171" i="2"/>
  <c r="R93" i="2"/>
  <c r="R172" i="2"/>
  <c r="R174" i="2"/>
  <c r="R173" i="2"/>
  <c r="R94" i="2"/>
  <c r="R175" i="2"/>
  <c r="R24" i="2"/>
  <c r="R25" i="2"/>
  <c r="R176" i="2"/>
  <c r="R26" i="2"/>
  <c r="R177" i="2"/>
  <c r="R178" i="2"/>
  <c r="R179" i="2"/>
  <c r="R121" i="2"/>
  <c r="R180" i="2"/>
  <c r="R27" i="2"/>
  <c r="R181" i="2"/>
  <c r="R95" i="2"/>
  <c r="R96" i="2"/>
  <c r="R122" i="2"/>
  <c r="R182" i="2"/>
  <c r="R183" i="2"/>
  <c r="R28" i="2"/>
  <c r="R29" i="2"/>
  <c r="R97" i="2"/>
  <c r="R30" i="2"/>
  <c r="R31" i="2"/>
  <c r="R184" i="2"/>
  <c r="R98" i="2"/>
  <c r="R32" i="2"/>
  <c r="R99" i="2"/>
  <c r="R100" i="2"/>
  <c r="R101" i="2"/>
  <c r="R33" i="2"/>
  <c r="R185" i="2"/>
  <c r="R186" i="2"/>
  <c r="R34" i="2"/>
  <c r="R19" i="2"/>
  <c r="R116" i="2"/>
  <c r="R117" i="2"/>
  <c r="R163" i="2"/>
  <c r="R20" i="2"/>
  <c r="R118" i="2"/>
  <c r="R164" i="2"/>
  <c r="R21" i="2"/>
  <c r="R91" i="2"/>
  <c r="R92" i="2"/>
  <c r="R165" i="2"/>
  <c r="R166" i="2"/>
  <c r="R167" i="2"/>
  <c r="R168" i="2"/>
  <c r="R22" i="2"/>
  <c r="R23" i="2"/>
  <c r="R120" i="2"/>
  <c r="R169" i="2"/>
  <c r="R170" i="2"/>
  <c r="R157" i="2"/>
  <c r="R158" i="2"/>
  <c r="R16" i="2"/>
  <c r="R17" i="2"/>
  <c r="R159" i="2"/>
  <c r="R160" i="2"/>
  <c r="R18" i="2"/>
  <c r="R161" i="2"/>
  <c r="R162" i="2"/>
  <c r="R114" i="2"/>
  <c r="R144" i="2"/>
  <c r="R145" i="2"/>
  <c r="R146" i="2"/>
  <c r="R147" i="2"/>
  <c r="R115" i="2"/>
  <c r="R148" i="2"/>
  <c r="R89" i="2"/>
  <c r="R149" i="2"/>
  <c r="R150" i="2"/>
  <c r="R151" i="2"/>
  <c r="R152" i="2"/>
  <c r="R153" i="2"/>
  <c r="R14" i="2"/>
  <c r="R15" i="2"/>
  <c r="R154" i="2"/>
  <c r="R90" i="2"/>
  <c r="R155" i="2"/>
  <c r="R156" i="2"/>
  <c r="R135" i="2"/>
  <c r="R8" i="2"/>
  <c r="R9" i="2"/>
  <c r="R11" i="2"/>
  <c r="R10" i="2"/>
  <c r="R136" i="2"/>
  <c r="R137" i="2"/>
  <c r="R138" i="2"/>
  <c r="R139" i="2"/>
  <c r="R140" i="2"/>
  <c r="R141" i="2"/>
  <c r="R142" i="2"/>
  <c r="R12" i="2"/>
  <c r="R113" i="2"/>
  <c r="R13" i="2"/>
  <c r="R143" i="2"/>
  <c r="R5" i="2"/>
  <c r="R134" i="2"/>
  <c r="R6" i="2"/>
  <c r="R88" i="2"/>
  <c r="R7" i="2"/>
  <c r="R4" i="2"/>
  <c r="R2" i="2"/>
  <c r="R87" i="2"/>
  <c r="R86" i="2"/>
  <c r="N187" i="2"/>
  <c r="K187" i="2"/>
  <c r="D10" i="9"/>
  <c r="L187" i="2"/>
  <c r="M187" i="2"/>
  <c r="K144" i="2"/>
  <c r="K145" i="2"/>
  <c r="K147" i="2"/>
  <c r="K149" i="2"/>
  <c r="N150" i="2"/>
  <c r="K150" i="2"/>
  <c r="N158" i="2"/>
  <c r="K158" i="2"/>
  <c r="K162" i="2"/>
  <c r="N163" i="2"/>
  <c r="K163" i="2"/>
  <c r="K164" i="2"/>
  <c r="N166" i="2"/>
  <c r="K166" i="2"/>
  <c r="N190" i="2"/>
  <c r="K190" i="2"/>
  <c r="N209" i="2"/>
  <c r="K209" i="2"/>
  <c r="K143" i="2"/>
  <c r="K148" i="2"/>
  <c r="N154" i="2"/>
  <c r="K154" i="2"/>
  <c r="K142" i="2"/>
  <c r="K91" i="2"/>
  <c r="K94" i="2"/>
  <c r="N97" i="2"/>
  <c r="K97" i="2"/>
  <c r="K98" i="2"/>
  <c r="K99" i="2"/>
  <c r="K100" i="2"/>
  <c r="K88" i="2"/>
  <c r="K92" i="2"/>
  <c r="K90" i="2"/>
  <c r="N13" i="2"/>
  <c r="K13" i="2"/>
  <c r="N15" i="2"/>
  <c r="K15" i="2"/>
  <c r="N16" i="2"/>
  <c r="K16" i="2"/>
  <c r="K20" i="2"/>
  <c r="K38" i="2"/>
  <c r="K41" i="2"/>
  <c r="K53" i="2"/>
  <c r="K71" i="2"/>
  <c r="K85" i="2"/>
  <c r="K30" i="2"/>
  <c r="K12" i="2"/>
  <c r="D4" i="10"/>
  <c r="L12" i="2"/>
  <c r="L6" i="2"/>
  <c r="D6" i="11"/>
  <c r="L94" i="2"/>
  <c r="G5" i="2"/>
  <c r="H5" i="2"/>
  <c r="G145" i="2"/>
  <c r="G144" i="2"/>
  <c r="H145" i="2"/>
  <c r="D5" i="10"/>
  <c r="L16" i="2"/>
  <c r="M16" i="2"/>
  <c r="M220" i="2"/>
  <c r="L5" i="2"/>
  <c r="M5" i="2"/>
  <c r="M6" i="2"/>
  <c r="L7" i="2"/>
  <c r="M7" i="2"/>
  <c r="D2" i="10"/>
  <c r="L9" i="2"/>
  <c r="M9" i="2"/>
  <c r="L10" i="2"/>
  <c r="M10" i="2"/>
  <c r="L11" i="2"/>
  <c r="M11" i="2"/>
  <c r="M12" i="2"/>
  <c r="L13" i="2"/>
  <c r="M13" i="2"/>
  <c r="L14" i="2"/>
  <c r="M14" i="2"/>
  <c r="L15" i="2"/>
  <c r="M15" i="2"/>
  <c r="L17" i="2"/>
  <c r="M17" i="2"/>
  <c r="L18" i="2"/>
  <c r="M18" i="2"/>
  <c r="D6" i="10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D7" i="10"/>
  <c r="L27" i="2"/>
  <c r="M27" i="2"/>
  <c r="L28" i="2"/>
  <c r="M28" i="2"/>
  <c r="L29" i="2"/>
  <c r="M29" i="2"/>
  <c r="L30" i="2"/>
  <c r="M30" i="2"/>
  <c r="L31" i="2"/>
  <c r="M31" i="2"/>
  <c r="D8" i="10"/>
  <c r="L32" i="2"/>
  <c r="M32" i="2"/>
  <c r="D10" i="10"/>
  <c r="L33" i="2"/>
  <c r="M33" i="2"/>
  <c r="L34" i="2"/>
  <c r="M34" i="2"/>
  <c r="L35" i="2"/>
  <c r="M35" i="2"/>
  <c r="D11" i="10"/>
  <c r="L36" i="2"/>
  <c r="M36" i="2"/>
  <c r="L37" i="2"/>
  <c r="M37" i="2"/>
  <c r="L38" i="2"/>
  <c r="M38" i="2"/>
  <c r="L39" i="2"/>
  <c r="M39" i="2"/>
  <c r="L40" i="2"/>
  <c r="M40" i="2"/>
  <c r="D13" i="10"/>
  <c r="L41" i="2"/>
  <c r="M41" i="2"/>
  <c r="D14" i="10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D15" i="10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D16" i="10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D5" i="11"/>
  <c r="L89" i="2"/>
  <c r="M89" i="2"/>
  <c r="L90" i="2"/>
  <c r="M90" i="2"/>
  <c r="L91" i="2"/>
  <c r="M91" i="2"/>
  <c r="L92" i="2"/>
  <c r="M92" i="2"/>
  <c r="L93" i="2"/>
  <c r="M93" i="2"/>
  <c r="M94" i="2"/>
  <c r="D7" i="11"/>
  <c r="L95" i="2"/>
  <c r="M95" i="2"/>
  <c r="L96" i="2"/>
  <c r="M96" i="2"/>
  <c r="L97" i="2"/>
  <c r="M97" i="2"/>
  <c r="L98" i="2"/>
  <c r="M98" i="2"/>
  <c r="D8" i="11"/>
  <c r="L99" i="2"/>
  <c r="M99" i="2"/>
  <c r="L100" i="2"/>
  <c r="M100" i="2"/>
  <c r="D9" i="11"/>
  <c r="L101" i="2"/>
  <c r="M101" i="2"/>
  <c r="D10" i="11"/>
  <c r="L102" i="2"/>
  <c r="M102" i="2"/>
  <c r="L103" i="2"/>
  <c r="M103" i="2"/>
  <c r="L104" i="2"/>
  <c r="M104" i="2"/>
  <c r="D11" i="11"/>
  <c r="L105" i="2"/>
  <c r="M105" i="2"/>
  <c r="D13" i="11"/>
  <c r="L106" i="2"/>
  <c r="M106" i="2"/>
  <c r="D14" i="11"/>
  <c r="L107" i="2"/>
  <c r="M107" i="2"/>
  <c r="L108" i="2"/>
  <c r="M108" i="2"/>
  <c r="D15" i="11"/>
  <c r="L109" i="2"/>
  <c r="M109" i="2"/>
  <c r="L110" i="2"/>
  <c r="M110" i="2"/>
  <c r="L111" i="2"/>
  <c r="M111" i="2"/>
  <c r="L112" i="2"/>
  <c r="M112" i="2"/>
  <c r="D4" i="12"/>
  <c r="M113" i="2"/>
  <c r="M114" i="2"/>
  <c r="M115" i="2"/>
  <c r="M116" i="2"/>
  <c r="M117" i="2"/>
  <c r="M118" i="2"/>
  <c r="M120" i="2"/>
  <c r="D7" i="12"/>
  <c r="M121" i="2"/>
  <c r="M122" i="2"/>
  <c r="D13" i="12"/>
  <c r="M123" i="2"/>
  <c r="M124" i="2"/>
  <c r="D15" i="12"/>
  <c r="M125" i="2"/>
  <c r="M126" i="2"/>
  <c r="M127" i="2"/>
  <c r="M128" i="2"/>
  <c r="M129" i="2"/>
  <c r="M130" i="2"/>
  <c r="D16" i="12"/>
  <c r="M131" i="2"/>
  <c r="M132" i="2"/>
  <c r="M133" i="2"/>
  <c r="L134" i="2"/>
  <c r="M134" i="2"/>
  <c r="L135" i="2"/>
  <c r="M135" i="2"/>
  <c r="D3" i="9"/>
  <c r="M136" i="2"/>
  <c r="D4" i="9"/>
  <c r="L137" i="2"/>
  <c r="M137" i="2"/>
  <c r="L138" i="2"/>
  <c r="M138" i="2"/>
  <c r="L139" i="2"/>
  <c r="M139" i="2"/>
  <c r="L140" i="2"/>
  <c r="M140" i="2"/>
  <c r="L141" i="2"/>
  <c r="M141" i="2"/>
  <c r="L142" i="2"/>
  <c r="M142" i="2"/>
  <c r="D5" i="9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D6" i="9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D7" i="9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8" i="2"/>
  <c r="M188" i="2"/>
  <c r="L189" i="2"/>
  <c r="M189" i="2"/>
  <c r="L190" i="2"/>
  <c r="M190" i="2"/>
  <c r="L191" i="2"/>
  <c r="M191" i="2"/>
  <c r="L192" i="2"/>
  <c r="M192" i="2"/>
  <c r="D11" i="9"/>
  <c r="L193" i="2"/>
  <c r="M193" i="2"/>
  <c r="L194" i="2"/>
  <c r="M194" i="2"/>
  <c r="L195" i="2"/>
  <c r="M195" i="2"/>
  <c r="L196" i="2"/>
  <c r="M196" i="2"/>
  <c r="D12" i="9"/>
  <c r="L197" i="2"/>
  <c r="M197" i="2"/>
  <c r="D13" i="9"/>
  <c r="L199" i="2"/>
  <c r="M199" i="2"/>
  <c r="L200" i="2"/>
  <c r="M200" i="2"/>
  <c r="L201" i="2"/>
  <c r="M201" i="2"/>
  <c r="L202" i="2"/>
  <c r="M202" i="2"/>
  <c r="L203" i="2"/>
  <c r="M203" i="2"/>
  <c r="L204" i="2"/>
  <c r="M204" i="2"/>
  <c r="D14" i="9"/>
  <c r="L205" i="2"/>
  <c r="M205" i="2"/>
  <c r="L206" i="2"/>
  <c r="M206" i="2"/>
  <c r="L208" i="2"/>
  <c r="M208" i="2"/>
  <c r="L207" i="2"/>
  <c r="M207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M215" i="2"/>
  <c r="L216" i="2"/>
  <c r="M216" i="2"/>
  <c r="L217" i="2"/>
  <c r="M217" i="2"/>
  <c r="L218" i="2"/>
  <c r="M218" i="2"/>
  <c r="L219" i="2"/>
  <c r="M219" i="2"/>
  <c r="L2" i="2"/>
  <c r="M2" i="2"/>
  <c r="D8" i="9"/>
  <c r="D9" i="9"/>
  <c r="D2" i="9"/>
  <c r="D9" i="10"/>
  <c r="D14" i="12"/>
  <c r="D12" i="12"/>
  <c r="D11" i="12"/>
  <c r="D10" i="12"/>
  <c r="D9" i="12"/>
  <c r="D8" i="12"/>
  <c r="D3" i="12"/>
  <c r="D2" i="12"/>
  <c r="D1" i="12"/>
  <c r="D12" i="11"/>
  <c r="D4" i="11"/>
  <c r="D3" i="11"/>
  <c r="D12" i="10"/>
  <c r="D3" i="10"/>
  <c r="AP2" i="2"/>
  <c r="AP12" i="2"/>
  <c r="G12" i="2"/>
  <c r="H12" i="2"/>
  <c r="AP26" i="2"/>
  <c r="G26" i="2"/>
  <c r="H26" i="2"/>
  <c r="AP29" i="2"/>
  <c r="G29" i="2"/>
  <c r="H29" i="2"/>
  <c r="AP39" i="2"/>
  <c r="G39" i="2"/>
  <c r="H39" i="2"/>
  <c r="AP48" i="2"/>
  <c r="AP59" i="2"/>
  <c r="G59" i="2"/>
  <c r="H59" i="2"/>
  <c r="AP67" i="2"/>
  <c r="G67" i="2"/>
  <c r="H67" i="2"/>
  <c r="AP74" i="2"/>
  <c r="G74" i="2"/>
  <c r="H74" i="2"/>
  <c r="AP85" i="2"/>
  <c r="G85" i="2"/>
  <c r="H85" i="2"/>
  <c r="AP87" i="2"/>
  <c r="G87" i="2"/>
  <c r="H87" i="2"/>
  <c r="AP88" i="2"/>
  <c r="G88" i="2"/>
  <c r="H88" i="2"/>
  <c r="AP92" i="2"/>
  <c r="G92" i="2"/>
  <c r="H92" i="2"/>
  <c r="AP95" i="2"/>
  <c r="G95" i="2"/>
  <c r="H95" i="2"/>
  <c r="AP98" i="2"/>
  <c r="G98" i="2"/>
  <c r="H98" i="2"/>
  <c r="AP115" i="2"/>
  <c r="G115" i="2"/>
  <c r="H115" i="2"/>
  <c r="AP133" i="2"/>
  <c r="G133" i="2"/>
  <c r="H133" i="2"/>
  <c r="AP137" i="2"/>
  <c r="G137" i="2"/>
  <c r="H137" i="2"/>
  <c r="AP139" i="2"/>
  <c r="G139" i="2"/>
  <c r="H139" i="2"/>
  <c r="AP141" i="2"/>
  <c r="G141" i="2"/>
  <c r="H141" i="2"/>
  <c r="AP147" i="2"/>
  <c r="G147" i="2"/>
  <c r="H147" i="2"/>
  <c r="AP155" i="2"/>
  <c r="G155" i="2"/>
  <c r="H155" i="2"/>
  <c r="AP161" i="2"/>
  <c r="G161" i="2"/>
  <c r="H161" i="2"/>
  <c r="AP164" i="2"/>
  <c r="G164" i="2"/>
  <c r="H164" i="2"/>
  <c r="AP167" i="2"/>
  <c r="G167" i="2"/>
  <c r="H167" i="2"/>
  <c r="AP187" i="2"/>
  <c r="G187" i="2"/>
  <c r="H187" i="2"/>
  <c r="AP190" i="2"/>
  <c r="G190" i="2"/>
  <c r="H190" i="2"/>
  <c r="AP199" i="2"/>
  <c r="G199" i="2"/>
  <c r="H199" i="2"/>
  <c r="AP204" i="2"/>
  <c r="G204" i="2"/>
  <c r="H204" i="2"/>
  <c r="AP208" i="2"/>
  <c r="G208" i="2"/>
  <c r="H208" i="2"/>
  <c r="AP210" i="2"/>
  <c r="G210" i="2"/>
  <c r="H210" i="2"/>
  <c r="AL151" i="2"/>
  <c r="AB121" i="2"/>
  <c r="AB174" i="2"/>
  <c r="G174" i="2"/>
  <c r="H174" i="2"/>
  <c r="G121" i="2"/>
  <c r="H121" i="2"/>
  <c r="AA121" i="2"/>
  <c r="F116" i="7"/>
  <c r="T88" i="2"/>
  <c r="G86" i="2"/>
  <c r="H86" i="2"/>
  <c r="G4" i="2"/>
  <c r="H4" i="2"/>
  <c r="G134" i="2"/>
  <c r="H134" i="2"/>
  <c r="G6" i="2"/>
  <c r="H6" i="2"/>
  <c r="G7" i="2"/>
  <c r="H7" i="2"/>
  <c r="G135" i="2"/>
  <c r="H135" i="2"/>
  <c r="G8" i="2"/>
  <c r="H8" i="2"/>
  <c r="G9" i="2"/>
  <c r="H9" i="2"/>
  <c r="G10" i="2"/>
  <c r="H10" i="2"/>
  <c r="G11" i="2"/>
  <c r="H11" i="2"/>
  <c r="G136" i="2"/>
  <c r="H136" i="2"/>
  <c r="G138" i="2"/>
  <c r="H138" i="2"/>
  <c r="G140" i="2"/>
  <c r="H140" i="2"/>
  <c r="G142" i="2"/>
  <c r="H142" i="2"/>
  <c r="G113" i="2"/>
  <c r="H113" i="2"/>
  <c r="G13" i="2"/>
  <c r="H13" i="2"/>
  <c r="G143" i="2"/>
  <c r="H143" i="2"/>
  <c r="G114" i="2"/>
  <c r="H114" i="2"/>
  <c r="H144" i="2"/>
  <c r="G146" i="2"/>
  <c r="H146" i="2"/>
  <c r="G89" i="2"/>
  <c r="H89" i="2"/>
  <c r="G149" i="2"/>
  <c r="H149" i="2"/>
  <c r="G150" i="2"/>
  <c r="H150" i="2"/>
  <c r="G151" i="2"/>
  <c r="H151" i="2"/>
  <c r="G152" i="2"/>
  <c r="H152" i="2"/>
  <c r="G153" i="2"/>
  <c r="H153" i="2"/>
  <c r="G14" i="2"/>
  <c r="H14" i="2"/>
  <c r="G15" i="2"/>
  <c r="H15" i="2"/>
  <c r="G154" i="2"/>
  <c r="H154" i="2"/>
  <c r="G90" i="2"/>
  <c r="H90" i="2"/>
  <c r="G156" i="2"/>
  <c r="H156" i="2"/>
  <c r="G157" i="2"/>
  <c r="H157" i="2"/>
  <c r="G158" i="2"/>
  <c r="H158" i="2"/>
  <c r="G16" i="2"/>
  <c r="H16" i="2"/>
  <c r="G17" i="2"/>
  <c r="H17" i="2"/>
  <c r="G159" i="2"/>
  <c r="H159" i="2"/>
  <c r="G160" i="2"/>
  <c r="H160" i="2"/>
  <c r="G18" i="2"/>
  <c r="H18" i="2"/>
  <c r="G162" i="2"/>
  <c r="H162" i="2"/>
  <c r="G19" i="2"/>
  <c r="H19" i="2"/>
  <c r="G116" i="2"/>
  <c r="H116" i="2"/>
  <c r="G117" i="2"/>
  <c r="H117" i="2"/>
  <c r="G163" i="2"/>
  <c r="H163" i="2"/>
  <c r="G21" i="2"/>
  <c r="H21" i="2"/>
  <c r="G165" i="2"/>
  <c r="H165" i="2"/>
  <c r="G166" i="2"/>
  <c r="H166" i="2"/>
  <c r="G23" i="2"/>
  <c r="H23" i="2"/>
  <c r="G120" i="2"/>
  <c r="H120" i="2"/>
  <c r="G169" i="2"/>
  <c r="H169" i="2"/>
  <c r="G171" i="2"/>
  <c r="H171" i="2"/>
  <c r="G93" i="2"/>
  <c r="H93" i="2"/>
  <c r="G172" i="2"/>
  <c r="H172" i="2"/>
  <c r="G173" i="2"/>
  <c r="H173" i="2"/>
  <c r="G94" i="2"/>
  <c r="H94" i="2"/>
  <c r="G175" i="2"/>
  <c r="H175" i="2"/>
  <c r="G24" i="2"/>
  <c r="H24" i="2"/>
  <c r="G25" i="2"/>
  <c r="H25" i="2"/>
  <c r="G176" i="2"/>
  <c r="H176" i="2"/>
  <c r="G177" i="2"/>
  <c r="H177" i="2"/>
  <c r="G178" i="2"/>
  <c r="H178" i="2"/>
  <c r="G179" i="2"/>
  <c r="H179" i="2"/>
  <c r="G27" i="2"/>
  <c r="H27" i="2"/>
  <c r="G181" i="2"/>
  <c r="H181" i="2"/>
  <c r="G96" i="2"/>
  <c r="H96" i="2"/>
  <c r="G122" i="2"/>
  <c r="H122" i="2"/>
  <c r="G182" i="2"/>
  <c r="H182" i="2"/>
  <c r="G183" i="2"/>
  <c r="H183" i="2"/>
  <c r="G28" i="2"/>
  <c r="H28" i="2"/>
  <c r="G31" i="2"/>
  <c r="H31" i="2"/>
  <c r="G184" i="2"/>
  <c r="H184" i="2"/>
  <c r="G32" i="2"/>
  <c r="H32" i="2"/>
  <c r="G101" i="2"/>
  <c r="H101" i="2"/>
  <c r="G33" i="2"/>
  <c r="H33" i="2"/>
  <c r="G185" i="2"/>
  <c r="H185" i="2"/>
  <c r="G186" i="2"/>
  <c r="H186" i="2"/>
  <c r="G34" i="2"/>
  <c r="H34" i="2"/>
  <c r="G102" i="2"/>
  <c r="H102" i="2"/>
  <c r="G35" i="2"/>
  <c r="H35" i="2"/>
  <c r="G188" i="2"/>
  <c r="H188" i="2"/>
  <c r="G189" i="2"/>
  <c r="H189" i="2"/>
  <c r="G103" i="2"/>
  <c r="H103" i="2"/>
  <c r="G191" i="2"/>
  <c r="H191" i="2"/>
  <c r="G104" i="2"/>
  <c r="H104" i="2"/>
  <c r="G192" i="2"/>
  <c r="H192" i="2"/>
  <c r="G193" i="2"/>
  <c r="H193" i="2"/>
  <c r="G194" i="2"/>
  <c r="H194" i="2"/>
  <c r="G36" i="2"/>
  <c r="H36" i="2"/>
  <c r="G195" i="2"/>
  <c r="H195" i="2"/>
  <c r="G37" i="2"/>
  <c r="H37" i="2"/>
  <c r="G196" i="2"/>
  <c r="H196" i="2"/>
  <c r="G197" i="2"/>
  <c r="H197" i="2"/>
  <c r="G198" i="2"/>
  <c r="H198" i="2"/>
  <c r="G200" i="2"/>
  <c r="H200" i="2"/>
  <c r="G106" i="2"/>
  <c r="H106" i="2"/>
  <c r="G201" i="2"/>
  <c r="H201" i="2"/>
  <c r="G202" i="2"/>
  <c r="H202" i="2"/>
  <c r="G203" i="2"/>
  <c r="H203" i="2"/>
  <c r="G41" i="2"/>
  <c r="H41" i="2"/>
  <c r="G43" i="2"/>
  <c r="H43" i="2"/>
  <c r="G107" i="2"/>
  <c r="H107" i="2"/>
  <c r="G44" i="2"/>
  <c r="H44" i="2"/>
  <c r="G108" i="2"/>
  <c r="H108" i="2"/>
  <c r="G45" i="2"/>
  <c r="H45" i="2"/>
  <c r="G205" i="2"/>
  <c r="H205" i="2"/>
  <c r="G46" i="2"/>
  <c r="H46" i="2"/>
  <c r="G47" i="2"/>
  <c r="H47" i="2"/>
  <c r="G206" i="2"/>
  <c r="H206" i="2"/>
  <c r="G49" i="2"/>
  <c r="H49" i="2"/>
  <c r="G209" i="2"/>
  <c r="H209" i="2"/>
  <c r="G50" i="2"/>
  <c r="H50" i="2"/>
  <c r="G211" i="2"/>
  <c r="H211" i="2"/>
  <c r="G51" i="2"/>
  <c r="H51" i="2"/>
  <c r="G212" i="2"/>
  <c r="H212" i="2"/>
  <c r="G53" i="2"/>
  <c r="H53" i="2"/>
  <c r="G213" i="2"/>
  <c r="H213" i="2"/>
  <c r="G55" i="2"/>
  <c r="H55" i="2"/>
  <c r="G56" i="2"/>
  <c r="H56" i="2"/>
  <c r="G109" i="2"/>
  <c r="H109" i="2"/>
  <c r="G214" i="2"/>
  <c r="H214" i="2"/>
  <c r="G57" i="2"/>
  <c r="H57" i="2"/>
  <c r="G58" i="2"/>
  <c r="H58" i="2"/>
  <c r="G125" i="2"/>
  <c r="H125" i="2"/>
  <c r="G215" i="2"/>
  <c r="H215" i="2"/>
  <c r="G126" i="2"/>
  <c r="H126" i="2"/>
  <c r="G61" i="2"/>
  <c r="H61" i="2"/>
  <c r="G62" i="2"/>
  <c r="H62" i="2"/>
  <c r="G63" i="2"/>
  <c r="H63" i="2"/>
  <c r="G64" i="2"/>
  <c r="H64" i="2"/>
  <c r="G65" i="2"/>
  <c r="H65" i="2"/>
  <c r="G216" i="2"/>
  <c r="H216" i="2"/>
  <c r="G68" i="2"/>
  <c r="H68" i="2"/>
  <c r="G69" i="2"/>
  <c r="H69" i="2"/>
  <c r="G217" i="2"/>
  <c r="H217" i="2"/>
  <c r="G218" i="2"/>
  <c r="H218" i="2"/>
  <c r="G70" i="2"/>
  <c r="H70" i="2"/>
  <c r="G72" i="2"/>
  <c r="H72" i="2"/>
  <c r="G73" i="2"/>
  <c r="H73" i="2"/>
  <c r="G130" i="2"/>
  <c r="H130" i="2"/>
  <c r="G110" i="2"/>
  <c r="H110" i="2"/>
  <c r="G75" i="2"/>
  <c r="H75" i="2"/>
  <c r="G131" i="2"/>
  <c r="H131" i="2"/>
  <c r="G76" i="2"/>
  <c r="H76" i="2"/>
  <c r="G132" i="2"/>
  <c r="H132" i="2"/>
  <c r="G77" i="2"/>
  <c r="H77" i="2"/>
  <c r="G219" i="2"/>
  <c r="H219" i="2"/>
  <c r="G111" i="2"/>
  <c r="H111" i="2"/>
  <c r="G78" i="2"/>
  <c r="H78" i="2"/>
  <c r="G112" i="2"/>
  <c r="H112" i="2"/>
  <c r="G82" i="2"/>
  <c r="H82" i="2"/>
  <c r="G220" i="2"/>
  <c r="H220" i="2"/>
  <c r="G148" i="2"/>
  <c r="H148" i="2"/>
  <c r="G20" i="2"/>
  <c r="H20" i="2"/>
  <c r="G118" i="2"/>
  <c r="H118" i="2"/>
  <c r="G91" i="2"/>
  <c r="H91" i="2"/>
  <c r="G168" i="2"/>
  <c r="H168" i="2"/>
  <c r="G22" i="2"/>
  <c r="H22" i="2"/>
  <c r="G170" i="2"/>
  <c r="H170" i="2"/>
  <c r="G180" i="2"/>
  <c r="H180" i="2"/>
  <c r="G97" i="2"/>
  <c r="H97" i="2"/>
  <c r="G30" i="2"/>
  <c r="H30" i="2"/>
  <c r="G99" i="2"/>
  <c r="H99" i="2"/>
  <c r="G100" i="2"/>
  <c r="H100" i="2"/>
  <c r="G38" i="2"/>
  <c r="H38" i="2"/>
  <c r="G40" i="2"/>
  <c r="H40" i="2"/>
  <c r="G105" i="2"/>
  <c r="H105" i="2"/>
  <c r="G123" i="2"/>
  <c r="H123" i="2"/>
  <c r="G124" i="2"/>
  <c r="H124" i="2"/>
  <c r="G42" i="2"/>
  <c r="H42" i="2"/>
  <c r="G207" i="2"/>
  <c r="H207" i="2"/>
  <c r="G52" i="2"/>
  <c r="H52" i="2"/>
  <c r="G54" i="2"/>
  <c r="H54" i="2"/>
  <c r="G60" i="2"/>
  <c r="H60" i="2"/>
  <c r="G127" i="2"/>
  <c r="H127" i="2"/>
  <c r="G66" i="2"/>
  <c r="H66" i="2"/>
  <c r="G71" i="2"/>
  <c r="H71" i="2"/>
  <c r="G129" i="2"/>
  <c r="H129" i="2"/>
  <c r="G79" i="2"/>
  <c r="H79" i="2"/>
  <c r="G80" i="2"/>
  <c r="H80" i="2"/>
  <c r="G81" i="2"/>
  <c r="H81" i="2"/>
  <c r="G83" i="2"/>
  <c r="H83" i="2"/>
  <c r="G84" i="2"/>
  <c r="H84" i="2"/>
  <c r="AB128" i="2"/>
  <c r="AB69" i="2"/>
  <c r="AA114" i="2"/>
  <c r="AA152" i="2"/>
  <c r="AE97" i="2"/>
  <c r="AE30" i="2"/>
  <c r="AE98" i="2"/>
  <c r="AE99" i="2"/>
  <c r="AE100" i="2"/>
  <c r="AE187" i="2"/>
  <c r="AE190" i="2"/>
  <c r="AE38" i="2"/>
  <c r="AE40" i="2"/>
  <c r="AE105" i="2"/>
  <c r="AE123" i="2"/>
  <c r="AE124" i="2"/>
  <c r="AE42" i="2"/>
  <c r="AE207" i="2"/>
  <c r="AE52" i="2"/>
  <c r="AE54" i="2"/>
  <c r="AE60" i="2"/>
  <c r="AE127" i="2"/>
  <c r="AE66" i="2"/>
  <c r="AE71" i="2"/>
  <c r="AE129" i="2"/>
  <c r="AE74" i="2"/>
  <c r="AE79" i="2"/>
  <c r="AE80" i="2"/>
  <c r="AE81" i="2"/>
  <c r="AE83" i="2"/>
  <c r="AE84" i="2"/>
  <c r="AE87" i="2"/>
  <c r="AE4" i="2"/>
  <c r="AE5" i="2"/>
  <c r="AE134" i="2"/>
  <c r="AE6" i="2"/>
  <c r="AE88" i="2"/>
  <c r="AE7" i="2"/>
  <c r="AE135" i="2"/>
  <c r="AE8" i="2"/>
  <c r="AE9" i="2"/>
  <c r="AE10" i="2"/>
  <c r="AE11" i="2"/>
  <c r="AE136" i="2"/>
  <c r="AE137" i="2"/>
  <c r="AE138" i="2"/>
  <c r="AE139" i="2"/>
  <c r="AE140" i="2"/>
  <c r="AE141" i="2"/>
  <c r="AE142" i="2"/>
  <c r="AE113" i="2"/>
  <c r="AE13" i="2"/>
  <c r="AE143" i="2"/>
  <c r="AE114" i="2"/>
  <c r="AE144" i="2"/>
  <c r="AE145" i="2"/>
  <c r="AE146" i="2"/>
  <c r="AE147" i="2"/>
  <c r="AE115" i="2"/>
  <c r="AE89" i="2"/>
  <c r="AE149" i="2"/>
  <c r="AE150" i="2"/>
  <c r="AE151" i="2"/>
  <c r="AE152" i="2"/>
  <c r="AE153" i="2"/>
  <c r="AE14" i="2"/>
  <c r="AE15" i="2"/>
  <c r="AE154" i="2"/>
  <c r="AE90" i="2"/>
  <c r="AE155" i="2"/>
  <c r="AE156" i="2"/>
  <c r="AE157" i="2"/>
  <c r="AE158" i="2"/>
  <c r="AE16" i="2"/>
  <c r="AE17" i="2"/>
  <c r="AE159" i="2"/>
  <c r="AE160" i="2"/>
  <c r="AE18" i="2"/>
  <c r="AE161" i="2"/>
  <c r="AE162" i="2"/>
  <c r="AE19" i="2"/>
  <c r="AE116" i="2"/>
  <c r="AE117" i="2"/>
  <c r="AE163" i="2"/>
  <c r="AE164" i="2"/>
  <c r="AE21" i="2"/>
  <c r="AE165" i="2"/>
  <c r="AE166" i="2"/>
  <c r="AE167" i="2"/>
  <c r="AE23" i="2"/>
  <c r="AE120" i="2"/>
  <c r="AE169" i="2"/>
  <c r="AE171" i="2"/>
  <c r="AE93" i="2"/>
  <c r="AE172" i="2"/>
  <c r="AE173" i="2"/>
  <c r="AE174" i="2"/>
  <c r="AE94" i="2"/>
  <c r="AE175" i="2"/>
  <c r="AE24" i="2"/>
  <c r="AE25" i="2"/>
  <c r="AE176" i="2"/>
  <c r="AE177" i="2"/>
  <c r="AE178" i="2"/>
  <c r="AE179" i="2"/>
  <c r="AE121" i="2"/>
  <c r="AE27" i="2"/>
  <c r="AE181" i="2"/>
  <c r="AE95" i="2"/>
  <c r="AE96" i="2"/>
  <c r="AE122" i="2"/>
  <c r="AE182" i="2"/>
  <c r="AE183" i="2"/>
  <c r="AE28" i="2"/>
  <c r="AE29" i="2"/>
  <c r="AE31" i="2"/>
  <c r="AE184" i="2"/>
  <c r="AE32" i="2"/>
  <c r="AE101" i="2"/>
  <c r="AE33" i="2"/>
  <c r="AE185" i="2"/>
  <c r="AE186" i="2"/>
  <c r="AE34" i="2"/>
  <c r="AE102" i="2"/>
  <c r="AE35" i="2"/>
  <c r="AE188" i="2"/>
  <c r="AE189" i="2"/>
  <c r="AE103" i="2"/>
  <c r="AE191" i="2"/>
  <c r="AE104" i="2"/>
  <c r="AE192" i="2"/>
  <c r="AE193" i="2"/>
  <c r="AE194" i="2"/>
  <c r="AE36" i="2"/>
  <c r="AE195" i="2"/>
  <c r="AE37" i="2"/>
  <c r="AE39" i="2"/>
  <c r="AE196" i="2"/>
  <c r="AE197" i="2"/>
  <c r="AE198" i="2"/>
  <c r="AE199" i="2"/>
  <c r="AE200" i="2"/>
  <c r="AE106" i="2"/>
  <c r="AE201" i="2"/>
  <c r="AE202" i="2"/>
  <c r="AE203" i="2"/>
  <c r="AE41" i="2"/>
  <c r="AE204" i="2"/>
  <c r="AE43" i="2"/>
  <c r="AE107" i="2"/>
  <c r="AE44" i="2"/>
  <c r="AE108" i="2"/>
  <c r="AE45" i="2"/>
  <c r="AE205" i="2"/>
  <c r="AE46" i="2"/>
  <c r="AE47" i="2"/>
  <c r="AE48" i="2"/>
  <c r="AE206" i="2"/>
  <c r="AE49" i="2"/>
  <c r="AE208" i="2"/>
  <c r="AE209" i="2"/>
  <c r="AE50" i="2"/>
  <c r="AE210" i="2"/>
  <c r="AE211" i="2"/>
  <c r="AE51" i="2"/>
  <c r="AE212" i="2"/>
  <c r="AE53" i="2"/>
  <c r="AE213" i="2"/>
  <c r="AE55" i="2"/>
  <c r="AE56" i="2"/>
  <c r="AE109" i="2"/>
  <c r="AE214" i="2"/>
  <c r="AE57" i="2"/>
  <c r="AE58" i="2"/>
  <c r="AE125" i="2"/>
  <c r="AE59" i="2"/>
  <c r="AE215" i="2"/>
  <c r="AE126" i="2"/>
  <c r="AE61" i="2"/>
  <c r="AE62" i="2"/>
  <c r="AE63" i="2"/>
  <c r="AE64" i="2"/>
  <c r="AE65" i="2"/>
  <c r="AE216" i="2"/>
  <c r="AE128" i="2"/>
  <c r="AE67" i="2"/>
  <c r="AE68" i="2"/>
  <c r="AE69" i="2"/>
  <c r="AE217" i="2"/>
  <c r="AE218" i="2"/>
  <c r="AE70" i="2"/>
  <c r="AE72" i="2"/>
  <c r="AE73" i="2"/>
  <c r="AE130" i="2"/>
  <c r="AE110" i="2"/>
  <c r="AE75" i="2"/>
  <c r="AE131" i="2"/>
  <c r="AE76" i="2"/>
  <c r="AE132" i="2"/>
  <c r="AE77" i="2"/>
  <c r="AE219" i="2"/>
  <c r="AE111" i="2"/>
  <c r="AE78" i="2"/>
  <c r="AE112" i="2"/>
  <c r="AE82" i="2"/>
  <c r="AE133" i="2"/>
  <c r="AE220" i="2"/>
  <c r="AE85" i="2"/>
  <c r="AE148" i="2"/>
  <c r="AE20" i="2"/>
  <c r="AE118" i="2"/>
  <c r="AE91" i="2"/>
  <c r="AE92" i="2"/>
  <c r="AE168" i="2"/>
  <c r="AE22" i="2"/>
  <c r="AE170" i="2"/>
  <c r="AE26" i="2"/>
  <c r="AE180" i="2"/>
  <c r="AE86" i="2"/>
  <c r="AL51" i="2"/>
  <c r="AL24" i="2"/>
  <c r="AL8" i="2"/>
  <c r="AL82" i="2"/>
  <c r="AL110" i="2"/>
  <c r="AL90" i="2"/>
  <c r="AL140" i="2"/>
  <c r="AL7" i="2"/>
  <c r="AL48" i="2"/>
  <c r="O13" i="13"/>
  <c r="I13" i="13"/>
  <c r="J13" i="13"/>
  <c r="K13" i="13"/>
  <c r="L13" i="13"/>
  <c r="N13" i="13"/>
  <c r="P13" i="13"/>
  <c r="Q13" i="13"/>
  <c r="R13" i="13"/>
  <c r="S13" i="13"/>
  <c r="T13" i="13"/>
  <c r="U13" i="13"/>
  <c r="V13" i="13"/>
  <c r="W13" i="13"/>
  <c r="H13" i="13"/>
  <c r="AB4" i="2"/>
  <c r="AB7" i="2"/>
  <c r="AL5" i="2"/>
  <c r="AL6" i="2"/>
  <c r="AL9" i="2"/>
  <c r="AL11" i="2"/>
  <c r="AL10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9" i="2"/>
  <c r="AL50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5" i="2"/>
  <c r="AL64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3" i="2"/>
  <c r="AL84" i="2"/>
  <c r="AL85" i="2"/>
  <c r="AL86" i="2"/>
  <c r="AL87" i="2"/>
  <c r="AL88" i="2"/>
  <c r="AL89" i="2"/>
  <c r="AL91" i="2"/>
  <c r="AL92" i="2"/>
  <c r="AL93" i="2"/>
  <c r="AL94" i="2"/>
  <c r="AL95" i="2"/>
  <c r="AL96" i="2"/>
  <c r="AL97" i="2"/>
  <c r="AL98" i="2"/>
  <c r="AL99" i="2"/>
  <c r="AL100" i="2"/>
  <c r="AL101" i="2"/>
  <c r="AL103" i="2"/>
  <c r="AL104" i="2"/>
  <c r="AL105" i="2"/>
  <c r="AL106" i="2"/>
  <c r="AL107" i="2"/>
  <c r="AL108" i="2"/>
  <c r="AL109" i="2"/>
  <c r="AL111" i="2"/>
  <c r="AL112" i="2"/>
  <c r="AL113" i="2"/>
  <c r="AL114" i="2"/>
  <c r="AL115" i="2"/>
  <c r="AL116" i="2"/>
  <c r="AL117" i="2"/>
  <c r="AL118" i="2"/>
  <c r="AL120" i="2"/>
  <c r="AL121" i="2"/>
  <c r="AL122" i="2"/>
  <c r="AL123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1" i="2"/>
  <c r="AL142" i="2"/>
  <c r="AL143" i="2"/>
  <c r="AL144" i="2"/>
  <c r="AL145" i="2"/>
  <c r="AL146" i="2"/>
  <c r="AL147" i="2"/>
  <c r="AL148" i="2"/>
  <c r="AL149" i="2"/>
  <c r="AL150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4" i="2"/>
  <c r="AL173" i="2"/>
  <c r="AL175" i="2"/>
  <c r="AL176" i="2"/>
  <c r="AL177" i="2"/>
  <c r="AL178" i="2"/>
  <c r="AL179" i="2"/>
  <c r="AL180" i="2"/>
  <c r="AL181" i="2"/>
  <c r="AL182" i="2"/>
  <c r="AL184" i="2"/>
  <c r="AL185" i="2"/>
  <c r="AL186" i="2"/>
  <c r="AL187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8" i="2"/>
  <c r="AL207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A179" i="2"/>
  <c r="AB88" i="2"/>
  <c r="AB104" i="2"/>
  <c r="AB142" i="2"/>
  <c r="AB155" i="2"/>
  <c r="AB158" i="2"/>
  <c r="AB160" i="2"/>
  <c r="AB184" i="2"/>
  <c r="AB185" i="2"/>
  <c r="AB197" i="2"/>
  <c r="AB201" i="2"/>
  <c r="AB203" i="2"/>
  <c r="AB210" i="2"/>
  <c r="AP7" i="2"/>
  <c r="AP13" i="2"/>
  <c r="AP14" i="2"/>
  <c r="AP15" i="2"/>
  <c r="AP16" i="2"/>
  <c r="AP17" i="2"/>
  <c r="AP18" i="2"/>
  <c r="AP21" i="2"/>
  <c r="AP23" i="2"/>
  <c r="AP24" i="2"/>
  <c r="AP25" i="2"/>
  <c r="AP28" i="2"/>
  <c r="AP31" i="2"/>
  <c r="AP32" i="2"/>
  <c r="AP33" i="2"/>
  <c r="AP34" i="2"/>
  <c r="AP35" i="2"/>
  <c r="AP36" i="2"/>
  <c r="AP37" i="2"/>
  <c r="AP41" i="2"/>
  <c r="AP43" i="2"/>
  <c r="AP44" i="2"/>
  <c r="AP45" i="2"/>
  <c r="AP46" i="2"/>
  <c r="AP47" i="2"/>
  <c r="AP49" i="2"/>
  <c r="AP50" i="2"/>
  <c r="AP51" i="2"/>
  <c r="AP53" i="2"/>
  <c r="AP55" i="2"/>
  <c r="AP56" i="2"/>
  <c r="AP57" i="2"/>
  <c r="AP58" i="2"/>
  <c r="AP61" i="2"/>
  <c r="AP62" i="2"/>
  <c r="AP63" i="2"/>
  <c r="AP65" i="2"/>
  <c r="AP64" i="2"/>
  <c r="AP68" i="2"/>
  <c r="AP69" i="2"/>
  <c r="AP70" i="2"/>
  <c r="AP72" i="2"/>
  <c r="AP73" i="2"/>
  <c r="AP75" i="2"/>
  <c r="AP76" i="2"/>
  <c r="AP77" i="2"/>
  <c r="AP78" i="2"/>
  <c r="AP82" i="2"/>
  <c r="AP5" i="2"/>
  <c r="AP6" i="2"/>
  <c r="AP8" i="2"/>
  <c r="AP9" i="2"/>
  <c r="AP11" i="2"/>
  <c r="AP10" i="2"/>
  <c r="AP19" i="2"/>
  <c r="AP27" i="2"/>
  <c r="AP90" i="2"/>
  <c r="AP93" i="2"/>
  <c r="AP104" i="2"/>
  <c r="AP86" i="2"/>
  <c r="AP89" i="2"/>
  <c r="AP94" i="2"/>
  <c r="AP96" i="2"/>
  <c r="AP101" i="2"/>
  <c r="AP102" i="2"/>
  <c r="AP103" i="2"/>
  <c r="AP106" i="2"/>
  <c r="AP107" i="2"/>
  <c r="AP108" i="2"/>
  <c r="AP109" i="2"/>
  <c r="AP110" i="2"/>
  <c r="AP111" i="2"/>
  <c r="AP112" i="2"/>
  <c r="AP113" i="2"/>
  <c r="AP114" i="2"/>
  <c r="AP116" i="2"/>
  <c r="AP117" i="2"/>
  <c r="AP120" i="2"/>
  <c r="AP121" i="2"/>
  <c r="AP122" i="2"/>
  <c r="AP125" i="2"/>
  <c r="AP126" i="2"/>
  <c r="AP128" i="2"/>
  <c r="AP130" i="2"/>
  <c r="AP131" i="2"/>
  <c r="AP132" i="2"/>
  <c r="AP134" i="2"/>
  <c r="AP136" i="2"/>
  <c r="AP138" i="2"/>
  <c r="AP140" i="2"/>
  <c r="AP142" i="2"/>
  <c r="AP143" i="2"/>
  <c r="AP144" i="2"/>
  <c r="AP145" i="2"/>
  <c r="AP146" i="2"/>
  <c r="AP149" i="2"/>
  <c r="AP150" i="2"/>
  <c r="AP151" i="2"/>
  <c r="AP152" i="2"/>
  <c r="AP153" i="2"/>
  <c r="AP154" i="2"/>
  <c r="AP156" i="2"/>
  <c r="AP157" i="2"/>
  <c r="AP158" i="2"/>
  <c r="AP159" i="2"/>
  <c r="AP160" i="2"/>
  <c r="AP162" i="2"/>
  <c r="AP163" i="2"/>
  <c r="AP165" i="2"/>
  <c r="AP166" i="2"/>
  <c r="AP169" i="2"/>
  <c r="AP171" i="2"/>
  <c r="AP172" i="2"/>
  <c r="AP174" i="2"/>
  <c r="AP173" i="2"/>
  <c r="AP175" i="2"/>
  <c r="AP176" i="2"/>
  <c r="AP177" i="2"/>
  <c r="AP178" i="2"/>
  <c r="AP179" i="2"/>
  <c r="AP181" i="2"/>
  <c r="AP182" i="2"/>
  <c r="AP183" i="2"/>
  <c r="AP184" i="2"/>
  <c r="AP185" i="2"/>
  <c r="AP186" i="2"/>
  <c r="AP188" i="2"/>
  <c r="AP189" i="2"/>
  <c r="AP191" i="2"/>
  <c r="AP192" i="2"/>
  <c r="AP193" i="2"/>
  <c r="AP194" i="2"/>
  <c r="AP195" i="2"/>
  <c r="AP196" i="2"/>
  <c r="AP197" i="2"/>
  <c r="AP198" i="2"/>
  <c r="AP200" i="2"/>
  <c r="AP201" i="2"/>
  <c r="AP202" i="2"/>
  <c r="AP203" i="2"/>
  <c r="AP205" i="2"/>
  <c r="AP206" i="2"/>
  <c r="AP209" i="2"/>
  <c r="AP211" i="2"/>
  <c r="AP212" i="2"/>
  <c r="AP213" i="2"/>
  <c r="AP214" i="2"/>
  <c r="AP215" i="2"/>
  <c r="AP216" i="2"/>
  <c r="AP217" i="2"/>
  <c r="AP218" i="2"/>
  <c r="AP219" i="2"/>
  <c r="AP220" i="2"/>
  <c r="AP135" i="2"/>
  <c r="AP22" i="2"/>
  <c r="AP38" i="2"/>
  <c r="AP40" i="2"/>
  <c r="AP42" i="2"/>
  <c r="AP52" i="2"/>
  <c r="AP54" i="2"/>
  <c r="AP60" i="2"/>
  <c r="AP66" i="2"/>
  <c r="AP71" i="2"/>
  <c r="AP79" i="2"/>
  <c r="AP80" i="2"/>
  <c r="AP81" i="2"/>
  <c r="AP83" i="2"/>
  <c r="AP84" i="2"/>
  <c r="AP20" i="2"/>
  <c r="AP30" i="2"/>
  <c r="AP97" i="2"/>
  <c r="AP91" i="2"/>
  <c r="AP99" i="2"/>
  <c r="AP100" i="2"/>
  <c r="AP105" i="2"/>
  <c r="AP118" i="2"/>
  <c r="AP123" i="2"/>
  <c r="AP124" i="2"/>
  <c r="AP127" i="2"/>
  <c r="AP129" i="2"/>
  <c r="AP148" i="2"/>
  <c r="AP168" i="2"/>
  <c r="AP170" i="2"/>
  <c r="AP180" i="2"/>
  <c r="AP207" i="2"/>
  <c r="AA86" i="2"/>
  <c r="AA2" i="2"/>
  <c r="AA87" i="2"/>
  <c r="AA4" i="2"/>
  <c r="AA5" i="2"/>
  <c r="AA134" i="2"/>
  <c r="AA6" i="2"/>
  <c r="AA88" i="2"/>
  <c r="AA7" i="2"/>
  <c r="AA135" i="2"/>
  <c r="AA8" i="2"/>
  <c r="AA9" i="2"/>
  <c r="AA11" i="2"/>
  <c r="AA10" i="2"/>
  <c r="AA136" i="2"/>
  <c r="AA137" i="2"/>
  <c r="AA138" i="2"/>
  <c r="AA139" i="2"/>
  <c r="AA140" i="2"/>
  <c r="AA141" i="2"/>
  <c r="AA142" i="2"/>
  <c r="AA113" i="2"/>
  <c r="AA13" i="2"/>
  <c r="AA143" i="2"/>
  <c r="AA144" i="2"/>
  <c r="AA145" i="2"/>
  <c r="AA146" i="2"/>
  <c r="AA147" i="2"/>
  <c r="AA115" i="2"/>
  <c r="AA89" i="2"/>
  <c r="AA149" i="2"/>
  <c r="AA150" i="2"/>
  <c r="AA151" i="2"/>
  <c r="AA153" i="2"/>
  <c r="AA14" i="2"/>
  <c r="AA15" i="2"/>
  <c r="AA154" i="2"/>
  <c r="AA90" i="2"/>
  <c r="AA155" i="2"/>
  <c r="AA156" i="2"/>
  <c r="AA157" i="2"/>
  <c r="AA158" i="2"/>
  <c r="AA16" i="2"/>
  <c r="AA17" i="2"/>
  <c r="AA159" i="2"/>
  <c r="AA160" i="2"/>
  <c r="AA18" i="2"/>
  <c r="AA161" i="2"/>
  <c r="AA162" i="2"/>
  <c r="AA19" i="2"/>
  <c r="AA116" i="2"/>
  <c r="AA117" i="2"/>
  <c r="AA163" i="2"/>
  <c r="AA164" i="2"/>
  <c r="AA21" i="2"/>
  <c r="AA165" i="2"/>
  <c r="AA166" i="2"/>
  <c r="AA167" i="2"/>
  <c r="AA23" i="2"/>
  <c r="AA120" i="2"/>
  <c r="AA169" i="2"/>
  <c r="AA171" i="2"/>
  <c r="AA93" i="2"/>
  <c r="AA172" i="2"/>
  <c r="AA174" i="2"/>
  <c r="AA173" i="2"/>
  <c r="AA94" i="2"/>
  <c r="AA175" i="2"/>
  <c r="AA24" i="2"/>
  <c r="AA25" i="2"/>
  <c r="AA176" i="2"/>
  <c r="AA177" i="2"/>
  <c r="AA178" i="2"/>
  <c r="AA27" i="2"/>
  <c r="AA181" i="2"/>
  <c r="AA95" i="2"/>
  <c r="AA122" i="2"/>
  <c r="AA96" i="2"/>
  <c r="AA182" i="2"/>
  <c r="AA183" i="2"/>
  <c r="AA28" i="2"/>
  <c r="AA29" i="2"/>
  <c r="AA31" i="2"/>
  <c r="AA184" i="2"/>
  <c r="AA32" i="2"/>
  <c r="AA101" i="2"/>
  <c r="AA33" i="2"/>
  <c r="AA185" i="2"/>
  <c r="AA186" i="2"/>
  <c r="AA34" i="2"/>
  <c r="AA102" i="2"/>
  <c r="AA35" i="2"/>
  <c r="AA188" i="2"/>
  <c r="AA189" i="2"/>
  <c r="AA103" i="2"/>
  <c r="AA191" i="2"/>
  <c r="AA104" i="2"/>
  <c r="AA192" i="2"/>
  <c r="AA193" i="2"/>
  <c r="AA194" i="2"/>
  <c r="AA36" i="2"/>
  <c r="AA195" i="2"/>
  <c r="AA37" i="2"/>
  <c r="AA39" i="2"/>
  <c r="AA196" i="2"/>
  <c r="AA197" i="2"/>
  <c r="AA198" i="2"/>
  <c r="AA199" i="2"/>
  <c r="AA200" i="2"/>
  <c r="AA106" i="2"/>
  <c r="AA201" i="2"/>
  <c r="AA202" i="2"/>
  <c r="AA203" i="2"/>
  <c r="AA41" i="2"/>
  <c r="AA204" i="2"/>
  <c r="AA43" i="2"/>
  <c r="AA107" i="2"/>
  <c r="AA44" i="2"/>
  <c r="AA108" i="2"/>
  <c r="AA45" i="2"/>
  <c r="AA205" i="2"/>
  <c r="AA46" i="2"/>
  <c r="AA47" i="2"/>
  <c r="AA48" i="2"/>
  <c r="AA206" i="2"/>
  <c r="AA49" i="2"/>
  <c r="AA208" i="2"/>
  <c r="AA209" i="2"/>
  <c r="AA50" i="2"/>
  <c r="AA210" i="2"/>
  <c r="AA211" i="2"/>
  <c r="AA51" i="2"/>
  <c r="AA212" i="2"/>
  <c r="AA53" i="2"/>
  <c r="AA213" i="2"/>
  <c r="AA55" i="2"/>
  <c r="AA56" i="2"/>
  <c r="AA109" i="2"/>
  <c r="AA214" i="2"/>
  <c r="AA57" i="2"/>
  <c r="AA125" i="2"/>
  <c r="AA58" i="2"/>
  <c r="AA59" i="2"/>
  <c r="AA215" i="2"/>
  <c r="AA126" i="2"/>
  <c r="AA61" i="2"/>
  <c r="AA62" i="2"/>
  <c r="AA63" i="2"/>
  <c r="AA65" i="2"/>
  <c r="AA64" i="2"/>
  <c r="AA216" i="2"/>
  <c r="AA128" i="2"/>
  <c r="AA67" i="2"/>
  <c r="AA68" i="2"/>
  <c r="AA69" i="2"/>
  <c r="AA217" i="2"/>
  <c r="AA218" i="2"/>
  <c r="AA70" i="2"/>
  <c r="AA72" i="2"/>
  <c r="AA73" i="2"/>
  <c r="AA130" i="2"/>
  <c r="AA110" i="2"/>
  <c r="AA75" i="2"/>
  <c r="AA131" i="2"/>
  <c r="AA76" i="2"/>
  <c r="AA132" i="2"/>
  <c r="AA77" i="2"/>
  <c r="AA219" i="2"/>
  <c r="AA111" i="2"/>
  <c r="AA78" i="2"/>
  <c r="AA112" i="2"/>
  <c r="AA82" i="2"/>
  <c r="AA133" i="2"/>
  <c r="AA220" i="2"/>
  <c r="AA85" i="2"/>
  <c r="AB86" i="2"/>
  <c r="AB2" i="2"/>
  <c r="AB87" i="2"/>
  <c r="AB5" i="2"/>
  <c r="AB134" i="2"/>
  <c r="AB6" i="2"/>
  <c r="AB135" i="2"/>
  <c r="AB8" i="2"/>
  <c r="AB9" i="2"/>
  <c r="AB11" i="2"/>
  <c r="AB10" i="2"/>
  <c r="AB136" i="2"/>
  <c r="AB137" i="2"/>
  <c r="AB138" i="2"/>
  <c r="AB139" i="2"/>
  <c r="AB140" i="2"/>
  <c r="AB141" i="2"/>
  <c r="AB113" i="2"/>
  <c r="AB13" i="2"/>
  <c r="AB143" i="2"/>
  <c r="AB114" i="2"/>
  <c r="AB144" i="2"/>
  <c r="AB145" i="2"/>
  <c r="AB146" i="2"/>
  <c r="AB147" i="2"/>
  <c r="AB115" i="2"/>
  <c r="AB89" i="2"/>
  <c r="AB149" i="2"/>
  <c r="AB150" i="2"/>
  <c r="AB151" i="2"/>
  <c r="AB152" i="2"/>
  <c r="AB153" i="2"/>
  <c r="AB14" i="2"/>
  <c r="AB15" i="2"/>
  <c r="AB154" i="2"/>
  <c r="AB90" i="2"/>
  <c r="AB156" i="2"/>
  <c r="AB157" i="2"/>
  <c r="AB16" i="2"/>
  <c r="AB17" i="2"/>
  <c r="AB159" i="2"/>
  <c r="AB18" i="2"/>
  <c r="AB161" i="2"/>
  <c r="AB162" i="2"/>
  <c r="AB19" i="2"/>
  <c r="AB116" i="2"/>
  <c r="AB117" i="2"/>
  <c r="AB163" i="2"/>
  <c r="AB164" i="2"/>
  <c r="AB21" i="2"/>
  <c r="AB165" i="2"/>
  <c r="AB166" i="2"/>
  <c r="AB167" i="2"/>
  <c r="AB23" i="2"/>
  <c r="AB120" i="2"/>
  <c r="AB169" i="2"/>
  <c r="AB171" i="2"/>
  <c r="AB93" i="2"/>
  <c r="AB172" i="2"/>
  <c r="AB173" i="2"/>
  <c r="AB94" i="2"/>
  <c r="AB175" i="2"/>
  <c r="AB24" i="2"/>
  <c r="AB25" i="2"/>
  <c r="AB176" i="2"/>
  <c r="AB177" i="2"/>
  <c r="AB178" i="2"/>
  <c r="AB179" i="2"/>
  <c r="AB27" i="2"/>
  <c r="AB181" i="2"/>
  <c r="AB95" i="2"/>
  <c r="AB122" i="2"/>
  <c r="AB96" i="2"/>
  <c r="AB182" i="2"/>
  <c r="AB183" i="2"/>
  <c r="AB28" i="2"/>
  <c r="AB29" i="2"/>
  <c r="AB31" i="2"/>
  <c r="AB32" i="2"/>
  <c r="AB101" i="2"/>
  <c r="AB33" i="2"/>
  <c r="AB186" i="2"/>
  <c r="AB34" i="2"/>
  <c r="AB102" i="2"/>
  <c r="AB35" i="2"/>
  <c r="AB188" i="2"/>
  <c r="AB189" i="2"/>
  <c r="AB103" i="2"/>
  <c r="AB191" i="2"/>
  <c r="AB192" i="2"/>
  <c r="AB193" i="2"/>
  <c r="AB194" i="2"/>
  <c r="AB36" i="2"/>
  <c r="AB195" i="2"/>
  <c r="AB37" i="2"/>
  <c r="AB39" i="2"/>
  <c r="AB196" i="2"/>
  <c r="AB198" i="2"/>
  <c r="AB199" i="2"/>
  <c r="AB200" i="2"/>
  <c r="AB106" i="2"/>
  <c r="AB202" i="2"/>
  <c r="AB41" i="2"/>
  <c r="AB204" i="2"/>
  <c r="AB43" i="2"/>
  <c r="AB107" i="2"/>
  <c r="AB44" i="2"/>
  <c r="AB108" i="2"/>
  <c r="AB45" i="2"/>
  <c r="AB205" i="2"/>
  <c r="AB46" i="2"/>
  <c r="AB47" i="2"/>
  <c r="AB48" i="2"/>
  <c r="AB206" i="2"/>
  <c r="AB49" i="2"/>
  <c r="AB208" i="2"/>
  <c r="AB209" i="2"/>
  <c r="AB50" i="2"/>
  <c r="AB211" i="2"/>
  <c r="AB51" i="2"/>
  <c r="AB212" i="2"/>
  <c r="AB53" i="2"/>
  <c r="AB213" i="2"/>
  <c r="AB55" i="2"/>
  <c r="AB56" i="2"/>
  <c r="AB109" i="2"/>
  <c r="AB214" i="2"/>
  <c r="AB57" i="2"/>
  <c r="AB125" i="2"/>
  <c r="AB58" i="2"/>
  <c r="AB59" i="2"/>
  <c r="AB215" i="2"/>
  <c r="AB126" i="2"/>
  <c r="AB61" i="2"/>
  <c r="AB62" i="2"/>
  <c r="AB63" i="2"/>
  <c r="AB65" i="2"/>
  <c r="AB64" i="2"/>
  <c r="AB216" i="2"/>
  <c r="AB67" i="2"/>
  <c r="AB68" i="2"/>
  <c r="AB217" i="2"/>
  <c r="AB218" i="2"/>
  <c r="AB70" i="2"/>
  <c r="AB72" i="2"/>
  <c r="AB73" i="2"/>
  <c r="AB130" i="2"/>
  <c r="AB110" i="2"/>
  <c r="AB75" i="2"/>
  <c r="AB131" i="2"/>
  <c r="AB76" i="2"/>
  <c r="AB132" i="2"/>
  <c r="AB77" i="2"/>
  <c r="AB219" i="2"/>
  <c r="AB111" i="2"/>
  <c r="AB78" i="2"/>
  <c r="AB112" i="2"/>
  <c r="AB82" i="2"/>
  <c r="AB133" i="2"/>
  <c r="AB220" i="2"/>
  <c r="AB85" i="2"/>
  <c r="U86" i="2"/>
  <c r="T4" i="2"/>
  <c r="T2" i="2"/>
  <c r="U141" i="2"/>
  <c r="U186" i="2"/>
  <c r="T141" i="2"/>
  <c r="T186" i="2"/>
  <c r="U120" i="2"/>
  <c r="T120" i="2"/>
  <c r="T129" i="2"/>
  <c r="U13" i="2"/>
  <c r="T13" i="2"/>
  <c r="F1377" i="7"/>
  <c r="T92" i="2"/>
  <c r="U12" i="2"/>
  <c r="U9" i="2"/>
  <c r="U124" i="2"/>
  <c r="U125" i="2"/>
  <c r="U126" i="2"/>
  <c r="U130" i="2"/>
  <c r="U133" i="2"/>
  <c r="U132" i="2"/>
  <c r="U128" i="2"/>
  <c r="U131" i="2"/>
  <c r="U123" i="2"/>
  <c r="U129" i="2"/>
  <c r="U118" i="2"/>
  <c r="U116" i="2"/>
  <c r="U121" i="2"/>
  <c r="U117" i="2"/>
  <c r="U115" i="2"/>
  <c r="U122" i="2"/>
  <c r="U113" i="2"/>
  <c r="U114" i="2"/>
  <c r="U127" i="2"/>
  <c r="T127" i="2"/>
  <c r="U218" i="2"/>
  <c r="U219" i="2"/>
  <c r="U191" i="2"/>
  <c r="U204" i="2"/>
  <c r="U210" i="2"/>
  <c r="U202" i="2"/>
  <c r="U214" i="2"/>
  <c r="U189" i="2"/>
  <c r="U197" i="2"/>
  <c r="U216" i="2"/>
  <c r="U211" i="2"/>
  <c r="U212" i="2"/>
  <c r="U206" i="2"/>
  <c r="U203" i="2"/>
  <c r="U220" i="2"/>
  <c r="U198" i="2"/>
  <c r="U200" i="2"/>
  <c r="U193" i="2"/>
  <c r="U184" i="2"/>
  <c r="U199" i="2"/>
  <c r="U194" i="2"/>
  <c r="U217" i="2"/>
  <c r="U188" i="2"/>
  <c r="U213" i="2"/>
  <c r="U205" i="2"/>
  <c r="U201" i="2"/>
  <c r="U207" i="2"/>
  <c r="U192" i="2"/>
  <c r="U142" i="2"/>
  <c r="U209" i="2"/>
  <c r="U176" i="2"/>
  <c r="U195" i="2"/>
  <c r="U173" i="2"/>
  <c r="U183" i="2"/>
  <c r="U215" i="2"/>
  <c r="U179" i="2"/>
  <c r="U175" i="2"/>
  <c r="U147" i="2"/>
  <c r="U152" i="2"/>
  <c r="U177" i="2"/>
  <c r="U208" i="2"/>
  <c r="U178" i="2"/>
  <c r="U170" i="2"/>
  <c r="U196" i="2"/>
  <c r="U159" i="2"/>
  <c r="U165" i="2"/>
  <c r="U187" i="2"/>
  <c r="U168" i="2"/>
  <c r="U144" i="2"/>
  <c r="U149" i="2"/>
  <c r="U161" i="2"/>
  <c r="U172" i="2"/>
  <c r="U181" i="2"/>
  <c r="U182" i="2"/>
  <c r="U140" i="2"/>
  <c r="U134" i="2"/>
  <c r="U171" i="2"/>
  <c r="U146" i="2"/>
  <c r="U153" i="2"/>
  <c r="U155" i="2"/>
  <c r="U180" i="2"/>
  <c r="U185" i="2"/>
  <c r="U158" i="2"/>
  <c r="U154" i="2"/>
  <c r="U163" i="2"/>
  <c r="U136" i="2"/>
  <c r="U137" i="2"/>
  <c r="U167" i="2"/>
  <c r="U156" i="2"/>
  <c r="U148" i="2"/>
  <c r="U151" i="2"/>
  <c r="U139" i="2"/>
  <c r="U160" i="2"/>
  <c r="U166" i="2"/>
  <c r="U190" i="2"/>
  <c r="U138" i="2"/>
  <c r="U157" i="2"/>
  <c r="U145" i="2"/>
  <c r="U164" i="2"/>
  <c r="U143" i="2"/>
  <c r="U135" i="2"/>
  <c r="U162" i="2"/>
  <c r="U174" i="2"/>
  <c r="U150" i="2"/>
  <c r="U169" i="2"/>
  <c r="T215" i="2"/>
  <c r="U81" i="2"/>
  <c r="U65" i="2"/>
  <c r="U77" i="2"/>
  <c r="U55" i="2"/>
  <c r="U37" i="2"/>
  <c r="U73" i="2"/>
  <c r="U50" i="2"/>
  <c r="U67" i="2"/>
  <c r="U34" i="2"/>
  <c r="U39" i="2"/>
  <c r="U49" i="2"/>
  <c r="U68" i="2"/>
  <c r="U82" i="2"/>
  <c r="U53" i="2"/>
  <c r="U25" i="2"/>
  <c r="U41" i="2"/>
  <c r="U74" i="2"/>
  <c r="U84" i="2"/>
  <c r="U59" i="2"/>
  <c r="U78" i="2"/>
  <c r="U79" i="2"/>
  <c r="U64" i="2"/>
  <c r="U83" i="2"/>
  <c r="U76" i="2"/>
  <c r="U43" i="2"/>
  <c r="U58" i="2"/>
  <c r="U85" i="2"/>
  <c r="U57" i="2"/>
  <c r="U56" i="2"/>
  <c r="U80" i="2"/>
  <c r="U45" i="2"/>
  <c r="U75" i="2"/>
  <c r="U71" i="2"/>
  <c r="U42" i="2"/>
  <c r="U70" i="2"/>
  <c r="U47" i="2"/>
  <c r="U66" i="2"/>
  <c r="U62" i="2"/>
  <c r="U54" i="2"/>
  <c r="U29" i="2"/>
  <c r="U32" i="2"/>
  <c r="U35" i="2"/>
  <c r="U36" i="2"/>
  <c r="U52" i="2"/>
  <c r="U60" i="2"/>
  <c r="U31" i="2"/>
  <c r="U51" i="2"/>
  <c r="U63" i="2"/>
  <c r="U72" i="2"/>
  <c r="U44" i="2"/>
  <c r="U46" i="2"/>
  <c r="U48" i="2"/>
  <c r="U61" i="2"/>
  <c r="U40" i="2"/>
  <c r="U38" i="2"/>
  <c r="U33" i="2"/>
  <c r="U30" i="2"/>
  <c r="U26" i="2"/>
  <c r="U7" i="2"/>
  <c r="U4" i="2"/>
  <c r="U23" i="2"/>
  <c r="U17" i="2"/>
  <c r="U16" i="2"/>
  <c r="U18" i="2"/>
  <c r="U24" i="2"/>
  <c r="U28" i="2"/>
  <c r="U15" i="2"/>
  <c r="U22" i="2"/>
  <c r="U14" i="2"/>
  <c r="U21" i="2"/>
  <c r="U5" i="2"/>
  <c r="U8" i="2"/>
  <c r="U10" i="2"/>
  <c r="U27" i="2"/>
  <c r="U2" i="2"/>
  <c r="U20" i="2"/>
  <c r="U11" i="2"/>
  <c r="U19" i="2"/>
  <c r="U6" i="2"/>
  <c r="U69" i="2"/>
  <c r="T69" i="2"/>
  <c r="U104" i="2"/>
  <c r="U97" i="2"/>
  <c r="U109" i="2"/>
  <c r="U111" i="2"/>
  <c r="U91" i="2"/>
  <c r="U112" i="2"/>
  <c r="U103" i="2"/>
  <c r="U107" i="2"/>
  <c r="U108" i="2"/>
  <c r="U110" i="2"/>
  <c r="U106" i="2"/>
  <c r="U101" i="2"/>
  <c r="U105" i="2"/>
  <c r="U102" i="2"/>
  <c r="U93" i="2"/>
  <c r="U88" i="2"/>
  <c r="U90" i="2"/>
  <c r="U87" i="2"/>
  <c r="U95" i="2"/>
  <c r="U89" i="2"/>
  <c r="U94" i="2"/>
  <c r="U98" i="2"/>
  <c r="U96" i="2"/>
  <c r="U100" i="2"/>
  <c r="U99" i="2"/>
  <c r="U92" i="2"/>
  <c r="F1715" i="7"/>
  <c r="T97" i="2"/>
  <c r="F2484" i="7"/>
  <c r="T104" i="2"/>
  <c r="F2240" i="7"/>
  <c r="T101" i="2"/>
  <c r="F3553" i="7"/>
  <c r="T109" i="2"/>
  <c r="F3863" i="7"/>
  <c r="T111" i="2"/>
  <c r="F1359" i="7"/>
  <c r="T91" i="2"/>
  <c r="F3939" i="7"/>
  <c r="T112" i="2"/>
  <c r="F2449" i="7"/>
  <c r="T103" i="2"/>
  <c r="F3310" i="7"/>
  <c r="T107" i="2"/>
  <c r="F3321" i="7"/>
  <c r="T108" i="2"/>
  <c r="F3784" i="7"/>
  <c r="T110" i="2"/>
  <c r="F3131" i="7"/>
  <c r="T106" i="2"/>
  <c r="F2637" i="7"/>
  <c r="T105" i="2"/>
  <c r="F2361" i="7"/>
  <c r="T102" i="2"/>
  <c r="F1463" i="7"/>
  <c r="T93" i="2"/>
  <c r="F1200" i="7"/>
  <c r="T90" i="2"/>
  <c r="T86" i="2"/>
  <c r="F47" i="7"/>
  <c r="T87" i="2"/>
  <c r="F1606" i="7"/>
  <c r="T95" i="2"/>
  <c r="F1110" i="7"/>
  <c r="T89" i="2"/>
  <c r="F1474" i="7"/>
  <c r="T94" i="2"/>
  <c r="F1752" i="7"/>
  <c r="T98" i="2"/>
  <c r="F1615" i="7"/>
  <c r="T96" i="2"/>
  <c r="F1884" i="7"/>
  <c r="T100" i="2"/>
  <c r="F1833" i="7"/>
  <c r="T99" i="2"/>
  <c r="T118" i="2"/>
  <c r="T116" i="2"/>
  <c r="T121" i="2"/>
  <c r="T117" i="2"/>
  <c r="T115" i="2"/>
  <c r="T122" i="2"/>
  <c r="T113" i="2"/>
  <c r="T114" i="2"/>
  <c r="T125" i="2"/>
  <c r="T126" i="2"/>
  <c r="T130" i="2"/>
  <c r="T133" i="2"/>
  <c r="T132" i="2"/>
  <c r="T128" i="2"/>
  <c r="T131" i="2"/>
  <c r="T123" i="2"/>
  <c r="T179" i="2"/>
  <c r="T175" i="2"/>
  <c r="T218" i="2"/>
  <c r="T219" i="2"/>
  <c r="T191" i="2"/>
  <c r="T204" i="2"/>
  <c r="T210" i="2"/>
  <c r="T202" i="2"/>
  <c r="T214" i="2"/>
  <c r="T189" i="2"/>
  <c r="T197" i="2"/>
  <c r="T216" i="2"/>
  <c r="T211" i="2"/>
  <c r="T212" i="2"/>
  <c r="T206" i="2"/>
  <c r="T203" i="2"/>
  <c r="T198" i="2"/>
  <c r="T200" i="2"/>
  <c r="T193" i="2"/>
  <c r="T184" i="2"/>
  <c r="T199" i="2"/>
  <c r="T194" i="2"/>
  <c r="T217" i="2"/>
  <c r="T188" i="2"/>
  <c r="T213" i="2"/>
  <c r="T205" i="2"/>
  <c r="T201" i="2"/>
  <c r="T207" i="2"/>
  <c r="T192" i="2"/>
  <c r="T142" i="2"/>
  <c r="T209" i="2"/>
  <c r="T176" i="2"/>
  <c r="T195" i="2"/>
  <c r="T173" i="2"/>
  <c r="T183" i="2"/>
  <c r="T169" i="2"/>
  <c r="T147" i="2"/>
  <c r="T152" i="2"/>
  <c r="T177" i="2"/>
  <c r="T208" i="2"/>
  <c r="T178" i="2"/>
  <c r="T170" i="2"/>
  <c r="T196" i="2"/>
  <c r="T159" i="2"/>
  <c r="T165" i="2"/>
  <c r="T187" i="2"/>
  <c r="T168" i="2"/>
  <c r="T144" i="2"/>
  <c r="T149" i="2"/>
  <c r="T161" i="2"/>
  <c r="T172" i="2"/>
  <c r="T181" i="2"/>
  <c r="T182" i="2"/>
  <c r="T140" i="2"/>
  <c r="T134" i="2"/>
  <c r="T171" i="2"/>
  <c r="T146" i="2"/>
  <c r="T153" i="2"/>
  <c r="T155" i="2"/>
  <c r="T180" i="2"/>
  <c r="T185" i="2"/>
  <c r="T158" i="2"/>
  <c r="T154" i="2"/>
  <c r="T163" i="2"/>
  <c r="T136" i="2"/>
  <c r="T137" i="2"/>
  <c r="T167" i="2"/>
  <c r="T156" i="2"/>
  <c r="T148" i="2"/>
  <c r="T151" i="2"/>
  <c r="T139" i="2"/>
  <c r="T160" i="2"/>
  <c r="T166" i="2"/>
  <c r="T190" i="2"/>
  <c r="T138" i="2"/>
  <c r="T157" i="2"/>
  <c r="T145" i="2"/>
  <c r="T164" i="2"/>
  <c r="T143" i="2"/>
  <c r="T135" i="2"/>
  <c r="T162" i="2"/>
  <c r="T174" i="2"/>
  <c r="T150" i="2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4" i="7"/>
  <c r="F1465" i="7"/>
  <c r="F1466" i="7"/>
  <c r="F1467" i="7"/>
  <c r="F1468" i="7"/>
  <c r="F1469" i="7"/>
  <c r="F1470" i="7"/>
  <c r="F1471" i="7"/>
  <c r="F1472" i="7"/>
  <c r="F1473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7" i="7"/>
  <c r="F1608" i="7"/>
  <c r="F1609" i="7"/>
  <c r="F1610" i="7"/>
  <c r="F1611" i="7"/>
  <c r="F1612" i="7"/>
  <c r="F1613" i="7"/>
  <c r="F1614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1" i="7"/>
  <c r="F3312" i="7"/>
  <c r="F3313" i="7"/>
  <c r="F3314" i="7"/>
  <c r="F3315" i="7"/>
  <c r="F3316" i="7"/>
  <c r="F3317" i="7"/>
  <c r="F3318" i="7"/>
  <c r="F3319" i="7"/>
  <c r="F3320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T81" i="2"/>
  <c r="T65" i="2"/>
  <c r="T77" i="2"/>
  <c r="T55" i="2"/>
  <c r="T37" i="2"/>
  <c r="T73" i="2"/>
  <c r="T50" i="2"/>
  <c r="T67" i="2"/>
  <c r="T34" i="2"/>
  <c r="T39" i="2"/>
  <c r="T49" i="2"/>
  <c r="T68" i="2"/>
  <c r="T82" i="2"/>
  <c r="T53" i="2"/>
  <c r="T25" i="2"/>
  <c r="T41" i="2"/>
  <c r="T74" i="2"/>
  <c r="T84" i="2"/>
  <c r="T59" i="2"/>
  <c r="T78" i="2"/>
  <c r="T64" i="2"/>
  <c r="T83" i="2"/>
  <c r="T76" i="2"/>
  <c r="T43" i="2"/>
  <c r="T58" i="2"/>
  <c r="T85" i="2"/>
  <c r="T57" i="2"/>
  <c r="T56" i="2"/>
  <c r="T80" i="2"/>
  <c r="T45" i="2"/>
  <c r="T75" i="2"/>
  <c r="T71" i="2"/>
  <c r="T42" i="2"/>
  <c r="T70" i="2"/>
  <c r="T47" i="2"/>
  <c r="T66" i="2"/>
  <c r="T62" i="2"/>
  <c r="T54" i="2"/>
  <c r="T29" i="2"/>
  <c r="T32" i="2"/>
  <c r="T35" i="2"/>
  <c r="T36" i="2"/>
  <c r="T52" i="2"/>
  <c r="T60" i="2"/>
  <c r="T31" i="2"/>
  <c r="T51" i="2"/>
  <c r="T63" i="2"/>
  <c r="T72" i="2"/>
  <c r="T44" i="2"/>
  <c r="T46" i="2"/>
  <c r="T48" i="2"/>
  <c r="T61" i="2"/>
  <c r="T40" i="2"/>
  <c r="T38" i="2"/>
  <c r="T33" i="2"/>
  <c r="T30" i="2"/>
  <c r="T26" i="2"/>
  <c r="T23" i="2"/>
  <c r="T17" i="2"/>
  <c r="T16" i="2"/>
  <c r="T12" i="2"/>
  <c r="T18" i="2"/>
  <c r="T24" i="2"/>
  <c r="T28" i="2"/>
  <c r="T15" i="2"/>
  <c r="T22" i="2"/>
  <c r="T14" i="2"/>
  <c r="T21" i="2"/>
  <c r="T5" i="2"/>
  <c r="T8" i="2"/>
  <c r="T10" i="2"/>
  <c r="T27" i="2"/>
  <c r="T20" i="2"/>
  <c r="T11" i="2"/>
  <c r="T19" i="2"/>
  <c r="T9" i="2"/>
  <c r="T6" i="2"/>
  <c r="T7" i="2"/>
  <c r="C26" i="2"/>
  <c r="P26" i="2"/>
  <c r="AL183" i="2"/>
  <c r="AL188" i="2"/>
  <c r="AL102" i="2"/>
  <c r="C2" i="2"/>
  <c r="P2" i="2"/>
  <c r="C5" i="2"/>
  <c r="P5" i="2"/>
  <c r="C8" i="2"/>
  <c r="P8" i="2"/>
  <c r="C10" i="2"/>
  <c r="P10" i="2"/>
  <c r="C20" i="2"/>
  <c r="P20" i="2"/>
  <c r="C27" i="2"/>
  <c r="P27" i="2"/>
  <c r="C30" i="2"/>
  <c r="P30" i="2"/>
  <c r="C199" i="2"/>
  <c r="P199" i="2"/>
  <c r="C204" i="2"/>
  <c r="P204" i="2"/>
  <c r="C209" i="2"/>
  <c r="P209" i="2"/>
  <c r="C134" i="2"/>
  <c r="P134" i="2"/>
  <c r="C136" i="2"/>
  <c r="P136" i="2"/>
  <c r="C137" i="2"/>
  <c r="P137" i="2"/>
  <c r="C138" i="2"/>
  <c r="P138" i="2"/>
  <c r="C139" i="2"/>
  <c r="P139" i="2"/>
  <c r="C140" i="2"/>
  <c r="P140" i="2"/>
  <c r="C141" i="2"/>
  <c r="P141" i="2"/>
  <c r="C142" i="2"/>
  <c r="P142" i="2"/>
  <c r="C144" i="2"/>
  <c r="P144" i="2"/>
  <c r="C146" i="2"/>
  <c r="P146" i="2"/>
  <c r="C147" i="2"/>
  <c r="P147" i="2"/>
  <c r="C148" i="2"/>
  <c r="P148" i="2"/>
  <c r="C149" i="2"/>
  <c r="P149" i="2"/>
  <c r="C151" i="2"/>
  <c r="P151" i="2"/>
  <c r="C152" i="2"/>
  <c r="P152" i="2"/>
  <c r="C153" i="2"/>
  <c r="P153" i="2"/>
  <c r="C155" i="2"/>
  <c r="P155" i="2"/>
  <c r="C154" i="2"/>
  <c r="P154" i="2"/>
  <c r="C156" i="2"/>
  <c r="P156" i="2"/>
  <c r="C157" i="2"/>
  <c r="P157" i="2"/>
  <c r="C158" i="2"/>
  <c r="P158" i="2"/>
  <c r="C159" i="2"/>
  <c r="P159" i="2"/>
  <c r="C160" i="2"/>
  <c r="P160" i="2"/>
  <c r="C161" i="2"/>
  <c r="P161" i="2"/>
  <c r="C163" i="2"/>
  <c r="P163" i="2"/>
  <c r="C166" i="2"/>
  <c r="P166" i="2"/>
  <c r="C165" i="2"/>
  <c r="P165" i="2"/>
  <c r="C168" i="2"/>
  <c r="P168" i="2"/>
  <c r="C167" i="2"/>
  <c r="P167" i="2"/>
  <c r="C169" i="2"/>
  <c r="P169" i="2"/>
  <c r="C170" i="2"/>
  <c r="P170" i="2"/>
  <c r="C172" i="2"/>
  <c r="P172" i="2"/>
  <c r="C171" i="2"/>
  <c r="P171" i="2"/>
  <c r="C173" i="2"/>
  <c r="P173" i="2"/>
  <c r="C176" i="2"/>
  <c r="P176" i="2"/>
  <c r="C177" i="2"/>
  <c r="P177" i="2"/>
  <c r="C178" i="2"/>
  <c r="P178" i="2"/>
  <c r="C180" i="2"/>
  <c r="P180" i="2"/>
  <c r="C181" i="2"/>
  <c r="P181" i="2"/>
  <c r="C182" i="2"/>
  <c r="P182" i="2"/>
  <c r="C183" i="2"/>
  <c r="P183" i="2"/>
  <c r="C184" i="2"/>
  <c r="P184" i="2"/>
  <c r="C185" i="2"/>
  <c r="P185" i="2"/>
  <c r="C186" i="2"/>
  <c r="P186" i="2"/>
  <c r="C187" i="2"/>
  <c r="P187" i="2"/>
  <c r="C188" i="2"/>
  <c r="P188" i="2"/>
  <c r="C189" i="2"/>
  <c r="P189" i="2"/>
  <c r="C190" i="2"/>
  <c r="P190" i="2"/>
  <c r="C191" i="2"/>
  <c r="P191" i="2"/>
  <c r="C192" i="2"/>
  <c r="P192" i="2"/>
  <c r="C193" i="2"/>
  <c r="P193" i="2"/>
  <c r="C194" i="2"/>
  <c r="P194" i="2"/>
  <c r="C195" i="2"/>
  <c r="P195" i="2"/>
  <c r="C196" i="2"/>
  <c r="P196" i="2"/>
  <c r="C197" i="2"/>
  <c r="P197" i="2"/>
  <c r="C198" i="2"/>
  <c r="P198" i="2"/>
  <c r="C200" i="2"/>
  <c r="P200" i="2"/>
  <c r="C201" i="2"/>
  <c r="P201" i="2"/>
  <c r="C202" i="2"/>
  <c r="P202" i="2"/>
  <c r="C203" i="2"/>
  <c r="P203" i="2"/>
  <c r="C205" i="2"/>
  <c r="P205" i="2"/>
  <c r="C208" i="2"/>
  <c r="P208" i="2"/>
  <c r="C206" i="2"/>
  <c r="P206" i="2"/>
  <c r="C207" i="2"/>
  <c r="P207" i="2"/>
  <c r="C210" i="2"/>
  <c r="P210" i="2"/>
  <c r="C211" i="2"/>
  <c r="P211" i="2"/>
  <c r="C212" i="2"/>
  <c r="P212" i="2"/>
  <c r="C213" i="2"/>
  <c r="P213" i="2"/>
  <c r="C214" i="2"/>
  <c r="P214" i="2"/>
  <c r="C215" i="2"/>
  <c r="P215" i="2"/>
  <c r="C216" i="2"/>
  <c r="P216" i="2"/>
  <c r="C218" i="2"/>
  <c r="P218" i="2"/>
  <c r="C217" i="2"/>
  <c r="P217" i="2"/>
  <c r="C219" i="2"/>
  <c r="P219" i="2"/>
  <c r="C220" i="2"/>
  <c r="P220" i="2"/>
  <c r="C122" i="2"/>
  <c r="P122" i="2"/>
  <c r="C123" i="2"/>
  <c r="P123" i="2"/>
  <c r="C124" i="2"/>
  <c r="P124" i="2"/>
  <c r="C125" i="2"/>
  <c r="P125" i="2"/>
  <c r="C126" i="2"/>
  <c r="P126" i="2"/>
  <c r="C127" i="2"/>
  <c r="P127" i="2"/>
  <c r="C128" i="2"/>
  <c r="P128" i="2"/>
  <c r="C129" i="2"/>
  <c r="P129" i="2"/>
  <c r="C130" i="2"/>
  <c r="P130" i="2"/>
  <c r="C131" i="2"/>
  <c r="P131" i="2"/>
  <c r="C132" i="2"/>
  <c r="P132" i="2"/>
  <c r="C133" i="2"/>
  <c r="P133" i="2"/>
  <c r="C4" i="2"/>
  <c r="P4" i="2"/>
  <c r="C7" i="2"/>
  <c r="P7" i="2"/>
  <c r="C12" i="2"/>
  <c r="P12" i="2"/>
  <c r="C13" i="2"/>
  <c r="P13" i="2"/>
  <c r="C14" i="2"/>
  <c r="P14" i="2"/>
  <c r="C15" i="2"/>
  <c r="P15" i="2"/>
  <c r="C16" i="2"/>
  <c r="P16" i="2"/>
  <c r="C17" i="2"/>
  <c r="P17" i="2"/>
  <c r="C18" i="2"/>
  <c r="P18" i="2"/>
  <c r="C21" i="2"/>
  <c r="P21" i="2"/>
  <c r="C22" i="2"/>
  <c r="P22" i="2"/>
  <c r="C23" i="2"/>
  <c r="P23" i="2"/>
  <c r="C24" i="2"/>
  <c r="P24" i="2"/>
  <c r="C25" i="2"/>
  <c r="P25" i="2"/>
  <c r="C28" i="2"/>
  <c r="P28" i="2"/>
  <c r="C29" i="2"/>
  <c r="P29" i="2"/>
  <c r="C31" i="2"/>
  <c r="P31" i="2"/>
  <c r="C32" i="2"/>
  <c r="P32" i="2"/>
  <c r="C33" i="2"/>
  <c r="P33" i="2"/>
  <c r="C34" i="2"/>
  <c r="P34" i="2"/>
  <c r="C35" i="2"/>
  <c r="P35" i="2"/>
  <c r="C36" i="2"/>
  <c r="P36" i="2"/>
  <c r="C38" i="2"/>
  <c r="P38" i="2"/>
  <c r="C37" i="2"/>
  <c r="P37" i="2"/>
  <c r="C39" i="2"/>
  <c r="P39" i="2"/>
  <c r="C40" i="2"/>
  <c r="P40" i="2"/>
  <c r="C41" i="2"/>
  <c r="P41" i="2"/>
  <c r="C42" i="2"/>
  <c r="P42" i="2"/>
  <c r="C43" i="2"/>
  <c r="P43" i="2"/>
  <c r="C44" i="2"/>
  <c r="P44" i="2"/>
  <c r="C45" i="2"/>
  <c r="P45" i="2"/>
  <c r="C46" i="2"/>
  <c r="P46" i="2"/>
  <c r="C47" i="2"/>
  <c r="P47" i="2"/>
  <c r="C48" i="2"/>
  <c r="P48" i="2"/>
  <c r="C49" i="2"/>
  <c r="P49" i="2"/>
  <c r="C50" i="2"/>
  <c r="P50" i="2"/>
  <c r="C51" i="2"/>
  <c r="P51" i="2"/>
  <c r="P99" i="2"/>
  <c r="P88" i="2"/>
  <c r="P92" i="2"/>
  <c r="C117" i="2"/>
  <c r="P117" i="2"/>
  <c r="C97" i="2"/>
  <c r="P97" i="2"/>
  <c r="C150" i="2"/>
  <c r="P150" i="2"/>
  <c r="C52" i="2"/>
  <c r="P52" i="2"/>
  <c r="C53" i="2"/>
  <c r="P53" i="2"/>
  <c r="C54" i="2"/>
  <c r="P54" i="2"/>
  <c r="C55" i="2"/>
  <c r="P55" i="2"/>
  <c r="C56" i="2"/>
  <c r="P56" i="2"/>
  <c r="C57" i="2"/>
  <c r="P57" i="2"/>
  <c r="C58" i="2"/>
  <c r="P58" i="2"/>
  <c r="C59" i="2"/>
  <c r="P59" i="2"/>
  <c r="C60" i="2"/>
  <c r="P60" i="2"/>
  <c r="C61" i="2"/>
  <c r="P61" i="2"/>
  <c r="C62" i="2"/>
  <c r="P62" i="2"/>
  <c r="C63" i="2"/>
  <c r="P63" i="2"/>
  <c r="C64" i="2"/>
  <c r="P64" i="2"/>
  <c r="C65" i="2"/>
  <c r="P65" i="2"/>
  <c r="C66" i="2"/>
  <c r="P66" i="2"/>
  <c r="C67" i="2"/>
  <c r="P67" i="2"/>
  <c r="C68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9" i="2"/>
  <c r="P91" i="2"/>
  <c r="P94" i="2"/>
  <c r="P95" i="2"/>
  <c r="P96" i="2"/>
  <c r="P98" i="2"/>
  <c r="P100" i="2"/>
  <c r="P101" i="2"/>
  <c r="P102" i="2"/>
  <c r="P103" i="2"/>
  <c r="P105" i="2"/>
  <c r="P106" i="2"/>
  <c r="P107" i="2"/>
  <c r="P108" i="2"/>
  <c r="P109" i="2"/>
  <c r="P110" i="2"/>
  <c r="P111" i="2"/>
  <c r="P112" i="2"/>
  <c r="P115" i="2"/>
  <c r="P116" i="2"/>
  <c r="P118" i="2"/>
  <c r="P120" i="2"/>
  <c r="P121" i="2"/>
  <c r="P90" i="2"/>
  <c r="P93" i="2"/>
  <c r="P104" i="2"/>
  <c r="P113" i="2"/>
  <c r="P114" i="2"/>
  <c r="P135" i="2"/>
  <c r="P143" i="2"/>
  <c r="P145" i="2"/>
  <c r="P162" i="2"/>
  <c r="P164" i="2"/>
  <c r="P174" i="2"/>
  <c r="P175" i="2"/>
  <c r="P179" i="2"/>
  <c r="P6" i="2"/>
  <c r="P9" i="2"/>
  <c r="P11" i="2"/>
  <c r="P19" i="2"/>
</calcChain>
</file>

<file path=xl/sharedStrings.xml><?xml version="1.0" encoding="utf-8"?>
<sst xmlns="http://schemas.openxmlformats.org/spreadsheetml/2006/main" count="2262" uniqueCount="994">
  <si>
    <t>Issuer</t>
  </si>
  <si>
    <t>Business Description</t>
  </si>
  <si>
    <t>Main
SIC
Code</t>
  </si>
  <si>
    <t>Nation</t>
  </si>
  <si>
    <t>Ticker
Symbol</t>
  </si>
  <si>
    <t>Industry</t>
  </si>
  <si>
    <t xml:space="preserve">  Total
  Assets
  Before
   the
 Offering
  ($ mil)</t>
  </si>
  <si>
    <t xml:space="preserve">  Date
Founded</t>
  </si>
  <si>
    <t>Lead Managers
Long Name</t>
  </si>
  <si>
    <t>Shares 
Offered - 
sum of 
all Mkts</t>
  </si>
  <si>
    <t>FIXED</t>
  </si>
  <si>
    <t>Sweden</t>
  </si>
  <si>
    <t>Unknown</t>
  </si>
  <si>
    <t>Pers/Bus/Rep Svc</t>
  </si>
  <si>
    <t>Not Applicable</t>
  </si>
  <si>
    <t>Manufacturing</t>
  </si>
  <si>
    <t>NA</t>
  </si>
  <si>
    <t>BOOKBLDG</t>
  </si>
  <si>
    <t>Dimension AB</t>
  </si>
  <si>
    <t>Pvd computer programming svcs</t>
  </si>
  <si>
    <t>DMSN</t>
  </si>
  <si>
    <t>Stockholm</t>
  </si>
  <si>
    <t>Handelsbanken Capital Markets
Carnegie AB</t>
  </si>
  <si>
    <t>Bioinvent International AB</t>
  </si>
  <si>
    <t>Biotech co</t>
  </si>
  <si>
    <t>BINV</t>
  </si>
  <si>
    <t>Carnegie</t>
  </si>
  <si>
    <t>Alfa Laval AB</t>
  </si>
  <si>
    <t>Mnfr heat transfer equipment</t>
  </si>
  <si>
    <t>ALFA</t>
  </si>
  <si>
    <t>Credit Suisse First Boston Ltd International
SEB</t>
  </si>
  <si>
    <t>Nobia AB</t>
  </si>
  <si>
    <t>Mnfr,whl,ret kitchen furniture</t>
  </si>
  <si>
    <t>NOBI</t>
  </si>
  <si>
    <t>Deutsche Bank
Carnegie</t>
  </si>
  <si>
    <t>Gant Co AB</t>
  </si>
  <si>
    <t>Whl men's,women's clothing</t>
  </si>
  <si>
    <t>GANT</t>
  </si>
  <si>
    <t>SEB</t>
  </si>
  <si>
    <t>SEB
ABG Sundal Collier</t>
  </si>
  <si>
    <t>MOB</t>
  </si>
  <si>
    <t>Nederman Holding AB</t>
  </si>
  <si>
    <t>Mnfr,whl air filtration sys</t>
  </si>
  <si>
    <t>NMAN</t>
  </si>
  <si>
    <t>Handelsbanken AS</t>
  </si>
  <si>
    <t>East Capital Explorer AB</t>
  </si>
  <si>
    <t>Pvd investment mgmt svcs</t>
  </si>
  <si>
    <t>ECEX</t>
  </si>
  <si>
    <t>Other Finance</t>
  </si>
  <si>
    <t>Carnegie Bank A/S
Citi
Morgan Stanley &amp; Co. International plc</t>
  </si>
  <si>
    <t>Norway</t>
  </si>
  <si>
    <t>Natural Resource</t>
  </si>
  <si>
    <t>Oil and gas exploration,prodn</t>
  </si>
  <si>
    <t>Carnegie AS</t>
  </si>
  <si>
    <t>Shipping company</t>
  </si>
  <si>
    <t>Transportation</t>
  </si>
  <si>
    <t>SEB
Pareto Securities</t>
  </si>
  <si>
    <t>Pareto Securities</t>
  </si>
  <si>
    <t>Develop prepackaged software</t>
  </si>
  <si>
    <t>Denmark</t>
  </si>
  <si>
    <t>Norne Securities AS</t>
  </si>
  <si>
    <t>Pvd waste mgmt,disposal svcs</t>
  </si>
  <si>
    <t>Sanitation</t>
  </si>
  <si>
    <t>ABG Sundal Collier</t>
  </si>
  <si>
    <t>ABG Sundal Collier
Nordnet AB</t>
  </si>
  <si>
    <t>Biotechnology company</t>
  </si>
  <si>
    <t>ABG Sundal Collier
Carnegie AS</t>
  </si>
  <si>
    <t>Wireless Telecommunications Carriers (Except Satellite)</t>
  </si>
  <si>
    <t>Radio/TV/Telecom</t>
  </si>
  <si>
    <t>Swedbank</t>
  </si>
  <si>
    <t>Fondsfinans AS</t>
  </si>
  <si>
    <t>Arctic Securities ASA
Carnegie AS</t>
  </si>
  <si>
    <t>Oslo</t>
  </si>
  <si>
    <t>BOOKBUILDING</t>
  </si>
  <si>
    <t>Asetek A/S</t>
  </si>
  <si>
    <t>Mnfr computer cooling equip</t>
  </si>
  <si>
    <t>N/A</t>
  </si>
  <si>
    <t>Carnegie AS
Arctic Securities ASA</t>
  </si>
  <si>
    <t>Napatech A/S</t>
  </si>
  <si>
    <t>Mnfr,whl network adapters</t>
  </si>
  <si>
    <t>NAPA</t>
  </si>
  <si>
    <t>Serendex Pharmaceuticals A/S</t>
  </si>
  <si>
    <t>Pharmaceutical Preparation Manufacturing</t>
  </si>
  <si>
    <t>SENDEX</t>
  </si>
  <si>
    <t>Telephone Commun</t>
  </si>
  <si>
    <t>Statoil ASA</t>
  </si>
  <si>
    <t>Oil,gas expl,prodn</t>
  </si>
  <si>
    <t>STL</t>
  </si>
  <si>
    <t>DnB Fonds AS</t>
  </si>
  <si>
    <t>Investment Bank</t>
  </si>
  <si>
    <t>Norwegian Air Shuttle ASA</t>
  </si>
  <si>
    <t>Pvd passenger airline services</t>
  </si>
  <si>
    <t>NAS</t>
  </si>
  <si>
    <t>Opera Software ASA</t>
  </si>
  <si>
    <t>Develop web browser software</t>
  </si>
  <si>
    <t>OPERA</t>
  </si>
  <si>
    <t>Yara International ASA</t>
  </si>
  <si>
    <t>Manufacture,wholesale fertilizers,chemicals</t>
  </si>
  <si>
    <t>YAR</t>
  </si>
  <si>
    <t>UBS Investment Bank
ABG Sundal Collier</t>
  </si>
  <si>
    <t>Catch Communications ASA</t>
  </si>
  <si>
    <t>Internet Service Provider{ISP}</t>
  </si>
  <si>
    <t>CATCH</t>
  </si>
  <si>
    <t>SEB
Pareto Fonds AS</t>
  </si>
  <si>
    <t>Aker Kvaerner ASA</t>
  </si>
  <si>
    <t>Pvd engineering,constr svcs</t>
  </si>
  <si>
    <t>AKVE</t>
  </si>
  <si>
    <t>Carnegie
SEB</t>
  </si>
  <si>
    <t>Mamut ASA</t>
  </si>
  <si>
    <t>Develop software</t>
  </si>
  <si>
    <t>MAMUT</t>
  </si>
  <si>
    <t>Findexa AS</t>
  </si>
  <si>
    <t>Publish directories,ISP</t>
  </si>
  <si>
    <t>FIND</t>
  </si>
  <si>
    <t>Goldman Sachs International
UBS Ltd
CIBC World Markets PLC</t>
  </si>
  <si>
    <t>Mnfr,whl medical equipment</t>
  </si>
  <si>
    <t>Polimoon ASA</t>
  </si>
  <si>
    <t>Mnfr plastic pkg products</t>
  </si>
  <si>
    <t>POLI</t>
  </si>
  <si>
    <t>Carnegie AB
DnB NOR BANK ASA</t>
  </si>
  <si>
    <t>Aker Seafoods ASA</t>
  </si>
  <si>
    <t>Produce,whl processed seafood</t>
  </si>
  <si>
    <t>AKS</t>
  </si>
  <si>
    <t>DnB NOR BANK ASA
Pareto Fonds AS</t>
  </si>
  <si>
    <t>Allianse ASA</t>
  </si>
  <si>
    <t>Pvd Info Tech svcs</t>
  </si>
  <si>
    <t>ALL</t>
  </si>
  <si>
    <t>VIA Travel Group AS</t>
  </si>
  <si>
    <t>Travel agency</t>
  </si>
  <si>
    <t>VIA</t>
  </si>
  <si>
    <t>SEB
DnB NOR BANK ASA</t>
  </si>
  <si>
    <t>Insurance company</t>
  </si>
  <si>
    <t>Insurance</t>
  </si>
  <si>
    <t>Kongsberg Automotive ASA</t>
  </si>
  <si>
    <t>Manufacture, wholesale motor vehicle parts</t>
  </si>
  <si>
    <t>KAOH</t>
  </si>
  <si>
    <t>Pvd consulting services</t>
  </si>
  <si>
    <t>Deep Sea Supply ASA</t>
  </si>
  <si>
    <t>DESS</t>
  </si>
  <si>
    <t>Media &amp; Research Group ASA</t>
  </si>
  <si>
    <t>Pvd mktg,advg svcs</t>
  </si>
  <si>
    <t>MRG</t>
  </si>
  <si>
    <t>Powel ASA</t>
  </si>
  <si>
    <t>Dvlp software</t>
  </si>
  <si>
    <t>POWEL</t>
  </si>
  <si>
    <t>Bluewater</t>
  </si>
  <si>
    <t>Own,op FPSO unit</t>
  </si>
  <si>
    <t>BLU</t>
  </si>
  <si>
    <t>Cermaq ASA</t>
  </si>
  <si>
    <t>Own,operate fish farms</t>
  </si>
  <si>
    <t>0921</t>
  </si>
  <si>
    <t>CEQ</t>
  </si>
  <si>
    <t>Agriculture</t>
  </si>
  <si>
    <t>SEB
Carnegie AS</t>
  </si>
  <si>
    <t>Bergesen Worlwide Gas ASA</t>
  </si>
  <si>
    <t>Natural gas prodn</t>
  </si>
  <si>
    <t>GAS</t>
  </si>
  <si>
    <t>UBS Investment Bank
Carnegie AS
SEB
DnB NOR BANK ASA</t>
  </si>
  <si>
    <t>Biotec Pharmacon ASA</t>
  </si>
  <si>
    <t>BIOTEC</t>
  </si>
  <si>
    <t>Not Available
Alfred Berg Norge AS
Pareto Securities</t>
  </si>
  <si>
    <t>Norgani Hotels ASA</t>
  </si>
  <si>
    <t>Own,op hotels</t>
  </si>
  <si>
    <t>NORGAN</t>
  </si>
  <si>
    <t>Restaurant/Hotel</t>
  </si>
  <si>
    <t>ABG Sundal Collier
SEB</t>
  </si>
  <si>
    <t>ODIM ASA</t>
  </si>
  <si>
    <t>Mnfr,whl marine tech vessels</t>
  </si>
  <si>
    <t>ODIM</t>
  </si>
  <si>
    <t>Funcom A/S</t>
  </si>
  <si>
    <t>Dvlp so</t>
  </si>
  <si>
    <t>FUNCOM</t>
  </si>
  <si>
    <t>Carnegie AS
ABG Sundal Collier</t>
  </si>
  <si>
    <t>Block Watne AS</t>
  </si>
  <si>
    <t>Mnfr pre-fabricated houses</t>
  </si>
  <si>
    <t>BWG</t>
  </si>
  <si>
    <t>Ability Group ASA</t>
  </si>
  <si>
    <t>Pvd research,dvlp svcs</t>
  </si>
  <si>
    <t>AGR</t>
  </si>
  <si>
    <t>Petrojarl ASA</t>
  </si>
  <si>
    <t>Pvd oil prodn,storage svcs</t>
  </si>
  <si>
    <t>PETRO</t>
  </si>
  <si>
    <t>ABG Sundal Collier
UBS Investment Bank</t>
  </si>
  <si>
    <t>Clavis Pharma ASA</t>
  </si>
  <si>
    <t>Mnfr,whl pharmaceutical prod</t>
  </si>
  <si>
    <t>CLAVIS</t>
  </si>
  <si>
    <t>TrollTech ASA</t>
  </si>
  <si>
    <t>TROLL</t>
  </si>
  <si>
    <t>Austevoll Seafood ASA</t>
  </si>
  <si>
    <t>Produce,whl seafood products</t>
  </si>
  <si>
    <t>AUSS</t>
  </si>
  <si>
    <t>DnB NOR BANK ASA
Pareto Securities
SEB</t>
  </si>
  <si>
    <t>Marine Farms ASA</t>
  </si>
  <si>
    <t>0273</t>
  </si>
  <si>
    <t>MAFA</t>
  </si>
  <si>
    <t>Eitzen Chemical ASA</t>
  </si>
  <si>
    <t>Pvd marine transp svcs</t>
  </si>
  <si>
    <t>ECHEM</t>
  </si>
  <si>
    <t>Carnegie
Pareto Securities</t>
  </si>
  <si>
    <t>Codfarmers ASA</t>
  </si>
  <si>
    <t>Own,operate cod farms</t>
  </si>
  <si>
    <t>0912</t>
  </si>
  <si>
    <t>COD</t>
  </si>
  <si>
    <t>DnB NOR BANK ASA</t>
  </si>
  <si>
    <t>AKVA Group ASA</t>
  </si>
  <si>
    <t>Mnfr aquaculture products</t>
  </si>
  <si>
    <t>AKVA</t>
  </si>
  <si>
    <t>Biotechnology co</t>
  </si>
  <si>
    <t>Faktor Eiendom ASA</t>
  </si>
  <si>
    <t>Real estate development firm</t>
  </si>
  <si>
    <t>FAKTOR</t>
  </si>
  <si>
    <t>Real Estate</t>
  </si>
  <si>
    <t>NEAS ASA</t>
  </si>
  <si>
    <t>Pvd facility management svcs</t>
  </si>
  <si>
    <t>NEAS</t>
  </si>
  <si>
    <t>Algeta ASA</t>
  </si>
  <si>
    <t>Manufacture,whl pharmaceuticals</t>
  </si>
  <si>
    <t>ALGETA</t>
  </si>
  <si>
    <t>ABG Sundal Collier
DnB NOR BANK ASA</t>
  </si>
  <si>
    <t>SalMar ASA</t>
  </si>
  <si>
    <t>Own,operate aquaculture farms</t>
  </si>
  <si>
    <t>SALM</t>
  </si>
  <si>
    <t>First Securities AS</t>
  </si>
  <si>
    <t>Protector Forsikring ASA</t>
  </si>
  <si>
    <t>PROTCT</t>
  </si>
  <si>
    <t>Grieg Seafood ASA</t>
  </si>
  <si>
    <t>GSFO</t>
  </si>
  <si>
    <t>Construction</t>
  </si>
  <si>
    <t>Pronova BioPharma ASA</t>
  </si>
  <si>
    <t>Mnfr,whl pharmaceuticals</t>
  </si>
  <si>
    <t>PRON</t>
  </si>
  <si>
    <t>UBS Investment Bank
Carnegie</t>
  </si>
  <si>
    <t>Hafslund Infratek ASA</t>
  </si>
  <si>
    <t>Pvd constr svcs</t>
  </si>
  <si>
    <t>HIT</t>
  </si>
  <si>
    <t>Solvtrans Holding ASA</t>
  </si>
  <si>
    <t>STRANS</t>
  </si>
  <si>
    <t>Nordea Markets
Pareto Securities</t>
  </si>
  <si>
    <t>Bridge Energy ASA</t>
  </si>
  <si>
    <t>BRIDGE</t>
  </si>
  <si>
    <t>NetConnect ASA</t>
  </si>
  <si>
    <t>Pvd web conferencing svcs</t>
  </si>
  <si>
    <t>NETCO</t>
  </si>
  <si>
    <t>Oppstartsfase I ASA</t>
  </si>
  <si>
    <t>Shipping and logistics company</t>
  </si>
  <si>
    <t>WWASA</t>
  </si>
  <si>
    <t>Carnegie
Pareto Securities
Danske Markets
Fortis Bank Nederland NV
ABG Sundal Collier
Nordea Markets</t>
  </si>
  <si>
    <t>Morpol ASA</t>
  </si>
  <si>
    <t>Produces salmon products</t>
  </si>
  <si>
    <t>MORPOL</t>
  </si>
  <si>
    <t>ABG Sundal Collier
DnB Markets AS
Pareto Securities</t>
  </si>
  <si>
    <t>Cellcura ASA</t>
  </si>
  <si>
    <t>CELL</t>
  </si>
  <si>
    <t>Terra Markets AS</t>
  </si>
  <si>
    <t>Statoil Fuel &amp; Retail ASA</t>
  </si>
  <si>
    <t>Wholesale,retail fuel</t>
  </si>
  <si>
    <t>SFR</t>
  </si>
  <si>
    <t>Wholesale</t>
  </si>
  <si>
    <t>ABG Sundal Collier
Bank of America Merrill Lynch
Citigroup
Nordea Markets</t>
  </si>
  <si>
    <t>Gjensidige Forsikring ASA</t>
  </si>
  <si>
    <t>Provides insurance services</t>
  </si>
  <si>
    <t>GJF</t>
  </si>
  <si>
    <t>Goldman Sachs International
Bank of America Merrill Lynch
Keefe Bruyette &amp; Woods Inc
DnB NOR BANK ASA
Pareto Securities</t>
  </si>
  <si>
    <t>Aker Drilling ASA</t>
  </si>
  <si>
    <t>Pvd offshore oil drilling svcs</t>
  </si>
  <si>
    <t>AKD</t>
  </si>
  <si>
    <t>Arctic Securities ASA
DnB NOR BANK ASA
Pareto Securities</t>
  </si>
  <si>
    <t>Norway Royal Salmon ASA</t>
  </si>
  <si>
    <t>Produce,whl seafood</t>
  </si>
  <si>
    <t>NRS</t>
  </si>
  <si>
    <t>Carnegie AS
Pareto Securities</t>
  </si>
  <si>
    <t>Sevan Drilling ASA</t>
  </si>
  <si>
    <t>Pareto Securities
ABG Sundal Collier
Arctic Securities ASA
First Securities AS
ING
SEB</t>
  </si>
  <si>
    <t>Hoegh LNG Holdings Ltd</t>
  </si>
  <si>
    <t>HLNG</t>
  </si>
  <si>
    <t>ABG Sundal Collier
Pareto Securities
DnB NOR BANK ASA</t>
  </si>
  <si>
    <t>Selvaag Bolig ASA</t>
  </si>
  <si>
    <t>SBO</t>
  </si>
  <si>
    <t>Borregaard ASA</t>
  </si>
  <si>
    <t>Mnfr,whl wood based chemicals</t>
  </si>
  <si>
    <t>BRG</t>
  </si>
  <si>
    <t>ABG Sundal Collier
UBS Ltd</t>
  </si>
  <si>
    <t>EAM Solar ASA</t>
  </si>
  <si>
    <t>Electric utility company</t>
  </si>
  <si>
    <t>499A</t>
  </si>
  <si>
    <t>EAM</t>
  </si>
  <si>
    <t>Co-generation</t>
  </si>
  <si>
    <t>Ocean Yield AS</t>
  </si>
  <si>
    <t>Oil platform construction co</t>
  </si>
  <si>
    <t>DnB Markets AS
Pareto Securities
SEB
Arctic Securities ASA
Nordea Markets
Swedbank</t>
  </si>
  <si>
    <t>Odfjell Drilling AS</t>
  </si>
  <si>
    <t>Pvd oil,gas drilling services</t>
  </si>
  <si>
    <t>ABG Sundal Collier
DnB Markets AS
Goldman Sachs International</t>
  </si>
  <si>
    <t>Western Bulk ASA</t>
  </si>
  <si>
    <t>Pvd bulk shipping svcs</t>
  </si>
  <si>
    <t>WBULK</t>
  </si>
  <si>
    <t>ABG Sundal Collier
Pareto Securities
Swedbank</t>
  </si>
  <si>
    <t>Vardia Insurance Group ASA</t>
  </si>
  <si>
    <t>Insurance agency</t>
  </si>
  <si>
    <t>VARDIA</t>
  </si>
  <si>
    <t>DnB Markets AS
Pareto Securities</t>
  </si>
  <si>
    <t>cXense AS</t>
  </si>
  <si>
    <t>CXENSE</t>
  </si>
  <si>
    <t>Zalaris ASA</t>
  </si>
  <si>
    <t>Payroll Services</t>
  </si>
  <si>
    <t>ZAL</t>
  </si>
  <si>
    <t>ABG Sundal Collier
Nordea Markets</t>
  </si>
  <si>
    <t>Havyard Group AS</t>
  </si>
  <si>
    <t>Ship Building and Repairing</t>
  </si>
  <si>
    <t>Fearnley Fonds PLC
Arctic Securities ASA</t>
  </si>
  <si>
    <t>Scatec Solar ASA</t>
  </si>
  <si>
    <t>Manufacture solar plants products</t>
  </si>
  <si>
    <t>SSO</t>
  </si>
  <si>
    <t>XXL ASA</t>
  </si>
  <si>
    <t>Sporting Goods Stores</t>
  </si>
  <si>
    <t>XXL</t>
  </si>
  <si>
    <t>Retail</t>
  </si>
  <si>
    <t>ABG Sundal Collier
Goldman Sachs International
Carnegie AS
Credit Suisse</t>
  </si>
  <si>
    <t>Entra ASA</t>
  </si>
  <si>
    <t>Offices Of Real Estate Agents and Brokers</t>
  </si>
  <si>
    <t>ENTRA</t>
  </si>
  <si>
    <t>ABG Sundal Collier
Goldman Sachs International
Swedbank</t>
  </si>
  <si>
    <t>RenoNorden AS</t>
  </si>
  <si>
    <t>RENO</t>
  </si>
  <si>
    <t>Danske Bank
Carnegie AS
DnB Markets AS</t>
  </si>
  <si>
    <t>Nordic Nanovector AS</t>
  </si>
  <si>
    <t>NANO</t>
  </si>
  <si>
    <t>ABG Sundal Collier
DnB Markets AS
Investment AB Carnegie</t>
  </si>
  <si>
    <t>Multiconsult AS</t>
  </si>
  <si>
    <t>Pvd engineering svcs</t>
  </si>
  <si>
    <t>MULTI</t>
  </si>
  <si>
    <t>ABG Sundal Collier
Arctic Securities ASA</t>
  </si>
  <si>
    <t>Europris ASA</t>
  </si>
  <si>
    <t>Own,op discount store chain</t>
  </si>
  <si>
    <t>EPRI</t>
  </si>
  <si>
    <t>ABG Sundal Collier
Goldman Sachs International
Bank of America Merrill Lynch
SEB</t>
  </si>
  <si>
    <t>Kid ASA</t>
  </si>
  <si>
    <t>Sewing, Needlework, and Piece Goods Stores</t>
  </si>
  <si>
    <t>KID</t>
  </si>
  <si>
    <t>Skandiabanken ASA</t>
  </si>
  <si>
    <t>Commercial Banking</t>
  </si>
  <si>
    <t>SKBN</t>
  </si>
  <si>
    <t>Commercial Bank</t>
  </si>
  <si>
    <t>Carnegie AS
SEB</t>
  </si>
  <si>
    <t>B2Holding ASA</t>
  </si>
  <si>
    <t>Portfolio Management</t>
  </si>
  <si>
    <t>B2H</t>
  </si>
  <si>
    <t>ABG Sundal Collier
Arctic Securities ASA
Nordea PLC</t>
  </si>
  <si>
    <t>Arcus ASA</t>
  </si>
  <si>
    <t>Distilleries</t>
  </si>
  <si>
    <t>ARCUS</t>
  </si>
  <si>
    <t>ABG Sundal Collier
SEB
Investment AB Carnegie</t>
  </si>
  <si>
    <t>REIT</t>
  </si>
  <si>
    <t>Finland</t>
  </si>
  <si>
    <t>OMXHelsink</t>
  </si>
  <si>
    <t>FIM</t>
  </si>
  <si>
    <t>Evli Bank Plc</t>
  </si>
  <si>
    <t>SRV Yhtiot Oyj</t>
  </si>
  <si>
    <t>Construction company</t>
  </si>
  <si>
    <t>SRV1V</t>
  </si>
  <si>
    <t>Orava Asuinkiinteistorahasto O</t>
  </si>
  <si>
    <t>Real estate investment trust</t>
  </si>
  <si>
    <t>OREIT</t>
  </si>
  <si>
    <t>UB Securities Ltd</t>
  </si>
  <si>
    <t>Restamax Oyj</t>
  </si>
  <si>
    <t>Own,operate restaurants</t>
  </si>
  <si>
    <t>RESTA</t>
  </si>
  <si>
    <t>Asiakastieto Group Oyj</t>
  </si>
  <si>
    <t>Credit Bureaus</t>
  </si>
  <si>
    <t>ATG1V</t>
  </si>
  <si>
    <t>Danske Bank</t>
  </si>
  <si>
    <t>Pihlajalinna Oy</t>
  </si>
  <si>
    <t>All Other Miscellaneous Ambulatory Health Care Services</t>
  </si>
  <si>
    <t>PIHLIS</t>
  </si>
  <si>
    <t>Healthcare</t>
  </si>
  <si>
    <t>Biotie Therapies Oyj</t>
  </si>
  <si>
    <t>Mnfr biotechnology products</t>
  </si>
  <si>
    <t>BTH1V</t>
  </si>
  <si>
    <t>RBC Capital Markets
Stifel Nicolaus &amp; Co Inc</t>
  </si>
  <si>
    <t>Kotipizza Group Oyj</t>
  </si>
  <si>
    <t>Full-Service Restaurants</t>
  </si>
  <si>
    <t>PIZZA</t>
  </si>
  <si>
    <t>Pohjola Pankki Oyj</t>
  </si>
  <si>
    <t>Evli Pankki Oyj</t>
  </si>
  <si>
    <t>Investment Banking and Securities Dealing</t>
  </si>
  <si>
    <t>EVLI</t>
  </si>
  <si>
    <t>Alexander Corporate Finance Oy</t>
  </si>
  <si>
    <t>Consti Yhtiot Oy</t>
  </si>
  <si>
    <t>Pvd bldg renovation svcs</t>
  </si>
  <si>
    <t>CONSTI</t>
  </si>
  <si>
    <t>Lehto Group Oyj</t>
  </si>
  <si>
    <t>Commercial and Institutional Building Construction</t>
  </si>
  <si>
    <t>LEHTO</t>
  </si>
  <si>
    <t>Pohjola Pankki Oyj
Pareto Securities</t>
  </si>
  <si>
    <t>Tokmanni Group Oy</t>
  </si>
  <si>
    <t>Department Stores (Except Discount Department Stores)</t>
  </si>
  <si>
    <t>TOKMAN</t>
  </si>
  <si>
    <t>Goldman Sachs International
Nordea PLC
Bank of America Merrill Lynch
Investment AB Carnegie</t>
  </si>
  <si>
    <t>DNA Oyj</t>
  </si>
  <si>
    <t>DNA</t>
  </si>
  <si>
    <t>Danske Bank
Morgan Stanley International Ltd
Nordea PLC
SEB
JP Morgan Securities Ltd (United Kingdom)</t>
  </si>
  <si>
    <t>OMX Stock</t>
  </si>
  <si>
    <t>BTS Group AB</t>
  </si>
  <si>
    <t>Pvd bus consulting svcs</t>
  </si>
  <si>
    <t>BTSB</t>
  </si>
  <si>
    <t>RNB Retail &amp; Brands AB</t>
  </si>
  <si>
    <t>Whl,ret clothing,accessories</t>
  </si>
  <si>
    <t>RNBS</t>
  </si>
  <si>
    <t>ArosMaizels</t>
  </si>
  <si>
    <t>NOTE AB</t>
  </si>
  <si>
    <t>Mnfr electronic components</t>
  </si>
  <si>
    <t>NOTE</t>
  </si>
  <si>
    <t>Hagstromer &amp; Qviberg AB</t>
  </si>
  <si>
    <t>Probi AB</t>
  </si>
  <si>
    <t>Produce,wholesale probiotics</t>
  </si>
  <si>
    <t>PROB</t>
  </si>
  <si>
    <t>Indutrade AB</t>
  </si>
  <si>
    <t>Wholesale industrial supplies</t>
  </si>
  <si>
    <t>INDT</t>
  </si>
  <si>
    <t>SEB
Handelsbanken AS</t>
  </si>
  <si>
    <t>Hemtex AB</t>
  </si>
  <si>
    <t>Ret household textiles</t>
  </si>
  <si>
    <t>HEMX</t>
  </si>
  <si>
    <t>TradeDoubler AB</t>
  </si>
  <si>
    <t>Provide online mktg services</t>
  </si>
  <si>
    <t>TRAD</t>
  </si>
  <si>
    <t>Carnegie AS
Goldman Sachs International</t>
  </si>
  <si>
    <t>Orexo AB</t>
  </si>
  <si>
    <t>Mnfr,wholesale pharmaceuticals</t>
  </si>
  <si>
    <t>ORX</t>
  </si>
  <si>
    <t>Hakon Invest AB</t>
  </si>
  <si>
    <t>Private equity firm</t>
  </si>
  <si>
    <t>HAKN</t>
  </si>
  <si>
    <t>Dios Fastigheter AB</t>
  </si>
  <si>
    <t>Real estate agency</t>
  </si>
  <si>
    <t>DIOS</t>
  </si>
  <si>
    <t>Melker Schorling AB</t>
  </si>
  <si>
    <t>Investment holding company</t>
  </si>
  <si>
    <t>MELK</t>
  </si>
  <si>
    <t>Biovitrum AB</t>
  </si>
  <si>
    <t>Mnfr,dvlp,whl pharm</t>
  </si>
  <si>
    <t>BVT</t>
  </si>
  <si>
    <t>BE Group AB</t>
  </si>
  <si>
    <t>Wholesale steel,aluminum prod</t>
  </si>
  <si>
    <t>BEGR</t>
  </si>
  <si>
    <t>Lindab International AB</t>
  </si>
  <si>
    <t>Mnfr,whl building components</t>
  </si>
  <si>
    <t>LIAB</t>
  </si>
  <si>
    <t>Handelsbanken AS
Morgan Stanley</t>
  </si>
  <si>
    <t>Tilgin AB</t>
  </si>
  <si>
    <t>Mnfr,whl intelligent products</t>
  </si>
  <si>
    <t>TILG</t>
  </si>
  <si>
    <t>Evli Bank Plc
Lage Jonason Ab</t>
  </si>
  <si>
    <t>Systemair AB</t>
  </si>
  <si>
    <t>Mnfr,whl ventilation products</t>
  </si>
  <si>
    <t>SYSR</t>
  </si>
  <si>
    <t>Handelsbanken AS
Nordea Bank Sverige AB</t>
  </si>
  <si>
    <t>HMS Industrial Networks AB</t>
  </si>
  <si>
    <t>Mnfr communication tech prod</t>
  </si>
  <si>
    <t>HMS</t>
  </si>
  <si>
    <t>Duni AB</t>
  </si>
  <si>
    <t>Mnfr,whl household products</t>
  </si>
  <si>
    <t>DUNI</t>
  </si>
  <si>
    <t>Global Health Partner AB</t>
  </si>
  <si>
    <t>Provide healthcare services</t>
  </si>
  <si>
    <t>GHP</t>
  </si>
  <si>
    <t>Arise Windpower AB</t>
  </si>
  <si>
    <t>Provides wind power services</t>
  </si>
  <si>
    <t>AWP</t>
  </si>
  <si>
    <t>Byggmax Group AB</t>
  </si>
  <si>
    <t>Retails building materials</t>
  </si>
  <si>
    <t>BMAX</t>
  </si>
  <si>
    <t>Carnegie
ABG Sundal Collier</t>
  </si>
  <si>
    <t>MQ Holding AB</t>
  </si>
  <si>
    <t>Own men,women clothing stores</t>
  </si>
  <si>
    <t>MQ</t>
  </si>
  <si>
    <t>Karolinska Development AB</t>
  </si>
  <si>
    <t>Provides research services</t>
  </si>
  <si>
    <t>KDEV</t>
  </si>
  <si>
    <t>Moberg Derma AB</t>
  </si>
  <si>
    <t>Mnfr dermatological prod</t>
  </si>
  <si>
    <t>FinnvedenBulten AB</t>
  </si>
  <si>
    <t>Provides engineering services</t>
  </si>
  <si>
    <t>FBAB</t>
  </si>
  <si>
    <t>Carnegie AS
Handelsbanken Capital Markets</t>
  </si>
  <si>
    <t>Transmode Holding AB</t>
  </si>
  <si>
    <t>Pvd telecommun svcs;hldg co</t>
  </si>
  <si>
    <t>TRMO</t>
  </si>
  <si>
    <t>Carnegie
Handelsbanken Capital Markets
UBS Investment Bank</t>
  </si>
  <si>
    <t>Boule Diagnostics AB</t>
  </si>
  <si>
    <t>Mnfr,whl blood cell counters</t>
  </si>
  <si>
    <t>BOUL</t>
  </si>
  <si>
    <t>Platzer Fastigheter AB</t>
  </si>
  <si>
    <t>Land Subdivision</t>
  </si>
  <si>
    <t>PLAZ B</t>
  </si>
  <si>
    <t>Handelsbanken Capital Markets</t>
  </si>
  <si>
    <t>Oscar Properties Holding AB</t>
  </si>
  <si>
    <t>OP PR</t>
  </si>
  <si>
    <t>Investment AB Carnegie
Swedbank</t>
  </si>
  <si>
    <t>Bufab AB</t>
  </si>
  <si>
    <t>Hardware Manufacturing</t>
  </si>
  <si>
    <t>BUFAB</t>
  </si>
  <si>
    <t>Investment AB Carnegie
Handelsbanken Capital Markets</t>
  </si>
  <si>
    <t>Hemfosa Fastigheter AB</t>
  </si>
  <si>
    <t>HEMF</t>
  </si>
  <si>
    <t>SEB
Swedbank</t>
  </si>
  <si>
    <t>Recipharm AB</t>
  </si>
  <si>
    <t>RECI B</t>
  </si>
  <si>
    <t>Investment AB Carnegie
SEB</t>
  </si>
  <si>
    <t>Besqab AB</t>
  </si>
  <si>
    <t>BESQ</t>
  </si>
  <si>
    <t>Com Hem Holding AB</t>
  </si>
  <si>
    <t>Provide cable tv services</t>
  </si>
  <si>
    <t>COMH</t>
  </si>
  <si>
    <t>JP Morgan &amp; Co Inc
Morgan Stanley &amp; Co
Nordea PLC
Carnegie AS</t>
  </si>
  <si>
    <t>Bactiguard Holding AB</t>
  </si>
  <si>
    <t>Surgical and Medical Instrument Manufacturing</t>
  </si>
  <si>
    <t>BACTI</t>
  </si>
  <si>
    <t>Scandi Standard AB</t>
  </si>
  <si>
    <t>All Other Miscellaneous Food Manufacturing</t>
  </si>
  <si>
    <t>SCST</t>
  </si>
  <si>
    <t>Danske Bank
Investment AB Carnegie</t>
  </si>
  <si>
    <t>Inwido AB</t>
  </si>
  <si>
    <t>Mnfr,whl doors,windows</t>
  </si>
  <si>
    <t>INWI</t>
  </si>
  <si>
    <t>Carnegie AS
Handelsbanken Markets</t>
  </si>
  <si>
    <t>Granges AB</t>
  </si>
  <si>
    <t>Aluminum Sheet, Plate, and Foil Manufacturing</t>
  </si>
  <si>
    <t>GRNG</t>
  </si>
  <si>
    <t>SEB
Carnegie AS
Danske Bank
Handelsbank</t>
  </si>
  <si>
    <t>Lifco AB</t>
  </si>
  <si>
    <t>Wholesale dental products</t>
  </si>
  <si>
    <t>LIFCO</t>
  </si>
  <si>
    <t>Thule Group AB</t>
  </si>
  <si>
    <t>Mnfr,whl equip transp products</t>
  </si>
  <si>
    <t>THULE</t>
  </si>
  <si>
    <t>Goldman Sachs International
Nordea PLC
Morgan Stanley &amp; Co</t>
  </si>
  <si>
    <t>NP3 Fastigheter AB</t>
  </si>
  <si>
    <t>NP3</t>
  </si>
  <si>
    <t>Eltel AB</t>
  </si>
  <si>
    <t>Electrical Contractors</t>
  </si>
  <si>
    <t>ELTEL</t>
  </si>
  <si>
    <t>BNP Paribas SA
Morgan Stanley &amp; Co
SEB</t>
  </si>
  <si>
    <t>Dustin Group AB</t>
  </si>
  <si>
    <t>Computer and Computer Peripheral Equipment and Software Merchant Wholesalers</t>
  </si>
  <si>
    <t>DUST</t>
  </si>
  <si>
    <t>Investment AB Carnegie
Nordea PLC
ABG Sundal Collier
SEB</t>
  </si>
  <si>
    <t>Hoist Finance AB</t>
  </si>
  <si>
    <t>Investment Advice</t>
  </si>
  <si>
    <t>HOFI</t>
  </si>
  <si>
    <t>Investment AB Carnegie
Morgan Stanley &amp; Co
Citigroup Inc</t>
  </si>
  <si>
    <t>Troax Group AB</t>
  </si>
  <si>
    <t>Mnfr safety solutions</t>
  </si>
  <si>
    <t>TROAX</t>
  </si>
  <si>
    <t>Tobii AB</t>
  </si>
  <si>
    <t>Software Publishers</t>
  </si>
  <si>
    <t>TOBII</t>
  </si>
  <si>
    <t>Investment AB Carnegie
ABG Sundal Collier</t>
  </si>
  <si>
    <t>Collector AB</t>
  </si>
  <si>
    <t>Provide financial services</t>
  </si>
  <si>
    <t>COLL</t>
  </si>
  <si>
    <t>Coor Svc Mgmt Hldg AB</t>
  </si>
  <si>
    <t>Facilities Support Services</t>
  </si>
  <si>
    <t>COOR</t>
  </si>
  <si>
    <t>UBS Ltd
Nordea PLC
SEB
DnB Markets AS</t>
  </si>
  <si>
    <t>Nordax Group AB</t>
  </si>
  <si>
    <t>NDX</t>
  </si>
  <si>
    <t>Morgan Stanley &amp; Co
Investment AB Carnegie
Citigroup</t>
  </si>
  <si>
    <t>Alimak Group AB</t>
  </si>
  <si>
    <t>Construction and Mining (Except Oil Well) Machinery and Equipment Merchant Wholesalers</t>
  </si>
  <si>
    <t>ALIG</t>
  </si>
  <si>
    <t>SEB
Citigroup Global Markets Inc
Investment AB Carnegie</t>
  </si>
  <si>
    <t>Nobina AB</t>
  </si>
  <si>
    <t>Pvd bus transp svcs</t>
  </si>
  <si>
    <t>NOBINA</t>
  </si>
  <si>
    <t>Investment AB Carnegie
Danske Bank
Pareto Securities</t>
  </si>
  <si>
    <t>Pandox AB</t>
  </si>
  <si>
    <t>Hotels (Except Casino Hotels) and Motels</t>
  </si>
  <si>
    <t>PNDX</t>
  </si>
  <si>
    <t>ABG Sundal Collier
Handelsbanken Capital Markets
Morgan Stanley &amp; Co</t>
  </si>
  <si>
    <t>Capio AB</t>
  </si>
  <si>
    <t>Own,operate hospitals</t>
  </si>
  <si>
    <t>CAPIO</t>
  </si>
  <si>
    <t>JP Morgan &amp; Co Inc
SEB
Investment AB Carnegie
Deutsche Bank</t>
  </si>
  <si>
    <t>CLX Communications AB</t>
  </si>
  <si>
    <t>Provide wireless telecom svcs</t>
  </si>
  <si>
    <t>CLX</t>
  </si>
  <si>
    <t>Carnegie Investment Bank AB
Handelsbanken Capital Markets</t>
  </si>
  <si>
    <t>Bravida Holding AB</t>
  </si>
  <si>
    <t>Provide contracting services</t>
  </si>
  <si>
    <t>BRAV</t>
  </si>
  <si>
    <t>Deutsche Bank
Morgan Stanley &amp; Co
Nordea PLC
SEB</t>
  </si>
  <si>
    <t>Oasmia Pharmaceutical AB</t>
  </si>
  <si>
    <t>OASM</t>
  </si>
  <si>
    <t>Rodman &amp; Renshaw LLC
Joseph Gunnar &amp; Co., LLC</t>
  </si>
  <si>
    <t>Dometic Group AB</t>
  </si>
  <si>
    <t>Electric Housewares and Household Fan Manufacturing</t>
  </si>
  <si>
    <t>DOM</t>
  </si>
  <si>
    <t>Jefferies International Ltd
SEB
Morgan Stanley &amp; Co
Carnegie AS
UBS Ltd</t>
  </si>
  <si>
    <t>Attendo AB</t>
  </si>
  <si>
    <t>Pvd healthcare,care services</t>
  </si>
  <si>
    <t>ATT</t>
  </si>
  <si>
    <t>Investment AB Carnegie
SEB
Nordea PLC</t>
  </si>
  <si>
    <t>Scandic Hotels Group AB</t>
  </si>
  <si>
    <t>SHOT</t>
  </si>
  <si>
    <t>SEB
Morgan Stanley &amp; Co. International plc
ABG Sundal Collier
Deutsche Bank AG (London)</t>
  </si>
  <si>
    <t>Camurus AB</t>
  </si>
  <si>
    <t>CAMX</t>
  </si>
  <si>
    <t>Garo AB</t>
  </si>
  <si>
    <t>Electronic Connector Manufacturing</t>
  </si>
  <si>
    <t>GARO</t>
  </si>
  <si>
    <t>Investment AB Carnegie</t>
  </si>
  <si>
    <t>Humana AB</t>
  </si>
  <si>
    <t>Nursing Care Facilities</t>
  </si>
  <si>
    <t>HUM</t>
  </si>
  <si>
    <t>Investment AB Carnegie
SEB
ABG Sundal Collier
DNB ASA</t>
  </si>
  <si>
    <t>Resurs Holding AB</t>
  </si>
  <si>
    <t>RESURS</t>
  </si>
  <si>
    <t>Investment AB Carnegie
Goldman Sachs &amp; Co
Morgan Stanley &amp; Co
SEB</t>
  </si>
  <si>
    <t>Wilson Therapeutics AB</t>
  </si>
  <si>
    <t>WTX</t>
  </si>
  <si>
    <t>ABG Sundal Collier
Investment AB Carnegie
DnB Markets AS</t>
  </si>
  <si>
    <t>Nordic Waterproofing Hldg A/S</t>
  </si>
  <si>
    <t>Resilient Floor Covering Manufacturing</t>
  </si>
  <si>
    <t>NWG</t>
  </si>
  <si>
    <t>TF Bank AB</t>
  </si>
  <si>
    <t>TFBANK</t>
  </si>
  <si>
    <t>AcadeMedia AB</t>
  </si>
  <si>
    <t>Provide educational services</t>
  </si>
  <si>
    <t>ACAD</t>
  </si>
  <si>
    <t>Other Services</t>
  </si>
  <si>
    <t>Investment AB Carnegie
Nordea PLC
SEB</t>
  </si>
  <si>
    <t>Internationella Engelska</t>
  </si>
  <si>
    <t>Language Schools</t>
  </si>
  <si>
    <t>ENG</t>
  </si>
  <si>
    <t>ABG Sundal Collier
Handelsbanken Capital Markets</t>
  </si>
  <si>
    <t>Ahlsell AB</t>
  </si>
  <si>
    <t>Plumbing and Heating Equipment and Supplies (Hydronics) Merchant Wholesalers</t>
  </si>
  <si>
    <t>AHL</t>
  </si>
  <si>
    <t>Goldman Sachs International
Nordea PLC
Investment AB Carnegie
Danske Bank
Deutsche Bank
JP Morgan Securities Inc
UBS Ltd</t>
  </si>
  <si>
    <t>Alligator Bioscience AB</t>
  </si>
  <si>
    <t>ATORX</t>
  </si>
  <si>
    <t>Investment AB Carnegie
DnB Markets AS</t>
  </si>
  <si>
    <t>SERNEKE Group AB</t>
  </si>
  <si>
    <t>SRNKE</t>
  </si>
  <si>
    <t>Edgeware AB</t>
  </si>
  <si>
    <t>Radio and Television Broadcasting and Wireless Communications Equipment Manufacturing</t>
  </si>
  <si>
    <t>EDGE</t>
  </si>
  <si>
    <t>Danionics A/S</t>
  </si>
  <si>
    <t>Manufacture,whl batteries</t>
  </si>
  <si>
    <t>DANIO</t>
  </si>
  <si>
    <t>OMX Copen</t>
  </si>
  <si>
    <t>Thrane &amp; Thrane A/S</t>
  </si>
  <si>
    <t>Mnfr satellite commun equip</t>
  </si>
  <si>
    <t>THRAN</t>
  </si>
  <si>
    <t>TopoTarget A/S</t>
  </si>
  <si>
    <t>TOPO</t>
  </si>
  <si>
    <t>Handelsbanken AS
Danske Bank
ABN AMRO Rothschild</t>
  </si>
  <si>
    <t>Curalogic AS</t>
  </si>
  <si>
    <t>Mnfr pharm</t>
  </si>
  <si>
    <t>CUR</t>
  </si>
  <si>
    <t>Danske Markets</t>
  </si>
  <si>
    <t>LifeCycle Pharma A/S</t>
  </si>
  <si>
    <t>Manufacture pharmaceuticals</t>
  </si>
  <si>
    <t>LCP</t>
  </si>
  <si>
    <t>Morgan Stanley
Danske Markets</t>
  </si>
  <si>
    <t>Exiqon A/S</t>
  </si>
  <si>
    <t>Mnfr,whl gene analysis product</t>
  </si>
  <si>
    <t>EXQ</t>
  </si>
  <si>
    <t>Nordic Tankers A/S</t>
  </si>
  <si>
    <t>NORDIC</t>
  </si>
  <si>
    <t>Nordea Bank Sverige AB</t>
  </si>
  <si>
    <t>Trifork A/S</t>
  </si>
  <si>
    <t>Pvd software development svcs</t>
  </si>
  <si>
    <t>TRIFOR</t>
  </si>
  <si>
    <t>Nordea Bank Finland PLC</t>
  </si>
  <si>
    <t>FormueEvolution II A/S</t>
  </si>
  <si>
    <t>Investment management services</t>
  </si>
  <si>
    <t>FEII</t>
  </si>
  <si>
    <t>Sydbank A/S</t>
  </si>
  <si>
    <t>Prime Office A/S</t>
  </si>
  <si>
    <t>PRIMOF</t>
  </si>
  <si>
    <t>RE invest firm</t>
  </si>
  <si>
    <t>Cimber Sterling Group A/S</t>
  </si>
  <si>
    <t>Provide passenger airline svc</t>
  </si>
  <si>
    <t>CIMBER</t>
  </si>
  <si>
    <t>Chr Hansen Holding A/S</t>
  </si>
  <si>
    <t>Produce,whl food ingredients</t>
  </si>
  <si>
    <t>CHR DC</t>
  </si>
  <si>
    <t>Credit Suisse
Danske Markets
JP Morgan Securities Ltd (United Kingdom)
Morgan Stanley
SEB</t>
  </si>
  <si>
    <t>PANDORA A/S</t>
  </si>
  <si>
    <t>Manufacture,whl jewelry</t>
  </si>
  <si>
    <t>PNDORA</t>
  </si>
  <si>
    <t>Goldman Sachs International
JP Morgan Securities Ltd (United Kingdom)
Nordea PLC
Morgan Stanley</t>
  </si>
  <si>
    <t>Danske Andelskassers Bank A/S</t>
  </si>
  <si>
    <t>Investment bank</t>
  </si>
  <si>
    <t>DAB</t>
  </si>
  <si>
    <t>Retails cosmetic products</t>
  </si>
  <si>
    <t>MATAS</t>
  </si>
  <si>
    <t>Morgan Stanley
Nordea PLC</t>
  </si>
  <si>
    <t>ISS A/S</t>
  </si>
  <si>
    <t>ISS</t>
  </si>
  <si>
    <t>Goldman Sachs International
UBS Investment Bank
Nordea PLC
Barclays PLC
Morgan Stanley &amp; Co</t>
  </si>
  <si>
    <t>OW Bunker A/S</t>
  </si>
  <si>
    <t>Petroleum and Petroleum Products Merchant Wholesalers (Except Bulk Stations and Terminals)</t>
  </si>
  <si>
    <t>OW</t>
  </si>
  <si>
    <t>Investment AB Carnegie
Morgan Stanley International Ltd
Nordea Markets</t>
  </si>
  <si>
    <t>NNIT A/S</t>
  </si>
  <si>
    <t>Provide info tech services</t>
  </si>
  <si>
    <t>NNIT</t>
  </si>
  <si>
    <t>Danske Bank
Morgan Stanley &amp; Co. International plc</t>
  </si>
  <si>
    <t>Scandinavian Tobacco Group A/S</t>
  </si>
  <si>
    <t>Other Tobacco Product Manufacturing</t>
  </si>
  <si>
    <t>STG</t>
  </si>
  <si>
    <t>JP Morgan Securities Inc
Deutsche Bank AG (London)
Nordea Markets</t>
  </si>
  <si>
    <t>DONG Energy A/S</t>
  </si>
  <si>
    <t>Oil,gas exploration,production</t>
  </si>
  <si>
    <t>DENERG</t>
  </si>
  <si>
    <t>Danske Bank
UBS
Citigroup
JP Morgan &amp; Co Inc
Morgan Stanley &amp; Co. International plc
Nordea PLC</t>
  </si>
  <si>
    <t>Nets A/S</t>
  </si>
  <si>
    <t>Financial Transactions Processing, Reserve, and Clearinghouse Activities</t>
  </si>
  <si>
    <t>NETS</t>
  </si>
  <si>
    <t>Deutsche Bank
Morgan Stanley International Ltd
Nordea PLC
Danske Bank
DnB Markets AS
JP Morgan Securities Inc
UBS Investment Bank</t>
  </si>
  <si>
    <t>AffectoGenimap Oyj</t>
  </si>
  <si>
    <t>Pvd database info svcs</t>
  </si>
  <si>
    <t>AFE1V</t>
  </si>
  <si>
    <t>Helsinki</t>
  </si>
  <si>
    <t>Salcomp Oy</t>
  </si>
  <si>
    <t>Mnfr mobile phone chargers</t>
  </si>
  <si>
    <t>SAL1V</t>
  </si>
  <si>
    <t>Mandatum &amp; Co Oy</t>
  </si>
  <si>
    <t>Ahlstrom Paper Group Oy</t>
  </si>
  <si>
    <t>Mnfr paper,paper products</t>
  </si>
  <si>
    <t>FIM Group Corp</t>
  </si>
  <si>
    <t>Pvd asset mgmt,brkg svcs</t>
  </si>
  <si>
    <t>Carnegie AB</t>
  </si>
  <si>
    <t>Outokumpu Technology Oyj</t>
  </si>
  <si>
    <t>Gold,silver,copper mining</t>
  </si>
  <si>
    <t>OTE1V</t>
  </si>
  <si>
    <t>Nordea Bank Sverige AB
Lehman Brothers International</t>
  </si>
  <si>
    <t>Suomen Terveystalo Oyj</t>
  </si>
  <si>
    <t>Own,op med clinics</t>
  </si>
  <si>
    <t>SUT1V</t>
  </si>
  <si>
    <t>Investment company</t>
  </si>
  <si>
    <t>Danware Data A/S</t>
  </si>
  <si>
    <t>Dvlp Internet software</t>
  </si>
  <si>
    <t>DANW</t>
  </si>
  <si>
    <t>Copenhagen</t>
  </si>
  <si>
    <t>Gudme Raaschou Securities</t>
  </si>
  <si>
    <t>TrygVesta A/S(NOW 86141N)</t>
  </si>
  <si>
    <t>Ins co</t>
  </si>
  <si>
    <t>TRYG</t>
  </si>
  <si>
    <t>Nordea Bank Sverige AB
Morgan Stanley International Ltd
Citigroup
SEB
Danske Markets</t>
  </si>
  <si>
    <t>Wirtek A/S</t>
  </si>
  <si>
    <t>WIRTEK</t>
  </si>
  <si>
    <t>Formuepleje Merkur A/S</t>
  </si>
  <si>
    <t>Formuepleje A/S</t>
  </si>
  <si>
    <t>KlimaInvest A/S</t>
  </si>
  <si>
    <t>Eik Bank Danmark A/S</t>
  </si>
  <si>
    <t>Zealand Pharma A/S</t>
  </si>
  <si>
    <t>Mnfr peptide drugs</t>
  </si>
  <si>
    <t>Danske Securities AB
Jefferies Group Inc</t>
  </si>
  <si>
    <t>Kemira GrowHow</t>
  </si>
  <si>
    <t>Mnfr nitrogenous fertilizer</t>
  </si>
  <si>
    <t>Alfred Berg Oy</t>
  </si>
  <si>
    <t>Neste Oil Corporation</t>
  </si>
  <si>
    <t>Whl petroleum,petroleum prod</t>
  </si>
  <si>
    <t>Morgan Stanley International Ltd
Merrill Lynch International Ltd
ABN AMRO Rothschild
Nordea Bank Sverige AB</t>
  </si>
  <si>
    <t>Domstein AS</t>
  </si>
  <si>
    <t>Produce frozen fish prod</t>
  </si>
  <si>
    <t>Exploration Resources ASA</t>
  </si>
  <si>
    <t>SEB
First Securities AS</t>
  </si>
  <si>
    <t>Oslo Areal AS</t>
  </si>
  <si>
    <t>Revus Energy ASA</t>
  </si>
  <si>
    <t>Oil,gas exploration,prodn</t>
  </si>
  <si>
    <t>NorDiag ASA</t>
  </si>
  <si>
    <t>Renewable Energy Corp ASA</t>
  </si>
  <si>
    <t>Mnfr solar grade sys</t>
  </si>
  <si>
    <t>Pertra ASA</t>
  </si>
  <si>
    <t>Norwegian Property AS</t>
  </si>
  <si>
    <t>Re invest firm</t>
  </si>
  <si>
    <t>ElectroMagnetic GeoService AS</t>
  </si>
  <si>
    <t>Pvd imaging svcs</t>
  </si>
  <si>
    <t>Goldman Sachs &amp; Co
ABG Sundal Collier
Lehman Brothers International</t>
  </si>
  <si>
    <t>Vitrolife AB</t>
  </si>
  <si>
    <t>Intrum Justitia AB</t>
  </si>
  <si>
    <t>Pvd receivables mgmt svcs</t>
  </si>
  <si>
    <t>Ballingslov International AB</t>
  </si>
  <si>
    <t>Mnfr,whl kitchen cabinets</t>
  </si>
  <si>
    <t>Alfred Berg Fondkommission AB</t>
  </si>
  <si>
    <t>KappAhl AB</t>
  </si>
  <si>
    <t>own,op fashion chains</t>
  </si>
  <si>
    <t>Carnegie AS
Goldman Sachs &amp; Co</t>
  </si>
  <si>
    <t>High price</t>
  </si>
  <si>
    <t>Low price</t>
  </si>
  <si>
    <t xml:space="preserve">Primary
Exchange
</t>
  </si>
  <si>
    <t>Currency (total assets)</t>
  </si>
  <si>
    <t>SEK</t>
  </si>
  <si>
    <t>DKK</t>
  </si>
  <si>
    <t>NOK</t>
  </si>
  <si>
    <t>SEVDR</t>
  </si>
  <si>
    <t>EUR</t>
  </si>
  <si>
    <t>ODL</t>
  </si>
  <si>
    <t>Aker American Shipping ASA</t>
  </si>
  <si>
    <t>AKASA</t>
  </si>
  <si>
    <t>nok</t>
  </si>
  <si>
    <t>01.01.1883</t>
  </si>
  <si>
    <t>01.01.1853</t>
  </si>
  <si>
    <t>01.01.1838</t>
  </si>
  <si>
    <t>01.01.1861</t>
  </si>
  <si>
    <t>01.01.1885</t>
  </si>
  <si>
    <t>01.01.1896</t>
  </si>
  <si>
    <t>01.01.1877</t>
  </si>
  <si>
    <t>01.01.1874</t>
  </si>
  <si>
    <t>01.01.1750</t>
  </si>
  <si>
    <t>01.01.1880</t>
  </si>
  <si>
    <t>RECAS</t>
  </si>
  <si>
    <t>Closing price</t>
  </si>
  <si>
    <t>Pricing technique m</t>
  </si>
  <si>
    <t>Total assets manual</t>
  </si>
  <si>
    <t>Date error</t>
  </si>
  <si>
    <t>LN_Age</t>
  </si>
  <si>
    <t>DnB NOR MARKETS</t>
  </si>
  <si>
    <t xml:space="preserve">
First Securities AS
ABG Sundal Collier
Fearnley Fonds A/S</t>
  </si>
  <si>
    <t>Argo Securities</t>
  </si>
  <si>
    <t>Swedbank                          Catella Corporate finance</t>
  </si>
  <si>
    <t>Vastra Hamnen Fondkommission AB</t>
  </si>
  <si>
    <t>Brocorfi AS</t>
  </si>
  <si>
    <t>Sparekassen ostjylland, sparekassen himmerland, den jyske sparekasse, capinordic ank, aarhus lokalbank</t>
  </si>
  <si>
    <t>OKO Corporate Finance Oyj</t>
  </si>
  <si>
    <t xml:space="preserve">
ABG Sundal Collier
First Securities AS</t>
  </si>
  <si>
    <t>Low</t>
  </si>
  <si>
    <t>High</t>
  </si>
  <si>
    <t>OBX</t>
  </si>
  <si>
    <t>Date</t>
  </si>
  <si>
    <t>Return</t>
  </si>
  <si>
    <t>na</t>
  </si>
  <si>
    <t>SIC</t>
  </si>
  <si>
    <t>Dummy</t>
  </si>
  <si>
    <t>NORCPIALLMINMEI</t>
  </si>
  <si>
    <t>SWECPIALLMINMEI</t>
  </si>
  <si>
    <t>DNKCPIALLMINMEI</t>
  </si>
  <si>
    <t>FINCPIALLMINMEI</t>
  </si>
  <si>
    <t>30d return</t>
  </si>
  <si>
    <t>30 stddev</t>
  </si>
  <si>
    <t>30d stddev</t>
  </si>
  <si>
    <t>30 d return</t>
  </si>
  <si>
    <t>30d stdev</t>
  </si>
  <si>
    <t>30 stdev</t>
  </si>
  <si>
    <t>Above</t>
  </si>
  <si>
    <t>Below</t>
  </si>
  <si>
    <t>Total</t>
  </si>
  <si>
    <t>Average</t>
  </si>
  <si>
    <t>Number if IPOs</t>
  </si>
  <si>
    <t>Hot/cold</t>
  </si>
  <si>
    <t>Distribution of initial returns</t>
  </si>
  <si>
    <t>N</t>
  </si>
  <si>
    <t>LN_assets</t>
  </si>
  <si>
    <t>OP</t>
  </si>
  <si>
    <t>CP</t>
  </si>
  <si>
    <t>Nation dummy</t>
  </si>
  <si>
    <t>Hot</t>
  </si>
  <si>
    <t>Age</t>
  </si>
  <si>
    <t>Gross proceeds</t>
  </si>
  <si>
    <t>&lt;-30%</t>
  </si>
  <si>
    <t>(-30%) - (-15%)</t>
  </si>
  <si>
    <t>(-15%) - (-12,5%)</t>
  </si>
  <si>
    <t>(-12,5%) - (-10%)</t>
  </si>
  <si>
    <t>(-10%) - (-7,5%)</t>
  </si>
  <si>
    <t>(-7,5%) - (-5%)</t>
  </si>
  <si>
    <t>(-5%) - (-2,5%)</t>
  </si>
  <si>
    <t>(-2,5%) - 0%</t>
  </si>
  <si>
    <t>0% - 2,5%</t>
  </si>
  <si>
    <t>2,5% - 5%</t>
  </si>
  <si>
    <t>5% - 7,5%</t>
  </si>
  <si>
    <t>7,5% - 10%</t>
  </si>
  <si>
    <t>10% - 12,5%</t>
  </si>
  <si>
    <t>12,5% - 15%</t>
  </si>
  <si>
    <t>15% - 30%</t>
  </si>
  <si>
    <t>&gt;30%</t>
  </si>
  <si>
    <t>First-day return</t>
  </si>
  <si>
    <t>Send index date</t>
  </si>
  <si>
    <t>Inflated Assets</t>
  </si>
  <si>
    <t>High price (SDC)</t>
  </si>
  <si>
    <t>Low price (SDC)</t>
  </si>
  <si>
    <t>Trade Date (SDC)</t>
  </si>
  <si>
    <t>Trade date</t>
  </si>
  <si>
    <t>Pricing Technique (SDC)</t>
  </si>
  <si>
    <t>Matas A/S</t>
  </si>
  <si>
    <t>Name</t>
  </si>
  <si>
    <t>Code</t>
  </si>
  <si>
    <t>NORWEGIAN KRONE TO US $ (WMR) - EXCHANGE RATE</t>
  </si>
  <si>
    <t>NORKRO$</t>
  </si>
  <si>
    <t>SWEDISH KRONA TO US $ (WMR) - EXCHANGE RATE</t>
  </si>
  <si>
    <t>SWEKRO$</t>
  </si>
  <si>
    <t>DANISH KRONE TO US $ (WMR) - EXCHANGE RATE</t>
  </si>
  <si>
    <t>DANISH$</t>
  </si>
  <si>
    <t>EURO TO US $ (WMR&amp;DS) - EXCHANGE RATE</t>
  </si>
  <si>
    <t>EUDOLLR</t>
  </si>
  <si>
    <t>FX date</t>
  </si>
  <si>
    <t>ABG</t>
  </si>
  <si>
    <t>DNB</t>
  </si>
  <si>
    <t>Danske</t>
  </si>
  <si>
    <t>Other</t>
  </si>
  <si>
    <t>Handelsbanken</t>
  </si>
  <si>
    <t>International</t>
  </si>
  <si>
    <t>SE</t>
  </si>
  <si>
    <t>DK</t>
  </si>
  <si>
    <t>NO</t>
  </si>
  <si>
    <t>Volume</t>
  </si>
  <si>
    <t>Nordea</t>
  </si>
  <si>
    <t>Pareto</t>
  </si>
  <si>
    <t>24 750 570 587</t>
  </si>
  <si>
    <t>2 637 109 061</t>
  </si>
  <si>
    <t>1 099 103 062</t>
  </si>
  <si>
    <t>622 195 534</t>
  </si>
  <si>
    <t>2 668 203 812</t>
  </si>
  <si>
    <t>6 628 651 612</t>
  </si>
  <si>
    <t>13 542 855 827</t>
  </si>
  <si>
    <t>1 292 148 038</t>
  </si>
  <si>
    <t xml:space="preserve">33 394 733 092 </t>
  </si>
  <si>
    <t>2 420 573 176</t>
  </si>
  <si>
    <t>1 145 563 461</t>
  </si>
  <si>
    <t>12 613 495 375</t>
  </si>
  <si>
    <t>10 120 963 390</t>
  </si>
  <si>
    <t>2 250 000 000</t>
  </si>
  <si>
    <t>75 000 000</t>
  </si>
  <si>
    <t>1 522 500 000</t>
  </si>
  <si>
    <t>1 307 500 000</t>
  </si>
  <si>
    <t>1 583 734 024</t>
  </si>
  <si>
    <t>406 141 853</t>
  </si>
  <si>
    <t>476 266 430</t>
  </si>
  <si>
    <t>372 116 963</t>
  </si>
  <si>
    <t>34 697 964</t>
  </si>
  <si>
    <t>144 150 513</t>
  </si>
  <si>
    <t>326 750 495</t>
  </si>
  <si>
    <t>773 432 861</t>
  </si>
  <si>
    <t>10 877 191 671</t>
  </si>
  <si>
    <t>11 598 524 574</t>
  </si>
  <si>
    <t>2 008 621 864</t>
  </si>
  <si>
    <t>521 182 475</t>
  </si>
  <si>
    <t>34 781 936 399</t>
  </si>
  <si>
    <t xml:space="preserve">2 123 888 131 </t>
  </si>
  <si>
    <t>16 495 004 139</t>
  </si>
  <si>
    <t>2 905 000 001</t>
  </si>
  <si>
    <t xml:space="preserve">1 081 597 803 </t>
  </si>
  <si>
    <t>3 687 583 955</t>
  </si>
  <si>
    <t>22 314 894 825</t>
  </si>
  <si>
    <t>ABN Amro</t>
  </si>
  <si>
    <t>Formuepleje</t>
  </si>
  <si>
    <t>Arctic</t>
  </si>
  <si>
    <t>First</t>
  </si>
  <si>
    <t>Sydbank</t>
  </si>
  <si>
    <t>EK CONSUMER CONFIDENCE INDICATOR (EA) SADJ</t>
  </si>
  <si>
    <t>EKCNFCONQ</t>
  </si>
  <si>
    <t>FI</t>
  </si>
  <si>
    <t>9 748 767 646</t>
  </si>
  <si>
    <t>Technique</t>
  </si>
  <si>
    <t>Tech</t>
  </si>
  <si>
    <t>Rank</t>
  </si>
  <si>
    <t>HC</t>
  </si>
  <si>
    <t>D Carnegie &amp; Co AB</t>
  </si>
  <si>
    <t>-</t>
  </si>
  <si>
    <t>Goldman Sachs International
Carnegie AB</t>
  </si>
  <si>
    <t>01.01.1802</t>
  </si>
  <si>
    <t>Securities brokerage firm</t>
  </si>
  <si>
    <t xml:space="preserve">FIM Group OYJ </t>
  </si>
  <si>
    <t>OMX Helsinki</t>
  </si>
  <si>
    <t>24 413 440 052</t>
  </si>
  <si>
    <t>150 992 064</t>
  </si>
  <si>
    <t>45 909 439 753</t>
  </si>
  <si>
    <t>Mean</t>
  </si>
  <si>
    <t>SD</t>
  </si>
  <si>
    <t>Tstat</t>
  </si>
  <si>
    <t>Obs</t>
  </si>
  <si>
    <t>Average age</t>
  </si>
  <si>
    <t>Median Age</t>
  </si>
  <si>
    <t>Average assets</t>
  </si>
  <si>
    <t>Median assets</t>
  </si>
  <si>
    <t>RR</t>
  </si>
  <si>
    <t>MAR</t>
  </si>
  <si>
    <t>Sentiment</t>
  </si>
  <si>
    <t>Market return</t>
  </si>
  <si>
    <t>Market stdev</t>
  </si>
  <si>
    <t>&lt;-15%</t>
  </si>
  <si>
    <t>&lt;12.5%</t>
  </si>
  <si>
    <t>&lt;10%</t>
  </si>
  <si>
    <t>&lt;7.5%</t>
  </si>
  <si>
    <t>&lt;5%</t>
  </si>
  <si>
    <t>&lt;2.5%</t>
  </si>
  <si>
    <t>&lt;0%</t>
  </si>
  <si>
    <t>&lt;15%</t>
  </si>
  <si>
    <t>&lt;30%</t>
  </si>
  <si>
    <t>Frq.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</si>
</sst>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 * #,##0.00_ ;_ * \-#,##0.00_ ;_ * &quot;-&quot;??_ ;_ @_ "/>
    <numFmt numFmtId="165" formatCode="################.000"/>
    <numFmt numFmtId="166" formatCode="################.00"/>
    <numFmt numFmtId="167" formatCode="################"/>
    <numFmt numFmtId="168" formatCode="#,###,###,###,###,###"/>
    <numFmt numFmtId="169" formatCode="#,###,###,###,###,###.00"/>
    <numFmt numFmtId="170" formatCode="0.000"/>
    <numFmt numFmtId="171" formatCode="0.0000"/>
    <numFmt numFmtId="172" formatCode="#,##0.00###"/>
    <numFmt numFmtId="173" formatCode="dd\.mm\.yy"/>
    <numFmt numFmtId="174" formatCode="yyyy\-mm\-dd"/>
    <numFmt numFmtId="17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206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9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41">
    <xf numFmtId="0" fontId="0" fillId="0" borderId="0" xfId="0"/>
    <xf numFmtId="14" fontId="4" fillId="0" borderId="0" xfId="3" applyNumberFormat="1" applyFont="1" applyFill="1" applyAlignment="1" applyProtection="1">
      <alignment horizontal="center" vertical="center"/>
    </xf>
    <xf numFmtId="2" fontId="9" fillId="0" borderId="0" xfId="3" applyNumberFormat="1" applyFont="1" applyFill="1" applyAlignment="1" applyProtection="1">
      <alignment horizontal="center" vertical="center"/>
    </xf>
    <xf numFmtId="165" fontId="2" fillId="0" borderId="0" xfId="3" applyNumberFormat="1" applyFill="1" applyAlignment="1" applyProtection="1">
      <alignment horizontal="center" vertical="center" wrapText="1"/>
    </xf>
    <xf numFmtId="0" fontId="2" fillId="0" borderId="0" xfId="3" applyFill="1" applyAlignment="1" applyProtection="1">
      <alignment horizontal="center" vertical="center"/>
    </xf>
    <xf numFmtId="2" fontId="2" fillId="0" borderId="0" xfId="3" applyNumberFormat="1" applyFill="1" applyAlignment="1" applyProtection="1">
      <alignment horizontal="center" vertical="center"/>
    </xf>
    <xf numFmtId="2" fontId="4" fillId="0" borderId="0" xfId="3" applyNumberFormat="1" applyFont="1" applyFill="1" applyAlignment="1" applyProtection="1">
      <alignment horizontal="center" vertical="center" wrapText="1"/>
    </xf>
    <xf numFmtId="2" fontId="2" fillId="0" borderId="0" xfId="3" applyNumberFormat="1" applyFill="1" applyAlignment="1" applyProtection="1">
      <alignment horizontal="center" vertical="center" wrapText="1"/>
    </xf>
    <xf numFmtId="0" fontId="2" fillId="0" borderId="0" xfId="3" applyFill="1" applyAlignment="1" applyProtection="1">
      <alignment horizontal="center" vertical="center" wrapText="1"/>
    </xf>
    <xf numFmtId="0" fontId="10" fillId="0" borderId="0" xfId="64"/>
    <xf numFmtId="172" fontId="10" fillId="0" borderId="0" xfId="64" applyNumberFormat="1"/>
    <xf numFmtId="173" fontId="10" fillId="0" borderId="0" xfId="64" applyNumberFormat="1"/>
    <xf numFmtId="14" fontId="10" fillId="0" borderId="0" xfId="64" applyNumberFormat="1"/>
    <xf numFmtId="10" fontId="10" fillId="0" borderId="0" xfId="2" applyNumberFormat="1" applyFont="1"/>
    <xf numFmtId="0" fontId="2" fillId="0" borderId="0" xfId="3"/>
    <xf numFmtId="2" fontId="2" fillId="0" borderId="0" xfId="3" applyNumberFormat="1" applyFont="1" applyFill="1" applyBorder="1" applyAlignment="1" applyProtection="1"/>
    <xf numFmtId="174" fontId="2" fillId="0" borderId="0" xfId="3" applyNumberFormat="1" applyFont="1" applyFill="1" applyBorder="1" applyAlignment="1" applyProtection="1"/>
    <xf numFmtId="0" fontId="11" fillId="0" borderId="0" xfId="64" applyFont="1"/>
    <xf numFmtId="0" fontId="3" fillId="0" borderId="0" xfId="3" applyFont="1"/>
    <xf numFmtId="0" fontId="11" fillId="0" borderId="0" xfId="64" applyFont="1" applyFill="1"/>
    <xf numFmtId="2" fontId="4" fillId="0" borderId="0" xfId="3" applyNumberFormat="1" applyFont="1" applyFill="1" applyAlignment="1" applyProtection="1">
      <alignment horizontal="center" vertical="center"/>
    </xf>
    <xf numFmtId="0" fontId="12" fillId="0" borderId="0" xfId="0" applyFont="1"/>
    <xf numFmtId="10" fontId="0" fillId="0" borderId="0" xfId="2" applyNumberFormat="1" applyFont="1"/>
    <xf numFmtId="10" fontId="0" fillId="0" borderId="0" xfId="0" applyNumberFormat="1"/>
    <xf numFmtId="2" fontId="0" fillId="0" borderId="0" xfId="0" applyNumberFormat="1"/>
    <xf numFmtId="1" fontId="0" fillId="0" borderId="0" xfId="0" applyNumberFormat="1"/>
    <xf numFmtId="175" fontId="0" fillId="0" borderId="0" xfId="1" applyNumberFormat="1" applyFont="1"/>
    <xf numFmtId="171" fontId="0" fillId="0" borderId="0" xfId="0" applyNumberFormat="1"/>
    <xf numFmtId="0" fontId="0" fillId="0" borderId="0" xfId="0" applyNumberFormat="1"/>
    <xf numFmtId="14" fontId="2" fillId="0" borderId="0" xfId="3" applyNumberFormat="1" applyFill="1" applyAlignment="1" applyProtection="1">
      <alignment horizontal="center" vertical="center" wrapText="1"/>
    </xf>
    <xf numFmtId="168" fontId="4" fillId="0" borderId="0" xfId="3" applyNumberFormat="1" applyFont="1" applyFill="1" applyAlignment="1" applyProtection="1">
      <alignment horizontal="center" vertical="center" wrapText="1"/>
    </xf>
    <xf numFmtId="166" fontId="2" fillId="0" borderId="0" xfId="3" applyNumberFormat="1" applyFill="1" applyAlignment="1" applyProtection="1">
      <alignment horizontal="center" vertical="center" wrapText="1"/>
    </xf>
    <xf numFmtId="14" fontId="4" fillId="0" borderId="0" xfId="3" applyNumberFormat="1" applyFont="1" applyFill="1" applyAlignment="1" applyProtection="1">
      <alignment horizontal="center" vertical="center" wrapText="1"/>
    </xf>
    <xf numFmtId="0" fontId="4" fillId="0" borderId="0" xfId="3" applyFont="1" applyFill="1" applyAlignment="1" applyProtection="1">
      <alignment horizontal="center" vertical="center" wrapText="1"/>
    </xf>
    <xf numFmtId="167" fontId="4" fillId="0" borderId="0" xfId="3" applyNumberFormat="1" applyFont="1" applyFill="1" applyAlignment="1" applyProtection="1">
      <alignment horizontal="center" vertical="center" wrapText="1"/>
    </xf>
    <xf numFmtId="167" fontId="2" fillId="0" borderId="0" xfId="3" applyNumberFormat="1" applyFill="1" applyAlignment="1" applyProtection="1">
      <alignment horizontal="center" vertical="center" wrapText="1"/>
    </xf>
    <xf numFmtId="1" fontId="2" fillId="0" borderId="0" xfId="3" applyNumberFormat="1" applyFill="1" applyAlignment="1" applyProtection="1">
      <alignment horizontal="center" vertical="center" wrapText="1"/>
    </xf>
    <xf numFmtId="170" fontId="4" fillId="0" borderId="0" xfId="1" applyNumberFormat="1" applyFont="1" applyFill="1" applyAlignment="1" applyProtection="1">
      <alignment horizontal="center" vertical="center" wrapText="1"/>
    </xf>
    <xf numFmtId="170" fontId="4" fillId="0" borderId="0" xfId="2" applyNumberFormat="1" applyFont="1" applyFill="1" applyAlignment="1" applyProtection="1">
      <alignment horizontal="center" vertical="center" wrapText="1"/>
    </xf>
    <xf numFmtId="170" fontId="4" fillId="0" borderId="0" xfId="2" applyNumberFormat="1" applyFont="1" applyFill="1" applyAlignment="1" applyProtection="1">
      <alignment horizontal="center" vertical="center"/>
    </xf>
    <xf numFmtId="0" fontId="4" fillId="0" borderId="0" xfId="3" applyFont="1" applyFill="1" applyAlignment="1" applyProtection="1">
      <alignment horizontal="center" vertical="center"/>
    </xf>
    <xf numFmtId="14" fontId="2" fillId="0" borderId="0" xfId="3" applyNumberFormat="1" applyFill="1" applyAlignment="1" applyProtection="1">
      <alignment horizontal="center" vertical="center"/>
    </xf>
    <xf numFmtId="0" fontId="2" fillId="0" borderId="0" xfId="3" applyNumberFormat="1" applyFill="1" applyAlignment="1" applyProtection="1">
      <alignment horizontal="center" vertical="center"/>
    </xf>
    <xf numFmtId="0" fontId="0" fillId="0" borderId="0" xfId="0" applyAlignment="1">
      <alignment horizontal="left"/>
    </xf>
    <xf numFmtId="0" fontId="0" fillId="0" borderId="0" xfId="0" quotePrefix="1"/>
    <xf numFmtId="0" fontId="0" fillId="0" borderId="0" xfId="0"/>
    <xf numFmtId="14" fontId="0" fillId="0" borderId="0" xfId="0" applyNumberFormat="1"/>
    <xf numFmtId="0" fontId="3" fillId="0" borderId="0" xfId="3" applyFont="1" applyFill="1" applyAlignment="1" applyProtection="1">
      <alignment horizontal="center" vertical="center" wrapText="1"/>
    </xf>
    <xf numFmtId="14" fontId="3" fillId="0" borderId="0" xfId="3" applyNumberFormat="1" applyFont="1" applyFill="1" applyAlignment="1" applyProtection="1">
      <alignment horizontal="center" vertical="center"/>
    </xf>
    <xf numFmtId="2" fontId="3" fillId="0" borderId="0" xfId="3" applyNumberFormat="1" applyFont="1" applyFill="1" applyAlignment="1" applyProtection="1">
      <alignment horizontal="center" vertical="center"/>
    </xf>
    <xf numFmtId="2" fontId="8" fillId="0" borderId="0" xfId="3" applyNumberFormat="1" applyFont="1" applyFill="1" applyAlignment="1" applyProtection="1">
      <alignment horizontal="center" vertical="center"/>
    </xf>
    <xf numFmtId="0" fontId="3" fillId="0" borderId="0" xfId="3" applyFont="1" applyFill="1" applyAlignment="1" applyProtection="1">
      <alignment horizontal="center" vertical="center"/>
    </xf>
    <xf numFmtId="170" fontId="3" fillId="0" borderId="0" xfId="2" applyNumberFormat="1" applyFont="1" applyFill="1" applyAlignment="1" applyProtection="1">
      <alignment horizontal="center" vertical="center" wrapText="1"/>
    </xf>
    <xf numFmtId="2" fontId="3" fillId="0" borderId="0" xfId="3" applyNumberFormat="1" applyFont="1" applyFill="1" applyAlignment="1" applyProtection="1">
      <alignment horizontal="center" vertical="center" wrapText="1"/>
    </xf>
    <xf numFmtId="14" fontId="3" fillId="0" borderId="0" xfId="3" applyNumberFormat="1" applyFont="1" applyFill="1" applyAlignment="1" applyProtection="1">
      <alignment horizontal="center" vertical="center" wrapText="1"/>
    </xf>
    <xf numFmtId="0" fontId="3" fillId="0" borderId="0" xfId="3" applyNumberFormat="1" applyFont="1" applyFill="1" applyAlignment="1" applyProtection="1">
      <alignment horizontal="center" vertical="center" wrapText="1"/>
    </xf>
    <xf numFmtId="165" fontId="2" fillId="0" borderId="0" xfId="3" applyNumberFormat="1" applyFont="1" applyFill="1" applyAlignment="1" applyProtection="1">
      <alignment horizontal="center" vertical="center" wrapText="1"/>
    </xf>
    <xf numFmtId="171" fontId="4" fillId="0" borderId="0" xfId="1" applyNumberFormat="1" applyFont="1" applyFill="1" applyAlignment="1" applyProtection="1">
      <alignment horizontal="center" vertical="center" wrapText="1"/>
    </xf>
    <xf numFmtId="168" fontId="2" fillId="0" borderId="0" xfId="3" applyNumberFormat="1" applyFill="1" applyAlignment="1" applyProtection="1">
      <alignment horizontal="center" vertical="center" wrapText="1"/>
    </xf>
    <xf numFmtId="2" fontId="2" fillId="0" borderId="0" xfId="3" applyNumberFormat="1" applyFont="1" applyFill="1" applyAlignment="1" applyProtection="1">
      <alignment horizontal="center" vertical="center"/>
    </xf>
    <xf numFmtId="169" fontId="2" fillId="0" borderId="0" xfId="3" applyNumberFormat="1" applyFill="1" applyAlignment="1" applyProtection="1">
      <alignment horizontal="center" vertical="center" wrapText="1"/>
    </xf>
    <xf numFmtId="166" fontId="4" fillId="0" borderId="0" xfId="3" applyNumberFormat="1" applyFont="1" applyFill="1" applyAlignment="1" applyProtection="1">
      <alignment horizontal="center" vertical="center" wrapText="1"/>
    </xf>
    <xf numFmtId="169" fontId="4" fillId="0" borderId="0" xfId="3" applyNumberFormat="1" applyFont="1" applyFill="1" applyAlignment="1" applyProtection="1">
      <alignment horizontal="center" vertical="center" wrapText="1"/>
    </xf>
    <xf numFmtId="0" fontId="7" fillId="0" borderId="0" xfId="3" applyFont="1" applyFill="1" applyAlignment="1" applyProtection="1">
      <alignment horizontal="center" vertical="center"/>
    </xf>
    <xf numFmtId="0" fontId="2" fillId="0" borderId="0" xfId="3" applyFont="1" applyFill="1" applyAlignment="1" applyProtection="1">
      <alignment horizontal="center" vertical="center" wrapText="1"/>
    </xf>
    <xf numFmtId="14" fontId="2" fillId="0" borderId="0" xfId="3" applyNumberFormat="1" applyFont="1" applyFill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/>
    </xf>
    <xf numFmtId="2" fontId="2" fillId="0" borderId="0" xfId="3" applyNumberFormat="1" applyFont="1" applyFill="1" applyAlignment="1" applyProtection="1">
      <alignment horizontal="center" vertical="center" wrapText="1"/>
    </xf>
    <xf numFmtId="166" fontId="2" fillId="0" borderId="0" xfId="3" applyNumberFormat="1" applyFont="1" applyFill="1" applyAlignment="1" applyProtection="1">
      <alignment horizontal="center" vertical="center" wrapText="1"/>
    </xf>
    <xf numFmtId="168" fontId="2" fillId="0" borderId="0" xfId="3" applyNumberFormat="1" applyFont="1" applyFill="1" applyAlignment="1" applyProtection="1">
      <alignment horizontal="center" vertical="center" wrapText="1"/>
    </xf>
    <xf numFmtId="167" fontId="2" fillId="0" borderId="0" xfId="3" applyNumberFormat="1" applyFont="1" applyFill="1" applyAlignment="1" applyProtection="1">
      <alignment horizontal="center" vertical="center" wrapText="1"/>
    </xf>
    <xf numFmtId="14" fontId="2" fillId="0" borderId="0" xfId="3" applyNumberFormat="1" applyFont="1" applyFill="1" applyAlignment="1" applyProtection="1">
      <alignment horizontal="center" vertical="center"/>
    </xf>
    <xf numFmtId="3" fontId="2" fillId="0" borderId="0" xfId="3" applyNumberFormat="1" applyFill="1" applyAlignment="1" applyProtection="1">
      <alignment horizontal="center" vertical="center" wrapText="1"/>
    </xf>
    <xf numFmtId="164" fontId="2" fillId="0" borderId="0" xfId="1" applyFont="1" applyFill="1" applyAlignment="1" applyProtection="1">
      <alignment horizontal="center" vertical="center" wrapText="1"/>
    </xf>
    <xf numFmtId="0" fontId="4" fillId="0" borderId="0" xfId="1" applyNumberFormat="1" applyFont="1" applyFill="1" applyAlignment="1" applyProtection="1">
      <alignment horizontal="center" vertical="center" wrapText="1"/>
    </xf>
    <xf numFmtId="0" fontId="3" fillId="0" borderId="0" xfId="3" applyFont="1" applyFill="1" applyAlignment="1" applyProtection="1">
      <alignment horizontal="left" vertical="center" wrapText="1"/>
    </xf>
    <xf numFmtId="0" fontId="2" fillId="0" borderId="0" xfId="3" applyFill="1" applyAlignment="1" applyProtection="1">
      <alignment horizontal="left" vertical="center" wrapText="1"/>
    </xf>
    <xf numFmtId="0" fontId="4" fillId="0" borderId="0" xfId="3" applyFont="1" applyFill="1" applyAlignment="1" applyProtection="1">
      <alignment horizontal="left" vertical="center" wrapText="1"/>
    </xf>
    <xf numFmtId="0" fontId="2" fillId="0" borderId="0" xfId="3" applyFont="1" applyFill="1" applyAlignment="1" applyProtection="1">
      <alignment horizontal="left" vertical="center" wrapText="1"/>
    </xf>
    <xf numFmtId="0" fontId="2" fillId="0" borderId="0" xfId="3" applyFill="1" applyBorder="1" applyAlignment="1" applyProtection="1">
      <alignment horizontal="lef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2" fillId="0" borderId="0" xfId="3" applyFill="1" applyAlignment="1" applyProtection="1">
      <alignment horizontal="left" vertical="center"/>
    </xf>
    <xf numFmtId="14" fontId="2" fillId="0" borderId="0" xfId="3" applyNumberFormat="1"/>
    <xf numFmtId="2" fontId="4" fillId="0" borderId="0" xfId="2" applyNumberFormat="1" applyFont="1" applyFill="1" applyAlignment="1" applyProtection="1">
      <alignment horizontal="center" vertical="center" wrapText="1"/>
    </xf>
    <xf numFmtId="175" fontId="2" fillId="0" borderId="0" xfId="1" applyNumberFormat="1" applyFont="1" applyFill="1" applyAlignment="1" applyProtection="1">
      <alignment horizontal="center" vertical="center"/>
    </xf>
    <xf numFmtId="175" fontId="2" fillId="0" borderId="0" xfId="3" applyNumberFormat="1" applyFill="1" applyAlignment="1" applyProtection="1">
      <alignment horizontal="center" vertical="center"/>
    </xf>
    <xf numFmtId="0" fontId="2" fillId="0" borderId="0" xfId="3" applyFill="1" applyBorder="1" applyAlignment="1" applyProtection="1">
      <alignment horizontal="center" vertical="center"/>
    </xf>
    <xf numFmtId="0" fontId="0" fillId="2" borderId="0" xfId="0" applyFill="1"/>
    <xf numFmtId="175" fontId="0" fillId="2" borderId="0" xfId="1" applyNumberFormat="1" applyFont="1" applyFill="1" applyAlignment="1">
      <alignment horizontal="center" vertical="center"/>
    </xf>
    <xf numFmtId="175" fontId="0" fillId="2" borderId="0" xfId="1" applyNumberFormat="1" applyFont="1" applyFill="1" applyBorder="1" applyAlignment="1">
      <alignment horizontal="center" vertical="center"/>
    </xf>
    <xf numFmtId="49" fontId="0" fillId="2" borderId="0" xfId="1" applyNumberFormat="1" applyFont="1" applyFill="1" applyBorder="1" applyAlignment="1">
      <alignment horizontal="center" vertical="center"/>
    </xf>
    <xf numFmtId="10" fontId="0" fillId="2" borderId="0" xfId="2" applyNumberFormat="1" applyFont="1" applyFill="1" applyBorder="1" applyAlignment="1">
      <alignment horizontal="center" vertical="center"/>
    </xf>
    <xf numFmtId="164" fontId="0" fillId="2" borderId="0" xfId="1" applyFont="1" applyFill="1" applyBorder="1" applyAlignment="1">
      <alignment horizontal="center" vertical="center"/>
    </xf>
    <xf numFmtId="1" fontId="0" fillId="2" borderId="0" xfId="1" applyNumberFormat="1" applyFont="1" applyFill="1" applyBorder="1" applyAlignment="1">
      <alignment horizontal="center" vertical="center"/>
    </xf>
    <xf numFmtId="0" fontId="0" fillId="2" borderId="0" xfId="1" applyNumberFormat="1" applyFont="1" applyFill="1" applyBorder="1" applyAlignment="1">
      <alignment horizontal="center" vertical="center"/>
    </xf>
    <xf numFmtId="0" fontId="0" fillId="2" borderId="0" xfId="0" applyFill="1" applyBorder="1"/>
    <xf numFmtId="175" fontId="12" fillId="2" borderId="1" xfId="1" applyNumberFormat="1" applyFont="1" applyFill="1" applyBorder="1" applyAlignment="1">
      <alignment horizontal="center" vertical="center"/>
    </xf>
    <xf numFmtId="175" fontId="12" fillId="2" borderId="0" xfId="1" applyNumberFormat="1" applyFont="1" applyFill="1" applyBorder="1" applyAlignment="1">
      <alignment horizontal="left" vertical="center"/>
    </xf>
    <xf numFmtId="0" fontId="12" fillId="2" borderId="0" xfId="0" applyFont="1" applyFill="1"/>
    <xf numFmtId="1" fontId="0" fillId="2" borderId="0" xfId="0" applyNumberFormat="1" applyFill="1"/>
    <xf numFmtId="2" fontId="0" fillId="2" borderId="0" xfId="0" applyNumberFormat="1" applyFill="1"/>
    <xf numFmtId="10" fontId="0" fillId="2" borderId="0" xfId="2" applyNumberFormat="1" applyFont="1" applyFill="1"/>
    <xf numFmtId="164" fontId="0" fillId="0" borderId="0" xfId="1" applyFont="1"/>
    <xf numFmtId="2" fontId="2" fillId="3" borderId="0" xfId="3" applyNumberFormat="1" applyFill="1" applyAlignment="1" applyProtection="1">
      <alignment horizontal="center" vertical="center" wrapText="1"/>
    </xf>
    <xf numFmtId="0" fontId="2" fillId="3" borderId="0" xfId="3" applyFill="1" applyAlignment="1" applyProtection="1">
      <alignment horizontal="center" vertical="center"/>
    </xf>
    <xf numFmtId="1" fontId="3" fillId="0" borderId="0" xfId="3" applyNumberFormat="1" applyFont="1" applyFill="1" applyAlignment="1" applyProtection="1">
      <alignment horizontal="center" vertical="center"/>
    </xf>
    <xf numFmtId="1" fontId="4" fillId="0" borderId="0" xfId="3" applyNumberFormat="1" applyFont="1" applyFill="1" applyAlignment="1" applyProtection="1">
      <alignment horizontal="center" vertical="center"/>
    </xf>
    <xf numFmtId="1" fontId="2" fillId="0" borderId="0" xfId="3" applyNumberFormat="1" applyFill="1" applyAlignment="1" applyProtection="1">
      <alignment horizontal="center" vertical="center"/>
    </xf>
    <xf numFmtId="1" fontId="2" fillId="0" borderId="0" xfId="3" applyNumberFormat="1" applyFont="1" applyFill="1" applyAlignment="1" applyProtection="1">
      <alignment horizontal="center" vertical="center"/>
    </xf>
    <xf numFmtId="164" fontId="0" fillId="2" borderId="0" xfId="1" applyFont="1" applyFill="1"/>
    <xf numFmtId="164" fontId="0" fillId="2" borderId="0" xfId="1" applyFont="1" applyFill="1" applyBorder="1"/>
    <xf numFmtId="49" fontId="0" fillId="0" borderId="0" xfId="0" applyNumberFormat="1"/>
    <xf numFmtId="49" fontId="0" fillId="0" borderId="0" xfId="1" applyNumberFormat="1" applyFont="1"/>
    <xf numFmtId="2" fontId="0" fillId="2" borderId="0" xfId="1" applyNumberFormat="1" applyFont="1" applyFill="1" applyBorder="1" applyAlignment="1">
      <alignment horizontal="center" vertical="center"/>
    </xf>
    <xf numFmtId="2" fontId="0" fillId="2" borderId="0" xfId="1" applyNumberFormat="1" applyFont="1" applyFill="1"/>
    <xf numFmtId="2" fontId="0" fillId="2" borderId="0" xfId="1" applyNumberFormat="1" applyFont="1" applyFill="1" applyAlignment="1">
      <alignment horizontal="center" vertical="center"/>
    </xf>
    <xf numFmtId="2" fontId="12" fillId="2" borderId="1" xfId="1" applyNumberFormat="1" applyFont="1" applyFill="1" applyBorder="1" applyAlignment="1">
      <alignment horizontal="center" vertical="center"/>
    </xf>
    <xf numFmtId="2" fontId="12" fillId="2" borderId="0" xfId="1" applyNumberFormat="1" applyFont="1" applyFill="1" applyBorder="1" applyAlignment="1">
      <alignment horizontal="left" vertical="center"/>
    </xf>
    <xf numFmtId="2" fontId="0" fillId="2" borderId="0" xfId="2" applyNumberFormat="1" applyFont="1" applyFill="1" applyBorder="1" applyAlignment="1">
      <alignment horizontal="center" vertical="center"/>
    </xf>
    <xf numFmtId="169" fontId="2" fillId="0" borderId="0" xfId="3" applyNumberFormat="1" applyFont="1" applyFill="1" applyAlignment="1" applyProtection="1">
      <alignment horizontal="center" vertical="center" wrapText="1"/>
    </xf>
    <xf numFmtId="0" fontId="0" fillId="0" borderId="0" xfId="0" applyFont="1"/>
    <xf numFmtId="1" fontId="0" fillId="0" borderId="0" xfId="1" applyNumberFormat="1" applyFont="1"/>
    <xf numFmtId="10" fontId="0" fillId="2" borderId="0" xfId="2" applyNumberFormat="1" applyFont="1" applyFill="1" applyBorder="1"/>
    <xf numFmtId="10" fontId="0" fillId="2" borderId="0" xfId="0" applyNumberFormat="1" applyFill="1" applyBorder="1"/>
    <xf numFmtId="10" fontId="0" fillId="2" borderId="0" xfId="0" applyNumberFormat="1" applyFill="1" applyBorder="1" applyProtection="1">
      <protection hidden="1"/>
    </xf>
    <xf numFmtId="0" fontId="0" fillId="2" borderId="0" xfId="0" applyFill="1" applyBorder="1" applyProtection="1">
      <protection hidden="1"/>
    </xf>
    <xf numFmtId="164" fontId="4" fillId="0" borderId="0" xfId="1" applyFont="1" applyFill="1" applyAlignment="1" applyProtection="1">
      <alignment horizontal="center" vertical="center"/>
    </xf>
    <xf numFmtId="164" fontId="2" fillId="0" borderId="0" xfId="1" applyFont="1" applyFill="1" applyAlignment="1" applyProtection="1">
      <alignment horizontal="center" vertical="center"/>
    </xf>
    <xf numFmtId="9" fontId="2" fillId="0" borderId="0" xfId="3" applyNumberFormat="1" applyFill="1" applyAlignment="1" applyProtection="1">
      <alignment horizontal="center" vertical="center"/>
    </xf>
    <xf numFmtId="170" fontId="3" fillId="0" borderId="0" xfId="2" applyNumberFormat="1" applyFont="1" applyFill="1" applyAlignment="1" applyProtection="1">
      <alignment horizontal="center" vertical="center"/>
    </xf>
    <xf numFmtId="170" fontId="13" fillId="0" borderId="0" xfId="2" applyNumberFormat="1" applyFont="1" applyFill="1" applyAlignment="1" applyProtection="1">
      <alignment horizontal="center" vertical="center"/>
    </xf>
    <xf numFmtId="166" fontId="2" fillId="0" borderId="0" xfId="3" applyNumberFormat="1" applyFill="1" applyAlignment="1" applyProtection="1">
      <alignment horizontal="center" vertical="center"/>
    </xf>
    <xf numFmtId="0" fontId="0" fillId="2" borderId="0" xfId="2" applyNumberFormat="1" applyFont="1" applyFill="1" applyBorder="1" applyAlignment="1">
      <alignment horizontal="center" vertical="center"/>
    </xf>
    <xf numFmtId="2" fontId="12" fillId="2" borderId="0" xfId="0" applyNumberFormat="1" applyFont="1" applyFill="1"/>
    <xf numFmtId="0" fontId="0" fillId="0" borderId="0" xfId="0" applyFill="1"/>
    <xf numFmtId="170" fontId="2" fillId="0" borderId="0" xfId="1" applyNumberFormat="1" applyFont="1" applyFill="1" applyAlignment="1" applyProtection="1">
      <alignment horizontal="center" vertical="center" wrapText="1"/>
    </xf>
    <xf numFmtId="1" fontId="4" fillId="0" borderId="0" xfId="1" applyNumberFormat="1" applyFont="1" applyFill="1" applyAlignment="1" applyProtection="1">
      <alignment horizontal="center" vertical="center" wrapText="1"/>
    </xf>
    <xf numFmtId="2" fontId="4" fillId="0" borderId="0" xfId="1" applyNumberFormat="1" applyFont="1" applyFill="1" applyAlignment="1" applyProtection="1">
      <alignment horizontal="center" vertical="center" wrapText="1"/>
    </xf>
    <xf numFmtId="1" fontId="4" fillId="0" borderId="0" xfId="1" applyNumberFormat="1" applyFont="1" applyFill="1" applyAlignment="1" applyProtection="1">
      <alignment horizontal="center" vertical="center"/>
    </xf>
    <xf numFmtId="14" fontId="4" fillId="0" borderId="0" xfId="1" applyNumberFormat="1" applyFont="1" applyFill="1" applyAlignment="1" applyProtection="1">
      <alignment horizontal="center" vertical="center" wrapText="1"/>
    </xf>
    <xf numFmtId="169" fontId="14" fillId="0" borderId="0" xfId="3" applyNumberFormat="1" applyFont="1" applyFill="1" applyAlignment="1" applyProtection="1">
      <alignment horizontal="center" vertical="center" wrapText="1"/>
    </xf>
  </cellXfs>
  <cellStyles count="98">
    <cellStyle name="Benyttet hyperkobling" xfId="5" builtinId="9" hidden="1"/>
    <cellStyle name="Benyttet hyperkobling" xfId="7" builtinId="9" hidden="1"/>
    <cellStyle name="Benyttet hyperkobling" xfId="9" builtinId="9" hidden="1"/>
    <cellStyle name="Benyttet hyperkobling" xfId="11" builtinId="9" hidden="1"/>
    <cellStyle name="Benyttet hyperkobling" xfId="13" builtinId="9" hidden="1"/>
    <cellStyle name="Benyttet hyperkobling" xfId="15" builtinId="9" hidden="1"/>
    <cellStyle name="Benyttet hyperkobling" xfId="17" builtinId="9" hidden="1"/>
    <cellStyle name="Benyttet hyperkobling" xfId="19" builtinId="9" hidden="1"/>
    <cellStyle name="Benyttet hyperkobling" xfId="21" builtinId="9" hidden="1"/>
    <cellStyle name="Benyttet hyperkobling" xfId="23" builtinId="9" hidden="1"/>
    <cellStyle name="Benyttet hyperkobling" xfId="25" builtinId="9" hidden="1"/>
    <cellStyle name="Benyttet hyperkobling" xfId="27" builtinId="9" hidden="1"/>
    <cellStyle name="Benyttet hyperkobling" xfId="29" builtinId="9" hidden="1"/>
    <cellStyle name="Benyttet hyperkobling" xfId="31" builtinId="9" hidden="1"/>
    <cellStyle name="Benyttet hyperkobling" xfId="33" builtinId="9" hidden="1"/>
    <cellStyle name="Benyttet hyperkobling" xfId="35" builtinId="9" hidden="1"/>
    <cellStyle name="Benyttet hyperkobling" xfId="37" builtinId="9" hidden="1"/>
    <cellStyle name="Benyttet hyperkobling" xfId="39" builtinId="9" hidden="1"/>
    <cellStyle name="Benyttet hyperkobling" xfId="41" builtinId="9" hidden="1"/>
    <cellStyle name="Benyttet hyperkobling" xfId="43" builtinId="9" hidden="1"/>
    <cellStyle name="Benyttet hyperkobling" xfId="45" builtinId="9" hidden="1"/>
    <cellStyle name="Benyttet hyperkobling" xfId="47" builtinId="9" hidden="1"/>
    <cellStyle name="Benyttet hyperkobling" xfId="49" builtinId="9" hidden="1"/>
    <cellStyle name="Benyttet hyperkobling" xfId="51" builtinId="9" hidden="1"/>
    <cellStyle name="Benyttet hyperkobling" xfId="53" builtinId="9" hidden="1"/>
    <cellStyle name="Benyttet hyperkobling" xfId="55" builtinId="9" hidden="1"/>
    <cellStyle name="Benyttet hyperkobling" xfId="57" builtinId="9" hidden="1"/>
    <cellStyle name="Benyttet hyperkobling" xfId="59" builtinId="9" hidden="1"/>
    <cellStyle name="Benyttet hyperkobling" xfId="61" builtinId="9" hidden="1"/>
    <cellStyle name="Benyttet hyperkobling" xfId="63" builtinId="9" hidden="1"/>
    <cellStyle name="Benyttet hyperkobling" xfId="67" builtinId="9" hidden="1"/>
    <cellStyle name="Benyttet hyperkobling" xfId="69" builtinId="9" hidden="1"/>
    <cellStyle name="Benyttet hyperkobling" xfId="71" builtinId="9" hidden="1"/>
    <cellStyle name="Benyttet hyperkobling" xfId="73" builtinId="9" hidden="1"/>
    <cellStyle name="Benyttet hyperkobling" xfId="75" builtinId="9" hidden="1"/>
    <cellStyle name="Benyttet hyperkobling" xfId="77" builtinId="9" hidden="1"/>
    <cellStyle name="Benyttet hyperkobling" xfId="79" builtinId="9" hidden="1"/>
    <cellStyle name="Benyttet hyperkobling" xfId="81" builtinId="9" hidden="1"/>
    <cellStyle name="Benyttet hyperkobling" xfId="83" builtinId="9" hidden="1"/>
    <cellStyle name="Benyttet hyperkobling" xfId="85" builtinId="9" hidden="1"/>
    <cellStyle name="Benyttet hyperkobling" xfId="87" builtinId="9" hidden="1"/>
    <cellStyle name="Benyttet hyperkobling" xfId="89" builtinId="9" hidden="1"/>
    <cellStyle name="Benyttet hyperkobling" xfId="91" builtinId="9" hidden="1"/>
    <cellStyle name="Benyttet hyperkobling" xfId="93" builtinId="9" hidden="1"/>
    <cellStyle name="Benyttet hyperkobling" xfId="95" builtinId="9" hidden="1"/>
    <cellStyle name="Benyttet hyperkobling" xfId="97" builtinId="9" hidden="1"/>
    <cellStyle name="Hyperkobling" xfId="4" builtinId="8" hidden="1"/>
    <cellStyle name="Hyperkobling" xfId="6" builtinId="8" hidden="1"/>
    <cellStyle name="Hyperkobling" xfId="8" builtinId="8" hidden="1"/>
    <cellStyle name="Hyperkobling" xfId="10" builtinId="8" hidden="1"/>
    <cellStyle name="Hyperkobling" xfId="12" builtinId="8" hidden="1"/>
    <cellStyle name="Hyperkobling" xfId="14" builtinId="8" hidden="1"/>
    <cellStyle name="Hyperkobling" xfId="16" builtinId="8" hidden="1"/>
    <cellStyle name="Hyperkobling" xfId="18" builtinId="8" hidden="1"/>
    <cellStyle name="Hyperkobling" xfId="20" builtinId="8" hidden="1"/>
    <cellStyle name="Hyperkobling" xfId="22" builtinId="8" hidden="1"/>
    <cellStyle name="Hyperkobling" xfId="24" builtinId="8" hidden="1"/>
    <cellStyle name="Hyperkobling" xfId="26" builtinId="8" hidden="1"/>
    <cellStyle name="Hyperkobling" xfId="28" builtinId="8" hidden="1"/>
    <cellStyle name="Hyperkobling" xfId="30" builtinId="8" hidden="1"/>
    <cellStyle name="Hyperkobling" xfId="32" builtinId="8" hidden="1"/>
    <cellStyle name="Hyperkobling" xfId="34" builtinId="8" hidden="1"/>
    <cellStyle name="Hyperkobling" xfId="36" builtinId="8" hidden="1"/>
    <cellStyle name="Hyperkobling" xfId="38" builtinId="8" hidden="1"/>
    <cellStyle name="Hyperkobling" xfId="40" builtinId="8" hidden="1"/>
    <cellStyle name="Hyperkobling" xfId="42" builtinId="8" hidden="1"/>
    <cellStyle name="Hyperkobling" xfId="44" builtinId="8" hidden="1"/>
    <cellStyle name="Hyperkobling" xfId="46" builtinId="8" hidden="1"/>
    <cellStyle name="Hyperkobling" xfId="48" builtinId="8" hidden="1"/>
    <cellStyle name="Hyperkobling" xfId="50" builtinId="8" hidden="1"/>
    <cellStyle name="Hyperkobling" xfId="52" builtinId="8" hidden="1"/>
    <cellStyle name="Hyperkobling" xfId="54" builtinId="8" hidden="1"/>
    <cellStyle name="Hyperkobling" xfId="56" builtinId="8" hidden="1"/>
    <cellStyle name="Hyperkobling" xfId="58" builtinId="8" hidden="1"/>
    <cellStyle name="Hyperkobling" xfId="60" builtinId="8" hidden="1"/>
    <cellStyle name="Hyperkobling" xfId="62" builtinId="8" hidden="1"/>
    <cellStyle name="Hyperkobling" xfId="66" builtinId="8" hidden="1"/>
    <cellStyle name="Hyperkobling" xfId="68" builtinId="8" hidden="1"/>
    <cellStyle name="Hyperkobling" xfId="70" builtinId="8" hidden="1"/>
    <cellStyle name="Hyperkobling" xfId="72" builtinId="8" hidden="1"/>
    <cellStyle name="Hyperkobling" xfId="74" builtinId="8" hidden="1"/>
    <cellStyle name="Hyperkobling" xfId="76" builtinId="8" hidden="1"/>
    <cellStyle name="Hyperkobling" xfId="78" builtinId="8" hidden="1"/>
    <cellStyle name="Hyperkobling" xfId="80" builtinId="8" hidden="1"/>
    <cellStyle name="Hyperkobling" xfId="82" builtinId="8" hidden="1"/>
    <cellStyle name="Hyperkobling" xfId="84" builtinId="8" hidden="1"/>
    <cellStyle name="Hyperkobling" xfId="86" builtinId="8" hidden="1"/>
    <cellStyle name="Hyperkobling" xfId="88" builtinId="8" hidden="1"/>
    <cellStyle name="Hyperkobling" xfId="90" builtinId="8" hidden="1"/>
    <cellStyle name="Hyperkobling" xfId="92" builtinId="8" hidden="1"/>
    <cellStyle name="Hyperkobling" xfId="94" builtinId="8" hidden="1"/>
    <cellStyle name="Hyperkobling" xfId="96" builtinId="8" hidden="1"/>
    <cellStyle name="Komma" xfId="1" builtinId="3"/>
    <cellStyle name="Normal" xfId="0" builtinId="0"/>
    <cellStyle name="Normal 2" xfId="3"/>
    <cellStyle name="Normal 2 2" xfId="65"/>
    <cellStyle name="Normal 3" xfId="64"/>
    <cellStyle name="Pros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Descriptive!$G$4</c:f>
              <c:strCache>
                <c:ptCount val="1"/>
                <c:pt idx="0">
                  <c:v>Sweden</c:v>
                </c:pt>
              </c:strCache>
            </c:strRef>
          </c:tx>
          <c:invertIfNegative val="0"/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Descriptive!$H$4:$W$4</c:f>
              <c:numCache>
                <c:formatCode>General</c:formatCode>
                <c:ptCount val="16"/>
                <c:pt idx="0">
                  <c:v>6.0</c:v>
                </c:pt>
                <c:pt idx="1">
                  <c:v>4.0</c:v>
                </c:pt>
                <c:pt idx="2">
                  <c:v>0.0</c:v>
                </c:pt>
                <c:pt idx="3">
                  <c:v>2.0</c:v>
                </c:pt>
                <c:pt idx="4">
                  <c:v>5.0</c:v>
                </c:pt>
                <c:pt idx="5">
                  <c:v>8.0</c:v>
                </c:pt>
                <c:pt idx="6">
                  <c:v>5.0</c:v>
                </c:pt>
                <c:pt idx="7">
                  <c:v>1.0</c:v>
                </c:pt>
                <c:pt idx="8">
                  <c:v>0.0</c:v>
                </c:pt>
                <c:pt idx="9">
                  <c:v>3.0</c:v>
                </c:pt>
                <c:pt idx="10">
                  <c:v>5.0</c:v>
                </c:pt>
                <c:pt idx="11">
                  <c:v>0.0</c:v>
                </c:pt>
                <c:pt idx="12">
                  <c:v>1.0</c:v>
                </c:pt>
                <c:pt idx="13">
                  <c:v>13.0</c:v>
                </c:pt>
                <c:pt idx="14">
                  <c:v>19.0</c:v>
                </c:pt>
                <c:pt idx="15">
                  <c:v>12.0</c:v>
                </c:pt>
              </c:numCache>
            </c:numRef>
          </c:val>
        </c:ser>
        <c:ser>
          <c:idx val="1"/>
          <c:order val="1"/>
          <c:tx>
            <c:strRef>
              <c:f>Descriptive!$G$5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Descriptive!$H$5:$W$5</c:f>
              <c:numCache>
                <c:formatCode>General</c:formatCode>
                <c:ptCount val="16"/>
                <c:pt idx="0">
                  <c:v>2.0</c:v>
                </c:pt>
                <c:pt idx="1">
                  <c:v>0.0</c:v>
                </c:pt>
                <c:pt idx="2">
                  <c:v>1.0</c:v>
                </c:pt>
                <c:pt idx="3">
                  <c:v>6.0</c:v>
                </c:pt>
                <c:pt idx="4">
                  <c:v>20.0</c:v>
                </c:pt>
                <c:pt idx="5">
                  <c:v>14.0</c:v>
                </c:pt>
                <c:pt idx="6">
                  <c:v>8.0</c:v>
                </c:pt>
                <c:pt idx="7">
                  <c:v>0.0</c:v>
                </c:pt>
                <c:pt idx="8">
                  <c:v>0.0</c:v>
                </c:pt>
                <c:pt idx="9">
                  <c:v>8.0</c:v>
                </c:pt>
                <c:pt idx="10">
                  <c:v>4.0</c:v>
                </c:pt>
                <c:pt idx="11">
                  <c:v>2.0</c:v>
                </c:pt>
                <c:pt idx="12">
                  <c:v>6.0</c:v>
                </c:pt>
                <c:pt idx="13">
                  <c:v>9.0</c:v>
                </c:pt>
                <c:pt idx="14">
                  <c:v>5.0</c:v>
                </c:pt>
                <c:pt idx="15">
                  <c:v>2.0</c:v>
                </c:pt>
              </c:numCache>
            </c:numRef>
          </c:val>
        </c:ser>
        <c:ser>
          <c:idx val="2"/>
          <c:order val="2"/>
          <c:tx>
            <c:strRef>
              <c:f>Descriptive!$G$6</c:f>
              <c:strCache>
                <c:ptCount val="1"/>
                <c:pt idx="0">
                  <c:v>Denmark</c:v>
                </c:pt>
              </c:strCache>
            </c:strRef>
          </c:tx>
          <c:invertIfNegative val="0"/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Descriptive!$H$6:$W$6</c:f>
              <c:numCache>
                <c:formatCode>General</c:formatCode>
                <c:ptCount val="16"/>
                <c:pt idx="0">
                  <c:v>3.0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2.0</c:v>
                </c:pt>
                <c:pt idx="5">
                  <c:v>4.0</c:v>
                </c:pt>
                <c:pt idx="6">
                  <c:v>4.0</c:v>
                </c:pt>
                <c:pt idx="7">
                  <c:v>2.0</c:v>
                </c:pt>
                <c:pt idx="8">
                  <c:v>1.0</c:v>
                </c:pt>
                <c:pt idx="9">
                  <c:v>3.0</c:v>
                </c:pt>
                <c:pt idx="10">
                  <c:v>1.0</c:v>
                </c:pt>
                <c:pt idx="11">
                  <c:v>0.0</c:v>
                </c:pt>
                <c:pt idx="12">
                  <c:v>1.0</c:v>
                </c:pt>
                <c:pt idx="13">
                  <c:v>2.0</c:v>
                </c:pt>
                <c:pt idx="14">
                  <c:v>1.0</c:v>
                </c:pt>
                <c:pt idx="15">
                  <c:v>3.0</c:v>
                </c:pt>
              </c:numCache>
            </c:numRef>
          </c:val>
        </c:ser>
        <c:ser>
          <c:idx val="3"/>
          <c:order val="3"/>
          <c:tx>
            <c:strRef>
              <c:f>Descriptive!$G$7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Descriptive!$H$7:$W$7</c:f>
              <c:numCache>
                <c:formatCode>General</c:formatCode>
                <c:ptCount val="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1.0</c:v>
                </c:pt>
                <c:pt idx="4">
                  <c:v>2.0</c:v>
                </c:pt>
                <c:pt idx="5">
                  <c:v>5.0</c:v>
                </c:pt>
                <c:pt idx="6">
                  <c:v>2.0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2.0</c:v>
                </c:pt>
                <c:pt idx="13">
                  <c:v>0.0</c:v>
                </c:pt>
                <c:pt idx="14">
                  <c:v>6.0</c:v>
                </c:pt>
                <c:pt idx="15">
                  <c:v>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778224"/>
        <c:axId val="-2136731216"/>
      </c:barChart>
      <c:catAx>
        <c:axId val="211477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Calendar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6731216"/>
        <c:crosses val="autoZero"/>
        <c:auto val="1"/>
        <c:lblAlgn val="ctr"/>
        <c:lblOffset val="100"/>
        <c:noMultiLvlLbl val="0"/>
      </c:catAx>
      <c:valAx>
        <c:axId val="-213673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Number of IPOs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477822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Distribution</a:t>
            </a:r>
            <a:r>
              <a:rPr lang="en-US" baseline="0"/>
              <a:t> of initial returns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Descriptive!$B$48:$Q$48</c:f>
              <c:strCache>
                <c:ptCount val="16"/>
                <c:pt idx="0">
                  <c:v>&lt;-30%</c:v>
                </c:pt>
                <c:pt idx="1">
                  <c:v>(-30%) - (-15%)</c:v>
                </c:pt>
                <c:pt idx="2">
                  <c:v>(-15%) - (-12,5%)</c:v>
                </c:pt>
                <c:pt idx="3">
                  <c:v>(-12,5%) - (-10%)</c:v>
                </c:pt>
                <c:pt idx="4">
                  <c:v>(-10%) - (-7,5%)</c:v>
                </c:pt>
                <c:pt idx="5">
                  <c:v>(-7,5%) - (-5%)</c:v>
                </c:pt>
                <c:pt idx="6">
                  <c:v>(-5%) - (-2,5%)</c:v>
                </c:pt>
                <c:pt idx="7">
                  <c:v>(-2,5%) - 0%</c:v>
                </c:pt>
                <c:pt idx="8">
                  <c:v>0% - 2,5%</c:v>
                </c:pt>
                <c:pt idx="9">
                  <c:v>2,5% - 5%</c:v>
                </c:pt>
                <c:pt idx="10">
                  <c:v>5% - 7,5%</c:v>
                </c:pt>
                <c:pt idx="11">
                  <c:v>7,5% - 10%</c:v>
                </c:pt>
                <c:pt idx="12">
                  <c:v>10% - 12,5%</c:v>
                </c:pt>
                <c:pt idx="13">
                  <c:v>12,5% - 15%</c:v>
                </c:pt>
                <c:pt idx="14">
                  <c:v>15% - 30%</c:v>
                </c:pt>
                <c:pt idx="15">
                  <c:v>&gt;30%</c:v>
                </c:pt>
              </c:strCache>
            </c:strRef>
          </c:cat>
          <c:val>
            <c:numRef>
              <c:f>Descriptive!$B$49:$Q$49</c:f>
              <c:numCache>
                <c:formatCode>0</c:formatCode>
                <c:ptCount val="16"/>
                <c:pt idx="0">
                  <c:v>0.0</c:v>
                </c:pt>
                <c:pt idx="1">
                  <c:v>6.0</c:v>
                </c:pt>
                <c:pt idx="2">
                  <c:v>4.0</c:v>
                </c:pt>
                <c:pt idx="3">
                  <c:v>2.0</c:v>
                </c:pt>
                <c:pt idx="4">
                  <c:v>2.0</c:v>
                </c:pt>
                <c:pt idx="5">
                  <c:v>10.0</c:v>
                </c:pt>
                <c:pt idx="6">
                  <c:v>17.0</c:v>
                </c:pt>
                <c:pt idx="7">
                  <c:v>33.0</c:v>
                </c:pt>
                <c:pt idx="8">
                  <c:v>37.0</c:v>
                </c:pt>
                <c:pt idx="9">
                  <c:v>24.0</c:v>
                </c:pt>
                <c:pt idx="10">
                  <c:v>17.0</c:v>
                </c:pt>
                <c:pt idx="11">
                  <c:v>14.0</c:v>
                </c:pt>
                <c:pt idx="12">
                  <c:v>15.0</c:v>
                </c:pt>
                <c:pt idx="13">
                  <c:v>7.0</c:v>
                </c:pt>
                <c:pt idx="14">
                  <c:v>23.0</c:v>
                </c:pt>
                <c:pt idx="15">
                  <c:v>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711040"/>
        <c:axId val="-2136707648"/>
      </c:barChart>
      <c:catAx>
        <c:axId val="-21367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First-Day</a:t>
                </a:r>
                <a:r>
                  <a:rPr lang="nb-NO" baseline="0"/>
                  <a:t> Return interval</a:t>
                </a:r>
                <a:endParaRPr lang="nb-N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-2136707648"/>
        <c:crosses val="autoZero"/>
        <c:auto val="1"/>
        <c:lblAlgn val="ctr"/>
        <c:lblOffset val="100"/>
        <c:noMultiLvlLbl val="0"/>
      </c:catAx>
      <c:valAx>
        <c:axId val="-2136707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Number of IPOs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-213671104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Descriptive!$G$9</c:f>
              <c:strCache>
                <c:ptCount val="1"/>
                <c:pt idx="0">
                  <c:v>Number if IPOs</c:v>
                </c:pt>
              </c:strCache>
            </c:strRef>
          </c:tx>
          <c:invertIfNegative val="0"/>
          <c:dPt>
            <c:idx val="4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5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6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9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13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14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15"/>
            <c:invertIfNegative val="0"/>
            <c:bubble3D val="0"/>
            <c:spPr>
              <a:pattFill prst="pct75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Descriptive!$H$9:$W$9</c:f>
              <c:numCache>
                <c:formatCode>0</c:formatCode>
                <c:ptCount val="16"/>
                <c:pt idx="0">
                  <c:v>11.0</c:v>
                </c:pt>
                <c:pt idx="1">
                  <c:v>4.0</c:v>
                </c:pt>
                <c:pt idx="2">
                  <c:v>1.0</c:v>
                </c:pt>
                <c:pt idx="3">
                  <c:v>9.0</c:v>
                </c:pt>
                <c:pt idx="4">
                  <c:v>29.0</c:v>
                </c:pt>
                <c:pt idx="5">
                  <c:v>31.0</c:v>
                </c:pt>
                <c:pt idx="6">
                  <c:v>19.0</c:v>
                </c:pt>
                <c:pt idx="7">
                  <c:v>3.0</c:v>
                </c:pt>
                <c:pt idx="8">
                  <c:v>1.0</c:v>
                </c:pt>
                <c:pt idx="9">
                  <c:v>14.0</c:v>
                </c:pt>
                <c:pt idx="10">
                  <c:v>10.0</c:v>
                </c:pt>
                <c:pt idx="11">
                  <c:v>2.0</c:v>
                </c:pt>
                <c:pt idx="12">
                  <c:v>10.0</c:v>
                </c:pt>
                <c:pt idx="13">
                  <c:v>24.0</c:v>
                </c:pt>
                <c:pt idx="14">
                  <c:v>31.0</c:v>
                </c:pt>
                <c:pt idx="15">
                  <c:v>20.0</c:v>
                </c:pt>
              </c:numCache>
            </c:numRef>
          </c:val>
        </c:ser>
        <c:ser>
          <c:idx val="2"/>
          <c:order val="2"/>
          <c:tx>
            <c:strRef>
              <c:f>Descriptive!$G$11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numRef>
              <c:f>Descriptive!$H$3:$W$3</c:f>
              <c:numCache>
                <c:formatCode>General</c:formatCode>
                <c:ptCount val="16"/>
                <c:pt idx="0">
                  <c:v>2001.0</c:v>
                </c:pt>
                <c:pt idx="1">
                  <c:v>2002.0</c:v>
                </c:pt>
                <c:pt idx="2">
                  <c:v>2003.0</c:v>
                </c:pt>
                <c:pt idx="3">
                  <c:v>2004.0</c:v>
                </c:pt>
                <c:pt idx="4">
                  <c:v>2005.0</c:v>
                </c:pt>
                <c:pt idx="5">
                  <c:v>2006.0</c:v>
                </c:pt>
                <c:pt idx="6">
                  <c:v>2007.0</c:v>
                </c:pt>
                <c:pt idx="7">
                  <c:v>2008.0</c:v>
                </c:pt>
                <c:pt idx="8">
                  <c:v>2009.0</c:v>
                </c:pt>
                <c:pt idx="9">
                  <c:v>2010.0</c:v>
                </c:pt>
                <c:pt idx="10">
                  <c:v>2011.0</c:v>
                </c:pt>
                <c:pt idx="11">
                  <c:v>2012.0</c:v>
                </c:pt>
                <c:pt idx="12">
                  <c:v>2013.0</c:v>
                </c:pt>
                <c:pt idx="13">
                  <c:v>2014.0</c:v>
                </c:pt>
                <c:pt idx="14">
                  <c:v>2015.0</c:v>
                </c:pt>
                <c:pt idx="15">
                  <c:v>2016.0</c:v>
                </c:pt>
              </c:numCache>
            </c:numRef>
          </c:cat>
          <c:val>
            <c:numRef>
              <c:f>Descriptive!$H$11:$W$11</c:f>
              <c:numCache>
                <c:formatCode>General</c:formatCode>
                <c:ptCount val="1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667312"/>
        <c:axId val="-2136663920"/>
      </c:barChart>
      <c:barChart>
        <c:barDir val="col"/>
        <c:grouping val="clustered"/>
        <c:varyColors val="0"/>
        <c:ser>
          <c:idx val="1"/>
          <c:order val="1"/>
          <c:tx>
            <c:strRef>
              <c:f>Descriptive!$G$10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val>
            <c:numRef>
              <c:f>Descriptive!$H$10:$W$10</c:f>
              <c:numCache>
                <c:formatCode>General</c:formatCode>
                <c:ptCount val="16"/>
              </c:numCache>
            </c:numRef>
          </c:val>
        </c:ser>
        <c:ser>
          <c:idx val="3"/>
          <c:order val="3"/>
          <c:tx>
            <c:strRef>
              <c:f>Descriptive!$G$12</c:f>
              <c:strCache>
                <c:ptCount val="1"/>
                <c:pt idx="0">
                  <c:v>First-day return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Descriptive!$H$12:$W$12</c:f>
              <c:numCache>
                <c:formatCode>0.00%</c:formatCode>
                <c:ptCount val="16"/>
                <c:pt idx="0">
                  <c:v>0.002</c:v>
                </c:pt>
                <c:pt idx="1">
                  <c:v>0.024</c:v>
                </c:pt>
                <c:pt idx="2">
                  <c:v>0.034</c:v>
                </c:pt>
                <c:pt idx="3">
                  <c:v>0.033</c:v>
                </c:pt>
                <c:pt idx="4">
                  <c:v>0.034</c:v>
                </c:pt>
                <c:pt idx="5">
                  <c:v>0.049</c:v>
                </c:pt>
                <c:pt idx="6">
                  <c:v>0.021</c:v>
                </c:pt>
                <c:pt idx="7">
                  <c:v>0.0152</c:v>
                </c:pt>
                <c:pt idx="8">
                  <c:v>-0.135</c:v>
                </c:pt>
                <c:pt idx="9">
                  <c:v>-0.0221</c:v>
                </c:pt>
                <c:pt idx="10">
                  <c:v>0.016</c:v>
                </c:pt>
                <c:pt idx="11">
                  <c:v>-0.032</c:v>
                </c:pt>
                <c:pt idx="12">
                  <c:v>0.012</c:v>
                </c:pt>
                <c:pt idx="13">
                  <c:v>0.0523</c:v>
                </c:pt>
                <c:pt idx="14">
                  <c:v>0.1076</c:v>
                </c:pt>
                <c:pt idx="15">
                  <c:v>0.108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656624"/>
        <c:axId val="-2136660016"/>
      </c:barChart>
      <c:catAx>
        <c:axId val="-213666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Calendar</a:t>
                </a:r>
                <a:r>
                  <a:rPr lang="nb-NO" baseline="0"/>
                  <a:t> Year</a:t>
                </a:r>
                <a:endParaRPr lang="nb-N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6663920"/>
        <c:crosses val="autoZero"/>
        <c:auto val="1"/>
        <c:lblAlgn val="ctr"/>
        <c:lblOffset val="100"/>
        <c:noMultiLvlLbl val="0"/>
      </c:catAx>
      <c:valAx>
        <c:axId val="-2136663920"/>
        <c:scaling>
          <c:orientation val="minMax"/>
          <c:max val="45.0"/>
          <c:min val="-45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Number of IPOs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-2136667312"/>
        <c:crosses val="autoZero"/>
        <c:crossBetween val="between"/>
      </c:valAx>
      <c:valAx>
        <c:axId val="-21366600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Average first-day</a:t>
                </a:r>
                <a:r>
                  <a:rPr lang="nb-NO" baseline="0"/>
                  <a:t> return</a:t>
                </a:r>
                <a:endParaRPr lang="nb-N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6656624"/>
        <c:crosses val="max"/>
        <c:crossBetween val="between"/>
      </c:valAx>
      <c:catAx>
        <c:axId val="-213665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666001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Distribution of initial return - SE</a:t>
            </a:r>
            <a:endParaRPr lang="nb-NO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Descriptive!$A$57</c:f>
              <c:strCache>
                <c:ptCount val="1"/>
                <c:pt idx="0">
                  <c:v>Frq.</c:v>
                </c:pt>
              </c:strCache>
            </c:strRef>
          </c:tx>
          <c:invertIfNegative val="0"/>
          <c:cat>
            <c:strRef>
              <c:f>Descriptive!$B$56:$Q$56</c:f>
              <c:strCache>
                <c:ptCount val="16"/>
                <c:pt idx="0">
                  <c:v>&lt;-30%</c:v>
                </c:pt>
                <c:pt idx="1">
                  <c:v>&lt;-15%</c:v>
                </c:pt>
                <c:pt idx="2">
                  <c:v>&lt;12.5%</c:v>
                </c:pt>
                <c:pt idx="3">
                  <c:v>&lt;10%</c:v>
                </c:pt>
                <c:pt idx="4">
                  <c:v>&lt;7.5%</c:v>
                </c:pt>
                <c:pt idx="5">
                  <c:v>&lt;5%</c:v>
                </c:pt>
                <c:pt idx="6">
                  <c:v>&lt;2.5%</c:v>
                </c:pt>
                <c:pt idx="7">
                  <c:v>&lt;0%</c:v>
                </c:pt>
                <c:pt idx="8">
                  <c:v>&lt;2.5%</c:v>
                </c:pt>
                <c:pt idx="9">
                  <c:v>&lt;5%</c:v>
                </c:pt>
                <c:pt idx="10">
                  <c:v>&lt;7.5%</c:v>
                </c:pt>
                <c:pt idx="11">
                  <c:v>&lt;10%</c:v>
                </c:pt>
                <c:pt idx="12">
                  <c:v>&lt;12.5%</c:v>
                </c:pt>
                <c:pt idx="13">
                  <c:v>&lt;15%</c:v>
                </c:pt>
                <c:pt idx="14">
                  <c:v>&lt;30%</c:v>
                </c:pt>
                <c:pt idx="15">
                  <c:v>&gt;30%</c:v>
                </c:pt>
              </c:strCache>
            </c:strRef>
          </c:cat>
          <c:val>
            <c:numRef>
              <c:f>Descriptive!$B$57:$Q$57</c:f>
              <c:numCache>
                <c:formatCode>0</c:formatCode>
                <c:ptCount val="16"/>
                <c:pt idx="0">
                  <c:v>0.0</c:v>
                </c:pt>
                <c:pt idx="1">
                  <c:v>2.0</c:v>
                </c:pt>
                <c:pt idx="2">
                  <c:v>2.0</c:v>
                </c:pt>
                <c:pt idx="3">
                  <c:v>0.0</c:v>
                </c:pt>
                <c:pt idx="4">
                  <c:v>2.0</c:v>
                </c:pt>
                <c:pt idx="5">
                  <c:v>5.0</c:v>
                </c:pt>
                <c:pt idx="6">
                  <c:v>2.0</c:v>
                </c:pt>
                <c:pt idx="7">
                  <c:v>10.0</c:v>
                </c:pt>
                <c:pt idx="8">
                  <c:v>11.0</c:v>
                </c:pt>
                <c:pt idx="9">
                  <c:v>9.0</c:v>
                </c:pt>
                <c:pt idx="10">
                  <c:v>7.0</c:v>
                </c:pt>
                <c:pt idx="11">
                  <c:v>6.0</c:v>
                </c:pt>
                <c:pt idx="12">
                  <c:v>4.0</c:v>
                </c:pt>
                <c:pt idx="13">
                  <c:v>6.0</c:v>
                </c:pt>
                <c:pt idx="14">
                  <c:v>11.0</c:v>
                </c:pt>
                <c:pt idx="15">
                  <c:v>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7592224"/>
        <c:axId val="-2137589904"/>
      </c:barChart>
      <c:catAx>
        <c:axId val="-213759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37589904"/>
        <c:crosses val="autoZero"/>
        <c:auto val="1"/>
        <c:lblAlgn val="ctr"/>
        <c:lblOffset val="100"/>
        <c:noMultiLvlLbl val="0"/>
      </c:catAx>
      <c:valAx>
        <c:axId val="-2137589904"/>
        <c:scaling>
          <c:orientation val="minMax"/>
          <c:max val="20.0"/>
          <c:min val="0.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1375922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Distribution of initial return</a:t>
            </a:r>
            <a:r>
              <a:rPr lang="en-US" baseline="0"/>
              <a:t> - NO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Descriptive!$A$61</c:f>
              <c:strCache>
                <c:ptCount val="1"/>
                <c:pt idx="0">
                  <c:v>Frq.</c:v>
                </c:pt>
              </c:strCache>
            </c:strRef>
          </c:tx>
          <c:invertIfNegative val="0"/>
          <c:cat>
            <c:strRef>
              <c:f>Descriptive!$B$60:$Q$60</c:f>
              <c:strCache>
                <c:ptCount val="16"/>
                <c:pt idx="0">
                  <c:v>&lt;-30%</c:v>
                </c:pt>
                <c:pt idx="1">
                  <c:v>&lt;-15%</c:v>
                </c:pt>
                <c:pt idx="2">
                  <c:v>&lt;12.5%</c:v>
                </c:pt>
                <c:pt idx="3">
                  <c:v>&lt;10%</c:v>
                </c:pt>
                <c:pt idx="4">
                  <c:v>&lt;7.5%</c:v>
                </c:pt>
                <c:pt idx="5">
                  <c:v>&lt;5%</c:v>
                </c:pt>
                <c:pt idx="6">
                  <c:v>&lt;2.5%</c:v>
                </c:pt>
                <c:pt idx="7">
                  <c:v>&lt;0%</c:v>
                </c:pt>
                <c:pt idx="8">
                  <c:v>&lt;2.5%</c:v>
                </c:pt>
                <c:pt idx="9">
                  <c:v>&lt;5%</c:v>
                </c:pt>
                <c:pt idx="10">
                  <c:v>&lt;7.5%</c:v>
                </c:pt>
                <c:pt idx="11">
                  <c:v>&lt;10%</c:v>
                </c:pt>
                <c:pt idx="12">
                  <c:v>&lt;12.5%</c:v>
                </c:pt>
                <c:pt idx="13">
                  <c:v>&lt;15%</c:v>
                </c:pt>
                <c:pt idx="14">
                  <c:v>&lt;30%</c:v>
                </c:pt>
                <c:pt idx="15">
                  <c:v>&gt;30%</c:v>
                </c:pt>
              </c:strCache>
            </c:strRef>
          </c:cat>
          <c:val>
            <c:numRef>
              <c:f>Descriptive!$B$61:$Q$61</c:f>
              <c:numCache>
                <c:formatCode>0</c:formatCode>
                <c:ptCount val="16"/>
                <c:pt idx="0">
                  <c:v>0.0</c:v>
                </c:pt>
                <c:pt idx="1">
                  <c:v>3.0</c:v>
                </c:pt>
                <c:pt idx="2">
                  <c:v>1.0</c:v>
                </c:pt>
                <c:pt idx="3">
                  <c:v>2.0</c:v>
                </c:pt>
                <c:pt idx="4">
                  <c:v>0.0</c:v>
                </c:pt>
                <c:pt idx="5">
                  <c:v>5.0</c:v>
                </c:pt>
                <c:pt idx="6">
                  <c:v>14.0</c:v>
                </c:pt>
                <c:pt idx="7">
                  <c:v>17.0</c:v>
                </c:pt>
                <c:pt idx="8">
                  <c:v>18.0</c:v>
                </c:pt>
                <c:pt idx="9">
                  <c:v>9.0</c:v>
                </c:pt>
                <c:pt idx="10">
                  <c:v>5.0</c:v>
                </c:pt>
                <c:pt idx="11">
                  <c:v>5.0</c:v>
                </c:pt>
                <c:pt idx="12">
                  <c:v>3.0</c:v>
                </c:pt>
                <c:pt idx="13">
                  <c:v>0.0</c:v>
                </c:pt>
                <c:pt idx="14">
                  <c:v>5.0</c:v>
                </c:pt>
                <c:pt idx="1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809424"/>
        <c:axId val="2114811744"/>
      </c:barChart>
      <c:catAx>
        <c:axId val="211480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14811744"/>
        <c:crosses val="autoZero"/>
        <c:auto val="1"/>
        <c:lblAlgn val="ctr"/>
        <c:lblOffset val="100"/>
        <c:noMultiLvlLbl val="0"/>
      </c:catAx>
      <c:valAx>
        <c:axId val="2114811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48094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Distribution of initial return - DK</a:t>
            </a:r>
            <a:endParaRPr lang="nb-NO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Descriptive!$A$83</c:f>
              <c:strCache>
                <c:ptCount val="1"/>
                <c:pt idx="0">
                  <c:v>Frq.</c:v>
                </c:pt>
              </c:strCache>
            </c:strRef>
          </c:tx>
          <c:invertIfNegative val="0"/>
          <c:cat>
            <c:strRef>
              <c:f>Descriptive!$B$82:$Q$82</c:f>
              <c:strCache>
                <c:ptCount val="16"/>
                <c:pt idx="0">
                  <c:v>&lt;-30%</c:v>
                </c:pt>
                <c:pt idx="1">
                  <c:v>&lt;-15%</c:v>
                </c:pt>
                <c:pt idx="2">
                  <c:v>&lt;12.5%</c:v>
                </c:pt>
                <c:pt idx="3">
                  <c:v>&lt;10%</c:v>
                </c:pt>
                <c:pt idx="4">
                  <c:v>&lt;7.5%</c:v>
                </c:pt>
                <c:pt idx="5">
                  <c:v>&lt;5%</c:v>
                </c:pt>
                <c:pt idx="6">
                  <c:v>&lt;2.5%</c:v>
                </c:pt>
                <c:pt idx="7">
                  <c:v>&lt;0%</c:v>
                </c:pt>
                <c:pt idx="8">
                  <c:v>&lt;2.5%</c:v>
                </c:pt>
                <c:pt idx="9">
                  <c:v>&lt;5%</c:v>
                </c:pt>
                <c:pt idx="10">
                  <c:v>&lt;7.5%</c:v>
                </c:pt>
                <c:pt idx="11">
                  <c:v>&lt;10%</c:v>
                </c:pt>
                <c:pt idx="12">
                  <c:v>&lt;12.5%</c:v>
                </c:pt>
                <c:pt idx="13">
                  <c:v>&lt;15%</c:v>
                </c:pt>
                <c:pt idx="14">
                  <c:v>&lt;30%</c:v>
                </c:pt>
                <c:pt idx="15">
                  <c:v>&gt;30%</c:v>
                </c:pt>
              </c:strCache>
            </c:strRef>
          </c:cat>
          <c:val>
            <c:numRef>
              <c:f>Descriptive!$B$83:$Q$83</c:f>
              <c:numCache>
                <c:formatCode>0</c:formatCode>
                <c:ptCount val="16"/>
                <c:pt idx="0">
                  <c:v>0.0</c:v>
                </c:pt>
                <c:pt idx="1">
                  <c:v>1.0</c:v>
                </c:pt>
                <c:pt idx="2">
                  <c:v>1.0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1.0</c:v>
                </c:pt>
                <c:pt idx="7">
                  <c:v>3.0</c:v>
                </c:pt>
                <c:pt idx="8">
                  <c:v>4.0</c:v>
                </c:pt>
                <c:pt idx="9">
                  <c:v>5.0</c:v>
                </c:pt>
                <c:pt idx="10">
                  <c:v>1.0</c:v>
                </c:pt>
                <c:pt idx="11">
                  <c:v>1.0</c:v>
                </c:pt>
                <c:pt idx="12">
                  <c:v>4.0</c:v>
                </c:pt>
                <c:pt idx="13">
                  <c:v>1.0</c:v>
                </c:pt>
                <c:pt idx="14">
                  <c:v>5.0</c:v>
                </c:pt>
                <c:pt idx="1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749024"/>
        <c:axId val="2114733776"/>
      </c:barChart>
      <c:catAx>
        <c:axId val="211474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14733776"/>
        <c:crosses val="autoZero"/>
        <c:auto val="1"/>
        <c:lblAlgn val="ctr"/>
        <c:lblOffset val="100"/>
        <c:noMultiLvlLbl val="0"/>
      </c:catAx>
      <c:valAx>
        <c:axId val="2114733776"/>
        <c:scaling>
          <c:orientation val="minMax"/>
          <c:max val="20.0"/>
          <c:min val="0.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4749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Distribution of initial return - FI</a:t>
            </a:r>
            <a:endParaRPr lang="nb-NO">
              <a:effectLst/>
            </a:endParaRPr>
          </a:p>
        </c:rich>
      </c:tx>
      <c:layout>
        <c:manualLayout>
          <c:xMode val="edge"/>
          <c:yMode val="edge"/>
          <c:x val="0.186194444444444"/>
          <c:y val="0.0231481481481481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Descriptive!$A$87</c:f>
              <c:strCache>
                <c:ptCount val="1"/>
                <c:pt idx="0">
                  <c:v>Frq.</c:v>
                </c:pt>
              </c:strCache>
            </c:strRef>
          </c:tx>
          <c:invertIfNegative val="0"/>
          <c:cat>
            <c:strRef>
              <c:f>Descriptive!$B$86:$Q$86</c:f>
              <c:strCache>
                <c:ptCount val="16"/>
                <c:pt idx="0">
                  <c:v>&lt;-30%</c:v>
                </c:pt>
                <c:pt idx="1">
                  <c:v>&lt;-15%</c:v>
                </c:pt>
                <c:pt idx="2">
                  <c:v>&lt;12.5%</c:v>
                </c:pt>
                <c:pt idx="3">
                  <c:v>&lt;10%</c:v>
                </c:pt>
                <c:pt idx="4">
                  <c:v>&lt;7.5%</c:v>
                </c:pt>
                <c:pt idx="5">
                  <c:v>&lt;5%</c:v>
                </c:pt>
                <c:pt idx="6">
                  <c:v>&lt;2.5%</c:v>
                </c:pt>
                <c:pt idx="7">
                  <c:v>&lt;0%</c:v>
                </c:pt>
                <c:pt idx="8">
                  <c:v>&lt;2.5%</c:v>
                </c:pt>
                <c:pt idx="9">
                  <c:v>&lt;5%</c:v>
                </c:pt>
                <c:pt idx="10">
                  <c:v>&lt;7.5%</c:v>
                </c:pt>
                <c:pt idx="11">
                  <c:v>&lt;10%</c:v>
                </c:pt>
                <c:pt idx="12">
                  <c:v>&lt;12.5%</c:v>
                </c:pt>
                <c:pt idx="13">
                  <c:v>&lt;15%</c:v>
                </c:pt>
                <c:pt idx="14">
                  <c:v>&lt;30%</c:v>
                </c:pt>
                <c:pt idx="15">
                  <c:v>&gt;30%</c:v>
                </c:pt>
              </c:strCache>
            </c:strRef>
          </c:cat>
          <c:val>
            <c:numRef>
              <c:f>Descriptive!$B$87:$Q$87</c:f>
              <c:numCache>
                <c:formatCode>0</c:formatCode>
                <c:ptCount val="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3.0</c:v>
                </c:pt>
                <c:pt idx="8">
                  <c:v>4.0</c:v>
                </c:pt>
                <c:pt idx="9">
                  <c:v>1.0</c:v>
                </c:pt>
                <c:pt idx="10">
                  <c:v>4.0</c:v>
                </c:pt>
                <c:pt idx="11">
                  <c:v>2.0</c:v>
                </c:pt>
                <c:pt idx="12">
                  <c:v>4.0</c:v>
                </c:pt>
                <c:pt idx="13">
                  <c:v>0.0</c:v>
                </c:pt>
                <c:pt idx="14">
                  <c:v>2.0</c:v>
                </c:pt>
                <c:pt idx="15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9431472"/>
        <c:axId val="2039364432"/>
      </c:barChart>
      <c:catAx>
        <c:axId val="203943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39364432"/>
        <c:crosses val="autoZero"/>
        <c:auto val="1"/>
        <c:lblAlgn val="ctr"/>
        <c:lblOffset val="100"/>
        <c:noMultiLvlLbl val="0"/>
      </c:catAx>
      <c:valAx>
        <c:axId val="2039364432"/>
        <c:scaling>
          <c:orientation val="minMax"/>
          <c:max val="20.0"/>
          <c:min val="0.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394314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28</xdr:row>
      <xdr:rowOff>23812</xdr:rowOff>
    </xdr:from>
    <xdr:to>
      <xdr:col>5</xdr:col>
      <xdr:colOff>561974</xdr:colOff>
      <xdr:row>45</xdr:row>
      <xdr:rowOff>104775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24</xdr:row>
      <xdr:rowOff>166686</xdr:rowOff>
    </xdr:from>
    <xdr:to>
      <xdr:col>13</xdr:col>
      <xdr:colOff>552451</xdr:colOff>
      <xdr:row>45</xdr:row>
      <xdr:rowOff>104775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447675</xdr:colOff>
      <xdr:row>2</xdr:row>
      <xdr:rowOff>90487</xdr:rowOff>
    </xdr:from>
    <xdr:to>
      <xdr:col>4</xdr:col>
      <xdr:colOff>304801</xdr:colOff>
      <xdr:row>19</xdr:row>
      <xdr:rowOff>114301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61</xdr:row>
      <xdr:rowOff>90487</xdr:rowOff>
    </xdr:from>
    <xdr:to>
      <xdr:col>2</xdr:col>
      <xdr:colOff>885825</xdr:colOff>
      <xdr:row>75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1028700</xdr:colOff>
      <xdr:row>61</xdr:row>
      <xdr:rowOff>90487</xdr:rowOff>
    </xdr:from>
    <xdr:to>
      <xdr:col>7</xdr:col>
      <xdr:colOff>247650</xdr:colOff>
      <xdr:row>75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352425</xdr:colOff>
      <xdr:row>61</xdr:row>
      <xdr:rowOff>71437</xdr:rowOff>
    </xdr:from>
    <xdr:to>
      <xdr:col>14</xdr:col>
      <xdr:colOff>381000</xdr:colOff>
      <xdr:row>75</xdr:row>
      <xdr:rowOff>152400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476249</xdr:colOff>
      <xdr:row>66</xdr:row>
      <xdr:rowOff>80962</xdr:rowOff>
    </xdr:from>
    <xdr:to>
      <xdr:col>21</xdr:col>
      <xdr:colOff>581024</xdr:colOff>
      <xdr:row>79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zoomScale="81" zoomScaleNormal="60" zoomScalePageLayoutView="80" workbookViewId="0">
      <pane ySplit="1" topLeftCell="A75" activePane="bottomLeft" state="frozen"/>
      <selection activeCell="BI1" sqref="BI1"/>
      <selection pane="bottomLeft" activeCell="AN200" sqref="AN200"/>
    </sheetView>
  </sheetViews>
  <sheetFormatPr baseColWidth="10" defaultColWidth="9.1640625" defaultRowHeight="25" customHeight="1" x14ac:dyDescent="0.2"/>
  <cols>
    <col min="1" max="1" width="29.5" style="81" bestFit="1" customWidth="1"/>
    <col min="2" max="2" width="9" style="4" bestFit="1" customWidth="1"/>
    <col min="3" max="3" width="10.33203125" style="4" bestFit="1" customWidth="1"/>
    <col min="4" max="4" width="16.1640625" style="1" customWidth="1"/>
    <col min="5" max="5" width="9.6640625" style="4" bestFit="1" customWidth="1"/>
    <col min="6" max="6" width="7.1640625" style="4" bestFit="1" customWidth="1"/>
    <col min="7" max="7" width="8.5" style="39" customWidth="1"/>
    <col min="8" max="8" width="10.6640625" style="39" bestFit="1" customWidth="1"/>
    <col min="9" max="9" width="14.5" style="4" bestFit="1" customWidth="1"/>
    <col min="10" max="10" width="15.33203125" style="1" customWidth="1"/>
    <col min="11" max="11" width="12.33203125" style="5" bestFit="1" customWidth="1"/>
    <col min="12" max="12" width="13.1640625" style="4" customWidth="1"/>
    <col min="13" max="13" width="10.83203125" style="4" bestFit="1" customWidth="1"/>
    <col min="14" max="14" width="12.5" style="4" bestFit="1" customWidth="1"/>
    <col min="15" max="15" width="9.6640625" style="4" customWidth="1"/>
    <col min="16" max="16" width="11.33203125" style="2" bestFit="1" customWidth="1"/>
    <col min="17" max="17" width="16.1640625" style="1" bestFit="1" customWidth="1"/>
    <col min="18" max="18" width="17.5" style="20" customWidth="1"/>
    <col min="19" max="19" width="19.33203125" style="106" bestFit="1" customWidth="1"/>
    <col min="20" max="20" width="11.5" style="39" bestFit="1" customWidth="1"/>
    <col min="21" max="21" width="10" style="39" bestFit="1" customWidth="1"/>
    <col min="22" max="22" width="12.6640625" style="4" bestFit="1" customWidth="1"/>
    <col min="23" max="24" width="12.6640625" style="5" bestFit="1" customWidth="1"/>
    <col min="25" max="26" width="10.5" style="4" bestFit="1" customWidth="1"/>
    <col min="27" max="27" width="7" style="5" bestFit="1" customWidth="1"/>
    <col min="28" max="28" width="6.83203125" style="5" bestFit="1" customWidth="1"/>
    <col min="29" max="29" width="20" style="4" bestFit="1" customWidth="1"/>
    <col min="30" max="30" width="16.5" style="4" customWidth="1"/>
    <col min="31" max="31" width="18.33203125" style="4" bestFit="1" customWidth="1"/>
    <col min="32" max="32" width="11.33203125" style="4" bestFit="1" customWidth="1"/>
    <col min="33" max="33" width="18.5" style="4" bestFit="1" customWidth="1"/>
    <col min="34" max="34" width="47.5" style="4" bestFit="1" customWidth="1"/>
    <col min="35" max="35" width="12.6640625" style="4" bestFit="1" customWidth="1"/>
    <col min="36" max="36" width="12.6640625" style="4" customWidth="1"/>
    <col min="37" max="37" width="10.33203125" style="41" bestFit="1" customWidth="1"/>
    <col min="38" max="38" width="8.1640625" style="42" bestFit="1" customWidth="1"/>
    <col min="40" max="40" width="43.83203125" style="4" bestFit="1" customWidth="1"/>
    <col min="41" max="41" width="6" style="4" bestFit="1" customWidth="1"/>
    <col min="42" max="42" width="13.5" style="4" bestFit="1" customWidth="1"/>
    <col min="43" max="43" width="17.1640625" style="4" bestFit="1" customWidth="1"/>
    <col min="44" max="44" width="8.5" style="4" bestFit="1" customWidth="1"/>
    <col min="45" max="16384" width="9.1640625" style="4"/>
  </cols>
  <sheetData>
    <row r="1" spans="1:66" s="51" customFormat="1" ht="56" customHeight="1" x14ac:dyDescent="0.2">
      <c r="A1" s="75" t="s">
        <v>0</v>
      </c>
      <c r="B1" s="47" t="s">
        <v>4</v>
      </c>
      <c r="C1" s="47" t="s">
        <v>885</v>
      </c>
      <c r="D1" s="48" t="s">
        <v>886</v>
      </c>
      <c r="E1" s="47" t="s">
        <v>858</v>
      </c>
      <c r="F1" s="51" t="s">
        <v>859</v>
      </c>
      <c r="G1" s="52" t="s">
        <v>979</v>
      </c>
      <c r="H1" s="52" t="s">
        <v>980</v>
      </c>
      <c r="I1" s="47" t="s">
        <v>860</v>
      </c>
      <c r="J1" s="48" t="s">
        <v>899</v>
      </c>
      <c r="K1" s="53" t="s">
        <v>6</v>
      </c>
      <c r="L1" s="47" t="s">
        <v>882</v>
      </c>
      <c r="M1" s="47" t="s">
        <v>857</v>
      </c>
      <c r="N1" s="47" t="s">
        <v>819</v>
      </c>
      <c r="O1" s="47" t="s">
        <v>796</v>
      </c>
      <c r="P1" s="50" t="s">
        <v>820</v>
      </c>
      <c r="Q1" s="48" t="s">
        <v>881</v>
      </c>
      <c r="R1" s="49" t="s">
        <v>981</v>
      </c>
      <c r="S1" s="105" t="s">
        <v>960</v>
      </c>
      <c r="T1" s="52" t="s">
        <v>982</v>
      </c>
      <c r="U1" s="52" t="s">
        <v>983</v>
      </c>
      <c r="V1" s="47" t="s">
        <v>795</v>
      </c>
      <c r="W1" s="49" t="s">
        <v>793</v>
      </c>
      <c r="X1" s="53" t="s">
        <v>794</v>
      </c>
      <c r="Y1" s="47" t="s">
        <v>883</v>
      </c>
      <c r="Z1" s="47" t="s">
        <v>884</v>
      </c>
      <c r="AA1" s="53" t="s">
        <v>849</v>
      </c>
      <c r="AB1" s="53" t="s">
        <v>850</v>
      </c>
      <c r="AC1" s="51" t="s">
        <v>818</v>
      </c>
      <c r="AD1" s="47" t="s">
        <v>887</v>
      </c>
      <c r="AE1" s="47" t="s">
        <v>957</v>
      </c>
      <c r="AF1" s="47" t="s">
        <v>9</v>
      </c>
      <c r="AG1" s="47" t="s">
        <v>863</v>
      </c>
      <c r="AH1" s="47" t="s">
        <v>8</v>
      </c>
      <c r="AI1" s="47" t="s">
        <v>905</v>
      </c>
      <c r="AJ1" s="47" t="s">
        <v>959</v>
      </c>
      <c r="AK1" s="54" t="s">
        <v>7</v>
      </c>
      <c r="AL1" s="55" t="s">
        <v>821</v>
      </c>
      <c r="AM1" s="51" t="s">
        <v>862</v>
      </c>
      <c r="AN1" s="47" t="s">
        <v>1</v>
      </c>
      <c r="AO1" s="47" t="s">
        <v>2</v>
      </c>
      <c r="AP1" s="47" t="s">
        <v>958</v>
      </c>
      <c r="AQ1" s="47" t="s">
        <v>5</v>
      </c>
      <c r="AR1" s="47" t="s">
        <v>3</v>
      </c>
    </row>
    <row r="2" spans="1:66" ht="56" customHeight="1" x14ac:dyDescent="0.2">
      <c r="A2" s="76" t="s">
        <v>18</v>
      </c>
      <c r="B2" s="8" t="s">
        <v>20</v>
      </c>
      <c r="C2" s="29">
        <f>DATE(2001,2,13)</f>
        <v>36935</v>
      </c>
      <c r="D2" s="1">
        <v>36942</v>
      </c>
      <c r="E2" s="3">
        <v>61</v>
      </c>
      <c r="F2" s="4">
        <v>66.5</v>
      </c>
      <c r="G2" s="37">
        <f t="shared" ref="G2:G65" si="0">((F2/E2)-1)</f>
        <v>9.0163934426229497E-2</v>
      </c>
      <c r="H2" s="37">
        <f>G2-VLOOKUP(D2,'SE index'!$A$2:$E$4114,5,FALSE)</f>
        <v>9.6706372398354196E-2</v>
      </c>
      <c r="I2" s="8">
        <v>1</v>
      </c>
      <c r="K2" s="7">
        <v>94.3</v>
      </c>
      <c r="L2" s="31">
        <f>K2*'SE CPI'!$D$1</f>
        <v>110.42727355622645</v>
      </c>
      <c r="M2" s="31">
        <f t="shared" ref="M2:M65" si="1">LN(L2)</f>
        <v>4.7043571464146385</v>
      </c>
      <c r="N2" s="31"/>
      <c r="O2" s="31"/>
      <c r="P2" s="2">
        <f t="shared" ref="P2:P65" si="2">IF(D2=C2,0,1)</f>
        <v>1</v>
      </c>
      <c r="Q2" s="1">
        <v>36937</v>
      </c>
      <c r="R2" s="5">
        <f>VLOOKUP(Q2,Sentiment!$A$3:$B$199,2,FALSE)</f>
        <v>-0.5</v>
      </c>
      <c r="S2" s="106">
        <v>0</v>
      </c>
      <c r="T2" s="37">
        <f>VLOOKUP(D2,'SE index'!$A$2:$G$4114,6,FALSE)</f>
        <v>-5.4455264015281002E-2</v>
      </c>
      <c r="U2" s="57">
        <f>VLOOKUP(D2,'SE index'!$A$2:$G$4114,7,FALSE)</f>
        <v>2.0274231554522602E-2</v>
      </c>
      <c r="V2" s="8" t="s">
        <v>21</v>
      </c>
      <c r="W2" s="5">
        <v>61</v>
      </c>
      <c r="X2" s="7">
        <v>47</v>
      </c>
      <c r="Y2" s="31">
        <v>61</v>
      </c>
      <c r="Z2" s="31">
        <v>47</v>
      </c>
      <c r="AA2" s="7">
        <f>IF(AC2="FIXED",0,IF(E2&gt;W2,1,0))</f>
        <v>0</v>
      </c>
      <c r="AB2" s="7">
        <f>IF(AC2="FIXED",0,IF(E2&lt;X2,1,0))</f>
        <v>0</v>
      </c>
      <c r="AC2" s="4" t="s">
        <v>73</v>
      </c>
      <c r="AD2" s="8" t="s">
        <v>17</v>
      </c>
      <c r="AE2" s="8">
        <f t="shared" ref="AE2:AE65" si="3">IF(AC2="FIXED",1,0)</f>
        <v>0</v>
      </c>
      <c r="AF2" s="58">
        <v>10506400</v>
      </c>
      <c r="AG2" s="58">
        <f>AF2*E2</f>
        <v>640890400</v>
      </c>
      <c r="AH2" s="8" t="s">
        <v>22</v>
      </c>
      <c r="AI2" s="8">
        <v>0</v>
      </c>
      <c r="AJ2" s="8">
        <v>1</v>
      </c>
      <c r="AK2" s="29">
        <v>32143</v>
      </c>
      <c r="AL2" s="7">
        <f>LN(DATEDIF(AK2,D2,"y")+1)</f>
        <v>2.6390573296152584</v>
      </c>
      <c r="AM2">
        <f>DATEDIF(AK2,D2,"y")</f>
        <v>13</v>
      </c>
      <c r="AN2" s="8" t="s">
        <v>19</v>
      </c>
      <c r="AO2" s="35">
        <v>7371</v>
      </c>
      <c r="AP2" s="36">
        <f>IFERROR(VLOOKUP(AO2,'Tech SIC'!$A$2:$B$35,2,FALSE),0)</f>
        <v>1</v>
      </c>
      <c r="AQ2" s="8" t="s">
        <v>13</v>
      </c>
      <c r="AR2" s="8" t="s">
        <v>11</v>
      </c>
    </row>
    <row r="3" spans="1:66" ht="25" customHeight="1" x14ac:dyDescent="0.2">
      <c r="A3" s="76" t="s">
        <v>961</v>
      </c>
      <c r="B3" s="8" t="s">
        <v>962</v>
      </c>
      <c r="C3" s="29">
        <v>37042</v>
      </c>
      <c r="D3" s="1">
        <v>37043</v>
      </c>
      <c r="E3" s="7">
        <v>115</v>
      </c>
      <c r="F3" s="6">
        <v>133</v>
      </c>
      <c r="G3" s="37">
        <f t="shared" si="0"/>
        <v>0.15652173913043477</v>
      </c>
      <c r="H3" s="38">
        <f>G3-VLOOKUP(D3,'SE index'!$A$2:$E$4114,5,FALSE)</f>
        <v>0.16694624031181046</v>
      </c>
      <c r="I3" s="8">
        <v>1</v>
      </c>
      <c r="K3" s="7">
        <v>1966.6</v>
      </c>
      <c r="L3" s="8">
        <f>K3*'NO CPI'!D1</f>
        <v>2556.8290206232746</v>
      </c>
      <c r="M3" s="31">
        <f>LN(L3)</f>
        <v>7.846523105876468</v>
      </c>
      <c r="N3" s="8"/>
      <c r="O3" s="8"/>
      <c r="P3" s="2">
        <f t="shared" si="2"/>
        <v>1</v>
      </c>
      <c r="Q3" s="1">
        <v>37026</v>
      </c>
      <c r="R3" s="5">
        <f>VLOOKUP(Q3,Sentiment!$A$3:$B$199,2,FALSE)</f>
        <v>-2.2000000000000002</v>
      </c>
      <c r="S3" s="106">
        <v>0</v>
      </c>
      <c r="T3" s="37">
        <f>VLOOKUP(D3,'SE index'!$A$2:$G$4114,6,FALSE)</f>
        <v>1.9000175294780351E-2</v>
      </c>
      <c r="U3" s="37">
        <f>VLOOKUP(D3,'SE index'!$A$2:$G$4114,7,FALSE)</f>
        <v>1.7171682070530558E-2</v>
      </c>
      <c r="V3" s="8" t="s">
        <v>21</v>
      </c>
      <c r="W3" s="5">
        <v>115</v>
      </c>
      <c r="X3" s="6">
        <v>95</v>
      </c>
      <c r="Y3" s="31">
        <v>115</v>
      </c>
      <c r="Z3" s="31">
        <v>95</v>
      </c>
      <c r="AA3" s="7">
        <f>IF(AC3="FIXED",0,IF(E3&gt;W3,1,0))</f>
        <v>0</v>
      </c>
      <c r="AB3" s="7">
        <f>IF(AC3="FIXED",0,IF(E3&lt;X3,1,0))</f>
        <v>0</v>
      </c>
      <c r="AC3" s="4" t="s">
        <v>73</v>
      </c>
      <c r="AD3" s="8" t="s">
        <v>17</v>
      </c>
      <c r="AE3" s="8">
        <f t="shared" si="3"/>
        <v>0</v>
      </c>
      <c r="AF3" s="58">
        <v>11727660</v>
      </c>
      <c r="AG3" s="58">
        <f>AF3*E3</f>
        <v>1348680900</v>
      </c>
      <c r="AH3" s="8" t="s">
        <v>963</v>
      </c>
      <c r="AI3" s="8">
        <v>1</v>
      </c>
      <c r="AJ3" s="8">
        <v>1</v>
      </c>
      <c r="AK3" s="65" t="s">
        <v>964</v>
      </c>
      <c r="AL3" s="7">
        <f>LN(199+1)</f>
        <v>5.2983173665480363</v>
      </c>
      <c r="AM3" s="134">
        <f>-1802+2001</f>
        <v>199</v>
      </c>
      <c r="AN3" s="8" t="s">
        <v>965</v>
      </c>
      <c r="AO3" s="35">
        <v>6211</v>
      </c>
      <c r="AP3" s="36">
        <f>IFERROR(VLOOKUP(AO3,'Tech SIC'!$A$2:$B$35,2,FALSE),0)</f>
        <v>0</v>
      </c>
      <c r="AQ3" s="8" t="s">
        <v>89</v>
      </c>
      <c r="AR3" s="8" t="s">
        <v>11</v>
      </c>
    </row>
    <row r="4" spans="1:66" ht="25" customHeight="1" x14ac:dyDescent="0.2">
      <c r="A4" s="76" t="s">
        <v>402</v>
      </c>
      <c r="B4" s="8" t="s">
        <v>404</v>
      </c>
      <c r="C4" s="29">
        <f>DATE(2001,5,29)</f>
        <v>37040</v>
      </c>
      <c r="D4" s="1">
        <v>37048</v>
      </c>
      <c r="E4" s="3">
        <v>57</v>
      </c>
      <c r="F4" s="4">
        <v>59</v>
      </c>
      <c r="G4" s="37">
        <f t="shared" si="0"/>
        <v>3.5087719298245723E-2</v>
      </c>
      <c r="H4" s="57">
        <f>G4-VLOOKUP(D4,'SE index'!$A$2:$E$4114,5,FALSE)</f>
        <v>4.744591889542138E-2</v>
      </c>
      <c r="I4" s="8">
        <v>1</v>
      </c>
      <c r="J4" s="1">
        <v>37070</v>
      </c>
      <c r="K4" s="7">
        <f>N4/(VLOOKUP(J4,'SE FX'!$A$3:$B$199,2,FALSE))</f>
        <v>11.887482315762398</v>
      </c>
      <c r="L4" s="31">
        <f>K4*'SE CPI'!$D$1</f>
        <v>13.920490578764566</v>
      </c>
      <c r="M4" s="31">
        <f>LN(L4)</f>
        <v>2.6333618970126027</v>
      </c>
      <c r="N4" s="8">
        <v>129.4</v>
      </c>
      <c r="O4" s="8" t="s">
        <v>797</v>
      </c>
      <c r="P4" s="2">
        <f t="shared" si="2"/>
        <v>1</v>
      </c>
      <c r="Q4" s="1">
        <v>37057</v>
      </c>
      <c r="R4" s="5">
        <f>VLOOKUP(Q4,Sentiment!$A$3:$B$199,2,FALSE)</f>
        <v>-3</v>
      </c>
      <c r="S4" s="106">
        <v>0</v>
      </c>
      <c r="T4" s="37">
        <f>VLOOKUP(D4,'SE index'!$A$2:$G$4114,6,FALSE)</f>
        <v>4.9046934477474262E-2</v>
      </c>
      <c r="U4" s="57">
        <f>VLOOKUP(D4,'SE index'!$A$2:$G$4114,7,FALSE)</f>
        <v>1.5965441235485035E-2</v>
      </c>
      <c r="V4" s="8" t="s">
        <v>401</v>
      </c>
      <c r="W4" s="5">
        <v>85</v>
      </c>
      <c r="X4" s="7">
        <v>70</v>
      </c>
      <c r="Y4" s="8"/>
      <c r="Z4" s="31"/>
      <c r="AA4" s="7">
        <f>IF(AC4="FIXED",0,IF(E4&gt;W4,1,0))</f>
        <v>0</v>
      </c>
      <c r="AB4" s="7">
        <f>IF(AC4="FIXED",0,IF(E4&lt;X4,1,0))</f>
        <v>1</v>
      </c>
      <c r="AC4" s="40" t="s">
        <v>73</v>
      </c>
      <c r="AD4" s="8" t="s">
        <v>10</v>
      </c>
      <c r="AE4" s="8">
        <f t="shared" si="3"/>
        <v>0</v>
      </c>
      <c r="AF4" s="58">
        <v>1500000</v>
      </c>
      <c r="AG4" s="58">
        <f>AF4*E4</f>
        <v>85500000</v>
      </c>
      <c r="AH4" s="8" t="s">
        <v>26</v>
      </c>
      <c r="AI4" s="8">
        <v>0</v>
      </c>
      <c r="AJ4" s="8">
        <v>1</v>
      </c>
      <c r="AK4" s="29">
        <f>DATE(1996,1,1)</f>
        <v>35065</v>
      </c>
      <c r="AL4" s="7">
        <f>LN(DATEDIF(AK4,D4,"y")+1)</f>
        <v>1.791759469228055</v>
      </c>
      <c r="AM4" s="45">
        <f>DATEDIF(AK4,D4,"y")</f>
        <v>5</v>
      </c>
      <c r="AN4" s="8" t="s">
        <v>403</v>
      </c>
      <c r="AO4" s="35">
        <v>8748</v>
      </c>
      <c r="AP4" s="36">
        <f>IFERROR(VLOOKUP(AO4,'Tech SIC'!$A$2:$B$35,2,FALSE),0)</f>
        <v>0</v>
      </c>
      <c r="AQ4" s="8" t="s">
        <v>13</v>
      </c>
      <c r="AR4" s="8" t="s">
        <v>11</v>
      </c>
    </row>
    <row r="5" spans="1:66" ht="25" customHeight="1" x14ac:dyDescent="0.2">
      <c r="A5" s="76" t="s">
        <v>23</v>
      </c>
      <c r="B5" s="8" t="s">
        <v>25</v>
      </c>
      <c r="C5" s="29">
        <f>DATE(2001,6,6)</f>
        <v>37048</v>
      </c>
      <c r="D5" s="1">
        <v>37054</v>
      </c>
      <c r="E5" s="3">
        <v>62</v>
      </c>
      <c r="F5" s="4">
        <v>52</v>
      </c>
      <c r="G5" s="37">
        <f t="shared" si="0"/>
        <v>-0.16129032258064513</v>
      </c>
      <c r="H5" s="37">
        <f>G5-VLOOKUP(D5,'SE index'!$A$2:$E$4114,5,FALSE)</f>
        <v>-0.14279866306646211</v>
      </c>
      <c r="I5" s="8">
        <v>1</v>
      </c>
      <c r="K5" s="7">
        <v>18</v>
      </c>
      <c r="L5" s="31">
        <f>K5*'SE CPI'!$D$1</f>
        <v>21.07837671274736</v>
      </c>
      <c r="M5" s="31">
        <f t="shared" si="1"/>
        <v>3.0482477146713918</v>
      </c>
      <c r="N5" s="31"/>
      <c r="O5" s="31"/>
      <c r="P5" s="2">
        <f t="shared" si="2"/>
        <v>1</v>
      </c>
      <c r="Q5" s="1">
        <v>37057</v>
      </c>
      <c r="R5" s="5">
        <f>VLOOKUP(Q5,Sentiment!$A$3:$B$199,2,FALSE)</f>
        <v>-3</v>
      </c>
      <c r="S5" s="107">
        <v>0</v>
      </c>
      <c r="T5" s="37">
        <f>VLOOKUP(D5,'SE index'!$A$2:$G$4114,6,FALSE)</f>
        <v>-1.4153501077122521E-2</v>
      </c>
      <c r="U5" s="57">
        <f>VLOOKUP(D5,'SE index'!$A$2:$G$4114,7,FALSE)</f>
        <v>1.6199206731483638E-2</v>
      </c>
      <c r="V5" s="8" t="s">
        <v>21</v>
      </c>
      <c r="W5" s="5">
        <v>75</v>
      </c>
      <c r="X5" s="7">
        <v>60</v>
      </c>
      <c r="Y5" s="31">
        <v>75</v>
      </c>
      <c r="Z5" s="31">
        <v>60</v>
      </c>
      <c r="AA5" s="7">
        <f>IF(AC5="FIXED",0,IF(E5&gt;W5,1,0))</f>
        <v>0</v>
      </c>
      <c r="AB5" s="7">
        <f>IF(AC5="FIXED",0,IF(E5&lt;X5,1,0))</f>
        <v>0</v>
      </c>
      <c r="AC5" s="4" t="s">
        <v>73</v>
      </c>
      <c r="AD5" s="8" t="s">
        <v>17</v>
      </c>
      <c r="AE5" s="8">
        <f t="shared" si="3"/>
        <v>0</v>
      </c>
      <c r="AF5" s="58">
        <v>6000000</v>
      </c>
      <c r="AG5" s="58">
        <f>AF5*E5</f>
        <v>372000000</v>
      </c>
      <c r="AH5" s="8" t="s">
        <v>26</v>
      </c>
      <c r="AI5" s="8">
        <v>0</v>
      </c>
      <c r="AJ5" s="8">
        <v>1</v>
      </c>
      <c r="AK5" s="29">
        <f>DATE(1996,1,1)</f>
        <v>35065</v>
      </c>
      <c r="AL5" s="7">
        <f>LN(DATEDIF(AK5,D5,"y")+1)</f>
        <v>1.791759469228055</v>
      </c>
      <c r="AM5" s="45">
        <f>DATEDIF(AK5,D5,"y")</f>
        <v>5</v>
      </c>
      <c r="AN5" s="8" t="s">
        <v>24</v>
      </c>
      <c r="AO5" s="35">
        <v>2836</v>
      </c>
      <c r="AP5" s="36">
        <f>IFERROR(VLOOKUP(AO5,'Tech SIC'!$A$2:$B$35,2,FALSE),0)</f>
        <v>0</v>
      </c>
      <c r="AQ5" s="8" t="s">
        <v>15</v>
      </c>
      <c r="AR5" s="8" t="s">
        <v>11</v>
      </c>
    </row>
    <row r="6" spans="1:66" ht="25" customHeight="1" x14ac:dyDescent="0.2">
      <c r="A6" s="77" t="s">
        <v>784</v>
      </c>
      <c r="B6" s="8"/>
      <c r="C6" s="29">
        <v>37061</v>
      </c>
      <c r="D6" s="41">
        <v>37061</v>
      </c>
      <c r="E6" s="56">
        <v>40</v>
      </c>
      <c r="F6" s="4">
        <v>36.1</v>
      </c>
      <c r="G6" s="37">
        <f t="shared" si="0"/>
        <v>-9.749999999999992E-2</v>
      </c>
      <c r="H6" s="37">
        <f>G6-VLOOKUP(D6,'SE index'!$A$2:$E$4114,5,FALSE)</f>
        <v>-9.6184256709024737E-2</v>
      </c>
      <c r="I6" s="8">
        <v>1</v>
      </c>
      <c r="J6" s="41"/>
      <c r="K6" s="7">
        <v>18.399999999999999</v>
      </c>
      <c r="L6" s="31">
        <f>K6*'SE CPI'!$D$1</f>
        <v>21.546785084141746</v>
      </c>
      <c r="M6" s="31">
        <f t="shared" si="1"/>
        <v>3.0702266213901672</v>
      </c>
      <c r="N6" s="31"/>
      <c r="O6" s="31"/>
      <c r="P6" s="2">
        <f t="shared" si="2"/>
        <v>0</v>
      </c>
      <c r="Q6" s="1">
        <v>37057</v>
      </c>
      <c r="R6" s="5">
        <f>VLOOKUP(Q6,Sentiment!$A$3:$B$199,2,FALSE)</f>
        <v>-3</v>
      </c>
      <c r="S6" s="108">
        <v>0</v>
      </c>
      <c r="T6" s="37">
        <f>VLOOKUP(D6,'SE index'!$A$2:$G$4114,6,FALSE)</f>
        <v>-8.3888375076858715E-2</v>
      </c>
      <c r="U6" s="57">
        <f>VLOOKUP(D6,'SE index'!$A$2:$G$4114,7,FALSE)</f>
        <v>1.4445476551597931E-2</v>
      </c>
      <c r="V6" s="8" t="s">
        <v>21</v>
      </c>
      <c r="W6" s="5">
        <v>48</v>
      </c>
      <c r="X6" s="7">
        <v>40</v>
      </c>
      <c r="Y6" s="31">
        <v>48</v>
      </c>
      <c r="Z6" s="31">
        <v>40</v>
      </c>
      <c r="AA6" s="7">
        <f>IF(AC6="FIXED",0,IF(E6&gt;W6,1,0))</f>
        <v>0</v>
      </c>
      <c r="AB6" s="7">
        <f>IF(AC6="FIXED",0,IF(E6&lt;X6,1,0))</f>
        <v>0</v>
      </c>
      <c r="AC6" s="40" t="s">
        <v>73</v>
      </c>
      <c r="AD6" s="8" t="s">
        <v>17</v>
      </c>
      <c r="AE6" s="8">
        <f t="shared" si="3"/>
        <v>0</v>
      </c>
      <c r="AF6" s="58">
        <v>4250000</v>
      </c>
      <c r="AG6" s="58">
        <f>AF6*E6</f>
        <v>170000000</v>
      </c>
      <c r="AH6" s="8" t="s">
        <v>38</v>
      </c>
      <c r="AI6" s="8">
        <v>0</v>
      </c>
      <c r="AJ6" s="8">
        <v>1</v>
      </c>
      <c r="AK6" s="29">
        <v>33970</v>
      </c>
      <c r="AL6" s="7">
        <f>LN(DATEDIF(AK6,D6,"y")+1)</f>
        <v>2.1972245773362196</v>
      </c>
      <c r="AM6" s="45">
        <f>DATEDIF(AK6,D6,"y")</f>
        <v>8</v>
      </c>
      <c r="AN6" s="8" t="s">
        <v>207</v>
      </c>
      <c r="AO6" s="35">
        <v>2835</v>
      </c>
      <c r="AP6" s="36">
        <f>IFERROR(VLOOKUP(AO6,'Tech SIC'!$A$2:$B$35,2,FALSE),0)</f>
        <v>0</v>
      </c>
      <c r="AQ6" s="8" t="s">
        <v>15</v>
      </c>
      <c r="AR6" s="8" t="s">
        <v>11</v>
      </c>
    </row>
    <row r="7" spans="1:66" ht="25" customHeight="1" x14ac:dyDescent="0.2">
      <c r="A7" s="76" t="s">
        <v>405</v>
      </c>
      <c r="B7" s="8" t="s">
        <v>407</v>
      </c>
      <c r="C7" s="29">
        <f>DATE(2001,6,18)</f>
        <v>37060</v>
      </c>
      <c r="D7" s="1">
        <v>37068</v>
      </c>
      <c r="E7" s="3">
        <v>38</v>
      </c>
      <c r="F7" s="4">
        <v>29.3</v>
      </c>
      <c r="G7" s="37">
        <f t="shared" si="0"/>
        <v>-0.22894736842105257</v>
      </c>
      <c r="H7" s="57">
        <f>G7-VLOOKUP(D7,'SE index'!$A$2:$E$4114,5,FALSE)</f>
        <v>-0.22347210546550053</v>
      </c>
      <c r="I7" s="8">
        <v>1</v>
      </c>
      <c r="K7" s="7">
        <v>32.799999999999997</v>
      </c>
      <c r="L7" s="31">
        <f>K7*'SE CPI'!$D$1</f>
        <v>38.409486454339635</v>
      </c>
      <c r="M7" s="31">
        <f t="shared" si="1"/>
        <v>3.6483044721653251</v>
      </c>
      <c r="N7" s="31"/>
      <c r="O7" s="31"/>
      <c r="P7" s="2">
        <f t="shared" si="2"/>
        <v>1</v>
      </c>
      <c r="Q7" s="1">
        <v>37057</v>
      </c>
      <c r="R7" s="5">
        <f>VLOOKUP(Q7,Sentiment!$A$3:$B$199,2,FALSE)</f>
        <v>-3</v>
      </c>
      <c r="S7" s="107">
        <v>0</v>
      </c>
      <c r="T7" s="37">
        <f>VLOOKUP(D7,'SE index'!$A$2:$G$4114,6,FALSE)</f>
        <v>-8.4872338740880404E-2</v>
      </c>
      <c r="U7" s="57">
        <f>VLOOKUP(D7,'SE index'!$A$2:$G$4114,7,FALSE)</f>
        <v>1.4147057547820379E-2</v>
      </c>
      <c r="V7" s="8" t="s">
        <v>401</v>
      </c>
      <c r="W7" s="5">
        <v>47</v>
      </c>
      <c r="X7" s="7">
        <v>43</v>
      </c>
      <c r="Y7" s="8"/>
      <c r="Z7" s="8"/>
      <c r="AA7" s="7">
        <f>IF(AC7="FIXED",0,IF(E7&gt;W7,1,0))</f>
        <v>0</v>
      </c>
      <c r="AB7" s="7">
        <f>IF(AC7="FIXED",0,IF(E7&lt;X7,1,0))</f>
        <v>1</v>
      </c>
      <c r="AC7" s="40" t="s">
        <v>73</v>
      </c>
      <c r="AD7" s="8" t="s">
        <v>17</v>
      </c>
      <c r="AE7" s="8">
        <f t="shared" si="3"/>
        <v>0</v>
      </c>
      <c r="AF7" s="58">
        <v>1916320</v>
      </c>
      <c r="AG7" s="58">
        <f>AF7*E7</f>
        <v>72820160</v>
      </c>
      <c r="AH7" s="8" t="s">
        <v>408</v>
      </c>
      <c r="AI7" s="8">
        <v>0</v>
      </c>
      <c r="AJ7" s="8">
        <v>0</v>
      </c>
      <c r="AK7" s="29">
        <v>36526</v>
      </c>
      <c r="AL7" s="7">
        <f>LN(DATEDIF(AK7,D7,"y")+1)</f>
        <v>0.69314718055994529</v>
      </c>
      <c r="AM7" s="45">
        <f>DATEDIF(AK7,D7,"y")</f>
        <v>1</v>
      </c>
      <c r="AN7" s="8" t="s">
        <v>406</v>
      </c>
      <c r="AO7" s="35">
        <v>5137</v>
      </c>
      <c r="AP7" s="36">
        <f>IFERROR(VLOOKUP(AO7,'Tech SIC'!$A$2:$B$35,2,FALSE),0)</f>
        <v>0</v>
      </c>
      <c r="AQ7" s="8" t="s">
        <v>257</v>
      </c>
      <c r="AR7" s="8" t="s">
        <v>11</v>
      </c>
    </row>
    <row r="8" spans="1:66" ht="25" customHeight="1" x14ac:dyDescent="0.2">
      <c r="A8" s="76" t="s">
        <v>27</v>
      </c>
      <c r="B8" s="8" t="s">
        <v>29</v>
      </c>
      <c r="C8" s="29">
        <f>DATE(2002,5,17)</f>
        <v>37393</v>
      </c>
      <c r="D8" s="1">
        <v>37393</v>
      </c>
      <c r="E8" s="3">
        <v>91</v>
      </c>
      <c r="F8" s="4">
        <v>98</v>
      </c>
      <c r="G8" s="37">
        <f t="shared" si="0"/>
        <v>7.6923076923076872E-2</v>
      </c>
      <c r="H8" s="37">
        <f>G8-VLOOKUP(D8,'SE index'!$A$2:$E$4114,5,FALSE)</f>
        <v>6.9541309328792544E-2</v>
      </c>
      <c r="I8" s="8">
        <v>1</v>
      </c>
      <c r="K8" s="7">
        <v>1617.6</v>
      </c>
      <c r="L8" s="31">
        <f>K8*'SE CPI'!$D$2</f>
        <v>1862.3005781915376</v>
      </c>
      <c r="M8" s="31">
        <f>LN(L8)</f>
        <v>7.529567872409161</v>
      </c>
      <c r="N8" s="60"/>
      <c r="O8" s="60"/>
      <c r="P8" s="2">
        <f t="shared" si="2"/>
        <v>0</v>
      </c>
      <c r="Q8" s="1">
        <v>37391</v>
      </c>
      <c r="R8" s="5">
        <f>VLOOKUP(Q8,Sentiment!$A$3:$B$199,2,FALSE)</f>
        <v>-7.2</v>
      </c>
      <c r="S8" s="108">
        <v>0</v>
      </c>
      <c r="T8" s="37">
        <f>VLOOKUP(D8,'SE index'!$A$2:$G$4114,6,FALSE)</f>
        <v>-9.4234749209927693E-2</v>
      </c>
      <c r="U8" s="57">
        <f>VLOOKUP(D8,'SE index'!$A$2:$G$4114,7,FALSE)</f>
        <v>1.6340307695746972E-2</v>
      </c>
      <c r="V8" s="8" t="s">
        <v>21</v>
      </c>
      <c r="W8" s="5">
        <v>95</v>
      </c>
      <c r="X8" s="7">
        <v>90</v>
      </c>
      <c r="Y8" s="31">
        <v>95</v>
      </c>
      <c r="Z8" s="31">
        <v>90</v>
      </c>
      <c r="AA8" s="7">
        <f>IF(AC8="FIXED",0,IF(E8&gt;W8,1,0))</f>
        <v>0</v>
      </c>
      <c r="AB8" s="7">
        <f>IF(AC8="FIXED",0,IF(E8&lt;X8,1,0))</f>
        <v>0</v>
      </c>
      <c r="AC8" s="4" t="s">
        <v>73</v>
      </c>
      <c r="AD8" s="8" t="s">
        <v>17</v>
      </c>
      <c r="AE8" s="8">
        <f t="shared" si="3"/>
        <v>0</v>
      </c>
      <c r="AF8" s="58">
        <v>56515022</v>
      </c>
      <c r="AG8" s="58">
        <f>AF8*E8</f>
        <v>5142867002</v>
      </c>
      <c r="AH8" s="8" t="s">
        <v>30</v>
      </c>
      <c r="AI8" s="8">
        <v>1</v>
      </c>
      <c r="AJ8" s="8">
        <v>1</v>
      </c>
      <c r="AK8" s="29" t="s">
        <v>806</v>
      </c>
      <c r="AL8" s="7">
        <f>LN(2002-1883+1)</f>
        <v>4.7874917427820458</v>
      </c>
      <c r="AM8" s="45">
        <f>-1883+2002</f>
        <v>119</v>
      </c>
      <c r="AN8" s="8" t="s">
        <v>28</v>
      </c>
      <c r="AO8" s="35">
        <v>3585</v>
      </c>
      <c r="AP8" s="36">
        <f>IFERROR(VLOOKUP(AO8,'Tech SIC'!$A$2:$B$35,2,FALSE),0)</f>
        <v>0</v>
      </c>
      <c r="AQ8" s="8" t="s">
        <v>15</v>
      </c>
      <c r="AR8" s="8" t="s">
        <v>11</v>
      </c>
    </row>
    <row r="9" spans="1:66" ht="25" customHeight="1" x14ac:dyDescent="0.2">
      <c r="A9" s="76" t="s">
        <v>785</v>
      </c>
      <c r="B9" s="8"/>
      <c r="C9" s="29">
        <v>37413</v>
      </c>
      <c r="D9" s="41">
        <v>37414</v>
      </c>
      <c r="E9" s="56">
        <v>47</v>
      </c>
      <c r="F9" s="4">
        <v>50</v>
      </c>
      <c r="G9" s="37">
        <f t="shared" si="0"/>
        <v>6.3829787234042534E-2</v>
      </c>
      <c r="H9" s="37">
        <f>G9-VLOOKUP(D9,'SE index'!$A$2:$E$4114,5,FALSE)</f>
        <v>8.2085554751127554E-2</v>
      </c>
      <c r="I9" s="8">
        <v>1</v>
      </c>
      <c r="J9" s="41"/>
      <c r="K9" s="7">
        <v>312.39999999999998</v>
      </c>
      <c r="L9" s="31">
        <f>K9*'SE CPI'!$D$2</f>
        <v>359.65795043708971</v>
      </c>
      <c r="M9" s="31">
        <f t="shared" si="1"/>
        <v>5.8851534421084848</v>
      </c>
      <c r="N9" s="31"/>
      <c r="O9" s="31"/>
      <c r="P9" s="2">
        <f t="shared" si="2"/>
        <v>1</v>
      </c>
      <c r="Q9" s="1">
        <v>37422</v>
      </c>
      <c r="R9" s="5">
        <f>VLOOKUP(Q9,Sentiment!$A$3:$B$199,2,FALSE)</f>
        <v>-7.8</v>
      </c>
      <c r="S9" s="106">
        <v>0</v>
      </c>
      <c r="T9" s="37">
        <f>VLOOKUP(D9,'SE index'!$A$2:$G$4114,6,FALSE)</f>
        <v>-0.14381582548858574</v>
      </c>
      <c r="U9" s="57">
        <f>VLOOKUP(D9,'SE index'!$A$2:$G$4114,7,FALSE)</f>
        <v>1.3821797386054683E-2</v>
      </c>
      <c r="V9" s="8" t="s">
        <v>21</v>
      </c>
      <c r="W9" s="5">
        <v>51</v>
      </c>
      <c r="X9" s="7">
        <v>36</v>
      </c>
      <c r="Y9" s="31">
        <v>51</v>
      </c>
      <c r="Z9" s="31">
        <v>36</v>
      </c>
      <c r="AA9" s="7">
        <f>IF(AC9="FIXED",0,IF(E9&gt;W9,1,0))</f>
        <v>0</v>
      </c>
      <c r="AB9" s="7">
        <f>IF(AC9="FIXED",0,IF(E9&lt;X9,1,0))</f>
        <v>0</v>
      </c>
      <c r="AC9" s="40" t="s">
        <v>73</v>
      </c>
      <c r="AD9" s="8" t="s">
        <v>17</v>
      </c>
      <c r="AE9" s="8">
        <f t="shared" si="3"/>
        <v>0</v>
      </c>
      <c r="AF9" s="58">
        <v>31394405</v>
      </c>
      <c r="AG9" s="58">
        <f>AF9*E9</f>
        <v>1475537035</v>
      </c>
      <c r="AH9" s="8" t="s">
        <v>343</v>
      </c>
      <c r="AI9" s="8">
        <v>0</v>
      </c>
      <c r="AJ9" s="8">
        <v>1</v>
      </c>
      <c r="AK9" s="29">
        <v>8402</v>
      </c>
      <c r="AL9" s="7">
        <f>LN(DATEDIF(AK9,D9,"y")+1)</f>
        <v>4.3820266346738812</v>
      </c>
      <c r="AM9" s="45">
        <f>DATEDIF(AK9,D9,"y")</f>
        <v>79</v>
      </c>
      <c r="AN9" s="8" t="s">
        <v>786</v>
      </c>
      <c r="AO9" s="35">
        <v>6282</v>
      </c>
      <c r="AP9" s="36">
        <f>IFERROR(VLOOKUP(AO9,'Tech SIC'!$A$2:$B$35,2,FALSE),0)</f>
        <v>0</v>
      </c>
      <c r="AQ9" s="8" t="s">
        <v>89</v>
      </c>
      <c r="AR9" s="8" t="s">
        <v>11</v>
      </c>
    </row>
    <row r="10" spans="1:66" ht="25" customHeight="1" x14ac:dyDescent="0.2">
      <c r="A10" s="76" t="s">
        <v>31</v>
      </c>
      <c r="B10" s="8" t="s">
        <v>33</v>
      </c>
      <c r="C10" s="29">
        <f>DATE(2002,6,18)</f>
        <v>37425</v>
      </c>
      <c r="D10" s="1">
        <v>37426</v>
      </c>
      <c r="E10" s="3">
        <v>78</v>
      </c>
      <c r="F10" s="4">
        <v>71</v>
      </c>
      <c r="G10" s="37">
        <f t="shared" si="0"/>
        <v>-8.9743589743589758E-2</v>
      </c>
      <c r="H10" s="37">
        <f>G10-VLOOKUP(D10,'SE index'!$A$2:$E$4114,5,FALSE)</f>
        <v>-6.9129645006241747E-2</v>
      </c>
      <c r="I10" s="8">
        <v>1</v>
      </c>
      <c r="K10" s="7">
        <v>594.5</v>
      </c>
      <c r="L10" s="31">
        <f>K10*'SE CPI'!$D$2</f>
        <v>684.43230324855904</v>
      </c>
      <c r="M10" s="31">
        <f t="shared" si="1"/>
        <v>6.52858974027379</v>
      </c>
      <c r="N10" s="31"/>
      <c r="O10" s="31"/>
      <c r="P10" s="2">
        <f t="shared" si="2"/>
        <v>1</v>
      </c>
      <c r="Q10" s="1">
        <v>37422</v>
      </c>
      <c r="R10" s="5">
        <f>VLOOKUP(Q10,Sentiment!$A$3:$B$199,2,FALSE)</f>
        <v>-7.8</v>
      </c>
      <c r="S10" s="106">
        <v>0</v>
      </c>
      <c r="T10" s="37">
        <f>VLOOKUP(D10,'SE index'!$A$2:$G$4114,6,FALSE)</f>
        <v>-0.12200621715140149</v>
      </c>
      <c r="U10" s="57">
        <f>VLOOKUP(D10,'SE index'!$A$2:$G$4114,7,FALSE)</f>
        <v>1.3335100058055533E-2</v>
      </c>
      <c r="V10" s="8" t="s">
        <v>21</v>
      </c>
      <c r="W10" s="5">
        <v>92</v>
      </c>
      <c r="X10" s="7">
        <v>76</v>
      </c>
      <c r="Y10" s="31">
        <v>92</v>
      </c>
      <c r="Z10" s="31">
        <v>76</v>
      </c>
      <c r="AA10" s="7">
        <f>IF(AC10="FIXED",0,IF(E10&gt;W10,1,0))</f>
        <v>0</v>
      </c>
      <c r="AB10" s="7">
        <f>IF(AC10="FIXED",0,IF(E10&lt;X10,1,0))</f>
        <v>0</v>
      </c>
      <c r="AC10" s="4" t="s">
        <v>73</v>
      </c>
      <c r="AD10" s="8" t="s">
        <v>17</v>
      </c>
      <c r="AE10" s="8">
        <f t="shared" si="3"/>
        <v>0</v>
      </c>
      <c r="AF10" s="58">
        <v>19933297</v>
      </c>
      <c r="AG10" s="58">
        <f>AF10*E10</f>
        <v>1554797166</v>
      </c>
      <c r="AH10" s="8" t="s">
        <v>34</v>
      </c>
      <c r="AI10" s="33">
        <v>1</v>
      </c>
      <c r="AJ10" s="33">
        <v>1</v>
      </c>
      <c r="AK10" s="29">
        <f>DATE(1996,1,1)</f>
        <v>35065</v>
      </c>
      <c r="AL10" s="7">
        <f>LN(DATEDIF(AK10,D10,"y")+1)</f>
        <v>1.9459101490553132</v>
      </c>
      <c r="AM10" s="45">
        <f>DATEDIF(AK10,D10,"y")</f>
        <v>6</v>
      </c>
      <c r="AN10" s="8" t="s">
        <v>32</v>
      </c>
      <c r="AO10" s="35">
        <v>2434</v>
      </c>
      <c r="AP10" s="36">
        <f>IFERROR(VLOOKUP(AO10,'Tech SIC'!$A$2:$B$35,2,FALSE),0)</f>
        <v>0</v>
      </c>
      <c r="AQ10" s="8" t="s">
        <v>15</v>
      </c>
      <c r="AR10" s="8" t="s">
        <v>11</v>
      </c>
    </row>
    <row r="11" spans="1:66" ht="25" customHeight="1" x14ac:dyDescent="0.2">
      <c r="A11" s="76" t="s">
        <v>787</v>
      </c>
      <c r="B11" s="8"/>
      <c r="C11" s="29">
        <v>37426</v>
      </c>
      <c r="D11" s="41">
        <v>37426</v>
      </c>
      <c r="E11" s="56">
        <v>64</v>
      </c>
      <c r="F11" s="4">
        <v>63.47</v>
      </c>
      <c r="G11" s="37">
        <f t="shared" si="0"/>
        <v>-8.2812500000000178E-3</v>
      </c>
      <c r="H11" s="37">
        <f>G11-VLOOKUP(D11,'SE index'!$A$2:$E$4114,5,FALSE)</f>
        <v>1.233269473734799E-2</v>
      </c>
      <c r="I11" s="8">
        <v>1</v>
      </c>
      <c r="J11" s="41"/>
      <c r="K11" s="7">
        <v>98.6</v>
      </c>
      <c r="L11" s="31">
        <f>K11*'SE CPI'!$D$2</f>
        <v>113.51560151439516</v>
      </c>
      <c r="M11" s="31">
        <f t="shared" si="1"/>
        <v>4.7319402857515431</v>
      </c>
      <c r="N11" s="31"/>
      <c r="O11" s="31"/>
      <c r="P11" s="2">
        <f t="shared" si="2"/>
        <v>0</v>
      </c>
      <c r="Q11" s="1">
        <v>37422</v>
      </c>
      <c r="R11" s="5">
        <f>VLOOKUP(Q11,Sentiment!$A$3:$B$199,2,FALSE)</f>
        <v>-7.8</v>
      </c>
      <c r="S11" s="107">
        <v>0</v>
      </c>
      <c r="T11" s="37">
        <f>VLOOKUP(D11,'SE index'!$A$2:$G$4114,6,FALSE)</f>
        <v>-0.12200621715140149</v>
      </c>
      <c r="U11" s="57">
        <f>VLOOKUP(D11,'SE index'!$A$2:$G$4114,7,FALSE)</f>
        <v>1.3335100058055533E-2</v>
      </c>
      <c r="V11" s="8" t="s">
        <v>21</v>
      </c>
      <c r="W11" s="5">
        <v>66</v>
      </c>
      <c r="X11" s="7">
        <v>56</v>
      </c>
      <c r="Y11" s="31">
        <v>66</v>
      </c>
      <c r="Z11" s="31">
        <v>56</v>
      </c>
      <c r="AA11" s="7">
        <f>IF(AC11="FIXED",0,IF(E11&gt;W11,1,0))</f>
        <v>0</v>
      </c>
      <c r="AB11" s="7">
        <f>IF(AC11="FIXED",0,IF(E11&lt;X11,1,0))</f>
        <v>0</v>
      </c>
      <c r="AC11" s="40" t="s">
        <v>73</v>
      </c>
      <c r="AD11" s="8" t="s">
        <v>17</v>
      </c>
      <c r="AE11" s="8">
        <f t="shared" si="3"/>
        <v>0</v>
      </c>
      <c r="AF11" s="58">
        <v>6971743</v>
      </c>
      <c r="AG11" s="58">
        <f>AF11*E11</f>
        <v>446191552</v>
      </c>
      <c r="AH11" s="8" t="s">
        <v>789</v>
      </c>
      <c r="AI11" s="8">
        <v>0</v>
      </c>
      <c r="AJ11" s="8">
        <v>0</v>
      </c>
      <c r="AK11" s="29">
        <v>10594</v>
      </c>
      <c r="AL11" s="7">
        <f>LN(DATEDIF(AK11,D11,"y")+1)</f>
        <v>4.3040650932041702</v>
      </c>
      <c r="AM11" s="45">
        <f>DATEDIF(AK11,D11,"y")</f>
        <v>73</v>
      </c>
      <c r="AN11" s="8" t="s">
        <v>788</v>
      </c>
      <c r="AO11" s="35">
        <v>2434</v>
      </c>
      <c r="AP11" s="36">
        <f>IFERROR(VLOOKUP(AO11,'Tech SIC'!$A$2:$B$35,2,FALSE),0)</f>
        <v>0</v>
      </c>
      <c r="AQ11" s="8" t="s">
        <v>15</v>
      </c>
      <c r="AR11" s="8" t="s">
        <v>11</v>
      </c>
    </row>
    <row r="12" spans="1:66" ht="25" customHeight="1" x14ac:dyDescent="0.2">
      <c r="A12" s="76" t="s">
        <v>409</v>
      </c>
      <c r="B12" s="8" t="s">
        <v>411</v>
      </c>
      <c r="C12" s="29">
        <f>DATE(2004,6,23)</f>
        <v>38161</v>
      </c>
      <c r="D12" s="1">
        <v>38161</v>
      </c>
      <c r="E12" s="3">
        <v>75</v>
      </c>
      <c r="F12" s="4">
        <v>69</v>
      </c>
      <c r="G12" s="37">
        <f t="shared" si="0"/>
        <v>-7.999999999999996E-2</v>
      </c>
      <c r="H12" s="57">
        <f>G12-VLOOKUP(D12,'SE index'!$A$2:$E$4114,5,FALSE)</f>
        <v>-9.8328755256216649E-2</v>
      </c>
      <c r="I12" s="8">
        <v>1</v>
      </c>
      <c r="J12" s="1">
        <v>38166</v>
      </c>
      <c r="K12" s="7">
        <f>N12/(VLOOKUP(J12,'SE FX'!$A$3:$B$199,2,FALSE))</f>
        <v>104.23539250891085</v>
      </c>
      <c r="L12" s="31">
        <f>K12*'SE CPI'!$D$4</f>
        <v>117.64480325610798</v>
      </c>
      <c r="M12" s="31">
        <f t="shared" si="1"/>
        <v>4.7676699429789924</v>
      </c>
      <c r="N12" s="8">
        <v>785.2</v>
      </c>
      <c r="O12" s="8" t="s">
        <v>797</v>
      </c>
      <c r="P12" s="2">
        <f t="shared" si="2"/>
        <v>0</v>
      </c>
      <c r="Q12" s="1">
        <v>38153</v>
      </c>
      <c r="R12" s="5">
        <f>VLOOKUP(Q12,Sentiment!$A$3:$B$199,2,FALSE)</f>
        <v>-13.5</v>
      </c>
      <c r="S12" s="106">
        <v>0</v>
      </c>
      <c r="T12" s="37">
        <f>VLOOKUP(D12,'SE index'!$A$2:$G$4114,6,FALSE)</f>
        <v>5.6991446176767192E-2</v>
      </c>
      <c r="U12" s="57">
        <f>VLOOKUP(D12,'SE index'!$A$2:$G$4114,7,FALSE)</f>
        <v>1.0979572134903267E-2</v>
      </c>
      <c r="V12" s="8" t="s">
        <v>401</v>
      </c>
      <c r="X12" s="7"/>
      <c r="Y12" s="8"/>
      <c r="Z12" s="8"/>
      <c r="AA12" s="7">
        <v>0</v>
      </c>
      <c r="AB12" s="7">
        <v>0</v>
      </c>
      <c r="AC12" s="40" t="s">
        <v>10</v>
      </c>
      <c r="AD12" s="8" t="s">
        <v>10</v>
      </c>
      <c r="AE12" s="8">
        <f>IF(AC12="FIXED",1,0)</f>
        <v>1</v>
      </c>
      <c r="AF12" s="58">
        <v>2051160</v>
      </c>
      <c r="AG12" s="58">
        <f>AF12*E12</f>
        <v>153837000</v>
      </c>
      <c r="AH12" s="8" t="s">
        <v>412</v>
      </c>
      <c r="AI12" s="8">
        <v>0</v>
      </c>
      <c r="AJ12" s="8">
        <v>0</v>
      </c>
      <c r="AK12" s="29">
        <f>DATE(1999,1,1)</f>
        <v>36161</v>
      </c>
      <c r="AL12" s="7">
        <f>LN(DATEDIF(AK12,D12,"y")+1)</f>
        <v>1.791759469228055</v>
      </c>
      <c r="AM12" s="45">
        <f>DATEDIF(AK12,D12,"y")</f>
        <v>5</v>
      </c>
      <c r="AN12" s="8" t="s">
        <v>410</v>
      </c>
      <c r="AO12" s="35">
        <v>3679</v>
      </c>
      <c r="AP12" s="36">
        <f>IFERROR(VLOOKUP(AO12,'Tech SIC'!$A$2:$B$35,2,FALSE),0)</f>
        <v>1</v>
      </c>
      <c r="AQ12" s="8" t="s">
        <v>15</v>
      </c>
      <c r="AR12" s="8" t="s">
        <v>11</v>
      </c>
    </row>
    <row r="13" spans="1:66" ht="25" customHeight="1" x14ac:dyDescent="0.2">
      <c r="A13" s="76" t="s">
        <v>413</v>
      </c>
      <c r="B13" s="8" t="s">
        <v>415</v>
      </c>
      <c r="C13" s="29">
        <f>DATE(2004,12,2)</f>
        <v>38323</v>
      </c>
      <c r="D13" s="1">
        <v>38323</v>
      </c>
      <c r="E13" s="3">
        <v>32.5</v>
      </c>
      <c r="F13" s="4">
        <v>32.6</v>
      </c>
      <c r="G13" s="37">
        <f t="shared" si="0"/>
        <v>3.0769230769231992E-3</v>
      </c>
      <c r="H13" s="57">
        <f>G13-VLOOKUP(D13,'SE index'!$A$2:$E$4114,5,FALSE)</f>
        <v>-1.7240330349200111E-3</v>
      </c>
      <c r="I13" s="8">
        <v>1</v>
      </c>
      <c r="J13" s="1">
        <v>38349</v>
      </c>
      <c r="K13" s="7">
        <f>N13/(VLOOKUP(J13,'SE FX'!$A$3:$B$199,2,FALSE))</f>
        <v>10.869473620850512</v>
      </c>
      <c r="L13" s="31">
        <f>K13*'SE CPI'!$D$4</f>
        <v>12.267782130844836</v>
      </c>
      <c r="M13" s="31">
        <f t="shared" si="1"/>
        <v>2.5069764869522193</v>
      </c>
      <c r="N13" s="8">
        <f>72232*0.001</f>
        <v>72.231999999999999</v>
      </c>
      <c r="O13" s="8" t="s">
        <v>797</v>
      </c>
      <c r="P13" s="2">
        <f t="shared" si="2"/>
        <v>0</v>
      </c>
      <c r="Q13" s="1">
        <v>38336</v>
      </c>
      <c r="R13" s="5">
        <f>VLOOKUP(Q13,Sentiment!$A$3:$B$199,2,FALSE)</f>
        <v>-14.1</v>
      </c>
      <c r="S13" s="106">
        <v>0</v>
      </c>
      <c r="T13" s="57">
        <f>VLOOKUP(D13,'SE index'!$A$2:$G$4114,6,FALSE)</f>
        <v>5.8515708019608884E-2</v>
      </c>
      <c r="U13" s="57">
        <f>VLOOKUP(D13,'SE index'!$A$2:$G$4114,7,FALSE)</f>
        <v>8.5912658522617098E-3</v>
      </c>
      <c r="V13" s="8" t="s">
        <v>401</v>
      </c>
      <c r="W13" s="5">
        <v>45</v>
      </c>
      <c r="X13" s="7">
        <v>32.5</v>
      </c>
      <c r="Y13" s="31">
        <v>45</v>
      </c>
      <c r="Z13" s="31">
        <v>32.5</v>
      </c>
      <c r="AA13" s="7">
        <f>IF(AC13="FIXED",0,IF(E13&gt;W13,1,0))</f>
        <v>0</v>
      </c>
      <c r="AB13" s="7">
        <f>IF(AC13="FIXED",0,IF(E13&lt;X13,1,0))</f>
        <v>0</v>
      </c>
      <c r="AC13" s="4" t="s">
        <v>73</v>
      </c>
      <c r="AD13" s="8" t="s">
        <v>17</v>
      </c>
      <c r="AE13" s="8">
        <f t="shared" si="3"/>
        <v>0</v>
      </c>
      <c r="AF13" s="58">
        <v>1714200</v>
      </c>
      <c r="AG13" s="58">
        <f>AF13*E13</f>
        <v>55711500</v>
      </c>
      <c r="AH13" s="8" t="s">
        <v>412</v>
      </c>
      <c r="AI13" s="8">
        <v>0</v>
      </c>
      <c r="AJ13" s="8">
        <v>0</v>
      </c>
      <c r="AK13" s="29">
        <f>DATE(1991,1,1)</f>
        <v>33239</v>
      </c>
      <c r="AL13" s="7">
        <f>LN(DATEDIF(AK13,D13,"y")+1)</f>
        <v>2.6390573296152584</v>
      </c>
      <c r="AM13" s="45">
        <f>DATEDIF(AK13,D13,"y")</f>
        <v>13</v>
      </c>
      <c r="AN13" s="8" t="s">
        <v>414</v>
      </c>
      <c r="AO13" s="35">
        <v>2836</v>
      </c>
      <c r="AP13" s="36">
        <f>IFERROR(VLOOKUP(AO13,'Tech SIC'!$A$2:$B$35,2,FALSE),0)</f>
        <v>0</v>
      </c>
      <c r="AQ13" s="8" t="s">
        <v>15</v>
      </c>
      <c r="AR13" s="8" t="s">
        <v>11</v>
      </c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</row>
    <row r="14" spans="1:66" ht="25" customHeight="1" x14ac:dyDescent="0.2">
      <c r="A14" s="76" t="s">
        <v>416</v>
      </c>
      <c r="B14" s="8" t="s">
        <v>418</v>
      </c>
      <c r="C14" s="29">
        <f>DATE(2005,10,5)</f>
        <v>38630</v>
      </c>
      <c r="D14" s="1">
        <v>38630</v>
      </c>
      <c r="E14" s="3">
        <v>65</v>
      </c>
      <c r="F14" s="4">
        <v>73.25</v>
      </c>
      <c r="G14" s="37">
        <f t="shared" si="0"/>
        <v>0.12692307692307692</v>
      </c>
      <c r="H14" s="57">
        <f>G14-VLOOKUP(D14,'SE index'!$A$2:$E$4114,5,FALSE)</f>
        <v>0.13168633893107626</v>
      </c>
      <c r="I14" s="8">
        <v>1</v>
      </c>
      <c r="K14" s="7">
        <v>252.1</v>
      </c>
      <c r="L14" s="31">
        <f>K14*'SE CPI'!$D$5</f>
        <v>283.68412647475134</v>
      </c>
      <c r="M14" s="31">
        <f t="shared" si="1"/>
        <v>5.6478613884508952</v>
      </c>
      <c r="N14" s="31"/>
      <c r="O14" s="31"/>
      <c r="P14" s="2">
        <f t="shared" si="2"/>
        <v>0</v>
      </c>
      <c r="Q14" s="1">
        <v>38640</v>
      </c>
      <c r="R14" s="5">
        <f>VLOOKUP(Q14,Sentiment!$A$3:$B$199,2,FALSE)</f>
        <v>-13.6</v>
      </c>
      <c r="S14" s="108">
        <v>1</v>
      </c>
      <c r="T14" s="37">
        <f>VLOOKUP(D14,'SE index'!$A$2:$G$4114,6,FALSE)</f>
        <v>5.6114080626324864E-2</v>
      </c>
      <c r="U14" s="57">
        <f>VLOOKUP(D14,'SE index'!$A$2:$G$4114,7,FALSE)</f>
        <v>6.2173781405476707E-3</v>
      </c>
      <c r="V14" s="8" t="s">
        <v>401</v>
      </c>
      <c r="W14" s="5">
        <v>65</v>
      </c>
      <c r="X14" s="7">
        <v>55</v>
      </c>
      <c r="Y14" s="8"/>
      <c r="Z14" s="8"/>
      <c r="AA14" s="7">
        <f>IF(AC14="FIXED",0,IF(E14&gt;W14,1,0))</f>
        <v>0</v>
      </c>
      <c r="AB14" s="7">
        <f>IF(AC14="FIXED",0,IF(E14&lt;X14,1,0))</f>
        <v>0</v>
      </c>
      <c r="AC14" s="4" t="s">
        <v>73</v>
      </c>
      <c r="AD14" s="8" t="s">
        <v>17</v>
      </c>
      <c r="AE14" s="8">
        <f t="shared" si="3"/>
        <v>0</v>
      </c>
      <c r="AF14" s="58">
        <v>22000000</v>
      </c>
      <c r="AG14" s="58">
        <f>AF14*E14</f>
        <v>1430000000</v>
      </c>
      <c r="AH14" s="8" t="s">
        <v>419</v>
      </c>
      <c r="AI14" s="8">
        <v>0</v>
      </c>
      <c r="AJ14" s="8">
        <v>1</v>
      </c>
      <c r="AK14" s="29">
        <f>DATE(1978,1,1)</f>
        <v>28491</v>
      </c>
      <c r="AL14" s="7">
        <f>LN(DATEDIF(AK14,D14,"y")+1)</f>
        <v>3.3322045101752038</v>
      </c>
      <c r="AM14" s="45">
        <f>DATEDIF(AK14,D14,"y")</f>
        <v>27</v>
      </c>
      <c r="AN14" s="8" t="s">
        <v>417</v>
      </c>
      <c r="AO14" s="35">
        <v>5085</v>
      </c>
      <c r="AP14" s="36">
        <f>IFERROR(VLOOKUP(AO14,'Tech SIC'!$A$2:$B$35,2,FALSE),0)</f>
        <v>0</v>
      </c>
      <c r="AQ14" s="8" t="s">
        <v>257</v>
      </c>
      <c r="AR14" s="8" t="s">
        <v>11</v>
      </c>
    </row>
    <row r="15" spans="1:66" ht="25" customHeight="1" x14ac:dyDescent="0.2">
      <c r="A15" s="76" t="s">
        <v>420</v>
      </c>
      <c r="B15" s="8" t="s">
        <v>422</v>
      </c>
      <c r="C15" s="29">
        <f>DATE(2005,10,6)</f>
        <v>38631</v>
      </c>
      <c r="D15" s="1">
        <v>38631</v>
      </c>
      <c r="E15" s="3">
        <v>56</v>
      </c>
      <c r="F15" s="4">
        <v>66.5</v>
      </c>
      <c r="G15" s="37">
        <f t="shared" si="0"/>
        <v>0.1875</v>
      </c>
      <c r="H15" s="57">
        <f>G15-VLOOKUP(D15,'SE index'!$A$2:$E$4114,5,FALSE)</f>
        <v>0.19755595690997904</v>
      </c>
      <c r="I15" s="8">
        <v>1</v>
      </c>
      <c r="J15" s="1">
        <v>38653</v>
      </c>
      <c r="K15" s="7">
        <f>N15/(VLOOKUP(J15,'SE FX'!$A$3:$B$199,2,FALSE))</f>
        <v>44.805208666880134</v>
      </c>
      <c r="L15" s="31">
        <f>K15*'SE CPI'!$D$5</f>
        <v>50.41858977462455</v>
      </c>
      <c r="M15" s="31">
        <f t="shared" si="1"/>
        <v>3.9203599518054397</v>
      </c>
      <c r="N15" s="8">
        <f>356813*0.001</f>
        <v>356.81299999999999</v>
      </c>
      <c r="O15" s="8" t="s">
        <v>797</v>
      </c>
      <c r="P15" s="2">
        <f t="shared" si="2"/>
        <v>0</v>
      </c>
      <c r="Q15" s="1">
        <v>38640</v>
      </c>
      <c r="R15" s="5">
        <f>VLOOKUP(Q15,Sentiment!$A$3:$B$199,2,FALSE)</f>
        <v>-13.6</v>
      </c>
      <c r="S15" s="106">
        <v>1</v>
      </c>
      <c r="T15" s="37">
        <f>VLOOKUP(D15,'SE index'!$A$2:$G$4114,6,FALSE)</f>
        <v>5.7340288598845809E-2</v>
      </c>
      <c r="U15" s="57">
        <f>VLOOKUP(D15,'SE index'!$A$2:$G$4114,7,FALSE)</f>
        <v>6.1313655841589024E-3</v>
      </c>
      <c r="V15" s="8" t="s">
        <v>401</v>
      </c>
      <c r="W15" s="5">
        <v>56</v>
      </c>
      <c r="X15" s="7">
        <v>47</v>
      </c>
      <c r="Y15" s="31">
        <v>56</v>
      </c>
      <c r="Z15" s="31">
        <v>47</v>
      </c>
      <c r="AA15" s="7">
        <f>IF(AC15="FIXED",0,IF(E15&gt;W15,1,0))</f>
        <v>0</v>
      </c>
      <c r="AB15" s="7">
        <f>IF(AC15="FIXED",0,IF(E15&lt;X15,1,0))</f>
        <v>0</v>
      </c>
      <c r="AC15" s="4" t="s">
        <v>73</v>
      </c>
      <c r="AD15" s="8" t="s">
        <v>17</v>
      </c>
      <c r="AE15" s="8">
        <f t="shared" si="3"/>
        <v>0</v>
      </c>
      <c r="AF15" s="58">
        <v>9400000</v>
      </c>
      <c r="AG15" s="58">
        <f>AF15*E15</f>
        <v>526400000</v>
      </c>
      <c r="AH15" s="8" t="s">
        <v>38</v>
      </c>
      <c r="AI15" s="8">
        <v>0</v>
      </c>
      <c r="AJ15" s="8">
        <v>1</v>
      </c>
      <c r="AK15" s="29">
        <f>DATE(1973,1,1)</f>
        <v>26665</v>
      </c>
      <c r="AL15" s="7">
        <f>LN(DATEDIF(AK15,D15,"y")+1)</f>
        <v>3.4965075614664802</v>
      </c>
      <c r="AM15" s="45">
        <f>DATEDIF(AK15,D15,"y")</f>
        <v>32</v>
      </c>
      <c r="AN15" s="8" t="s">
        <v>421</v>
      </c>
      <c r="AO15" s="35">
        <v>5714</v>
      </c>
      <c r="AP15" s="36">
        <f>IFERROR(VLOOKUP(AO15,'Tech SIC'!$A$2:$B$35,2,FALSE),0)</f>
        <v>0</v>
      </c>
      <c r="AQ15" s="8" t="s">
        <v>316</v>
      </c>
      <c r="AR15" s="8" t="s">
        <v>11</v>
      </c>
    </row>
    <row r="16" spans="1:66" s="40" customFormat="1" ht="25" customHeight="1" x14ac:dyDescent="0.2">
      <c r="A16" s="76" t="s">
        <v>423</v>
      </c>
      <c r="B16" s="8" t="s">
        <v>425</v>
      </c>
      <c r="C16" s="29">
        <f>DATE(2005,11,8)</f>
        <v>38664</v>
      </c>
      <c r="D16" s="1">
        <v>38664</v>
      </c>
      <c r="E16" s="3">
        <v>110</v>
      </c>
      <c r="F16" s="4">
        <v>110</v>
      </c>
      <c r="G16" s="37">
        <f t="shared" si="0"/>
        <v>0</v>
      </c>
      <c r="H16" s="57">
        <f>G16-VLOOKUP(D16,'SE index'!$A$2:$E$4114,5,FALSE)</f>
        <v>2.5876109035949243E-3</v>
      </c>
      <c r="I16" s="8">
        <v>1</v>
      </c>
      <c r="J16" s="71">
        <v>38684</v>
      </c>
      <c r="K16" s="7">
        <f>N16/(VLOOKUP(J16,'SE FX'!$A$3:$B$199,2,FALSE))</f>
        <v>37.456552953408917</v>
      </c>
      <c r="L16" s="31">
        <f>K16*'SE CPI'!$D$5</f>
        <v>42.149264202074882</v>
      </c>
      <c r="M16" s="31">
        <f t="shared" si="1"/>
        <v>3.7412172276424678</v>
      </c>
      <c r="N16" s="8">
        <f>302604*0.001</f>
        <v>302.60399999999998</v>
      </c>
      <c r="O16" s="8" t="s">
        <v>797</v>
      </c>
      <c r="P16" s="2">
        <f t="shared" si="2"/>
        <v>0</v>
      </c>
      <c r="Q16" s="1">
        <v>38671</v>
      </c>
      <c r="R16" s="5">
        <f>VLOOKUP(Q16,Sentiment!$A$3:$B$199,2,FALSE)</f>
        <v>-13.8</v>
      </c>
      <c r="S16" s="108">
        <v>1</v>
      </c>
      <c r="T16" s="37">
        <f>VLOOKUP(D16,'SE index'!$A$2:$G$4114,6,FALSE)</f>
        <v>1.8529752130445266E-2</v>
      </c>
      <c r="U16" s="57">
        <f>VLOOKUP(D16,'SE index'!$A$2:$G$4114,7,FALSE)</f>
        <v>8.1060357260398334E-3</v>
      </c>
      <c r="V16" s="8" t="s">
        <v>401</v>
      </c>
      <c r="W16" s="5">
        <v>120</v>
      </c>
      <c r="X16" s="7">
        <v>90</v>
      </c>
      <c r="Y16" s="8"/>
      <c r="Z16" s="8"/>
      <c r="AA16" s="7">
        <f>IF(AC16="FIXED",0,IF(E16&gt;W16,1,0))</f>
        <v>0</v>
      </c>
      <c r="AB16" s="7">
        <f>IF(AC16="FIXED",0,IF(E16&lt;X16,1,0))</f>
        <v>0</v>
      </c>
      <c r="AC16" s="40" t="s">
        <v>73</v>
      </c>
      <c r="AD16" s="8" t="s">
        <v>17</v>
      </c>
      <c r="AE16" s="8">
        <f t="shared" si="3"/>
        <v>0</v>
      </c>
      <c r="AF16" s="58">
        <v>10286464</v>
      </c>
      <c r="AG16" s="58">
        <f>AF16*E16</f>
        <v>1131511040</v>
      </c>
      <c r="AH16" s="8" t="s">
        <v>426</v>
      </c>
      <c r="AI16" s="8">
        <v>1</v>
      </c>
      <c r="AJ16" s="8">
        <v>1</v>
      </c>
      <c r="AK16" s="29">
        <f>DATE(1999,1,1)</f>
        <v>36161</v>
      </c>
      <c r="AL16" s="7">
        <f>LN(DATEDIF(AK16,D16,"y")+1)</f>
        <v>1.9459101490553132</v>
      </c>
      <c r="AM16" s="45">
        <f>DATEDIF(AK16,D16,"y")</f>
        <v>6</v>
      </c>
      <c r="AN16" s="8" t="s">
        <v>424</v>
      </c>
      <c r="AO16" s="35">
        <v>7319</v>
      </c>
      <c r="AP16" s="36">
        <f>IFERROR(VLOOKUP(AO16,'Tech SIC'!$A$2:$B$35,2,FALSE),0)</f>
        <v>0</v>
      </c>
      <c r="AQ16" s="8" t="s">
        <v>13</v>
      </c>
      <c r="AR16" s="8" t="s">
        <v>11</v>
      </c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66" ht="25" customHeight="1" x14ac:dyDescent="0.2">
      <c r="A17" s="76" t="s">
        <v>427</v>
      </c>
      <c r="B17" s="8" t="s">
        <v>429</v>
      </c>
      <c r="C17" s="29">
        <f>DATE(2005,11,9)</f>
        <v>38665</v>
      </c>
      <c r="D17" s="1">
        <v>38665</v>
      </c>
      <c r="E17" s="3">
        <v>90</v>
      </c>
      <c r="F17" s="4">
        <v>90</v>
      </c>
      <c r="G17" s="37">
        <f t="shared" si="0"/>
        <v>0</v>
      </c>
      <c r="H17" s="57">
        <f>G17-VLOOKUP(D17,'SE index'!$A$2:$E$4114,5,FALSE)</f>
        <v>-1.8775175630580396E-3</v>
      </c>
      <c r="I17" s="8">
        <v>1</v>
      </c>
      <c r="K17" s="7">
        <v>12.6</v>
      </c>
      <c r="L17" s="31">
        <f>K17*'SE CPI'!$D$5</f>
        <v>14.178579903141083</v>
      </c>
      <c r="M17" s="31">
        <f t="shared" si="1"/>
        <v>2.6517323682144536</v>
      </c>
      <c r="N17" s="31"/>
      <c r="O17" s="61"/>
      <c r="P17" s="2">
        <f t="shared" si="2"/>
        <v>0</v>
      </c>
      <c r="Q17" s="1">
        <v>38671</v>
      </c>
      <c r="R17" s="5">
        <f>VLOOKUP(Q17,Sentiment!$A$3:$B$199,2,FALSE)</f>
        <v>-13.8</v>
      </c>
      <c r="S17" s="106">
        <v>1</v>
      </c>
      <c r="T17" s="37">
        <f>VLOOKUP(D17,'SE index'!$A$2:$G$4114,6,FALSE)</f>
        <v>1.1846085394190464E-2</v>
      </c>
      <c r="U17" s="57">
        <f>VLOOKUP(D17,'SE index'!$A$2:$G$4114,7,FALSE)</f>
        <v>7.9709066574629363E-3</v>
      </c>
      <c r="V17" s="8" t="s">
        <v>401</v>
      </c>
      <c r="W17" s="5">
        <v>105</v>
      </c>
      <c r="X17" s="7">
        <v>90</v>
      </c>
      <c r="Y17" s="8"/>
      <c r="Z17" s="8"/>
      <c r="AA17" s="7">
        <f>IF(AC17="FIXED",0,IF(E17&gt;W17,1,0))</f>
        <v>0</v>
      </c>
      <c r="AB17" s="7">
        <f>IF(AC17="FIXED",0,IF(E17&lt;X17,1,0))</f>
        <v>0</v>
      </c>
      <c r="AC17" s="40" t="s">
        <v>73</v>
      </c>
      <c r="AD17" s="8"/>
      <c r="AE17" s="8">
        <f t="shared" si="3"/>
        <v>0</v>
      </c>
      <c r="AF17" s="58">
        <v>3700000</v>
      </c>
      <c r="AG17" s="58">
        <f>AF17*E17</f>
        <v>333000000</v>
      </c>
      <c r="AH17" s="8" t="s">
        <v>172</v>
      </c>
      <c r="AI17" s="8">
        <v>0</v>
      </c>
      <c r="AJ17" s="8">
        <v>1</v>
      </c>
      <c r="AK17" s="29">
        <f>DATE(1995,1,1)</f>
        <v>34700</v>
      </c>
      <c r="AL17" s="7">
        <f>LN(DATEDIF(AK17,D17,"y")+1)</f>
        <v>2.3978952727983707</v>
      </c>
      <c r="AM17" s="45">
        <f>DATEDIF(AK17,D17,"y")</f>
        <v>10</v>
      </c>
      <c r="AN17" s="8" t="s">
        <v>428</v>
      </c>
      <c r="AO17" s="35">
        <v>2834</v>
      </c>
      <c r="AP17" s="36">
        <f>IFERROR(VLOOKUP(AO17,'Tech SIC'!$A$2:$B$35,2,FALSE),0)</f>
        <v>0</v>
      </c>
      <c r="AQ17" s="8" t="s">
        <v>15</v>
      </c>
      <c r="AR17" s="8" t="s">
        <v>11</v>
      </c>
    </row>
    <row r="18" spans="1:66" ht="25" customHeight="1" x14ac:dyDescent="0.2">
      <c r="A18" s="76" t="s">
        <v>430</v>
      </c>
      <c r="B18" s="8" t="s">
        <v>432</v>
      </c>
      <c r="C18" s="29">
        <f>DATE(2005,12,8)</f>
        <v>38694</v>
      </c>
      <c r="D18" s="1">
        <v>38694</v>
      </c>
      <c r="E18" s="3">
        <v>77</v>
      </c>
      <c r="F18" s="4">
        <v>81.5</v>
      </c>
      <c r="G18" s="37">
        <f t="shared" si="0"/>
        <v>5.8441558441558517E-2</v>
      </c>
      <c r="H18" s="57">
        <f>G18-VLOOKUP(D18,'SE index'!$A$2:$E$4114,5,FALSE)</f>
        <v>5.1770717725862739E-2</v>
      </c>
      <c r="I18" s="8">
        <v>1</v>
      </c>
      <c r="K18" s="7">
        <v>1042.8</v>
      </c>
      <c r="L18" s="31">
        <f>K18*'SE CPI'!$D$5</f>
        <v>1173.4462796028192</v>
      </c>
      <c r="M18" s="31">
        <f t="shared" si="1"/>
        <v>7.0677002363163677</v>
      </c>
      <c r="N18" s="60"/>
      <c r="O18" s="62"/>
      <c r="P18" s="2">
        <f t="shared" si="2"/>
        <v>0</v>
      </c>
      <c r="Q18" s="1">
        <v>38701</v>
      </c>
      <c r="R18" s="5">
        <f>VLOOKUP(Q18,Sentiment!$A$3:$B$199,2,FALSE)</f>
        <v>-11.700000000000001</v>
      </c>
      <c r="S18" s="108">
        <v>1</v>
      </c>
      <c r="T18" s="37">
        <f>VLOOKUP(D18,'SE index'!$A$2:$G$4114,6,FALSE)</f>
        <v>8.8866850370836539E-2</v>
      </c>
      <c r="U18" s="57">
        <f>VLOOKUP(D18,'SE index'!$A$2:$G$4114,7,FALSE)</f>
        <v>7.0726953072003853E-3</v>
      </c>
      <c r="V18" s="8" t="s">
        <v>401</v>
      </c>
      <c r="W18" s="5">
        <v>77</v>
      </c>
      <c r="X18" s="7">
        <v>68</v>
      </c>
      <c r="Y18" s="31">
        <v>77</v>
      </c>
      <c r="Z18" s="31">
        <v>68</v>
      </c>
      <c r="AA18" s="7">
        <f>IF(AC18="FIXED",0,IF(E18&gt;W18,1,0))</f>
        <v>0</v>
      </c>
      <c r="AB18" s="7">
        <f>IF(AC18="FIXED",0,IF(E18&lt;X18,1,0))</f>
        <v>0</v>
      </c>
      <c r="AC18" s="40" t="s">
        <v>73</v>
      </c>
      <c r="AD18" s="8" t="s">
        <v>17</v>
      </c>
      <c r="AE18" s="8">
        <f t="shared" si="3"/>
        <v>0</v>
      </c>
      <c r="AF18" s="58">
        <v>13000000</v>
      </c>
      <c r="AG18" s="58">
        <f>AF18*E18</f>
        <v>1001000000</v>
      </c>
      <c r="AH18" s="8" t="s">
        <v>44</v>
      </c>
      <c r="AI18" s="8">
        <v>0</v>
      </c>
      <c r="AJ18" s="8">
        <v>0</v>
      </c>
      <c r="AK18" s="29">
        <f>DATE(2000,1,1)</f>
        <v>36526</v>
      </c>
      <c r="AL18" s="7">
        <f>LN(DATEDIF(AK18,D18,"y")+1)</f>
        <v>1.791759469228055</v>
      </c>
      <c r="AM18" s="45">
        <f>DATEDIF(AK18,D18,"y")</f>
        <v>5</v>
      </c>
      <c r="AN18" s="8" t="s">
        <v>431</v>
      </c>
      <c r="AO18" s="35">
        <v>6799</v>
      </c>
      <c r="AP18" s="36">
        <f>IFERROR(VLOOKUP(AO18,'Tech SIC'!$A$2:$B$35,2,FALSE),0)</f>
        <v>0</v>
      </c>
      <c r="AQ18" s="8" t="s">
        <v>48</v>
      </c>
      <c r="AR18" s="8" t="s">
        <v>11</v>
      </c>
    </row>
    <row r="19" spans="1:66" ht="25" customHeight="1" x14ac:dyDescent="0.2">
      <c r="A19" s="76" t="s">
        <v>790</v>
      </c>
      <c r="B19" s="8"/>
      <c r="C19" s="29">
        <v>38771</v>
      </c>
      <c r="D19" s="41">
        <v>38771</v>
      </c>
      <c r="E19" s="56">
        <v>56</v>
      </c>
      <c r="F19" s="4">
        <v>58.75</v>
      </c>
      <c r="G19" s="37">
        <f t="shared" si="0"/>
        <v>4.9107142857142794E-2</v>
      </c>
      <c r="H19" s="37">
        <f>G19-VLOOKUP(D19,'SE index'!$A$2:$E$4114,5,FALSE)</f>
        <v>4.850795773096328E-2</v>
      </c>
      <c r="I19" s="8">
        <v>1</v>
      </c>
      <c r="J19" s="41"/>
      <c r="K19" s="7">
        <v>363</v>
      </c>
      <c r="L19" s="31">
        <f>K19*'SE CPI'!$D$6</f>
        <v>402.32214361664307</v>
      </c>
      <c r="M19" s="31">
        <f t="shared" si="1"/>
        <v>5.9972531199879198</v>
      </c>
      <c r="N19" s="31"/>
      <c r="O19" s="31"/>
      <c r="P19" s="2">
        <f t="shared" si="2"/>
        <v>0</v>
      </c>
      <c r="Q19" s="41">
        <v>38763</v>
      </c>
      <c r="R19" s="5">
        <f>VLOOKUP(Q19,Sentiment!$A$3:$B$199,2,FALSE)</f>
        <v>-10.9</v>
      </c>
      <c r="S19" s="108">
        <v>1</v>
      </c>
      <c r="T19" s="37">
        <f>VLOOKUP(D19,'SE index'!$A$2:$G$4114,6,FALSE)</f>
        <v>2.5930824698589414E-2</v>
      </c>
      <c r="U19" s="57">
        <f>VLOOKUP(D19,'SE index'!$A$2:$G$4114,7,FALSE)</f>
        <v>7.7530812023006044E-3</v>
      </c>
      <c r="V19" s="8" t="s">
        <v>21</v>
      </c>
      <c r="W19" s="5">
        <v>60</v>
      </c>
      <c r="X19" s="7">
        <v>52</v>
      </c>
      <c r="Y19" s="8"/>
      <c r="Z19" s="8"/>
      <c r="AA19" s="7">
        <f>IF(AC19="FIXED",0,IF(E19&gt;W19,1,0))</f>
        <v>0</v>
      </c>
      <c r="AB19" s="7">
        <f>IF(AC19="FIXED",0,IF(E19&lt;X19,1,0))</f>
        <v>0</v>
      </c>
      <c r="AC19" s="40" t="s">
        <v>73</v>
      </c>
      <c r="AD19" s="8" t="s">
        <v>17</v>
      </c>
      <c r="AE19" s="8">
        <f t="shared" si="3"/>
        <v>0</v>
      </c>
      <c r="AF19" s="58">
        <v>28750000</v>
      </c>
      <c r="AG19" s="58">
        <f>AF19*E19</f>
        <v>1610000000</v>
      </c>
      <c r="AH19" s="8" t="s">
        <v>792</v>
      </c>
      <c r="AI19" s="8">
        <v>1</v>
      </c>
      <c r="AJ19" s="8">
        <v>1</v>
      </c>
      <c r="AK19" s="29">
        <v>19360</v>
      </c>
      <c r="AL19" s="7">
        <f>LN(DATEDIF(AK19,D19,"y")+1)</f>
        <v>3.9889840465642745</v>
      </c>
      <c r="AM19" s="45">
        <f>DATEDIF(AK19,D19,"y")</f>
        <v>53</v>
      </c>
      <c r="AN19" s="8" t="s">
        <v>791</v>
      </c>
      <c r="AO19" s="35">
        <v>5621</v>
      </c>
      <c r="AP19" s="36">
        <f>IFERROR(VLOOKUP(AO19,'Tech SIC'!$A$2:$B$35,2,FALSE),0)</f>
        <v>0</v>
      </c>
      <c r="AQ19" s="8" t="s">
        <v>316</v>
      </c>
      <c r="AR19" s="8" t="s">
        <v>11</v>
      </c>
    </row>
    <row r="20" spans="1:66" ht="25" customHeight="1" x14ac:dyDescent="0.2">
      <c r="A20" s="76" t="s">
        <v>35</v>
      </c>
      <c r="B20" s="8" t="s">
        <v>37</v>
      </c>
      <c r="C20" s="29">
        <f>DATE(2006,3,28)</f>
        <v>38804</v>
      </c>
      <c r="D20" s="1">
        <v>38804</v>
      </c>
      <c r="E20" s="3">
        <v>141</v>
      </c>
      <c r="F20" s="4">
        <v>193.5</v>
      </c>
      <c r="G20" s="37">
        <f t="shared" si="0"/>
        <v>0.37234042553191493</v>
      </c>
      <c r="H20" s="37">
        <f>G20-VLOOKUP(D20,'SE index'!$A$2:$E$4114,5,FALSE)</f>
        <v>0.37636964993075078</v>
      </c>
      <c r="I20" s="8">
        <v>1</v>
      </c>
      <c r="J20" s="1">
        <v>38804</v>
      </c>
      <c r="K20" s="7">
        <f>N20/(VLOOKUP(J20,'SE FX'!$A$3:$B$199,2,FALSE))</f>
        <v>160.80937167199147</v>
      </c>
      <c r="L20" s="31">
        <f>K20*'SE CPI'!$D$6</f>
        <v>178.22912155570549</v>
      </c>
      <c r="M20" s="31">
        <f t="shared" si="1"/>
        <v>5.1830699223118675</v>
      </c>
      <c r="N20" s="8">
        <v>1253.3</v>
      </c>
      <c r="O20" s="8" t="s">
        <v>797</v>
      </c>
      <c r="P20" s="2">
        <f t="shared" si="2"/>
        <v>0</v>
      </c>
      <c r="Q20" s="1">
        <v>38791</v>
      </c>
      <c r="R20" s="5">
        <f>VLOOKUP(Q20,Sentiment!$A$3:$B$199,2,FALSE)</f>
        <v>-11.5</v>
      </c>
      <c r="S20" s="108">
        <v>1</v>
      </c>
      <c r="T20" s="37">
        <f>VLOOKUP(D20,'SE index'!$A$2:$G$4114,6,FALSE)</f>
        <v>7.3749241908805968E-2</v>
      </c>
      <c r="U20" s="57">
        <f>VLOOKUP(D20,'SE index'!$A$2:$G$4114,7,FALSE)</f>
        <v>6.874450323020552E-3</v>
      </c>
      <c r="V20" s="8" t="s">
        <v>21</v>
      </c>
      <c r="X20" s="7"/>
      <c r="Y20" s="31"/>
      <c r="Z20" s="31"/>
      <c r="AA20" s="7">
        <v>0</v>
      </c>
      <c r="AB20" s="7">
        <v>0</v>
      </c>
      <c r="AC20" s="4" t="s">
        <v>10</v>
      </c>
      <c r="AD20" s="8" t="s">
        <v>10</v>
      </c>
      <c r="AE20" s="8">
        <f t="shared" si="3"/>
        <v>1</v>
      </c>
      <c r="AF20" s="58">
        <v>8717490</v>
      </c>
      <c r="AG20" s="58">
        <f>AF20*E20</f>
        <v>1229166090</v>
      </c>
      <c r="AH20" s="8" t="s">
        <v>38</v>
      </c>
      <c r="AI20" s="8">
        <v>0</v>
      </c>
      <c r="AJ20" s="8">
        <v>1</v>
      </c>
      <c r="AK20" s="29">
        <v>36161</v>
      </c>
      <c r="AL20" s="7">
        <f>LN(DATEDIF(AK20,D20,"y")+1)</f>
        <v>2.0794415416798357</v>
      </c>
      <c r="AM20" s="45">
        <f>DATEDIF(AK20,D20,"y")</f>
        <v>7</v>
      </c>
      <c r="AN20" s="8" t="s">
        <v>36</v>
      </c>
      <c r="AO20" s="35">
        <v>2331</v>
      </c>
      <c r="AP20" s="36">
        <f>IFERROR(VLOOKUP(AO20,'Tech SIC'!$A$2:$B$35,2,FALSE),0)</f>
        <v>0</v>
      </c>
      <c r="AQ20" s="8" t="s">
        <v>15</v>
      </c>
      <c r="AR20" s="8" t="s">
        <v>11</v>
      </c>
    </row>
    <row r="21" spans="1:66" s="63" customFormat="1" ht="25" customHeight="1" x14ac:dyDescent="0.2">
      <c r="A21" s="76" t="s">
        <v>433</v>
      </c>
      <c r="B21" s="8" t="s">
        <v>435</v>
      </c>
      <c r="C21" s="29">
        <f>DATE(2006,5,22)</f>
        <v>38859</v>
      </c>
      <c r="D21" s="1">
        <v>38859</v>
      </c>
      <c r="E21" s="3">
        <v>31</v>
      </c>
      <c r="F21" s="4">
        <v>28.6</v>
      </c>
      <c r="G21" s="37">
        <f t="shared" si="0"/>
        <v>-7.7419354838709653E-2</v>
      </c>
      <c r="H21" s="57">
        <f>G21-VLOOKUP(D21,'SE index'!$A$2:$E$4114,5,FALSE)</f>
        <v>-2.8600291251073433E-2</v>
      </c>
      <c r="I21" s="8">
        <v>1</v>
      </c>
      <c r="J21" s="1"/>
      <c r="K21" s="7">
        <v>220</v>
      </c>
      <c r="L21" s="31">
        <f>K21*'SE CPI'!$D$6</f>
        <v>243.83160219190489</v>
      </c>
      <c r="M21" s="31">
        <f t="shared" si="1"/>
        <v>5.4964778320754304</v>
      </c>
      <c r="N21" s="31"/>
      <c r="O21" s="61"/>
      <c r="P21" s="2">
        <f t="shared" si="2"/>
        <v>0</v>
      </c>
      <c r="Q21" s="1">
        <v>38852</v>
      </c>
      <c r="R21" s="5">
        <f>VLOOKUP(Q21,Sentiment!$A$3:$B$199,2,FALSE)</f>
        <v>-8.8000000000000007</v>
      </c>
      <c r="S21" s="107">
        <v>1</v>
      </c>
      <c r="T21" s="37">
        <f>VLOOKUP(D21,'SE index'!$A$2:$G$4114,6,FALSE)</f>
        <v>-0.16743427763264851</v>
      </c>
      <c r="U21" s="57">
        <f>VLOOKUP(D21,'SE index'!$A$2:$G$4114,7,FALSE)</f>
        <v>1.3834811277472856E-2</v>
      </c>
      <c r="V21" s="8" t="s">
        <v>401</v>
      </c>
      <c r="W21" s="5">
        <v>34</v>
      </c>
      <c r="X21" s="7">
        <v>30</v>
      </c>
      <c r="Y21" s="31">
        <v>34</v>
      </c>
      <c r="Z21" s="31">
        <v>30</v>
      </c>
      <c r="AA21" s="7">
        <f>IF(AC21="FIXED",0,IF(E21&gt;W21,1,0))</f>
        <v>0</v>
      </c>
      <c r="AB21" s="7">
        <f>IF(AC21="FIXED",0,IF(E21&lt;X21,1,0))</f>
        <v>0</v>
      </c>
      <c r="AC21" s="40" t="s">
        <v>73</v>
      </c>
      <c r="AD21" s="8" t="s">
        <v>10</v>
      </c>
      <c r="AE21" s="8">
        <f t="shared" si="3"/>
        <v>0</v>
      </c>
      <c r="AF21" s="58">
        <v>8300000</v>
      </c>
      <c r="AG21" s="58">
        <f>AF21*E21</f>
        <v>257300000</v>
      </c>
      <c r="AH21" s="33" t="s">
        <v>825</v>
      </c>
      <c r="AI21" s="8">
        <v>0</v>
      </c>
      <c r="AJ21" s="8">
        <v>0</v>
      </c>
      <c r="AK21" s="29">
        <f>DATE(2005,1,1)</f>
        <v>38353</v>
      </c>
      <c r="AL21" s="7">
        <f>LN(DATEDIF(AK21,D21,"y")+1)</f>
        <v>0.69314718055994529</v>
      </c>
      <c r="AM21" s="45">
        <f>DATEDIF(AK21,D21,"y")</f>
        <v>1</v>
      </c>
      <c r="AN21" s="8" t="s">
        <v>434</v>
      </c>
      <c r="AO21" s="35">
        <v>6531</v>
      </c>
      <c r="AP21" s="36">
        <f>IFERROR(VLOOKUP(AO21,'Tech SIC'!$A$2:$B$35,2,FALSE),0)</f>
        <v>0</v>
      </c>
      <c r="AQ21" s="8" t="s">
        <v>211</v>
      </c>
      <c r="AR21" s="8" t="s">
        <v>11</v>
      </c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66" ht="25" customHeight="1" x14ac:dyDescent="0.2">
      <c r="A22" s="76" t="s">
        <v>436</v>
      </c>
      <c r="B22" s="8" t="s">
        <v>438</v>
      </c>
      <c r="C22" s="29">
        <f>DATE(2006,9,5)</f>
        <v>38965</v>
      </c>
      <c r="D22" s="1">
        <v>38965</v>
      </c>
      <c r="E22" s="3">
        <v>93</v>
      </c>
      <c r="F22" s="4">
        <v>98</v>
      </c>
      <c r="G22" s="37">
        <f t="shared" si="0"/>
        <v>5.3763440860215006E-2</v>
      </c>
      <c r="H22" s="57">
        <f>G22-VLOOKUP(D22,'SE index'!$A$2:$E$4114,5,FALSE)</f>
        <v>5.7060751046765446E-2</v>
      </c>
      <c r="I22" s="8">
        <v>1</v>
      </c>
      <c r="K22" s="7">
        <v>1358.3</v>
      </c>
      <c r="L22" s="31">
        <f>K22*'SE CPI'!$D$6</f>
        <v>1505.4384784421111</v>
      </c>
      <c r="M22" s="31">
        <f t="shared" si="1"/>
        <v>7.3168394825515142</v>
      </c>
      <c r="N22" s="60"/>
      <c r="O22" s="62"/>
      <c r="P22" s="2">
        <f t="shared" si="2"/>
        <v>0</v>
      </c>
      <c r="Q22" s="1">
        <v>38975</v>
      </c>
      <c r="R22" s="5">
        <f>VLOOKUP(Q22,Sentiment!$A$3:$B$199,2,FALSE)</f>
        <v>-8.1</v>
      </c>
      <c r="S22" s="108">
        <v>1</v>
      </c>
      <c r="T22" s="37">
        <f>VLOOKUP(D22,'SE index'!$A$2:$G$4114,6,FALSE)</f>
        <v>8.2196442769338823E-2</v>
      </c>
      <c r="U22" s="57">
        <f>VLOOKUP(D22,'SE index'!$A$2:$G$4114,7,FALSE)</f>
        <v>8.3997482006941369E-3</v>
      </c>
      <c r="V22" s="8" t="s">
        <v>401</v>
      </c>
      <c r="X22" s="7"/>
      <c r="Y22" s="8"/>
      <c r="Z22" s="8"/>
      <c r="AA22" s="7">
        <v>0</v>
      </c>
      <c r="AB22" s="7">
        <v>0</v>
      </c>
      <c r="AC22" s="40" t="s">
        <v>10</v>
      </c>
      <c r="AD22" s="8" t="s">
        <v>17</v>
      </c>
      <c r="AE22" s="8">
        <f t="shared" si="3"/>
        <v>1</v>
      </c>
      <c r="AF22" s="58">
        <v>7311827</v>
      </c>
      <c r="AG22" s="58">
        <f>AF22*E22</f>
        <v>679999911</v>
      </c>
      <c r="AH22" s="8" t="s">
        <v>38</v>
      </c>
      <c r="AI22" s="8">
        <v>0</v>
      </c>
      <c r="AJ22" s="8">
        <v>1</v>
      </c>
      <c r="AK22" s="29">
        <f>DATE(1999,1,1)</f>
        <v>36161</v>
      </c>
      <c r="AL22" s="7">
        <f>LN(DATEDIF(AK22,D22,"y")+1)</f>
        <v>2.0794415416798357</v>
      </c>
      <c r="AM22" s="45">
        <f>DATEDIF(AK22,D22,"y")</f>
        <v>7</v>
      </c>
      <c r="AN22" s="8" t="s">
        <v>437</v>
      </c>
      <c r="AO22" s="35">
        <v>6799</v>
      </c>
      <c r="AP22" s="36">
        <f>IFERROR(VLOOKUP(AO22,'Tech SIC'!$A$2:$B$35,2,FALSE),0)</f>
        <v>0</v>
      </c>
      <c r="AQ22" s="8" t="s">
        <v>48</v>
      </c>
      <c r="AR22" s="8" t="s">
        <v>11</v>
      </c>
    </row>
    <row r="23" spans="1:66" ht="25" customHeight="1" x14ac:dyDescent="0.2">
      <c r="A23" s="76" t="s">
        <v>439</v>
      </c>
      <c r="B23" s="8" t="s">
        <v>441</v>
      </c>
      <c r="C23" s="29">
        <f>DATE(2006,9,18)</f>
        <v>38978</v>
      </c>
      <c r="D23" s="1">
        <v>38975</v>
      </c>
      <c r="E23" s="3">
        <v>100</v>
      </c>
      <c r="F23" s="4">
        <v>111.5</v>
      </c>
      <c r="G23" s="37">
        <f t="shared" si="0"/>
        <v>0.11499999999999999</v>
      </c>
      <c r="H23" s="57">
        <f>G23-VLOOKUP(D23,'SE index'!$A$2:$E$4114,5,FALSE)</f>
        <v>0.11733765581240975</v>
      </c>
      <c r="I23" s="8">
        <v>1</v>
      </c>
      <c r="K23" s="7">
        <v>314.3</v>
      </c>
      <c r="L23" s="31">
        <f>K23*'SE CPI'!$D$6</f>
        <v>348.34669349507141</v>
      </c>
      <c r="M23" s="31">
        <f t="shared" si="1"/>
        <v>5.8531982295265905</v>
      </c>
      <c r="N23" s="31"/>
      <c r="O23" s="61"/>
      <c r="P23" s="2">
        <f t="shared" si="2"/>
        <v>1</v>
      </c>
      <c r="Q23" s="1">
        <v>38975</v>
      </c>
      <c r="R23" s="5">
        <f>VLOOKUP(Q23,Sentiment!$A$3:$B$199,2,FALSE)</f>
        <v>-8.1</v>
      </c>
      <c r="S23" s="106">
        <v>1</v>
      </c>
      <c r="T23" s="37">
        <f>VLOOKUP(D23,'SE index'!$A$2:$G$4114,6,FALSE)</f>
        <v>8.1753142104019225E-2</v>
      </c>
      <c r="U23" s="57">
        <f>VLOOKUP(D23,'SE index'!$A$2:$G$4114,7,FALSE)</f>
        <v>8.3032824333371547E-3</v>
      </c>
      <c r="V23" s="8" t="s">
        <v>401</v>
      </c>
      <c r="W23" s="5">
        <v>105</v>
      </c>
      <c r="X23" s="7">
        <v>90</v>
      </c>
      <c r="Y23" s="31">
        <v>105</v>
      </c>
      <c r="Z23" s="31">
        <v>90</v>
      </c>
      <c r="AA23" s="7">
        <f>IF(AC23="FIXED",0,IF(E23&gt;W23,1,0))</f>
        <v>0</v>
      </c>
      <c r="AB23" s="7">
        <f>IF(AC23="FIXED",0,IF(E23&lt;X23,1,0))</f>
        <v>0</v>
      </c>
      <c r="AC23" s="40" t="s">
        <v>73</v>
      </c>
      <c r="AD23" s="8" t="s">
        <v>17</v>
      </c>
      <c r="AE23" s="8">
        <f t="shared" si="3"/>
        <v>0</v>
      </c>
      <c r="AF23" s="58">
        <v>6700000</v>
      </c>
      <c r="AG23" s="58">
        <f>AF23*E23</f>
        <v>670000000</v>
      </c>
      <c r="AH23" s="8" t="s">
        <v>26</v>
      </c>
      <c r="AI23" s="8">
        <v>0</v>
      </c>
      <c r="AJ23" s="8">
        <v>1</v>
      </c>
      <c r="AK23" s="29">
        <f>DATE(2001,1,1)</f>
        <v>36892</v>
      </c>
      <c r="AL23" s="7">
        <f>LN(DATEDIF(AK23,D23,"y")+1)</f>
        <v>1.791759469228055</v>
      </c>
      <c r="AM23" s="45">
        <f>DATEDIF(AK23,D23,"y")</f>
        <v>5</v>
      </c>
      <c r="AN23" s="8" t="s">
        <v>440</v>
      </c>
      <c r="AO23" s="35">
        <v>2834</v>
      </c>
      <c r="AP23" s="36">
        <f>IFERROR(VLOOKUP(AO23,'Tech SIC'!$A$2:$B$35,2,FALSE),0)</f>
        <v>0</v>
      </c>
      <c r="AQ23" s="8" t="s">
        <v>15</v>
      </c>
      <c r="AR23" s="8" t="s">
        <v>11</v>
      </c>
    </row>
    <row r="24" spans="1:66" ht="25" customHeight="1" x14ac:dyDescent="0.2">
      <c r="A24" s="76" t="s">
        <v>442</v>
      </c>
      <c r="B24" s="8" t="s">
        <v>444</v>
      </c>
      <c r="C24" s="29">
        <f>DATE(2006,11,23)</f>
        <v>39044</v>
      </c>
      <c r="D24" s="1">
        <v>39045</v>
      </c>
      <c r="E24" s="3">
        <v>62</v>
      </c>
      <c r="F24" s="4">
        <v>65</v>
      </c>
      <c r="G24" s="37">
        <f t="shared" si="0"/>
        <v>4.8387096774193505E-2</v>
      </c>
      <c r="H24" s="57">
        <f>G24-VLOOKUP(D24,'SE index'!$A$2:$E$4114,5,FALSE)</f>
        <v>6.5581843554697039E-2</v>
      </c>
      <c r="I24" s="8">
        <v>1</v>
      </c>
      <c r="K24" s="7">
        <v>369.2</v>
      </c>
      <c r="L24" s="31">
        <f>K24*'SE CPI'!$D$6</f>
        <v>409.19376149659678</v>
      </c>
      <c r="M24" s="31">
        <f t="shared" si="1"/>
        <v>6.014188788351766</v>
      </c>
      <c r="N24" s="31"/>
      <c r="O24" s="61"/>
      <c r="P24" s="2">
        <f t="shared" si="2"/>
        <v>1</v>
      </c>
      <c r="Q24" s="1">
        <v>39036</v>
      </c>
      <c r="R24" s="5">
        <f>VLOOKUP(Q24,Sentiment!$A$3:$B$199,2,FALSE)</f>
        <v>-7.9</v>
      </c>
      <c r="S24" s="108">
        <v>1</v>
      </c>
      <c r="T24" s="37">
        <f>VLOOKUP(D24,'SE index'!$A$2:$G$4114,6,FALSE)</f>
        <v>-2.1724492587626145E-3</v>
      </c>
      <c r="U24" s="57">
        <f>VLOOKUP(D24,'SE index'!$A$2:$G$4114,7,FALSE)</f>
        <v>7.8068746469844505E-3</v>
      </c>
      <c r="V24" s="8" t="s">
        <v>401</v>
      </c>
      <c r="W24" s="5">
        <v>62</v>
      </c>
      <c r="X24" s="7">
        <v>52</v>
      </c>
      <c r="Y24" s="8"/>
      <c r="Z24" s="8"/>
      <c r="AA24" s="7">
        <f>IF(AC24="FIXED",0,IF(E24&gt;W24,1,0))</f>
        <v>0</v>
      </c>
      <c r="AB24" s="7">
        <f>IF(AC24="FIXED",0,IF(E24&lt;X24,1,0))</f>
        <v>0</v>
      </c>
      <c r="AC24" s="4" t="s">
        <v>73</v>
      </c>
      <c r="AD24" s="8" t="s">
        <v>17</v>
      </c>
      <c r="AE24" s="8">
        <f t="shared" si="3"/>
        <v>0</v>
      </c>
      <c r="AF24" s="58">
        <v>25000000</v>
      </c>
      <c r="AG24" s="58">
        <f>AF24*E24</f>
        <v>1550000000</v>
      </c>
      <c r="AH24" s="8" t="s">
        <v>44</v>
      </c>
      <c r="AI24" s="8">
        <v>0</v>
      </c>
      <c r="AJ24" s="8">
        <v>0</v>
      </c>
      <c r="AK24" s="29" t="s">
        <v>810</v>
      </c>
      <c r="AL24" s="7">
        <f>LN(2002-1883+1)</f>
        <v>4.7874917427820458</v>
      </c>
      <c r="AM24" s="45">
        <f>-1885+2006</f>
        <v>121</v>
      </c>
      <c r="AN24" s="8" t="s">
        <v>443</v>
      </c>
      <c r="AO24" s="35">
        <v>5051</v>
      </c>
      <c r="AP24" s="36">
        <f>IFERROR(VLOOKUP(AO24,'Tech SIC'!$A$2:$B$35,2,FALSE),0)</f>
        <v>0</v>
      </c>
      <c r="AQ24" s="8" t="s">
        <v>257</v>
      </c>
      <c r="AR24" s="8" t="s">
        <v>11</v>
      </c>
    </row>
    <row r="25" spans="1:66" ht="25" customHeight="1" x14ac:dyDescent="0.2">
      <c r="A25" s="76" t="s">
        <v>445</v>
      </c>
      <c r="B25" s="8" t="s">
        <v>447</v>
      </c>
      <c r="C25" s="29">
        <f>DATE(2006,12,1)</f>
        <v>39052</v>
      </c>
      <c r="D25" s="1">
        <v>39052</v>
      </c>
      <c r="E25" s="31">
        <v>110</v>
      </c>
      <c r="F25" s="4">
        <v>112.75</v>
      </c>
      <c r="G25" s="37">
        <f t="shared" si="0"/>
        <v>2.4999999999999911E-2</v>
      </c>
      <c r="H25" s="57">
        <f>G25-VLOOKUP(D25,'SE index'!$A$2:$E$4114,5,FALSE)</f>
        <v>3.2735328126662425E-2</v>
      </c>
      <c r="I25" s="8">
        <v>1</v>
      </c>
      <c r="K25" s="7">
        <v>941.4</v>
      </c>
      <c r="L25" s="31">
        <f>K25*'SE CPI'!$D$6</f>
        <v>1043.3775922884513</v>
      </c>
      <c r="M25" s="31">
        <f t="shared" si="1"/>
        <v>6.9502184146901111</v>
      </c>
      <c r="N25" s="31"/>
      <c r="O25" s="31"/>
      <c r="P25" s="2">
        <f t="shared" si="2"/>
        <v>0</v>
      </c>
      <c r="Q25" s="1">
        <v>39066</v>
      </c>
      <c r="R25" s="5">
        <f>VLOOKUP(Q25,Sentiment!$A$3:$B$199,2,FALSE)</f>
        <v>-6.8</v>
      </c>
      <c r="S25" s="106">
        <v>1</v>
      </c>
      <c r="T25" s="57">
        <f>VLOOKUP(D25,'SE index'!$A$2:$G$4114,6,FALSE)</f>
        <v>-3.1923827340010459E-2</v>
      </c>
      <c r="U25" s="57">
        <f>VLOOKUP(D25,'SE index'!$A$2:$G$4114,7,FALSE)</f>
        <v>1.0181308715979919E-2</v>
      </c>
      <c r="V25" s="8" t="s">
        <v>401</v>
      </c>
      <c r="W25" s="5">
        <v>110</v>
      </c>
      <c r="X25" s="7">
        <v>93</v>
      </c>
      <c r="Y25" s="31">
        <v>110</v>
      </c>
      <c r="Z25" s="31">
        <v>93</v>
      </c>
      <c r="AA25" s="7">
        <f>IF(AC25="FIXED",0,IF(E25&gt;W25,1,0))</f>
        <v>0</v>
      </c>
      <c r="AB25" s="7">
        <f>IF(AC25="FIXED",0,IF(E25&lt;X25,1,0))</f>
        <v>0</v>
      </c>
      <c r="AC25" s="4" t="s">
        <v>73</v>
      </c>
      <c r="AD25" s="8" t="s">
        <v>17</v>
      </c>
      <c r="AE25" s="8">
        <f t="shared" si="3"/>
        <v>0</v>
      </c>
      <c r="AF25" s="58">
        <v>35418519</v>
      </c>
      <c r="AG25" s="58">
        <f>AF25*E25</f>
        <v>3896037090</v>
      </c>
      <c r="AH25" s="8" t="s">
        <v>448</v>
      </c>
      <c r="AI25" s="8">
        <v>1</v>
      </c>
      <c r="AJ25" s="8">
        <v>0</v>
      </c>
      <c r="AK25" s="29">
        <v>21551</v>
      </c>
      <c r="AL25" s="7">
        <f>LN(DATEDIF(AK25,D25,"y")+1)</f>
        <v>3.8712010109078911</v>
      </c>
      <c r="AM25" s="45">
        <f>DATEDIF(AK25,D25,"y")</f>
        <v>47</v>
      </c>
      <c r="AN25" s="8" t="s">
        <v>446</v>
      </c>
      <c r="AO25" s="35">
        <v>3448</v>
      </c>
      <c r="AP25" s="36">
        <f>IFERROR(VLOOKUP(AO25,'Tech SIC'!$A$2:$B$35,2,FALSE),0)</f>
        <v>0</v>
      </c>
      <c r="AQ25" s="8" t="s">
        <v>15</v>
      </c>
      <c r="AR25" s="8" t="s">
        <v>11</v>
      </c>
    </row>
    <row r="26" spans="1:66" ht="25" customHeight="1" x14ac:dyDescent="0.2">
      <c r="A26" s="76" t="s">
        <v>449</v>
      </c>
      <c r="B26" s="8" t="s">
        <v>451</v>
      </c>
      <c r="C26" s="29">
        <f>DATE(2006,12,14)</f>
        <v>39065</v>
      </c>
      <c r="D26" s="1">
        <v>39066</v>
      </c>
      <c r="E26" s="3">
        <v>25</v>
      </c>
      <c r="F26" s="4">
        <v>22</v>
      </c>
      <c r="G26" s="37">
        <f t="shared" si="0"/>
        <v>-0.12</v>
      </c>
      <c r="H26" s="37">
        <f>G26-VLOOKUP(D26,'SE index'!$A$2:$E$4114,5,FALSE)</f>
        <v>-0.12892430018397005</v>
      </c>
      <c r="I26" s="8">
        <v>1</v>
      </c>
      <c r="K26" s="7">
        <v>25.6</v>
      </c>
      <c r="L26" s="31">
        <f>K26*'SE CPI'!$D$6</f>
        <v>28.373131891421664</v>
      </c>
      <c r="M26" s="31">
        <f t="shared" si="1"/>
        <v>3.3454426372085861</v>
      </c>
      <c r="N26" s="31"/>
      <c r="O26" s="31"/>
      <c r="P26" s="2">
        <f t="shared" si="2"/>
        <v>1</v>
      </c>
      <c r="Q26" s="1">
        <v>39066</v>
      </c>
      <c r="R26" s="5">
        <f>VLOOKUP(Q26,Sentiment!$A$3:$B$199,2,FALSE)</f>
        <v>-6.8</v>
      </c>
      <c r="S26" s="107">
        <v>1</v>
      </c>
      <c r="T26" s="37">
        <f>VLOOKUP(D26,'SE index'!$A$2:$G$4114,6,FALSE)</f>
        <v>4.874363524884625E-2</v>
      </c>
      <c r="U26" s="57">
        <f>VLOOKUP(D26,'SE index'!$A$2:$G$4114,7,FALSE)</f>
        <v>1.1320225586430371E-2</v>
      </c>
      <c r="V26" s="8" t="s">
        <v>401</v>
      </c>
      <c r="X26" s="7"/>
      <c r="Y26" s="8"/>
      <c r="Z26" s="8"/>
      <c r="AA26" s="7">
        <v>0</v>
      </c>
      <c r="AB26" s="7">
        <v>0</v>
      </c>
      <c r="AC26" s="4" t="s">
        <v>10</v>
      </c>
      <c r="AD26" s="8" t="s">
        <v>17</v>
      </c>
      <c r="AE26" s="8">
        <f t="shared" si="3"/>
        <v>1</v>
      </c>
      <c r="AF26" s="58">
        <v>3400000</v>
      </c>
      <c r="AG26" s="58">
        <f>AF26*E26</f>
        <v>85000000</v>
      </c>
      <c r="AH26" s="8" t="s">
        <v>452</v>
      </c>
      <c r="AI26" s="8">
        <v>0</v>
      </c>
      <c r="AJ26" s="8">
        <v>0</v>
      </c>
      <c r="AK26" s="29">
        <v>35431</v>
      </c>
      <c r="AL26" s="7">
        <f>LN(DATEDIF(AK26,D26,"y")+1)</f>
        <v>2.3025850929940459</v>
      </c>
      <c r="AM26" s="45">
        <f>DATEDIF(AK26,D26,"y")</f>
        <v>9</v>
      </c>
      <c r="AN26" s="8" t="s">
        <v>450</v>
      </c>
      <c r="AO26" s="35">
        <v>3663</v>
      </c>
      <c r="AP26" s="36">
        <f>IFERROR(VLOOKUP(AO26,'Tech SIC'!$A$2:$B$35,2,FALSE),0)</f>
        <v>1</v>
      </c>
      <c r="AQ26" s="8" t="s">
        <v>15</v>
      </c>
      <c r="AR26" s="8" t="s">
        <v>11</v>
      </c>
    </row>
    <row r="27" spans="1:66" ht="25" customHeight="1" x14ac:dyDescent="0.2">
      <c r="A27" s="76" t="s">
        <v>41</v>
      </c>
      <c r="B27" s="8" t="s">
        <v>43</v>
      </c>
      <c r="C27" s="29">
        <f>DATE(2007,5,15)</f>
        <v>39217</v>
      </c>
      <c r="D27" s="1">
        <v>39218</v>
      </c>
      <c r="E27" s="3">
        <v>87</v>
      </c>
      <c r="F27" s="4">
        <v>95.5</v>
      </c>
      <c r="G27" s="37">
        <f t="shared" si="0"/>
        <v>9.7701149425287293E-2</v>
      </c>
      <c r="H27" s="37">
        <f>G27-VLOOKUP(D27,'SE index'!$A$2:$E$4114,5,FALSE)</f>
        <v>9.6374104130870539E-2</v>
      </c>
      <c r="I27" s="8">
        <v>1</v>
      </c>
      <c r="K27" s="7">
        <v>111.9</v>
      </c>
      <c r="L27" s="31">
        <f>K27*'SE CPI'!$D$7</f>
        <v>121.9566586824451</v>
      </c>
      <c r="M27" s="31">
        <f t="shared" si="1"/>
        <v>4.8036657249133761</v>
      </c>
      <c r="N27" s="31"/>
      <c r="O27" s="31"/>
      <c r="P27" s="2">
        <f t="shared" si="2"/>
        <v>1</v>
      </c>
      <c r="Q27" s="1">
        <v>39217</v>
      </c>
      <c r="R27" s="5">
        <f>VLOOKUP(Q27,Sentiment!$A$3:$B$199,2,FALSE)</f>
        <v>-1.5</v>
      </c>
      <c r="S27" s="106">
        <v>1</v>
      </c>
      <c r="T27" s="37">
        <f>VLOOKUP(D27,'SE index'!$A$2:$G$4114,6,FALSE)</f>
        <v>3.6273825842792637E-2</v>
      </c>
      <c r="U27" s="57">
        <f>VLOOKUP(D27,'SE index'!$A$2:$G$4114,7,FALSE)</f>
        <v>9.509008513621681E-3</v>
      </c>
      <c r="V27" s="8" t="s">
        <v>21</v>
      </c>
      <c r="W27" s="5">
        <v>89</v>
      </c>
      <c r="X27" s="7">
        <v>74</v>
      </c>
      <c r="Y27" s="8"/>
      <c r="Z27" s="8"/>
      <c r="AA27" s="7">
        <f>IF(AC27="FIXED",0,IF(E27&gt;W27,1,0))</f>
        <v>0</v>
      </c>
      <c r="AB27" s="7">
        <f>IF(AC27="FIXED",0,IF(E27&lt;X27,1,0))</f>
        <v>0</v>
      </c>
      <c r="AC27" s="4" t="s">
        <v>73</v>
      </c>
      <c r="AD27" s="8" t="s">
        <v>17</v>
      </c>
      <c r="AE27" s="8">
        <f t="shared" si="3"/>
        <v>0</v>
      </c>
      <c r="AF27" s="58">
        <v>7381898</v>
      </c>
      <c r="AG27" s="58">
        <f>AF27*E27</f>
        <v>642225126</v>
      </c>
      <c r="AH27" s="8" t="s">
        <v>44</v>
      </c>
      <c r="AI27" s="8">
        <v>0</v>
      </c>
      <c r="AJ27" s="8">
        <v>0</v>
      </c>
      <c r="AK27" s="29">
        <v>16072</v>
      </c>
      <c r="AL27" s="7">
        <f>LN(DATEDIF(AK27,D27,"y")+1)</f>
        <v>4.1588830833596715</v>
      </c>
      <c r="AM27" s="45">
        <f>DATEDIF(AK27,D27,"y")</f>
        <v>63</v>
      </c>
      <c r="AN27" s="8" t="s">
        <v>42</v>
      </c>
      <c r="AO27" s="35">
        <v>3564</v>
      </c>
      <c r="AP27" s="36">
        <f>IFERROR(VLOOKUP(AO27,'Tech SIC'!$A$2:$B$35,2,FALSE),0)</f>
        <v>0</v>
      </c>
      <c r="AQ27" s="8" t="s">
        <v>15</v>
      </c>
      <c r="AR27" s="8" t="s">
        <v>11</v>
      </c>
    </row>
    <row r="28" spans="1:66" ht="25" customHeight="1" x14ac:dyDescent="0.2">
      <c r="A28" s="78" t="s">
        <v>453</v>
      </c>
      <c r="B28" s="64" t="s">
        <v>455</v>
      </c>
      <c r="C28" s="65">
        <f>DATE(2007,10,12)</f>
        <v>39367</v>
      </c>
      <c r="D28" s="1">
        <v>39367</v>
      </c>
      <c r="E28" s="56">
        <v>78</v>
      </c>
      <c r="F28" s="66">
        <v>78</v>
      </c>
      <c r="G28" s="37">
        <f t="shared" si="0"/>
        <v>0</v>
      </c>
      <c r="H28" s="57">
        <f>G28-VLOOKUP(D28,'SE index'!$A$2:$E$4114,5,FALSE)</f>
        <v>5.8544471012350451E-3</v>
      </c>
      <c r="I28" s="8">
        <v>1</v>
      </c>
      <c r="K28" s="67">
        <v>297</v>
      </c>
      <c r="L28" s="31">
        <f>K28*'SE CPI'!$D$7</f>
        <v>323.69193591319208</v>
      </c>
      <c r="M28" s="31">
        <f t="shared" si="1"/>
        <v>5.7797922483981958</v>
      </c>
      <c r="N28" s="68"/>
      <c r="O28" s="68"/>
      <c r="P28" s="2">
        <f t="shared" si="2"/>
        <v>0</v>
      </c>
      <c r="Q28" s="1">
        <v>39370</v>
      </c>
      <c r="R28" s="5">
        <f>VLOOKUP(Q28,Sentiment!$A$3:$B$199,2,FALSE)</f>
        <v>-7.2</v>
      </c>
      <c r="S28" s="108">
        <v>1</v>
      </c>
      <c r="T28" s="37">
        <f>VLOOKUP(D28,'SE index'!$A$2:$G$4114,6,FALSE)</f>
        <v>3.8055320916424079E-2</v>
      </c>
      <c r="U28" s="57">
        <f>VLOOKUP(D28,'SE index'!$A$2:$G$4114,7,FALSE)</f>
        <v>1.3451169824656701E-2</v>
      </c>
      <c r="V28" s="64" t="s">
        <v>401</v>
      </c>
      <c r="W28" s="59">
        <v>78</v>
      </c>
      <c r="X28" s="67">
        <v>65</v>
      </c>
      <c r="Y28" s="68">
        <v>78</v>
      </c>
      <c r="Z28" s="68">
        <v>65</v>
      </c>
      <c r="AA28" s="7">
        <f>IF(AC28="FIXED",0,IF(E28&gt;W28,1,0))</f>
        <v>0</v>
      </c>
      <c r="AB28" s="7">
        <f>IF(AC28="FIXED",0,IF(E28&lt;X28,1,0))</f>
        <v>0</v>
      </c>
      <c r="AC28" s="66" t="s">
        <v>73</v>
      </c>
      <c r="AD28" s="64" t="s">
        <v>17</v>
      </c>
      <c r="AE28" s="8">
        <f t="shared" si="3"/>
        <v>0</v>
      </c>
      <c r="AF28" s="69">
        <v>18000000</v>
      </c>
      <c r="AG28" s="58">
        <f>AF28*E28</f>
        <v>1404000000</v>
      </c>
      <c r="AH28" s="64" t="s">
        <v>456</v>
      </c>
      <c r="AI28" s="64">
        <v>0</v>
      </c>
      <c r="AJ28" s="64">
        <v>0</v>
      </c>
      <c r="AK28" s="65">
        <f>DATE(1974,1,1)</f>
        <v>27030</v>
      </c>
      <c r="AL28" s="7">
        <f>LN(DATEDIF(AK28,D28,"y")+1)</f>
        <v>3.5263605246161616</v>
      </c>
      <c r="AM28" s="45">
        <f>DATEDIF(AK28,D28,"y")</f>
        <v>33</v>
      </c>
      <c r="AN28" s="64" t="s">
        <v>454</v>
      </c>
      <c r="AO28" s="70">
        <v>3564</v>
      </c>
      <c r="AP28" s="36">
        <f>IFERROR(VLOOKUP(AO28,'Tech SIC'!$A$2:$B$35,2,FALSE),0)</f>
        <v>0</v>
      </c>
      <c r="AQ28" s="64" t="s">
        <v>15</v>
      </c>
      <c r="AR28" s="64" t="s">
        <v>11</v>
      </c>
    </row>
    <row r="29" spans="1:66" ht="25" customHeight="1" x14ac:dyDescent="0.2">
      <c r="A29" s="76" t="s">
        <v>457</v>
      </c>
      <c r="B29" s="8" t="s">
        <v>459</v>
      </c>
      <c r="C29" s="29">
        <f>DATE(2007,10,19)</f>
        <v>39374</v>
      </c>
      <c r="D29" s="1">
        <v>39374</v>
      </c>
      <c r="E29" s="31">
        <v>74</v>
      </c>
      <c r="F29" s="4">
        <v>73</v>
      </c>
      <c r="G29" s="37">
        <f t="shared" si="0"/>
        <v>-1.3513513513513487E-2</v>
      </c>
      <c r="H29" s="57">
        <f>G29-VLOOKUP(D29,'SE index'!$A$2:$E$4114,5,FALSE)</f>
        <v>1.4800852888428168E-3</v>
      </c>
      <c r="I29" s="8">
        <v>1</v>
      </c>
      <c r="K29" s="7">
        <v>54.3</v>
      </c>
      <c r="L29" s="31">
        <f>K29*'SE CPI'!$D$7</f>
        <v>59.180040808371473</v>
      </c>
      <c r="M29" s="31">
        <f t="shared" si="1"/>
        <v>4.0805843365353853</v>
      </c>
      <c r="N29" s="31"/>
      <c r="O29" s="31"/>
      <c r="P29" s="2">
        <f t="shared" si="2"/>
        <v>0</v>
      </c>
      <c r="Q29" s="1">
        <v>39370</v>
      </c>
      <c r="R29" s="5">
        <f>VLOOKUP(Q29,Sentiment!$A$3:$B$199,2,FALSE)</f>
        <v>-7.2</v>
      </c>
      <c r="S29" s="106">
        <v>1</v>
      </c>
      <c r="T29" s="57">
        <f>VLOOKUP(D29,'SE index'!$A$2:$G$4114,6,FALSE)</f>
        <v>8.3618556963129392E-3</v>
      </c>
      <c r="U29" s="57">
        <f>VLOOKUP(D29,'SE index'!$A$2:$G$4114,7,FALSE)</f>
        <v>1.4282774022139594E-2</v>
      </c>
      <c r="V29" s="8" t="s">
        <v>401</v>
      </c>
      <c r="W29" s="5">
        <v>80</v>
      </c>
      <c r="X29" s="7">
        <v>65</v>
      </c>
      <c r="Y29" s="31">
        <v>80</v>
      </c>
      <c r="Z29" s="31">
        <v>65</v>
      </c>
      <c r="AA29" s="7">
        <f>IF(AC29="FIXED",0,IF(E29&gt;W29,1,0))</f>
        <v>0</v>
      </c>
      <c r="AB29" s="7">
        <f>IF(AC29="FIXED",0,IF(E29&lt;X29,1,0))</f>
        <v>0</v>
      </c>
      <c r="AC29" s="4" t="s">
        <v>73</v>
      </c>
      <c r="AD29" s="8" t="s">
        <v>17</v>
      </c>
      <c r="AE29" s="8">
        <f t="shared" si="3"/>
        <v>0</v>
      </c>
      <c r="AF29" s="58">
        <v>6491050</v>
      </c>
      <c r="AG29" s="58">
        <f>AF29*E29</f>
        <v>480337700</v>
      </c>
      <c r="AH29" s="8" t="s">
        <v>38</v>
      </c>
      <c r="AI29" s="8">
        <v>0</v>
      </c>
      <c r="AJ29" s="8">
        <v>1</v>
      </c>
      <c r="AK29" s="29">
        <f>DATE(1988,1,1)</f>
        <v>32143</v>
      </c>
      <c r="AL29" s="7">
        <f>LN(DATEDIF(AK29,D29,"y")+1)</f>
        <v>2.9957322735539909</v>
      </c>
      <c r="AM29" s="45">
        <f>DATEDIF(AK29,D29,"y")</f>
        <v>19</v>
      </c>
      <c r="AN29" s="8" t="s">
        <v>458</v>
      </c>
      <c r="AO29" s="35">
        <v>3674</v>
      </c>
      <c r="AP29" s="36">
        <f>IFERROR(VLOOKUP(AO29,'Tech SIC'!$A$2:$B$35,2,FALSE),0)</f>
        <v>1</v>
      </c>
      <c r="AQ29" s="8" t="s">
        <v>15</v>
      </c>
      <c r="AR29" s="8" t="s">
        <v>11</v>
      </c>
    </row>
    <row r="30" spans="1:66" ht="25" customHeight="1" x14ac:dyDescent="0.2">
      <c r="A30" s="76" t="s">
        <v>45</v>
      </c>
      <c r="B30" s="8" t="s">
        <v>47</v>
      </c>
      <c r="C30" s="29">
        <f>DATE(2007,11,14)</f>
        <v>39400</v>
      </c>
      <c r="D30" s="1">
        <v>39395</v>
      </c>
      <c r="E30" s="31">
        <v>100</v>
      </c>
      <c r="F30" s="4">
        <v>101.5</v>
      </c>
      <c r="G30" s="37">
        <f t="shared" si="0"/>
        <v>1.4999999999999902E-2</v>
      </c>
      <c r="H30" s="37">
        <f>G30-VLOOKUP(D30,'SE index'!$A$2:$E$4114,5,FALSE)</f>
        <v>4.1897373917608935E-2</v>
      </c>
      <c r="I30" s="8">
        <v>1</v>
      </c>
      <c r="J30" s="1">
        <v>39414</v>
      </c>
      <c r="K30" s="7">
        <f>N30/(VLOOKUP(J30,'SE FX'!$A$3:$B$199,2,FALSE))</f>
        <v>113.73739903575229</v>
      </c>
      <c r="L30" s="31">
        <f>K30*'SE CPI'!$D$7</f>
        <v>123.95918814684809</v>
      </c>
      <c r="M30" s="31">
        <f t="shared" si="1"/>
        <v>4.8199523835825806</v>
      </c>
      <c r="N30" s="8">
        <v>726.6</v>
      </c>
      <c r="O30" s="8" t="s">
        <v>797</v>
      </c>
      <c r="P30" s="2">
        <f t="shared" si="2"/>
        <v>1</v>
      </c>
      <c r="Q30" s="1">
        <v>39401</v>
      </c>
      <c r="R30" s="5">
        <f>VLOOKUP(Q30,Sentiment!$A$3:$B$199,2,FALSE)</f>
        <v>-9.3000000000000007</v>
      </c>
      <c r="S30" s="107">
        <v>1</v>
      </c>
      <c r="T30" s="37">
        <f>VLOOKUP(D30,'SE index'!$A$2:$G$4114,6,FALSE)</f>
        <v>-9.1177238659113577E-2</v>
      </c>
      <c r="U30" s="37">
        <f>VLOOKUP(D30,'SE index'!$A$2:$G$4114,7,FALSE)</f>
        <v>1.2888037499032756E-2</v>
      </c>
      <c r="V30" s="8" t="s">
        <v>21</v>
      </c>
      <c r="X30" s="7"/>
      <c r="Y30" s="31"/>
      <c r="Z30" s="31"/>
      <c r="AA30" s="7">
        <v>0</v>
      </c>
      <c r="AB30" s="7">
        <v>0</v>
      </c>
      <c r="AC30" s="4" t="s">
        <v>10</v>
      </c>
      <c r="AD30" s="8" t="s">
        <v>10</v>
      </c>
      <c r="AE30" s="8">
        <f t="shared" si="3"/>
        <v>1</v>
      </c>
      <c r="AF30" s="58">
        <v>33795350</v>
      </c>
      <c r="AG30" s="58">
        <f>AF30*E30</f>
        <v>3379535000</v>
      </c>
      <c r="AH30" s="8" t="s">
        <v>49</v>
      </c>
      <c r="AI30" s="8">
        <v>1</v>
      </c>
      <c r="AJ30" s="8">
        <v>1</v>
      </c>
      <c r="AK30" s="29">
        <v>39083</v>
      </c>
      <c r="AL30" s="7">
        <f>LN(DATEDIF(AK30,D30,"y")+1)</f>
        <v>0</v>
      </c>
      <c r="AM30" s="45">
        <f>DATEDIF(AK30,D30,"y")</f>
        <v>0</v>
      </c>
      <c r="AN30" s="8" t="s">
        <v>46</v>
      </c>
      <c r="AO30" s="35">
        <v>6722</v>
      </c>
      <c r="AP30" s="36">
        <f>IFERROR(VLOOKUP(AO30,'Tech SIC'!$A$2:$B$35,2,FALSE),0)</f>
        <v>0</v>
      </c>
      <c r="AQ30" s="8" t="s">
        <v>48</v>
      </c>
      <c r="AR30" s="8" t="s">
        <v>11</v>
      </c>
    </row>
    <row r="31" spans="1:66" s="40" customFormat="1" ht="25" customHeight="1" x14ac:dyDescent="0.2">
      <c r="A31" s="79" t="s">
        <v>460</v>
      </c>
      <c r="B31" s="8" t="s">
        <v>462</v>
      </c>
      <c r="C31" s="29">
        <f>DATE(2007,11,14)</f>
        <v>39400</v>
      </c>
      <c r="D31" s="1">
        <v>39400</v>
      </c>
      <c r="E31" s="31">
        <v>50</v>
      </c>
      <c r="F31" s="4">
        <v>50</v>
      </c>
      <c r="G31" s="37">
        <f t="shared" si="0"/>
        <v>0</v>
      </c>
      <c r="H31" s="57">
        <f>G31-VLOOKUP(D31,'SE index'!$A$2:$E$4114,5,FALSE)</f>
        <v>-1.1419090746866991E-3</v>
      </c>
      <c r="I31" s="8">
        <v>1</v>
      </c>
      <c r="J31" s="1"/>
      <c r="K31" s="7">
        <v>562.5</v>
      </c>
      <c r="L31" s="31">
        <f>K31*'SE CPI'!$D$7</f>
        <v>613.05290892650009</v>
      </c>
      <c r="M31" s="31">
        <f t="shared" si="1"/>
        <v>6.4184512436740713</v>
      </c>
      <c r="N31" s="31"/>
      <c r="O31" s="31"/>
      <c r="P31" s="2">
        <f t="shared" si="2"/>
        <v>0</v>
      </c>
      <c r="Q31" s="71">
        <v>39401</v>
      </c>
      <c r="R31" s="5">
        <f>VLOOKUP(Q31,Sentiment!$A$3:$B$199,2,FALSE)</f>
        <v>-9.3000000000000007</v>
      </c>
      <c r="S31" s="108">
        <v>1</v>
      </c>
      <c r="T31" s="57">
        <f>VLOOKUP(D31,'SE index'!$A$2:$G$4114,6,FALSE)</f>
        <v>-0.10180829174030691</v>
      </c>
      <c r="U31" s="57">
        <f>VLOOKUP(D31,'SE index'!$A$2:$G$4114,7,FALSE)</f>
        <v>1.283759117827345E-2</v>
      </c>
      <c r="V31" s="8" t="s">
        <v>401</v>
      </c>
      <c r="W31" s="5">
        <v>56</v>
      </c>
      <c r="X31" s="7">
        <v>50</v>
      </c>
      <c r="Y31" s="31">
        <v>56</v>
      </c>
      <c r="Z31" s="31">
        <v>50</v>
      </c>
      <c r="AA31" s="7">
        <f>IF(AC31="FIXED",0,IF(E31&gt;W31,1,0))</f>
        <v>0</v>
      </c>
      <c r="AB31" s="7">
        <f>IF(AC31="FIXED",0,IF(E31&lt;X31,1,0))</f>
        <v>0</v>
      </c>
      <c r="AC31" s="4" t="s">
        <v>73</v>
      </c>
      <c r="AD31" s="8" t="s">
        <v>17</v>
      </c>
      <c r="AE31" s="8">
        <f t="shared" si="3"/>
        <v>0</v>
      </c>
      <c r="AF31" s="58">
        <v>28200000</v>
      </c>
      <c r="AG31" s="58">
        <f>AF31*E31</f>
        <v>1410000000</v>
      </c>
      <c r="AH31" s="8" t="s">
        <v>39</v>
      </c>
      <c r="AI31" s="8">
        <v>0</v>
      </c>
      <c r="AJ31" s="8">
        <v>1</v>
      </c>
      <c r="AK31" s="29">
        <f>DATE(1970,1,1)</f>
        <v>25569</v>
      </c>
      <c r="AL31" s="7">
        <f>LN(DATEDIF(AK31,D31,"y")+1)</f>
        <v>3.6375861597263857</v>
      </c>
      <c r="AM31" s="45">
        <f>DATEDIF(AK31,D31,"y")</f>
        <v>37</v>
      </c>
      <c r="AN31" s="8" t="s">
        <v>461</v>
      </c>
      <c r="AO31" s="35">
        <v>2676</v>
      </c>
      <c r="AP31" s="36">
        <f>IFERROR(VLOOKUP(AO31,'Tech SIC'!$A$2:$B$35,2,FALSE),0)</f>
        <v>0</v>
      </c>
      <c r="AQ31" s="8" t="s">
        <v>15</v>
      </c>
      <c r="AR31" s="8" t="s">
        <v>11</v>
      </c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6" ht="25" customHeight="1" x14ac:dyDescent="0.2">
      <c r="A32" s="76" t="s">
        <v>463</v>
      </c>
      <c r="B32" s="8" t="s">
        <v>465</v>
      </c>
      <c r="C32" s="29">
        <f>DATE(2008,10,3)</f>
        <v>39724</v>
      </c>
      <c r="D32" s="1">
        <v>39517</v>
      </c>
      <c r="E32" s="31">
        <v>14</v>
      </c>
      <c r="F32" s="4">
        <v>14.3</v>
      </c>
      <c r="G32" s="37">
        <f t="shared" si="0"/>
        <v>2.1428571428571574E-2</v>
      </c>
      <c r="H32" s="57">
        <f>G32-VLOOKUP(D32,'SE index'!$A$2:$E$4114,5,FALSE)</f>
        <v>3.3231645058422826E-2</v>
      </c>
      <c r="I32" s="8">
        <v>1</v>
      </c>
      <c r="K32" s="7">
        <v>119.2</v>
      </c>
      <c r="L32" s="31">
        <f>K32*'SE CPI'!$D$8</f>
        <v>125.0801235221447</v>
      </c>
      <c r="M32" s="31">
        <f t="shared" si="1"/>
        <v>4.8289545201342818</v>
      </c>
      <c r="N32" s="31"/>
      <c r="O32" s="31"/>
      <c r="P32" s="2">
        <f t="shared" si="2"/>
        <v>1</v>
      </c>
      <c r="Q32" s="1">
        <v>39522</v>
      </c>
      <c r="R32" s="5">
        <f>VLOOKUP(Q32,Sentiment!$A$3:$B$199,2,FALSE)</f>
        <v>-13.1</v>
      </c>
      <c r="S32" s="107">
        <v>0</v>
      </c>
      <c r="T32" s="57">
        <f>VLOOKUP(D32,'SE index'!$A$2:$G$4114,6,FALSE)</f>
        <v>-3.691881698843217E-2</v>
      </c>
      <c r="U32" s="57">
        <f>VLOOKUP(D32,'SE index'!$A$2:$G$4114,7,FALSE)</f>
        <v>1.6691511157101588E-2</v>
      </c>
      <c r="V32" s="8" t="s">
        <v>401</v>
      </c>
      <c r="W32" s="5">
        <v>15</v>
      </c>
      <c r="X32" s="7">
        <v>14</v>
      </c>
      <c r="Y32" s="31">
        <v>15</v>
      </c>
      <c r="Z32" s="31">
        <v>14</v>
      </c>
      <c r="AA32" s="7">
        <f>IF(AC32="FIXED",0,IF(E32&gt;W32,1,0))</f>
        <v>0</v>
      </c>
      <c r="AB32" s="7">
        <f>IF(AC32="FIXED",0,IF(E32&lt;X32,1,0))</f>
        <v>0</v>
      </c>
      <c r="AC32" s="40" t="s">
        <v>73</v>
      </c>
      <c r="AD32" s="8" t="s">
        <v>17</v>
      </c>
      <c r="AE32" s="8">
        <f t="shared" si="3"/>
        <v>0</v>
      </c>
      <c r="AF32" s="58">
        <v>5300000</v>
      </c>
      <c r="AG32" s="58">
        <f>AF32*E32</f>
        <v>74200000</v>
      </c>
      <c r="AH32" s="8" t="s">
        <v>38</v>
      </c>
      <c r="AI32" s="8">
        <v>0</v>
      </c>
      <c r="AJ32" s="8">
        <v>1</v>
      </c>
      <c r="AK32" s="29">
        <v>38718</v>
      </c>
      <c r="AL32" s="7">
        <f>LN(DATEDIF(AK32,D32,"y")+1)</f>
        <v>1.0986122886681098</v>
      </c>
      <c r="AM32" s="45">
        <f>DATEDIF(AK32,D32,"y")</f>
        <v>2</v>
      </c>
      <c r="AN32" s="8" t="s">
        <v>464</v>
      </c>
      <c r="AO32" s="35">
        <v>8069</v>
      </c>
      <c r="AP32" s="36">
        <f>IFERROR(VLOOKUP(AO32,'Tech SIC'!$A$2:$B$35,2,FALSE),0)</f>
        <v>0</v>
      </c>
      <c r="AQ32" s="8" t="s">
        <v>374</v>
      </c>
      <c r="AR32" s="8" t="s">
        <v>11</v>
      </c>
    </row>
    <row r="33" spans="1:66" ht="25" customHeight="1" x14ac:dyDescent="0.2">
      <c r="A33" s="76" t="s">
        <v>466</v>
      </c>
      <c r="B33" s="8" t="s">
        <v>468</v>
      </c>
      <c r="C33" s="29">
        <f>DATE(2010,3,24)</f>
        <v>40261</v>
      </c>
      <c r="D33" s="1">
        <v>40261</v>
      </c>
      <c r="E33" s="31">
        <v>55</v>
      </c>
      <c r="F33" s="4">
        <v>53.75</v>
      </c>
      <c r="G33" s="37">
        <f t="shared" si="0"/>
        <v>-2.2727272727272707E-2</v>
      </c>
      <c r="H33" s="57">
        <f>G33-VLOOKUP(D33,'SE index'!$A$2:$E$4114,5,FALSE)</f>
        <v>-1.9762089557142017E-2</v>
      </c>
      <c r="I33" s="8">
        <v>1</v>
      </c>
      <c r="K33" s="7">
        <v>185.7</v>
      </c>
      <c r="L33" s="31">
        <f>K33*'SE CPI'!$D$10</f>
        <v>195.12158570028768</v>
      </c>
      <c r="M33" s="31">
        <f t="shared" si="1"/>
        <v>5.273622880669885</v>
      </c>
      <c r="N33" s="31"/>
      <c r="O33" s="31"/>
      <c r="P33" s="2">
        <f t="shared" si="2"/>
        <v>0</v>
      </c>
      <c r="Q33" s="1">
        <v>40252</v>
      </c>
      <c r="R33" s="5">
        <f>VLOOKUP(Q33,Sentiment!$A$3:$B$199,2,FALSE)</f>
        <v>-17.600000000000001</v>
      </c>
      <c r="S33" s="106">
        <v>1</v>
      </c>
      <c r="T33" s="57">
        <f>VLOOKUP(D33,'SE index'!$A$2:$G$4114,6,FALSE)</f>
        <v>9.1738461073830033E-2</v>
      </c>
      <c r="U33" s="57">
        <f>VLOOKUP(D33,'SE index'!$A$2:$G$4114,7,FALSE)</f>
        <v>8.0361150522668921E-3</v>
      </c>
      <c r="V33" s="8" t="s">
        <v>401</v>
      </c>
      <c r="W33" s="5">
        <v>65</v>
      </c>
      <c r="X33" s="7">
        <v>55</v>
      </c>
      <c r="Y33" s="31">
        <v>65</v>
      </c>
      <c r="Z33" s="31">
        <v>55</v>
      </c>
      <c r="AA33" s="7">
        <f>IF(AC33="FIXED",0,IF(E33&gt;W33,1,0))</f>
        <v>0</v>
      </c>
      <c r="AB33" s="7">
        <f>IF(AC33="FIXED",0,IF(E33&lt;X33,1,0))</f>
        <v>0</v>
      </c>
      <c r="AC33" s="40" t="s">
        <v>73</v>
      </c>
      <c r="AD33" s="8" t="s">
        <v>17</v>
      </c>
      <c r="AE33" s="8">
        <f t="shared" si="3"/>
        <v>0</v>
      </c>
      <c r="AF33" s="58">
        <v>10730000</v>
      </c>
      <c r="AG33" s="58">
        <f>AF33*E33</f>
        <v>590150000</v>
      </c>
      <c r="AH33" s="8" t="s">
        <v>63</v>
      </c>
      <c r="AI33" s="8">
        <v>0</v>
      </c>
      <c r="AJ33" s="8">
        <v>0</v>
      </c>
      <c r="AK33" s="29">
        <f>DATE(2006,1,1)</f>
        <v>38718</v>
      </c>
      <c r="AL33" s="7">
        <f>LN(DATEDIF(AK33,D33,"y")+1)</f>
        <v>1.6094379124341003</v>
      </c>
      <c r="AM33" s="45">
        <f>DATEDIF(AK33,D33,"y")</f>
        <v>4</v>
      </c>
      <c r="AN33" s="8" t="s">
        <v>467</v>
      </c>
      <c r="AO33" s="8" t="s">
        <v>284</v>
      </c>
      <c r="AP33" s="36">
        <f>IFERROR(VLOOKUP(AO33,'Tech SIC'!$A$2:$B$35,2,FALSE),0)</f>
        <v>0</v>
      </c>
      <c r="AQ33" s="8" t="s">
        <v>286</v>
      </c>
      <c r="AR33" s="8" t="s">
        <v>11</v>
      </c>
    </row>
    <row r="34" spans="1:66" ht="25" customHeight="1" x14ac:dyDescent="0.2">
      <c r="A34" s="76" t="s">
        <v>469</v>
      </c>
      <c r="B34" s="8" t="s">
        <v>471</v>
      </c>
      <c r="C34" s="29">
        <f>DATE(2010,6,2)</f>
        <v>40331</v>
      </c>
      <c r="D34" s="1">
        <v>40331</v>
      </c>
      <c r="E34" s="31">
        <v>46</v>
      </c>
      <c r="F34" s="4">
        <v>48.5</v>
      </c>
      <c r="G34" s="37">
        <f t="shared" si="0"/>
        <v>5.4347826086956541E-2</v>
      </c>
      <c r="H34" s="57">
        <f>G34-VLOOKUP(D34,'SE index'!$A$2:$E$4114,5,FALSE)</f>
        <v>4.5702502278484963E-2</v>
      </c>
      <c r="I34" s="8">
        <v>1</v>
      </c>
      <c r="K34" s="7">
        <v>221.3</v>
      </c>
      <c r="L34" s="31">
        <f>K34*'SE CPI'!$D$10</f>
        <v>232.52777014256148</v>
      </c>
      <c r="M34" s="31">
        <f t="shared" si="1"/>
        <v>5.4490096593682287</v>
      </c>
      <c r="N34" s="31"/>
      <c r="O34" s="31"/>
      <c r="P34" s="2">
        <f t="shared" si="2"/>
        <v>0</v>
      </c>
      <c r="Q34" s="1">
        <v>40344</v>
      </c>
      <c r="R34" s="5">
        <f>VLOOKUP(Q34,Sentiment!$A$3:$B$199,2,FALSE)</f>
        <v>-17.5</v>
      </c>
      <c r="S34" s="107">
        <v>1</v>
      </c>
      <c r="T34" s="57">
        <f>VLOOKUP(D34,'SE index'!$A$2:$G$4114,6,FALSE)</f>
        <v>-6.4145675967198681E-2</v>
      </c>
      <c r="U34" s="57">
        <f>VLOOKUP(D34,'SE index'!$A$2:$G$4114,7,FALSE)</f>
        <v>2.1641045548832512E-2</v>
      </c>
      <c r="V34" s="8" t="s">
        <v>401</v>
      </c>
      <c r="W34" s="5">
        <v>57</v>
      </c>
      <c r="X34" s="7">
        <v>46</v>
      </c>
      <c r="Y34" s="31">
        <v>57</v>
      </c>
      <c r="Z34" s="31">
        <v>46</v>
      </c>
      <c r="AA34" s="7">
        <f>IF(AC34="FIXED",0,IF(E34&gt;W34,1,0))</f>
        <v>0</v>
      </c>
      <c r="AB34" s="7">
        <f>IF(AC34="FIXED",0,IF(E34&lt;X34,1,0))</f>
        <v>0</v>
      </c>
      <c r="AC34" s="40" t="s">
        <v>73</v>
      </c>
      <c r="AD34" s="8" t="s">
        <v>17</v>
      </c>
      <c r="AE34" s="8">
        <f t="shared" si="3"/>
        <v>0</v>
      </c>
      <c r="AF34" s="58">
        <v>25661815</v>
      </c>
      <c r="AG34" s="58">
        <f>AF34*E34</f>
        <v>1180443490</v>
      </c>
      <c r="AH34" s="8" t="s">
        <v>472</v>
      </c>
      <c r="AI34" s="8">
        <v>0</v>
      </c>
      <c r="AJ34" s="8">
        <v>1</v>
      </c>
      <c r="AK34" s="29">
        <f>DATE(1993,1,1)</f>
        <v>33970</v>
      </c>
      <c r="AL34" s="7">
        <f>LN(DATEDIF(AK34,D34,"y")+1)</f>
        <v>2.8903717578961645</v>
      </c>
      <c r="AM34" s="45">
        <f>DATEDIF(AK34,D34,"y")</f>
        <v>17</v>
      </c>
      <c r="AN34" s="8" t="s">
        <v>470</v>
      </c>
      <c r="AO34" s="35">
        <v>5211</v>
      </c>
      <c r="AP34" s="36">
        <f>IFERROR(VLOOKUP(AO34,'Tech SIC'!$A$2:$B$35,2,FALSE),0)</f>
        <v>0</v>
      </c>
      <c r="AQ34" s="8" t="s">
        <v>316</v>
      </c>
      <c r="AR34" s="8" t="s">
        <v>11</v>
      </c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</row>
    <row r="35" spans="1:66" ht="25" customHeight="1" x14ac:dyDescent="0.2">
      <c r="A35" s="76" t="s">
        <v>473</v>
      </c>
      <c r="B35" s="8" t="s">
        <v>475</v>
      </c>
      <c r="C35" s="29">
        <f>DATE(2010,6,18)</f>
        <v>40347</v>
      </c>
      <c r="D35" s="1">
        <v>40347</v>
      </c>
      <c r="E35" s="31">
        <v>32</v>
      </c>
      <c r="F35" s="4">
        <v>31.8</v>
      </c>
      <c r="G35" s="37">
        <f t="shared" si="0"/>
        <v>-6.2499999999999778E-3</v>
      </c>
      <c r="H35" s="57">
        <f>G35-VLOOKUP(D35,'SE index'!$A$2:$E$4114,5,FALSE)</f>
        <v>-1.3931764878094242E-2</v>
      </c>
      <c r="I35" s="8">
        <v>1</v>
      </c>
      <c r="K35" s="7">
        <v>225.9</v>
      </c>
      <c r="L35" s="31">
        <f>K35*'SE CPI'!$D$10</f>
        <v>237.36115352555191</v>
      </c>
      <c r="M35" s="31">
        <f t="shared" si="1"/>
        <v>5.4695828357851823</v>
      </c>
      <c r="N35" s="31"/>
      <c r="O35" s="31"/>
      <c r="P35" s="2">
        <f t="shared" si="2"/>
        <v>0</v>
      </c>
      <c r="Q35" s="1">
        <v>40344</v>
      </c>
      <c r="R35" s="5">
        <f>VLOOKUP(Q35,Sentiment!$A$3:$B$199,2,FALSE)</f>
        <v>-17.5</v>
      </c>
      <c r="S35" s="106">
        <v>1</v>
      </c>
      <c r="T35" s="57">
        <f>VLOOKUP(D35,'SE index'!$A$2:$G$4114,6,FALSE)</f>
        <v>7.6155357707159033E-2</v>
      </c>
      <c r="U35" s="57">
        <f>VLOOKUP(D35,'SE index'!$A$2:$G$4114,7,FALSE)</f>
        <v>2.0097462300741241E-2</v>
      </c>
      <c r="V35" s="8" t="s">
        <v>401</v>
      </c>
      <c r="W35" s="5">
        <v>36</v>
      </c>
      <c r="X35" s="7">
        <v>31</v>
      </c>
      <c r="Y35" s="31">
        <v>33.5</v>
      </c>
      <c r="Z35" s="31">
        <v>33.5</v>
      </c>
      <c r="AA35" s="7">
        <f>IF(AC35="FIXED",0,IF(E35&gt;W35,1,0))</f>
        <v>0</v>
      </c>
      <c r="AB35" s="7">
        <f>IF(AC35="FIXED",0,IF(E35&lt;X35,1,0))</f>
        <v>0</v>
      </c>
      <c r="AC35" s="4" t="s">
        <v>73</v>
      </c>
      <c r="AD35" s="8" t="s">
        <v>17</v>
      </c>
      <c r="AE35" s="8">
        <f t="shared" si="3"/>
        <v>0</v>
      </c>
      <c r="AF35" s="58">
        <v>16542578</v>
      </c>
      <c r="AG35" s="58">
        <f>AF35*E35</f>
        <v>529362496</v>
      </c>
      <c r="AH35" s="8" t="s">
        <v>38</v>
      </c>
      <c r="AI35" s="8">
        <v>0</v>
      </c>
      <c r="AJ35" s="8">
        <v>1</v>
      </c>
      <c r="AK35" s="29">
        <v>21186</v>
      </c>
      <c r="AL35" s="7">
        <f>LN(DATEDIF(AK35,D35,"y")+1)</f>
        <v>3.970291913552122</v>
      </c>
      <c r="AM35" s="45">
        <f>DATEDIF(AK35,D35,"y")</f>
        <v>52</v>
      </c>
      <c r="AN35" s="8" t="s">
        <v>474</v>
      </c>
      <c r="AO35" s="35">
        <v>5611</v>
      </c>
      <c r="AP35" s="36">
        <f>IFERROR(VLOOKUP(AO35,'Tech SIC'!$A$2:$B$35,2,FALSE),0)</f>
        <v>0</v>
      </c>
      <c r="AQ35" s="8" t="s">
        <v>316</v>
      </c>
      <c r="AR35" s="8" t="s">
        <v>11</v>
      </c>
    </row>
    <row r="36" spans="1:66" ht="25" customHeight="1" x14ac:dyDescent="0.2">
      <c r="A36" s="79" t="s">
        <v>476</v>
      </c>
      <c r="B36" s="8" t="s">
        <v>478</v>
      </c>
      <c r="C36" s="29">
        <f>DATE(2011,4,15)</f>
        <v>40648</v>
      </c>
      <c r="D36" s="1">
        <v>40648</v>
      </c>
      <c r="E36" s="31">
        <v>40</v>
      </c>
      <c r="F36" s="4">
        <v>40</v>
      </c>
      <c r="G36" s="37">
        <f t="shared" si="0"/>
        <v>0</v>
      </c>
      <c r="H36" s="57">
        <f>G36-VLOOKUP(D36,'SE index'!$A$2:$E$4114,5,FALSE)</f>
        <v>5.38673435806338E-3</v>
      </c>
      <c r="I36" s="8">
        <v>1</v>
      </c>
      <c r="K36" s="7">
        <v>275.10000000000002</v>
      </c>
      <c r="L36" s="31">
        <f>K36*'SE CPI'!$D$11</f>
        <v>280.0038731653604</v>
      </c>
      <c r="M36" s="31">
        <f t="shared" si="1"/>
        <v>5.634803435807008</v>
      </c>
      <c r="N36" s="31"/>
      <c r="O36" s="31"/>
      <c r="P36" s="2">
        <f t="shared" si="2"/>
        <v>0</v>
      </c>
      <c r="Q36" s="1">
        <v>40648</v>
      </c>
      <c r="R36" s="5">
        <f>VLOOKUP(Q36,Sentiment!$A$3:$B$199,2,FALSE)</f>
        <v>-12</v>
      </c>
      <c r="S36" s="107">
        <v>0</v>
      </c>
      <c r="T36" s="57">
        <f>VLOOKUP(D36,'SE index'!$A$2:$G$4114,6,FALSE)</f>
        <v>1.0222833965011781E-2</v>
      </c>
      <c r="U36" s="57">
        <f>VLOOKUP(D36,'SE index'!$A$2:$G$4114,7,FALSE)</f>
        <v>9.7649241806822551E-3</v>
      </c>
      <c r="V36" s="8" t="s">
        <v>401</v>
      </c>
      <c r="W36" s="5">
        <v>42</v>
      </c>
      <c r="X36" s="7">
        <v>37</v>
      </c>
      <c r="Y36" s="31">
        <v>40</v>
      </c>
      <c r="Z36" s="31">
        <v>40</v>
      </c>
      <c r="AA36" s="7">
        <f>IF(AC36="FIXED",0,IF(E36&gt;W36,1,0))</f>
        <v>0</v>
      </c>
      <c r="AB36" s="7">
        <f>IF(AC36="FIXED",0,IF(E36&lt;X36,1,0))</f>
        <v>0</v>
      </c>
      <c r="AC36" s="40" t="s">
        <v>73</v>
      </c>
      <c r="AD36" s="8" t="s">
        <v>17</v>
      </c>
      <c r="AE36" s="8">
        <f t="shared" si="3"/>
        <v>0</v>
      </c>
      <c r="AF36" s="58">
        <v>15200000</v>
      </c>
      <c r="AG36" s="58">
        <f>AF36*E36</f>
        <v>608000000</v>
      </c>
      <c r="AH36" s="8" t="s">
        <v>38</v>
      </c>
      <c r="AI36" s="8">
        <v>0</v>
      </c>
      <c r="AJ36" s="8">
        <v>1</v>
      </c>
      <c r="AK36" s="29">
        <f>DATE(2006,1,1)</f>
        <v>38718</v>
      </c>
      <c r="AL36" s="7">
        <f>LN(DATEDIF(AK36,D36,"y")+1)</f>
        <v>1.791759469228055</v>
      </c>
      <c r="AM36" s="45">
        <f>DATEDIF(AK36,D36,"y")</f>
        <v>5</v>
      </c>
      <c r="AN36" s="8" t="s">
        <v>477</v>
      </c>
      <c r="AO36" s="35">
        <v>8731</v>
      </c>
      <c r="AP36" s="36">
        <f>IFERROR(VLOOKUP(AO36,'Tech SIC'!$A$2:$B$35,2,FALSE),0)</f>
        <v>0</v>
      </c>
      <c r="AQ36" s="8" t="s">
        <v>13</v>
      </c>
      <c r="AR36" s="8" t="s">
        <v>11</v>
      </c>
    </row>
    <row r="37" spans="1:66" ht="25" customHeight="1" x14ac:dyDescent="0.2">
      <c r="A37" s="76" t="s">
        <v>481</v>
      </c>
      <c r="B37" s="8" t="s">
        <v>483</v>
      </c>
      <c r="C37" s="29">
        <f>DATE(2011,5,20)</f>
        <v>40683</v>
      </c>
      <c r="D37" s="1">
        <v>40683</v>
      </c>
      <c r="E37" s="31">
        <v>49</v>
      </c>
      <c r="F37" s="4">
        <v>49</v>
      </c>
      <c r="G37" s="37">
        <f t="shared" si="0"/>
        <v>0</v>
      </c>
      <c r="H37" s="57">
        <f>G37-VLOOKUP(D37,'SE index'!$A$2:$E$4114,5,FALSE)</f>
        <v>-7.8860977334272006E-4</v>
      </c>
      <c r="I37" s="8">
        <v>1</v>
      </c>
      <c r="K37" s="7">
        <v>284.60000000000002</v>
      </c>
      <c r="L37" s="31">
        <f>K37*'SE CPI'!$D$11</f>
        <v>289.67321811291009</v>
      </c>
      <c r="M37" s="31">
        <f t="shared" si="1"/>
        <v>5.668753453532231</v>
      </c>
      <c r="N37" s="31"/>
      <c r="O37" s="31"/>
      <c r="P37" s="2">
        <f t="shared" si="2"/>
        <v>0</v>
      </c>
      <c r="Q37" s="1">
        <v>40678</v>
      </c>
      <c r="R37" s="5">
        <f>VLOOKUP(Q37,Sentiment!$A$3:$B$199,2,FALSE)</f>
        <v>-10.200000000000001</v>
      </c>
      <c r="S37" s="106">
        <v>0</v>
      </c>
      <c r="T37" s="57">
        <f>VLOOKUP(D37,'SE index'!$A$2:$G$4114,6,FALSE)</f>
        <v>9.0808382695837849E-3</v>
      </c>
      <c r="U37" s="57">
        <f>VLOOKUP(D37,'SE index'!$A$2:$G$4114,7,FALSE)</f>
        <v>8.1491784535349752E-3</v>
      </c>
      <c r="V37" s="8" t="s">
        <v>401</v>
      </c>
      <c r="W37" s="5">
        <v>56</v>
      </c>
      <c r="X37" s="7">
        <v>46</v>
      </c>
      <c r="Y37" s="31">
        <v>56</v>
      </c>
      <c r="Z37" s="31">
        <v>46</v>
      </c>
      <c r="AA37" s="7">
        <f>IF(AC37="FIXED",0,IF(E37&gt;W37,1,0))</f>
        <v>0</v>
      </c>
      <c r="AB37" s="7">
        <f>IF(AC37="FIXED",0,IF(E37&lt;X37,1,0))</f>
        <v>0</v>
      </c>
      <c r="AC37" s="40" t="s">
        <v>73</v>
      </c>
      <c r="AD37" s="8" t="s">
        <v>17</v>
      </c>
      <c r="AE37" s="8">
        <f t="shared" si="3"/>
        <v>0</v>
      </c>
      <c r="AF37" s="58">
        <v>11326483</v>
      </c>
      <c r="AG37" s="58">
        <f>AF37*E37</f>
        <v>554997667</v>
      </c>
      <c r="AH37" s="8" t="s">
        <v>484</v>
      </c>
      <c r="AI37" s="8">
        <v>0</v>
      </c>
      <c r="AJ37" s="8">
        <v>1</v>
      </c>
      <c r="AK37" s="29">
        <v>29952</v>
      </c>
      <c r="AL37" s="7">
        <f>LN(DATEDIF(AK37,D37,"y")+1)</f>
        <v>3.4011973816621555</v>
      </c>
      <c r="AM37" s="45">
        <f>DATEDIF(AK37,D37,"y")</f>
        <v>29</v>
      </c>
      <c r="AN37" s="8" t="s">
        <v>482</v>
      </c>
      <c r="AO37" s="35">
        <v>8711</v>
      </c>
      <c r="AP37" s="36">
        <f>IFERROR(VLOOKUP(AO37,'Tech SIC'!$A$2:$B$35,2,FALSE),0)</f>
        <v>0</v>
      </c>
      <c r="AQ37" s="8" t="s">
        <v>13</v>
      </c>
      <c r="AR37" s="8" t="s">
        <v>11</v>
      </c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</row>
    <row r="38" spans="1:66" ht="25" customHeight="1" x14ac:dyDescent="0.2">
      <c r="A38" s="76" t="s">
        <v>479</v>
      </c>
      <c r="B38" s="8" t="s">
        <v>40</v>
      </c>
      <c r="C38" s="29">
        <f>DATE(2011,5,26)</f>
        <v>40689</v>
      </c>
      <c r="D38" s="1">
        <v>40689</v>
      </c>
      <c r="E38" s="31">
        <v>29</v>
      </c>
      <c r="F38" s="4">
        <v>28.7</v>
      </c>
      <c r="G38" s="37">
        <f t="shared" si="0"/>
        <v>-1.0344827586206917E-2</v>
      </c>
      <c r="H38" s="57">
        <f>G38-VLOOKUP(D38,'SE index'!$A$2:$E$4114,5,FALSE)</f>
        <v>-2.937902247088682E-4</v>
      </c>
      <c r="I38" s="8">
        <v>1</v>
      </c>
      <c r="J38" s="1">
        <v>40691</v>
      </c>
      <c r="K38" s="7">
        <f>N38/(VLOOKUP(J38,'SE FX'!$A$3:$B$199,2,FALSE))</f>
        <v>5.7091791346542653</v>
      </c>
      <c r="L38" s="31">
        <f>K38*'SE CPI'!$D$11</f>
        <v>5.8109497284553058</v>
      </c>
      <c r="M38" s="31">
        <f t="shared" si="1"/>
        <v>1.759744021955101</v>
      </c>
      <c r="N38" s="8">
        <v>35.296999999999997</v>
      </c>
      <c r="O38" s="8" t="s">
        <v>797</v>
      </c>
      <c r="P38" s="2">
        <f t="shared" si="2"/>
        <v>0</v>
      </c>
      <c r="Q38" s="1">
        <v>40678</v>
      </c>
      <c r="R38" s="5">
        <f>VLOOKUP(Q38,Sentiment!$A$3:$B$199,2,FALSE)</f>
        <v>-10.200000000000001</v>
      </c>
      <c r="S38" s="106">
        <v>0</v>
      </c>
      <c r="T38" s="57">
        <f>VLOOKUP(D38,'SE index'!$A$2:$G$4114,6,FALSE)</f>
        <v>7.6404786947231202E-3</v>
      </c>
      <c r="U38" s="57">
        <f>VLOOKUP(D38,'SE index'!$A$2:$G$4114,7,FALSE)</f>
        <v>9.3955714236240162E-3</v>
      </c>
      <c r="V38" s="8" t="s">
        <v>401</v>
      </c>
      <c r="X38" s="7"/>
      <c r="Y38" s="31"/>
      <c r="Z38" s="31"/>
      <c r="AA38" s="7">
        <v>0</v>
      </c>
      <c r="AB38" s="7">
        <v>0</v>
      </c>
      <c r="AC38" s="4" t="s">
        <v>10</v>
      </c>
      <c r="AD38" s="8" t="s">
        <v>10</v>
      </c>
      <c r="AE38" s="8">
        <f t="shared" si="3"/>
        <v>1</v>
      </c>
      <c r="AF38" s="58">
        <v>2551724</v>
      </c>
      <c r="AG38" s="58">
        <f>AF38*E38</f>
        <v>73999996</v>
      </c>
      <c r="AH38" s="33" t="s">
        <v>826</v>
      </c>
      <c r="AI38" s="8">
        <v>0</v>
      </c>
      <c r="AJ38" s="8">
        <v>0</v>
      </c>
      <c r="AK38" s="29">
        <f>DATE(2006,1,1)</f>
        <v>38718</v>
      </c>
      <c r="AL38" s="7">
        <f>LN(DATEDIF(AK38,D38,"y")+1)</f>
        <v>1.791759469228055</v>
      </c>
      <c r="AM38" s="45">
        <f>DATEDIF(AK38,D38,"y")</f>
        <v>5</v>
      </c>
      <c r="AN38" s="8" t="s">
        <v>480</v>
      </c>
      <c r="AO38" s="35">
        <v>2834</v>
      </c>
      <c r="AP38" s="36">
        <f>IFERROR(VLOOKUP(AO38,'Tech SIC'!$A$2:$B$35,2,FALSE),0)</f>
        <v>0</v>
      </c>
      <c r="AQ38" s="8" t="s">
        <v>15</v>
      </c>
      <c r="AR38" s="8" t="s">
        <v>11</v>
      </c>
    </row>
    <row r="39" spans="1:66" ht="25" customHeight="1" x14ac:dyDescent="0.2">
      <c r="A39" s="76" t="s">
        <v>485</v>
      </c>
      <c r="B39" s="8" t="s">
        <v>487</v>
      </c>
      <c r="C39" s="29">
        <f>DATE(2011,5,27)</f>
        <v>40690</v>
      </c>
      <c r="D39" s="1">
        <v>40690</v>
      </c>
      <c r="E39" s="31">
        <v>53</v>
      </c>
      <c r="F39" s="4">
        <v>54.5</v>
      </c>
      <c r="G39" s="37">
        <f t="shared" si="0"/>
        <v>2.8301886792452935E-2</v>
      </c>
      <c r="H39" s="57">
        <f>G39-VLOOKUP(D39,'SE index'!$A$2:$E$4114,5,FALSE)</f>
        <v>2.0684532793252098E-2</v>
      </c>
      <c r="I39" s="8">
        <v>1</v>
      </c>
      <c r="K39" s="7">
        <v>82.6</v>
      </c>
      <c r="L39" s="31">
        <f>K39*'SE CPI'!$D$11</f>
        <v>84.072409754484781</v>
      </c>
      <c r="M39" s="31">
        <f t="shared" si="1"/>
        <v>4.4316784484034111</v>
      </c>
      <c r="N39" s="31"/>
      <c r="O39" s="31"/>
      <c r="P39" s="2">
        <f t="shared" si="2"/>
        <v>0</v>
      </c>
      <c r="Q39" s="1">
        <v>40678</v>
      </c>
      <c r="R39" s="5">
        <f>VLOOKUP(Q39,Sentiment!$A$3:$B$199,2,FALSE)</f>
        <v>-10.200000000000001</v>
      </c>
      <c r="S39" s="106">
        <v>0</v>
      </c>
      <c r="T39" s="57">
        <f>VLOOKUP(D39,'SE index'!$A$2:$G$4114,6,FALSE)</f>
        <v>9.8383383776922372E-3</v>
      </c>
      <c r="U39" s="57">
        <f>VLOOKUP(D39,'SE index'!$A$2:$G$4114,7,FALSE)</f>
        <v>9.4456681173490202E-3</v>
      </c>
      <c r="V39" s="8" t="s">
        <v>401</v>
      </c>
      <c r="W39" s="5">
        <v>57</v>
      </c>
      <c r="X39" s="7">
        <v>47</v>
      </c>
      <c r="Y39" s="31">
        <v>53</v>
      </c>
      <c r="Z39" s="31">
        <v>53</v>
      </c>
      <c r="AA39" s="7">
        <f>IF(AC39="FIXED",0,IF(E39&gt;W39,1,0))</f>
        <v>0</v>
      </c>
      <c r="AB39" s="7">
        <f>IF(AC39="FIXED",0,IF(E39&lt;X39,1,0))</f>
        <v>0</v>
      </c>
      <c r="AC39" s="40" t="s">
        <v>73</v>
      </c>
      <c r="AD39" s="8" t="s">
        <v>17</v>
      </c>
      <c r="AE39" s="8">
        <f t="shared" si="3"/>
        <v>0</v>
      </c>
      <c r="AF39" s="58">
        <v>8888889</v>
      </c>
      <c r="AG39" s="58">
        <f>AF39*E39</f>
        <v>471111117</v>
      </c>
      <c r="AH39" s="8" t="s">
        <v>488</v>
      </c>
      <c r="AI39" s="8">
        <v>1</v>
      </c>
      <c r="AJ39" s="8">
        <v>1</v>
      </c>
      <c r="AK39" s="29">
        <f>DATE(2005,1,1)</f>
        <v>38353</v>
      </c>
      <c r="AL39" s="7">
        <f>LN(DATEDIF(AK39,D39,"y")+1)</f>
        <v>1.9459101490553132</v>
      </c>
      <c r="AM39" s="45">
        <f>DATEDIF(AK39,D39,"y")</f>
        <v>6</v>
      </c>
      <c r="AN39" s="8" t="s">
        <v>486</v>
      </c>
      <c r="AO39" s="35">
        <v>4899</v>
      </c>
      <c r="AP39" s="36">
        <f>IFERROR(VLOOKUP(AO39,'Tech SIC'!$A$2:$B$35,2,FALSE),0)</f>
        <v>1</v>
      </c>
      <c r="AQ39" s="8" t="s">
        <v>68</v>
      </c>
      <c r="AR39" s="8" t="s">
        <v>11</v>
      </c>
    </row>
    <row r="40" spans="1:66" ht="25" customHeight="1" x14ac:dyDescent="0.2">
      <c r="A40" s="76" t="s">
        <v>489</v>
      </c>
      <c r="B40" s="8" t="s">
        <v>491</v>
      </c>
      <c r="C40" s="29">
        <f>DATE(2011,6,23)</f>
        <v>40717</v>
      </c>
      <c r="D40" s="1">
        <v>40717</v>
      </c>
      <c r="E40" s="31">
        <v>49</v>
      </c>
      <c r="F40" s="4">
        <v>46.9</v>
      </c>
      <c r="G40" s="37">
        <f t="shared" si="0"/>
        <v>-4.2857142857142927E-2</v>
      </c>
      <c r="H40" s="57">
        <f>G40-VLOOKUP(D40,'SE index'!$A$2:$E$4114,5,FALSE)</f>
        <v>-2.6027123219788742E-2</v>
      </c>
      <c r="I40" s="8">
        <v>1</v>
      </c>
      <c r="K40" s="7">
        <v>31.4</v>
      </c>
      <c r="L40" s="31">
        <f>K40*'SE CPI'!$D$11</f>
        <v>31.959729616111652</v>
      </c>
      <c r="M40" s="31">
        <f t="shared" si="1"/>
        <v>3.4644766607906869</v>
      </c>
      <c r="N40" s="31"/>
      <c r="O40" s="31"/>
      <c r="P40" s="2">
        <f t="shared" si="2"/>
        <v>0</v>
      </c>
      <c r="Q40" s="1">
        <v>40709</v>
      </c>
      <c r="R40" s="5">
        <f>VLOOKUP(Q40,Sentiment!$A$3:$B$199,2,FALSE)</f>
        <v>-10</v>
      </c>
      <c r="S40" s="107">
        <v>0</v>
      </c>
      <c r="T40" s="57">
        <f>VLOOKUP(D40,'SE index'!$A$2:$G$4114,6,FALSE)</f>
        <v>-0.10112217695407542</v>
      </c>
      <c r="U40" s="57">
        <f>VLOOKUP(D40,'SE index'!$A$2:$G$4114,7,FALSE)</f>
        <v>1.234743038982304E-2</v>
      </c>
      <c r="V40" s="8" t="s">
        <v>401</v>
      </c>
      <c r="X40" s="7"/>
      <c r="Y40" s="31"/>
      <c r="Z40" s="31"/>
      <c r="AA40" s="7">
        <v>0</v>
      </c>
      <c r="AB40" s="7">
        <v>0</v>
      </c>
      <c r="AC40" s="4" t="s">
        <v>10</v>
      </c>
      <c r="AD40" s="8" t="s">
        <v>10</v>
      </c>
      <c r="AE40" s="8">
        <f t="shared" si="3"/>
        <v>1</v>
      </c>
      <c r="AF40" s="58">
        <v>1355932</v>
      </c>
      <c r="AG40" s="58">
        <f>AF40*E40</f>
        <v>66440668</v>
      </c>
      <c r="AH40" s="33" t="s">
        <v>12</v>
      </c>
      <c r="AI40" s="8">
        <v>0</v>
      </c>
      <c r="AJ40" s="8">
        <v>0</v>
      </c>
      <c r="AK40" s="29">
        <f>DATE(1990,1,1)</f>
        <v>32874</v>
      </c>
      <c r="AL40" s="7">
        <f>LN(DATEDIF(AK40,D40,"y")+1)</f>
        <v>3.0910424533583161</v>
      </c>
      <c r="AM40" s="45">
        <f>DATEDIF(AK40,D40,"y")</f>
        <v>21</v>
      </c>
      <c r="AN40" s="8" t="s">
        <v>490</v>
      </c>
      <c r="AO40" s="35">
        <v>2836</v>
      </c>
      <c r="AP40" s="36">
        <f>IFERROR(VLOOKUP(AO40,'Tech SIC'!$A$2:$B$35,2,FALSE),0)</f>
        <v>0</v>
      </c>
      <c r="AQ40" s="8" t="s">
        <v>15</v>
      </c>
      <c r="AR40" s="8" t="s">
        <v>11</v>
      </c>
    </row>
    <row r="41" spans="1:66" ht="25" customHeight="1" x14ac:dyDescent="0.2">
      <c r="A41" s="76" t="s">
        <v>492</v>
      </c>
      <c r="B41" s="8" t="s">
        <v>494</v>
      </c>
      <c r="C41" s="29">
        <f>DATE(2013,11,29)</f>
        <v>41607</v>
      </c>
      <c r="D41" s="1">
        <v>41607</v>
      </c>
      <c r="E41" s="31">
        <v>26.5</v>
      </c>
      <c r="F41" s="4">
        <v>27.9</v>
      </c>
      <c r="G41" s="37">
        <f t="shared" si="0"/>
        <v>5.2830188679245271E-2</v>
      </c>
      <c r="H41" s="57">
        <f>G41-VLOOKUP(D41,'SE index'!$A$2:$E$4114,5,FALSE)</f>
        <v>5.8549021461521598E-2</v>
      </c>
      <c r="I41" s="8">
        <v>1</v>
      </c>
      <c r="J41" s="1">
        <v>41606</v>
      </c>
      <c r="K41" s="7">
        <f>N41/(VLOOKUP(J41,'SE FX'!$A$3:$B$199,2,FALSE))</f>
        <v>997.55965085412208</v>
      </c>
      <c r="L41" s="31">
        <f>K41*'SE CPI'!$D$13</f>
        <v>1007.6133677929791</v>
      </c>
      <c r="M41" s="31">
        <f t="shared" si="1"/>
        <v>6.9153398113545022</v>
      </c>
      <c r="N41" s="8">
        <v>6520</v>
      </c>
      <c r="O41" s="8" t="s">
        <v>797</v>
      </c>
      <c r="P41" s="2">
        <f t="shared" si="2"/>
        <v>0</v>
      </c>
      <c r="Q41" s="1">
        <v>41593</v>
      </c>
      <c r="R41" s="5">
        <f>VLOOKUP(Q41,Sentiment!$A$3:$B$199,2,FALSE)</f>
        <v>-15.5</v>
      </c>
      <c r="S41" s="106">
        <v>0</v>
      </c>
      <c r="T41" s="57">
        <f>VLOOKUP(D41,'SE index'!$A$2:$G$4114,6,FALSE)</f>
        <v>1.8375195300021446E-2</v>
      </c>
      <c r="U41" s="57">
        <f>VLOOKUP(D41,'SE index'!$A$2:$G$4114,7,FALSE)</f>
        <v>5.245629245413325E-3</v>
      </c>
      <c r="V41" s="8" t="s">
        <v>401</v>
      </c>
      <c r="W41" s="5">
        <v>28</v>
      </c>
      <c r="X41" s="7">
        <v>25</v>
      </c>
      <c r="Y41" s="31">
        <v>28</v>
      </c>
      <c r="Z41" s="31">
        <v>25</v>
      </c>
      <c r="AA41" s="7">
        <f>IF(AC41="FIXED",0,IF(E41&gt;W41,1,0))</f>
        <v>0</v>
      </c>
      <c r="AB41" s="7">
        <f>IF(AC41="FIXED",0,IF(E41&lt;X41,1,0))</f>
        <v>0</v>
      </c>
      <c r="AC41" s="40" t="s">
        <v>73</v>
      </c>
      <c r="AD41" s="8" t="s">
        <v>10</v>
      </c>
      <c r="AE41" s="8">
        <f t="shared" si="3"/>
        <v>0</v>
      </c>
      <c r="AF41" s="58">
        <v>22000000</v>
      </c>
      <c r="AG41" s="58">
        <f>AF41*E41</f>
        <v>583000000</v>
      </c>
      <c r="AH41" s="8" t="s">
        <v>495</v>
      </c>
      <c r="AI41" s="8">
        <v>0</v>
      </c>
      <c r="AJ41" s="8">
        <v>0</v>
      </c>
      <c r="AK41" s="29">
        <f>DATE(1969,1,1)</f>
        <v>25204</v>
      </c>
      <c r="AL41" s="7">
        <f>LN(DATEDIF(AK41,D41,"y")+1)</f>
        <v>3.8066624897703196</v>
      </c>
      <c r="AM41" s="45">
        <f>DATEDIF(AK41,D41,"y")</f>
        <v>44</v>
      </c>
      <c r="AN41" s="8" t="s">
        <v>493</v>
      </c>
      <c r="AO41" s="35">
        <v>6552</v>
      </c>
      <c r="AP41" s="36">
        <f>IFERROR(VLOOKUP(AO41,'Tech SIC'!$A$2:$B$35,2,FALSE),0)</f>
        <v>0</v>
      </c>
      <c r="AQ41" s="8" t="s">
        <v>211</v>
      </c>
      <c r="AR41" s="8" t="s">
        <v>11</v>
      </c>
    </row>
    <row r="42" spans="1:66" ht="25" customHeight="1" x14ac:dyDescent="0.2">
      <c r="A42" s="76" t="s">
        <v>496</v>
      </c>
      <c r="B42" s="8" t="s">
        <v>497</v>
      </c>
      <c r="C42" s="29">
        <f>DATE(2014,2,17)</f>
        <v>41687</v>
      </c>
      <c r="D42" s="1">
        <v>41687</v>
      </c>
      <c r="E42" s="31">
        <v>30</v>
      </c>
      <c r="F42" s="4">
        <v>33.9</v>
      </c>
      <c r="G42" s="37">
        <f t="shared" si="0"/>
        <v>0.12999999999999989</v>
      </c>
      <c r="H42" s="57">
        <f>G42-VLOOKUP(D42,'SE index'!$A$2:$E$4114,5,FALSE)</f>
        <v>0.12528767765337145</v>
      </c>
      <c r="I42" s="8">
        <v>1</v>
      </c>
      <c r="K42" s="7">
        <v>154.30000000000001</v>
      </c>
      <c r="L42" s="31">
        <f>K42*'SE CPI'!$D$14</f>
        <v>155.7955541485581</v>
      </c>
      <c r="M42" s="31">
        <f t="shared" si="1"/>
        <v>5.048544597397651</v>
      </c>
      <c r="N42" s="31"/>
      <c r="O42" s="31"/>
      <c r="P42" s="2">
        <f t="shared" si="2"/>
        <v>0</v>
      </c>
      <c r="Q42" s="1">
        <v>41685</v>
      </c>
      <c r="R42" s="5">
        <f>VLOOKUP(Q42,Sentiment!$A$3:$B$199,2,FALSE)</f>
        <v>-12.9</v>
      </c>
      <c r="S42" s="106">
        <v>1</v>
      </c>
      <c r="T42" s="57">
        <f>VLOOKUP(D42,'SE index'!$A$2:$G$4114,6,FALSE)</f>
        <v>1.2807037366936612E-2</v>
      </c>
      <c r="U42" s="57">
        <f>VLOOKUP(D42,'SE index'!$A$2:$G$4114,7,FALSE)</f>
        <v>7.0248731637550703E-3</v>
      </c>
      <c r="V42" s="8" t="s">
        <v>401</v>
      </c>
      <c r="X42" s="7"/>
      <c r="Y42" s="8"/>
      <c r="Z42" s="8"/>
      <c r="AA42" s="7">
        <v>0</v>
      </c>
      <c r="AB42" s="7">
        <v>0</v>
      </c>
      <c r="AC42" s="4" t="s">
        <v>10</v>
      </c>
      <c r="AD42" s="8" t="s">
        <v>10</v>
      </c>
      <c r="AE42" s="8">
        <f t="shared" si="3"/>
        <v>1</v>
      </c>
      <c r="AF42" s="58">
        <v>10000000</v>
      </c>
      <c r="AG42" s="58">
        <f>AF42*E42</f>
        <v>300000000</v>
      </c>
      <c r="AH42" s="8" t="s">
        <v>498</v>
      </c>
      <c r="AI42" s="8">
        <v>0</v>
      </c>
      <c r="AJ42" s="8">
        <v>1</v>
      </c>
      <c r="AK42" s="29">
        <f>DATE(2004,1,1)</f>
        <v>37987</v>
      </c>
      <c r="AL42" s="7">
        <f>LN(DATEDIF(AK42,D42,"y")+1)</f>
        <v>2.3978952727983707</v>
      </c>
      <c r="AM42" s="45">
        <f>DATEDIF(AK42,D42,"y")</f>
        <v>10</v>
      </c>
      <c r="AN42" s="8" t="s">
        <v>209</v>
      </c>
      <c r="AO42" s="35">
        <v>6552</v>
      </c>
      <c r="AP42" s="36">
        <f>IFERROR(VLOOKUP(AO42,'Tech SIC'!$A$2:$B$35,2,FALSE),0)</f>
        <v>0</v>
      </c>
      <c r="AQ42" s="8" t="s">
        <v>211</v>
      </c>
      <c r="AR42" s="8" t="s">
        <v>11</v>
      </c>
    </row>
    <row r="43" spans="1:66" ht="25" customHeight="1" x14ac:dyDescent="0.2">
      <c r="A43" s="76" t="s">
        <v>499</v>
      </c>
      <c r="B43" s="8" t="s">
        <v>501</v>
      </c>
      <c r="C43" s="29">
        <f>DATE(2014,2,21)</f>
        <v>41691</v>
      </c>
      <c r="D43" s="1">
        <v>41691</v>
      </c>
      <c r="E43" s="31">
        <v>46</v>
      </c>
      <c r="F43" s="4">
        <v>49</v>
      </c>
      <c r="G43" s="37">
        <f t="shared" si="0"/>
        <v>6.5217391304347894E-2</v>
      </c>
      <c r="H43" s="57">
        <f>G43-VLOOKUP(D43,'SE index'!$A$2:$E$4114,5,FALSE)</f>
        <v>5.9814122083592297E-2</v>
      </c>
      <c r="I43" s="8">
        <v>1</v>
      </c>
      <c r="K43" s="7">
        <v>318.60000000000002</v>
      </c>
      <c r="L43" s="31">
        <f>K43*'SE CPI'!$D$14</f>
        <v>321.68803338775507</v>
      </c>
      <c r="M43" s="31">
        <f t="shared" si="1"/>
        <v>5.7735822355044837</v>
      </c>
      <c r="N43" s="31"/>
      <c r="O43" s="31"/>
      <c r="P43" s="2">
        <f t="shared" si="2"/>
        <v>0</v>
      </c>
      <c r="Q43" s="1">
        <v>41685</v>
      </c>
      <c r="R43" s="5">
        <f>VLOOKUP(Q43,Sentiment!$A$3:$B$199,2,FALSE)</f>
        <v>-12.9</v>
      </c>
      <c r="S43" s="107">
        <v>1</v>
      </c>
      <c r="T43" s="57">
        <f>VLOOKUP(D43,'SE index'!$A$2:$G$4114,6,FALSE)</f>
        <v>1.4393893805629436E-2</v>
      </c>
      <c r="U43" s="57">
        <f>VLOOKUP(D43,'SE index'!$A$2:$G$4114,7,FALSE)</f>
        <v>7.3914209372494856E-3</v>
      </c>
      <c r="V43" s="8" t="s">
        <v>401</v>
      </c>
      <c r="W43" s="5">
        <v>50</v>
      </c>
      <c r="X43" s="7">
        <v>44</v>
      </c>
      <c r="Y43" s="31">
        <v>50</v>
      </c>
      <c r="Z43" s="31">
        <v>44</v>
      </c>
      <c r="AA43" s="7">
        <f>IF(AC43="FIXED",0,IF(E43&gt;W43,1,0))</f>
        <v>0</v>
      </c>
      <c r="AB43" s="7">
        <f>IF(AC43="FIXED",0,IF(E43&lt;X43,1,0))</f>
        <v>0</v>
      </c>
      <c r="AC43" s="4" t="s">
        <v>73</v>
      </c>
      <c r="AD43" s="8" t="s">
        <v>17</v>
      </c>
      <c r="AE43" s="8">
        <f t="shared" si="3"/>
        <v>0</v>
      </c>
      <c r="AF43" s="58">
        <v>24047820</v>
      </c>
      <c r="AG43" s="58">
        <f>AF43*E43</f>
        <v>1106199720</v>
      </c>
      <c r="AH43" s="8" t="s">
        <v>502</v>
      </c>
      <c r="AI43" s="8">
        <v>0</v>
      </c>
      <c r="AJ43" s="8">
        <v>1</v>
      </c>
      <c r="AK43" s="29">
        <f>DATE(1977,1,1)</f>
        <v>28126</v>
      </c>
      <c r="AL43" s="7">
        <f>LN(DATEDIF(AK43,D43,"y")+1)</f>
        <v>3.6375861597263857</v>
      </c>
      <c r="AM43" s="45">
        <f>DATEDIF(AK43,D43,"y")</f>
        <v>37</v>
      </c>
      <c r="AN43" s="8" t="s">
        <v>500</v>
      </c>
      <c r="AO43" s="35">
        <v>3429</v>
      </c>
      <c r="AP43" s="36">
        <f>IFERROR(VLOOKUP(AO43,'Tech SIC'!$A$2:$B$35,2,FALSE),0)</f>
        <v>0</v>
      </c>
      <c r="AQ43" s="8" t="s">
        <v>15</v>
      </c>
      <c r="AR43" s="8" t="s">
        <v>11</v>
      </c>
    </row>
    <row r="44" spans="1:66" ht="25" customHeight="1" x14ac:dyDescent="0.2">
      <c r="A44" s="76" t="s">
        <v>503</v>
      </c>
      <c r="B44" s="8" t="s">
        <v>504</v>
      </c>
      <c r="C44" s="29">
        <f>DATE(2014,3,21)</f>
        <v>41719</v>
      </c>
      <c r="D44" s="1">
        <v>41719</v>
      </c>
      <c r="E44" s="31">
        <v>93</v>
      </c>
      <c r="F44" s="4">
        <v>97.5</v>
      </c>
      <c r="G44" s="37">
        <f t="shared" si="0"/>
        <v>4.8387096774193505E-2</v>
      </c>
      <c r="H44" s="57">
        <f>G44-VLOOKUP(D44,'SE index'!$A$2:$E$4114,5,FALSE)</f>
        <v>4.9156356030294543E-2</v>
      </c>
      <c r="I44" s="8">
        <v>1</v>
      </c>
      <c r="K44" s="7">
        <v>2659.9</v>
      </c>
      <c r="L44" s="31">
        <f>K44*'SE CPI'!$D$14</f>
        <v>2685.6811048590384</v>
      </c>
      <c r="M44" s="31">
        <f t="shared" si="1"/>
        <v>7.8956896451126468</v>
      </c>
      <c r="N44" s="60"/>
      <c r="O44" s="60"/>
      <c r="P44" s="2">
        <f t="shared" si="2"/>
        <v>0</v>
      </c>
      <c r="Q44" s="1">
        <v>41713</v>
      </c>
      <c r="R44" s="5">
        <f>VLOOKUP(Q44,Sentiment!$A$3:$B$199,2,FALSE)</f>
        <v>-9.5</v>
      </c>
      <c r="S44" s="106">
        <v>1</v>
      </c>
      <c r="T44" s="57">
        <f>VLOOKUP(D44,'SE index'!$A$2:$G$4114,6,FALSE)</f>
        <v>2.8696384445066777E-2</v>
      </c>
      <c r="U44" s="57">
        <f>VLOOKUP(D44,'SE index'!$A$2:$G$4114,7,FALSE)</f>
        <v>9.1509334436619388E-3</v>
      </c>
      <c r="V44" s="8" t="s">
        <v>401</v>
      </c>
      <c r="W44" s="5">
        <v>96</v>
      </c>
      <c r="X44" s="7">
        <v>88</v>
      </c>
      <c r="Y44" s="31">
        <v>96</v>
      </c>
      <c r="Z44" s="31">
        <v>88</v>
      </c>
      <c r="AA44" s="7">
        <f>IF(AC44="FIXED",0,IF(E44&gt;W44,1,0))</f>
        <v>0</v>
      </c>
      <c r="AB44" s="7">
        <f>IF(AC44="FIXED",0,IF(E44&lt;X44,1,0))</f>
        <v>0</v>
      </c>
      <c r="AC44" s="4" t="s">
        <v>73</v>
      </c>
      <c r="AD44" s="8" t="s">
        <v>10</v>
      </c>
      <c r="AE44" s="8">
        <f t="shared" si="3"/>
        <v>0</v>
      </c>
      <c r="AF44" s="58">
        <v>34508879</v>
      </c>
      <c r="AG44" s="58">
        <f>AF44*E44</f>
        <v>3209325747</v>
      </c>
      <c r="AH44" s="8" t="s">
        <v>505</v>
      </c>
      <c r="AI44" s="8">
        <v>0</v>
      </c>
      <c r="AJ44" s="8">
        <v>1</v>
      </c>
      <c r="AK44" s="32">
        <v>39814</v>
      </c>
      <c r="AL44" s="7">
        <f>LN(DATEDIF(AK44,D44,"y")+1)</f>
        <v>1.791759469228055</v>
      </c>
      <c r="AM44" s="45">
        <f>DATEDIF(AK44,D44,"y")</f>
        <v>5</v>
      </c>
      <c r="AN44" s="8" t="s">
        <v>319</v>
      </c>
      <c r="AO44" s="35">
        <v>6531</v>
      </c>
      <c r="AP44" s="36">
        <f>IFERROR(VLOOKUP(AO44,'Tech SIC'!$A$2:$B$35,2,FALSE),0)</f>
        <v>0</v>
      </c>
      <c r="AQ44" s="8" t="s">
        <v>211</v>
      </c>
      <c r="AR44" s="8" t="s">
        <v>11</v>
      </c>
    </row>
    <row r="45" spans="1:66" ht="25" customHeight="1" x14ac:dyDescent="0.2">
      <c r="A45" s="76" t="s">
        <v>506</v>
      </c>
      <c r="B45" s="8" t="s">
        <v>507</v>
      </c>
      <c r="C45" s="29">
        <f>DATE(2014,4,3)</f>
        <v>41732</v>
      </c>
      <c r="D45" s="1">
        <v>41732</v>
      </c>
      <c r="E45" s="31">
        <v>78</v>
      </c>
      <c r="F45" s="4">
        <v>85.75</v>
      </c>
      <c r="G45" s="37">
        <f t="shared" si="0"/>
        <v>9.935897435897445E-2</v>
      </c>
      <c r="H45" s="57">
        <f>G45-VLOOKUP(D45,'SE index'!$A$2:$E$4114,5,FALSE)</f>
        <v>0.10563634916232896</v>
      </c>
      <c r="I45" s="8">
        <v>1</v>
      </c>
      <c r="K45" s="7">
        <v>290.5</v>
      </c>
      <c r="L45" s="31">
        <f>K45*'SE CPI'!$D$14</f>
        <v>293.31567388305979</v>
      </c>
      <c r="M45" s="31">
        <f t="shared" si="1"/>
        <v>5.6812494143205017</v>
      </c>
      <c r="N45" s="31"/>
      <c r="O45" s="31"/>
      <c r="P45" s="2">
        <f t="shared" si="2"/>
        <v>0</v>
      </c>
      <c r="Q45" s="1">
        <v>41744</v>
      </c>
      <c r="R45" s="5">
        <f>VLOOKUP(Q45,Sentiment!$A$3:$B$199,2,FALSE)</f>
        <v>-8.8000000000000007</v>
      </c>
      <c r="S45" s="106">
        <v>1</v>
      </c>
      <c r="T45" s="57">
        <f>VLOOKUP(D45,'SE index'!$A$2:$G$4114,6,FALSE)</f>
        <v>1.9943628411637358E-2</v>
      </c>
      <c r="U45" s="57">
        <f>VLOOKUP(D45,'SE index'!$A$2:$G$4114,7,FALSE)</f>
        <v>9.6193235297769315E-3</v>
      </c>
      <c r="V45" s="8" t="s">
        <v>401</v>
      </c>
      <c r="W45" s="5">
        <v>86</v>
      </c>
      <c r="X45" s="7">
        <v>72</v>
      </c>
      <c r="Y45" s="31">
        <v>86</v>
      </c>
      <c r="Z45" s="31">
        <v>72</v>
      </c>
      <c r="AA45" s="7">
        <f>IF(AC45="FIXED",0,IF(E45&gt;W45,1,0))</f>
        <v>0</v>
      </c>
      <c r="AB45" s="7">
        <f>IF(AC45="FIXED",0,IF(E45&lt;X45,1,0))</f>
        <v>0</v>
      </c>
      <c r="AC45" s="4" t="s">
        <v>73</v>
      </c>
      <c r="AD45" s="8" t="s">
        <v>17</v>
      </c>
      <c r="AE45" s="8">
        <f t="shared" si="3"/>
        <v>0</v>
      </c>
      <c r="AF45" s="58">
        <v>16785895</v>
      </c>
      <c r="AG45" s="58">
        <f>AF45*E45</f>
        <v>1309299810</v>
      </c>
      <c r="AH45" s="8" t="s">
        <v>508</v>
      </c>
      <c r="AI45" s="8">
        <v>0</v>
      </c>
      <c r="AJ45" s="8">
        <v>1</v>
      </c>
      <c r="AK45" s="29">
        <f>DATE(1995,1,1)</f>
        <v>34700</v>
      </c>
      <c r="AL45" s="7">
        <f>LN(DATEDIF(AK45,D45,"y")+1)</f>
        <v>2.9957322735539909</v>
      </c>
      <c r="AM45" s="45">
        <f>DATEDIF(AK45,D45,"y")</f>
        <v>19</v>
      </c>
      <c r="AN45" s="8" t="s">
        <v>82</v>
      </c>
      <c r="AO45" s="35">
        <v>2834</v>
      </c>
      <c r="AP45" s="36">
        <f>IFERROR(VLOOKUP(AO45,'Tech SIC'!$A$2:$B$35,2,FALSE),0)</f>
        <v>0</v>
      </c>
      <c r="AQ45" s="8" t="s">
        <v>15</v>
      </c>
      <c r="AR45" s="8" t="s">
        <v>11</v>
      </c>
    </row>
    <row r="46" spans="1:66" ht="25" customHeight="1" x14ac:dyDescent="0.2">
      <c r="A46" s="76" t="s">
        <v>509</v>
      </c>
      <c r="B46" s="8" t="s">
        <v>510</v>
      </c>
      <c r="C46" s="29">
        <f>DATE(2014,6,12)</f>
        <v>41802</v>
      </c>
      <c r="D46" s="1">
        <v>41802</v>
      </c>
      <c r="E46" s="31">
        <v>73</v>
      </c>
      <c r="F46" s="4">
        <v>84.5</v>
      </c>
      <c r="G46" s="37">
        <f t="shared" si="0"/>
        <v>0.15753424657534243</v>
      </c>
      <c r="H46" s="57">
        <f>G46-VLOOKUP(D46,'SE index'!$A$2:$E$4114,5,FALSE)</f>
        <v>0.15944988750683095</v>
      </c>
      <c r="I46" s="8">
        <v>1</v>
      </c>
      <c r="K46" s="7">
        <v>120.5</v>
      </c>
      <c r="L46" s="31">
        <f>K46*'SE CPI'!$D$14</f>
        <v>121.66794734219863</v>
      </c>
      <c r="M46" s="31">
        <f t="shared" si="1"/>
        <v>4.8012955909592456</v>
      </c>
      <c r="N46" s="31"/>
      <c r="O46" s="31"/>
      <c r="P46" s="2">
        <f t="shared" si="2"/>
        <v>0</v>
      </c>
      <c r="Q46" s="1">
        <v>41805</v>
      </c>
      <c r="R46" s="5">
        <f>VLOOKUP(Q46,Sentiment!$A$3:$B$199,2,FALSE)</f>
        <v>-7.7</v>
      </c>
      <c r="S46" s="106">
        <v>1</v>
      </c>
      <c r="T46" s="57">
        <f>VLOOKUP(D46,'SE index'!$A$2:$G$4114,6,FALSE)</f>
        <v>2.9117593700693178E-2</v>
      </c>
      <c r="U46" s="57">
        <f>VLOOKUP(D46,'SE index'!$A$2:$G$4114,7,FALSE)</f>
        <v>5.0848597404063289E-3</v>
      </c>
      <c r="V46" s="8" t="s">
        <v>401</v>
      </c>
      <c r="W46" s="5">
        <v>74</v>
      </c>
      <c r="X46" s="7">
        <v>67</v>
      </c>
      <c r="Y46" s="31">
        <v>74</v>
      </c>
      <c r="Z46" s="31">
        <v>67</v>
      </c>
      <c r="AA46" s="7">
        <f>IF(AC46="FIXED",0,IF(E46&gt;W46,1,0))</f>
        <v>0</v>
      </c>
      <c r="AB46" s="7">
        <f>IF(AC46="FIXED",0,IF(E46&lt;X46,1,0))</f>
        <v>0</v>
      </c>
      <c r="AC46" s="4" t="s">
        <v>73</v>
      </c>
      <c r="AD46" s="8" t="s">
        <v>17</v>
      </c>
      <c r="AE46" s="8">
        <f t="shared" si="3"/>
        <v>0</v>
      </c>
      <c r="AF46" s="58">
        <v>5066379</v>
      </c>
      <c r="AG46" s="58">
        <f>AF46*E46</f>
        <v>369845667</v>
      </c>
      <c r="AH46" s="8" t="s">
        <v>69</v>
      </c>
      <c r="AI46" s="8">
        <v>0</v>
      </c>
      <c r="AJ46" s="8">
        <v>0</v>
      </c>
      <c r="AK46" s="29">
        <f>DATE(1988,1,1)</f>
        <v>32143</v>
      </c>
      <c r="AL46" s="7">
        <f>LN(DATEDIF(AK46,D46,"y")+1)</f>
        <v>3.2958368660043291</v>
      </c>
      <c r="AM46" s="45">
        <f>DATEDIF(AK46,D46,"y")</f>
        <v>26</v>
      </c>
      <c r="AN46" s="8" t="s">
        <v>493</v>
      </c>
      <c r="AO46" s="35">
        <v>6552</v>
      </c>
      <c r="AP46" s="36">
        <f>IFERROR(VLOOKUP(AO46,'Tech SIC'!$A$2:$B$35,2,FALSE),0)</f>
        <v>0</v>
      </c>
      <c r="AQ46" s="8" t="s">
        <v>211</v>
      </c>
      <c r="AR46" s="8" t="s">
        <v>11</v>
      </c>
    </row>
    <row r="47" spans="1:66" ht="25" customHeight="1" x14ac:dyDescent="0.2">
      <c r="A47" s="76" t="s">
        <v>511</v>
      </c>
      <c r="B47" s="8" t="s">
        <v>513</v>
      </c>
      <c r="C47" s="29">
        <f>DATE(2014,6,17)</f>
        <v>41807</v>
      </c>
      <c r="D47" s="1">
        <v>41807</v>
      </c>
      <c r="E47" s="31">
        <v>58</v>
      </c>
      <c r="F47" s="4">
        <v>63.55</v>
      </c>
      <c r="G47" s="37">
        <f t="shared" si="0"/>
        <v>9.568965517241379E-2</v>
      </c>
      <c r="H47" s="57">
        <f>G47-VLOOKUP(D47,'SE index'!$A$2:$E$4114,5,FALSE)</f>
        <v>9.4757321560746011E-2</v>
      </c>
      <c r="I47" s="8">
        <v>1</v>
      </c>
      <c r="K47" s="7">
        <v>2973.8</v>
      </c>
      <c r="L47" s="31">
        <f>K47*'SE CPI'!$D$14</f>
        <v>3002.6235834541935</v>
      </c>
      <c r="M47" s="31">
        <f t="shared" si="1"/>
        <v>8.0072417132916591</v>
      </c>
      <c r="N47" s="60"/>
      <c r="O47" s="60"/>
      <c r="P47" s="2">
        <f t="shared" si="2"/>
        <v>0</v>
      </c>
      <c r="Q47" s="1">
        <v>41805</v>
      </c>
      <c r="R47" s="5">
        <f>VLOOKUP(Q47,Sentiment!$A$3:$B$199,2,FALSE)</f>
        <v>-7.7</v>
      </c>
      <c r="S47" s="106">
        <v>1</v>
      </c>
      <c r="T47" s="57">
        <f>VLOOKUP(D47,'SE index'!$A$2:$G$4114,6,FALSE)</f>
        <v>1.7548529001387685E-2</v>
      </c>
      <c r="U47" s="57">
        <f>VLOOKUP(D47,'SE index'!$A$2:$G$4114,7,FALSE)</f>
        <v>4.8432148289255976E-3</v>
      </c>
      <c r="V47" s="8" t="s">
        <v>401</v>
      </c>
      <c r="W47" s="5">
        <v>62</v>
      </c>
      <c r="X47" s="7">
        <v>44</v>
      </c>
      <c r="Y47" s="31">
        <v>62</v>
      </c>
      <c r="Z47" s="31">
        <v>44</v>
      </c>
      <c r="AA47" s="7">
        <f>IF(AC47="FIXED",0,IF(E47&gt;W47,1,0))</f>
        <v>0</v>
      </c>
      <c r="AB47" s="7">
        <f>IF(AC47="FIXED",0,IF(E47&lt;X47,1,0))</f>
        <v>0</v>
      </c>
      <c r="AC47" s="4" t="s">
        <v>73</v>
      </c>
      <c r="AD47" s="8" t="s">
        <v>17</v>
      </c>
      <c r="AE47" s="8">
        <f t="shared" si="3"/>
        <v>0</v>
      </c>
      <c r="AF47" s="58">
        <v>97754179</v>
      </c>
      <c r="AG47" s="58">
        <f>AF47*E47</f>
        <v>5669742382</v>
      </c>
      <c r="AH47" s="8" t="s">
        <v>514</v>
      </c>
      <c r="AI47" s="8">
        <v>1</v>
      </c>
      <c r="AJ47" s="8">
        <v>1</v>
      </c>
      <c r="AK47" s="29">
        <f>DATE(1983,1,1)</f>
        <v>30317</v>
      </c>
      <c r="AL47" s="7">
        <f>LN(DATEDIF(AK47,D47,"y")+1)</f>
        <v>3.4657359027997265</v>
      </c>
      <c r="AM47" s="45">
        <f>DATEDIF(AK47,D47,"y")</f>
        <v>31</v>
      </c>
      <c r="AN47" s="8" t="s">
        <v>512</v>
      </c>
      <c r="AO47" s="35">
        <v>4841</v>
      </c>
      <c r="AP47" s="36">
        <f>IFERROR(VLOOKUP(AO47,'Tech SIC'!$A$2:$B$35,2,FALSE),0)</f>
        <v>0</v>
      </c>
      <c r="AQ47" s="8" t="s">
        <v>68</v>
      </c>
      <c r="AR47" s="8" t="s">
        <v>11</v>
      </c>
    </row>
    <row r="48" spans="1:66" ht="25" customHeight="1" x14ac:dyDescent="0.2">
      <c r="A48" s="76" t="s">
        <v>515</v>
      </c>
      <c r="B48" s="8" t="s">
        <v>517</v>
      </c>
      <c r="C48" s="29">
        <f>DATE(2014,6,19)</f>
        <v>41809</v>
      </c>
      <c r="D48" s="1">
        <v>41809</v>
      </c>
      <c r="E48" s="31">
        <v>38</v>
      </c>
      <c r="F48" s="4">
        <v>31.5</v>
      </c>
      <c r="G48" s="37">
        <f t="shared" si="0"/>
        <v>-0.17105263157894735</v>
      </c>
      <c r="H48" s="57">
        <f>G48-VLOOKUP(D48,'SE index'!$A$2:$E$4114,5,FALSE)</f>
        <v>-0.1765654762564359</v>
      </c>
      <c r="I48" s="8">
        <v>1</v>
      </c>
      <c r="K48" s="7">
        <v>111.6</v>
      </c>
      <c r="L48" s="31">
        <f>K48*'SE CPI'!$D$14</f>
        <v>112.68168401153001</v>
      </c>
      <c r="M48" s="31">
        <f t="shared" si="1"/>
        <v>4.7245668879757465</v>
      </c>
      <c r="N48" s="31"/>
      <c r="O48" s="31"/>
      <c r="P48" s="2">
        <f t="shared" si="2"/>
        <v>0</v>
      </c>
      <c r="Q48" s="1">
        <v>41805</v>
      </c>
      <c r="R48" s="5">
        <f>VLOOKUP(Q48,Sentiment!$A$3:$B$199,2,FALSE)</f>
        <v>-7.7</v>
      </c>
      <c r="S48" s="107">
        <v>1</v>
      </c>
      <c r="T48" s="57">
        <f>VLOOKUP(D48,'SE index'!$A$2:$G$4114,6,FALSE)</f>
        <v>2.4141193266733661E-2</v>
      </c>
      <c r="U48" s="57">
        <f>VLOOKUP(D48,'SE index'!$A$2:$G$4114,7,FALSE)</f>
        <v>4.9162061942753564E-3</v>
      </c>
      <c r="V48" s="8" t="s">
        <v>401</v>
      </c>
      <c r="W48" s="5">
        <v>50</v>
      </c>
      <c r="X48" s="7">
        <v>37</v>
      </c>
      <c r="Y48" s="31">
        <v>50</v>
      </c>
      <c r="Z48" s="31">
        <v>37</v>
      </c>
      <c r="AA48" s="7">
        <f>IF(AC48="FIXED",0,IF(E48&gt;W48,1,0))</f>
        <v>0</v>
      </c>
      <c r="AB48" s="7">
        <f>IF(AC48="FIXED",0,IF(E48&lt;X48,1,0))</f>
        <v>0</v>
      </c>
      <c r="AC48" s="4" t="s">
        <v>73</v>
      </c>
      <c r="AD48" s="8" t="s">
        <v>10</v>
      </c>
      <c r="AE48" s="8">
        <f t="shared" si="3"/>
        <v>0</v>
      </c>
      <c r="AF48" s="58">
        <v>10922244</v>
      </c>
      <c r="AG48" s="58">
        <f>AF48*E48</f>
        <v>415045272</v>
      </c>
      <c r="AH48" s="8" t="s">
        <v>69</v>
      </c>
      <c r="AI48" s="8">
        <v>0</v>
      </c>
      <c r="AJ48" s="8">
        <v>0</v>
      </c>
      <c r="AK48" s="29">
        <v>38353</v>
      </c>
      <c r="AL48" s="7">
        <f>LN(DATEDIF(AK48,D48,"y")+1)</f>
        <v>2.3025850929940459</v>
      </c>
      <c r="AM48" s="45">
        <f>DATEDIF(AK48,D48,"y")</f>
        <v>9</v>
      </c>
      <c r="AN48" s="8" t="s">
        <v>516</v>
      </c>
      <c r="AO48" s="35">
        <v>3841</v>
      </c>
      <c r="AP48" s="36">
        <f>IFERROR(VLOOKUP(AO48,'Tech SIC'!$A$2:$B$35,2,FALSE),0)</f>
        <v>1</v>
      </c>
      <c r="AQ48" s="8" t="s">
        <v>15</v>
      </c>
      <c r="AR48" s="8" t="s">
        <v>11</v>
      </c>
    </row>
    <row r="49" spans="1:66" ht="25" customHeight="1" x14ac:dyDescent="0.2">
      <c r="A49" s="76" t="s">
        <v>518</v>
      </c>
      <c r="B49" s="8" t="s">
        <v>520</v>
      </c>
      <c r="C49" s="29">
        <f>DATE(2014,6,27)</f>
        <v>41817</v>
      </c>
      <c r="D49" s="1">
        <v>41817</v>
      </c>
      <c r="E49" s="31">
        <v>40</v>
      </c>
      <c r="F49" s="4">
        <v>47</v>
      </c>
      <c r="G49" s="37">
        <f t="shared" si="0"/>
        <v>0.17500000000000004</v>
      </c>
      <c r="H49" s="57">
        <f>G49-VLOOKUP(D49,'SE index'!$A$2:$E$4114,5,FALSE)</f>
        <v>0.17017335691595864</v>
      </c>
      <c r="I49" s="8">
        <v>1</v>
      </c>
      <c r="K49" s="7">
        <v>487.7</v>
      </c>
      <c r="L49" s="31">
        <f>K49*'SE CPI'!$D$14</f>
        <v>492.42703667045868</v>
      </c>
      <c r="M49" s="31">
        <f t="shared" si="1"/>
        <v>6.1993463007445424</v>
      </c>
      <c r="N49" s="31"/>
      <c r="O49" s="31"/>
      <c r="P49" s="2">
        <f t="shared" si="2"/>
        <v>0</v>
      </c>
      <c r="Q49" s="1">
        <v>41805</v>
      </c>
      <c r="R49" s="5">
        <f>VLOOKUP(Q49,Sentiment!$A$3:$B$199,2,FALSE)</f>
        <v>-7.7</v>
      </c>
      <c r="S49" s="106">
        <v>1</v>
      </c>
      <c r="T49" s="57">
        <f>VLOOKUP(D49,'SE index'!$A$2:$G$4114,6,FALSE)</f>
        <v>3.9235111945414248E-3</v>
      </c>
      <c r="U49" s="57">
        <f>VLOOKUP(D49,'SE index'!$A$2:$G$4114,7,FALSE)</f>
        <v>5.0408874237587355E-3</v>
      </c>
      <c r="V49" s="8" t="s">
        <v>401</v>
      </c>
      <c r="W49" s="5">
        <v>40</v>
      </c>
      <c r="X49" s="7">
        <v>33</v>
      </c>
      <c r="Y49" s="31">
        <v>40</v>
      </c>
      <c r="Z49" s="31">
        <v>33</v>
      </c>
      <c r="AA49" s="7">
        <f>IF(AC49="FIXED",0,IF(E49&gt;W49,1,0))</f>
        <v>0</v>
      </c>
      <c r="AB49" s="7">
        <f>IF(AC49="FIXED",0,IF(E49&lt;X49,1,0))</f>
        <v>0</v>
      </c>
      <c r="AC49" s="4" t="s">
        <v>73</v>
      </c>
      <c r="AD49" s="8" t="s">
        <v>17</v>
      </c>
      <c r="AE49" s="8">
        <f t="shared" si="3"/>
        <v>0</v>
      </c>
      <c r="AF49" s="58">
        <v>33947459</v>
      </c>
      <c r="AG49" s="58">
        <f>AF49*E49</f>
        <v>1357898360</v>
      </c>
      <c r="AH49" s="8" t="s">
        <v>521</v>
      </c>
      <c r="AI49" s="8">
        <v>0</v>
      </c>
      <c r="AJ49" s="8">
        <v>1</v>
      </c>
      <c r="AK49" s="29">
        <v>41275</v>
      </c>
      <c r="AL49" s="7">
        <f>LN(DATEDIF(AK49,D49,"y")+1)</f>
        <v>0.69314718055994529</v>
      </c>
      <c r="AM49" s="45">
        <f>DATEDIF(AK49,D49,"y")</f>
        <v>1</v>
      </c>
      <c r="AN49" s="8" t="s">
        <v>519</v>
      </c>
      <c r="AO49" s="35">
        <v>2015</v>
      </c>
      <c r="AP49" s="36">
        <f>IFERROR(VLOOKUP(AO49,'Tech SIC'!$A$2:$B$35,2,FALSE),0)</f>
        <v>0</v>
      </c>
      <c r="AQ49" s="8" t="s">
        <v>15</v>
      </c>
      <c r="AR49" s="8" t="s">
        <v>11</v>
      </c>
    </row>
    <row r="50" spans="1:66" ht="25" customHeight="1" x14ac:dyDescent="0.2">
      <c r="A50" s="76" t="s">
        <v>522</v>
      </c>
      <c r="B50" s="8" t="s">
        <v>524</v>
      </c>
      <c r="C50" s="29">
        <f>DATE(2014,9,26)</f>
        <v>41908</v>
      </c>
      <c r="D50" s="1">
        <v>41908</v>
      </c>
      <c r="E50" s="31">
        <v>68</v>
      </c>
      <c r="F50" s="4">
        <v>64.5</v>
      </c>
      <c r="G50" s="37">
        <f t="shared" si="0"/>
        <v>-5.1470588235294157E-2</v>
      </c>
      <c r="H50" s="57">
        <f>G50-VLOOKUP(D50,'SE index'!$A$2:$E$4114,5,FALSE)</f>
        <v>-5.3700547320769461E-2</v>
      </c>
      <c r="I50" s="8">
        <v>1</v>
      </c>
      <c r="K50" s="7">
        <v>772.7</v>
      </c>
      <c r="L50" s="31">
        <f>K50*'SE CPI'!$D$14</f>
        <v>780.18940175366708</v>
      </c>
      <c r="M50" s="31">
        <f t="shared" si="1"/>
        <v>6.659536712968074</v>
      </c>
      <c r="N50" s="31"/>
      <c r="O50" s="31"/>
      <c r="P50" s="2">
        <f t="shared" si="2"/>
        <v>0</v>
      </c>
      <c r="Q50" s="1">
        <v>41897</v>
      </c>
      <c r="R50" s="5">
        <f>VLOOKUP(Q50,Sentiment!$A$3:$B$199,2,FALSE)</f>
        <v>-11.6</v>
      </c>
      <c r="S50" s="107">
        <v>1</v>
      </c>
      <c r="T50" s="57">
        <f>VLOOKUP(D50,'SE index'!$A$2:$G$4114,6,FALSE)</f>
        <v>3.1444693440768771E-2</v>
      </c>
      <c r="U50" s="57">
        <f>VLOOKUP(D50,'SE index'!$A$2:$G$4114,7,FALSE)</f>
        <v>6.0154145734038281E-3</v>
      </c>
      <c r="V50" s="8" t="s">
        <v>401</v>
      </c>
      <c r="W50" s="5">
        <v>74</v>
      </c>
      <c r="X50" s="7">
        <v>63</v>
      </c>
      <c r="Y50" s="31">
        <v>74</v>
      </c>
      <c r="Z50" s="31">
        <v>63</v>
      </c>
      <c r="AA50" s="7">
        <f>IF(AC50="FIXED",0,IF(E50&gt;W50,1,0))</f>
        <v>0</v>
      </c>
      <c r="AB50" s="7">
        <f>IF(AC50="FIXED",0,IF(E50&lt;X50,1,0))</f>
        <v>0</v>
      </c>
      <c r="AC50" s="4" t="s">
        <v>73</v>
      </c>
      <c r="AD50" s="8" t="s">
        <v>17</v>
      </c>
      <c r="AE50" s="8">
        <f t="shared" si="3"/>
        <v>0</v>
      </c>
      <c r="AF50" s="58">
        <v>37678668</v>
      </c>
      <c r="AG50" s="58">
        <f>AF50*E50</f>
        <v>2562149424</v>
      </c>
      <c r="AH50" s="8" t="s">
        <v>525</v>
      </c>
      <c r="AI50" s="8">
        <v>0</v>
      </c>
      <c r="AJ50" s="8">
        <v>1</v>
      </c>
      <c r="AK50" s="29">
        <f>DATE(1996,1,1)</f>
        <v>35065</v>
      </c>
      <c r="AL50" s="7">
        <f>LN(DATEDIF(AK50,D50,"y")+1)</f>
        <v>2.9444389791664403</v>
      </c>
      <c r="AM50" s="45">
        <f>DATEDIF(AK50,D50,"y")</f>
        <v>18</v>
      </c>
      <c r="AN50" s="8" t="s">
        <v>523</v>
      </c>
      <c r="AO50" s="35">
        <v>3442</v>
      </c>
      <c r="AP50" s="36">
        <f>IFERROR(VLOOKUP(AO50,'Tech SIC'!$A$2:$B$35,2,FALSE),0)</f>
        <v>0</v>
      </c>
      <c r="AQ50" s="8" t="s">
        <v>15</v>
      </c>
      <c r="AR50" s="8" t="s">
        <v>11</v>
      </c>
    </row>
    <row r="51" spans="1:66" ht="25" customHeight="1" x14ac:dyDescent="0.2">
      <c r="A51" s="77" t="s">
        <v>526</v>
      </c>
      <c r="B51" s="33" t="s">
        <v>528</v>
      </c>
      <c r="C51" s="32">
        <f>DATE(2014,10,10)</f>
        <v>41922</v>
      </c>
      <c r="D51" s="1">
        <v>41922</v>
      </c>
      <c r="E51" s="61">
        <v>42.5</v>
      </c>
      <c r="F51" s="40">
        <v>43.5</v>
      </c>
      <c r="G51" s="37">
        <f t="shared" si="0"/>
        <v>2.3529411764705799E-2</v>
      </c>
      <c r="H51" s="57">
        <f>G51-VLOOKUP(D51,'SE index'!$A$2:$E$4114,5,FALSE)</f>
        <v>3.8746972488231723E-2</v>
      </c>
      <c r="I51" s="8">
        <v>1</v>
      </c>
      <c r="K51" s="6">
        <v>607.6</v>
      </c>
      <c r="L51" s="31">
        <f>K51*'SE CPI'!$D$14</f>
        <v>613.48916850721901</v>
      </c>
      <c r="M51" s="31">
        <f t="shared" si="1"/>
        <v>6.4191626087501534</v>
      </c>
      <c r="N51" s="61"/>
      <c r="O51" s="61"/>
      <c r="P51" s="2">
        <f t="shared" si="2"/>
        <v>0</v>
      </c>
      <c r="Q51" s="1">
        <v>41927</v>
      </c>
      <c r="R51" s="5">
        <f>VLOOKUP(Q51,Sentiment!$A$3:$B$199,2,FALSE)</f>
        <v>-11.3</v>
      </c>
      <c r="S51" s="107">
        <v>1</v>
      </c>
      <c r="T51" s="57">
        <f>VLOOKUP(D51,'SE index'!$A$2:$G$4114,6,FALSE)</f>
        <v>-6.4342220562845762E-2</v>
      </c>
      <c r="U51" s="57">
        <f>VLOOKUP(D51,'SE index'!$A$2:$G$4114,7,FALSE)</f>
        <v>8.4564150120884519E-3</v>
      </c>
      <c r="V51" s="33" t="s">
        <v>401</v>
      </c>
      <c r="W51" s="20">
        <v>50</v>
      </c>
      <c r="X51" s="6">
        <v>42</v>
      </c>
      <c r="Y51" s="61">
        <v>50</v>
      </c>
      <c r="Z51" s="61">
        <v>42</v>
      </c>
      <c r="AA51" s="7">
        <f>IF(AC51="FIXED",0,IF(E51&gt;W51,1,0))</f>
        <v>0</v>
      </c>
      <c r="AB51" s="7">
        <f>IF(AC51="FIXED",0,IF(E51&lt;X51,1,0))</f>
        <v>0</v>
      </c>
      <c r="AC51" s="40" t="s">
        <v>73</v>
      </c>
      <c r="AD51" s="33" t="s">
        <v>17</v>
      </c>
      <c r="AE51" s="8">
        <f t="shared" si="3"/>
        <v>0</v>
      </c>
      <c r="AF51" s="30">
        <v>44783600</v>
      </c>
      <c r="AG51" s="58">
        <f>AF51*E51</f>
        <v>1903303000</v>
      </c>
      <c r="AH51" s="33" t="s">
        <v>529</v>
      </c>
      <c r="AI51" s="33">
        <v>0</v>
      </c>
      <c r="AJ51" s="33">
        <v>1</v>
      </c>
      <c r="AK51" s="32" t="s">
        <v>811</v>
      </c>
      <c r="AL51" s="7">
        <f>LN(2014-1896+1)</f>
        <v>4.7791234931115296</v>
      </c>
      <c r="AM51" s="45">
        <f>-1896+2014</f>
        <v>118</v>
      </c>
      <c r="AN51" s="33" t="s">
        <v>527</v>
      </c>
      <c r="AO51" s="34">
        <v>3365</v>
      </c>
      <c r="AP51" s="36">
        <f>IFERROR(VLOOKUP(AO51,'Tech SIC'!$A$2:$B$35,2,FALSE),0)</f>
        <v>0</v>
      </c>
      <c r="AQ51" s="33" t="s">
        <v>15</v>
      </c>
      <c r="AR51" s="33" t="s">
        <v>11</v>
      </c>
    </row>
    <row r="52" spans="1:66" ht="25" customHeight="1" x14ac:dyDescent="0.2">
      <c r="A52" s="76" t="s">
        <v>530</v>
      </c>
      <c r="B52" s="8" t="s">
        <v>532</v>
      </c>
      <c r="C52" s="29">
        <f>DATE(2014,11,21)</f>
        <v>41964</v>
      </c>
      <c r="D52" s="41">
        <v>41964</v>
      </c>
      <c r="E52" s="68">
        <v>93</v>
      </c>
      <c r="F52" s="4">
        <v>123</v>
      </c>
      <c r="G52" s="37">
        <f t="shared" si="0"/>
        <v>0.32258064516129026</v>
      </c>
      <c r="H52" s="57">
        <f>G52-VLOOKUP(D52,'SE index'!$A$2:$E$4114,5,FALSE)</f>
        <v>0.30598813008701442</v>
      </c>
      <c r="I52" s="8">
        <v>1</v>
      </c>
      <c r="J52" s="41"/>
      <c r="K52" s="7">
        <v>1083.2</v>
      </c>
      <c r="L52" s="31">
        <f>K52*'SE CPI'!$D$14</f>
        <v>1093.6989258180047</v>
      </c>
      <c r="M52" s="31">
        <f t="shared" si="1"/>
        <v>6.997320740186546</v>
      </c>
      <c r="N52" s="60"/>
      <c r="O52" s="140"/>
      <c r="P52" s="2">
        <f t="shared" si="2"/>
        <v>0</v>
      </c>
      <c r="Q52" s="41">
        <v>41958</v>
      </c>
      <c r="R52" s="5">
        <f>VLOOKUP(Q52,Sentiment!$A$3:$B$199,2,FALSE)</f>
        <v>-11.8</v>
      </c>
      <c r="S52" s="107">
        <v>1</v>
      </c>
      <c r="T52" s="57">
        <f>VLOOKUP(D52,'SE index'!$A$2:$G$4114,6,FALSE)</f>
        <v>0.1056960092299761</v>
      </c>
      <c r="U52" s="57">
        <f>VLOOKUP(D52,'SE index'!$A$2:$G$4114,7,FALSE)</f>
        <v>1.1226714896262176E-2</v>
      </c>
      <c r="V52" s="8" t="s">
        <v>401</v>
      </c>
      <c r="X52" s="7"/>
      <c r="Y52" s="31"/>
      <c r="Z52" s="31"/>
      <c r="AA52" s="7">
        <v>0</v>
      </c>
      <c r="AB52" s="7">
        <v>0</v>
      </c>
      <c r="AC52" s="40" t="s">
        <v>10</v>
      </c>
      <c r="AD52" s="8" t="s">
        <v>10</v>
      </c>
      <c r="AE52" s="8">
        <f t="shared" si="3"/>
        <v>1</v>
      </c>
      <c r="AF52" s="58">
        <v>41209100</v>
      </c>
      <c r="AG52" s="58">
        <f>AF52*E52</f>
        <v>3832446300</v>
      </c>
      <c r="AH52" s="8" t="s">
        <v>38</v>
      </c>
      <c r="AI52" s="8">
        <v>0</v>
      </c>
      <c r="AJ52" s="8">
        <v>1</v>
      </c>
      <c r="AK52" s="29">
        <f>DATE(1993,1,1)</f>
        <v>33970</v>
      </c>
      <c r="AL52" s="7">
        <f>LN(DATEDIF(AK52,D52,"y")+1)</f>
        <v>3.0910424533583161</v>
      </c>
      <c r="AM52" s="45">
        <f>DATEDIF(AK52,D52,"y")</f>
        <v>21</v>
      </c>
      <c r="AN52" s="8" t="s">
        <v>531</v>
      </c>
      <c r="AO52" s="35">
        <v>5047</v>
      </c>
      <c r="AP52" s="36">
        <f>IFERROR(VLOOKUP(AO52,'Tech SIC'!$A$2:$B$35,2,FALSE),0)</f>
        <v>0</v>
      </c>
      <c r="AQ52" s="8" t="s">
        <v>257</v>
      </c>
      <c r="AR52" s="8" t="s">
        <v>11</v>
      </c>
    </row>
    <row r="53" spans="1:66" ht="25" customHeight="1" x14ac:dyDescent="0.2">
      <c r="A53" s="76" t="s">
        <v>533</v>
      </c>
      <c r="B53" s="8" t="s">
        <v>535</v>
      </c>
      <c r="C53" s="29">
        <f>DATE(2014,11,26)</f>
        <v>41969</v>
      </c>
      <c r="D53" s="41">
        <v>41969</v>
      </c>
      <c r="E53" s="68">
        <v>70</v>
      </c>
      <c r="F53" s="4">
        <v>78</v>
      </c>
      <c r="G53" s="37">
        <f t="shared" si="0"/>
        <v>0.11428571428571432</v>
      </c>
      <c r="H53" s="57">
        <f>G53-VLOOKUP(D53,'SE index'!$A$2:$E$4114,5,FALSE)</f>
        <v>0.12081527252023333</v>
      </c>
      <c r="I53" s="8">
        <v>1</v>
      </c>
      <c r="J53" s="41">
        <v>41971</v>
      </c>
      <c r="K53" s="7">
        <f>N53/(VLOOKUP(J53,'SE FX'!$A$3:$B$199,2,FALSE))</f>
        <v>1011.435251750225</v>
      </c>
      <c r="L53" s="31">
        <f>K53*'SE CPI'!$D$14</f>
        <v>1021.238597095351</v>
      </c>
      <c r="M53" s="31">
        <f t="shared" si="1"/>
        <v>6.9287714804769696</v>
      </c>
      <c r="N53" s="72">
        <v>7527</v>
      </c>
      <c r="O53" s="8" t="s">
        <v>797</v>
      </c>
      <c r="P53" s="2">
        <f t="shared" si="2"/>
        <v>0</v>
      </c>
      <c r="Q53" s="41">
        <v>41958</v>
      </c>
      <c r="R53" s="5">
        <f>VLOOKUP(Q53,Sentiment!$A$3:$B$199,2,FALSE)</f>
        <v>-11.8</v>
      </c>
      <c r="S53" s="106">
        <v>1</v>
      </c>
      <c r="T53" s="57">
        <f>VLOOKUP(D53,'SE index'!$A$2:$G$4114,6,FALSE)</f>
        <v>0.1379892777763338</v>
      </c>
      <c r="U53" s="57">
        <f>VLOOKUP(D53,'SE index'!$A$2:$G$4114,7,FALSE)</f>
        <v>9.32774482199125E-3</v>
      </c>
      <c r="V53" s="8" t="s">
        <v>401</v>
      </c>
      <c r="W53" s="5">
        <v>74</v>
      </c>
      <c r="X53" s="7">
        <v>64</v>
      </c>
      <c r="Y53" s="31">
        <v>74</v>
      </c>
      <c r="Z53" s="31">
        <v>64</v>
      </c>
      <c r="AA53" s="7">
        <f>IF(AC53="FIXED",0,IF(E53&gt;W53,1,0))</f>
        <v>0</v>
      </c>
      <c r="AB53" s="7">
        <f>IF(AC53="FIXED",0,IF(E53&lt;X53,1,0))</f>
        <v>0</v>
      </c>
      <c r="AC53" s="40" t="s">
        <v>73</v>
      </c>
      <c r="AD53" s="8" t="s">
        <v>10</v>
      </c>
      <c r="AE53" s="8">
        <f t="shared" si="3"/>
        <v>0</v>
      </c>
      <c r="AF53" s="58">
        <v>26086957</v>
      </c>
      <c r="AG53" s="58">
        <f>AF53*E53</f>
        <v>1826086990</v>
      </c>
      <c r="AH53" s="8" t="s">
        <v>536</v>
      </c>
      <c r="AI53" s="8">
        <v>1</v>
      </c>
      <c r="AJ53" s="8">
        <v>0</v>
      </c>
      <c r="AK53" s="29">
        <v>15342</v>
      </c>
      <c r="AL53" s="7">
        <f>LN(DATEDIF(AK53,D53,"y")+1)</f>
        <v>4.290459441148391</v>
      </c>
      <c r="AM53" s="45">
        <f>DATEDIF(AK53,D53,"y")</f>
        <v>72</v>
      </c>
      <c r="AN53" s="8" t="s">
        <v>534</v>
      </c>
      <c r="AO53" s="35">
        <v>3714</v>
      </c>
      <c r="AP53" s="36">
        <f>IFERROR(VLOOKUP(AO53,'Tech SIC'!$A$2:$B$35,2,FALSE),0)</f>
        <v>0</v>
      </c>
      <c r="AQ53" s="8" t="s">
        <v>15</v>
      </c>
      <c r="AR53" s="8" t="s">
        <v>11</v>
      </c>
    </row>
    <row r="54" spans="1:66" ht="25" customHeight="1" x14ac:dyDescent="0.2">
      <c r="A54" s="76" t="s">
        <v>537</v>
      </c>
      <c r="B54" s="8" t="s">
        <v>538</v>
      </c>
      <c r="C54" s="29">
        <f>DATE(2014,12,4)</f>
        <v>41977</v>
      </c>
      <c r="D54" s="41">
        <v>41977</v>
      </c>
      <c r="E54" s="68">
        <v>30</v>
      </c>
      <c r="F54" s="4">
        <v>33.799999999999997</v>
      </c>
      <c r="G54" s="37">
        <f t="shared" si="0"/>
        <v>0.12666666666666648</v>
      </c>
      <c r="H54" s="57">
        <f>G54-VLOOKUP(D54,'SE index'!$A$2:$E$4114,5,FALSE)</f>
        <v>0.13835371131003144</v>
      </c>
      <c r="I54" s="8">
        <v>1</v>
      </c>
      <c r="J54" s="41"/>
      <c r="K54" s="7">
        <v>464.8</v>
      </c>
      <c r="L54" s="31">
        <f>K54*'SE CPI'!$D$14</f>
        <v>469.30507821289564</v>
      </c>
      <c r="M54" s="31">
        <f t="shared" si="1"/>
        <v>6.1512530435662374</v>
      </c>
      <c r="N54" s="31"/>
      <c r="O54" s="31"/>
      <c r="P54" s="2">
        <f t="shared" si="2"/>
        <v>0</v>
      </c>
      <c r="Q54" s="41">
        <v>41988</v>
      </c>
      <c r="R54" s="5">
        <f>VLOOKUP(Q54,Sentiment!$A$3:$B$199,2,FALSE)</f>
        <v>-11.1</v>
      </c>
      <c r="S54" s="107">
        <v>1</v>
      </c>
      <c r="T54" s="57">
        <f>VLOOKUP(D54,'SE index'!$A$2:$G$4114,6,FALSE)</f>
        <v>6.1192878725295656E-2</v>
      </c>
      <c r="U54" s="57">
        <f>VLOOKUP(D54,'SE index'!$A$2:$G$4114,7,FALSE)</f>
        <v>7.578724588623042E-3</v>
      </c>
      <c r="V54" s="8" t="s">
        <v>401</v>
      </c>
      <c r="X54" s="7"/>
      <c r="Y54" s="31"/>
      <c r="Z54" s="31"/>
      <c r="AA54" s="7">
        <v>0</v>
      </c>
      <c r="AB54" s="7">
        <v>0</v>
      </c>
      <c r="AC54" s="40" t="s">
        <v>10</v>
      </c>
      <c r="AD54" s="8" t="s">
        <v>10</v>
      </c>
      <c r="AE54" s="8">
        <f t="shared" si="3"/>
        <v>1</v>
      </c>
      <c r="AF54" s="58">
        <v>6666667</v>
      </c>
      <c r="AG54" s="58">
        <f>AF54*E54</f>
        <v>200000010</v>
      </c>
      <c r="AH54" s="8" t="s">
        <v>14</v>
      </c>
      <c r="AI54" s="8">
        <v>0</v>
      </c>
      <c r="AJ54" s="8">
        <v>0</v>
      </c>
      <c r="AK54" s="29">
        <v>40179</v>
      </c>
      <c r="AL54" s="7">
        <f>LN(DATEDIF(AK54,D54,"y")+1)</f>
        <v>1.6094379124341003</v>
      </c>
      <c r="AM54" s="45">
        <f>DATEDIF(AK54,D54,"y")</f>
        <v>4</v>
      </c>
      <c r="AN54" s="8" t="s">
        <v>434</v>
      </c>
      <c r="AO54" s="35">
        <v>6531</v>
      </c>
      <c r="AP54" s="36">
        <f>IFERROR(VLOOKUP(AO54,'Tech SIC'!$A$2:$B$35,2,FALSE),0)</f>
        <v>0</v>
      </c>
      <c r="AQ54" s="8" t="s">
        <v>211</v>
      </c>
      <c r="AR54" s="8" t="s">
        <v>11</v>
      </c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</row>
    <row r="55" spans="1:66" ht="25" customHeight="1" x14ac:dyDescent="0.2">
      <c r="A55" s="76" t="s">
        <v>539</v>
      </c>
      <c r="B55" s="8" t="s">
        <v>541</v>
      </c>
      <c r="C55" s="29">
        <f>DATE(2015,2,6)</f>
        <v>42041</v>
      </c>
      <c r="D55" s="41">
        <v>42041</v>
      </c>
      <c r="E55" s="68">
        <v>68</v>
      </c>
      <c r="F55" s="4">
        <v>73</v>
      </c>
      <c r="G55" s="37">
        <f t="shared" si="0"/>
        <v>7.3529411764705843E-2</v>
      </c>
      <c r="H55" s="57">
        <f>G55-VLOOKUP(D55,'SE index'!$A$2:$E$4114,5,FALSE)</f>
        <v>6.5104159143811499E-2</v>
      </c>
      <c r="I55" s="8">
        <v>1</v>
      </c>
      <c r="J55" s="41"/>
      <c r="K55" s="7">
        <v>1160.0999999999999</v>
      </c>
      <c r="L55" s="31">
        <f>K55*'SE CPI'!$D$15</f>
        <v>1172.239591405056</v>
      </c>
      <c r="M55" s="31">
        <f t="shared" si="1"/>
        <v>7.0666713787705877</v>
      </c>
      <c r="N55" s="60"/>
      <c r="O55" s="60"/>
      <c r="P55" s="2">
        <f t="shared" si="2"/>
        <v>0</v>
      </c>
      <c r="Q55" s="41">
        <v>41685</v>
      </c>
      <c r="R55" s="5">
        <f>VLOOKUP(Q55,Sentiment!$A$3:$B$199,2,FALSE)</f>
        <v>-12.9</v>
      </c>
      <c r="S55" s="106">
        <v>1</v>
      </c>
      <c r="T55" s="57">
        <f>VLOOKUP(D55,'SE index'!$A$2:$G$4114,6,FALSE)</f>
        <v>0.10379532842686381</v>
      </c>
      <c r="U55" s="57">
        <f>VLOOKUP(D55,'SE index'!$A$2:$G$4114,7,FALSE)</f>
        <v>1.0974886999853089E-2</v>
      </c>
      <c r="V55" s="8" t="s">
        <v>401</v>
      </c>
      <c r="W55" s="5">
        <v>70</v>
      </c>
      <c r="X55" s="7">
        <v>55</v>
      </c>
      <c r="Y55" s="31">
        <v>70</v>
      </c>
      <c r="Z55" s="31">
        <v>55</v>
      </c>
      <c r="AA55" s="7">
        <f>IF(AC55="FIXED",0,IF(E55&gt;W55,1,0))</f>
        <v>0</v>
      </c>
      <c r="AB55" s="7">
        <f>IF(AC55="FIXED",0,IF(E55&lt;X55,1,0))</f>
        <v>0</v>
      </c>
      <c r="AC55" s="4" t="s">
        <v>73</v>
      </c>
      <c r="AD55" s="8" t="s">
        <v>10</v>
      </c>
      <c r="AE55" s="8">
        <f t="shared" si="3"/>
        <v>0</v>
      </c>
      <c r="AF55" s="58">
        <v>37554616</v>
      </c>
      <c r="AG55" s="58">
        <f>AF55*E55</f>
        <v>2553713888</v>
      </c>
      <c r="AH55" s="8" t="s">
        <v>542</v>
      </c>
      <c r="AI55" s="8">
        <v>1</v>
      </c>
      <c r="AJ55" s="8">
        <v>0</v>
      </c>
      <c r="AK55" s="29">
        <v>33239</v>
      </c>
      <c r="AL55" s="7">
        <f>LN(DATEDIF(AK55,D55,"y")+1)</f>
        <v>3.2188758248682006</v>
      </c>
      <c r="AM55" s="45">
        <f>DATEDIF(AK55,D55,"y")</f>
        <v>24</v>
      </c>
      <c r="AN55" s="8" t="s">
        <v>540</v>
      </c>
      <c r="AO55" s="35">
        <v>1731</v>
      </c>
      <c r="AP55" s="36">
        <f>IFERROR(VLOOKUP(AO55,'Tech SIC'!$A$2:$B$35,2,FALSE),0)</f>
        <v>0</v>
      </c>
      <c r="AQ55" s="8" t="s">
        <v>227</v>
      </c>
      <c r="AR55" s="8" t="s">
        <v>11</v>
      </c>
    </row>
    <row r="56" spans="1:66" ht="25" customHeight="1" x14ac:dyDescent="0.2">
      <c r="A56" s="77" t="s">
        <v>543</v>
      </c>
      <c r="B56" s="33" t="s">
        <v>545</v>
      </c>
      <c r="C56" s="32">
        <f>DATE(2015,2,13)</f>
        <v>42048</v>
      </c>
      <c r="D56" s="1">
        <v>42048</v>
      </c>
      <c r="E56" s="61">
        <v>50</v>
      </c>
      <c r="F56" s="40">
        <v>58.5</v>
      </c>
      <c r="G56" s="37">
        <f t="shared" si="0"/>
        <v>0.16999999999999993</v>
      </c>
      <c r="H56" s="57">
        <f>G56-VLOOKUP(D56,'SE index'!$A$2:$E$4114,5,FALSE)</f>
        <v>0.15916836449090574</v>
      </c>
      <c r="I56" s="8">
        <v>1</v>
      </c>
      <c r="K56" s="6">
        <v>525.79999999999995</v>
      </c>
      <c r="L56" s="31">
        <f>K56*'SE CPI'!$D$15</f>
        <v>531.30210943951249</v>
      </c>
      <c r="M56" s="31">
        <f t="shared" si="1"/>
        <v>6.2753308037850077</v>
      </c>
      <c r="N56" s="61"/>
      <c r="O56" s="61"/>
      <c r="P56" s="2">
        <f t="shared" si="2"/>
        <v>0</v>
      </c>
      <c r="Q56" s="1">
        <v>41685</v>
      </c>
      <c r="R56" s="5">
        <f>VLOOKUP(Q56,Sentiment!$A$3:$B$199,2,FALSE)</f>
        <v>-12.9</v>
      </c>
      <c r="S56" s="107">
        <v>1</v>
      </c>
      <c r="T56" s="57">
        <f>VLOOKUP(D56,'SE index'!$A$2:$G$4114,6,FALSE)</f>
        <v>0.11439134322143758</v>
      </c>
      <c r="U56" s="57">
        <f>VLOOKUP(D56,'SE index'!$A$2:$G$4114,7,FALSE)</f>
        <v>1.1398321320362066E-2</v>
      </c>
      <c r="V56" s="33" t="s">
        <v>401</v>
      </c>
      <c r="W56" s="20">
        <v>51</v>
      </c>
      <c r="X56" s="6">
        <v>45</v>
      </c>
      <c r="Y56" s="61">
        <v>51</v>
      </c>
      <c r="Z56" s="61">
        <v>45</v>
      </c>
      <c r="AA56" s="7">
        <f>IF(AC56="FIXED",0,IF(E56&gt;W56,1,0))</f>
        <v>0</v>
      </c>
      <c r="AB56" s="7">
        <f>IF(AC56="FIXED",0,IF(E56&lt;X56,1,0))</f>
        <v>0</v>
      </c>
      <c r="AC56" s="40" t="s">
        <v>73</v>
      </c>
      <c r="AD56" s="33" t="s">
        <v>17</v>
      </c>
      <c r="AE56" s="8">
        <f t="shared" si="3"/>
        <v>0</v>
      </c>
      <c r="AF56" s="30">
        <v>34277904</v>
      </c>
      <c r="AG56" s="58">
        <f>AF56*E56</f>
        <v>1713895200</v>
      </c>
      <c r="AH56" s="33" t="s">
        <v>546</v>
      </c>
      <c r="AI56" s="33">
        <v>0</v>
      </c>
      <c r="AJ56" s="33">
        <v>1</v>
      </c>
      <c r="AK56" s="32">
        <f>DATE(1984,1,1)</f>
        <v>30682</v>
      </c>
      <c r="AL56" s="7">
        <f>LN(DATEDIF(AK56,D56,"y")+1)</f>
        <v>3.4657359027997265</v>
      </c>
      <c r="AM56" s="45">
        <f>DATEDIF(AK56,D56,"y")</f>
        <v>31</v>
      </c>
      <c r="AN56" s="33" t="s">
        <v>544</v>
      </c>
      <c r="AO56" s="34">
        <v>5045</v>
      </c>
      <c r="AP56" s="36">
        <f>IFERROR(VLOOKUP(AO56,'Tech SIC'!$A$2:$B$35,2,FALSE),0)</f>
        <v>0</v>
      </c>
      <c r="AQ56" s="33" t="s">
        <v>257</v>
      </c>
      <c r="AR56" s="33" t="s">
        <v>11</v>
      </c>
    </row>
    <row r="57" spans="1:66" ht="25" customHeight="1" x14ac:dyDescent="0.2">
      <c r="A57" s="76" t="s">
        <v>547</v>
      </c>
      <c r="B57" s="8" t="s">
        <v>549</v>
      </c>
      <c r="C57" s="29">
        <f>DATE(2015,3,25)</f>
        <v>42088</v>
      </c>
      <c r="D57" s="41">
        <v>42088</v>
      </c>
      <c r="E57" s="68">
        <v>58</v>
      </c>
      <c r="F57" s="4">
        <v>66.099999999999994</v>
      </c>
      <c r="G57" s="37">
        <f t="shared" si="0"/>
        <v>0.1396551724137931</v>
      </c>
      <c r="H57" s="57">
        <f>G57-VLOOKUP(D57,'SE index'!$A$2:$E$4114,5,FALSE)</f>
        <v>0.14371916519092087</v>
      </c>
      <c r="I57" s="8">
        <v>1</v>
      </c>
      <c r="J57" s="41"/>
      <c r="K57" s="7">
        <v>1923</v>
      </c>
      <c r="L57" s="31">
        <f>K57*'SE CPI'!$D$15</f>
        <v>1943.1227775811765</v>
      </c>
      <c r="M57" s="31">
        <f t="shared" si="1"/>
        <v>7.5720516370780064</v>
      </c>
      <c r="N57" s="60"/>
      <c r="O57" s="60"/>
      <c r="P57" s="2">
        <f t="shared" si="2"/>
        <v>0</v>
      </c>
      <c r="Q57" s="41">
        <v>42078</v>
      </c>
      <c r="R57" s="5">
        <f>VLOOKUP(Q57,Sentiment!$A$3:$B$199,2,FALSE)</f>
        <v>-3.7</v>
      </c>
      <c r="S57" s="106">
        <v>1</v>
      </c>
      <c r="T57" s="57">
        <f>VLOOKUP(D57,'SE index'!$A$2:$G$4114,6,FALSE)</f>
        <v>6.1684930911146039E-2</v>
      </c>
      <c r="U57" s="57">
        <f>VLOOKUP(D57,'SE index'!$A$2:$G$4114,7,FALSE)</f>
        <v>8.2348831210318652E-3</v>
      </c>
      <c r="V57" s="8" t="s">
        <v>401</v>
      </c>
      <c r="W57" s="5">
        <v>60</v>
      </c>
      <c r="X57" s="7">
        <v>50</v>
      </c>
      <c r="Y57" s="31">
        <v>60</v>
      </c>
      <c r="Z57" s="31">
        <v>50</v>
      </c>
      <c r="AA57" s="7">
        <f>IF(AC57="FIXED",0,IF(E57&gt;W57,1,0))</f>
        <v>0</v>
      </c>
      <c r="AB57" s="7">
        <f>IF(AC57="FIXED",0,IF(E57&lt;X57,1,0))</f>
        <v>0</v>
      </c>
      <c r="AC57" s="40" t="s">
        <v>73</v>
      </c>
      <c r="AD57" s="8" t="s">
        <v>17</v>
      </c>
      <c r="AE57" s="8">
        <f t="shared" si="3"/>
        <v>0</v>
      </c>
      <c r="AF57" s="58">
        <v>40725246</v>
      </c>
      <c r="AG57" s="58">
        <f>AF57*E57</f>
        <v>2362064268</v>
      </c>
      <c r="AH57" s="8" t="s">
        <v>550</v>
      </c>
      <c r="AI57" s="8">
        <v>1</v>
      </c>
      <c r="AJ57" s="8">
        <v>1</v>
      </c>
      <c r="AK57" s="29">
        <f>DATE(2008,1,1)</f>
        <v>39448</v>
      </c>
      <c r="AL57" s="7">
        <f>LN(DATEDIF(AK57,D57,"y")+1)</f>
        <v>2.0794415416798357</v>
      </c>
      <c r="AM57" s="45">
        <f>DATEDIF(AK57,D57,"y")</f>
        <v>7</v>
      </c>
      <c r="AN57" s="8" t="s">
        <v>548</v>
      </c>
      <c r="AO57" s="35">
        <v>6282</v>
      </c>
      <c r="AP57" s="36">
        <f>IFERROR(VLOOKUP(AO57,'Tech SIC'!$A$2:$B$35,2,FALSE),0)</f>
        <v>0</v>
      </c>
      <c r="AQ57" s="8" t="s">
        <v>89</v>
      </c>
      <c r="AR57" s="8" t="s">
        <v>11</v>
      </c>
    </row>
    <row r="58" spans="1:66" ht="25" customHeight="1" x14ac:dyDescent="0.2">
      <c r="A58" s="76" t="s">
        <v>551</v>
      </c>
      <c r="B58" s="8" t="s">
        <v>553</v>
      </c>
      <c r="C58" s="29">
        <f>DATE(2015,3,27)</f>
        <v>42090</v>
      </c>
      <c r="D58" s="41">
        <v>42090</v>
      </c>
      <c r="E58" s="68">
        <v>66</v>
      </c>
      <c r="F58" s="4">
        <v>78.75</v>
      </c>
      <c r="G58" s="37">
        <f t="shared" si="0"/>
        <v>0.19318181818181812</v>
      </c>
      <c r="H58" s="57">
        <f>G58-VLOOKUP(D58,'SE index'!$A$2:$E$4114,5,FALSE)</f>
        <v>0.20100051314401138</v>
      </c>
      <c r="I58" s="8">
        <v>1</v>
      </c>
      <c r="J58" s="41"/>
      <c r="K58" s="7">
        <v>165</v>
      </c>
      <c r="L58" s="31">
        <f>K58*'SE CPI'!$D$15</f>
        <v>166.72660338060015</v>
      </c>
      <c r="M58" s="31">
        <f t="shared" si="1"/>
        <v>5.1163553653898077</v>
      </c>
      <c r="N58" s="31"/>
      <c r="O58" s="31"/>
      <c r="P58" s="2">
        <f t="shared" si="2"/>
        <v>0</v>
      </c>
      <c r="Q58" s="41">
        <v>42078</v>
      </c>
      <c r="R58" s="5">
        <f>VLOOKUP(Q58,Sentiment!$A$3:$B$199,2,FALSE)</f>
        <v>-3.7</v>
      </c>
      <c r="S58" s="106">
        <v>1</v>
      </c>
      <c r="T58" s="57">
        <f>VLOOKUP(D58,'SE index'!$A$2:$G$4114,6,FALSE)</f>
        <v>1.2419211852744224E-2</v>
      </c>
      <c r="U58" s="57">
        <f>VLOOKUP(D58,'SE index'!$A$2:$G$4114,7,FALSE)</f>
        <v>7.8284033677100632E-3</v>
      </c>
      <c r="V58" s="8" t="s">
        <v>401</v>
      </c>
      <c r="W58" s="5">
        <v>66</v>
      </c>
      <c r="X58" s="7">
        <v>62</v>
      </c>
      <c r="Y58" s="31">
        <v>66</v>
      </c>
      <c r="Z58" s="31">
        <v>62</v>
      </c>
      <c r="AA58" s="7">
        <f>IF(AC58="FIXED",0,IF(E58&gt;W58,1,0))</f>
        <v>0</v>
      </c>
      <c r="AB58" s="7">
        <f>IF(AC58="FIXED",0,IF(E58&lt;X58,1,0))</f>
        <v>0</v>
      </c>
      <c r="AC58" s="40" t="s">
        <v>73</v>
      </c>
      <c r="AD58" s="8" t="s">
        <v>10</v>
      </c>
      <c r="AE58" s="8">
        <f t="shared" si="3"/>
        <v>0</v>
      </c>
      <c r="AF58" s="58">
        <v>10713507</v>
      </c>
      <c r="AG58" s="58">
        <f>AF58*E58</f>
        <v>707091462</v>
      </c>
      <c r="AH58" s="8" t="s">
        <v>502</v>
      </c>
      <c r="AI58" s="8">
        <v>0</v>
      </c>
      <c r="AJ58" s="8">
        <v>1</v>
      </c>
      <c r="AK58" s="29">
        <v>20090</v>
      </c>
      <c r="AL58" s="7">
        <f>LN(DATEDIF(AK58,D58,"y")+1)</f>
        <v>4.1108738641733114</v>
      </c>
      <c r="AM58" s="45">
        <f>DATEDIF(AK58,D58,"y")</f>
        <v>60</v>
      </c>
      <c r="AN58" s="8" t="s">
        <v>552</v>
      </c>
      <c r="AO58" s="35">
        <v>3559</v>
      </c>
      <c r="AP58" s="36">
        <f>IFERROR(VLOOKUP(AO58,'Tech SIC'!$A$2:$B$35,2,FALSE),0)</f>
        <v>0</v>
      </c>
      <c r="AQ58" s="8" t="s">
        <v>15</v>
      </c>
      <c r="AR58" s="8" t="s">
        <v>11</v>
      </c>
    </row>
    <row r="59" spans="1:66" ht="25" customHeight="1" x14ac:dyDescent="0.2">
      <c r="A59" s="76" t="s">
        <v>554</v>
      </c>
      <c r="B59" s="8" t="s">
        <v>556</v>
      </c>
      <c r="C59" s="29">
        <f>DATE(2015,4,24)</f>
        <v>42118</v>
      </c>
      <c r="D59" s="41">
        <v>42118</v>
      </c>
      <c r="E59" s="68">
        <v>25</v>
      </c>
      <c r="F59" s="4">
        <v>34.5</v>
      </c>
      <c r="G59" s="37">
        <f t="shared" si="0"/>
        <v>0.37999999999999989</v>
      </c>
      <c r="H59" s="57">
        <f>G59-VLOOKUP(D59,'SE index'!$A$2:$E$4114,5,FALSE)</f>
        <v>0.37484102884969878</v>
      </c>
      <c r="I59" s="8">
        <v>1</v>
      </c>
      <c r="J59" s="41"/>
      <c r="K59" s="7">
        <v>88.3</v>
      </c>
      <c r="L59" s="31">
        <f>K59*'SE CPI'!$D$15</f>
        <v>89.2239944151939</v>
      </c>
      <c r="M59" s="31">
        <f t="shared" si="1"/>
        <v>4.4911499990991413</v>
      </c>
      <c r="N59" s="31"/>
      <c r="O59" s="31"/>
      <c r="P59" s="2">
        <f t="shared" si="2"/>
        <v>0</v>
      </c>
      <c r="Q59" s="41">
        <v>42109</v>
      </c>
      <c r="R59" s="5">
        <f>VLOOKUP(Q59,Sentiment!$A$3:$B$199,2,FALSE)</f>
        <v>-4.6000000000000005</v>
      </c>
      <c r="S59" s="106">
        <v>1</v>
      </c>
      <c r="T59" s="57">
        <f>VLOOKUP(D59,'SE index'!$A$2:$G$4114,6,FALSE)</f>
        <v>2.0941803208194991E-2</v>
      </c>
      <c r="U59" s="57">
        <f>VLOOKUP(D59,'SE index'!$A$2:$G$4114,7,FALSE)</f>
        <v>9.2358516502116742E-3</v>
      </c>
      <c r="V59" s="8" t="s">
        <v>401</v>
      </c>
      <c r="W59" s="5">
        <v>25</v>
      </c>
      <c r="X59" s="7">
        <v>22</v>
      </c>
      <c r="Y59" s="31">
        <v>25</v>
      </c>
      <c r="Z59" s="31">
        <v>22</v>
      </c>
      <c r="AA59" s="7">
        <f>IF(AC59="FIXED",0,IF(E59&gt;W59,1,0))</f>
        <v>0</v>
      </c>
      <c r="AB59" s="7">
        <f>IF(AC59="FIXED",0,IF(E59&lt;X59,1,0))</f>
        <v>0</v>
      </c>
      <c r="AC59" s="40" t="s">
        <v>73</v>
      </c>
      <c r="AD59" s="8" t="s">
        <v>17</v>
      </c>
      <c r="AE59" s="8">
        <f t="shared" si="3"/>
        <v>0</v>
      </c>
      <c r="AF59" s="58">
        <v>17901000</v>
      </c>
      <c r="AG59" s="58">
        <f>AF59*E59</f>
        <v>447525000</v>
      </c>
      <c r="AH59" s="8" t="s">
        <v>557</v>
      </c>
      <c r="AI59" s="8">
        <v>0</v>
      </c>
      <c r="AJ59" s="8">
        <v>1</v>
      </c>
      <c r="AK59" s="29">
        <f>DATE(2001,1,1)</f>
        <v>36892</v>
      </c>
      <c r="AL59" s="7">
        <f>LN(DATEDIF(AK59,D59,"y")+1)</f>
        <v>2.7080502011022101</v>
      </c>
      <c r="AM59" s="45">
        <f>DATEDIF(AK59,D59,"y")</f>
        <v>14</v>
      </c>
      <c r="AN59" s="8" t="s">
        <v>555</v>
      </c>
      <c r="AO59" s="35">
        <v>7372</v>
      </c>
      <c r="AP59" s="36">
        <f>IFERROR(VLOOKUP(AO59,'Tech SIC'!$A$2:$B$35,2,FALSE),0)</f>
        <v>1</v>
      </c>
      <c r="AQ59" s="8" t="s">
        <v>13</v>
      </c>
      <c r="AR59" s="8" t="s">
        <v>11</v>
      </c>
    </row>
    <row r="60" spans="1:66" ht="25" customHeight="1" x14ac:dyDescent="0.2">
      <c r="A60" s="76" t="s">
        <v>558</v>
      </c>
      <c r="B60" s="8" t="s">
        <v>560</v>
      </c>
      <c r="C60" s="29">
        <f>DATE(2015,6,10)</f>
        <v>42165</v>
      </c>
      <c r="D60" s="41">
        <v>42165</v>
      </c>
      <c r="E60" s="68">
        <v>55</v>
      </c>
      <c r="F60" s="4">
        <v>63.6</v>
      </c>
      <c r="G60" s="37">
        <f t="shared" si="0"/>
        <v>0.15636363636363648</v>
      </c>
      <c r="H60" s="57">
        <f>G60-VLOOKUP(D60,'SE index'!$A$2:$E$4114,5,FALSE)</f>
        <v>0.14226806245327026</v>
      </c>
      <c r="I60" s="8">
        <v>1</v>
      </c>
      <c r="J60" s="41"/>
      <c r="K60" s="7">
        <v>839.9</v>
      </c>
      <c r="L60" s="31">
        <f>K60*'SE CPI'!$D$15</f>
        <v>848.68893442040041</v>
      </c>
      <c r="M60" s="31">
        <f t="shared" si="1"/>
        <v>6.7436927286208084</v>
      </c>
      <c r="N60" s="31"/>
      <c r="O60" s="31"/>
      <c r="P60" s="2">
        <f t="shared" si="2"/>
        <v>0</v>
      </c>
      <c r="Q60" s="41">
        <v>42170</v>
      </c>
      <c r="R60" s="5">
        <f>VLOOKUP(Q60,Sentiment!$A$3:$B$199,2,FALSE)</f>
        <v>-5.6000000000000005</v>
      </c>
      <c r="S60" s="106">
        <v>1</v>
      </c>
      <c r="T60" s="57">
        <f>VLOOKUP(D60,'SE index'!$A$2:$G$4114,6,FALSE)</f>
        <v>-6.5813416331159752E-2</v>
      </c>
      <c r="U60" s="57">
        <f>VLOOKUP(D60,'SE index'!$A$2:$G$4114,7,FALSE)</f>
        <v>1.1093498314784962E-2</v>
      </c>
      <c r="V60" s="8" t="s">
        <v>401</v>
      </c>
      <c r="X60" s="7"/>
      <c r="Y60" s="31"/>
      <c r="Z60" s="31"/>
      <c r="AA60" s="7">
        <v>0</v>
      </c>
      <c r="AB60" s="7">
        <v>0</v>
      </c>
      <c r="AC60" s="4" t="s">
        <v>10</v>
      </c>
      <c r="AD60" s="8" t="s">
        <v>10</v>
      </c>
      <c r="AE60" s="8">
        <f t="shared" si="3"/>
        <v>1</v>
      </c>
      <c r="AF60" s="58">
        <v>18181818</v>
      </c>
      <c r="AG60" s="58">
        <f>AF60*E60</f>
        <v>999999990</v>
      </c>
      <c r="AH60" s="8" t="s">
        <v>38</v>
      </c>
      <c r="AI60" s="8">
        <v>0</v>
      </c>
      <c r="AJ60" s="8">
        <v>1</v>
      </c>
      <c r="AK60" s="29">
        <f>DATE(1999,1,1)</f>
        <v>36161</v>
      </c>
      <c r="AL60" s="7">
        <f>LN(DATEDIF(AK60,D60,"y")+1)</f>
        <v>2.8332133440562162</v>
      </c>
      <c r="AM60" s="45">
        <f>DATEDIF(AK60,D60,"y")</f>
        <v>16</v>
      </c>
      <c r="AN60" s="8" t="s">
        <v>559</v>
      </c>
      <c r="AO60" s="35">
        <v>6289</v>
      </c>
      <c r="AP60" s="36">
        <f>IFERROR(VLOOKUP(AO60,'Tech SIC'!$A$2:$B$35,2,FALSE),0)</f>
        <v>0</v>
      </c>
      <c r="AQ60" s="8" t="s">
        <v>89</v>
      </c>
      <c r="AR60" s="8" t="s">
        <v>11</v>
      </c>
    </row>
    <row r="61" spans="1:66" s="51" customFormat="1" ht="25" customHeight="1" x14ac:dyDescent="0.2">
      <c r="A61" s="76" t="s">
        <v>561</v>
      </c>
      <c r="B61" s="8" t="s">
        <v>563</v>
      </c>
      <c r="C61" s="29">
        <f>DATE(2015,6,16)</f>
        <v>42171</v>
      </c>
      <c r="D61" s="41">
        <v>42171</v>
      </c>
      <c r="E61" s="68">
        <v>38</v>
      </c>
      <c r="F61" s="4">
        <v>38</v>
      </c>
      <c r="G61" s="37">
        <f t="shared" si="0"/>
        <v>0</v>
      </c>
      <c r="H61" s="57">
        <f>G61-VLOOKUP(D61,'SE index'!$A$2:$E$4114,5,FALSE)</f>
        <v>-9.6786626332757437E-3</v>
      </c>
      <c r="I61" s="8">
        <v>1</v>
      </c>
      <c r="J61" s="41"/>
      <c r="K61" s="7">
        <v>735.1</v>
      </c>
      <c r="L61" s="31">
        <f>K61*'SE CPI'!$D$15</f>
        <v>742.79227966714654</v>
      </c>
      <c r="M61" s="31">
        <f t="shared" si="1"/>
        <v>6.6104164358692685</v>
      </c>
      <c r="N61" s="31"/>
      <c r="O61" s="31"/>
      <c r="P61" s="2">
        <f t="shared" si="2"/>
        <v>0</v>
      </c>
      <c r="Q61" s="41">
        <v>42170</v>
      </c>
      <c r="R61" s="5">
        <f>VLOOKUP(Q61,Sentiment!$A$3:$B$199,2,FALSE)</f>
        <v>-5.6000000000000005</v>
      </c>
      <c r="S61" s="106">
        <v>1</v>
      </c>
      <c r="T61" s="57">
        <f>VLOOKUP(D61,'SE index'!$A$2:$G$4114,6,FALSE)</f>
        <v>-3.2256949709736138E-2</v>
      </c>
      <c r="U61" s="57">
        <f>VLOOKUP(D61,'SE index'!$A$2:$G$4114,7,FALSE)</f>
        <v>9.9767596520912109E-3</v>
      </c>
      <c r="V61" s="8" t="s">
        <v>401</v>
      </c>
      <c r="W61" s="5">
        <v>39</v>
      </c>
      <c r="X61" s="7">
        <v>32</v>
      </c>
      <c r="Y61" s="31">
        <v>39</v>
      </c>
      <c r="Z61" s="31">
        <v>32</v>
      </c>
      <c r="AA61" s="7">
        <f>IF(AC61="FIXED",0,IF(E61&gt;W61,1,0))</f>
        <v>0</v>
      </c>
      <c r="AB61" s="7">
        <f>IF(AC61="FIXED",0,IF(E61&lt;X61,1,0))</f>
        <v>0</v>
      </c>
      <c r="AC61" s="4" t="s">
        <v>73</v>
      </c>
      <c r="AD61" s="8" t="s">
        <v>17</v>
      </c>
      <c r="AE61" s="8">
        <f t="shared" si="3"/>
        <v>0</v>
      </c>
      <c r="AF61" s="58">
        <v>58349521</v>
      </c>
      <c r="AG61" s="58">
        <f>AF61*E61</f>
        <v>2217281798</v>
      </c>
      <c r="AH61" s="8" t="s">
        <v>564</v>
      </c>
      <c r="AI61" s="8">
        <v>1</v>
      </c>
      <c r="AJ61" s="8">
        <v>1</v>
      </c>
      <c r="AK61" s="29">
        <v>35796</v>
      </c>
      <c r="AL61" s="7">
        <f>LN(DATEDIF(AK61,D61,"y")+1)</f>
        <v>2.8903717578961645</v>
      </c>
      <c r="AM61" s="45">
        <f>DATEDIF(AK61,D61,"y")</f>
        <v>17</v>
      </c>
      <c r="AN61" s="8" t="s">
        <v>562</v>
      </c>
      <c r="AO61" s="35">
        <v>8744</v>
      </c>
      <c r="AP61" s="36">
        <f>IFERROR(VLOOKUP(AO61,'Tech SIC'!$A$2:$B$35,2,FALSE),0)</f>
        <v>0</v>
      </c>
      <c r="AQ61" s="8" t="s">
        <v>13</v>
      </c>
      <c r="AR61" s="8" t="s">
        <v>11</v>
      </c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1:66" ht="25" customHeight="1" x14ac:dyDescent="0.2">
      <c r="A62" s="76" t="s">
        <v>565</v>
      </c>
      <c r="B62" s="8" t="s">
        <v>566</v>
      </c>
      <c r="C62" s="29">
        <f>DATE(2015,6,17)</f>
        <v>42172</v>
      </c>
      <c r="D62" s="41">
        <v>42172</v>
      </c>
      <c r="E62" s="68">
        <v>45</v>
      </c>
      <c r="F62" s="4">
        <v>43.9</v>
      </c>
      <c r="G62" s="37">
        <f t="shared" si="0"/>
        <v>-2.4444444444444491E-2</v>
      </c>
      <c r="H62" s="57">
        <f>G62-VLOOKUP(D62,'SE index'!$A$2:$E$4114,5,FALSE)</f>
        <v>-1.5065674936611791E-2</v>
      </c>
      <c r="I62" s="8">
        <v>1</v>
      </c>
      <c r="J62" s="41"/>
      <c r="K62" s="7">
        <v>1689.1</v>
      </c>
      <c r="L62" s="31">
        <f>K62*'SE CPI'!$D$15</f>
        <v>1706.7751864858892</v>
      </c>
      <c r="M62" s="31">
        <f t="shared" si="1"/>
        <v>7.4423610131755265</v>
      </c>
      <c r="N62" s="60"/>
      <c r="O62" s="60"/>
      <c r="P62" s="2">
        <f t="shared" si="2"/>
        <v>0</v>
      </c>
      <c r="Q62" s="41">
        <v>42170</v>
      </c>
      <c r="R62" s="5">
        <f>VLOOKUP(Q62,Sentiment!$A$3:$B$199,2,FALSE)</f>
        <v>-5.6000000000000005</v>
      </c>
      <c r="S62" s="107">
        <v>1</v>
      </c>
      <c r="T62" s="57">
        <f>VLOOKUP(D62,'SE index'!$A$2:$G$4114,6,FALSE)</f>
        <v>-1.7718156544155841E-2</v>
      </c>
      <c r="U62" s="57">
        <f>VLOOKUP(D62,'SE index'!$A$2:$G$4114,7,FALSE)</f>
        <v>9.1475774681375969E-3</v>
      </c>
      <c r="V62" s="8" t="s">
        <v>401</v>
      </c>
      <c r="W62" s="5">
        <v>45</v>
      </c>
      <c r="X62" s="7">
        <v>38</v>
      </c>
      <c r="Y62" s="31">
        <v>45</v>
      </c>
      <c r="Z62" s="31">
        <v>38</v>
      </c>
      <c r="AA62" s="7">
        <f>IF(AC62="FIXED",0,IF(E62&gt;W62,1,0))</f>
        <v>0</v>
      </c>
      <c r="AB62" s="7">
        <f>IF(AC62="FIXED",0,IF(E62&lt;X62,1,0))</f>
        <v>0</v>
      </c>
      <c r="AC62" s="4" t="s">
        <v>73</v>
      </c>
      <c r="AD62" s="8" t="s">
        <v>10</v>
      </c>
      <c r="AE62" s="8">
        <f t="shared" si="3"/>
        <v>0</v>
      </c>
      <c r="AF62" s="58">
        <v>57518970</v>
      </c>
      <c r="AG62" s="58">
        <f>AF62*E62</f>
        <v>2588353650</v>
      </c>
      <c r="AH62" s="8" t="s">
        <v>567</v>
      </c>
      <c r="AI62" s="8">
        <v>1</v>
      </c>
      <c r="AJ62" s="8">
        <v>1</v>
      </c>
      <c r="AK62" s="29">
        <v>37622</v>
      </c>
      <c r="AL62" s="7">
        <f>LN(DATEDIF(AK62,D62,"y")+1)</f>
        <v>2.5649493574615367</v>
      </c>
      <c r="AM62" s="45">
        <f>DATEDIF(AK62,D62,"y")</f>
        <v>12</v>
      </c>
      <c r="AN62" s="8" t="s">
        <v>340</v>
      </c>
      <c r="AO62" s="35">
        <v>6000</v>
      </c>
      <c r="AP62" s="36">
        <f>IFERROR(VLOOKUP(AO62,'Tech SIC'!$A$2:$B$35,2,FALSE),0)</f>
        <v>0</v>
      </c>
      <c r="AQ62" s="8" t="s">
        <v>342</v>
      </c>
      <c r="AR62" s="8" t="s">
        <v>11</v>
      </c>
    </row>
    <row r="63" spans="1:66" ht="25" customHeight="1" x14ac:dyDescent="0.2">
      <c r="A63" s="76" t="s">
        <v>568</v>
      </c>
      <c r="B63" s="8" t="s">
        <v>570</v>
      </c>
      <c r="C63" s="29">
        <f>DATE(2015,6,17)</f>
        <v>42172</v>
      </c>
      <c r="D63" s="41">
        <v>42172</v>
      </c>
      <c r="E63" s="68">
        <v>93</v>
      </c>
      <c r="F63" s="4">
        <v>101.25</v>
      </c>
      <c r="G63" s="37">
        <f t="shared" si="0"/>
        <v>8.870967741935476E-2</v>
      </c>
      <c r="H63" s="57">
        <f>G63-VLOOKUP(D63,'SE index'!$A$2:$E$4114,5,FALSE)</f>
        <v>9.8088446927187461E-2</v>
      </c>
      <c r="I63" s="8">
        <v>1</v>
      </c>
      <c r="J63" s="41"/>
      <c r="K63" s="7">
        <v>377.7</v>
      </c>
      <c r="L63" s="31">
        <f>K63*'SE CPI'!$D$15</f>
        <v>381.65235210213746</v>
      </c>
      <c r="M63" s="31">
        <f t="shared" si="1"/>
        <v>5.9445101212076379</v>
      </c>
      <c r="N63" s="31"/>
      <c r="O63" s="31"/>
      <c r="P63" s="2">
        <f t="shared" si="2"/>
        <v>0</v>
      </c>
      <c r="Q63" s="41">
        <v>42170</v>
      </c>
      <c r="R63" s="5">
        <f>VLOOKUP(Q63,Sentiment!$A$3:$B$199,2,FALSE)</f>
        <v>-5.6000000000000005</v>
      </c>
      <c r="S63" s="106">
        <v>1</v>
      </c>
      <c r="T63" s="57">
        <f>VLOOKUP(D63,'SE index'!$A$2:$G$4114,6,FALSE)</f>
        <v>-1.7718156544155841E-2</v>
      </c>
      <c r="U63" s="57">
        <f>VLOOKUP(D63,'SE index'!$A$2:$G$4114,7,FALSE)</f>
        <v>9.1475774681375969E-3</v>
      </c>
      <c r="V63" s="8" t="s">
        <v>401</v>
      </c>
      <c r="W63" s="5">
        <v>95</v>
      </c>
      <c r="X63" s="7">
        <v>80</v>
      </c>
      <c r="Y63" s="31">
        <v>95</v>
      </c>
      <c r="Z63" s="31">
        <v>80</v>
      </c>
      <c r="AA63" s="7">
        <f>IF(AC63="FIXED",0,IF(E63&gt;W63,1,0))</f>
        <v>0</v>
      </c>
      <c r="AB63" s="7">
        <f>IF(AC63="FIXED",0,IF(E63&lt;X63,1,0))</f>
        <v>0</v>
      </c>
      <c r="AC63" s="4" t="s">
        <v>73</v>
      </c>
      <c r="AD63" s="8" t="s">
        <v>17</v>
      </c>
      <c r="AE63" s="8">
        <f t="shared" si="3"/>
        <v>0</v>
      </c>
      <c r="AF63" s="58">
        <v>23700000</v>
      </c>
      <c r="AG63" s="58">
        <f>AF63*E63</f>
        <v>2204100000</v>
      </c>
      <c r="AH63" s="8" t="s">
        <v>571</v>
      </c>
      <c r="AI63" s="8">
        <v>1</v>
      </c>
      <c r="AJ63" s="8">
        <v>1</v>
      </c>
      <c r="AK63" s="29">
        <v>17533</v>
      </c>
      <c r="AL63" s="7">
        <f>LN(DATEDIF(AK63,D63,"y")+1)</f>
        <v>4.219507705176107</v>
      </c>
      <c r="AM63" s="45">
        <f>DATEDIF(AK63,D63,"y")</f>
        <v>67</v>
      </c>
      <c r="AN63" s="8" t="s">
        <v>569</v>
      </c>
      <c r="AO63" s="35">
        <v>5082</v>
      </c>
      <c r="AP63" s="36">
        <f>IFERROR(VLOOKUP(AO63,'Tech SIC'!$A$2:$B$35,2,FALSE),0)</f>
        <v>0</v>
      </c>
      <c r="AQ63" s="8" t="s">
        <v>257</v>
      </c>
      <c r="AR63" s="8" t="s">
        <v>11</v>
      </c>
    </row>
    <row r="64" spans="1:66" ht="25" customHeight="1" x14ac:dyDescent="0.2">
      <c r="A64" s="76" t="s">
        <v>572</v>
      </c>
      <c r="B64" s="8" t="s">
        <v>574</v>
      </c>
      <c r="C64" s="29">
        <f>DATE(2015,6,18)</f>
        <v>42173</v>
      </c>
      <c r="D64" s="41">
        <v>42173</v>
      </c>
      <c r="E64" s="68">
        <v>34</v>
      </c>
      <c r="F64" s="4">
        <v>32</v>
      </c>
      <c r="G64" s="37">
        <f t="shared" si="0"/>
        <v>-5.8823529411764719E-2</v>
      </c>
      <c r="H64" s="57">
        <f>G64-VLOOKUP(D64,'SE index'!$A$2:$E$4114,5,FALSE)</f>
        <v>-5.5609356178601771E-2</v>
      </c>
      <c r="I64" s="8">
        <v>1</v>
      </c>
      <c r="J64" s="41"/>
      <c r="K64" s="7">
        <v>777.7</v>
      </c>
      <c r="L64" s="31">
        <f>K64*'SE CPI'!$D$15</f>
        <v>785.83805726722881</v>
      </c>
      <c r="M64" s="31">
        <f t="shared" si="1"/>
        <v>6.6667507371901245</v>
      </c>
      <c r="N64" s="31"/>
      <c r="O64" s="31"/>
      <c r="P64" s="2">
        <f t="shared" si="2"/>
        <v>0</v>
      </c>
      <c r="Q64" s="41">
        <v>42170</v>
      </c>
      <c r="R64" s="5">
        <f>VLOOKUP(Q64,Sentiment!$A$3:$B$199,2,FALSE)</f>
        <v>-5.6000000000000005</v>
      </c>
      <c r="S64" s="106">
        <v>1</v>
      </c>
      <c r="T64" s="57">
        <f>VLOOKUP(D64,'SE index'!$A$2:$G$4114,6,FALSE)</f>
        <v>-1.3824621674878438E-2</v>
      </c>
      <c r="U64" s="57">
        <f>VLOOKUP(D64,'SE index'!$A$2:$G$4114,7,FALSE)</f>
        <v>9.0792909323576983E-3</v>
      </c>
      <c r="V64" s="8" t="s">
        <v>401</v>
      </c>
      <c r="W64" s="5">
        <v>40</v>
      </c>
      <c r="X64" s="7">
        <v>33</v>
      </c>
      <c r="Y64" s="31">
        <v>40</v>
      </c>
      <c r="Z64" s="31">
        <v>33</v>
      </c>
      <c r="AA64" s="7">
        <f>IF(AC64="FIXED",0,IF(E64&gt;W64,1,0))</f>
        <v>0</v>
      </c>
      <c r="AB64" s="7">
        <f>IF(AC64="FIXED",0,IF(E64&lt;X64,1,0))</f>
        <v>0</v>
      </c>
      <c r="AC64" s="40" t="s">
        <v>73</v>
      </c>
      <c r="AD64" s="8" t="s">
        <v>17</v>
      </c>
      <c r="AE64" s="8">
        <f t="shared" si="3"/>
        <v>0</v>
      </c>
      <c r="AF64" s="58">
        <v>54899606</v>
      </c>
      <c r="AG64" s="58">
        <f>AF64*E64</f>
        <v>1866586604</v>
      </c>
      <c r="AH64" s="8" t="s">
        <v>575</v>
      </c>
      <c r="AI64" s="8">
        <v>0</v>
      </c>
      <c r="AJ64" s="8">
        <v>1</v>
      </c>
      <c r="AK64" s="29">
        <f>DATE(2011,1,1)</f>
        <v>40544</v>
      </c>
      <c r="AL64" s="7">
        <f>LN(DATEDIF(AK64,D64,"y")+1)</f>
        <v>1.6094379124341003</v>
      </c>
      <c r="AM64" s="45">
        <f>DATEDIF(AK64,D64,"y")</f>
        <v>4</v>
      </c>
      <c r="AN64" s="8" t="s">
        <v>573</v>
      </c>
      <c r="AO64" s="35">
        <v>4111</v>
      </c>
      <c r="AP64" s="36">
        <f>IFERROR(VLOOKUP(AO64,'Tech SIC'!$A$2:$B$35,2,FALSE),0)</f>
        <v>0</v>
      </c>
      <c r="AQ64" s="8" t="s">
        <v>55</v>
      </c>
      <c r="AR64" s="8" t="s">
        <v>11</v>
      </c>
    </row>
    <row r="65" spans="1:44" ht="25" customHeight="1" x14ac:dyDescent="0.2">
      <c r="A65" s="76" t="s">
        <v>576</v>
      </c>
      <c r="B65" s="8" t="s">
        <v>578</v>
      </c>
      <c r="C65" s="29">
        <f>DATE(2015,6,18)</f>
        <v>42173</v>
      </c>
      <c r="D65" s="41">
        <v>42173</v>
      </c>
      <c r="E65" s="68">
        <v>106</v>
      </c>
      <c r="F65" s="4">
        <v>107.1</v>
      </c>
      <c r="G65" s="37">
        <f t="shared" si="0"/>
        <v>1.037735849056598E-2</v>
      </c>
      <c r="H65" s="57">
        <f>G65-VLOOKUP(D65,'SE index'!$A$2:$E$4114,5,FALSE)</f>
        <v>1.3591531723728926E-2</v>
      </c>
      <c r="I65" s="8">
        <v>1</v>
      </c>
      <c r="J65" s="41"/>
      <c r="K65" s="7">
        <v>3084.5</v>
      </c>
      <c r="L65" s="31">
        <f>K65*'SE CPI'!$D$15</f>
        <v>3116.7770189543103</v>
      </c>
      <c r="M65" s="31">
        <f t="shared" si="1"/>
        <v>8.0445547401389206</v>
      </c>
      <c r="N65" s="60"/>
      <c r="O65" s="60"/>
      <c r="P65" s="2">
        <f t="shared" si="2"/>
        <v>0</v>
      </c>
      <c r="Q65" s="41">
        <v>42170</v>
      </c>
      <c r="R65" s="5">
        <f>VLOOKUP(Q65,Sentiment!$A$3:$B$199,2,FALSE)</f>
        <v>-5.6000000000000005</v>
      </c>
      <c r="S65" s="107">
        <v>1</v>
      </c>
      <c r="T65" s="57">
        <f>VLOOKUP(D65,'SE index'!$A$2:$G$4114,6,FALSE)</f>
        <v>-1.3824621674878438E-2</v>
      </c>
      <c r="U65" s="57">
        <f>VLOOKUP(D65,'SE index'!$A$2:$G$4114,7,FALSE)</f>
        <v>9.0792909323576983E-3</v>
      </c>
      <c r="V65" s="8" t="s">
        <v>401</v>
      </c>
      <c r="W65" s="5">
        <v>110</v>
      </c>
      <c r="X65" s="7">
        <v>100</v>
      </c>
      <c r="Y65" s="31">
        <v>110</v>
      </c>
      <c r="Z65" s="31">
        <v>100</v>
      </c>
      <c r="AA65" s="7">
        <f>IF(AC65="FIXED",0,IF(E65&gt;W65,1,0))</f>
        <v>0</v>
      </c>
      <c r="AB65" s="7">
        <f>IF(AC65="FIXED",0,IF(E65&lt;X65,1,0))</f>
        <v>0</v>
      </c>
      <c r="AC65" s="4" t="s">
        <v>73</v>
      </c>
      <c r="AD65" s="8" t="s">
        <v>17</v>
      </c>
      <c r="AE65" s="8">
        <f t="shared" si="3"/>
        <v>0</v>
      </c>
      <c r="AF65" s="58">
        <v>52173914</v>
      </c>
      <c r="AG65" s="58">
        <f>AF65*E65</f>
        <v>5530434884</v>
      </c>
      <c r="AH65" s="8" t="s">
        <v>579</v>
      </c>
      <c r="AI65" s="8">
        <v>1</v>
      </c>
      <c r="AJ65" s="8">
        <v>0</v>
      </c>
      <c r="AK65" s="29">
        <f>DATE(1995,1,1)</f>
        <v>34700</v>
      </c>
      <c r="AL65" s="7">
        <f>LN(DATEDIF(AK65,D65,"y")+1)</f>
        <v>3.044522437723423</v>
      </c>
      <c r="AM65" s="45">
        <f>DATEDIF(AK65,D65,"y")</f>
        <v>20</v>
      </c>
      <c r="AN65" s="8" t="s">
        <v>577</v>
      </c>
      <c r="AO65" s="35">
        <v>7011</v>
      </c>
      <c r="AP65" s="36">
        <f>IFERROR(VLOOKUP(AO65,'Tech SIC'!$A$2:$B$35,2,FALSE),0)</f>
        <v>0</v>
      </c>
      <c r="AQ65" s="8" t="s">
        <v>164</v>
      </c>
      <c r="AR65" s="8" t="s">
        <v>11</v>
      </c>
    </row>
    <row r="66" spans="1:44" ht="25" customHeight="1" x14ac:dyDescent="0.2">
      <c r="A66" s="76" t="s">
        <v>580</v>
      </c>
      <c r="B66" s="8" t="s">
        <v>582</v>
      </c>
      <c r="C66" s="29">
        <f>DATE(2015,6,30)</f>
        <v>42185</v>
      </c>
      <c r="D66" s="41">
        <v>42185</v>
      </c>
      <c r="E66" s="68">
        <v>48.5</v>
      </c>
      <c r="F66" s="4">
        <v>48.5</v>
      </c>
      <c r="G66" s="37">
        <f t="shared" ref="G66:G129" si="4">((F66/E66)-1)</f>
        <v>0</v>
      </c>
      <c r="H66" s="57">
        <f>G66-VLOOKUP(D66,'SE index'!$A$2:$E$4114,5,FALSE)</f>
        <v>1.1697849951655908E-2</v>
      </c>
      <c r="I66" s="8">
        <v>1</v>
      </c>
      <c r="J66" s="41"/>
      <c r="K66" s="7">
        <v>1444.8</v>
      </c>
      <c r="L66" s="31">
        <f>K66*'SE CPI'!$D$15</f>
        <v>1459.9187670563099</v>
      </c>
      <c r="M66" s="31">
        <f t="shared" ref="M66:M129" si="5">LN(L66)</f>
        <v>7.2861360741519476</v>
      </c>
      <c r="N66" s="60"/>
      <c r="O66" s="60"/>
      <c r="P66" s="2">
        <f t="shared" ref="P66:P129" si="6">IF(D66=C66,0,1)</f>
        <v>0</v>
      </c>
      <c r="Q66" s="41">
        <v>42170</v>
      </c>
      <c r="R66" s="5">
        <f>VLOOKUP(Q66,Sentiment!$A$3:$B$199,2,FALSE)</f>
        <v>-5.6000000000000005</v>
      </c>
      <c r="S66" s="107">
        <v>1</v>
      </c>
      <c r="T66" s="57">
        <f>VLOOKUP(D66,'SE index'!$A$2:$G$4114,6,FALSE)</f>
        <v>-5.1151554000238651E-2</v>
      </c>
      <c r="U66" s="57">
        <f>VLOOKUP(D66,'SE index'!$A$2:$G$4114,7,FALSE)</f>
        <v>1.1273180212454968E-2</v>
      </c>
      <c r="V66" s="8" t="s">
        <v>401</v>
      </c>
      <c r="X66" s="7"/>
      <c r="Y66" s="31"/>
      <c r="Z66" s="31"/>
      <c r="AA66" s="7">
        <v>0</v>
      </c>
      <c r="AB66" s="7">
        <v>0</v>
      </c>
      <c r="AC66" s="40" t="s">
        <v>10</v>
      </c>
      <c r="AD66" s="8" t="s">
        <v>10</v>
      </c>
      <c r="AE66" s="8">
        <f t="shared" ref="AE66:AE129" si="7">IF(AC66="FIXED",1,0)</f>
        <v>1</v>
      </c>
      <c r="AF66" s="58">
        <v>48122611</v>
      </c>
      <c r="AG66" s="58">
        <f>AF66*E66</f>
        <v>2333946633.5</v>
      </c>
      <c r="AH66" s="8" t="s">
        <v>583</v>
      </c>
      <c r="AI66" s="8">
        <v>1</v>
      </c>
      <c r="AJ66" s="8">
        <v>1</v>
      </c>
      <c r="AK66" s="29">
        <f>DATE(1994,1,1)</f>
        <v>34335</v>
      </c>
      <c r="AL66" s="7">
        <f>LN(DATEDIF(AK66,D66,"y")+1)</f>
        <v>3.0910424533583161</v>
      </c>
      <c r="AM66" s="45">
        <f>DATEDIF(AK66,D66,"y")</f>
        <v>21</v>
      </c>
      <c r="AN66" s="8" t="s">
        <v>581</v>
      </c>
      <c r="AO66" s="35">
        <v>8062</v>
      </c>
      <c r="AP66" s="36">
        <f>IFERROR(VLOOKUP(AO66,'Tech SIC'!$A$2:$B$35,2,FALSE),0)</f>
        <v>0</v>
      </c>
      <c r="AQ66" s="8" t="s">
        <v>374</v>
      </c>
      <c r="AR66" s="8" t="s">
        <v>11</v>
      </c>
    </row>
    <row r="67" spans="1:44" ht="25" customHeight="1" x14ac:dyDescent="0.2">
      <c r="A67" s="76" t="s">
        <v>584</v>
      </c>
      <c r="B67" s="8" t="s">
        <v>586</v>
      </c>
      <c r="C67" s="29">
        <f>DATE(2015,10,8)</f>
        <v>42285</v>
      </c>
      <c r="D67" s="41">
        <v>42285</v>
      </c>
      <c r="E67" s="68">
        <v>59</v>
      </c>
      <c r="F67" s="4">
        <v>75</v>
      </c>
      <c r="G67" s="37">
        <f t="shared" si="4"/>
        <v>0.27118644067796605</v>
      </c>
      <c r="H67" s="57">
        <f>G67-VLOOKUP(D67,'SE index'!$A$2:$E$4114,5,FALSE)</f>
        <v>0.26262818511589175</v>
      </c>
      <c r="I67" s="8">
        <v>1</v>
      </c>
      <c r="J67" s="41"/>
      <c r="K67" s="7">
        <v>40.5</v>
      </c>
      <c r="L67" s="31">
        <f>K67*'SE CPI'!$D$15</f>
        <v>40.923802647965495</v>
      </c>
      <c r="M67" s="31">
        <f t="shared" si="5"/>
        <v>3.7117118656017203</v>
      </c>
      <c r="N67" s="31"/>
      <c r="O67" s="31"/>
      <c r="P67" s="2">
        <f t="shared" si="6"/>
        <v>0</v>
      </c>
      <c r="Q67" s="41">
        <v>42292</v>
      </c>
      <c r="R67" s="5">
        <f>VLOOKUP(Q67,Sentiment!$A$3:$B$199,2,FALSE)</f>
        <v>-7.6000000000000005</v>
      </c>
      <c r="S67" s="107">
        <v>1</v>
      </c>
      <c r="T67" s="57">
        <f>VLOOKUP(D67,'SE index'!$A$2:$G$4114,6,FALSE)</f>
        <v>-2.5862900399823131E-2</v>
      </c>
      <c r="U67" s="57">
        <f>VLOOKUP(D67,'SE index'!$A$2:$G$4114,7,FALSE)</f>
        <v>1.537860657973673E-2</v>
      </c>
      <c r="V67" s="8" t="s">
        <v>401</v>
      </c>
      <c r="W67" s="5">
        <v>59</v>
      </c>
      <c r="X67" s="7">
        <v>54</v>
      </c>
      <c r="Y67" s="31">
        <v>59</v>
      </c>
      <c r="Z67" s="31">
        <v>54</v>
      </c>
      <c r="AA67" s="7">
        <f>IF(AC67="FIXED",0,IF(E67&gt;W67,1,0))</f>
        <v>0</v>
      </c>
      <c r="AB67" s="7">
        <f>IF(AC67="FIXED",0,IF(E67&lt;X67,1,0))</f>
        <v>0</v>
      </c>
      <c r="AC67" s="4" t="s">
        <v>73</v>
      </c>
      <c r="AD67" s="8" t="s">
        <v>17</v>
      </c>
      <c r="AE67" s="8">
        <f t="shared" si="7"/>
        <v>0</v>
      </c>
      <c r="AF67" s="58">
        <v>12545711</v>
      </c>
      <c r="AG67" s="58">
        <f>AF67*E67</f>
        <v>740196949</v>
      </c>
      <c r="AH67" s="8" t="s">
        <v>587</v>
      </c>
      <c r="AI67" s="8">
        <v>0</v>
      </c>
      <c r="AJ67" s="8">
        <v>1</v>
      </c>
      <c r="AK67" s="29">
        <f>DATE(2009,1,1)</f>
        <v>39814</v>
      </c>
      <c r="AL67" s="7">
        <f>LN(DATEDIF(AK67,D67,"y")+1)</f>
        <v>1.9459101490553132</v>
      </c>
      <c r="AM67" s="45">
        <f>DATEDIF(AK67,D67,"y")</f>
        <v>6</v>
      </c>
      <c r="AN67" s="8" t="s">
        <v>585</v>
      </c>
      <c r="AO67" s="35">
        <v>4812</v>
      </c>
      <c r="AP67" s="36">
        <f>IFERROR(VLOOKUP(AO67,'Tech SIC'!$A$2:$B$35,2,FALSE),0)</f>
        <v>1</v>
      </c>
      <c r="AQ67" s="8" t="s">
        <v>68</v>
      </c>
      <c r="AR67" s="8" t="s">
        <v>11</v>
      </c>
    </row>
    <row r="68" spans="1:44" ht="25" customHeight="1" x14ac:dyDescent="0.2">
      <c r="A68" s="76" t="s">
        <v>588</v>
      </c>
      <c r="B68" s="8" t="s">
        <v>590</v>
      </c>
      <c r="C68" s="29">
        <f>DATE(2015,10,16)</f>
        <v>42293</v>
      </c>
      <c r="D68" s="41">
        <v>42293</v>
      </c>
      <c r="E68" s="68">
        <v>40</v>
      </c>
      <c r="F68" s="4">
        <v>43</v>
      </c>
      <c r="G68" s="37">
        <f t="shared" si="4"/>
        <v>7.4999999999999956E-2</v>
      </c>
      <c r="H68" s="57">
        <f>G68-VLOOKUP(D68,'SE index'!$A$2:$E$4114,5,FALSE)</f>
        <v>7.6039147029573081E-2</v>
      </c>
      <c r="I68" s="8">
        <v>1</v>
      </c>
      <c r="J68" s="41"/>
      <c r="K68" s="7">
        <v>1367.1</v>
      </c>
      <c r="L68" s="31">
        <f>K68*'SE CPI'!$D$15</f>
        <v>1381.4056938279907</v>
      </c>
      <c r="M68" s="31">
        <f t="shared" si="5"/>
        <v>7.230856878427173</v>
      </c>
      <c r="N68" s="60"/>
      <c r="O68" s="60"/>
      <c r="P68" s="2">
        <f t="shared" si="6"/>
        <v>0</v>
      </c>
      <c r="Q68" s="41">
        <v>42292</v>
      </c>
      <c r="R68" s="5">
        <f>VLOOKUP(Q68,Sentiment!$A$3:$B$199,2,FALSE)</f>
        <v>-7.6000000000000005</v>
      </c>
      <c r="S68" s="106">
        <v>1</v>
      </c>
      <c r="T68" s="57">
        <f>VLOOKUP(D68,'SE index'!$A$2:$G$4114,6,FALSE)</f>
        <v>-6.2461164969530442E-3</v>
      </c>
      <c r="U68" s="57">
        <f>VLOOKUP(D68,'SE index'!$A$2:$G$4114,7,FALSE)</f>
        <v>1.4277365283361284E-2</v>
      </c>
      <c r="V68" s="8" t="s">
        <v>401</v>
      </c>
      <c r="W68" s="5">
        <v>44</v>
      </c>
      <c r="X68" s="7">
        <v>36</v>
      </c>
      <c r="Y68" s="31">
        <v>44</v>
      </c>
      <c r="Z68" s="31">
        <v>36</v>
      </c>
      <c r="AA68" s="7">
        <f>IF(AC68="FIXED",0,IF(E68&gt;W68,1,0))</f>
        <v>0</v>
      </c>
      <c r="AB68" s="7">
        <f>IF(AC68="FIXED",0,IF(E68&lt;X68,1,0))</f>
        <v>0</v>
      </c>
      <c r="AC68" s="40" t="s">
        <v>73</v>
      </c>
      <c r="AD68" s="8" t="s">
        <v>10</v>
      </c>
      <c r="AE68" s="8">
        <f t="shared" si="7"/>
        <v>0</v>
      </c>
      <c r="AF68" s="58">
        <v>70548309</v>
      </c>
      <c r="AG68" s="58">
        <f>AF68*E68</f>
        <v>2821932360</v>
      </c>
      <c r="AH68" s="8" t="s">
        <v>591</v>
      </c>
      <c r="AI68" s="8">
        <v>1</v>
      </c>
      <c r="AJ68" s="8">
        <v>1</v>
      </c>
      <c r="AK68" s="29">
        <v>40909</v>
      </c>
      <c r="AL68" s="7">
        <f>LN(DATEDIF(AK68,D68,"y")+1)</f>
        <v>1.3862943611198906</v>
      </c>
      <c r="AM68" s="45">
        <f>DATEDIF(AK68,D68,"y")</f>
        <v>3</v>
      </c>
      <c r="AN68" s="8" t="s">
        <v>589</v>
      </c>
      <c r="AO68" s="35">
        <v>1731</v>
      </c>
      <c r="AP68" s="36">
        <f>IFERROR(VLOOKUP(AO68,'Tech SIC'!$A$2:$B$35,2,FALSE),0)</f>
        <v>0</v>
      </c>
      <c r="AQ68" s="8" t="s">
        <v>227</v>
      </c>
      <c r="AR68" s="8" t="s">
        <v>11</v>
      </c>
    </row>
    <row r="69" spans="1:44" ht="25" customHeight="1" x14ac:dyDescent="0.2">
      <c r="A69" s="79" t="s">
        <v>592</v>
      </c>
      <c r="B69" s="8" t="s">
        <v>593</v>
      </c>
      <c r="C69" s="29">
        <v>42300</v>
      </c>
      <c r="D69" s="41">
        <v>42300</v>
      </c>
      <c r="E69" s="56">
        <v>4.0599999999999996</v>
      </c>
      <c r="F69" s="4">
        <v>3.9</v>
      </c>
      <c r="G69" s="37">
        <f t="shared" si="4"/>
        <v>-3.9408866995073843E-2</v>
      </c>
      <c r="H69" s="57">
        <f>G69-VLOOKUP(D69,'SE index'!$A$2:$E$4114,5,FALSE)</f>
        <v>-5.4199879727712133E-2</v>
      </c>
      <c r="I69" s="8">
        <v>1</v>
      </c>
      <c r="J69" s="41"/>
      <c r="K69" s="7">
        <v>56.9</v>
      </c>
      <c r="L69" s="31">
        <f>K69*'SE CPI'!$D$15</f>
        <v>57.495416559734238</v>
      </c>
      <c r="M69" s="31">
        <f t="shared" si="5"/>
        <v>4.0517052326215124</v>
      </c>
      <c r="N69" s="31"/>
      <c r="O69" s="31"/>
      <c r="P69" s="2">
        <f t="shared" si="6"/>
        <v>0</v>
      </c>
      <c r="Q69" s="41">
        <v>42292</v>
      </c>
      <c r="R69" s="5">
        <f>VLOOKUP(Q69,Sentiment!$A$3:$B$199,2,FALSE)</f>
        <v>-7.6000000000000005</v>
      </c>
      <c r="S69" s="106">
        <v>1</v>
      </c>
      <c r="T69" s="37">
        <f>VLOOKUP(D69,'SE index'!$A$2:$G$4114,6,FALSE)</f>
        <v>1.2140382833808224E-2</v>
      </c>
      <c r="U69" s="57">
        <f>VLOOKUP(D69,'SE index'!$A$2:$G$4114,7,FALSE)</f>
        <v>1.4788715448863593E-2</v>
      </c>
      <c r="V69" s="8" t="s">
        <v>401</v>
      </c>
      <c r="W69" s="5">
        <v>6.7</v>
      </c>
      <c r="X69" s="7">
        <v>4.7</v>
      </c>
      <c r="Y69" s="31">
        <v>6.7</v>
      </c>
      <c r="Z69" s="31">
        <v>4.7</v>
      </c>
      <c r="AA69" s="7">
        <f>IF(AC69="FIXED",0,IF(E69&gt;W69,1,0))</f>
        <v>0</v>
      </c>
      <c r="AB69" s="7">
        <f>IF(AC69="FIXED",0,IF(E69&lt;X69,1,0))</f>
        <v>1</v>
      </c>
      <c r="AC69" s="40" t="s">
        <v>73</v>
      </c>
      <c r="AD69" s="8" t="s">
        <v>17</v>
      </c>
      <c r="AE69" s="8">
        <f t="shared" si="7"/>
        <v>0</v>
      </c>
      <c r="AF69" s="58">
        <v>2339200</v>
      </c>
      <c r="AG69" s="58">
        <f>AF69*E69</f>
        <v>9497152</v>
      </c>
      <c r="AH69" s="8" t="s">
        <v>594</v>
      </c>
      <c r="AI69" s="8">
        <v>0</v>
      </c>
      <c r="AJ69" s="8">
        <v>0</v>
      </c>
      <c r="AK69" s="29">
        <v>35796</v>
      </c>
      <c r="AL69" s="7">
        <f>LN(DATEDIF(AK69,D69,"y")+1)</f>
        <v>2.8903717578961645</v>
      </c>
      <c r="AM69" s="45">
        <f>DATEDIF(AK69,D69,"y")</f>
        <v>17</v>
      </c>
      <c r="AN69" s="8" t="s">
        <v>229</v>
      </c>
      <c r="AO69" s="35">
        <v>2834</v>
      </c>
      <c r="AP69" s="36">
        <f>IFERROR(VLOOKUP(AO69,'Tech SIC'!$A$2:$B$35,2,FALSE),0)</f>
        <v>0</v>
      </c>
      <c r="AQ69" s="8" t="s">
        <v>15</v>
      </c>
      <c r="AR69" s="8" t="s">
        <v>11</v>
      </c>
    </row>
    <row r="70" spans="1:44" ht="25" customHeight="1" x14ac:dyDescent="0.2">
      <c r="A70" s="76" t="s">
        <v>595</v>
      </c>
      <c r="B70" s="8" t="s">
        <v>597</v>
      </c>
      <c r="C70" s="29">
        <v>42333</v>
      </c>
      <c r="D70" s="41">
        <v>42333</v>
      </c>
      <c r="E70" s="68">
        <v>48</v>
      </c>
      <c r="F70" s="4">
        <v>55.4</v>
      </c>
      <c r="G70" s="37">
        <f t="shared" si="4"/>
        <v>0.15416666666666656</v>
      </c>
      <c r="H70" s="57">
        <f>G70-VLOOKUP(D70,'SE index'!$A$2:$E$4114,5,FALSE)</f>
        <v>0.14239518725074937</v>
      </c>
      <c r="I70" s="8">
        <v>1</v>
      </c>
      <c r="J70" s="41"/>
      <c r="K70" s="7">
        <v>2271.4</v>
      </c>
      <c r="L70" s="31">
        <f>K70*'SE CPI'!$D$15</f>
        <v>2295.1685267799712</v>
      </c>
      <c r="M70" s="31">
        <f t="shared" si="5"/>
        <v>7.7385615519467725</v>
      </c>
      <c r="N70" s="60"/>
      <c r="O70" s="60"/>
      <c r="P70" s="2">
        <f t="shared" si="6"/>
        <v>0</v>
      </c>
      <c r="Q70" s="41">
        <v>42323</v>
      </c>
      <c r="R70" s="5">
        <f>VLOOKUP(Q70,Sentiment!$A$3:$B$199,2,FALSE)</f>
        <v>-6</v>
      </c>
      <c r="S70" s="106">
        <v>1</v>
      </c>
      <c r="T70" s="57">
        <f>VLOOKUP(D70,'SE index'!$A$2:$G$4114,6,FALSE)</f>
        <v>4.3251340696002998E-2</v>
      </c>
      <c r="U70" s="57">
        <f>VLOOKUP(D70,'SE index'!$A$2:$G$4114,7,FALSE)</f>
        <v>1.0059699212794558E-2</v>
      </c>
      <c r="V70" s="8" t="s">
        <v>401</v>
      </c>
      <c r="W70" s="5">
        <v>52</v>
      </c>
      <c r="X70" s="7">
        <v>43</v>
      </c>
      <c r="Y70" s="31">
        <v>52</v>
      </c>
      <c r="Z70" s="31">
        <v>43</v>
      </c>
      <c r="AA70" s="7">
        <f>IF(AC70="FIXED",0,IF(E70&gt;W70,1,0))</f>
        <v>0</v>
      </c>
      <c r="AB70" s="7">
        <f>IF(AC70="FIXED",0,IF(E70&lt;X70,1,0))</f>
        <v>0</v>
      </c>
      <c r="AC70" s="40" t="s">
        <v>73</v>
      </c>
      <c r="AD70" s="8" t="s">
        <v>17</v>
      </c>
      <c r="AE70" s="8">
        <f t="shared" si="7"/>
        <v>0</v>
      </c>
      <c r="AF70" s="58">
        <v>97756603</v>
      </c>
      <c r="AG70" s="58">
        <f>AF70*E70</f>
        <v>4692316944</v>
      </c>
      <c r="AH70" s="8" t="s">
        <v>598</v>
      </c>
      <c r="AI70" s="8">
        <v>1</v>
      </c>
      <c r="AJ70" s="8">
        <v>1</v>
      </c>
      <c r="AK70" s="29">
        <v>8037</v>
      </c>
      <c r="AL70" s="7">
        <f>LN(DATEDIF(AK70,D70,"y")+1)</f>
        <v>4.5432947822700038</v>
      </c>
      <c r="AM70" s="45">
        <f>DATEDIF(AK70,D70,"y")</f>
        <v>93</v>
      </c>
      <c r="AN70" s="8" t="s">
        <v>596</v>
      </c>
      <c r="AO70" s="35">
        <v>3634</v>
      </c>
      <c r="AP70" s="36">
        <f>IFERROR(VLOOKUP(AO70,'Tech SIC'!$A$2:$B$35,2,FALSE),0)</f>
        <v>0</v>
      </c>
      <c r="AQ70" s="8" t="s">
        <v>15</v>
      </c>
      <c r="AR70" s="8" t="s">
        <v>11</v>
      </c>
    </row>
    <row r="71" spans="1:44" ht="25" customHeight="1" x14ac:dyDescent="0.2">
      <c r="A71" s="76" t="s">
        <v>599</v>
      </c>
      <c r="B71" s="8" t="s">
        <v>601</v>
      </c>
      <c r="C71" s="29">
        <v>42338</v>
      </c>
      <c r="D71" s="41">
        <v>42338</v>
      </c>
      <c r="E71" s="68">
        <v>50</v>
      </c>
      <c r="F71" s="4">
        <v>70</v>
      </c>
      <c r="G71" s="37">
        <f t="shared" si="4"/>
        <v>0.39999999999999991</v>
      </c>
      <c r="H71" s="57">
        <f>G71-VLOOKUP(D71,'SE index'!$A$2:$E$4114,5,FALSE)</f>
        <v>0.3908110731604878</v>
      </c>
      <c r="I71" s="8">
        <v>1</v>
      </c>
      <c r="J71" s="41">
        <v>42336</v>
      </c>
      <c r="K71" s="7">
        <f>N71/(VLOOKUP(J71,'SE FX'!$A$3:$B$199,2,FALSE))</f>
        <v>1.1104103840111912</v>
      </c>
      <c r="L71" s="31">
        <f>K71*'SE CPI'!$D$15</f>
        <v>1.1220300102105079</v>
      </c>
      <c r="M71" s="31">
        <f t="shared" si="5"/>
        <v>0.11513955381099694</v>
      </c>
      <c r="N71" s="8">
        <v>9.6839999999999993</v>
      </c>
      <c r="O71" s="8" t="s">
        <v>797</v>
      </c>
      <c r="P71" s="2">
        <f t="shared" si="6"/>
        <v>0</v>
      </c>
      <c r="Q71" s="41">
        <v>42323</v>
      </c>
      <c r="R71" s="5">
        <f>VLOOKUP(Q71,Sentiment!$A$3:$B$199,2,FALSE)</f>
        <v>-6</v>
      </c>
      <c r="S71" s="107">
        <v>1</v>
      </c>
      <c r="T71" s="57">
        <f>VLOOKUP(D71,'SE index'!$A$2:$G$4114,6,FALSE)</f>
        <v>5.2148552692539735E-2</v>
      </c>
      <c r="U71" s="57">
        <f>VLOOKUP(D71,'SE index'!$A$2:$G$4114,7,FALSE)</f>
        <v>1.0211818624517787E-2</v>
      </c>
      <c r="V71" s="8" t="s">
        <v>401</v>
      </c>
      <c r="X71" s="7"/>
      <c r="Y71" s="31"/>
      <c r="Z71" s="31"/>
      <c r="AA71" s="7">
        <v>0</v>
      </c>
      <c r="AB71" s="7">
        <v>0</v>
      </c>
      <c r="AC71" s="40" t="s">
        <v>10</v>
      </c>
      <c r="AD71" s="8" t="s">
        <v>10</v>
      </c>
      <c r="AE71" s="8">
        <f t="shared" si="7"/>
        <v>1</v>
      </c>
      <c r="AF71" s="58">
        <v>72000000</v>
      </c>
      <c r="AG71" s="58">
        <f>AF71*E71</f>
        <v>3600000000</v>
      </c>
      <c r="AH71" s="8" t="s">
        <v>602</v>
      </c>
      <c r="AI71" s="8">
        <v>0</v>
      </c>
      <c r="AJ71" s="8">
        <v>1</v>
      </c>
      <c r="AK71" s="29">
        <v>32143</v>
      </c>
      <c r="AL71" s="7">
        <f>LN(DATEDIF(AK71,D71,"y")+1)</f>
        <v>3.3322045101752038</v>
      </c>
      <c r="AM71" s="45">
        <f>DATEDIF(AK71,D71,"y")</f>
        <v>27</v>
      </c>
      <c r="AN71" s="8" t="s">
        <v>600</v>
      </c>
      <c r="AO71" s="35">
        <v>8051</v>
      </c>
      <c r="AP71" s="36">
        <f>IFERROR(VLOOKUP(AO71,'Tech SIC'!$A$2:$B$35,2,FALSE),0)</f>
        <v>0</v>
      </c>
      <c r="AQ71" s="8" t="s">
        <v>374</v>
      </c>
      <c r="AR71" s="8" t="s">
        <v>11</v>
      </c>
    </row>
    <row r="72" spans="1:44" ht="25" customHeight="1" x14ac:dyDescent="0.2">
      <c r="A72" s="79" t="s">
        <v>603</v>
      </c>
      <c r="B72" s="8" t="s">
        <v>604</v>
      </c>
      <c r="C72" s="29">
        <v>42340</v>
      </c>
      <c r="D72" s="41">
        <v>42340</v>
      </c>
      <c r="E72" s="68">
        <v>67</v>
      </c>
      <c r="F72" s="4">
        <v>63.75</v>
      </c>
      <c r="G72" s="37">
        <f t="shared" si="4"/>
        <v>-4.8507462686567138E-2</v>
      </c>
      <c r="H72" s="57">
        <f>G72-VLOOKUP(D72,'SE index'!$A$2:$E$4114,5,FALSE)</f>
        <v>-5.0693869334885983E-2</v>
      </c>
      <c r="I72" s="8">
        <v>1</v>
      </c>
      <c r="J72" s="41"/>
      <c r="K72" s="7">
        <v>1654.8</v>
      </c>
      <c r="L72" s="31">
        <f>K72*'SE CPI'!$D$15</f>
        <v>1672.1162622679826</v>
      </c>
      <c r="M72" s="31">
        <f t="shared" si="5"/>
        <v>7.4218453260764834</v>
      </c>
      <c r="N72" s="60"/>
      <c r="O72" s="60"/>
      <c r="P72" s="2">
        <f t="shared" si="6"/>
        <v>0</v>
      </c>
      <c r="Q72" s="41">
        <v>42353</v>
      </c>
      <c r="R72" s="5">
        <f>VLOOKUP(Q72,Sentiment!$A$3:$B$199,2,FALSE)</f>
        <v>-5.8</v>
      </c>
      <c r="S72" s="106">
        <v>1</v>
      </c>
      <c r="T72" s="57">
        <f>VLOOKUP(D72,'SE index'!$A$2:$G$4114,6,FALSE)</f>
        <v>5.4790055638444669E-2</v>
      </c>
      <c r="U72" s="57">
        <f>VLOOKUP(D72,'SE index'!$A$2:$G$4114,7,FALSE)</f>
        <v>9.995798830906677E-3</v>
      </c>
      <c r="V72" s="8" t="s">
        <v>401</v>
      </c>
      <c r="W72" s="5">
        <v>81</v>
      </c>
      <c r="X72" s="7">
        <v>66</v>
      </c>
      <c r="Y72" s="31">
        <v>67</v>
      </c>
      <c r="Z72" s="31">
        <v>67</v>
      </c>
      <c r="AA72" s="7">
        <f>IF(AC72="FIXED",0,IF(E72&gt;W72,1,0))</f>
        <v>0</v>
      </c>
      <c r="AB72" s="7">
        <f>IF(AC72="FIXED",0,IF(E72&lt;X72,1,0))</f>
        <v>0</v>
      </c>
      <c r="AC72" s="4" t="s">
        <v>73</v>
      </c>
      <c r="AD72" s="8" t="s">
        <v>10</v>
      </c>
      <c r="AE72" s="8">
        <f t="shared" si="7"/>
        <v>0</v>
      </c>
      <c r="AF72" s="58">
        <v>45074628</v>
      </c>
      <c r="AG72" s="58">
        <f>AF72*E72</f>
        <v>3020000076</v>
      </c>
      <c r="AH72" s="8" t="s">
        <v>605</v>
      </c>
      <c r="AI72" s="8">
        <v>1</v>
      </c>
      <c r="AJ72" s="8">
        <v>1</v>
      </c>
      <c r="AK72" s="29">
        <v>23012</v>
      </c>
      <c r="AL72" s="7">
        <f>LN(DATEDIF(AK72,D72,"y")+1)</f>
        <v>3.970291913552122</v>
      </c>
      <c r="AM72" s="45">
        <f>DATEDIF(AK72,D72,"y")</f>
        <v>52</v>
      </c>
      <c r="AN72" s="8" t="s">
        <v>577</v>
      </c>
      <c r="AO72" s="35">
        <v>7011</v>
      </c>
      <c r="AP72" s="36">
        <f>IFERROR(VLOOKUP(AO72,'Tech SIC'!$A$2:$B$35,2,FALSE),0)</f>
        <v>0</v>
      </c>
      <c r="AQ72" s="8" t="s">
        <v>164</v>
      </c>
      <c r="AR72" s="8" t="s">
        <v>11</v>
      </c>
    </row>
    <row r="73" spans="1:44" ht="25" customHeight="1" x14ac:dyDescent="0.2">
      <c r="A73" s="76" t="s">
        <v>606</v>
      </c>
      <c r="B73" s="8" t="s">
        <v>607</v>
      </c>
      <c r="C73" s="29">
        <v>42341</v>
      </c>
      <c r="D73" s="41">
        <v>42341</v>
      </c>
      <c r="E73" s="68">
        <v>57</v>
      </c>
      <c r="F73" s="4">
        <v>66</v>
      </c>
      <c r="G73" s="37">
        <f t="shared" si="4"/>
        <v>0.15789473684210531</v>
      </c>
      <c r="H73" s="57">
        <f>G73-VLOOKUP(D73,'SE index'!$A$2:$E$4114,5,FALSE)</f>
        <v>0.17861820496658315</v>
      </c>
      <c r="I73" s="8">
        <v>1</v>
      </c>
      <c r="J73" s="41"/>
      <c r="K73" s="7">
        <v>21.8</v>
      </c>
      <c r="L73" s="31">
        <f>K73*'SE CPI'!$D$15</f>
        <v>22.028120931497476</v>
      </c>
      <c r="M73" s="31">
        <f t="shared" si="5"/>
        <v>3.0923198612842704</v>
      </c>
      <c r="N73" s="31"/>
      <c r="O73" s="31"/>
      <c r="P73" s="2">
        <f t="shared" si="6"/>
        <v>0</v>
      </c>
      <c r="Q73" s="41">
        <v>42353</v>
      </c>
      <c r="R73" s="5">
        <f>VLOOKUP(Q73,Sentiment!$A$3:$B$199,2,FALSE)</f>
        <v>-5.8</v>
      </c>
      <c r="S73" s="107">
        <v>1</v>
      </c>
      <c r="T73" s="57">
        <f>VLOOKUP(D73,'SE index'!$A$2:$G$4114,6,FALSE)</f>
        <v>1.2012679273793242E-2</v>
      </c>
      <c r="U73" s="57">
        <f>VLOOKUP(D73,'SE index'!$A$2:$G$4114,7,FALSE)</f>
        <v>1.0061716371706352E-2</v>
      </c>
      <c r="V73" s="8" t="s">
        <v>401</v>
      </c>
      <c r="W73" s="5">
        <v>61</v>
      </c>
      <c r="X73" s="7">
        <v>51</v>
      </c>
      <c r="Y73" s="31">
        <v>57</v>
      </c>
      <c r="Z73" s="31">
        <v>57</v>
      </c>
      <c r="AA73" s="7">
        <f>IF(AC73="FIXED",0,IF(E73&gt;W73,1,0))</f>
        <v>0</v>
      </c>
      <c r="AB73" s="7">
        <f>IF(AC73="FIXED",0,IF(E73&lt;X73,1,0))</f>
        <v>0</v>
      </c>
      <c r="AC73" s="40" t="s">
        <v>73</v>
      </c>
      <c r="AD73" s="8" t="s">
        <v>10</v>
      </c>
      <c r="AE73" s="8">
        <f t="shared" si="7"/>
        <v>0</v>
      </c>
      <c r="AF73" s="58">
        <v>11142554</v>
      </c>
      <c r="AG73" s="58">
        <f>AF73*E73</f>
        <v>635125578</v>
      </c>
      <c r="AH73" s="8" t="s">
        <v>484</v>
      </c>
      <c r="AI73" s="8">
        <v>0</v>
      </c>
      <c r="AJ73" s="8">
        <v>1</v>
      </c>
      <c r="AK73" s="29">
        <v>33239</v>
      </c>
      <c r="AL73" s="7">
        <f>LN(DATEDIF(AK73,D73,"y")+1)</f>
        <v>3.2188758248682006</v>
      </c>
      <c r="AM73" s="45">
        <f>DATEDIF(AK73,D73,"y")</f>
        <v>24</v>
      </c>
      <c r="AN73" s="8" t="s">
        <v>65</v>
      </c>
      <c r="AO73" s="35">
        <v>2836</v>
      </c>
      <c r="AP73" s="36">
        <f>IFERROR(VLOOKUP(AO73,'Tech SIC'!$A$2:$B$35,2,FALSE),0)</f>
        <v>0</v>
      </c>
      <c r="AQ73" s="8" t="s">
        <v>15</v>
      </c>
      <c r="AR73" s="8" t="s">
        <v>11</v>
      </c>
    </row>
    <row r="74" spans="1:44" ht="25" customHeight="1" x14ac:dyDescent="0.2">
      <c r="A74" s="76" t="s">
        <v>608</v>
      </c>
      <c r="B74" s="8" t="s">
        <v>610</v>
      </c>
      <c r="C74" s="29">
        <v>42445</v>
      </c>
      <c r="D74" s="41">
        <v>42445</v>
      </c>
      <c r="E74" s="68">
        <v>73</v>
      </c>
      <c r="F74" s="4">
        <v>102</v>
      </c>
      <c r="G74" s="37">
        <f t="shared" si="4"/>
        <v>0.39726027397260277</v>
      </c>
      <c r="H74" s="57">
        <f>G74-VLOOKUP(D74,'SE index'!$A$2:$E$4114,5,FALSE)</f>
        <v>0.40501848667642615</v>
      </c>
      <c r="I74" s="8">
        <v>1</v>
      </c>
      <c r="J74" s="41"/>
      <c r="K74" s="7">
        <v>37.299999999999997</v>
      </c>
      <c r="L74" s="31">
        <f>K74*'SE CPI'!$D$16</f>
        <v>37.299999999999997</v>
      </c>
      <c r="M74" s="31">
        <f t="shared" si="5"/>
        <v>3.6189933266497696</v>
      </c>
      <c r="N74" s="31"/>
      <c r="O74" s="31"/>
      <c r="P74" s="2">
        <f t="shared" si="6"/>
        <v>0</v>
      </c>
      <c r="Q74" s="41">
        <v>42444</v>
      </c>
      <c r="R74" s="5">
        <f>VLOOKUP(Q74,Sentiment!$A$3:$B$199,2,FALSE)</f>
        <v>-9.8000000000000007</v>
      </c>
      <c r="S74" s="106">
        <v>1</v>
      </c>
      <c r="T74" s="57">
        <f>VLOOKUP(D74,'SE index'!$A$2:$G$4114,6,FALSE)</f>
        <v>6.4953030502754097E-2</v>
      </c>
      <c r="U74" s="57">
        <f>VLOOKUP(D74,'SE index'!$A$2:$G$4114,7,FALSE)</f>
        <v>1.9835587291497533E-2</v>
      </c>
      <c r="V74" s="8" t="s">
        <v>401</v>
      </c>
      <c r="X74" s="7"/>
      <c r="Y74" s="31"/>
      <c r="Z74" s="31"/>
      <c r="AA74" s="7">
        <v>0</v>
      </c>
      <c r="AB74" s="7">
        <v>0</v>
      </c>
      <c r="AC74" s="40" t="s">
        <v>10</v>
      </c>
      <c r="AD74" s="8" t="s">
        <v>10</v>
      </c>
      <c r="AE74" s="8">
        <f t="shared" si="7"/>
        <v>1</v>
      </c>
      <c r="AF74" s="58">
        <v>4000000</v>
      </c>
      <c r="AG74" s="58">
        <f>AF74*E74</f>
        <v>292000000</v>
      </c>
      <c r="AH74" s="8" t="s">
        <v>611</v>
      </c>
      <c r="AI74" s="8">
        <v>0</v>
      </c>
      <c r="AJ74" s="8">
        <v>1</v>
      </c>
      <c r="AK74" s="29">
        <v>14246</v>
      </c>
      <c r="AL74" s="7">
        <f>LN(DATEDIF(AK74,D74,"y")+1)</f>
        <v>4.3567088266895917</v>
      </c>
      <c r="AM74" s="45">
        <f>DATEDIF(AK74,D74,"y")</f>
        <v>77</v>
      </c>
      <c r="AN74" s="8" t="s">
        <v>609</v>
      </c>
      <c r="AO74" s="35">
        <v>3678</v>
      </c>
      <c r="AP74" s="36">
        <f>IFERROR(VLOOKUP(AO74,'Tech SIC'!$A$2:$B$35,2,FALSE),0)</f>
        <v>1</v>
      </c>
      <c r="AQ74" s="8" t="s">
        <v>15</v>
      </c>
      <c r="AR74" s="8" t="s">
        <v>11</v>
      </c>
    </row>
    <row r="75" spans="1:44" ht="25" customHeight="1" x14ac:dyDescent="0.2">
      <c r="A75" s="76" t="s">
        <v>612</v>
      </c>
      <c r="B75" s="8" t="s">
        <v>614</v>
      </c>
      <c r="C75" s="29">
        <v>42451</v>
      </c>
      <c r="D75" s="41">
        <v>42451</v>
      </c>
      <c r="E75" s="68">
        <v>62</v>
      </c>
      <c r="F75" s="4">
        <v>74</v>
      </c>
      <c r="G75" s="37">
        <f t="shared" si="4"/>
        <v>0.19354838709677424</v>
      </c>
      <c r="H75" s="57">
        <f>G75-VLOOKUP(D75,'SE index'!$A$2:$E$4114,5,FALSE)</f>
        <v>0.19001215152767992</v>
      </c>
      <c r="I75" s="8">
        <v>1</v>
      </c>
      <c r="J75" s="41"/>
      <c r="K75" s="7">
        <v>454.4</v>
      </c>
      <c r="L75" s="31">
        <f>K75*'SE CPI'!$D$16</f>
        <v>454.4</v>
      </c>
      <c r="M75" s="31">
        <f t="shared" si="5"/>
        <v>6.1189778674069419</v>
      </c>
      <c r="N75" s="31"/>
      <c r="O75" s="31"/>
      <c r="P75" s="2">
        <f t="shared" si="6"/>
        <v>0</v>
      </c>
      <c r="Q75" s="41">
        <v>42444</v>
      </c>
      <c r="R75" s="5">
        <f>VLOOKUP(Q75,Sentiment!$A$3:$B$199,2,FALSE)</f>
        <v>-9.8000000000000007</v>
      </c>
      <c r="S75" s="107">
        <v>1</v>
      </c>
      <c r="T75" s="57">
        <f>VLOOKUP(D75,'SE index'!$A$2:$G$4114,6,FALSE)</f>
        <v>8.36920723608858E-2</v>
      </c>
      <c r="U75" s="57">
        <f>VLOOKUP(D75,'SE index'!$A$2:$G$4114,7,FALSE)</f>
        <v>1.7716350660202877E-2</v>
      </c>
      <c r="V75" s="8" t="s">
        <v>401</v>
      </c>
      <c r="W75" s="5">
        <v>62</v>
      </c>
      <c r="X75" s="7">
        <v>54</v>
      </c>
      <c r="Y75" s="31">
        <v>62</v>
      </c>
      <c r="Z75" s="31">
        <v>54</v>
      </c>
      <c r="AA75" s="7">
        <f>IF(AC75="FIXED",0,IF(E75&gt;W75,1,0))</f>
        <v>0</v>
      </c>
      <c r="AB75" s="7">
        <f>IF(AC75="FIXED",0,IF(E75&lt;X75,1,0))</f>
        <v>0</v>
      </c>
      <c r="AC75" s="40" t="s">
        <v>73</v>
      </c>
      <c r="AD75" s="8" t="s">
        <v>17</v>
      </c>
      <c r="AE75" s="8">
        <f t="shared" si="7"/>
        <v>0</v>
      </c>
      <c r="AF75" s="58">
        <v>12622721</v>
      </c>
      <c r="AG75" s="58">
        <f>AF75*E75</f>
        <v>782608702</v>
      </c>
      <c r="AH75" s="8" t="s">
        <v>615</v>
      </c>
      <c r="AI75" s="8">
        <v>0</v>
      </c>
      <c r="AJ75" s="8">
        <v>1</v>
      </c>
      <c r="AK75" s="29">
        <v>39448</v>
      </c>
      <c r="AL75" s="7">
        <f>LN(DATEDIF(AK75,D75,"y")+1)</f>
        <v>2.1972245773362196</v>
      </c>
      <c r="AM75" s="45">
        <f>DATEDIF(AK75,D75,"y")</f>
        <v>8</v>
      </c>
      <c r="AN75" s="8" t="s">
        <v>613</v>
      </c>
      <c r="AO75" s="35">
        <v>8059</v>
      </c>
      <c r="AP75" s="36">
        <f>IFERROR(VLOOKUP(AO75,'Tech SIC'!$A$2:$B$35,2,FALSE),0)</f>
        <v>0</v>
      </c>
      <c r="AQ75" s="8" t="s">
        <v>374</v>
      </c>
      <c r="AR75" s="8" t="s">
        <v>11</v>
      </c>
    </row>
    <row r="76" spans="1:44" ht="25" customHeight="1" x14ac:dyDescent="0.2">
      <c r="A76" s="76" t="s">
        <v>616</v>
      </c>
      <c r="B76" s="8" t="s">
        <v>617</v>
      </c>
      <c r="C76" s="29">
        <v>42489</v>
      </c>
      <c r="D76" s="41">
        <v>42489</v>
      </c>
      <c r="E76" s="68">
        <v>55</v>
      </c>
      <c r="F76" s="4">
        <v>55.1</v>
      </c>
      <c r="G76" s="37">
        <f t="shared" si="4"/>
        <v>1.8181818181819409E-3</v>
      </c>
      <c r="H76" s="57">
        <f>G76-VLOOKUP(D76,'SE index'!$A$2:$E$4114,5,FALSE)</f>
        <v>2.2834691706341014E-2</v>
      </c>
      <c r="I76" s="8">
        <v>1</v>
      </c>
      <c r="J76" s="41"/>
      <c r="K76" s="7">
        <v>3190.6</v>
      </c>
      <c r="L76" s="31">
        <f>K76*'SE CPI'!$D$16</f>
        <v>3190.6</v>
      </c>
      <c r="M76" s="31">
        <f t="shared" si="5"/>
        <v>8.0679642658668964</v>
      </c>
      <c r="N76" s="60"/>
      <c r="O76" s="60"/>
      <c r="P76" s="2">
        <f t="shared" si="6"/>
        <v>0</v>
      </c>
      <c r="Q76" s="41">
        <v>42475</v>
      </c>
      <c r="R76" s="5">
        <f>VLOOKUP(Q76,Sentiment!$A$3:$B$199,2,FALSE)</f>
        <v>-9.4</v>
      </c>
      <c r="S76" s="106">
        <v>1</v>
      </c>
      <c r="T76" s="57">
        <f>VLOOKUP(D76,'SE index'!$A$2:$G$4114,6,FALSE)</f>
        <v>-2.3524857383849955E-2</v>
      </c>
      <c r="U76" s="57">
        <f>VLOOKUP(D76,'SE index'!$A$2:$G$4114,7,FALSE)</f>
        <v>1.1590262996555705E-2</v>
      </c>
      <c r="V76" s="8" t="s">
        <v>401</v>
      </c>
      <c r="W76" s="5">
        <v>60</v>
      </c>
      <c r="X76" s="7">
        <v>50</v>
      </c>
      <c r="Y76" s="31">
        <v>60</v>
      </c>
      <c r="Z76" s="31">
        <v>50</v>
      </c>
      <c r="AA76" s="7">
        <f>IF(AC76="FIXED",0,IF(E76&gt;W76,1,0))</f>
        <v>0</v>
      </c>
      <c r="AB76" s="7">
        <f>IF(AC76="FIXED",0,IF(E76&lt;X76,1,0))</f>
        <v>0</v>
      </c>
      <c r="AC76" s="40" t="s">
        <v>73</v>
      </c>
      <c r="AD76" s="8" t="s">
        <v>17</v>
      </c>
      <c r="AE76" s="8">
        <f t="shared" si="7"/>
        <v>0</v>
      </c>
      <c r="AF76" s="58">
        <v>64933334</v>
      </c>
      <c r="AG76" s="58">
        <f>AF76*E76</f>
        <v>3571333370</v>
      </c>
      <c r="AH76" s="8" t="s">
        <v>618</v>
      </c>
      <c r="AI76" s="8">
        <v>1</v>
      </c>
      <c r="AJ76" s="8">
        <v>1</v>
      </c>
      <c r="AK76" s="29">
        <v>28126</v>
      </c>
      <c r="AL76" s="7">
        <f>LN(DATEDIF(AK76,D76,"y")+1)</f>
        <v>3.6888794541139363</v>
      </c>
      <c r="AM76" s="45">
        <f>DATEDIF(AK76,D76,"y")</f>
        <v>39</v>
      </c>
      <c r="AN76" s="8" t="s">
        <v>340</v>
      </c>
      <c r="AO76" s="35">
        <v>6000</v>
      </c>
      <c r="AP76" s="36">
        <f>IFERROR(VLOOKUP(AO76,'Tech SIC'!$A$2:$B$35,2,FALSE),0)</f>
        <v>0</v>
      </c>
      <c r="AQ76" s="8" t="s">
        <v>342</v>
      </c>
      <c r="AR76" s="8" t="s">
        <v>11</v>
      </c>
    </row>
    <row r="77" spans="1:44" ht="25" customHeight="1" x14ac:dyDescent="0.2">
      <c r="A77" s="76" t="s">
        <v>619</v>
      </c>
      <c r="B77" s="8" t="s">
        <v>620</v>
      </c>
      <c r="C77" s="29">
        <v>42502</v>
      </c>
      <c r="D77" s="41">
        <v>42502</v>
      </c>
      <c r="E77" s="68">
        <v>49</v>
      </c>
      <c r="F77" s="4">
        <v>49</v>
      </c>
      <c r="G77" s="37">
        <f t="shared" si="4"/>
        <v>0</v>
      </c>
      <c r="H77" s="57">
        <f>G77-VLOOKUP(D77,'SE index'!$A$2:$E$4114,5,FALSE)</f>
        <v>1.0498843787447198E-2</v>
      </c>
      <c r="I77" s="8">
        <v>1</v>
      </c>
      <c r="J77" s="41"/>
      <c r="K77" s="7">
        <v>14.8</v>
      </c>
      <c r="L77" s="31">
        <f>K77*'SE CPI'!$D$16</f>
        <v>14.8</v>
      </c>
      <c r="M77" s="31">
        <f t="shared" si="5"/>
        <v>2.6946271807700692</v>
      </c>
      <c r="N77" s="31"/>
      <c r="O77" s="31"/>
      <c r="P77" s="2">
        <f t="shared" si="6"/>
        <v>0</v>
      </c>
      <c r="Q77" s="41">
        <v>42505</v>
      </c>
      <c r="R77" s="5">
        <f>VLOOKUP(Q77,Sentiment!$A$3:$B$199,2,FALSE)</f>
        <v>-7.1000000000000005</v>
      </c>
      <c r="S77" s="107">
        <v>1</v>
      </c>
      <c r="T77" s="57">
        <f>VLOOKUP(D77,'SE index'!$A$2:$G$4114,6,FALSE)</f>
        <v>-4.8010409861422194E-2</v>
      </c>
      <c r="U77" s="57">
        <f>VLOOKUP(D77,'SE index'!$A$2:$G$4114,7,FALSE)</f>
        <v>1.1237637474927471E-2</v>
      </c>
      <c r="V77" s="8" t="s">
        <v>401</v>
      </c>
      <c r="W77" s="5">
        <v>59</v>
      </c>
      <c r="X77" s="7">
        <v>47</v>
      </c>
      <c r="Y77" s="31">
        <v>59</v>
      </c>
      <c r="Z77" s="31">
        <v>47</v>
      </c>
      <c r="AA77" s="7">
        <f>IF(AC77="FIXED",0,IF(E77&gt;W77,1,0))</f>
        <v>0</v>
      </c>
      <c r="AB77" s="7">
        <f>IF(AC77="FIXED",0,IF(E77&lt;X77,1,0))</f>
        <v>0</v>
      </c>
      <c r="AC77" s="4" t="s">
        <v>73</v>
      </c>
      <c r="AD77" s="8" t="s">
        <v>17</v>
      </c>
      <c r="AE77" s="8">
        <f t="shared" si="7"/>
        <v>0</v>
      </c>
      <c r="AF77" s="58">
        <v>8518190</v>
      </c>
      <c r="AG77" s="58">
        <f>AF77*E77</f>
        <v>417391310</v>
      </c>
      <c r="AH77" s="8" t="s">
        <v>621</v>
      </c>
      <c r="AI77" s="8">
        <v>0</v>
      </c>
      <c r="AJ77" s="8">
        <v>1</v>
      </c>
      <c r="AK77" s="29">
        <v>40909</v>
      </c>
      <c r="AL77" s="7">
        <f>LN(DATEDIF(AK77,D77,"y")+1)</f>
        <v>1.6094379124341003</v>
      </c>
      <c r="AM77" s="45">
        <f>DATEDIF(AK77,D77,"y")</f>
        <v>4</v>
      </c>
      <c r="AN77" s="8" t="s">
        <v>65</v>
      </c>
      <c r="AO77" s="35">
        <v>2836</v>
      </c>
      <c r="AP77" s="36">
        <f>IFERROR(VLOOKUP(AO77,'Tech SIC'!$A$2:$B$35,2,FALSE),0)</f>
        <v>0</v>
      </c>
      <c r="AQ77" s="8" t="s">
        <v>15</v>
      </c>
      <c r="AR77" s="8" t="s">
        <v>11</v>
      </c>
    </row>
    <row r="78" spans="1:44" ht="25" customHeight="1" x14ac:dyDescent="0.2">
      <c r="A78" s="76" t="s">
        <v>622</v>
      </c>
      <c r="B78" s="8" t="s">
        <v>624</v>
      </c>
      <c r="C78" s="29">
        <v>42531</v>
      </c>
      <c r="D78" s="41">
        <v>42531</v>
      </c>
      <c r="E78" s="68">
        <v>71</v>
      </c>
      <c r="F78" s="4">
        <v>71.5</v>
      </c>
      <c r="G78" s="37">
        <f t="shared" si="4"/>
        <v>7.0422535211267512E-3</v>
      </c>
      <c r="H78" s="57">
        <f>G78-VLOOKUP(D78,'SE index'!$A$2:$E$4114,5,FALSE)</f>
        <v>2.8810203656827953E-2</v>
      </c>
      <c r="I78" s="8">
        <v>1</v>
      </c>
      <c r="J78" s="41"/>
      <c r="K78" s="7">
        <v>167.3</v>
      </c>
      <c r="L78" s="31">
        <f>K78*'SE CPI'!$D$16</f>
        <v>167.3</v>
      </c>
      <c r="M78" s="31">
        <f t="shared" si="5"/>
        <v>5.1197886079927786</v>
      </c>
      <c r="N78" s="31"/>
      <c r="O78" s="31"/>
      <c r="P78" s="2">
        <f t="shared" si="6"/>
        <v>0</v>
      </c>
      <c r="Q78" s="41">
        <v>42536</v>
      </c>
      <c r="R78" s="5">
        <f>VLOOKUP(Q78,Sentiment!$A$3:$B$199,2,FALSE)</f>
        <v>-7.3</v>
      </c>
      <c r="S78" s="106">
        <v>1</v>
      </c>
      <c r="T78" s="57">
        <f>VLOOKUP(D78,'SE index'!$A$2:$G$4114,6,FALSE)</f>
        <v>-5.3102221069259062E-2</v>
      </c>
      <c r="U78" s="57">
        <f>VLOOKUP(D78,'SE index'!$A$2:$G$4114,7,FALSE)</f>
        <v>1.0577469108002386E-2</v>
      </c>
      <c r="V78" s="8" t="s">
        <v>401</v>
      </c>
      <c r="W78" s="5">
        <v>76</v>
      </c>
      <c r="X78" s="7">
        <v>66</v>
      </c>
      <c r="Y78" s="31">
        <v>76</v>
      </c>
      <c r="Z78" s="31">
        <v>66</v>
      </c>
      <c r="AA78" s="7">
        <f>IF(AC78="FIXED",0,IF(E78&gt;W78,1,0))</f>
        <v>0</v>
      </c>
      <c r="AB78" s="7">
        <f>IF(AC78="FIXED",0,IF(E78&lt;X78,1,0))</f>
        <v>0</v>
      </c>
      <c r="AC78" s="66" t="s">
        <v>73</v>
      </c>
      <c r="AD78" s="8" t="s">
        <v>17</v>
      </c>
      <c r="AE78" s="8">
        <f t="shared" si="7"/>
        <v>0</v>
      </c>
      <c r="AF78" s="58">
        <v>14450362</v>
      </c>
      <c r="AG78" s="58">
        <f>AF78*E78</f>
        <v>1025975702</v>
      </c>
      <c r="AH78" s="8" t="s">
        <v>557</v>
      </c>
      <c r="AI78" s="8">
        <v>0</v>
      </c>
      <c r="AJ78" s="8">
        <v>1</v>
      </c>
      <c r="AK78" s="29">
        <v>40179</v>
      </c>
      <c r="AL78" s="7">
        <f>LN(DATEDIF(AK78,D78,"y")+1)</f>
        <v>1.9459101490553132</v>
      </c>
      <c r="AM78" s="45">
        <f>DATEDIF(AK78,D78,"y")</f>
        <v>6</v>
      </c>
      <c r="AN78" s="8" t="s">
        <v>623</v>
      </c>
      <c r="AO78" s="35">
        <v>3069</v>
      </c>
      <c r="AP78" s="36">
        <f>IFERROR(VLOOKUP(AO78,'Tech SIC'!$A$2:$B$35,2,FALSE),0)</f>
        <v>0</v>
      </c>
      <c r="AQ78" s="8" t="s">
        <v>15</v>
      </c>
      <c r="AR78" s="8" t="s">
        <v>11</v>
      </c>
    </row>
    <row r="79" spans="1:44" ht="25" customHeight="1" x14ac:dyDescent="0.2">
      <c r="A79" s="76" t="s">
        <v>625</v>
      </c>
      <c r="B79" s="8" t="s">
        <v>626</v>
      </c>
      <c r="C79" s="29">
        <v>42535</v>
      </c>
      <c r="D79" s="41">
        <v>42535</v>
      </c>
      <c r="E79" s="68">
        <v>77</v>
      </c>
      <c r="F79" s="4">
        <v>85</v>
      </c>
      <c r="G79" s="37">
        <f t="shared" si="4"/>
        <v>0.10389610389610393</v>
      </c>
      <c r="H79" s="57">
        <f>G79-VLOOKUP(D79,'SE index'!$A$2:$E$4114,5,FALSE)</f>
        <v>0.11989034007404019</v>
      </c>
      <c r="I79" s="8">
        <v>1</v>
      </c>
      <c r="J79" s="41"/>
      <c r="K79" s="7">
        <v>328.7</v>
      </c>
      <c r="L79" s="31">
        <f>K79*'SE CPI'!$D$16</f>
        <v>328.7</v>
      </c>
      <c r="M79" s="31">
        <f t="shared" si="5"/>
        <v>5.7951454806701737</v>
      </c>
      <c r="N79" s="31"/>
      <c r="O79" s="31"/>
      <c r="P79" s="2">
        <f t="shared" si="6"/>
        <v>0</v>
      </c>
      <c r="Q79" s="41">
        <v>42536</v>
      </c>
      <c r="R79" s="5">
        <f>VLOOKUP(Q79,Sentiment!$A$3:$B$199,2,FALSE)</f>
        <v>-7.3</v>
      </c>
      <c r="S79" s="107">
        <v>1</v>
      </c>
      <c r="T79" s="57">
        <f>VLOOKUP(D79,'SE index'!$A$2:$G$4114,6,FALSE)</f>
        <v>-6.5868613354166911E-2</v>
      </c>
      <c r="U79" s="57">
        <f>VLOOKUP(D79,'SE index'!$A$2:$G$4114,7,FALSE)</f>
        <v>1.0589528052093896E-2</v>
      </c>
      <c r="V79" s="8" t="s">
        <v>401</v>
      </c>
      <c r="X79" s="7"/>
      <c r="Y79" s="31"/>
      <c r="Z79" s="31"/>
      <c r="AA79" s="7">
        <v>0</v>
      </c>
      <c r="AB79" s="7">
        <v>0</v>
      </c>
      <c r="AC79" s="40" t="s">
        <v>10</v>
      </c>
      <c r="AD79" s="8" t="s">
        <v>10</v>
      </c>
      <c r="AE79" s="8">
        <f t="shared" si="7"/>
        <v>1</v>
      </c>
      <c r="AF79" s="58">
        <v>5661553</v>
      </c>
      <c r="AG79" s="58">
        <f>AF79*E79</f>
        <v>435939581</v>
      </c>
      <c r="AH79" s="8" t="s">
        <v>557</v>
      </c>
      <c r="AI79" s="8">
        <v>0</v>
      </c>
      <c r="AJ79" s="8">
        <v>1</v>
      </c>
      <c r="AK79" s="29">
        <v>31778</v>
      </c>
      <c r="AL79" s="7">
        <f>LN(DATEDIF(AK79,D79,"y")+1)</f>
        <v>3.4011973816621555</v>
      </c>
      <c r="AM79" s="45">
        <f>DATEDIF(AK79,D79,"y")</f>
        <v>29</v>
      </c>
      <c r="AN79" s="8" t="s">
        <v>340</v>
      </c>
      <c r="AO79" s="35">
        <v>6000</v>
      </c>
      <c r="AP79" s="36">
        <f>IFERROR(VLOOKUP(AO79,'Tech SIC'!$A$2:$B$35,2,FALSE),0)</f>
        <v>0</v>
      </c>
      <c r="AQ79" s="8" t="s">
        <v>342</v>
      </c>
      <c r="AR79" s="8" t="s">
        <v>11</v>
      </c>
    </row>
    <row r="80" spans="1:44" ht="25" customHeight="1" x14ac:dyDescent="0.2">
      <c r="A80" s="76" t="s">
        <v>627</v>
      </c>
      <c r="B80" s="8" t="s">
        <v>629</v>
      </c>
      <c r="C80" s="29">
        <v>42536</v>
      </c>
      <c r="D80" s="41">
        <v>42536</v>
      </c>
      <c r="E80" s="68">
        <v>40</v>
      </c>
      <c r="F80" s="4">
        <v>59</v>
      </c>
      <c r="G80" s="37">
        <f t="shared" si="4"/>
        <v>0.47500000000000009</v>
      </c>
      <c r="H80" s="57">
        <f>G80-VLOOKUP(D80,'SE index'!$A$2:$E$4114,5,FALSE)</f>
        <v>0.45163252946431665</v>
      </c>
      <c r="I80" s="8">
        <v>1</v>
      </c>
      <c r="J80" s="41">
        <v>42549</v>
      </c>
      <c r="K80" s="7">
        <f>N80/(VLOOKUP(J80,'SE FX'!$A$3:$B$199,2,FALSE))</f>
        <v>855.80747577513648</v>
      </c>
      <c r="L80" s="31">
        <f>K80*'SE CPI'!$D$16</f>
        <v>855.80747577513648</v>
      </c>
      <c r="M80" s="31">
        <f t="shared" si="5"/>
        <v>6.7520454393677181</v>
      </c>
      <c r="N80" s="8">
        <v>7251</v>
      </c>
      <c r="O80" s="8" t="s">
        <v>797</v>
      </c>
      <c r="P80" s="2">
        <f t="shared" si="6"/>
        <v>0</v>
      </c>
      <c r="Q80" s="41">
        <v>42536</v>
      </c>
      <c r="R80" s="5">
        <f>VLOOKUP(Q80,Sentiment!$A$3:$B$199,2,FALSE)</f>
        <v>-7.3</v>
      </c>
      <c r="S80" s="106">
        <v>1</v>
      </c>
      <c r="T80" s="57">
        <f>VLOOKUP(D80,'SE index'!$A$2:$G$4114,6,FALSE)</f>
        <v>-3.6752348601459137E-2</v>
      </c>
      <c r="U80" s="57">
        <f>VLOOKUP(D80,'SE index'!$A$2:$G$4114,7,FALSE)</f>
        <v>1.1543908739839711E-2</v>
      </c>
      <c r="V80" s="8" t="s">
        <v>401</v>
      </c>
      <c r="X80" s="7"/>
      <c r="Y80" s="31"/>
      <c r="Z80" s="31"/>
      <c r="AA80" s="7">
        <v>0</v>
      </c>
      <c r="AB80" s="7">
        <v>0</v>
      </c>
      <c r="AC80" s="40" t="s">
        <v>10</v>
      </c>
      <c r="AD80" s="8" t="s">
        <v>10</v>
      </c>
      <c r="AE80" s="8">
        <f t="shared" si="7"/>
        <v>1</v>
      </c>
      <c r="AF80" s="58">
        <v>23750000</v>
      </c>
      <c r="AG80" s="58">
        <f>AF80*E80</f>
        <v>950000000</v>
      </c>
      <c r="AH80" s="8" t="s">
        <v>631</v>
      </c>
      <c r="AI80" s="8">
        <v>0</v>
      </c>
      <c r="AJ80" s="8">
        <v>1</v>
      </c>
      <c r="AK80" s="29">
        <v>35065</v>
      </c>
      <c r="AL80" s="7">
        <f>LN(DATEDIF(AK80,D80,"y")+1)</f>
        <v>3.044522437723423</v>
      </c>
      <c r="AM80" s="45">
        <f>DATEDIF(AK80,D80,"y")</f>
        <v>20</v>
      </c>
      <c r="AN80" s="8" t="s">
        <v>628</v>
      </c>
      <c r="AO80" s="35">
        <v>8299</v>
      </c>
      <c r="AP80" s="36">
        <f>IFERROR(VLOOKUP(AO80,'Tech SIC'!$A$2:$B$35,2,FALSE),0)</f>
        <v>0</v>
      </c>
      <c r="AQ80" s="8" t="s">
        <v>630</v>
      </c>
      <c r="AR80" s="8" t="s">
        <v>11</v>
      </c>
    </row>
    <row r="81" spans="1:66" ht="25" customHeight="1" x14ac:dyDescent="0.2">
      <c r="A81" s="76" t="s">
        <v>632</v>
      </c>
      <c r="B81" s="8" t="s">
        <v>634</v>
      </c>
      <c r="C81" s="29">
        <v>42642</v>
      </c>
      <c r="D81" s="41">
        <v>42642</v>
      </c>
      <c r="E81" s="68">
        <v>52</v>
      </c>
      <c r="F81" s="4">
        <v>69</v>
      </c>
      <c r="G81" s="37">
        <f t="shared" si="4"/>
        <v>0.32692307692307687</v>
      </c>
      <c r="H81" s="57">
        <f>G81-VLOOKUP(D81,'SE index'!$A$2:$E$4114,5,FALSE)</f>
        <v>0.32023086125089678</v>
      </c>
      <c r="I81" s="8">
        <v>1</v>
      </c>
      <c r="J81" s="41"/>
      <c r="K81" s="7">
        <v>137.9</v>
      </c>
      <c r="L81" s="31">
        <f>K81*'SE CPI'!$D$16</f>
        <v>137.9</v>
      </c>
      <c r="M81" s="31">
        <f t="shared" si="5"/>
        <v>4.926528784799256</v>
      </c>
      <c r="N81" s="31"/>
      <c r="O81" s="31"/>
      <c r="P81" s="2">
        <f t="shared" si="6"/>
        <v>0</v>
      </c>
      <c r="Q81" s="41">
        <v>42628</v>
      </c>
      <c r="R81" s="5">
        <f>VLOOKUP(Q81,Sentiment!$A$3:$B$199,2,FALSE)</f>
        <v>-8.3000000000000007</v>
      </c>
      <c r="S81" s="107">
        <v>1</v>
      </c>
      <c r="T81" s="57">
        <f>VLOOKUP(D81,'SE index'!$A$2:$G$4114,6,FALSE)</f>
        <v>2.2405380077974227E-2</v>
      </c>
      <c r="U81" s="57">
        <f>VLOOKUP(D81,'SE index'!$A$2:$G$4114,7,FALSE)</f>
        <v>6.8452201471285914E-3</v>
      </c>
      <c r="V81" s="8" t="s">
        <v>401</v>
      </c>
      <c r="X81" s="7"/>
      <c r="Y81" s="31"/>
      <c r="Z81" s="31"/>
      <c r="AA81" s="7">
        <v>0</v>
      </c>
      <c r="AB81" s="7">
        <v>0</v>
      </c>
      <c r="AC81" s="40" t="s">
        <v>10</v>
      </c>
      <c r="AD81" s="8" t="s">
        <v>10</v>
      </c>
      <c r="AE81" s="8">
        <f t="shared" si="7"/>
        <v>1</v>
      </c>
      <c r="AF81" s="58">
        <v>10012500</v>
      </c>
      <c r="AG81" s="58">
        <f>AF81*E81</f>
        <v>520650000</v>
      </c>
      <c r="AH81" s="8" t="s">
        <v>635</v>
      </c>
      <c r="AI81" s="8">
        <v>0</v>
      </c>
      <c r="AJ81" s="8">
        <v>0</v>
      </c>
      <c r="AK81" s="29">
        <v>33970</v>
      </c>
      <c r="AL81" s="7">
        <f>LN(DATEDIF(AK81,D81,"y")+1)</f>
        <v>3.1780538303479458</v>
      </c>
      <c r="AM81" s="45">
        <f>DATEDIF(AK81,D81,"y")</f>
        <v>23</v>
      </c>
      <c r="AN81" s="8" t="s">
        <v>633</v>
      </c>
      <c r="AO81" s="35">
        <v>8299</v>
      </c>
      <c r="AP81" s="36">
        <f>IFERROR(VLOOKUP(AO81,'Tech SIC'!$A$2:$B$35,2,FALSE),0)</f>
        <v>0</v>
      </c>
      <c r="AQ81" s="8" t="s">
        <v>630</v>
      </c>
      <c r="AR81" s="8" t="s">
        <v>11</v>
      </c>
    </row>
    <row r="82" spans="1:66" ht="25" customHeight="1" x14ac:dyDescent="0.2">
      <c r="A82" s="76" t="s">
        <v>636</v>
      </c>
      <c r="B82" s="8" t="s">
        <v>638</v>
      </c>
      <c r="C82" s="29">
        <v>42671</v>
      </c>
      <c r="D82" s="41">
        <v>42671</v>
      </c>
      <c r="E82" s="68">
        <v>46</v>
      </c>
      <c r="F82" s="4">
        <v>56</v>
      </c>
      <c r="G82" s="37">
        <f t="shared" si="4"/>
        <v>0.21739130434782616</v>
      </c>
      <c r="H82" s="57">
        <f>G82-VLOOKUP(D82,'SE index'!$A$2:$E$4114,5,FALSE)</f>
        <v>0.21546394659682508</v>
      </c>
      <c r="I82" s="8">
        <v>1</v>
      </c>
      <c r="J82" s="41"/>
      <c r="K82" s="7">
        <v>2916.3</v>
      </c>
      <c r="L82" s="31">
        <f>K82*'SE CPI'!$D$16</f>
        <v>2916.3</v>
      </c>
      <c r="M82" s="31">
        <f t="shared" si="5"/>
        <v>7.9780709684951328</v>
      </c>
      <c r="N82" s="60"/>
      <c r="O82" s="60"/>
      <c r="P82" s="2">
        <f t="shared" si="6"/>
        <v>0</v>
      </c>
      <c r="Q82" s="41">
        <v>42658</v>
      </c>
      <c r="R82" s="5">
        <f>VLOOKUP(Q82,Sentiment!$A$3:$B$199,2,FALSE)</f>
        <v>-8</v>
      </c>
      <c r="S82" s="106">
        <v>1</v>
      </c>
      <c r="T82" s="57">
        <f>VLOOKUP(D82,'SE index'!$A$2:$G$4114,6,FALSE)</f>
        <v>3.7740064432157799E-2</v>
      </c>
      <c r="U82" s="57">
        <f>VLOOKUP(D82,'SE index'!$A$2:$G$4114,7,FALSE)</f>
        <v>7.5242749026211211E-3</v>
      </c>
      <c r="V82" s="8" t="s">
        <v>401</v>
      </c>
      <c r="W82" s="5">
        <v>58</v>
      </c>
      <c r="X82" s="7">
        <v>45</v>
      </c>
      <c r="Y82" s="31">
        <v>58</v>
      </c>
      <c r="Z82" s="31">
        <v>45</v>
      </c>
      <c r="AA82" s="7">
        <f>IF(AC82="FIXED",0,IF(E82&gt;W82,1,0))</f>
        <v>0</v>
      </c>
      <c r="AB82" s="7">
        <f>IF(AC82="FIXED",0,IF(E82&lt;X82,1,0))</f>
        <v>0</v>
      </c>
      <c r="AC82" s="4" t="s">
        <v>73</v>
      </c>
      <c r="AD82" s="8" t="s">
        <v>17</v>
      </c>
      <c r="AE82" s="8">
        <f t="shared" si="7"/>
        <v>0</v>
      </c>
      <c r="AF82" s="58">
        <v>130890656</v>
      </c>
      <c r="AG82" s="58">
        <f>AF82*E82</f>
        <v>6020970176</v>
      </c>
      <c r="AH82" s="8" t="s">
        <v>639</v>
      </c>
      <c r="AI82" s="8">
        <v>1</v>
      </c>
      <c r="AJ82" s="8">
        <v>1</v>
      </c>
      <c r="AK82" s="8" t="s">
        <v>812</v>
      </c>
      <c r="AL82" s="7">
        <f>LN(2004-1853+1)</f>
        <v>5.0238805208462765</v>
      </c>
      <c r="AM82" s="45">
        <f>-1877+2016</f>
        <v>139</v>
      </c>
      <c r="AN82" s="8" t="s">
        <v>637</v>
      </c>
      <c r="AO82" s="35">
        <v>5074</v>
      </c>
      <c r="AP82" s="36">
        <f>IFERROR(VLOOKUP(AO82,'Tech SIC'!$A$2:$B$35,2,FALSE),0)</f>
        <v>0</v>
      </c>
      <c r="AQ82" s="8" t="s">
        <v>257</v>
      </c>
      <c r="AR82" s="8" t="s">
        <v>11</v>
      </c>
    </row>
    <row r="83" spans="1:66" ht="25" customHeight="1" x14ac:dyDescent="0.2">
      <c r="A83" s="76" t="s">
        <v>640</v>
      </c>
      <c r="B83" s="8" t="s">
        <v>641</v>
      </c>
      <c r="C83" s="29">
        <v>42697</v>
      </c>
      <c r="D83" s="41">
        <v>42697</v>
      </c>
      <c r="E83" s="68">
        <v>32.5</v>
      </c>
      <c r="F83" s="4">
        <v>38.1</v>
      </c>
      <c r="G83" s="37">
        <f t="shared" si="4"/>
        <v>0.17230769230769227</v>
      </c>
      <c r="H83" s="57">
        <f>G83-VLOOKUP(D83,'SE index'!$A$2:$E$4114,5,FALSE)</f>
        <v>0.17393859627065483</v>
      </c>
      <c r="I83" s="8">
        <v>1</v>
      </c>
      <c r="J83" s="41"/>
      <c r="K83" s="7">
        <v>44.7</v>
      </c>
      <c r="L83" s="31">
        <f>K83*'SE CPI'!$D$16</f>
        <v>44.7</v>
      </c>
      <c r="M83" s="31">
        <f t="shared" si="5"/>
        <v>3.7999735016195233</v>
      </c>
      <c r="N83" s="31"/>
      <c r="O83" s="31"/>
      <c r="P83" s="2">
        <f t="shared" si="6"/>
        <v>0</v>
      </c>
      <c r="Q83" s="41">
        <v>42689</v>
      </c>
      <c r="R83" s="5">
        <f>VLOOKUP(Q83,Sentiment!$A$3:$B$199,2,FALSE)</f>
        <v>-6.2</v>
      </c>
      <c r="S83" s="106">
        <v>1</v>
      </c>
      <c r="T83" s="57">
        <f>VLOOKUP(D83,'SE index'!$A$2:$G$4114,6,FALSE)</f>
        <v>2.7439818358429891E-2</v>
      </c>
      <c r="U83" s="57">
        <f>VLOOKUP(D83,'SE index'!$A$2:$G$4114,7,FALSE)</f>
        <v>8.3209486852076891E-3</v>
      </c>
      <c r="V83" s="8" t="s">
        <v>401</v>
      </c>
      <c r="X83" s="7"/>
      <c r="Y83" s="31"/>
      <c r="Z83" s="31"/>
      <c r="AA83" s="7">
        <v>0</v>
      </c>
      <c r="AB83" s="7">
        <v>0</v>
      </c>
      <c r="AC83" s="40" t="s">
        <v>10</v>
      </c>
      <c r="AD83" s="8" t="s">
        <v>10</v>
      </c>
      <c r="AE83" s="8">
        <f t="shared" si="7"/>
        <v>1</v>
      </c>
      <c r="AF83" s="58">
        <v>12923077</v>
      </c>
      <c r="AG83" s="58">
        <f>AF83*E83</f>
        <v>420000002.5</v>
      </c>
      <c r="AH83" s="8" t="s">
        <v>642</v>
      </c>
      <c r="AI83" s="8">
        <v>0</v>
      </c>
      <c r="AJ83" s="8">
        <v>1</v>
      </c>
      <c r="AK83" s="29">
        <v>36892</v>
      </c>
      <c r="AL83" s="7">
        <f>LN(DATEDIF(AK83,D83,"y")+1)</f>
        <v>2.7725887222397811</v>
      </c>
      <c r="AM83" s="45">
        <f>DATEDIF(AK83,D83,"y")</f>
        <v>15</v>
      </c>
      <c r="AN83" s="8" t="s">
        <v>216</v>
      </c>
      <c r="AO83" s="35">
        <v>2834</v>
      </c>
      <c r="AP83" s="36">
        <f>IFERROR(VLOOKUP(AO83,'Tech SIC'!$A$2:$B$35,2,FALSE),0)</f>
        <v>0</v>
      </c>
      <c r="AQ83" s="8" t="s">
        <v>15</v>
      </c>
      <c r="AR83" s="8" t="s">
        <v>11</v>
      </c>
    </row>
    <row r="84" spans="1:66" ht="25" customHeight="1" x14ac:dyDescent="0.2">
      <c r="A84" s="76" t="s">
        <v>643</v>
      </c>
      <c r="B84" s="8" t="s">
        <v>644</v>
      </c>
      <c r="C84" s="29">
        <v>42698</v>
      </c>
      <c r="D84" s="41">
        <v>42698</v>
      </c>
      <c r="E84" s="68">
        <v>110</v>
      </c>
      <c r="F84" s="4">
        <v>110</v>
      </c>
      <c r="G84" s="37">
        <f t="shared" si="4"/>
        <v>0</v>
      </c>
      <c r="H84" s="57">
        <f>G84-VLOOKUP(D84,'SE index'!$A$2:$E$4114,5,FALSE)</f>
        <v>-1.1459542333148453E-3</v>
      </c>
      <c r="I84" s="8">
        <v>1</v>
      </c>
      <c r="J84" s="41"/>
      <c r="K84" s="7">
        <v>328.4</v>
      </c>
      <c r="L84" s="31">
        <f>K84*'SE CPI'!$D$16</f>
        <v>328.4</v>
      </c>
      <c r="M84" s="31">
        <f t="shared" si="5"/>
        <v>5.7942323775782727</v>
      </c>
      <c r="N84" s="31"/>
      <c r="O84" s="31"/>
      <c r="P84" s="2">
        <f t="shared" si="6"/>
        <v>0</v>
      </c>
      <c r="Q84" s="41">
        <v>42689</v>
      </c>
      <c r="R84" s="5">
        <f>VLOOKUP(Q84,Sentiment!$A$3:$B$199,2,FALSE)</f>
        <v>-6.2</v>
      </c>
      <c r="S84" s="106">
        <v>1</v>
      </c>
      <c r="T84" s="57">
        <f>VLOOKUP(D84,'SE index'!$A$2:$G$4114,6,FALSE)</f>
        <v>3.9606416059823679E-2</v>
      </c>
      <c r="U84" s="57">
        <f>VLOOKUP(D84,'SE index'!$A$2:$G$4114,7,FALSE)</f>
        <v>8.0098543479150564E-3</v>
      </c>
      <c r="V84" s="8" t="s">
        <v>401</v>
      </c>
      <c r="X84" s="7"/>
      <c r="Y84" s="31"/>
      <c r="Z84" s="31"/>
      <c r="AA84" s="7">
        <v>0</v>
      </c>
      <c r="AB84" s="7">
        <v>0</v>
      </c>
      <c r="AC84" s="40" t="s">
        <v>10</v>
      </c>
      <c r="AD84" s="8" t="s">
        <v>10</v>
      </c>
      <c r="AE84" s="8">
        <f t="shared" si="7"/>
        <v>1</v>
      </c>
      <c r="AF84" s="58">
        <v>5681818</v>
      </c>
      <c r="AG84" s="58">
        <f>AF84*E84</f>
        <v>624999980</v>
      </c>
      <c r="AH84" s="8" t="s">
        <v>611</v>
      </c>
      <c r="AI84" s="8">
        <v>0</v>
      </c>
      <c r="AJ84" s="8">
        <v>1</v>
      </c>
      <c r="AK84" s="29">
        <v>37257</v>
      </c>
      <c r="AL84" s="7">
        <f>LN(DATEDIF(AK84,D84,"y")+1)</f>
        <v>2.7080502011022101</v>
      </c>
      <c r="AM84" s="45">
        <f>DATEDIF(AK84,D84,"y")</f>
        <v>14</v>
      </c>
      <c r="AN84" s="8" t="s">
        <v>391</v>
      </c>
      <c r="AO84" s="35">
        <v>1541</v>
      </c>
      <c r="AP84" s="36">
        <f>IFERROR(VLOOKUP(AO84,'Tech SIC'!$A$2:$B$35,2,FALSE),0)</f>
        <v>0</v>
      </c>
      <c r="AQ84" s="8" t="s">
        <v>227</v>
      </c>
      <c r="AR84" s="8" t="s">
        <v>11</v>
      </c>
    </row>
    <row r="85" spans="1:66" ht="25" customHeight="1" x14ac:dyDescent="0.2">
      <c r="A85" s="79" t="s">
        <v>645</v>
      </c>
      <c r="B85" s="8" t="s">
        <v>647</v>
      </c>
      <c r="C85" s="29">
        <v>42713</v>
      </c>
      <c r="D85" s="41">
        <v>42713</v>
      </c>
      <c r="E85" s="68">
        <v>29</v>
      </c>
      <c r="F85" s="4">
        <v>29.5</v>
      </c>
      <c r="G85" s="37">
        <f t="shared" si="4"/>
        <v>1.7241379310344751E-2</v>
      </c>
      <c r="H85" s="57">
        <f>G85-VLOOKUP(D85,'SE index'!$A$2:$E$4114,5,FALSE)</f>
        <v>7.9956956227961017E-3</v>
      </c>
      <c r="I85" s="8">
        <v>1</v>
      </c>
      <c r="J85" s="41">
        <v>42732</v>
      </c>
      <c r="K85" s="7">
        <f>N85/(VLOOKUP(J85,'SE FX'!$A$3:$B$199,2,FALSE))</f>
        <v>15.269356933711997</v>
      </c>
      <c r="L85" s="31">
        <f>K85*'SE CPI'!$D$16</f>
        <v>15.269356933711997</v>
      </c>
      <c r="M85" s="31">
        <f t="shared" si="5"/>
        <v>2.725848005292812</v>
      </c>
      <c r="N85" s="8">
        <v>138.71600000000001</v>
      </c>
      <c r="O85" s="33" t="s">
        <v>797</v>
      </c>
      <c r="P85" s="2">
        <f t="shared" si="6"/>
        <v>0</v>
      </c>
      <c r="Q85" s="41">
        <v>42719</v>
      </c>
      <c r="R85" s="5">
        <f>VLOOKUP(Q85,Sentiment!$A$3:$B$199,2,FALSE)</f>
        <v>-5.2</v>
      </c>
      <c r="S85" s="106">
        <v>1</v>
      </c>
      <c r="T85" s="57">
        <f>VLOOKUP(D85,'SE index'!$A$2:$G$4114,6,FALSE)</f>
        <v>5.0056714437582549E-2</v>
      </c>
      <c r="U85" s="57">
        <f>VLOOKUP(D85,'SE index'!$A$2:$G$4114,7,FALSE)</f>
        <v>8.308576940792364E-3</v>
      </c>
      <c r="V85" s="8" t="s">
        <v>401</v>
      </c>
      <c r="W85" s="5">
        <v>30</v>
      </c>
      <c r="X85" s="7">
        <v>25</v>
      </c>
      <c r="Y85" s="31">
        <v>30</v>
      </c>
      <c r="Z85" s="31">
        <v>25</v>
      </c>
      <c r="AA85" s="7">
        <f>IF(AC85="FIXED",0,IF(E85&gt;W85,1,0))</f>
        <v>0</v>
      </c>
      <c r="AB85" s="7">
        <f>IF(AC85="FIXED",0,IF(E85&lt;X85,1,0))</f>
        <v>0</v>
      </c>
      <c r="AC85" s="40" t="s">
        <v>73</v>
      </c>
      <c r="AD85" s="8" t="s">
        <v>17</v>
      </c>
      <c r="AE85" s="8">
        <f t="shared" si="7"/>
        <v>0</v>
      </c>
      <c r="AF85" s="58">
        <v>13215205</v>
      </c>
      <c r="AG85" s="58">
        <f>AF85*E85</f>
        <v>383240945</v>
      </c>
      <c r="AH85" s="8" t="s">
        <v>502</v>
      </c>
      <c r="AI85" s="8">
        <v>0</v>
      </c>
      <c r="AJ85" s="8">
        <v>1</v>
      </c>
      <c r="AK85" s="29">
        <v>37987</v>
      </c>
      <c r="AL85" s="7">
        <f>LN(DATEDIF(AK85,D85,"y")+1)</f>
        <v>2.5649493574615367</v>
      </c>
      <c r="AM85" s="45">
        <f>DATEDIF(AK85,D85,"y")</f>
        <v>12</v>
      </c>
      <c r="AN85" s="8" t="s">
        <v>646</v>
      </c>
      <c r="AO85" s="35">
        <v>3663</v>
      </c>
      <c r="AP85" s="36">
        <f>IFERROR(VLOOKUP(AO85,'Tech SIC'!$A$2:$B$35,2,FALSE),0)</f>
        <v>1</v>
      </c>
      <c r="AQ85" s="8" t="s">
        <v>15</v>
      </c>
      <c r="AR85" s="8" t="s">
        <v>11</v>
      </c>
    </row>
    <row r="86" spans="1:66" ht="25" customHeight="1" x14ac:dyDescent="0.2">
      <c r="A86" s="76" t="s">
        <v>648</v>
      </c>
      <c r="B86" s="8" t="s">
        <v>650</v>
      </c>
      <c r="C86" s="29">
        <v>36917</v>
      </c>
      <c r="D86" s="41">
        <v>36920</v>
      </c>
      <c r="E86" s="56">
        <v>200</v>
      </c>
      <c r="F86" s="4">
        <v>235</v>
      </c>
      <c r="G86" s="37">
        <f t="shared" si="4"/>
        <v>0.17500000000000004</v>
      </c>
      <c r="H86" s="37">
        <f>G86-VLOOKUP(D86,'DK index'!A6:E4104,5,FALSE)</f>
        <v>0.17247536901061306</v>
      </c>
      <c r="I86" s="8">
        <v>2</v>
      </c>
      <c r="J86" s="41"/>
      <c r="K86" s="7">
        <v>25.1</v>
      </c>
      <c r="L86" s="7">
        <f>K86*'DK CPI'!$D$1</f>
        <v>31.429981638354967</v>
      </c>
      <c r="M86" s="31">
        <f t="shared" si="5"/>
        <v>3.4477622666017003</v>
      </c>
      <c r="N86" s="31"/>
      <c r="O86" s="31"/>
      <c r="P86" s="2">
        <f t="shared" si="6"/>
        <v>1</v>
      </c>
      <c r="Q86" s="41">
        <v>36906</v>
      </c>
      <c r="R86" s="5">
        <f>VLOOKUP(Q86,Sentiment!$A$3:$B$199,2,FALSE)</f>
        <v>0.6</v>
      </c>
      <c r="S86" s="107">
        <v>0</v>
      </c>
      <c r="T86" s="37">
        <f>VLOOKUP(D86,'DK index'!A6:G4104,6,FALSE)</f>
        <v>0</v>
      </c>
      <c r="U86" s="37">
        <f>VLOOKUP(D86,'DK index'!A6:G4104,7,FALSE)</f>
        <v>0</v>
      </c>
      <c r="V86" s="8" t="s">
        <v>651</v>
      </c>
      <c r="W86" s="5">
        <v>200</v>
      </c>
      <c r="X86" s="7">
        <v>160</v>
      </c>
      <c r="Y86" s="31">
        <v>200</v>
      </c>
      <c r="Z86" s="31">
        <v>160</v>
      </c>
      <c r="AA86" s="7">
        <f>IF(AC86="FIXED",0,IF(E86&gt;W86,1,0))</f>
        <v>0</v>
      </c>
      <c r="AB86" s="7">
        <f>IF(AC86="FIXED",0,IF(E86&lt;X86,1,0))</f>
        <v>0</v>
      </c>
      <c r="AC86" s="4" t="s">
        <v>73</v>
      </c>
      <c r="AD86" s="8" t="s">
        <v>17</v>
      </c>
      <c r="AE86" s="8">
        <f t="shared" si="7"/>
        <v>0</v>
      </c>
      <c r="AF86" s="58">
        <v>2700000</v>
      </c>
      <c r="AG86" s="58">
        <f>AF86*E86</f>
        <v>540000000</v>
      </c>
      <c r="AH86" s="8" t="s">
        <v>408</v>
      </c>
      <c r="AI86" s="8">
        <v>0</v>
      </c>
      <c r="AJ86" s="8">
        <v>0</v>
      </c>
      <c r="AK86" s="29">
        <v>34335</v>
      </c>
      <c r="AL86" s="7">
        <f>LN(DATEDIF(AK86,D86,"y")+1)</f>
        <v>2.0794415416798357</v>
      </c>
      <c r="AM86" s="45">
        <f>DATEDIF(AK86,D86,"y")</f>
        <v>7</v>
      </c>
      <c r="AN86" s="8" t="s">
        <v>649</v>
      </c>
      <c r="AO86" s="35">
        <v>3691</v>
      </c>
      <c r="AP86" s="36">
        <f>IFERROR(VLOOKUP(AO86,'Tech SIC'!$A$2:$B$35,2,FALSE),0)</f>
        <v>0</v>
      </c>
      <c r="AQ86" s="8" t="s">
        <v>15</v>
      </c>
      <c r="AR86" s="8" t="s">
        <v>59</v>
      </c>
    </row>
    <row r="87" spans="1:66" ht="25" customHeight="1" x14ac:dyDescent="0.2">
      <c r="A87" s="76" t="s">
        <v>652</v>
      </c>
      <c r="B87" s="8" t="s">
        <v>654</v>
      </c>
      <c r="C87" s="29">
        <v>36955</v>
      </c>
      <c r="D87" s="71">
        <v>36956</v>
      </c>
      <c r="E87" s="56">
        <v>120</v>
      </c>
      <c r="F87" s="4">
        <v>119</v>
      </c>
      <c r="G87" s="37">
        <f t="shared" si="4"/>
        <v>-8.3333333333333037E-3</v>
      </c>
      <c r="H87" s="37">
        <f>G87-VLOOKUP(D87,'DK index'!A7:E4105,5,FALSE)</f>
        <v>-1.4823229671460054E-2</v>
      </c>
      <c r="I87" s="8">
        <v>2</v>
      </c>
      <c r="J87" s="71"/>
      <c r="K87" s="7">
        <v>33</v>
      </c>
      <c r="L87" s="7">
        <f>K87*'DK CPI'!$D$1</f>
        <v>41.3222866161639</v>
      </c>
      <c r="M87" s="31">
        <f t="shared" si="5"/>
        <v>3.7214019819304425</v>
      </c>
      <c r="N87" s="31"/>
      <c r="O87" s="31"/>
      <c r="P87" s="2">
        <f t="shared" si="6"/>
        <v>1</v>
      </c>
      <c r="Q87" s="71">
        <v>36965</v>
      </c>
      <c r="R87" s="5">
        <f>VLOOKUP(Q87,Sentiment!$A$3:$B$199,2,FALSE)</f>
        <v>-0.2</v>
      </c>
      <c r="S87" s="108">
        <v>0</v>
      </c>
      <c r="T87" s="37">
        <f>VLOOKUP(D87,'DK index'!A7:G4105,6,FALSE)</f>
        <v>-7.8538953524994654E-2</v>
      </c>
      <c r="U87" s="37">
        <f>VLOOKUP(D87,'DK index'!A7:G4105,7,FALSE)</f>
        <v>1.0798926565419061E-2</v>
      </c>
      <c r="V87" s="8" t="s">
        <v>651</v>
      </c>
      <c r="W87" s="5">
        <v>130</v>
      </c>
      <c r="X87" s="7">
        <v>110</v>
      </c>
      <c r="Y87" s="8"/>
      <c r="Z87" s="8"/>
      <c r="AA87" s="7">
        <f>IF(AC87="FIXED",0,IF(E87&gt;W87,1,0))</f>
        <v>0</v>
      </c>
      <c r="AB87" s="7">
        <f>IF(AC87="FIXED",0,IF(E87&lt;X87,1,0))</f>
        <v>0</v>
      </c>
      <c r="AC87" s="66" t="s">
        <v>73</v>
      </c>
      <c r="AD87" s="8" t="s">
        <v>17</v>
      </c>
      <c r="AE87" s="8">
        <f t="shared" si="7"/>
        <v>0</v>
      </c>
      <c r="AF87" s="58">
        <v>2030000</v>
      </c>
      <c r="AG87" s="58">
        <f>AF87*E87</f>
        <v>243600000</v>
      </c>
      <c r="AH87" s="8" t="s">
        <v>26</v>
      </c>
      <c r="AI87" s="8">
        <v>0</v>
      </c>
      <c r="AJ87" s="8">
        <v>1</v>
      </c>
      <c r="AK87" s="29">
        <v>29587</v>
      </c>
      <c r="AL87" s="7">
        <f>LN(DATEDIF(AK87,D87,"y")+1)</f>
        <v>3.044522437723423</v>
      </c>
      <c r="AM87" s="45">
        <f>DATEDIF(AK87,D87,"y")</f>
        <v>20</v>
      </c>
      <c r="AN87" s="8" t="s">
        <v>653</v>
      </c>
      <c r="AO87" s="35">
        <v>3663</v>
      </c>
      <c r="AP87" s="36">
        <f>IFERROR(VLOOKUP(AO87,'Tech SIC'!$A$2:$B$35,2,FALSE),0)</f>
        <v>1</v>
      </c>
      <c r="AQ87" s="8" t="s">
        <v>15</v>
      </c>
      <c r="AR87" s="8" t="s">
        <v>59</v>
      </c>
    </row>
    <row r="88" spans="1:66" ht="25" customHeight="1" x14ac:dyDescent="0.2">
      <c r="A88" s="76" t="s">
        <v>744</v>
      </c>
      <c r="B88" s="8" t="s">
        <v>746</v>
      </c>
      <c r="C88" s="29">
        <v>37060</v>
      </c>
      <c r="D88" s="41">
        <v>37062</v>
      </c>
      <c r="E88" s="56">
        <v>200</v>
      </c>
      <c r="F88" s="4">
        <v>205</v>
      </c>
      <c r="G88" s="37">
        <f t="shared" si="4"/>
        <v>2.4999999999999911E-2</v>
      </c>
      <c r="H88" s="37">
        <f>G88-VLOOKUP(D88,'DK index'!A8:E4106,5,FALSE)</f>
        <v>1.9708299474215391E-2</v>
      </c>
      <c r="I88" s="8">
        <v>2</v>
      </c>
      <c r="J88" s="41">
        <v>37070</v>
      </c>
      <c r="K88" s="7">
        <f>N88/(VLOOKUP(J88,'DK FX'!$A$3:$B$199,2,FALSE))</f>
        <v>16.101887650670911</v>
      </c>
      <c r="L88" s="7">
        <f>K88*'DK CPI'!$D$1</f>
        <v>20.162630804917981</v>
      </c>
      <c r="M88" s="31">
        <f t="shared" si="5"/>
        <v>3.0038309309649631</v>
      </c>
      <c r="N88" s="8">
        <v>141.6</v>
      </c>
      <c r="O88" s="33" t="s">
        <v>798</v>
      </c>
      <c r="P88" s="2">
        <f t="shared" si="6"/>
        <v>1</v>
      </c>
      <c r="Q88" s="41">
        <v>37057</v>
      </c>
      <c r="R88" s="5">
        <f>VLOOKUP(Q88,Sentiment!$A$3:$B$199,2,FALSE)</f>
        <v>-3</v>
      </c>
      <c r="S88" s="106">
        <v>0</v>
      </c>
      <c r="T88" s="37">
        <f>VLOOKUP(D88,'DK index'!A4:G4102,6,FALSE)</f>
        <v>4.7584095084335559E-2</v>
      </c>
      <c r="U88" s="37">
        <f>VLOOKUP(D88,'DK index'!A4:G4102,7,FALSE)</f>
        <v>7.3226491967499519E-3</v>
      </c>
      <c r="V88" s="8" t="s">
        <v>747</v>
      </c>
      <c r="W88" s="5">
        <v>320</v>
      </c>
      <c r="X88" s="7">
        <v>270</v>
      </c>
      <c r="Y88" s="31">
        <v>320</v>
      </c>
      <c r="Z88" s="31">
        <v>270</v>
      </c>
      <c r="AA88" s="7">
        <f>IF(AC88="FIXED",0,IF(E88&gt;W88,1,0))</f>
        <v>0</v>
      </c>
      <c r="AB88" s="7">
        <f>IF(AC88="FIXED",0,IF(E88&lt;X88,1,0))</f>
        <v>1</v>
      </c>
      <c r="AC88" s="40" t="s">
        <v>73</v>
      </c>
      <c r="AD88" s="8" t="s">
        <v>17</v>
      </c>
      <c r="AE88" s="8">
        <f t="shared" si="7"/>
        <v>0</v>
      </c>
      <c r="AF88" s="58">
        <v>1460000</v>
      </c>
      <c r="AG88" s="58">
        <f>AF88*E88</f>
        <v>292000000</v>
      </c>
      <c r="AH88" s="8" t="s">
        <v>748</v>
      </c>
      <c r="AI88" s="8">
        <v>0</v>
      </c>
      <c r="AJ88" s="8">
        <v>1</v>
      </c>
      <c r="AK88" s="29">
        <v>29587</v>
      </c>
      <c r="AL88" s="7">
        <f>LN(DATEDIF(AK88,D88,"y")+1)</f>
        <v>3.044522437723423</v>
      </c>
      <c r="AM88" s="45">
        <f>DATEDIF(AK88,D88,"y")</f>
        <v>20</v>
      </c>
      <c r="AN88" s="8" t="s">
        <v>745</v>
      </c>
      <c r="AO88" s="35">
        <v>7372</v>
      </c>
      <c r="AP88" s="36">
        <f>IFERROR(VLOOKUP(AO88,'Tech SIC'!$A$2:$B$35,2,FALSE),0)</f>
        <v>1</v>
      </c>
      <c r="AQ88" s="8" t="s">
        <v>13</v>
      </c>
      <c r="AR88" s="8" t="s">
        <v>59</v>
      </c>
    </row>
    <row r="89" spans="1:66" ht="25" customHeight="1" x14ac:dyDescent="0.2">
      <c r="A89" s="76" t="s">
        <v>655</v>
      </c>
      <c r="B89" s="8" t="s">
        <v>656</v>
      </c>
      <c r="C89" s="29">
        <v>38513</v>
      </c>
      <c r="D89" s="41">
        <v>38513</v>
      </c>
      <c r="E89" s="56">
        <v>22.5</v>
      </c>
      <c r="F89" s="4">
        <v>26.3</v>
      </c>
      <c r="G89" s="37">
        <f t="shared" si="4"/>
        <v>0.16888888888888887</v>
      </c>
      <c r="H89" s="37">
        <f>G89-VLOOKUP(D89,'DK index'!A16:E4114,5,FALSE)</f>
        <v>0.15900462461261866</v>
      </c>
      <c r="I89" s="8">
        <v>2</v>
      </c>
      <c r="J89" s="41"/>
      <c r="K89" s="7">
        <v>50.6</v>
      </c>
      <c r="L89" s="7">
        <f>K89*'DK CPI'!$D$5</f>
        <v>59.614431958194679</v>
      </c>
      <c r="M89" s="31">
        <f t="shared" si="5"/>
        <v>4.0878976917080383</v>
      </c>
      <c r="N89" s="31"/>
      <c r="O89" s="31"/>
      <c r="P89" s="2">
        <f t="shared" si="6"/>
        <v>0</v>
      </c>
      <c r="Q89" s="41">
        <v>38518</v>
      </c>
      <c r="R89" s="5">
        <f>VLOOKUP(Q89,Sentiment!$A$3:$B$199,2,FALSE)</f>
        <v>-14.5</v>
      </c>
      <c r="S89" s="106">
        <v>1</v>
      </c>
      <c r="T89" s="37">
        <f>VLOOKUP(D89,'DK index'!A9:G4107,6,FALSE)</f>
        <v>4.8041565515569623E-2</v>
      </c>
      <c r="U89" s="37">
        <f>VLOOKUP(D89,'DK index'!A9:G4107,7,FALSE)</f>
        <v>8.4734126964599397E-3</v>
      </c>
      <c r="V89" s="8" t="s">
        <v>651</v>
      </c>
      <c r="W89" s="5">
        <v>25.5</v>
      </c>
      <c r="X89" s="7">
        <v>20.5</v>
      </c>
      <c r="Y89" s="31">
        <v>25.5</v>
      </c>
      <c r="Z89" s="31">
        <v>20.5</v>
      </c>
      <c r="AA89" s="7">
        <f>IF(AC89="FIXED",0,IF(E89&gt;W89,1,0))</f>
        <v>0</v>
      </c>
      <c r="AB89" s="7">
        <f>IF(AC89="FIXED",0,IF(E89&lt;X89,1,0))</f>
        <v>0</v>
      </c>
      <c r="AC89" s="4" t="s">
        <v>73</v>
      </c>
      <c r="AD89" s="8" t="s">
        <v>17</v>
      </c>
      <c r="AE89" s="8">
        <f t="shared" si="7"/>
        <v>0</v>
      </c>
      <c r="AF89" s="58">
        <v>10000000</v>
      </c>
      <c r="AG89" s="58">
        <f>AF89*E89</f>
        <v>225000000</v>
      </c>
      <c r="AH89" s="8" t="s">
        <v>657</v>
      </c>
      <c r="AI89" s="8">
        <v>0</v>
      </c>
      <c r="AJ89" s="8">
        <v>1</v>
      </c>
      <c r="AK89" s="29">
        <v>36526</v>
      </c>
      <c r="AL89" s="7">
        <f>LN(DATEDIF(AK89,D89,"y")+1)</f>
        <v>1.791759469228055</v>
      </c>
      <c r="AM89" s="45">
        <f>DATEDIF(AK89,D89,"y")</f>
        <v>5</v>
      </c>
      <c r="AN89" s="8" t="s">
        <v>65</v>
      </c>
      <c r="AO89" s="35">
        <v>2836</v>
      </c>
      <c r="AP89" s="36">
        <f>IFERROR(VLOOKUP(AO89,'Tech SIC'!$A$2:$B$35,2,FALSE),0)</f>
        <v>0</v>
      </c>
      <c r="AQ89" s="8" t="s">
        <v>15</v>
      </c>
      <c r="AR89" s="8" t="s">
        <v>59</v>
      </c>
    </row>
    <row r="90" spans="1:66" ht="25" customHeight="1" x14ac:dyDescent="0.2">
      <c r="A90" s="76" t="s">
        <v>749</v>
      </c>
      <c r="B90" s="8" t="s">
        <v>751</v>
      </c>
      <c r="C90" s="29">
        <v>38639</v>
      </c>
      <c r="D90" s="41">
        <v>38639</v>
      </c>
      <c r="E90" s="56">
        <v>230</v>
      </c>
      <c r="F90" s="4">
        <v>255</v>
      </c>
      <c r="G90" s="37">
        <f t="shared" si="4"/>
        <v>0.10869565217391308</v>
      </c>
      <c r="H90" s="37">
        <f>G90-VLOOKUP(D90,'DK index'!A9:E4107,5,FALSE)</f>
        <v>0.11180424530941649</v>
      </c>
      <c r="I90" s="8">
        <v>2</v>
      </c>
      <c r="J90" s="41">
        <v>38653</v>
      </c>
      <c r="K90" s="7">
        <f>N90/(VLOOKUP(J90,'DK FX'!$A$3:$B$199,2,FALSE))</f>
        <v>6556.403527778446</v>
      </c>
      <c r="L90" s="7">
        <f>K90*'DK CPI'!$D$5</f>
        <v>7724.4322529094015</v>
      </c>
      <c r="M90" s="31">
        <f t="shared" si="5"/>
        <v>8.9521436042960634</v>
      </c>
      <c r="N90" s="8">
        <v>40850</v>
      </c>
      <c r="O90" s="33" t="s">
        <v>798</v>
      </c>
      <c r="P90" s="2">
        <f t="shared" si="6"/>
        <v>0</v>
      </c>
      <c r="Q90" s="41">
        <v>38640</v>
      </c>
      <c r="R90" s="5">
        <f>VLOOKUP(Q90,Sentiment!$A$3:$B$199,2,FALSE)</f>
        <v>-13.6</v>
      </c>
      <c r="S90" s="107">
        <v>1</v>
      </c>
      <c r="T90" s="37">
        <f>VLOOKUP(D90,'DK index'!A5:G4103,6,FALSE)</f>
        <v>-3.6382670263685343E-2</v>
      </c>
      <c r="U90" s="37">
        <f>VLOOKUP(D90,'DK index'!A5:G4103,7,FALSE)</f>
        <v>7.3236225945926981E-3</v>
      </c>
      <c r="V90" s="8" t="s">
        <v>747</v>
      </c>
      <c r="W90" s="5">
        <v>230</v>
      </c>
      <c r="X90" s="7">
        <v>195</v>
      </c>
      <c r="Y90" s="31">
        <v>230</v>
      </c>
      <c r="Z90" s="31">
        <v>195</v>
      </c>
      <c r="AA90" s="7">
        <f>IF(AC90="FIXED",0,IF(E90&gt;W90,1,0))</f>
        <v>0</v>
      </c>
      <c r="AB90" s="7">
        <f>IF(AC90="FIXED",0,IF(E90&lt;X90,1,0))</f>
        <v>0</v>
      </c>
      <c r="AC90" s="40" t="s">
        <v>73</v>
      </c>
      <c r="AD90" s="8" t="s">
        <v>17</v>
      </c>
      <c r="AE90" s="8">
        <f t="shared" si="7"/>
        <v>0</v>
      </c>
      <c r="AF90" s="58">
        <v>24700000</v>
      </c>
      <c r="AG90" s="58">
        <f>AF90*E90</f>
        <v>5681000000</v>
      </c>
      <c r="AH90" s="8" t="s">
        <v>752</v>
      </c>
      <c r="AI90" s="8">
        <v>1</v>
      </c>
      <c r="AJ90" s="8">
        <v>1</v>
      </c>
      <c r="AK90" s="29" t="s">
        <v>815</v>
      </c>
      <c r="AL90" s="7">
        <f>LN(2004-1853+1)</f>
        <v>5.0238805208462765</v>
      </c>
      <c r="AM90" s="45">
        <f>-1880+2005</f>
        <v>125</v>
      </c>
      <c r="AN90" s="8" t="s">
        <v>750</v>
      </c>
      <c r="AO90" s="35">
        <v>6311</v>
      </c>
      <c r="AP90" s="36">
        <f>IFERROR(VLOOKUP(AO90,'Tech SIC'!$A$2:$B$35,2,FALSE),0)</f>
        <v>0</v>
      </c>
      <c r="AQ90" s="8" t="s">
        <v>132</v>
      </c>
      <c r="AR90" s="8" t="s">
        <v>59</v>
      </c>
    </row>
    <row r="91" spans="1:66" ht="25" customHeight="1" x14ac:dyDescent="0.2">
      <c r="A91" s="76" t="s">
        <v>658</v>
      </c>
      <c r="B91" s="8" t="s">
        <v>660</v>
      </c>
      <c r="C91" s="29">
        <v>38870</v>
      </c>
      <c r="D91" s="41">
        <v>38870</v>
      </c>
      <c r="E91" s="68">
        <v>75</v>
      </c>
      <c r="F91" s="4">
        <v>79</v>
      </c>
      <c r="G91" s="37">
        <f t="shared" si="4"/>
        <v>5.3333333333333233E-2</v>
      </c>
      <c r="H91" s="37">
        <f>G91-VLOOKUP(D91,'DK index'!A11:E4109,5,FALSE)</f>
        <v>4.0812981308969959E-2</v>
      </c>
      <c r="I91" s="8">
        <v>2</v>
      </c>
      <c r="J91" s="41">
        <v>38896</v>
      </c>
      <c r="K91" s="7">
        <f>N91/(VLOOKUP(J91,'DK FX'!$A$3:$B$199,2,FALSE))</f>
        <v>29.355560317120201</v>
      </c>
      <c r="L91" s="7">
        <f>K91*'DK CPI'!$D$6</f>
        <v>33.998211468823833</v>
      </c>
      <c r="M91" s="31">
        <f t="shared" si="5"/>
        <v>3.5263079193744074</v>
      </c>
      <c r="N91" s="8">
        <v>171.25299999999999</v>
      </c>
      <c r="O91" s="8" t="s">
        <v>798</v>
      </c>
      <c r="P91" s="2">
        <f t="shared" si="6"/>
        <v>0</v>
      </c>
      <c r="Q91" s="41">
        <v>38883</v>
      </c>
      <c r="R91" s="5">
        <f>VLOOKUP(Q91,Sentiment!$A$3:$B$199,2,FALSE)</f>
        <v>-8.9</v>
      </c>
      <c r="S91" s="108">
        <v>1</v>
      </c>
      <c r="T91" s="37">
        <f>VLOOKUP(D91,'DK index'!A5:G4103,6,FALSE)</f>
        <v>-4.4544034561044672E-2</v>
      </c>
      <c r="U91" s="37">
        <f>VLOOKUP(D91,'DK index'!A5:G4103,7,FALSE)</f>
        <v>1.5562119742820534E-2</v>
      </c>
      <c r="V91" s="8" t="s">
        <v>651</v>
      </c>
      <c r="X91" s="7"/>
      <c r="Y91" s="8"/>
      <c r="Z91" s="8"/>
      <c r="AA91" s="7">
        <v>0</v>
      </c>
      <c r="AB91" s="7">
        <v>0</v>
      </c>
      <c r="AC91" s="40" t="s">
        <v>10</v>
      </c>
      <c r="AD91" s="8" t="s">
        <v>10</v>
      </c>
      <c r="AE91" s="8">
        <f t="shared" si="7"/>
        <v>1</v>
      </c>
      <c r="AF91" s="58">
        <v>2500000</v>
      </c>
      <c r="AG91" s="58">
        <f>AF91*E91</f>
        <v>187500000</v>
      </c>
      <c r="AH91" s="8" t="s">
        <v>661</v>
      </c>
      <c r="AI91" s="8">
        <v>0</v>
      </c>
      <c r="AJ91" s="8">
        <v>1</v>
      </c>
      <c r="AK91" s="29">
        <v>37987</v>
      </c>
      <c r="AL91" s="7">
        <f>LN(DATEDIF(AK91,D91,"y")+1)</f>
        <v>1.0986122886681098</v>
      </c>
      <c r="AM91" s="45">
        <f>DATEDIF(AK91,D91,"y")</f>
        <v>2</v>
      </c>
      <c r="AN91" s="8" t="s">
        <v>659</v>
      </c>
      <c r="AO91" s="35">
        <v>2834</v>
      </c>
      <c r="AP91" s="36">
        <f>IFERROR(VLOOKUP(AO91,'Tech SIC'!$A$2:$B$35,2,FALSE),0)</f>
        <v>0</v>
      </c>
      <c r="AQ91" s="8" t="s">
        <v>15</v>
      </c>
      <c r="AR91" s="8" t="s">
        <v>59</v>
      </c>
    </row>
    <row r="92" spans="1:66" ht="25" customHeight="1" x14ac:dyDescent="0.2">
      <c r="A92" s="80" t="s">
        <v>753</v>
      </c>
      <c r="B92" s="8" t="s">
        <v>754</v>
      </c>
      <c r="C92" s="29">
        <v>38898</v>
      </c>
      <c r="D92" s="41">
        <v>38897</v>
      </c>
      <c r="E92" s="56">
        <v>44</v>
      </c>
      <c r="F92" s="4">
        <v>48</v>
      </c>
      <c r="G92" s="37">
        <f t="shared" si="4"/>
        <v>9.0909090909090828E-2</v>
      </c>
      <c r="H92" s="37">
        <f>G92-VLOOKUP(D92,'DK index'!A6:E4104,5,FALSE)</f>
        <v>7.9107342610095457E-2</v>
      </c>
      <c r="I92" s="8">
        <v>2</v>
      </c>
      <c r="J92" s="41">
        <v>38896</v>
      </c>
      <c r="K92" s="7">
        <f>N92/(VLOOKUP(J92,'DK FX'!$A$3:$B$199,2,FALSE))</f>
        <v>1.6839940004285407</v>
      </c>
      <c r="L92" s="7">
        <f>K92*'DK CPI'!$D$6</f>
        <v>1.9503216263056729</v>
      </c>
      <c r="M92" s="31">
        <f t="shared" si="5"/>
        <v>0.66799429554212708</v>
      </c>
      <c r="N92" s="8">
        <v>9.8239999999999998</v>
      </c>
      <c r="O92" s="8" t="s">
        <v>798</v>
      </c>
      <c r="P92" s="2">
        <f t="shared" si="6"/>
        <v>1</v>
      </c>
      <c r="Q92" s="41">
        <v>38883</v>
      </c>
      <c r="R92" s="5">
        <f>VLOOKUP(Q92,Sentiment!$A$3:$B$199,2,FALSE)</f>
        <v>-8.9</v>
      </c>
      <c r="S92" s="107">
        <v>1</v>
      </c>
      <c r="T92" s="37">
        <f>VLOOKUP(D92,'DK index'!A2:G4100,6,FALSE)</f>
        <v>-8.7297547514874133E-2</v>
      </c>
      <c r="U92" s="37">
        <f>VLOOKUP(D92,'DK index'!A2:G4100,7,FALSE)</f>
        <v>1.8204977134071879E-2</v>
      </c>
      <c r="V92" s="8" t="s">
        <v>747</v>
      </c>
      <c r="X92" s="7"/>
      <c r="Y92" s="8"/>
      <c r="Z92" s="8"/>
      <c r="AA92" s="7">
        <v>0</v>
      </c>
      <c r="AB92" s="7">
        <v>0</v>
      </c>
      <c r="AC92" s="4" t="s">
        <v>10</v>
      </c>
      <c r="AD92" s="8" t="s">
        <v>17</v>
      </c>
      <c r="AE92" s="8">
        <f t="shared" si="7"/>
        <v>1</v>
      </c>
      <c r="AF92" s="58">
        <v>541303</v>
      </c>
      <c r="AG92" s="58">
        <f>AF92*E92</f>
        <v>23817332</v>
      </c>
      <c r="AH92" s="33" t="s">
        <v>827</v>
      </c>
      <c r="AI92" s="8">
        <v>0</v>
      </c>
      <c r="AJ92" s="8">
        <v>0</v>
      </c>
      <c r="AK92" s="29">
        <v>36892</v>
      </c>
      <c r="AL92" s="7">
        <f>LN(DATEDIF(AK92,D92,"y")+1)</f>
        <v>1.791759469228055</v>
      </c>
      <c r="AM92" s="45">
        <f>DATEDIF(AK92,D92,"y")</f>
        <v>5</v>
      </c>
      <c r="AN92" s="8" t="s">
        <v>143</v>
      </c>
      <c r="AO92" s="35">
        <v>7372</v>
      </c>
      <c r="AP92" s="36">
        <f>IFERROR(VLOOKUP(AO92,'Tech SIC'!$A$2:$B$35,2,FALSE),0)</f>
        <v>1</v>
      </c>
      <c r="AQ92" s="8" t="s">
        <v>13</v>
      </c>
      <c r="AR92" s="8" t="s">
        <v>59</v>
      </c>
    </row>
    <row r="93" spans="1:66" ht="25" customHeight="1" x14ac:dyDescent="0.2">
      <c r="A93" s="76" t="s">
        <v>755</v>
      </c>
      <c r="B93" s="8"/>
      <c r="C93" s="29">
        <v>39006</v>
      </c>
      <c r="D93" s="41">
        <v>39017</v>
      </c>
      <c r="E93" s="56">
        <v>261.5</v>
      </c>
      <c r="F93" s="4">
        <v>267</v>
      </c>
      <c r="G93" s="37">
        <f t="shared" si="4"/>
        <v>2.1032504780114758E-2</v>
      </c>
      <c r="H93" s="37">
        <f>G93-VLOOKUP(D93,'DK index'!A7:E4105,5,FALSE)</f>
        <v>3.4789511191420021E-2</v>
      </c>
      <c r="I93" s="8">
        <v>2</v>
      </c>
      <c r="J93" s="41"/>
      <c r="K93" s="7">
        <v>147.6</v>
      </c>
      <c r="L93" s="7">
        <f>K93*'DK CPI'!$D$6</f>
        <v>170.94328837837969</v>
      </c>
      <c r="M93" s="31">
        <f t="shared" si="5"/>
        <v>5.1413318545856006</v>
      </c>
      <c r="N93" s="31"/>
      <c r="O93" s="31"/>
      <c r="P93" s="2">
        <f t="shared" si="6"/>
        <v>1</v>
      </c>
      <c r="Q93" s="41">
        <v>39005</v>
      </c>
      <c r="R93" s="5">
        <f>VLOOKUP(Q93,Sentiment!$A$3:$B$199,2,FALSE)</f>
        <v>-8.4</v>
      </c>
      <c r="S93" s="106">
        <v>1</v>
      </c>
      <c r="T93" s="37">
        <f>VLOOKUP(D93,'DK index'!A3:G4101,6,FALSE)</f>
        <v>6.5585138723092462E-2</v>
      </c>
      <c r="U93" s="37">
        <f>VLOOKUP(D93,'DK index'!A3:G4101,7,FALSE)</f>
        <v>6.1201626578835586E-3</v>
      </c>
      <c r="V93" s="8" t="s">
        <v>747</v>
      </c>
      <c r="W93" s="5">
        <v>300</v>
      </c>
      <c r="X93" s="7">
        <v>250</v>
      </c>
      <c r="Y93" s="8"/>
      <c r="Z93" s="8"/>
      <c r="AA93" s="7">
        <f>IF(AC93="FIXED",0,IF(E93&gt;W93,1,0))</f>
        <v>0</v>
      </c>
      <c r="AB93" s="7">
        <f>IF(AC93="FIXED",0,IF(E93&lt;X93,1,0))</f>
        <v>0</v>
      </c>
      <c r="AC93" s="4" t="s">
        <v>73</v>
      </c>
      <c r="AD93" s="8" t="s">
        <v>17</v>
      </c>
      <c r="AE93" s="8">
        <f t="shared" si="7"/>
        <v>0</v>
      </c>
      <c r="AF93" s="58">
        <v>5000000</v>
      </c>
      <c r="AG93" s="58">
        <f>AF93*E93</f>
        <v>1307500000</v>
      </c>
      <c r="AH93" s="8" t="s">
        <v>756</v>
      </c>
      <c r="AI93" s="8">
        <v>0</v>
      </c>
      <c r="AJ93" s="8">
        <v>0</v>
      </c>
      <c r="AK93" s="29">
        <v>35431</v>
      </c>
      <c r="AL93" s="7">
        <f>LN(DATEDIF(AK93,D93,"y")+1)</f>
        <v>2.3025850929940459</v>
      </c>
      <c r="AM93" s="45">
        <f>DATEDIF(AK93,D93,"y")</f>
        <v>9</v>
      </c>
      <c r="AN93" s="8" t="s">
        <v>743</v>
      </c>
      <c r="AO93" s="35">
        <v>6799</v>
      </c>
      <c r="AP93" s="36">
        <f>IFERROR(VLOOKUP(AO93,'Tech SIC'!$A$2:$B$35,2,FALSE),0)</f>
        <v>0</v>
      </c>
      <c r="AQ93" s="8" t="s">
        <v>48</v>
      </c>
      <c r="AR93" s="8" t="s">
        <v>59</v>
      </c>
    </row>
    <row r="94" spans="1:66" ht="25" customHeight="1" x14ac:dyDescent="0.2">
      <c r="A94" s="76" t="s">
        <v>662</v>
      </c>
      <c r="B94" s="8" t="s">
        <v>664</v>
      </c>
      <c r="C94" s="29">
        <v>39034</v>
      </c>
      <c r="D94" s="41">
        <v>39034</v>
      </c>
      <c r="E94" s="56">
        <v>44</v>
      </c>
      <c r="F94" s="4">
        <v>47.1</v>
      </c>
      <c r="G94" s="37">
        <f t="shared" si="4"/>
        <v>7.0454545454545547E-2</v>
      </c>
      <c r="H94" s="37">
        <f>G94-VLOOKUP(D94,'DK index'!A19:E4117,5,FALSE)</f>
        <v>7.3483534468688078E-2</v>
      </c>
      <c r="I94" s="8">
        <v>2</v>
      </c>
      <c r="J94" s="41">
        <v>39049</v>
      </c>
      <c r="K94" s="7">
        <f>N94/(VLOOKUP(J94,'DK FX'!$A$3:$B$199,2,FALSE))</f>
        <v>90.154685916469603</v>
      </c>
      <c r="L94" s="7">
        <f>K94*'DK CPI'!$D$6</f>
        <v>104.41286228510373</v>
      </c>
      <c r="M94" s="31">
        <f t="shared" si="5"/>
        <v>4.6483528698243948</v>
      </c>
      <c r="N94" s="8">
        <v>507.05700000000002</v>
      </c>
      <c r="O94" s="33" t="s">
        <v>798</v>
      </c>
      <c r="P94" s="2">
        <f t="shared" si="6"/>
        <v>0</v>
      </c>
      <c r="Q94" s="41">
        <v>39036</v>
      </c>
      <c r="R94" s="5">
        <f>VLOOKUP(Q94,Sentiment!$A$3:$B$199,2,FALSE)</f>
        <v>-7.9</v>
      </c>
      <c r="S94" s="106">
        <v>1</v>
      </c>
      <c r="T94" s="37">
        <f>VLOOKUP(D94,'DK index'!A10:G4108,6,FALSE)</f>
        <v>5.0076147308853167E-2</v>
      </c>
      <c r="U94" s="37">
        <f>VLOOKUP(D94,'DK index'!A10:G4108,7,FALSE)</f>
        <v>6.1418681565832637E-3</v>
      </c>
      <c r="V94" s="8" t="s">
        <v>651</v>
      </c>
      <c r="W94" s="5">
        <v>50</v>
      </c>
      <c r="X94" s="7">
        <v>38</v>
      </c>
      <c r="Y94" s="31">
        <v>50</v>
      </c>
      <c r="Z94" s="31">
        <v>38</v>
      </c>
      <c r="AA94" s="7">
        <f>IF(AC94="FIXED",0,IF(E94&gt;W94,1,0))</f>
        <v>0</v>
      </c>
      <c r="AB94" s="7">
        <f>IF(AC94="FIXED",0,IF(E94&lt;X94,1,0))</f>
        <v>0</v>
      </c>
      <c r="AC94" s="40" t="s">
        <v>73</v>
      </c>
      <c r="AD94" s="8" t="s">
        <v>17</v>
      </c>
      <c r="AE94" s="8">
        <f t="shared" si="7"/>
        <v>0</v>
      </c>
      <c r="AF94" s="58">
        <v>11000000</v>
      </c>
      <c r="AG94" s="58">
        <f>AF94*E94</f>
        <v>484000000</v>
      </c>
      <c r="AH94" s="8" t="s">
        <v>665</v>
      </c>
      <c r="AI94" s="8">
        <v>1</v>
      </c>
      <c r="AJ94" s="8">
        <v>1</v>
      </c>
      <c r="AK94" s="29">
        <v>37257</v>
      </c>
      <c r="AL94" s="7">
        <f>LN(DATEDIF(AK94,D94,"y")+1)</f>
        <v>1.6094379124341003</v>
      </c>
      <c r="AM94" s="45">
        <f>DATEDIF(AK94,D94,"y")</f>
        <v>4</v>
      </c>
      <c r="AN94" s="8" t="s">
        <v>663</v>
      </c>
      <c r="AO94" s="35">
        <v>2834</v>
      </c>
      <c r="AP94" s="36">
        <f>IFERROR(VLOOKUP(AO94,'Tech SIC'!$A$2:$B$35,2,FALSE),0)</f>
        <v>0</v>
      </c>
      <c r="AQ94" s="8" t="s">
        <v>15</v>
      </c>
      <c r="AR94" s="8" t="s">
        <v>59</v>
      </c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</row>
    <row r="95" spans="1:66" ht="25" customHeight="1" x14ac:dyDescent="0.2">
      <c r="A95" s="76" t="s">
        <v>666</v>
      </c>
      <c r="B95" s="8" t="s">
        <v>668</v>
      </c>
      <c r="C95" s="29">
        <v>39231</v>
      </c>
      <c r="D95" s="41">
        <v>39231</v>
      </c>
      <c r="E95" s="56">
        <v>40</v>
      </c>
      <c r="F95" s="4">
        <v>45</v>
      </c>
      <c r="G95" s="37">
        <f t="shared" si="4"/>
        <v>0.125</v>
      </c>
      <c r="H95" s="37">
        <f>G95-VLOOKUP(D95,'DK index'!A12:E4110,5,FALSE)</f>
        <v>0.12066847137950114</v>
      </c>
      <c r="I95" s="8">
        <v>2</v>
      </c>
      <c r="J95" s="41"/>
      <c r="K95" s="7">
        <v>11.9</v>
      </c>
      <c r="L95" s="7">
        <f>K95*'DK CPI'!$D$7</f>
        <v>13.644290496716486</v>
      </c>
      <c r="M95" s="31">
        <f t="shared" si="5"/>
        <v>2.6133211554992331</v>
      </c>
      <c r="N95" s="31"/>
      <c r="O95" s="31"/>
      <c r="P95" s="2">
        <f t="shared" si="6"/>
        <v>0</v>
      </c>
      <c r="Q95" s="41">
        <v>39217</v>
      </c>
      <c r="R95" s="5">
        <f>VLOOKUP(Q95,Sentiment!$A$3:$B$199,2,FALSE)</f>
        <v>-1.5</v>
      </c>
      <c r="S95" s="106">
        <v>1</v>
      </c>
      <c r="T95" s="37">
        <f>VLOOKUP(D95,'DK index'!A8:G4106,6,FALSE)</f>
        <v>6.0354523228808861E-2</v>
      </c>
      <c r="U95" s="37">
        <f>VLOOKUP(D95,'DK index'!A8:G4106,7,FALSE)</f>
        <v>6.670149874982865E-3</v>
      </c>
      <c r="V95" s="8" t="s">
        <v>651</v>
      </c>
      <c r="W95" s="5">
        <v>42</v>
      </c>
      <c r="X95" s="7">
        <v>32</v>
      </c>
      <c r="Y95" s="31">
        <v>42</v>
      </c>
      <c r="Z95" s="31">
        <v>32</v>
      </c>
      <c r="AA95" s="7">
        <f>IF(AC95="FIXED",0,IF(E95&gt;W95,1,0))</f>
        <v>0</v>
      </c>
      <c r="AB95" s="7">
        <f>IF(AC95="FIXED",0,IF(E95&lt;X95,1,0))</f>
        <v>0</v>
      </c>
      <c r="AC95" s="4" t="s">
        <v>73</v>
      </c>
      <c r="AD95" s="8" t="s">
        <v>17</v>
      </c>
      <c r="AE95" s="8">
        <f t="shared" si="7"/>
        <v>0</v>
      </c>
      <c r="AF95" s="58">
        <v>8700000</v>
      </c>
      <c r="AG95" s="58">
        <f>AF95*E95</f>
        <v>348000000</v>
      </c>
      <c r="AH95" s="8" t="s">
        <v>661</v>
      </c>
      <c r="AI95" s="8">
        <v>0</v>
      </c>
      <c r="AJ95" s="8">
        <v>1</v>
      </c>
      <c r="AK95" s="29">
        <v>34700</v>
      </c>
      <c r="AL95" s="7">
        <f>LN(DATEDIF(AK95,D95,"y")+1)</f>
        <v>2.5649493574615367</v>
      </c>
      <c r="AM95" s="45">
        <f>DATEDIF(AK95,D95,"y")</f>
        <v>12</v>
      </c>
      <c r="AN95" s="8" t="s">
        <v>667</v>
      </c>
      <c r="AO95" s="35">
        <v>3841</v>
      </c>
      <c r="AP95" s="36">
        <f>IFERROR(VLOOKUP(AO95,'Tech SIC'!$A$2:$B$35,2,FALSE),0)</f>
        <v>1</v>
      </c>
      <c r="AQ95" s="8" t="s">
        <v>15</v>
      </c>
      <c r="AR95" s="8" t="s">
        <v>59</v>
      </c>
    </row>
    <row r="96" spans="1:66" ht="25" customHeight="1" x14ac:dyDescent="0.2">
      <c r="A96" s="76" t="s">
        <v>669</v>
      </c>
      <c r="B96" s="8" t="s">
        <v>670</v>
      </c>
      <c r="C96" s="29">
        <v>39245</v>
      </c>
      <c r="D96" s="41">
        <v>39245</v>
      </c>
      <c r="E96" s="56">
        <v>85</v>
      </c>
      <c r="F96" s="4">
        <v>93</v>
      </c>
      <c r="G96" s="37">
        <f t="shared" si="4"/>
        <v>9.4117647058823639E-2</v>
      </c>
      <c r="H96" s="37">
        <f>G96-VLOOKUP(D96,'DK index'!A22:E4120,5,FALSE)</f>
        <v>0.10329670181782</v>
      </c>
      <c r="I96" s="8">
        <v>2</v>
      </c>
      <c r="J96" s="41"/>
      <c r="K96" s="7">
        <v>183.4</v>
      </c>
      <c r="L96" s="7">
        <f>K96*'DK CPI'!$D$7</f>
        <v>210.28259471410115</v>
      </c>
      <c r="M96" s="31">
        <f t="shared" si="5"/>
        <v>5.3484523152041135</v>
      </c>
      <c r="N96" s="31"/>
      <c r="O96" s="31"/>
      <c r="P96" s="2">
        <f t="shared" si="6"/>
        <v>0</v>
      </c>
      <c r="Q96" s="41">
        <v>39248</v>
      </c>
      <c r="R96" s="5">
        <f>VLOOKUP(Q96,Sentiment!$A$3:$B$199,2,FALSE)</f>
        <v>-1.9000000000000001</v>
      </c>
      <c r="S96" s="106">
        <v>1</v>
      </c>
      <c r="T96" s="37">
        <f>VLOOKUP(D96,'DK index'!A12:G4110,6,FALSE)</f>
        <v>-1.5848981296442258E-2</v>
      </c>
      <c r="U96" s="37">
        <f>VLOOKUP(D96,'DK index'!A12:G4110,7,FALSE)</f>
        <v>8.6918249029380619E-3</v>
      </c>
      <c r="V96" s="8" t="s">
        <v>651</v>
      </c>
      <c r="W96" s="5">
        <v>94</v>
      </c>
      <c r="X96" s="7">
        <v>82</v>
      </c>
      <c r="Y96" s="31">
        <v>94</v>
      </c>
      <c r="Z96" s="31">
        <v>82</v>
      </c>
      <c r="AA96" s="7">
        <f>IF(AC96="FIXED",0,IF(E96&gt;W96,1,0))</f>
        <v>0</v>
      </c>
      <c r="AB96" s="7">
        <f>IF(AC96="FIXED",0,IF(E96&lt;X96,1,0))</f>
        <v>0</v>
      </c>
      <c r="AC96" s="4" t="s">
        <v>73</v>
      </c>
      <c r="AD96" s="8" t="s">
        <v>17</v>
      </c>
      <c r="AE96" s="8">
        <f t="shared" si="7"/>
        <v>0</v>
      </c>
      <c r="AF96" s="58">
        <v>1830000</v>
      </c>
      <c r="AG96" s="58">
        <f>AF96*E96</f>
        <v>155550000</v>
      </c>
      <c r="AH96" s="8" t="s">
        <v>671</v>
      </c>
      <c r="AI96" s="8">
        <v>0</v>
      </c>
      <c r="AJ96" s="8">
        <v>1</v>
      </c>
      <c r="AK96" s="29">
        <v>30682</v>
      </c>
      <c r="AL96" s="7">
        <f>LN(DATEDIF(AK96,D96,"y")+1)</f>
        <v>3.1780538303479458</v>
      </c>
      <c r="AM96" s="45">
        <f>DATEDIF(AK96,D96,"y")</f>
        <v>23</v>
      </c>
      <c r="AN96" s="8" t="s">
        <v>54</v>
      </c>
      <c r="AO96" s="35">
        <v>4412</v>
      </c>
      <c r="AP96" s="36">
        <f>IFERROR(VLOOKUP(AO96,'Tech SIC'!$A$2:$B$35,2,FALSE),0)</f>
        <v>0</v>
      </c>
      <c r="AQ96" s="8" t="s">
        <v>55</v>
      </c>
      <c r="AR96" s="8" t="s">
        <v>59</v>
      </c>
    </row>
    <row r="97" spans="1:66" ht="25" customHeight="1" x14ac:dyDescent="0.2">
      <c r="A97" s="76" t="s">
        <v>757</v>
      </c>
      <c r="B97" s="8"/>
      <c r="C97" s="29">
        <f>DATE(2007,10,30)</f>
        <v>39385</v>
      </c>
      <c r="D97" s="41">
        <v>39385</v>
      </c>
      <c r="E97" s="68">
        <v>104</v>
      </c>
      <c r="F97" s="4">
        <v>104</v>
      </c>
      <c r="G97" s="37">
        <f t="shared" si="4"/>
        <v>0</v>
      </c>
      <c r="H97" s="37">
        <f>G97-VLOOKUP(D97,'DK index'!A9:E4107,5,FALSE)</f>
        <v>-3.0773559045854802E-3</v>
      </c>
      <c r="I97" s="8">
        <v>2</v>
      </c>
      <c r="J97" s="41">
        <v>39383</v>
      </c>
      <c r="K97" s="7">
        <f>N97/(VLOOKUP(J97,'DK FX'!$A$3:$B$199,2,FALSE))</f>
        <v>10.425963488843813</v>
      </c>
      <c r="L97" s="7">
        <f>K97*'DK CPI'!$D$7</f>
        <v>11.954191138650815</v>
      </c>
      <c r="M97" s="31">
        <f t="shared" si="5"/>
        <v>2.48108193978827</v>
      </c>
      <c r="N97" s="8">
        <f>53713/1000</f>
        <v>53.713000000000001</v>
      </c>
      <c r="O97" s="8" t="s">
        <v>798</v>
      </c>
      <c r="P97" s="2">
        <f t="shared" si="6"/>
        <v>0</v>
      </c>
      <c r="Q97" s="41">
        <v>39370</v>
      </c>
      <c r="R97" s="5">
        <f>VLOOKUP(Q97,Sentiment!$A$3:$B$199,2,FALSE)</f>
        <v>-7.2</v>
      </c>
      <c r="S97" s="106">
        <v>1</v>
      </c>
      <c r="T97" s="37">
        <f>VLOOKUP(D97,'DK index'!A3:G4101,6,FALSE)</f>
        <v>3.5250949470799875E-2</v>
      </c>
      <c r="U97" s="37">
        <f>VLOOKUP(D97,'DK index'!A3:G4101,7,FALSE)</f>
        <v>9.7146486227719948E-3</v>
      </c>
      <c r="V97" s="8" t="s">
        <v>747</v>
      </c>
      <c r="X97" s="7"/>
      <c r="Y97" s="31"/>
      <c r="Z97" s="31"/>
      <c r="AA97" s="7">
        <v>0</v>
      </c>
      <c r="AB97" s="7">
        <v>0</v>
      </c>
      <c r="AC97" s="40" t="s">
        <v>10</v>
      </c>
      <c r="AD97" s="8" t="s">
        <v>10</v>
      </c>
      <c r="AE97" s="8">
        <f t="shared" si="7"/>
        <v>1</v>
      </c>
      <c r="AF97" s="58">
        <v>1000000</v>
      </c>
      <c r="AG97" s="58">
        <f>AF97*E97</f>
        <v>104000000</v>
      </c>
      <c r="AH97" s="8" t="s">
        <v>758</v>
      </c>
      <c r="AI97" s="8">
        <v>0</v>
      </c>
      <c r="AJ97" s="8">
        <v>0</v>
      </c>
      <c r="AK97" s="29">
        <v>39083</v>
      </c>
      <c r="AL97" s="7">
        <f>LN(DATEDIF(AK97,D97,"y")+1)</f>
        <v>0</v>
      </c>
      <c r="AM97" s="45">
        <f>DATEDIF(AK97,D97,"y")</f>
        <v>0</v>
      </c>
      <c r="AN97" s="8" t="s">
        <v>743</v>
      </c>
      <c r="AO97" s="35">
        <v>6799</v>
      </c>
      <c r="AP97" s="36">
        <f>IFERROR(VLOOKUP(AO97,'Tech SIC'!$A$2:$B$35,2,FALSE),0)</f>
        <v>0</v>
      </c>
      <c r="AQ97" s="8" t="s">
        <v>48</v>
      </c>
      <c r="AR97" s="8" t="s">
        <v>59</v>
      </c>
    </row>
    <row r="98" spans="1:66" ht="25" customHeight="1" x14ac:dyDescent="0.2">
      <c r="A98" s="76" t="s">
        <v>672</v>
      </c>
      <c r="B98" s="8" t="s">
        <v>674</v>
      </c>
      <c r="C98" s="29">
        <v>39436</v>
      </c>
      <c r="D98" s="41">
        <v>39436</v>
      </c>
      <c r="E98" s="56">
        <v>8.5</v>
      </c>
      <c r="F98" s="4">
        <v>6.35</v>
      </c>
      <c r="G98" s="37">
        <f t="shared" si="4"/>
        <v>-0.25294117647058822</v>
      </c>
      <c r="H98" s="37">
        <f>G98-VLOOKUP(D98,'DK index'!A21:E4119,5,FALSE)</f>
        <v>-0.26053714436820724</v>
      </c>
      <c r="I98" s="8">
        <v>2</v>
      </c>
      <c r="J98" s="41">
        <v>39444</v>
      </c>
      <c r="K98" s="7">
        <f>N98/(VLOOKUP(J98,'DK FX'!$A$3:$B$199,2,FALSE))</f>
        <v>11.701390182449192</v>
      </c>
      <c r="L98" s="7">
        <f>K98*'DK CPI'!$D$7</f>
        <v>13.41656864409774</v>
      </c>
      <c r="M98" s="31">
        <f t="shared" si="5"/>
        <v>2.5964904091397916</v>
      </c>
      <c r="N98" s="8">
        <v>59.677675000000001</v>
      </c>
      <c r="O98" s="8" t="s">
        <v>797</v>
      </c>
      <c r="P98" s="2">
        <f t="shared" si="6"/>
        <v>0</v>
      </c>
      <c r="Q98" s="41">
        <v>39431</v>
      </c>
      <c r="R98" s="5">
        <f>VLOOKUP(Q98,Sentiment!$A$3:$B$199,2,FALSE)</f>
        <v>-9.6</v>
      </c>
      <c r="S98" s="107">
        <v>1</v>
      </c>
      <c r="T98" s="37">
        <f>VLOOKUP(D98,'DK index'!A11:G4109,6,FALSE)</f>
        <v>-7.9132357058766242E-2</v>
      </c>
      <c r="U98" s="37">
        <f>VLOOKUP(D98,'DK index'!A11:G4109,7,FALSE)</f>
        <v>1.4028699889097383E-2</v>
      </c>
      <c r="V98" s="8" t="s">
        <v>651</v>
      </c>
      <c r="X98" s="7"/>
      <c r="Y98" s="31"/>
      <c r="Z98" s="31"/>
      <c r="AA98" s="7">
        <v>0</v>
      </c>
      <c r="AB98" s="7">
        <v>0</v>
      </c>
      <c r="AC98" s="40" t="s">
        <v>10</v>
      </c>
      <c r="AD98" s="8" t="s">
        <v>10</v>
      </c>
      <c r="AE98" s="8">
        <f t="shared" si="7"/>
        <v>1</v>
      </c>
      <c r="AF98" s="58">
        <v>1300000</v>
      </c>
      <c r="AG98" s="58">
        <f>AF98*E98</f>
        <v>11050000</v>
      </c>
      <c r="AH98" s="8" t="s">
        <v>675</v>
      </c>
      <c r="AI98" s="8">
        <v>0</v>
      </c>
      <c r="AJ98" s="8">
        <v>1</v>
      </c>
      <c r="AK98" s="29">
        <v>35065</v>
      </c>
      <c r="AL98" s="7">
        <f>LN(DATEDIF(AK98,D98,"y")+1)</f>
        <v>2.4849066497880004</v>
      </c>
      <c r="AM98" s="45">
        <f>DATEDIF(AK98,D98,"y")</f>
        <v>11</v>
      </c>
      <c r="AN98" s="8" t="s">
        <v>673</v>
      </c>
      <c r="AO98" s="35">
        <v>7372</v>
      </c>
      <c r="AP98" s="36">
        <f>IFERROR(VLOOKUP(AO98,'Tech SIC'!$A$2:$B$35,2,FALSE),0)</f>
        <v>1</v>
      </c>
      <c r="AQ98" s="8" t="s">
        <v>13</v>
      </c>
      <c r="AR98" s="8" t="s">
        <v>59</v>
      </c>
    </row>
    <row r="99" spans="1:66" ht="25" customHeight="1" x14ac:dyDescent="0.2">
      <c r="A99" s="76" t="s">
        <v>676</v>
      </c>
      <c r="B99" s="8" t="s">
        <v>678</v>
      </c>
      <c r="C99" s="29">
        <v>39563</v>
      </c>
      <c r="D99" s="41">
        <v>39563</v>
      </c>
      <c r="E99" s="56">
        <v>10150</v>
      </c>
      <c r="F99" s="4">
        <v>10400</v>
      </c>
      <c r="G99" s="37">
        <f t="shared" si="4"/>
        <v>2.4630541871921263E-2</v>
      </c>
      <c r="H99" s="37">
        <f>G99-VLOOKUP(D99,'DK index'!A25:E4123,5,FALSE)</f>
        <v>7.6909255901364965E-3</v>
      </c>
      <c r="I99" s="8">
        <v>2</v>
      </c>
      <c r="J99" s="41">
        <v>39566</v>
      </c>
      <c r="K99" s="7">
        <f>N99/(VLOOKUP(J99,'DK FX'!$A$3:$B$199,2,FALSE))</f>
        <v>270.99481573429853</v>
      </c>
      <c r="L99" s="7">
        <f>K99*'DK CPI'!$D$8</f>
        <v>300.00319195290945</v>
      </c>
      <c r="M99" s="31">
        <f t="shared" si="5"/>
        <v>5.7037931144426297</v>
      </c>
      <c r="N99" s="8">
        <v>1298.973</v>
      </c>
      <c r="O99" s="8" t="s">
        <v>798</v>
      </c>
      <c r="P99" s="2">
        <f t="shared" si="6"/>
        <v>0</v>
      </c>
      <c r="Q99" s="41">
        <v>39553</v>
      </c>
      <c r="R99" s="5">
        <f>VLOOKUP(Q99,Sentiment!$A$3:$B$199,2,FALSE)</f>
        <v>-12.700000000000001</v>
      </c>
      <c r="S99" s="106">
        <v>0</v>
      </c>
      <c r="T99" s="37">
        <f>VLOOKUP(D99,'DK index'!A14:G4112,6,FALSE)</f>
        <v>1.9403488648817399E-2</v>
      </c>
      <c r="U99" s="37">
        <f>VLOOKUP(D99,'DK index'!A14:G4112,7,FALSE)</f>
        <v>1.2443821690106634E-2</v>
      </c>
      <c r="V99" s="8" t="s">
        <v>651</v>
      </c>
      <c r="X99" s="7"/>
      <c r="Y99" s="60"/>
      <c r="Z99" s="60"/>
      <c r="AA99" s="7">
        <v>0</v>
      </c>
      <c r="AB99" s="7">
        <v>0</v>
      </c>
      <c r="AC99" s="4" t="s">
        <v>10</v>
      </c>
      <c r="AD99" s="8" t="s">
        <v>10</v>
      </c>
      <c r="AE99" s="8">
        <f t="shared" si="7"/>
        <v>1</v>
      </c>
      <c r="AF99" s="58">
        <v>150000</v>
      </c>
      <c r="AG99" s="58">
        <f>AF99*E99</f>
        <v>1522500000</v>
      </c>
      <c r="AH99" s="8" t="s">
        <v>679</v>
      </c>
      <c r="AI99" s="8">
        <v>0</v>
      </c>
      <c r="AJ99" s="8">
        <v>0</v>
      </c>
      <c r="AK99" s="29">
        <v>39083</v>
      </c>
      <c r="AL99" s="7">
        <f>LN(DATEDIF(AK99,D99,"y")+1)</f>
        <v>0.69314718055994529</v>
      </c>
      <c r="AM99" s="45">
        <f>DATEDIF(AK99,D99,"y")</f>
        <v>1</v>
      </c>
      <c r="AN99" s="8" t="s">
        <v>677</v>
      </c>
      <c r="AO99" s="35">
        <v>6282</v>
      </c>
      <c r="AP99" s="36">
        <f>IFERROR(VLOOKUP(AO99,'Tech SIC'!$A$2:$B$35,2,FALSE),0)</f>
        <v>0</v>
      </c>
      <c r="AQ99" s="8" t="s">
        <v>89</v>
      </c>
      <c r="AR99" s="8" t="s">
        <v>59</v>
      </c>
    </row>
    <row r="100" spans="1:66" ht="25" customHeight="1" x14ac:dyDescent="0.2">
      <c r="A100" s="76" t="s">
        <v>680</v>
      </c>
      <c r="B100" s="8" t="s">
        <v>681</v>
      </c>
      <c r="C100" s="29">
        <v>39639</v>
      </c>
      <c r="D100" s="41">
        <v>39639</v>
      </c>
      <c r="E100" s="56">
        <v>103.75</v>
      </c>
      <c r="F100" s="4">
        <v>103.75</v>
      </c>
      <c r="G100" s="37">
        <f t="shared" si="4"/>
        <v>0</v>
      </c>
      <c r="H100" s="37">
        <f>G100-VLOOKUP(D100,'DK index'!A24:E4122,5,FALSE)</f>
        <v>4.6384435194096211E-3</v>
      </c>
      <c r="I100" s="8">
        <v>2</v>
      </c>
      <c r="J100" s="41">
        <v>39657</v>
      </c>
      <c r="K100" s="7">
        <f>N100/(VLOOKUP(J100,'DK FX'!$A$3:$B$199,2,FALSE))</f>
        <v>7.8415257693152229</v>
      </c>
      <c r="L100" s="7">
        <f>K100*'DK CPI'!$D$8</f>
        <v>8.6809142610391934</v>
      </c>
      <c r="M100" s="31">
        <f t="shared" si="5"/>
        <v>2.161126852738295</v>
      </c>
      <c r="N100" s="8">
        <v>37.497</v>
      </c>
      <c r="O100" s="8" t="s">
        <v>801</v>
      </c>
      <c r="P100" s="2">
        <f t="shared" si="6"/>
        <v>0</v>
      </c>
      <c r="Q100" s="41">
        <v>39644</v>
      </c>
      <c r="R100" s="5">
        <f>VLOOKUP(Q100,Sentiment!$A$3:$B$199,2,FALSE)</f>
        <v>-19.8</v>
      </c>
      <c r="S100" s="106">
        <v>0</v>
      </c>
      <c r="T100" s="37">
        <f>VLOOKUP(D100,'DK index'!A13:G4111,6,FALSE)</f>
        <v>-0.10387855614786681</v>
      </c>
      <c r="U100" s="37">
        <f>VLOOKUP(D100,'DK index'!A13:G4111,7,FALSE)</f>
        <v>1.4764675587817796E-2</v>
      </c>
      <c r="V100" s="8" t="s">
        <v>651</v>
      </c>
      <c r="X100" s="7"/>
      <c r="Y100" s="31"/>
      <c r="Z100" s="31"/>
      <c r="AA100" s="7">
        <v>0</v>
      </c>
      <c r="AB100" s="7">
        <v>0</v>
      </c>
      <c r="AC100" s="40" t="s">
        <v>10</v>
      </c>
      <c r="AD100" s="8" t="s">
        <v>10</v>
      </c>
      <c r="AE100" s="8">
        <f t="shared" si="7"/>
        <v>1</v>
      </c>
      <c r="AF100" s="58">
        <v>1059438</v>
      </c>
      <c r="AG100" s="58">
        <f>AF100*E100</f>
        <v>109916692.5</v>
      </c>
      <c r="AH100" s="33" t="s">
        <v>828</v>
      </c>
      <c r="AI100" s="8">
        <v>0</v>
      </c>
      <c r="AJ100" s="8">
        <v>0</v>
      </c>
      <c r="AK100" s="29">
        <v>39083</v>
      </c>
      <c r="AL100" s="7">
        <f>LN(DATEDIF(AK100,D100,"y")+1)</f>
        <v>0.69314718055994529</v>
      </c>
      <c r="AM100" s="45">
        <f>DATEDIF(AK100,D100,"y")</f>
        <v>1</v>
      </c>
      <c r="AN100" s="8" t="s">
        <v>361</v>
      </c>
      <c r="AO100" s="35">
        <v>6798</v>
      </c>
      <c r="AP100" s="36">
        <f>IFERROR(VLOOKUP(AO100,'Tech SIC'!$A$2:$B$35,2,FALSE),0)</f>
        <v>0</v>
      </c>
      <c r="AQ100" s="8" t="s">
        <v>352</v>
      </c>
      <c r="AR100" s="8" t="s">
        <v>59</v>
      </c>
    </row>
    <row r="101" spans="1:66" ht="25" customHeight="1" x14ac:dyDescent="0.2">
      <c r="A101" s="76" t="s">
        <v>683</v>
      </c>
      <c r="B101" s="8" t="s">
        <v>685</v>
      </c>
      <c r="C101" s="29">
        <v>40148</v>
      </c>
      <c r="D101" s="41">
        <v>40148</v>
      </c>
      <c r="E101" s="68">
        <v>10.199999999999999</v>
      </c>
      <c r="F101" s="4">
        <v>9</v>
      </c>
      <c r="G101" s="37">
        <f t="shared" si="4"/>
        <v>-0.11764705882352933</v>
      </c>
      <c r="H101" s="37">
        <f>G101-VLOOKUP(D101,'DK index'!A23:E4121,5,FALSE)</f>
        <v>-0.13452701474798628</v>
      </c>
      <c r="I101" s="8">
        <v>2</v>
      </c>
      <c r="J101" s="41"/>
      <c r="K101" s="7">
        <v>207.5</v>
      </c>
      <c r="L101" s="7">
        <f>K101*'DK CPI'!$D$9</f>
        <v>227.64142031831005</v>
      </c>
      <c r="M101" s="31">
        <f t="shared" si="5"/>
        <v>5.427771673033285</v>
      </c>
      <c r="N101" s="31"/>
      <c r="O101" s="31"/>
      <c r="P101" s="2">
        <f t="shared" si="6"/>
        <v>0</v>
      </c>
      <c r="Q101" s="41">
        <v>40162</v>
      </c>
      <c r="R101" s="5">
        <f>VLOOKUP(Q101,Sentiment!$A$3:$B$199,2,FALSE)</f>
        <v>-16.399999999999999</v>
      </c>
      <c r="S101" s="107">
        <v>0</v>
      </c>
      <c r="T101" s="37">
        <f>VLOOKUP(D101,'DK index'!A12:G4110,6,FALSE)</f>
        <v>-2.1435231697574858E-2</v>
      </c>
      <c r="U101" s="37">
        <f>VLOOKUP(D101,'DK index'!A12:G4110,7,FALSE)</f>
        <v>1.1421093897305921E-2</v>
      </c>
      <c r="V101" s="8" t="s">
        <v>651</v>
      </c>
      <c r="W101" s="5">
        <v>13</v>
      </c>
      <c r="X101" s="7">
        <v>10</v>
      </c>
      <c r="Y101" s="31">
        <v>13</v>
      </c>
      <c r="Z101" s="31">
        <v>10</v>
      </c>
      <c r="AA101" s="7">
        <f>IF(AC101="FIXED",0,IF(E101&gt;W101,1,0))</f>
        <v>0</v>
      </c>
      <c r="AB101" s="7">
        <f>IF(AC101="FIXED",0,IF(E101&lt;X101,1,0))</f>
        <v>0</v>
      </c>
      <c r="AC101" s="4" t="s">
        <v>73</v>
      </c>
      <c r="AD101" s="8" t="s">
        <v>17</v>
      </c>
      <c r="AE101" s="8">
        <f t="shared" si="7"/>
        <v>0</v>
      </c>
      <c r="AF101" s="58">
        <v>27500000</v>
      </c>
      <c r="AG101" s="58">
        <f>AF101*E101</f>
        <v>280500000</v>
      </c>
      <c r="AH101" s="8" t="s">
        <v>38</v>
      </c>
      <c r="AI101" s="8">
        <v>0</v>
      </c>
      <c r="AJ101" s="8">
        <v>0</v>
      </c>
      <c r="AK101" s="29">
        <v>18264</v>
      </c>
      <c r="AL101" s="7">
        <f>LN(DATEDIF(AK101,D101,"y")+1)</f>
        <v>4.0943445622221004</v>
      </c>
      <c r="AM101" s="45">
        <f>DATEDIF(AK101,D101,"y")</f>
        <v>59</v>
      </c>
      <c r="AN101" s="8" t="s">
        <v>684</v>
      </c>
      <c r="AO101" s="35">
        <v>4512</v>
      </c>
      <c r="AP101" s="36">
        <f>IFERROR(VLOOKUP(AO101,'Tech SIC'!$A$2:$B$35,2,FALSE),0)</f>
        <v>0</v>
      </c>
      <c r="AQ101" s="8" t="s">
        <v>55</v>
      </c>
      <c r="AR101" s="8" t="s">
        <v>59</v>
      </c>
    </row>
    <row r="102" spans="1:66" ht="25" customHeight="1" x14ac:dyDescent="0.2">
      <c r="A102" s="76" t="s">
        <v>686</v>
      </c>
      <c r="B102" s="8" t="s">
        <v>688</v>
      </c>
      <c r="C102" s="29">
        <v>40332</v>
      </c>
      <c r="D102" s="41">
        <v>40332</v>
      </c>
      <c r="E102" s="68">
        <v>90</v>
      </c>
      <c r="F102" s="4">
        <v>95</v>
      </c>
      <c r="G102" s="37">
        <f t="shared" si="4"/>
        <v>5.555555555555558E-2</v>
      </c>
      <c r="H102" s="37">
        <f>G102-VLOOKUP(D102,'DK index'!A8:E4106,5,FALSE)</f>
        <v>3.0164256573080982E-2</v>
      </c>
      <c r="I102" s="8">
        <v>2</v>
      </c>
      <c r="J102" s="41"/>
      <c r="K102" s="7">
        <v>1637.7</v>
      </c>
      <c r="L102" s="7">
        <f>K102*'DK CPI'!$D$10</f>
        <v>1761.1857472557931</v>
      </c>
      <c r="M102" s="31">
        <f t="shared" si="5"/>
        <v>7.47374258121644</v>
      </c>
      <c r="N102" s="60"/>
      <c r="O102" s="60"/>
      <c r="P102" s="2">
        <f t="shared" si="6"/>
        <v>0</v>
      </c>
      <c r="Q102" s="41">
        <v>40344</v>
      </c>
      <c r="R102" s="5">
        <f>VLOOKUP(Q102,Sentiment!$A$3:$B$199,2,FALSE)</f>
        <v>-17.5</v>
      </c>
      <c r="S102" s="106">
        <v>1</v>
      </c>
      <c r="T102" s="37">
        <f>VLOOKUP(D102,'DK index'!A2:G4100,6,FALSE)</f>
        <v>-3.5575274169969639E-3</v>
      </c>
      <c r="U102" s="37">
        <f>VLOOKUP(D102,'DK index'!A2:G4100,7,FALSE)</f>
        <v>2.2817068217232887E-2</v>
      </c>
      <c r="V102" s="8" t="s">
        <v>651</v>
      </c>
      <c r="W102" s="5">
        <v>117</v>
      </c>
      <c r="X102" s="7">
        <v>87</v>
      </c>
      <c r="Y102" s="31">
        <v>117</v>
      </c>
      <c r="Z102" s="31">
        <v>87</v>
      </c>
      <c r="AA102" s="7">
        <f>IF(AC102="FIXED",0,IF(E102&gt;W102,1,0))</f>
        <v>0</v>
      </c>
      <c r="AB102" s="7">
        <f>IF(AC102="FIXED",0,IF(E102&lt;X102,1,0))</f>
        <v>0</v>
      </c>
      <c r="AC102" s="4" t="s">
        <v>73</v>
      </c>
      <c r="AD102" s="8" t="s">
        <v>17</v>
      </c>
      <c r="AE102" s="8">
        <f t="shared" si="7"/>
        <v>0</v>
      </c>
      <c r="AF102" s="58">
        <v>55770732</v>
      </c>
      <c r="AG102" s="58">
        <f>AF102*E102</f>
        <v>5019365880</v>
      </c>
      <c r="AH102" s="8" t="s">
        <v>689</v>
      </c>
      <c r="AI102" s="8">
        <v>1</v>
      </c>
      <c r="AJ102" s="8">
        <v>1</v>
      </c>
      <c r="AK102" s="8" t="s">
        <v>813</v>
      </c>
      <c r="AL102" s="7">
        <f>LN(2010-1874+1)</f>
        <v>4.9199809258281251</v>
      </c>
      <c r="AM102" s="45">
        <f>-1874+2010</f>
        <v>136</v>
      </c>
      <c r="AN102" s="8" t="s">
        <v>687</v>
      </c>
      <c r="AO102" s="35">
        <v>2099</v>
      </c>
      <c r="AP102" s="36">
        <f>IFERROR(VLOOKUP(AO102,'Tech SIC'!$A$2:$B$35,2,FALSE),0)</f>
        <v>0</v>
      </c>
      <c r="AQ102" s="8" t="s">
        <v>15</v>
      </c>
      <c r="AR102" s="8" t="s">
        <v>59</v>
      </c>
    </row>
    <row r="103" spans="1:66" s="40" customFormat="1" ht="25" customHeight="1" x14ac:dyDescent="0.2">
      <c r="A103" s="76" t="s">
        <v>690</v>
      </c>
      <c r="B103" s="8" t="s">
        <v>692</v>
      </c>
      <c r="C103" s="29">
        <v>40456</v>
      </c>
      <c r="D103" s="41">
        <v>40456</v>
      </c>
      <c r="E103" s="68">
        <v>210</v>
      </c>
      <c r="F103" s="4">
        <v>263</v>
      </c>
      <c r="G103" s="37">
        <f t="shared" si="4"/>
        <v>0.25238095238095237</v>
      </c>
      <c r="H103" s="37">
        <f>G103-VLOOKUP(D103,'DK index'!A14:E4112,5,FALSE)</f>
        <v>0.24345798128560708</v>
      </c>
      <c r="I103" s="8">
        <v>2</v>
      </c>
      <c r="J103" s="41"/>
      <c r="K103" s="7">
        <v>1401.4</v>
      </c>
      <c r="L103" s="7">
        <f>K103*'DK CPI'!$D$10</f>
        <v>1507.0682702596741</v>
      </c>
      <c r="M103" s="31">
        <f t="shared" si="5"/>
        <v>7.3179214996970519</v>
      </c>
      <c r="N103" s="60"/>
      <c r="O103" s="60"/>
      <c r="P103" s="2">
        <f t="shared" si="6"/>
        <v>0</v>
      </c>
      <c r="Q103" s="41">
        <v>40466</v>
      </c>
      <c r="R103" s="5">
        <f>VLOOKUP(Q103,Sentiment!$A$3:$B$199,2,FALSE)</f>
        <v>-11.4</v>
      </c>
      <c r="S103" s="106">
        <v>1</v>
      </c>
      <c r="T103" s="37">
        <f>VLOOKUP(D103,'DK index'!A7:G4105,6,FALSE)</f>
        <v>4.9683745498651032E-2</v>
      </c>
      <c r="U103" s="37">
        <f>VLOOKUP(D103,'DK index'!A7:G4105,7,FALSE)</f>
        <v>9.6899252500611648E-3</v>
      </c>
      <c r="V103" s="8" t="s">
        <v>651</v>
      </c>
      <c r="W103" s="5">
        <v>225</v>
      </c>
      <c r="X103" s="7">
        <v>175</v>
      </c>
      <c r="Y103" s="31">
        <v>225</v>
      </c>
      <c r="Z103" s="31">
        <v>175</v>
      </c>
      <c r="AA103" s="7">
        <f>IF(AC103="FIXED",0,IF(E103&gt;W103,1,0))</f>
        <v>0</v>
      </c>
      <c r="AB103" s="7">
        <f>IF(AC103="FIXED",0,IF(E103&lt;X103,1,0))</f>
        <v>0</v>
      </c>
      <c r="AC103" s="4" t="s">
        <v>73</v>
      </c>
      <c r="AD103" s="8" t="s">
        <v>17</v>
      </c>
      <c r="AE103" s="8">
        <f t="shared" si="7"/>
        <v>0</v>
      </c>
      <c r="AF103" s="58">
        <v>47409927</v>
      </c>
      <c r="AG103" s="58">
        <f>AF103*E103</f>
        <v>9956084670</v>
      </c>
      <c r="AH103" s="8" t="s">
        <v>693</v>
      </c>
      <c r="AI103" s="8">
        <v>1</v>
      </c>
      <c r="AJ103" s="8">
        <v>1</v>
      </c>
      <c r="AK103" s="29">
        <v>29952</v>
      </c>
      <c r="AL103" s="7">
        <f>LN(DATEDIF(AK103,D103,"y")+1)</f>
        <v>3.3672958299864741</v>
      </c>
      <c r="AM103" s="45">
        <f>DATEDIF(AK103,D103,"y")</f>
        <v>28</v>
      </c>
      <c r="AN103" s="8" t="s">
        <v>691</v>
      </c>
      <c r="AO103" s="35">
        <v>3961</v>
      </c>
      <c r="AP103" s="36">
        <f>IFERROR(VLOOKUP(AO103,'Tech SIC'!$A$2:$B$35,2,FALSE),0)</f>
        <v>0</v>
      </c>
      <c r="AQ103" s="8" t="s">
        <v>15</v>
      </c>
      <c r="AR103" s="8" t="s">
        <v>59</v>
      </c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</row>
    <row r="104" spans="1:66" ht="25" customHeight="1" x14ac:dyDescent="0.2">
      <c r="A104" s="76" t="s">
        <v>759</v>
      </c>
      <c r="B104" s="8"/>
      <c r="C104" s="29">
        <v>40504</v>
      </c>
      <c r="D104" s="41">
        <v>40505</v>
      </c>
      <c r="E104" s="68">
        <v>86</v>
      </c>
      <c r="F104" s="4">
        <v>86</v>
      </c>
      <c r="G104" s="37">
        <f t="shared" si="4"/>
        <v>0</v>
      </c>
      <c r="H104" s="37">
        <f>G104-VLOOKUP(D104,'DK index'!A8:E4106,5,FALSE)</f>
        <v>5.457451336266462E-3</v>
      </c>
      <c r="I104" s="8">
        <v>2</v>
      </c>
      <c r="J104" s="41"/>
      <c r="K104" s="7">
        <v>29.7</v>
      </c>
      <c r="L104" s="7">
        <f>K104*'DK CPI'!$D$10</f>
        <v>31.939437438784303</v>
      </c>
      <c r="M104" s="31">
        <f t="shared" si="5"/>
        <v>3.4638415295692719</v>
      </c>
      <c r="N104" s="31"/>
      <c r="O104" s="31"/>
      <c r="P104" s="2">
        <f t="shared" si="6"/>
        <v>1</v>
      </c>
      <c r="Q104" s="41">
        <v>40497</v>
      </c>
      <c r="R104" s="5">
        <f>VLOOKUP(Q104,Sentiment!$A$3:$B$199,2,FALSE)</f>
        <v>-10</v>
      </c>
      <c r="S104" s="106">
        <v>1</v>
      </c>
      <c r="T104" s="37">
        <f>VLOOKUP(D104,'DK index'!A2:G4100,6,FALSE)</f>
        <v>2.0633841485115274E-2</v>
      </c>
      <c r="U104" s="37">
        <f>VLOOKUP(D104,'DK index'!A2:G4100,7,FALSE)</f>
        <v>1.0093062093051783E-2</v>
      </c>
      <c r="V104" s="8" t="s">
        <v>747</v>
      </c>
      <c r="W104" s="5">
        <v>86</v>
      </c>
      <c r="X104" s="7">
        <v>90</v>
      </c>
      <c r="Y104" s="31">
        <v>86</v>
      </c>
      <c r="Z104" s="31">
        <v>86</v>
      </c>
      <c r="AA104" s="7">
        <f>IF(AC104="FIXED",0,IF(E104&gt;W104,1,0))</f>
        <v>0</v>
      </c>
      <c r="AB104" s="7">
        <f>IF(AC104="FIXED",0,IF(E104&lt;X104,1,0))</f>
        <v>1</v>
      </c>
      <c r="AC104" s="40" t="s">
        <v>73</v>
      </c>
      <c r="AD104" s="8" t="s">
        <v>17</v>
      </c>
      <c r="AE104" s="8">
        <f t="shared" si="7"/>
        <v>0</v>
      </c>
      <c r="AF104" s="58">
        <v>4336047</v>
      </c>
      <c r="AG104" s="58">
        <f>AF104*E104</f>
        <v>372900042</v>
      </c>
      <c r="AH104" s="8" t="s">
        <v>761</v>
      </c>
      <c r="AI104" s="8">
        <v>1</v>
      </c>
      <c r="AJ104" s="8">
        <v>0</v>
      </c>
      <c r="AK104" s="29">
        <v>36161</v>
      </c>
      <c r="AL104" s="7">
        <f>LN(DATEDIF(AK104,D104,"y")+1)</f>
        <v>2.4849066497880004</v>
      </c>
      <c r="AM104" s="45">
        <f>DATEDIF(AK104,D104,"y")</f>
        <v>11</v>
      </c>
      <c r="AN104" s="8" t="s">
        <v>760</v>
      </c>
      <c r="AO104" s="35">
        <v>2836</v>
      </c>
      <c r="AP104" s="36">
        <f>IFERROR(VLOOKUP(AO104,'Tech SIC'!$A$2:$B$35,2,FALSE),0)</f>
        <v>0</v>
      </c>
      <c r="AQ104" s="8" t="s">
        <v>15</v>
      </c>
      <c r="AR104" s="8" t="s">
        <v>59</v>
      </c>
    </row>
    <row r="105" spans="1:66" ht="25" customHeight="1" x14ac:dyDescent="0.2">
      <c r="A105" s="76" t="s">
        <v>694</v>
      </c>
      <c r="B105" s="8" t="s">
        <v>696</v>
      </c>
      <c r="C105" s="29">
        <v>40731</v>
      </c>
      <c r="D105" s="41">
        <v>40731</v>
      </c>
      <c r="E105" s="68">
        <v>25</v>
      </c>
      <c r="F105" s="4">
        <v>26</v>
      </c>
      <c r="G105" s="37">
        <f t="shared" si="4"/>
        <v>4.0000000000000036E-2</v>
      </c>
      <c r="H105" s="37">
        <f>G105-VLOOKUP(D105,'DK index'!A26:E4124,5,FALSE)</f>
        <v>3.5108561675813235E-2</v>
      </c>
      <c r="I105" s="8">
        <v>2</v>
      </c>
      <c r="J105" s="41"/>
      <c r="K105" s="7">
        <v>2640.1</v>
      </c>
      <c r="L105" s="7">
        <f>K105*'DK CPI'!$D$11</f>
        <v>2761.0149371414336</v>
      </c>
      <c r="M105" s="31">
        <f t="shared" si="5"/>
        <v>7.9233536219631242</v>
      </c>
      <c r="N105" s="60"/>
      <c r="O105" s="60"/>
      <c r="P105" s="2">
        <f t="shared" si="6"/>
        <v>0</v>
      </c>
      <c r="Q105" s="41">
        <v>40739</v>
      </c>
      <c r="R105" s="5">
        <f>VLOOKUP(Q105,Sentiment!$A$3:$B$199,2,FALSE)</f>
        <v>-11.5</v>
      </c>
      <c r="S105" s="106">
        <v>0</v>
      </c>
      <c r="T105" s="37">
        <f>VLOOKUP(D105,'DK index'!A13:G4111,6,FALSE)</f>
        <v>-3.5986462797231888E-2</v>
      </c>
      <c r="U105" s="37">
        <f>VLOOKUP(D105,'DK index'!A13:G4111,7,FALSE)</f>
        <v>1.0860662892514058E-2</v>
      </c>
      <c r="V105" s="8" t="s">
        <v>651</v>
      </c>
      <c r="X105" s="7"/>
      <c r="Y105" s="31"/>
      <c r="Z105" s="31"/>
      <c r="AA105" s="7">
        <v>0</v>
      </c>
      <c r="AB105" s="7">
        <v>0</v>
      </c>
      <c r="AC105" s="40" t="s">
        <v>10</v>
      </c>
      <c r="AD105" s="8" t="s">
        <v>10</v>
      </c>
      <c r="AE105" s="8">
        <f t="shared" si="7"/>
        <v>1</v>
      </c>
      <c r="AF105" s="58">
        <v>17560000</v>
      </c>
      <c r="AG105" s="58">
        <f>AF105*E105</f>
        <v>439000000</v>
      </c>
      <c r="AH105" s="33" t="s">
        <v>12</v>
      </c>
      <c r="AI105" s="8">
        <v>0</v>
      </c>
      <c r="AJ105" s="8">
        <v>0</v>
      </c>
      <c r="AK105" s="29">
        <v>25204</v>
      </c>
      <c r="AL105" s="7">
        <f>LN(DATEDIF(AK105,D105,"y")+1)</f>
        <v>3.7612001156935624</v>
      </c>
      <c r="AM105" s="45">
        <f>DATEDIF(AK105,D105,"y")</f>
        <v>42</v>
      </c>
      <c r="AN105" s="8" t="s">
        <v>695</v>
      </c>
      <c r="AO105" s="35">
        <v>6211</v>
      </c>
      <c r="AP105" s="36">
        <f>IFERROR(VLOOKUP(AO105,'Tech SIC'!$A$2:$B$35,2,FALSE),0)</f>
        <v>0</v>
      </c>
      <c r="AQ105" s="8" t="s">
        <v>89</v>
      </c>
      <c r="AR105" s="8" t="s">
        <v>59</v>
      </c>
    </row>
    <row r="106" spans="1:66" ht="25" customHeight="1" x14ac:dyDescent="0.2">
      <c r="A106" s="76" t="s">
        <v>888</v>
      </c>
      <c r="B106" s="8" t="s">
        <v>698</v>
      </c>
      <c r="C106" s="29">
        <v>41453</v>
      </c>
      <c r="D106" s="41">
        <v>41453</v>
      </c>
      <c r="E106" s="68">
        <v>115</v>
      </c>
      <c r="F106" s="4">
        <v>119</v>
      </c>
      <c r="G106" s="37">
        <f t="shared" si="4"/>
        <v>3.4782608695652195E-2</v>
      </c>
      <c r="H106" s="37">
        <f>G106-VLOOKUP(D106,'DK index'!A20:E4118,5,FALSE)</f>
        <v>4.7667234407485423E-2</v>
      </c>
      <c r="I106" s="8">
        <v>2</v>
      </c>
      <c r="J106" s="41"/>
      <c r="K106" s="7">
        <v>989</v>
      </c>
      <c r="L106" s="7">
        <f>K106*'DK CPI'!$D$13</f>
        <v>1005.8604682880373</v>
      </c>
      <c r="M106" s="31">
        <f t="shared" si="5"/>
        <v>6.9135986415251436</v>
      </c>
      <c r="N106" s="31"/>
      <c r="O106" s="31"/>
      <c r="P106" s="2">
        <f t="shared" si="6"/>
        <v>0</v>
      </c>
      <c r="Q106" s="41">
        <v>41440</v>
      </c>
      <c r="R106" s="5">
        <f>VLOOKUP(Q106,Sentiment!$A$3:$B$199,2,FALSE)</f>
        <v>-18.8</v>
      </c>
      <c r="S106" s="106">
        <v>0</v>
      </c>
      <c r="T106" s="37">
        <f>VLOOKUP(D106,'DK index'!A11:G4109,6,FALSE)</f>
        <v>-8.3804932015855219E-2</v>
      </c>
      <c r="U106" s="37">
        <f>VLOOKUP(D106,'DK index'!A11:G4109,7,FALSE)</f>
        <v>1.0693076791215297E-2</v>
      </c>
      <c r="V106" s="8" t="s">
        <v>651</v>
      </c>
      <c r="W106" s="5">
        <v>120</v>
      </c>
      <c r="X106" s="7">
        <v>100</v>
      </c>
      <c r="Y106" s="31">
        <v>120</v>
      </c>
      <c r="Z106" s="31">
        <v>100</v>
      </c>
      <c r="AA106" s="7">
        <f>IF(AC106="FIXED",0,IF(E106&gt;W106,1,0))</f>
        <v>0</v>
      </c>
      <c r="AB106" s="7">
        <f>IF(AC106="FIXED",0,IF(E106&lt;X106,1,0))</f>
        <v>0</v>
      </c>
      <c r="AC106" s="4" t="s">
        <v>73</v>
      </c>
      <c r="AD106" s="8" t="s">
        <v>17</v>
      </c>
      <c r="AE106" s="8">
        <f t="shared" si="7"/>
        <v>0</v>
      </c>
      <c r="AF106" s="58">
        <v>21271185</v>
      </c>
      <c r="AG106" s="58">
        <f>AF106*E106</f>
        <v>2446186275</v>
      </c>
      <c r="AH106" s="8" t="s">
        <v>699</v>
      </c>
      <c r="AI106" s="8">
        <v>1</v>
      </c>
      <c r="AJ106" s="8">
        <v>1</v>
      </c>
      <c r="AK106" s="29">
        <v>17899</v>
      </c>
      <c r="AL106" s="7">
        <f>LN(DATEDIF(AK106,D106,"y")+1)</f>
        <v>4.1743872698956368</v>
      </c>
      <c r="AM106" s="45">
        <f>DATEDIF(AK106,D106,"y")</f>
        <v>64</v>
      </c>
      <c r="AN106" s="8" t="s">
        <v>697</v>
      </c>
      <c r="AO106" s="35">
        <v>5999</v>
      </c>
      <c r="AP106" s="36">
        <f>IFERROR(VLOOKUP(AO106,'Tech SIC'!$A$2:$B$35,2,FALSE),0)</f>
        <v>0</v>
      </c>
      <c r="AQ106" s="8" t="s">
        <v>316</v>
      </c>
      <c r="AR106" s="8" t="s">
        <v>59</v>
      </c>
    </row>
    <row r="107" spans="1:66" ht="25" customHeight="1" x14ac:dyDescent="0.2">
      <c r="A107" s="76" t="s">
        <v>700</v>
      </c>
      <c r="B107" s="8" t="s">
        <v>701</v>
      </c>
      <c r="C107" s="29">
        <v>41711</v>
      </c>
      <c r="D107" s="41">
        <v>41711</v>
      </c>
      <c r="E107" s="68">
        <v>160</v>
      </c>
      <c r="F107" s="4">
        <v>182.7</v>
      </c>
      <c r="G107" s="37">
        <f t="shared" si="4"/>
        <v>0.14187499999999997</v>
      </c>
      <c r="H107" s="37">
        <f>G107-VLOOKUP(D107,'DK index'!A15:E4113,5,FALSE)</f>
        <v>0.14405121669335733</v>
      </c>
      <c r="I107" s="8">
        <v>2</v>
      </c>
      <c r="J107" s="41"/>
      <c r="K107" s="7">
        <v>4845.5</v>
      </c>
      <c r="L107" s="7">
        <f>K107*'DK CPI'!$D$14</f>
        <v>4893.8943444955949</v>
      </c>
      <c r="M107" s="31">
        <f t="shared" si="5"/>
        <v>8.4957436549864926</v>
      </c>
      <c r="N107" s="60"/>
      <c r="O107" s="60"/>
      <c r="P107" s="2">
        <f t="shared" si="6"/>
        <v>0</v>
      </c>
      <c r="Q107" s="41">
        <v>41713</v>
      </c>
      <c r="R107" s="5">
        <f>VLOOKUP(Q107,Sentiment!$A$3:$B$199,2,FALSE)</f>
        <v>-9.5</v>
      </c>
      <c r="S107" s="106">
        <v>1</v>
      </c>
      <c r="T107" s="37">
        <f>VLOOKUP(D107,'DK index'!A8:G4106,6,FALSE)</f>
        <v>8.1659919779668411E-2</v>
      </c>
      <c r="U107" s="37">
        <f>VLOOKUP(D107,'DK index'!A8:G4106,7,FALSE)</f>
        <v>1.1623402307846416E-2</v>
      </c>
      <c r="V107" s="8" t="s">
        <v>651</v>
      </c>
      <c r="W107" s="5">
        <v>175</v>
      </c>
      <c r="X107" s="7">
        <v>140</v>
      </c>
      <c r="Y107" s="31">
        <v>175</v>
      </c>
      <c r="Z107" s="31">
        <v>140</v>
      </c>
      <c r="AA107" s="7">
        <f>IF(AC107="FIXED",0,IF(E107&gt;W107,1,0))</f>
        <v>0</v>
      </c>
      <c r="AB107" s="7">
        <f>IF(AC107="FIXED",0,IF(E107&lt;X107,1,0))</f>
        <v>0</v>
      </c>
      <c r="AC107" s="4" t="s">
        <v>73</v>
      </c>
      <c r="AD107" s="8" t="s">
        <v>17</v>
      </c>
      <c r="AE107" s="8">
        <f t="shared" si="7"/>
        <v>0</v>
      </c>
      <c r="AF107" s="58">
        <v>51224907</v>
      </c>
      <c r="AG107" s="58">
        <f>AF107*E107</f>
        <v>8195985120</v>
      </c>
      <c r="AH107" s="8" t="s">
        <v>702</v>
      </c>
      <c r="AI107" s="8">
        <v>1</v>
      </c>
      <c r="AJ107" s="8">
        <v>1</v>
      </c>
      <c r="AK107" s="29">
        <v>38353</v>
      </c>
      <c r="AL107" s="7">
        <f>LN(DATEDIF(AK107,D107,"y")+1)</f>
        <v>2.3025850929940459</v>
      </c>
      <c r="AM107" s="45">
        <f>DATEDIF(AK107,D107,"y")</f>
        <v>9</v>
      </c>
      <c r="AN107" s="8" t="s">
        <v>562</v>
      </c>
      <c r="AO107" s="35">
        <v>8744</v>
      </c>
      <c r="AP107" s="36">
        <f>IFERROR(VLOOKUP(AO107,'Tech SIC'!$A$2:$B$35,2,FALSE),0)</f>
        <v>0</v>
      </c>
      <c r="AQ107" s="8" t="s">
        <v>13</v>
      </c>
      <c r="AR107" s="8" t="s">
        <v>59</v>
      </c>
    </row>
    <row r="108" spans="1:66" ht="25" customHeight="1" x14ac:dyDescent="0.2">
      <c r="A108" s="79" t="s">
        <v>703</v>
      </c>
      <c r="B108" s="8" t="s">
        <v>705</v>
      </c>
      <c r="C108" s="29">
        <v>41726</v>
      </c>
      <c r="D108" s="41">
        <v>41726</v>
      </c>
      <c r="E108" s="68">
        <v>145</v>
      </c>
      <c r="F108" s="4">
        <v>175</v>
      </c>
      <c r="G108" s="37">
        <f t="shared" si="4"/>
        <v>0.2068965517241379</v>
      </c>
      <c r="H108" s="37">
        <f>G108-VLOOKUP(D108,'DK index'!A17:E4115,5,FALSE)</f>
        <v>0.19348109935007782</v>
      </c>
      <c r="I108" s="8">
        <v>2</v>
      </c>
      <c r="J108" s="41"/>
      <c r="K108" s="7">
        <v>1764.9</v>
      </c>
      <c r="L108" s="7">
        <f>K108*'DK CPI'!$D$14</f>
        <v>1782.5269071510215</v>
      </c>
      <c r="M108" s="31">
        <f t="shared" si="5"/>
        <v>7.4857872473504088</v>
      </c>
      <c r="N108" s="60"/>
      <c r="O108" s="60"/>
      <c r="P108" s="2">
        <f t="shared" si="6"/>
        <v>0</v>
      </c>
      <c r="Q108" s="41">
        <v>41713</v>
      </c>
      <c r="R108" s="5">
        <f>VLOOKUP(Q108,Sentiment!$A$3:$B$199,2,FALSE)</f>
        <v>-9.5</v>
      </c>
      <c r="S108" s="107">
        <v>1</v>
      </c>
      <c r="T108" s="37">
        <f>VLOOKUP(D108,'DK index'!A9:G4107,6,FALSE)</f>
        <v>1.809814012341477E-2</v>
      </c>
      <c r="U108" s="37">
        <f>VLOOKUP(D108,'DK index'!A9:G4107,7,FALSE)</f>
        <v>1.1559982539900584E-2</v>
      </c>
      <c r="V108" s="8" t="s">
        <v>651</v>
      </c>
      <c r="W108" s="5">
        <v>150</v>
      </c>
      <c r="X108" s="7">
        <v>120</v>
      </c>
      <c r="Y108" s="31">
        <v>150</v>
      </c>
      <c r="Z108" s="31">
        <v>120</v>
      </c>
      <c r="AA108" s="7">
        <f>IF(AC108="FIXED",0,IF(E108&gt;W108,1,0))</f>
        <v>0</v>
      </c>
      <c r="AB108" s="7">
        <f>IF(AC108="FIXED",0,IF(E108&lt;X108,1,0))</f>
        <v>0</v>
      </c>
      <c r="AC108" s="4" t="s">
        <v>73</v>
      </c>
      <c r="AD108" s="8" t="s">
        <v>17</v>
      </c>
      <c r="AE108" s="8">
        <f t="shared" si="7"/>
        <v>0</v>
      </c>
      <c r="AF108" s="58">
        <v>18661313</v>
      </c>
      <c r="AG108" s="58">
        <f>AF108*E108</f>
        <v>2705890385</v>
      </c>
      <c r="AH108" s="8" t="s">
        <v>706</v>
      </c>
      <c r="AI108" s="8">
        <v>1</v>
      </c>
      <c r="AJ108" s="8">
        <v>1</v>
      </c>
      <c r="AK108" s="29">
        <v>29221</v>
      </c>
      <c r="AL108" s="7">
        <f>LN(DATEDIF(AK108,D108,"y")+1)</f>
        <v>3.5553480614894135</v>
      </c>
      <c r="AM108" s="45">
        <f>DATEDIF(AK108,D108,"y")</f>
        <v>34</v>
      </c>
      <c r="AN108" s="8" t="s">
        <v>704</v>
      </c>
      <c r="AO108" s="35">
        <v>5172</v>
      </c>
      <c r="AP108" s="36">
        <f>IFERROR(VLOOKUP(AO108,'Tech SIC'!$A$2:$B$35,2,FALSE),0)</f>
        <v>0</v>
      </c>
      <c r="AQ108" s="8" t="s">
        <v>257</v>
      </c>
      <c r="AR108" s="8" t="s">
        <v>59</v>
      </c>
    </row>
    <row r="109" spans="1:66" ht="25" customHeight="1" x14ac:dyDescent="0.2">
      <c r="A109" s="76" t="s">
        <v>707</v>
      </c>
      <c r="B109" s="8" t="s">
        <v>709</v>
      </c>
      <c r="C109" s="29">
        <v>42069</v>
      </c>
      <c r="D109" s="41">
        <v>42069</v>
      </c>
      <c r="E109" s="68">
        <v>125</v>
      </c>
      <c r="F109" s="4">
        <v>157.5</v>
      </c>
      <c r="G109" s="37">
        <f t="shared" si="4"/>
        <v>0.26</v>
      </c>
      <c r="H109" s="37">
        <f>G109-VLOOKUP(D109,'DK index'!A9:E4107,5,FALSE)</f>
        <v>0.25589581826821672</v>
      </c>
      <c r="I109" s="8">
        <v>2</v>
      </c>
      <c r="J109" s="41"/>
      <c r="K109" s="7">
        <v>207.4</v>
      </c>
      <c r="L109" s="7">
        <f>K109*'DK CPI'!$D$15</f>
        <v>208.01731977488811</v>
      </c>
      <c r="M109" s="31">
        <f t="shared" si="5"/>
        <v>5.3376213443832183</v>
      </c>
      <c r="N109" s="31"/>
      <c r="O109" s="31"/>
      <c r="P109" s="2">
        <f t="shared" si="6"/>
        <v>0</v>
      </c>
      <c r="Q109" s="41">
        <v>42078</v>
      </c>
      <c r="R109" s="5">
        <f>VLOOKUP(Q109,Sentiment!$A$3:$B$199,2,FALSE)</f>
        <v>-3.7</v>
      </c>
      <c r="S109" s="106">
        <v>1</v>
      </c>
      <c r="T109" s="37">
        <f>VLOOKUP(D109,'DK index'!A3:G4101,6,FALSE)</f>
        <v>9.9325995191845443E-2</v>
      </c>
      <c r="U109" s="37">
        <f>VLOOKUP(D109,'DK index'!A3:G4101,7,FALSE)</f>
        <v>8.7933922314687805E-3</v>
      </c>
      <c r="V109" s="8" t="s">
        <v>651</v>
      </c>
      <c r="W109" s="5">
        <v>130</v>
      </c>
      <c r="X109" s="7">
        <v>120</v>
      </c>
      <c r="Y109" s="31">
        <v>130</v>
      </c>
      <c r="Z109" s="31">
        <v>120</v>
      </c>
      <c r="AA109" s="7">
        <f>IF(AC109="FIXED",0,IF(E109&gt;W109,1,0))</f>
        <v>0</v>
      </c>
      <c r="AB109" s="7">
        <f>IF(AC109="FIXED",0,IF(E109&lt;X109,1,0))</f>
        <v>0</v>
      </c>
      <c r="AC109" s="4" t="s">
        <v>73</v>
      </c>
      <c r="AD109" s="8" t="s">
        <v>17</v>
      </c>
      <c r="AE109" s="8">
        <f t="shared" si="7"/>
        <v>0</v>
      </c>
      <c r="AF109" s="58">
        <v>10000000</v>
      </c>
      <c r="AG109" s="58">
        <f>AF109*E109</f>
        <v>1250000000</v>
      </c>
      <c r="AH109" s="8" t="s">
        <v>710</v>
      </c>
      <c r="AI109" s="8">
        <v>1</v>
      </c>
      <c r="AJ109" s="8">
        <v>1</v>
      </c>
      <c r="AK109" s="29">
        <v>34335</v>
      </c>
      <c r="AL109" s="7">
        <f>LN(DATEDIF(AK109,D109,"y")+1)</f>
        <v>3.0910424533583161</v>
      </c>
      <c r="AM109" s="45">
        <f>DATEDIF(AK109,D109,"y")</f>
        <v>21</v>
      </c>
      <c r="AN109" s="8" t="s">
        <v>708</v>
      </c>
      <c r="AO109" s="35">
        <v>7376</v>
      </c>
      <c r="AP109" s="36">
        <f>IFERROR(VLOOKUP(AO109,'Tech SIC'!$A$2:$B$35,2,FALSE),0)</f>
        <v>0</v>
      </c>
      <c r="AQ109" s="8" t="s">
        <v>13</v>
      </c>
      <c r="AR109" s="8" t="s">
        <v>59</v>
      </c>
    </row>
    <row r="110" spans="1:66" ht="25" customHeight="1" x14ac:dyDescent="0.2">
      <c r="A110" s="76" t="s">
        <v>711</v>
      </c>
      <c r="B110" s="8" t="s">
        <v>713</v>
      </c>
      <c r="C110" s="29">
        <v>42410</v>
      </c>
      <c r="D110" s="41">
        <v>42410</v>
      </c>
      <c r="E110" s="68">
        <v>100</v>
      </c>
      <c r="F110" s="4">
        <v>100</v>
      </c>
      <c r="G110" s="37">
        <f t="shared" si="4"/>
        <v>0</v>
      </c>
      <c r="H110" s="37">
        <f>G110-VLOOKUP(D110,'DK index'!A18:E4116,5,FALSE)</f>
        <v>-4.6690187738205227E-2</v>
      </c>
      <c r="I110" s="8">
        <v>2</v>
      </c>
      <c r="J110" s="41"/>
      <c r="K110" s="7">
        <v>2096.8000000000002</v>
      </c>
      <c r="L110" s="7">
        <f>K110*'DK CPI'!$D$16</f>
        <v>2096.8000000000002</v>
      </c>
      <c r="M110" s="31">
        <f t="shared" si="5"/>
        <v>7.6481676520091968</v>
      </c>
      <c r="N110" s="60"/>
      <c r="O110" s="60"/>
      <c r="P110" s="2">
        <f t="shared" si="6"/>
        <v>0</v>
      </c>
      <c r="Q110" s="41">
        <v>42415</v>
      </c>
      <c r="R110" s="5">
        <f>VLOOKUP(Q110,Sentiment!$A$3:$B$199,2,FALSE)</f>
        <v>-8.9</v>
      </c>
      <c r="S110" s="107">
        <v>1</v>
      </c>
      <c r="T110" s="37">
        <f>VLOOKUP(D110,'DK index'!A10:G4108,6,FALSE)</f>
        <v>-0.1373479430046565</v>
      </c>
      <c r="U110" s="37">
        <f>VLOOKUP(D110,'DK index'!A10:G4108,7,FALSE)</f>
        <v>2.2378015027529233E-2</v>
      </c>
      <c r="V110" s="8" t="s">
        <v>651</v>
      </c>
      <c r="W110" s="5">
        <v>110</v>
      </c>
      <c r="X110" s="7">
        <v>93</v>
      </c>
      <c r="Y110" s="31">
        <v>110</v>
      </c>
      <c r="Z110" s="31">
        <v>93</v>
      </c>
      <c r="AA110" s="7">
        <f>IF(AC110="FIXED",0,IF(E110&gt;W110,1,0))</f>
        <v>0</v>
      </c>
      <c r="AB110" s="7">
        <f>IF(AC110="FIXED",0,IF(E110&lt;X110,1,0))</f>
        <v>0</v>
      </c>
      <c r="AC110" s="40" t="s">
        <v>73</v>
      </c>
      <c r="AD110" s="8" t="s">
        <v>17</v>
      </c>
      <c r="AE110" s="8">
        <f t="shared" si="7"/>
        <v>0</v>
      </c>
      <c r="AF110" s="58">
        <v>35600000</v>
      </c>
      <c r="AG110" s="58">
        <f>AF110*E110</f>
        <v>3560000000</v>
      </c>
      <c r="AH110" s="8" t="s">
        <v>714</v>
      </c>
      <c r="AI110" s="8">
        <v>1</v>
      </c>
      <c r="AJ110" s="8">
        <v>1</v>
      </c>
      <c r="AK110" s="29" t="s">
        <v>814</v>
      </c>
      <c r="AL110" s="7">
        <f>LN(2004-1853+1)</f>
        <v>5.0238805208462765</v>
      </c>
      <c r="AM110" s="45">
        <f>-1750+2016</f>
        <v>266</v>
      </c>
      <c r="AN110" s="8" t="s">
        <v>712</v>
      </c>
      <c r="AO110" s="35">
        <v>2121</v>
      </c>
      <c r="AP110" s="36">
        <f>IFERROR(VLOOKUP(AO110,'Tech SIC'!$A$2:$B$35,2,FALSE),0)</f>
        <v>0</v>
      </c>
      <c r="AQ110" s="8" t="s">
        <v>15</v>
      </c>
      <c r="AR110" s="8" t="s">
        <v>59</v>
      </c>
    </row>
    <row r="111" spans="1:66" ht="25" customHeight="1" x14ac:dyDescent="0.2">
      <c r="A111" s="76" t="s">
        <v>715</v>
      </c>
      <c r="B111" s="8" t="s">
        <v>717</v>
      </c>
      <c r="C111" s="29">
        <v>42530</v>
      </c>
      <c r="D111" s="41">
        <v>42530</v>
      </c>
      <c r="E111" s="68">
        <v>235</v>
      </c>
      <c r="F111" s="4">
        <v>258</v>
      </c>
      <c r="G111" s="37">
        <f t="shared" si="4"/>
        <v>9.7872340425531945E-2</v>
      </c>
      <c r="H111" s="37">
        <f>G111-VLOOKUP(D111,'DK index'!A10:E4108,5,FALSE)</f>
        <v>0.1009002832867341</v>
      </c>
      <c r="I111" s="8">
        <v>2</v>
      </c>
      <c r="J111" s="41"/>
      <c r="K111" s="7">
        <v>23765.9</v>
      </c>
      <c r="L111" s="7">
        <f>K111*'DK CPI'!$D$16</f>
        <v>23765.9</v>
      </c>
      <c r="M111" s="31">
        <f t="shared" si="5"/>
        <v>10.076007059149459</v>
      </c>
      <c r="N111" s="60"/>
      <c r="O111" s="60"/>
      <c r="P111" s="2">
        <f t="shared" si="6"/>
        <v>0</v>
      </c>
      <c r="Q111" s="41">
        <v>42536</v>
      </c>
      <c r="R111" s="5">
        <f>VLOOKUP(Q111,Sentiment!$A$3:$B$199,2,FALSE)</f>
        <v>-7.3</v>
      </c>
      <c r="S111" s="106">
        <v>1</v>
      </c>
      <c r="T111" s="37">
        <f>VLOOKUP(D111,'DK index'!A4:G4102,6,FALSE)</f>
        <v>3.0316819397376252E-2</v>
      </c>
      <c r="U111" s="37">
        <f>VLOOKUP(D111,'DK index'!A4:G4102,7,FALSE)</f>
        <v>7.7191250978478907E-3</v>
      </c>
      <c r="V111" s="8" t="s">
        <v>651</v>
      </c>
      <c r="W111" s="5">
        <v>255</v>
      </c>
      <c r="X111" s="7">
        <v>200</v>
      </c>
      <c r="Y111" s="31">
        <v>255</v>
      </c>
      <c r="Z111" s="31">
        <v>200</v>
      </c>
      <c r="AA111" s="7">
        <f>IF(AC111="FIXED",0,IF(E111&gt;W111,1,0))</f>
        <v>0</v>
      </c>
      <c r="AB111" s="7">
        <f>IF(AC111="FIXED",0,IF(E111&lt;X111,1,0))</f>
        <v>0</v>
      </c>
      <c r="AC111" s="4" t="s">
        <v>73</v>
      </c>
      <c r="AD111" s="8" t="s">
        <v>17</v>
      </c>
      <c r="AE111" s="8">
        <f t="shared" si="7"/>
        <v>0</v>
      </c>
      <c r="AF111" s="58">
        <v>72608861</v>
      </c>
      <c r="AG111" s="58">
        <f>AF111*E111</f>
        <v>17063082335</v>
      </c>
      <c r="AH111" s="8" t="s">
        <v>718</v>
      </c>
      <c r="AI111" s="8">
        <v>1</v>
      </c>
      <c r="AJ111" s="8">
        <v>1</v>
      </c>
      <c r="AK111" s="29">
        <v>38718</v>
      </c>
      <c r="AL111" s="7">
        <f>LN(DATEDIF(AK111,D111,"y")+1)</f>
        <v>2.3978952727983707</v>
      </c>
      <c r="AM111" s="45">
        <f>DATEDIF(AK111,D111,"y")</f>
        <v>10</v>
      </c>
      <c r="AN111" s="8" t="s">
        <v>716</v>
      </c>
      <c r="AO111" s="35">
        <v>1311</v>
      </c>
      <c r="AP111" s="36">
        <f>IFERROR(VLOOKUP(AO111,'Tech SIC'!$A$2:$B$35,2,FALSE),0)</f>
        <v>0</v>
      </c>
      <c r="AQ111" s="8" t="s">
        <v>51</v>
      </c>
      <c r="AR111" s="8" t="s">
        <v>59</v>
      </c>
    </row>
    <row r="112" spans="1:66" s="40" customFormat="1" ht="25" customHeight="1" x14ac:dyDescent="0.2">
      <c r="A112" s="76" t="s">
        <v>719</v>
      </c>
      <c r="B112" s="8" t="s">
        <v>721</v>
      </c>
      <c r="C112" s="29">
        <v>42636</v>
      </c>
      <c r="D112" s="41">
        <v>42636</v>
      </c>
      <c r="E112" s="68">
        <v>150</v>
      </c>
      <c r="F112" s="4">
        <v>145</v>
      </c>
      <c r="G112" s="37">
        <f t="shared" si="4"/>
        <v>-3.3333333333333326E-2</v>
      </c>
      <c r="H112" s="37">
        <f>G112-VLOOKUP(D112,'DK index'!A13:E4111,5,FALSE)</f>
        <v>-1.6355033242685019E-2</v>
      </c>
      <c r="I112" s="8">
        <v>2</v>
      </c>
      <c r="J112" s="41"/>
      <c r="K112" s="7">
        <v>2056.1</v>
      </c>
      <c r="L112" s="7">
        <f>K112*'DK CPI'!$D$16</f>
        <v>2056.1</v>
      </c>
      <c r="M112" s="31">
        <f t="shared" si="5"/>
        <v>7.6285662635245561</v>
      </c>
      <c r="N112" s="60"/>
      <c r="O112" s="60"/>
      <c r="P112" s="2">
        <f t="shared" si="6"/>
        <v>0</v>
      </c>
      <c r="Q112" s="41">
        <v>42628</v>
      </c>
      <c r="R112" s="5">
        <f>VLOOKUP(Q112,Sentiment!$A$3:$B$199,2,FALSE)</f>
        <v>-8.3000000000000007</v>
      </c>
      <c r="S112" s="106">
        <v>1</v>
      </c>
      <c r="T112" s="37">
        <f>VLOOKUP(D112,'DK index'!A6:G4104,6,FALSE)</f>
        <v>-1.2655833377493756E-3</v>
      </c>
      <c r="U112" s="37">
        <f>VLOOKUP(D112,'DK index'!A6:G4104,7,FALSE)</f>
        <v>7.2213685041287818E-3</v>
      </c>
      <c r="V112" s="8" t="s">
        <v>651</v>
      </c>
      <c r="W112" s="5">
        <v>160</v>
      </c>
      <c r="X112" s="7">
        <v>130</v>
      </c>
      <c r="Y112" s="31">
        <v>160</v>
      </c>
      <c r="Z112" s="31">
        <v>130</v>
      </c>
      <c r="AA112" s="7">
        <f>IF(AC112="FIXED",0,IF(E112&gt;W112,1,0))</f>
        <v>0</v>
      </c>
      <c r="AB112" s="7">
        <f>IF(AC112="FIXED",0,IF(E112&lt;X112,1,0))</f>
        <v>0</v>
      </c>
      <c r="AC112" s="4" t="s">
        <v>73</v>
      </c>
      <c r="AD112" s="8" t="s">
        <v>17</v>
      </c>
      <c r="AE112" s="8">
        <f t="shared" si="7"/>
        <v>0</v>
      </c>
      <c r="AF112" s="58">
        <v>105000000</v>
      </c>
      <c r="AG112" s="58">
        <f>AF112*E112</f>
        <v>15750000000</v>
      </c>
      <c r="AH112" s="8" t="s">
        <v>722</v>
      </c>
      <c r="AI112" s="8">
        <v>1</v>
      </c>
      <c r="AJ112" s="8">
        <v>1</v>
      </c>
      <c r="AK112" s="29">
        <v>24838</v>
      </c>
      <c r="AL112" s="7">
        <f>LN(DATEDIF(AK112,D112,"y")+1)</f>
        <v>3.8918202981106265</v>
      </c>
      <c r="AM112" s="45">
        <f>DATEDIF(AK112,D112,"y")</f>
        <v>48</v>
      </c>
      <c r="AN112" s="8" t="s">
        <v>720</v>
      </c>
      <c r="AO112" s="35">
        <v>6099</v>
      </c>
      <c r="AP112" s="36">
        <f>IFERROR(VLOOKUP(AO112,'Tech SIC'!$A$2:$B$35,2,FALSE),0)</f>
        <v>0</v>
      </c>
      <c r="AQ112" s="8" t="s">
        <v>48</v>
      </c>
      <c r="AR112" s="8" t="s">
        <v>59</v>
      </c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1:44" ht="25" customHeight="1" x14ac:dyDescent="0.2">
      <c r="A113" s="76" t="s">
        <v>762</v>
      </c>
      <c r="B113" s="8"/>
      <c r="C113" s="29">
        <v>38278</v>
      </c>
      <c r="D113" s="41">
        <v>38274</v>
      </c>
      <c r="E113" s="56">
        <v>5.25</v>
      </c>
      <c r="F113" s="4">
        <v>5.55</v>
      </c>
      <c r="G113" s="37">
        <f t="shared" si="4"/>
        <v>5.7142857142857162E-2</v>
      </c>
      <c r="H113" s="37">
        <f>G113-VLOOKUP(D113,'FI index'!A13:E3955,5,FALSE)</f>
        <v>6.0822022141158956E-2</v>
      </c>
      <c r="I113" s="8">
        <v>3</v>
      </c>
      <c r="J113" s="41"/>
      <c r="K113" s="7">
        <v>1058.0999999999999</v>
      </c>
      <c r="L113" s="7">
        <f>K113*'FI CPI'!$D$4</f>
        <v>1257.6666091716768</v>
      </c>
      <c r="M113" s="31">
        <f t="shared" si="5"/>
        <v>7.1370133855805973</v>
      </c>
      <c r="N113" s="60"/>
      <c r="O113" s="60"/>
      <c r="P113" s="2">
        <f t="shared" si="6"/>
        <v>1</v>
      </c>
      <c r="Q113" s="41">
        <v>38275</v>
      </c>
      <c r="R113" s="5">
        <f>VLOOKUP(Q113,Sentiment!$A$3:$B$199,2,FALSE)</f>
        <v>-14.4</v>
      </c>
      <c r="S113" s="108">
        <v>0</v>
      </c>
      <c r="T113" s="37">
        <f>VLOOKUP(D113,'FI index'!A10:G3952,6,FALSE)</f>
        <v>4.9127855752728197E-2</v>
      </c>
      <c r="U113" s="37">
        <f>VLOOKUP(D113,'FI index'!A10:G3952,7,FALSE)</f>
        <v>5.5947007925462545E-3</v>
      </c>
      <c r="V113" s="8" t="s">
        <v>726</v>
      </c>
      <c r="W113" s="5">
        <v>5.25</v>
      </c>
      <c r="X113" s="7">
        <v>4.25</v>
      </c>
      <c r="Y113" s="31">
        <v>5.25</v>
      </c>
      <c r="Z113" s="31">
        <v>4.25</v>
      </c>
      <c r="AA113" s="7">
        <f>IF(AC113="FIXED",0,IF(E113&gt;W113,1,0))</f>
        <v>0</v>
      </c>
      <c r="AB113" s="7">
        <f>IF(AC113="FIXED",0,IF(E113&lt;X113,1,0))</f>
        <v>0</v>
      </c>
      <c r="AC113" s="40" t="s">
        <v>73</v>
      </c>
      <c r="AD113" s="8" t="s">
        <v>17</v>
      </c>
      <c r="AE113" s="8">
        <f t="shared" si="7"/>
        <v>0</v>
      </c>
      <c r="AF113" s="58">
        <v>15789644</v>
      </c>
      <c r="AG113" s="58">
        <f>AF113*E113</f>
        <v>82895631</v>
      </c>
      <c r="AH113" s="8" t="s">
        <v>764</v>
      </c>
      <c r="AI113" s="8">
        <v>0</v>
      </c>
      <c r="AJ113" s="8">
        <v>0</v>
      </c>
      <c r="AK113" s="29">
        <v>36161</v>
      </c>
      <c r="AL113" s="7">
        <f>LN(DATEDIF(AK113,D113,"y")+1)</f>
        <v>1.791759469228055</v>
      </c>
      <c r="AM113" s="45">
        <f>DATEDIF(AK113,D113,"y")</f>
        <v>5</v>
      </c>
      <c r="AN113" s="8" t="s">
        <v>763</v>
      </c>
      <c r="AO113" s="35">
        <v>2873</v>
      </c>
      <c r="AP113" s="36">
        <f>IFERROR(VLOOKUP(AO113,'Tech SIC'!$A$2:$B$35,2,FALSE),0)</f>
        <v>0</v>
      </c>
      <c r="AQ113" s="8" t="s">
        <v>15</v>
      </c>
      <c r="AR113" s="8" t="s">
        <v>353</v>
      </c>
    </row>
    <row r="114" spans="1:44" ht="25" customHeight="1" x14ac:dyDescent="0.2">
      <c r="A114" s="76" t="s">
        <v>765</v>
      </c>
      <c r="B114" s="8"/>
      <c r="C114" s="29">
        <v>38460</v>
      </c>
      <c r="D114" s="41">
        <v>38460</v>
      </c>
      <c r="E114" s="56">
        <v>15</v>
      </c>
      <c r="F114" s="4">
        <v>16.18</v>
      </c>
      <c r="G114" s="37">
        <f t="shared" si="4"/>
        <v>7.8666666666666663E-2</v>
      </c>
      <c r="H114" s="37">
        <f>G114-VLOOKUP(D114,'FI index'!A13:E3955,5,FALSE)</f>
        <v>9.5883114512319581E-2</v>
      </c>
      <c r="I114" s="8">
        <v>3</v>
      </c>
      <c r="J114" s="41"/>
      <c r="K114" s="7">
        <v>4519.8999999999996</v>
      </c>
      <c r="L114" s="7">
        <f>K114*'FI CPI'!$D$5</f>
        <v>5348.9475922932015</v>
      </c>
      <c r="M114" s="31">
        <f t="shared" si="5"/>
        <v>8.5846551088188665</v>
      </c>
      <c r="N114" s="60"/>
      <c r="O114" s="60"/>
      <c r="P114" s="2">
        <f t="shared" si="6"/>
        <v>0</v>
      </c>
      <c r="Q114" s="41">
        <v>38457</v>
      </c>
      <c r="R114" s="5">
        <f>VLOOKUP(Q114,Sentiment!$A$3:$B$199,2,FALSE)</f>
        <v>-13.200000000000001</v>
      </c>
      <c r="S114" s="107">
        <v>1</v>
      </c>
      <c r="T114" s="37">
        <f>VLOOKUP(D114,'FI index'!A11:G3953,6,FALSE)</f>
        <v>-5.6042095393303668E-2</v>
      </c>
      <c r="U114" s="37">
        <f>VLOOKUP(D114,'FI index'!A11:G3953,7,FALSE)</f>
        <v>7.8738143252549842E-3</v>
      </c>
      <c r="V114" s="8" t="s">
        <v>726</v>
      </c>
      <c r="W114" s="5">
        <v>13</v>
      </c>
      <c r="X114" s="7">
        <v>11</v>
      </c>
      <c r="Y114" s="31">
        <v>13</v>
      </c>
      <c r="Z114" s="31">
        <v>11</v>
      </c>
      <c r="AA114" s="7">
        <f>IF(AC114="FIXED",0,IF(E114&gt;W114,1,0))</f>
        <v>1</v>
      </c>
      <c r="AB114" s="7">
        <f>IF(AC114="FIXED",0,IF(E114&lt;X114,1,0))</f>
        <v>0</v>
      </c>
      <c r="AC114" s="40" t="s">
        <v>73</v>
      </c>
      <c r="AD114" s="8" t="s">
        <v>17</v>
      </c>
      <c r="AE114" s="8">
        <f t="shared" si="7"/>
        <v>0</v>
      </c>
      <c r="AF114" s="58">
        <v>38440137</v>
      </c>
      <c r="AG114" s="58">
        <f>AF114*E114</f>
        <v>576602055</v>
      </c>
      <c r="AH114" s="8" t="s">
        <v>767</v>
      </c>
      <c r="AI114" s="8">
        <v>1</v>
      </c>
      <c r="AJ114" s="8">
        <v>1</v>
      </c>
      <c r="AK114" s="29">
        <v>17533</v>
      </c>
      <c r="AL114" s="7">
        <f>LN(DATEDIF(AK114,D114,"y")+1)</f>
        <v>4.0604430105464191</v>
      </c>
      <c r="AM114" s="45">
        <f>DATEDIF(AK114,D114,"y")</f>
        <v>57</v>
      </c>
      <c r="AN114" s="8" t="s">
        <v>766</v>
      </c>
      <c r="AO114" s="35">
        <v>5172</v>
      </c>
      <c r="AP114" s="36">
        <f>IFERROR(VLOOKUP(AO114,'Tech SIC'!$A$2:$B$35,2,FALSE),0)</f>
        <v>0</v>
      </c>
      <c r="AQ114" s="8" t="s">
        <v>257</v>
      </c>
      <c r="AR114" s="8" t="s">
        <v>353</v>
      </c>
    </row>
    <row r="115" spans="1:44" ht="25" customHeight="1" x14ac:dyDescent="0.2">
      <c r="A115" s="76" t="s">
        <v>723</v>
      </c>
      <c r="B115" s="8" t="s">
        <v>725</v>
      </c>
      <c r="C115" s="29">
        <v>38499</v>
      </c>
      <c r="D115" s="41">
        <v>38499</v>
      </c>
      <c r="E115" s="56">
        <v>4.8</v>
      </c>
      <c r="F115" s="4">
        <v>4.8099999999999996</v>
      </c>
      <c r="G115" s="37">
        <f t="shared" si="4"/>
        <v>2.0833333333332149E-3</v>
      </c>
      <c r="H115" s="37">
        <f>G115-VLOOKUP(D115,'FI index'!A7:E3949,5,FALSE)</f>
        <v>-4.2887787751419524E-3</v>
      </c>
      <c r="I115" s="8">
        <v>3</v>
      </c>
      <c r="J115" s="41"/>
      <c r="K115" s="7">
        <v>75.599999999999994</v>
      </c>
      <c r="L115" s="7">
        <f>K115*'FI CPI'!$D$5</f>
        <v>89.466678018842458</v>
      </c>
      <c r="M115" s="31">
        <f t="shared" si="5"/>
        <v>4.4938662433166199</v>
      </c>
      <c r="N115" s="31"/>
      <c r="O115" s="31"/>
      <c r="P115" s="2">
        <f t="shared" si="6"/>
        <v>0</v>
      </c>
      <c r="Q115" s="41">
        <v>38487</v>
      </c>
      <c r="R115" s="5">
        <f>VLOOKUP(Q115,Sentiment!$A$3:$B$199,2,FALSE)</f>
        <v>-14.200000000000001</v>
      </c>
      <c r="S115" s="108">
        <v>1</v>
      </c>
      <c r="T115" s="37">
        <f>VLOOKUP(D115,'FI index'!A8:G3950,6,FALSE)</f>
        <v>1.2841390400305576E-2</v>
      </c>
      <c r="U115" s="37">
        <f>VLOOKUP(D115,'FI index'!A8:G3950,7,FALSE)</f>
        <v>8.885292596668223E-3</v>
      </c>
      <c r="V115" s="8" t="s">
        <v>726</v>
      </c>
      <c r="W115" s="5">
        <v>5</v>
      </c>
      <c r="X115" s="7">
        <v>4.2</v>
      </c>
      <c r="Y115" s="8"/>
      <c r="Z115" s="8"/>
      <c r="AA115" s="7">
        <f>IF(AC115="FIXED",0,IF(E115&gt;W115,1,0))</f>
        <v>0</v>
      </c>
      <c r="AB115" s="7">
        <f>IF(AC115="FIXED",0,IF(E115&lt;X115,1,0))</f>
        <v>0</v>
      </c>
      <c r="AC115" s="40" t="s">
        <v>73</v>
      </c>
      <c r="AD115" s="8" t="s">
        <v>17</v>
      </c>
      <c r="AE115" s="8">
        <f t="shared" si="7"/>
        <v>0</v>
      </c>
      <c r="AF115" s="58">
        <v>9160000</v>
      </c>
      <c r="AG115" s="58">
        <f>AF115*E115</f>
        <v>43968000</v>
      </c>
      <c r="AH115" s="8" t="s">
        <v>38</v>
      </c>
      <c r="AI115" s="8">
        <v>0</v>
      </c>
      <c r="AJ115" s="8">
        <v>1</v>
      </c>
      <c r="AK115" s="29">
        <v>36161</v>
      </c>
      <c r="AL115" s="7">
        <f>LN(DATEDIF(AK115,D115,"y")+1)</f>
        <v>1.9459101490553132</v>
      </c>
      <c r="AM115" s="45">
        <f>DATEDIF(AK115,D115,"y")</f>
        <v>6</v>
      </c>
      <c r="AN115" s="8" t="s">
        <v>724</v>
      </c>
      <c r="AO115" s="35">
        <v>7375</v>
      </c>
      <c r="AP115" s="36">
        <f>IFERROR(VLOOKUP(AO115,'Tech SIC'!$A$2:$B$35,2,FALSE),0)</f>
        <v>1</v>
      </c>
      <c r="AQ115" s="8" t="s">
        <v>13</v>
      </c>
      <c r="AR115" s="8" t="s">
        <v>353</v>
      </c>
    </row>
    <row r="116" spans="1:44" ht="25" customHeight="1" x14ac:dyDescent="0.2">
      <c r="A116" s="76" t="s">
        <v>727</v>
      </c>
      <c r="B116" s="8" t="s">
        <v>729</v>
      </c>
      <c r="C116" s="29">
        <v>38789</v>
      </c>
      <c r="D116" s="41">
        <v>38789</v>
      </c>
      <c r="E116" s="56">
        <v>3.2</v>
      </c>
      <c r="F116" s="4">
        <v>3.19</v>
      </c>
      <c r="G116" s="37">
        <f t="shared" si="4"/>
        <v>-3.1250000000000444E-3</v>
      </c>
      <c r="H116" s="37">
        <f>G116-VLOOKUP(D116,'FI index'!A3:E3945,5,FALSE)</f>
        <v>-4.4333535920093401E-3</v>
      </c>
      <c r="I116" s="8">
        <v>3</v>
      </c>
      <c r="J116" s="41"/>
      <c r="K116" s="7">
        <v>172</v>
      </c>
      <c r="L116" s="7">
        <f>K116*'FI CPI'!$D$6</f>
        <v>200.30403209865332</v>
      </c>
      <c r="M116" s="31">
        <f t="shared" si="5"/>
        <v>5.2998363727669808</v>
      </c>
      <c r="N116" s="31"/>
      <c r="O116" s="31"/>
      <c r="P116" s="2">
        <f t="shared" si="6"/>
        <v>0</v>
      </c>
      <c r="Q116" s="41">
        <v>38791</v>
      </c>
      <c r="R116" s="5">
        <f>VLOOKUP(Q116,Sentiment!$A$3:$B$199,2,FALSE)</f>
        <v>-11.5</v>
      </c>
      <c r="S116" s="106">
        <v>1</v>
      </c>
      <c r="T116" s="37">
        <f>VLOOKUP(D116,'FI index'!A5:G3947,6,FALSE)</f>
        <v>9.6016628094802561E-2</v>
      </c>
      <c r="U116" s="37">
        <f>VLOOKUP(D116,'FI index'!A5:G3947,7,FALSE)</f>
        <v>6.9677811625686089E-3</v>
      </c>
      <c r="V116" s="8" t="s">
        <v>726</v>
      </c>
      <c r="W116" s="5">
        <v>4</v>
      </c>
      <c r="X116" s="7">
        <v>3.2</v>
      </c>
      <c r="Y116" s="8"/>
      <c r="Z116" s="8"/>
      <c r="AA116" s="7">
        <f>IF(AC116="FIXED",0,IF(E116&gt;W116,1,0))</f>
        <v>0</v>
      </c>
      <c r="AB116" s="7">
        <f>IF(AC116="FIXED",0,IF(E116&lt;X116,1,0))</f>
        <v>0</v>
      </c>
      <c r="AC116" s="4" t="s">
        <v>73</v>
      </c>
      <c r="AD116" s="8" t="s">
        <v>17</v>
      </c>
      <c r="AE116" s="8">
        <f t="shared" si="7"/>
        <v>0</v>
      </c>
      <c r="AF116" s="58">
        <v>17000000</v>
      </c>
      <c r="AG116" s="58">
        <f>AF116*E116</f>
        <v>54400000</v>
      </c>
      <c r="AH116" s="8" t="s">
        <v>730</v>
      </c>
      <c r="AI116" s="8">
        <v>0</v>
      </c>
      <c r="AJ116" s="8">
        <v>0</v>
      </c>
      <c r="AK116" s="29">
        <v>27395</v>
      </c>
      <c r="AL116" s="7">
        <f>LN(DATEDIF(AK116,D116,"y")+1)</f>
        <v>3.4657359027997265</v>
      </c>
      <c r="AM116" s="45">
        <f>DATEDIF(AK116,D116,"y")</f>
        <v>31</v>
      </c>
      <c r="AN116" s="8" t="s">
        <v>728</v>
      </c>
      <c r="AO116" s="35">
        <v>3629</v>
      </c>
      <c r="AP116" s="36">
        <f>IFERROR(VLOOKUP(AO116,'Tech SIC'!$A$2:$B$35,2,FALSE),0)</f>
        <v>0</v>
      </c>
      <c r="AQ116" s="8" t="s">
        <v>15</v>
      </c>
      <c r="AR116" s="8" t="s">
        <v>353</v>
      </c>
    </row>
    <row r="117" spans="1:44" ht="25" customHeight="1" x14ac:dyDescent="0.2">
      <c r="A117" s="76" t="s">
        <v>731</v>
      </c>
      <c r="B117" s="8"/>
      <c r="C117" s="29">
        <f>DATE(2006,3,14)</f>
        <v>38790</v>
      </c>
      <c r="D117" s="41">
        <v>38790</v>
      </c>
      <c r="E117" s="56">
        <v>22</v>
      </c>
      <c r="F117" s="4">
        <v>24.45</v>
      </c>
      <c r="G117" s="37">
        <f t="shared" si="4"/>
        <v>0.11136363636363633</v>
      </c>
      <c r="H117" s="37">
        <f>G117-VLOOKUP(D117,'FI index'!A6:E3948,5,FALSE)</f>
        <v>0.10122867262580348</v>
      </c>
      <c r="I117" s="8">
        <v>3</v>
      </c>
      <c r="J117" s="41">
        <v>38804</v>
      </c>
      <c r="K117" s="7">
        <f>N117/(VLOOKUP(J117,'FI FX'!$A$3:$B$199,2,FALSE))</f>
        <v>1654.5247718856644</v>
      </c>
      <c r="L117" s="7">
        <f>K117*'FI CPI'!$D$6</f>
        <v>1926.7905989290884</v>
      </c>
      <c r="M117" s="31">
        <f t="shared" si="5"/>
        <v>7.5636109956332476</v>
      </c>
      <c r="N117" s="8">
        <v>1367.2</v>
      </c>
      <c r="O117" s="33" t="s">
        <v>801</v>
      </c>
      <c r="P117" s="2">
        <f t="shared" si="6"/>
        <v>0</v>
      </c>
      <c r="Q117" s="41">
        <v>38791</v>
      </c>
      <c r="R117" s="5">
        <f>VLOOKUP(Q117,Sentiment!$A$3:$B$199,2,FALSE)</f>
        <v>-11.5</v>
      </c>
      <c r="S117" s="106">
        <v>1</v>
      </c>
      <c r="T117" s="37">
        <f>VLOOKUP(D117,'FI index'!A7:G3949,6,FALSE)</f>
        <v>0.10392301112525866</v>
      </c>
      <c r="U117" s="37">
        <f>VLOOKUP(D117,'FI index'!A7:G3949,7,FALSE)</f>
        <v>7.0783956422950742E-3</v>
      </c>
      <c r="V117" s="8" t="s">
        <v>726</v>
      </c>
      <c r="W117" s="5">
        <v>24</v>
      </c>
      <c r="X117" s="7">
        <v>20</v>
      </c>
      <c r="Y117" s="31">
        <v>24</v>
      </c>
      <c r="Z117" s="31">
        <v>20</v>
      </c>
      <c r="AA117" s="7">
        <f>IF(AC117="FIXED",0,IF(E117&gt;W117,1,0))</f>
        <v>0</v>
      </c>
      <c r="AB117" s="7">
        <f>IF(AC117="FIXED",0,IF(E117&lt;X117,1,0))</f>
        <v>0</v>
      </c>
      <c r="AC117" s="4" t="s">
        <v>73</v>
      </c>
      <c r="AD117" s="8" t="s">
        <v>17</v>
      </c>
      <c r="AE117" s="8">
        <f t="shared" si="7"/>
        <v>0</v>
      </c>
      <c r="AF117" s="58">
        <v>8000000</v>
      </c>
      <c r="AG117" s="58">
        <f>AF117*E117</f>
        <v>176000000</v>
      </c>
      <c r="AH117" s="8" t="s">
        <v>38</v>
      </c>
      <c r="AI117" s="8">
        <v>0</v>
      </c>
      <c r="AJ117" s="8">
        <v>1</v>
      </c>
      <c r="AK117" s="29">
        <v>7672</v>
      </c>
      <c r="AL117" s="7">
        <f>LN(DATEDIF(AK117,D117,"y")+1)</f>
        <v>4.4543472962535073</v>
      </c>
      <c r="AM117" s="45">
        <f>DATEDIF(AK117,D117,"y")</f>
        <v>85</v>
      </c>
      <c r="AN117" s="8" t="s">
        <v>732</v>
      </c>
      <c r="AO117" s="35">
        <v>2621</v>
      </c>
      <c r="AP117" s="36">
        <f>IFERROR(VLOOKUP(AO117,'Tech SIC'!$A$2:$B$35,2,FALSE),0)</f>
        <v>0</v>
      </c>
      <c r="AQ117" s="8" t="s">
        <v>15</v>
      </c>
      <c r="AR117" s="8" t="s">
        <v>353</v>
      </c>
    </row>
    <row r="118" spans="1:44" ht="25" customHeight="1" x14ac:dyDescent="0.2">
      <c r="A118" s="76" t="s">
        <v>733</v>
      </c>
      <c r="B118" s="8" t="s">
        <v>355</v>
      </c>
      <c r="C118" s="29">
        <v>38819</v>
      </c>
      <c r="D118" s="41">
        <v>38819</v>
      </c>
      <c r="E118" s="56">
        <v>5.75</v>
      </c>
      <c r="F118" s="4">
        <v>5.75</v>
      </c>
      <c r="G118" s="37">
        <f t="shared" si="4"/>
        <v>0</v>
      </c>
      <c r="H118" s="37">
        <f>G118-VLOOKUP(D118,'FI index'!A2:E3944,5,FALSE)</f>
        <v>5.8822272841779696E-3</v>
      </c>
      <c r="I118" s="8">
        <v>3</v>
      </c>
      <c r="J118" s="41"/>
      <c r="K118" s="7">
        <v>88.4</v>
      </c>
      <c r="L118" s="7">
        <f>K118*'FI CPI'!$D$6</f>
        <v>102.94695603209858</v>
      </c>
      <c r="M118" s="31">
        <f t="shared" si="5"/>
        <v>4.6342138655971254</v>
      </c>
      <c r="N118" s="31"/>
      <c r="O118" s="31"/>
      <c r="P118" s="2">
        <f t="shared" si="6"/>
        <v>0</v>
      </c>
      <c r="Q118" s="41">
        <v>38822</v>
      </c>
      <c r="R118" s="5">
        <f>VLOOKUP(Q118,Sentiment!$A$3:$B$199,2,FALSE)</f>
        <v>-10.5</v>
      </c>
      <c r="S118" s="106">
        <v>1</v>
      </c>
      <c r="T118" s="37">
        <f>VLOOKUP(D118,'FI index'!A4:G3946,6,FALSE)</f>
        <v>3.5480727135311245E-2</v>
      </c>
      <c r="U118" s="37">
        <f>VLOOKUP(D118,'FI index'!A4:G3946,7,FALSE)</f>
        <v>7.4323295211408845E-3</v>
      </c>
      <c r="V118" s="8" t="s">
        <v>726</v>
      </c>
      <c r="X118" s="7"/>
      <c r="Y118" s="8"/>
      <c r="Z118" s="8"/>
      <c r="AA118" s="7">
        <v>0</v>
      </c>
      <c r="AB118" s="7">
        <v>0</v>
      </c>
      <c r="AC118" s="4" t="s">
        <v>10</v>
      </c>
      <c r="AD118" s="8" t="s">
        <v>10</v>
      </c>
      <c r="AE118" s="8">
        <f t="shared" si="7"/>
        <v>1</v>
      </c>
      <c r="AF118" s="58">
        <v>9700000</v>
      </c>
      <c r="AG118" s="58">
        <f>AF118*E118</f>
        <v>55775000</v>
      </c>
      <c r="AH118" s="8" t="s">
        <v>735</v>
      </c>
      <c r="AI118" s="8">
        <v>0</v>
      </c>
      <c r="AJ118" s="8">
        <v>0</v>
      </c>
      <c r="AK118" s="29">
        <v>31778</v>
      </c>
      <c r="AL118" s="7">
        <f>LN(DATEDIF(AK118,D118,"y")+1)</f>
        <v>2.9957322735539909</v>
      </c>
      <c r="AM118" s="45">
        <f>DATEDIF(AK118,D118,"y")</f>
        <v>19</v>
      </c>
      <c r="AN118" s="8" t="s">
        <v>734</v>
      </c>
      <c r="AO118" s="35">
        <v>6282</v>
      </c>
      <c r="AP118" s="36">
        <f>IFERROR(VLOOKUP(AO118,'Tech SIC'!$A$2:$B$35,2,FALSE),0)</f>
        <v>0</v>
      </c>
      <c r="AQ118" s="8" t="s">
        <v>89</v>
      </c>
      <c r="AR118" s="8" t="s">
        <v>353</v>
      </c>
    </row>
    <row r="119" spans="1:44" ht="25" customHeight="1" x14ac:dyDescent="0.2">
      <c r="A119" s="76" t="s">
        <v>966</v>
      </c>
      <c r="B119" s="8"/>
      <c r="C119" s="29">
        <v>38819</v>
      </c>
      <c r="D119" s="41">
        <v>38820</v>
      </c>
      <c r="E119" s="67">
        <v>5.75</v>
      </c>
      <c r="F119" s="5">
        <v>6.09</v>
      </c>
      <c r="G119" s="135">
        <f t="shared" si="4"/>
        <v>5.913043478260871E-2</v>
      </c>
      <c r="H119" s="37">
        <f>G119-VLOOKUP(D119,'FI index'!A9:E3951,5,FALSE)</f>
        <v>5.5437410542605273E-2</v>
      </c>
      <c r="I119" s="136">
        <v>3</v>
      </c>
      <c r="J119" s="1">
        <v>38835</v>
      </c>
      <c r="K119" s="137">
        <f>N119/(VLOOKUP(J119,'FI FX'!$A$3:$B$199,2,FALSE))</f>
        <v>91.880282665927666</v>
      </c>
      <c r="L119" s="37">
        <f>K119*'FI CPI'!D6</f>
        <v>106.99994818807743</v>
      </c>
      <c r="M119" s="31">
        <f t="shared" si="5"/>
        <v>4.6728283502382135</v>
      </c>
      <c r="N119" s="8">
        <f>72941*1000/1000000</f>
        <v>72.941000000000003</v>
      </c>
      <c r="O119" s="8" t="s">
        <v>801</v>
      </c>
      <c r="P119" s="2">
        <f t="shared" si="6"/>
        <v>1</v>
      </c>
      <c r="Q119" s="1">
        <v>38822</v>
      </c>
      <c r="R119" s="5">
        <f>VLOOKUP(Q119,Sentiment!$A$3:$B$199,2,FALSE)</f>
        <v>-10.5</v>
      </c>
      <c r="S119" s="138">
        <v>1</v>
      </c>
      <c r="T119" s="37">
        <f>VLOOKUP(D119,'FI index'!A7:G3949,6,FALSE)</f>
        <v>4.3018490960613449E-2</v>
      </c>
      <c r="U119" s="37">
        <f>VLOOKUP(D119,'FI index'!A7:G3949,7,FALSE)</f>
        <v>7.3837634733705075E-3</v>
      </c>
      <c r="V119" s="135" t="s">
        <v>967</v>
      </c>
      <c r="W119" s="37">
        <v>5.75</v>
      </c>
      <c r="X119" s="37">
        <v>5.2</v>
      </c>
      <c r="Y119" s="37">
        <v>5.75</v>
      </c>
      <c r="Z119" s="37">
        <v>5.2</v>
      </c>
      <c r="AA119" s="7">
        <f>IF(AC119="FIXED",0,IF(E119&gt;W119,1,0))</f>
        <v>0</v>
      </c>
      <c r="AB119" s="7">
        <f>IF(AC119="FIXED",0,IF(E119&lt;X119,1,0))</f>
        <v>0</v>
      </c>
      <c r="AC119" s="135" t="s">
        <v>73</v>
      </c>
      <c r="AD119" s="135" t="s">
        <v>17</v>
      </c>
      <c r="AE119" s="136">
        <f t="shared" si="7"/>
        <v>0</v>
      </c>
      <c r="AF119" s="58">
        <v>9700000</v>
      </c>
      <c r="AG119" s="58">
        <f>AF119*E119</f>
        <v>55775000</v>
      </c>
      <c r="AH119" s="8" t="s">
        <v>53</v>
      </c>
      <c r="AI119" s="136">
        <v>0</v>
      </c>
      <c r="AJ119" s="136">
        <v>0</v>
      </c>
      <c r="AK119" s="139">
        <v>31778</v>
      </c>
      <c r="AL119" s="7">
        <f>LN(DATEDIF(AK119,D119,"y")+1)</f>
        <v>2.9957322735539909</v>
      </c>
      <c r="AM119" s="134">
        <f>DATEDIF(AK119,D119,"y")</f>
        <v>19</v>
      </c>
      <c r="AN119" s="8" t="s">
        <v>965</v>
      </c>
      <c r="AO119" s="35">
        <v>6211</v>
      </c>
      <c r="AP119" s="36">
        <f>IFERROR(VLOOKUP(AO119,'Tech SIC'!$A$2:$B$35,2,FALSE),0)</f>
        <v>0</v>
      </c>
      <c r="AQ119" s="8" t="s">
        <v>89</v>
      </c>
      <c r="AR119" s="8" t="s">
        <v>353</v>
      </c>
    </row>
    <row r="120" spans="1:44" ht="25" customHeight="1" x14ac:dyDescent="0.2">
      <c r="A120" s="76" t="s">
        <v>736</v>
      </c>
      <c r="B120" s="8" t="s">
        <v>738</v>
      </c>
      <c r="C120" s="29">
        <v>39000</v>
      </c>
      <c r="D120" s="41">
        <v>39000</v>
      </c>
      <c r="E120" s="68">
        <v>12.5</v>
      </c>
      <c r="F120" s="4">
        <v>12.87</v>
      </c>
      <c r="G120" s="37">
        <f t="shared" si="4"/>
        <v>2.9599999999999849E-2</v>
      </c>
      <c r="H120" s="37">
        <f>G120-VLOOKUP(D120,'FI index'!A4:E3946,5,FALSE)</f>
        <v>1.7727004709846211E-2</v>
      </c>
      <c r="I120" s="8">
        <v>3</v>
      </c>
      <c r="J120" s="41"/>
      <c r="K120" s="7">
        <v>592.29999999999995</v>
      </c>
      <c r="L120" s="7">
        <f>K120*'FI CPI'!$D$6</f>
        <v>689.7678965815835</v>
      </c>
      <c r="M120" s="31">
        <f t="shared" si="5"/>
        <v>6.5363551592364475</v>
      </c>
      <c r="N120" s="31"/>
      <c r="O120" s="31"/>
      <c r="P120" s="2">
        <f t="shared" si="6"/>
        <v>0</v>
      </c>
      <c r="Q120" s="41">
        <v>39005</v>
      </c>
      <c r="R120" s="5">
        <f>VLOOKUP(Q120,Sentiment!$A$3:$B$199,2,FALSE)</f>
        <v>-8.4</v>
      </c>
      <c r="S120" s="106">
        <v>1</v>
      </c>
      <c r="T120" s="37">
        <f>VLOOKUP(D120,'FI index'!A2:G3944,6,FALSE)</f>
        <v>3.5144483304974973E-2</v>
      </c>
      <c r="U120" s="37">
        <f>VLOOKUP(D120,'FI index'!A2:G3944,7,FALSE)</f>
        <v>8.2039700041505476E-3</v>
      </c>
      <c r="V120" s="8" t="s">
        <v>726</v>
      </c>
      <c r="W120" s="5">
        <v>15.5</v>
      </c>
      <c r="X120" s="7">
        <v>12</v>
      </c>
      <c r="Y120" s="31">
        <v>15.5</v>
      </c>
      <c r="Z120" s="31">
        <v>12</v>
      </c>
      <c r="AA120" s="7">
        <f>IF(AC120="FIXED",0,IF(E120&gt;W120,1,0))</f>
        <v>0</v>
      </c>
      <c r="AB120" s="7">
        <f>IF(AC120="FIXED",0,IF(E120&lt;X120,1,0))</f>
        <v>0</v>
      </c>
      <c r="AC120" s="4" t="s">
        <v>73</v>
      </c>
      <c r="AD120" s="8" t="s">
        <v>17</v>
      </c>
      <c r="AE120" s="8">
        <f t="shared" si="7"/>
        <v>0</v>
      </c>
      <c r="AF120" s="58">
        <v>33600000</v>
      </c>
      <c r="AG120" s="58">
        <f>AF120*E120</f>
        <v>420000000</v>
      </c>
      <c r="AH120" s="8" t="s">
        <v>739</v>
      </c>
      <c r="AI120" s="8">
        <v>1</v>
      </c>
      <c r="AJ120" s="8">
        <v>1</v>
      </c>
      <c r="AK120" s="29">
        <v>38718</v>
      </c>
      <c r="AL120" s="7">
        <f>LN(DATEDIF(AK120,D120,"y")+1)</f>
        <v>0</v>
      </c>
      <c r="AM120" s="45">
        <f>DATEDIF(AK120,D120,"y")</f>
        <v>0</v>
      </c>
      <c r="AN120" s="8" t="s">
        <v>737</v>
      </c>
      <c r="AO120" s="35">
        <v>1041</v>
      </c>
      <c r="AP120" s="36">
        <f>IFERROR(VLOOKUP(AO120,'Tech SIC'!$A$2:$B$35,2,FALSE),0)</f>
        <v>0</v>
      </c>
      <c r="AQ120" s="8" t="s">
        <v>51</v>
      </c>
      <c r="AR120" s="8" t="s">
        <v>353</v>
      </c>
    </row>
    <row r="121" spans="1:44" ht="25" customHeight="1" x14ac:dyDescent="0.2">
      <c r="A121" s="76" t="s">
        <v>740</v>
      </c>
      <c r="B121" s="8" t="s">
        <v>742</v>
      </c>
      <c r="C121" s="29">
        <v>39175</v>
      </c>
      <c r="D121" s="41">
        <v>39175</v>
      </c>
      <c r="E121" s="56">
        <v>2.16</v>
      </c>
      <c r="F121" s="4">
        <v>2.44</v>
      </c>
      <c r="G121" s="37">
        <f t="shared" si="4"/>
        <v>0.12962962962962954</v>
      </c>
      <c r="H121" s="37">
        <f>G121-VLOOKUP(D121,'FI index'!A5:E3947,5,FALSE)</f>
        <v>0.11498489139962224</v>
      </c>
      <c r="I121" s="8">
        <v>3</v>
      </c>
      <c r="J121" s="41"/>
      <c r="K121" s="7">
        <v>162.9</v>
      </c>
      <c r="L121" s="7">
        <f>K121*'FI CPI'!$D$7</f>
        <v>185.58887889101598</v>
      </c>
      <c r="M121" s="31">
        <f t="shared" si="5"/>
        <v>5.223533898788606</v>
      </c>
      <c r="N121" s="31"/>
      <c r="O121" s="31"/>
      <c r="P121" s="2">
        <f t="shared" si="6"/>
        <v>0</v>
      </c>
      <c r="Q121" s="41">
        <v>39187</v>
      </c>
      <c r="R121" s="5">
        <f>VLOOKUP(Q121,Sentiment!$A$3:$B$199,2,FALSE)</f>
        <v>-4.4000000000000004</v>
      </c>
      <c r="S121" s="107">
        <v>1</v>
      </c>
      <c r="T121" s="37">
        <f>VLOOKUP(D121,'FI index'!A6:G3948,6,FALSE)</f>
        <v>2.1993166905971782E-3</v>
      </c>
      <c r="U121" s="37">
        <f>VLOOKUP(D121,'FI index'!A6:G3948,7,FALSE)</f>
        <v>1.3215044511505404E-2</v>
      </c>
      <c r="V121" s="8" t="s">
        <v>726</v>
      </c>
      <c r="W121" s="5">
        <v>3</v>
      </c>
      <c r="X121" s="7">
        <v>2.4</v>
      </c>
      <c r="Y121" s="8"/>
      <c r="Z121" s="8"/>
      <c r="AA121" s="7">
        <f>IF(AC121="FIXED",0,IF(E121&gt;W121,1,0))</f>
        <v>0</v>
      </c>
      <c r="AB121" s="7">
        <f>IF(AC121="FIXED",0,IF(E121&lt;X121,1,0))</f>
        <v>1</v>
      </c>
      <c r="AC121" s="4" t="s">
        <v>73</v>
      </c>
      <c r="AD121" s="8" t="s">
        <v>17</v>
      </c>
      <c r="AE121" s="8">
        <f t="shared" si="7"/>
        <v>0</v>
      </c>
      <c r="AF121" s="58">
        <v>19700000</v>
      </c>
      <c r="AG121" s="58">
        <f>AF121*E121</f>
        <v>42552000</v>
      </c>
      <c r="AH121" s="33" t="s">
        <v>829</v>
      </c>
      <c r="AI121" s="8">
        <v>0</v>
      </c>
      <c r="AJ121" s="8">
        <v>0</v>
      </c>
      <c r="AK121" s="29">
        <v>35065</v>
      </c>
      <c r="AL121" s="7">
        <f>LN(DATEDIF(AK121,D121,"y")+1)</f>
        <v>2.4849066497880004</v>
      </c>
      <c r="AM121" s="45">
        <f>DATEDIF(AK121,D121,"y")</f>
        <v>11</v>
      </c>
      <c r="AN121" s="8" t="s">
        <v>741</v>
      </c>
      <c r="AO121" s="35">
        <v>8093</v>
      </c>
      <c r="AP121" s="36">
        <f>IFERROR(VLOOKUP(AO121,'Tech SIC'!$A$2:$B$35,2,FALSE),0)</f>
        <v>0</v>
      </c>
      <c r="AQ121" s="8" t="s">
        <v>374</v>
      </c>
      <c r="AR121" s="8" t="s">
        <v>353</v>
      </c>
    </row>
    <row r="122" spans="1:44" ht="25" customHeight="1" x14ac:dyDescent="0.2">
      <c r="A122" s="76" t="s">
        <v>357</v>
      </c>
      <c r="B122" s="8" t="s">
        <v>359</v>
      </c>
      <c r="C122" s="29">
        <f>DATE(2007,6,12)</f>
        <v>39245</v>
      </c>
      <c r="D122" s="1">
        <v>39245</v>
      </c>
      <c r="E122" s="3">
        <v>9</v>
      </c>
      <c r="F122" s="4">
        <v>9.9</v>
      </c>
      <c r="G122" s="37">
        <f t="shared" si="4"/>
        <v>0.10000000000000009</v>
      </c>
      <c r="H122" s="37">
        <f>G122-VLOOKUP(D122,'FI index'!A12:E3954,5,FALSE)</f>
        <v>0.1089107350169974</v>
      </c>
      <c r="I122" s="8">
        <v>3</v>
      </c>
      <c r="K122" s="7">
        <v>330.7</v>
      </c>
      <c r="L122" s="7">
        <f>K122*'FI CPI'!$D$7</f>
        <v>376.7602348020809</v>
      </c>
      <c r="M122" s="31">
        <f t="shared" si="5"/>
        <v>5.9316090031683535</v>
      </c>
      <c r="N122" s="31"/>
      <c r="O122" s="31"/>
      <c r="P122" s="2">
        <f t="shared" si="6"/>
        <v>0</v>
      </c>
      <c r="Q122" s="1">
        <v>39248</v>
      </c>
      <c r="R122" s="5">
        <f>VLOOKUP(Q122,Sentiment!$A$3:$B$199,2,FALSE)</f>
        <v>-1.9000000000000001</v>
      </c>
      <c r="S122" s="107">
        <v>1</v>
      </c>
      <c r="T122" s="37">
        <f>VLOOKUP(D122,'FI index'!A9:G3951,6,FALSE)</f>
        <v>8.679580292397562E-3</v>
      </c>
      <c r="U122" s="37">
        <f>VLOOKUP(D122,'FI index'!A9:G3951,7,FALSE)</f>
        <v>9.0180094468057057E-3</v>
      </c>
      <c r="V122" s="8" t="s">
        <v>354</v>
      </c>
      <c r="W122" s="5">
        <v>9.75</v>
      </c>
      <c r="X122" s="7">
        <v>8</v>
      </c>
      <c r="Y122" s="31">
        <v>9.75</v>
      </c>
      <c r="Z122" s="31">
        <v>8</v>
      </c>
      <c r="AA122" s="7">
        <f>IF(AC122="FIXED",0,IF(E122&gt;W122,1,0))</f>
        <v>0</v>
      </c>
      <c r="AB122" s="7">
        <f>IF(AC122="FIXED",0,IF(E122&lt;X122,1,0))</f>
        <v>0</v>
      </c>
      <c r="AC122" s="4" t="s">
        <v>73</v>
      </c>
      <c r="AD122" s="8" t="s">
        <v>17</v>
      </c>
      <c r="AE122" s="8">
        <f t="shared" si="7"/>
        <v>0</v>
      </c>
      <c r="AF122" s="58">
        <v>11500000</v>
      </c>
      <c r="AG122" s="58">
        <f>AF122*E122</f>
        <v>103500000</v>
      </c>
      <c r="AH122" s="8" t="s">
        <v>38</v>
      </c>
      <c r="AI122" s="8">
        <v>0</v>
      </c>
      <c r="AJ122" s="8">
        <v>1</v>
      </c>
      <c r="AK122" s="29">
        <f>DATE(1987,1,1)</f>
        <v>31778</v>
      </c>
      <c r="AL122" s="7">
        <f>LN(DATEDIF(AK122,D122,"y")+1)</f>
        <v>3.044522437723423</v>
      </c>
      <c r="AM122" s="45">
        <f>DATEDIF(AK122,D122,"y")</f>
        <v>20</v>
      </c>
      <c r="AN122" s="8" t="s">
        <v>358</v>
      </c>
      <c r="AO122" s="35">
        <v>1522</v>
      </c>
      <c r="AP122" s="36">
        <f>IFERROR(VLOOKUP(AO122,'Tech SIC'!$A$2:$B$35,2,FALSE),0)</f>
        <v>0</v>
      </c>
      <c r="AQ122" s="8" t="s">
        <v>227</v>
      </c>
      <c r="AR122" s="8" t="s">
        <v>353</v>
      </c>
    </row>
    <row r="123" spans="1:44" ht="25" customHeight="1" x14ac:dyDescent="0.2">
      <c r="A123" s="76" t="s">
        <v>360</v>
      </c>
      <c r="B123" s="8" t="s">
        <v>362</v>
      </c>
      <c r="C123" s="29">
        <f>DATE(2013,10,14)</f>
        <v>41561</v>
      </c>
      <c r="D123" s="1">
        <v>41561</v>
      </c>
      <c r="E123" s="31">
        <v>10.3</v>
      </c>
      <c r="F123" s="4">
        <v>10.3</v>
      </c>
      <c r="G123" s="37">
        <f t="shared" si="4"/>
        <v>0</v>
      </c>
      <c r="H123" s="37">
        <f>G123-VLOOKUP(D123,'FI index'!A13:E3955,5,FALSE)</f>
        <v>7.4323233242083676E-4</v>
      </c>
      <c r="I123" s="8">
        <v>3</v>
      </c>
      <c r="K123" s="7">
        <v>65.599999999999994</v>
      </c>
      <c r="L123" s="7">
        <f>K123*'FI CPI'!$D$13</f>
        <v>66.331347695606496</v>
      </c>
      <c r="M123" s="31">
        <f t="shared" si="5"/>
        <v>4.1946626013712569</v>
      </c>
      <c r="N123" s="31"/>
      <c r="O123" s="31"/>
      <c r="P123" s="2">
        <f t="shared" si="6"/>
        <v>0</v>
      </c>
      <c r="Q123" s="1">
        <v>41562</v>
      </c>
      <c r="R123" s="5">
        <f>VLOOKUP(Q123,Sentiment!$A$3:$B$199,2,FALSE)</f>
        <v>-14.6</v>
      </c>
      <c r="S123" s="106">
        <v>0</v>
      </c>
      <c r="T123" s="37">
        <f>VLOOKUP(D123,'FI index'!A11:G3953,6,FALSE)</f>
        <v>7.8607876274043406E-2</v>
      </c>
      <c r="U123" s="37">
        <f>VLOOKUP(D123,'FI index'!A11:G3953,7,FALSE)</f>
        <v>1.0414006297592766E-2</v>
      </c>
      <c r="V123" s="8" t="s">
        <v>354</v>
      </c>
      <c r="X123" s="7"/>
      <c r="Y123" s="31"/>
      <c r="Z123" s="31"/>
      <c r="AA123" s="7">
        <v>0</v>
      </c>
      <c r="AB123" s="7">
        <v>0</v>
      </c>
      <c r="AC123" s="40" t="s">
        <v>10</v>
      </c>
      <c r="AD123" s="8" t="s">
        <v>10</v>
      </c>
      <c r="AE123" s="8">
        <f t="shared" si="7"/>
        <v>1</v>
      </c>
      <c r="AF123" s="58">
        <v>3000000</v>
      </c>
      <c r="AG123" s="58">
        <f>AF123*E123</f>
        <v>30900000.000000004</v>
      </c>
      <c r="AH123" s="8" t="s">
        <v>363</v>
      </c>
      <c r="AI123" s="8">
        <v>1</v>
      </c>
      <c r="AJ123" s="8">
        <v>0</v>
      </c>
      <c r="AK123" s="29">
        <v>40179</v>
      </c>
      <c r="AL123" s="7">
        <f>LN(DATEDIF(AK123,D123,"y")+1)</f>
        <v>1.3862943611198906</v>
      </c>
      <c r="AM123" s="45">
        <f>DATEDIF(AK123,D123,"y")</f>
        <v>3</v>
      </c>
      <c r="AN123" s="8" t="s">
        <v>361</v>
      </c>
      <c r="AO123" s="35">
        <v>6798</v>
      </c>
      <c r="AP123" s="36">
        <f>IFERROR(VLOOKUP(AO123,'Tech SIC'!$A$2:$B$35,2,FALSE),0)</f>
        <v>0</v>
      </c>
      <c r="AQ123" s="8" t="s">
        <v>352</v>
      </c>
      <c r="AR123" s="8" t="s">
        <v>353</v>
      </c>
    </row>
    <row r="124" spans="1:44" ht="25" customHeight="1" x14ac:dyDescent="0.2">
      <c r="A124" s="76" t="s">
        <v>364</v>
      </c>
      <c r="B124" s="8" t="s">
        <v>366</v>
      </c>
      <c r="C124" s="29">
        <f>DATE(2013,11,28)</f>
        <v>41606</v>
      </c>
      <c r="D124" s="1">
        <v>41606</v>
      </c>
      <c r="E124" s="31">
        <v>4.5999999999999996</v>
      </c>
      <c r="F124" s="4">
        <v>4.97</v>
      </c>
      <c r="G124" s="37">
        <f t="shared" si="4"/>
        <v>8.0434782608695743E-2</v>
      </c>
      <c r="H124" s="37">
        <f>G124-VLOOKUP(D124,'FI index'!A7:E3949,5,FALSE)</f>
        <v>8.0526219218571393E-2</v>
      </c>
      <c r="I124" s="8">
        <v>3</v>
      </c>
      <c r="K124" s="7">
        <v>47.5</v>
      </c>
      <c r="L124" s="7">
        <f>K124*'FI CPI'!$D$13</f>
        <v>48.029558163739466</v>
      </c>
      <c r="M124" s="31">
        <f t="shared" si="5"/>
        <v>3.8718166164618086</v>
      </c>
      <c r="N124" s="31"/>
      <c r="O124" s="31"/>
      <c r="P124" s="2">
        <f t="shared" si="6"/>
        <v>0</v>
      </c>
      <c r="Q124" s="1">
        <v>41593</v>
      </c>
      <c r="R124" s="5">
        <f>VLOOKUP(Q124,Sentiment!$A$3:$B$199,2,FALSE)</f>
        <v>-15.5</v>
      </c>
      <c r="S124" s="106">
        <v>0</v>
      </c>
      <c r="T124" s="37">
        <f>VLOOKUP(D124,'FI index'!A7:G3949,6,FALSE)</f>
        <v>6.1653860191790831E-2</v>
      </c>
      <c r="U124" s="37">
        <f>VLOOKUP(D124,'FI index'!A7:G3949,7,FALSE)</f>
        <v>6.4448653906010065E-3</v>
      </c>
      <c r="V124" s="8" t="s">
        <v>354</v>
      </c>
      <c r="X124" s="7"/>
      <c r="Y124" s="31"/>
      <c r="Z124" s="31"/>
      <c r="AA124" s="7">
        <v>0</v>
      </c>
      <c r="AB124" s="7">
        <v>0</v>
      </c>
      <c r="AC124" s="40" t="s">
        <v>10</v>
      </c>
      <c r="AD124" s="8" t="s">
        <v>10</v>
      </c>
      <c r="AE124" s="8">
        <f t="shared" si="7"/>
        <v>1</v>
      </c>
      <c r="AF124" s="58">
        <v>3600000</v>
      </c>
      <c r="AG124" s="58">
        <f>AF124*E124</f>
        <v>16559999.999999998</v>
      </c>
      <c r="AH124" s="8" t="s">
        <v>356</v>
      </c>
      <c r="AI124" s="8">
        <v>0</v>
      </c>
      <c r="AJ124" s="8">
        <v>0</v>
      </c>
      <c r="AK124" s="29">
        <f>DATE(1996,1,1)</f>
        <v>35065</v>
      </c>
      <c r="AL124" s="7">
        <f>LN(DATEDIF(AK124,D124,"y")+1)</f>
        <v>2.8903717578961645</v>
      </c>
      <c r="AM124" s="45">
        <f>DATEDIF(AK124,D124,"y")</f>
        <v>17</v>
      </c>
      <c r="AN124" s="8" t="s">
        <v>365</v>
      </c>
      <c r="AO124" s="35">
        <v>5812</v>
      </c>
      <c r="AP124" s="36">
        <f>IFERROR(VLOOKUP(AO124,'Tech SIC'!$A$2:$B$35,2,FALSE),0)</f>
        <v>0</v>
      </c>
      <c r="AQ124" s="8" t="s">
        <v>164</v>
      </c>
      <c r="AR124" s="8" t="s">
        <v>353</v>
      </c>
    </row>
    <row r="125" spans="1:44" ht="25" customHeight="1" x14ac:dyDescent="0.2">
      <c r="A125" s="76" t="s">
        <v>367</v>
      </c>
      <c r="B125" s="8" t="s">
        <v>369</v>
      </c>
      <c r="C125" s="29">
        <f>DATE(2015,3,27)</f>
        <v>42090</v>
      </c>
      <c r="D125" s="1">
        <v>42090</v>
      </c>
      <c r="E125" s="31">
        <v>14.75</v>
      </c>
      <c r="F125" s="4">
        <v>15.24</v>
      </c>
      <c r="G125" s="37">
        <f t="shared" si="4"/>
        <v>3.3220338983050768E-2</v>
      </c>
      <c r="H125" s="37">
        <f>G125-VLOOKUP(D125,'FI index'!A3:E3945,5,FALSE)</f>
        <v>4.2494562992357383E-2</v>
      </c>
      <c r="I125" s="8">
        <v>3</v>
      </c>
      <c r="K125" s="7">
        <v>159.69999999999999</v>
      </c>
      <c r="L125" s="7">
        <f>K125*'FI CPI'!$D$15</f>
        <v>160.50682668282548</v>
      </c>
      <c r="M125" s="31">
        <f t="shared" si="5"/>
        <v>5.0783364755149121</v>
      </c>
      <c r="N125" s="31"/>
      <c r="O125" s="31"/>
      <c r="P125" s="2">
        <f t="shared" si="6"/>
        <v>0</v>
      </c>
      <c r="Q125" s="1">
        <v>42078</v>
      </c>
      <c r="R125" s="5">
        <f>VLOOKUP(Q125,Sentiment!$A$3:$B$199,2,FALSE)</f>
        <v>-3.7</v>
      </c>
      <c r="S125" s="107">
        <v>1</v>
      </c>
      <c r="T125" s="37">
        <f>VLOOKUP(D125,'FI index'!A3:G3945,6,FALSE)</f>
        <v>3.901780835566409E-2</v>
      </c>
      <c r="U125" s="37">
        <f>VLOOKUP(D125,'FI index'!A3:G3945,7,FALSE)</f>
        <v>6.2938392552138265E-3</v>
      </c>
      <c r="V125" s="8" t="s">
        <v>354</v>
      </c>
      <c r="W125" s="5">
        <v>15.5</v>
      </c>
      <c r="X125" s="7">
        <v>12.5</v>
      </c>
      <c r="Y125" s="31">
        <v>15.5</v>
      </c>
      <c r="Z125" s="31">
        <v>12.5</v>
      </c>
      <c r="AA125" s="7">
        <f>IF(AC125="FIXED",0,IF(E125&gt;W125,1,0))</f>
        <v>0</v>
      </c>
      <c r="AB125" s="7">
        <f>IF(AC125="FIXED",0,IF(E125&lt;X125,1,0))</f>
        <v>0</v>
      </c>
      <c r="AC125" s="40" t="s">
        <v>73</v>
      </c>
      <c r="AD125" s="8" t="s">
        <v>10</v>
      </c>
      <c r="AE125" s="8">
        <f t="shared" si="7"/>
        <v>0</v>
      </c>
      <c r="AF125" s="58">
        <v>11602178</v>
      </c>
      <c r="AG125" s="58">
        <f>AF125*E125</f>
        <v>171132125.5</v>
      </c>
      <c r="AH125" s="8" t="s">
        <v>370</v>
      </c>
      <c r="AI125" s="8">
        <v>0</v>
      </c>
      <c r="AJ125" s="8">
        <v>0</v>
      </c>
      <c r="AK125" s="29">
        <v>1828</v>
      </c>
      <c r="AL125" s="7">
        <f>LN(DATEDIF(AK125,D125,"y")+1)</f>
        <v>4.7095302013123339</v>
      </c>
      <c r="AM125" s="45">
        <f>DATEDIF(AK125,D125,"y")</f>
        <v>110</v>
      </c>
      <c r="AN125" s="8" t="s">
        <v>368</v>
      </c>
      <c r="AO125" s="35">
        <v>7323</v>
      </c>
      <c r="AP125" s="36">
        <f>IFERROR(VLOOKUP(AO125,'Tech SIC'!$A$2:$B$35,2,FALSE),0)</f>
        <v>0</v>
      </c>
      <c r="AQ125" s="8" t="s">
        <v>13</v>
      </c>
      <c r="AR125" s="8" t="s">
        <v>353</v>
      </c>
    </row>
    <row r="126" spans="1:44" ht="25" customHeight="1" x14ac:dyDescent="0.2">
      <c r="A126" s="76" t="s">
        <v>371</v>
      </c>
      <c r="B126" s="8" t="s">
        <v>373</v>
      </c>
      <c r="C126" s="29">
        <f>DATE(2015,6,8)</f>
        <v>42163</v>
      </c>
      <c r="D126" s="1">
        <v>42159</v>
      </c>
      <c r="E126" s="31">
        <v>10.5</v>
      </c>
      <c r="F126" s="4">
        <v>11.5</v>
      </c>
      <c r="G126" s="37">
        <f t="shared" si="4"/>
        <v>9.5238095238095344E-2</v>
      </c>
      <c r="H126" s="37">
        <f>G126-VLOOKUP(D126,'FI index'!A4:E3946,5,FALSE)</f>
        <v>0.10573461906643206</v>
      </c>
      <c r="I126" s="8">
        <v>3</v>
      </c>
      <c r="J126" s="1">
        <v>42183</v>
      </c>
      <c r="K126" s="7">
        <f>N126/(VLOOKUP(J126,'FI FX'!$A$3:$B$199,2,FALSE))</f>
        <v>164.45499214493429</v>
      </c>
      <c r="L126" s="7">
        <f>K126*'FI CPI'!$D$15</f>
        <v>165.28584171153659</v>
      </c>
      <c r="M126" s="31">
        <f t="shared" si="5"/>
        <v>5.107676349080811</v>
      </c>
      <c r="N126" s="8">
        <v>147.6</v>
      </c>
      <c r="O126" s="8" t="s">
        <v>801</v>
      </c>
      <c r="P126" s="2">
        <f t="shared" si="6"/>
        <v>1</v>
      </c>
      <c r="Q126" s="1">
        <v>42170</v>
      </c>
      <c r="R126" s="5">
        <f>VLOOKUP(Q126,Sentiment!$A$3:$B$199,2,FALSE)</f>
        <v>-5.6000000000000005</v>
      </c>
      <c r="S126" s="107">
        <v>1</v>
      </c>
      <c r="T126" s="37">
        <f>VLOOKUP(D126,'FI index'!A4:G3946,6,FALSE)</f>
        <v>-7.4067173329742247E-2</v>
      </c>
      <c r="U126" s="37">
        <f>VLOOKUP(D126,'FI index'!A4:G3946,7,FALSE)</f>
        <v>1.2441330541311416E-2</v>
      </c>
      <c r="V126" s="8" t="s">
        <v>354</v>
      </c>
      <c r="W126" s="5">
        <v>10.75</v>
      </c>
      <c r="X126" s="7">
        <v>9</v>
      </c>
      <c r="Y126" s="31">
        <v>10.75</v>
      </c>
      <c r="Z126" s="31">
        <v>9</v>
      </c>
      <c r="AA126" s="7">
        <f>IF(AC126="FIXED",0,IF(E126&gt;W126,1,0))</f>
        <v>0</v>
      </c>
      <c r="AB126" s="7">
        <f>IF(AC126="FIXED",0,IF(E126&lt;X126,1,0))</f>
        <v>0</v>
      </c>
      <c r="AC126" s="4" t="s">
        <v>73</v>
      </c>
      <c r="AD126" s="8" t="s">
        <v>10</v>
      </c>
      <c r="AE126" s="8">
        <f t="shared" si="7"/>
        <v>0</v>
      </c>
      <c r="AF126" s="58">
        <v>7607076</v>
      </c>
      <c r="AG126" s="58">
        <f>AF126*E126</f>
        <v>79874298</v>
      </c>
      <c r="AH126" s="8" t="s">
        <v>370</v>
      </c>
      <c r="AI126" s="8">
        <v>0</v>
      </c>
      <c r="AJ126" s="8">
        <v>0</v>
      </c>
      <c r="AK126" s="29">
        <f>DATE(2001,1,1)</f>
        <v>36892</v>
      </c>
      <c r="AL126" s="7">
        <f>LN(DATEDIF(AK126,D126,"y")+1)</f>
        <v>2.7080502011022101</v>
      </c>
      <c r="AM126" s="45">
        <f>DATEDIF(AK126,D126,"y")</f>
        <v>14</v>
      </c>
      <c r="AN126" s="8" t="s">
        <v>372</v>
      </c>
      <c r="AO126" s="35">
        <v>8099</v>
      </c>
      <c r="AP126" s="36">
        <f>IFERROR(VLOOKUP(AO126,'Tech SIC'!$A$2:$B$35,2,FALSE),0)</f>
        <v>0</v>
      </c>
      <c r="AQ126" s="8" t="s">
        <v>374</v>
      </c>
      <c r="AR126" s="8" t="s">
        <v>353</v>
      </c>
    </row>
    <row r="127" spans="1:44" ht="25" customHeight="1" x14ac:dyDescent="0.2">
      <c r="A127" s="76" t="s">
        <v>375</v>
      </c>
      <c r="B127" s="8" t="s">
        <v>377</v>
      </c>
      <c r="C127" s="29">
        <f>DATE(2015,6,11)</f>
        <v>42166</v>
      </c>
      <c r="D127" s="1">
        <v>42166</v>
      </c>
      <c r="E127" s="3">
        <v>14.88</v>
      </c>
      <c r="F127" s="4">
        <v>20.61</v>
      </c>
      <c r="G127" s="37">
        <f t="shared" si="4"/>
        <v>0.38508064516129026</v>
      </c>
      <c r="H127" s="37">
        <f>G127-VLOOKUP(D127,'FI index'!A11:E3953,5,FALSE)</f>
        <v>0.38054972538314702</v>
      </c>
      <c r="I127" s="8">
        <v>3</v>
      </c>
      <c r="K127" s="7">
        <v>101.6</v>
      </c>
      <c r="L127" s="7">
        <f>K127*'FI CPI'!$D$15</f>
        <v>102.1132973761745</v>
      </c>
      <c r="M127" s="31">
        <f t="shared" si="5"/>
        <v>4.6260829554383269</v>
      </c>
      <c r="N127" s="31"/>
      <c r="O127" s="31"/>
      <c r="P127" s="2">
        <f t="shared" si="6"/>
        <v>0</v>
      </c>
      <c r="Q127" s="1">
        <v>42170</v>
      </c>
      <c r="R127" s="5">
        <f>VLOOKUP(Q127,Sentiment!$A$3:$B$199,2,FALSE)</f>
        <v>-5.6000000000000005</v>
      </c>
      <c r="S127" s="107">
        <v>1</v>
      </c>
      <c r="T127" s="37">
        <f>VLOOKUP(D127,'FI index'!A2:G3944,6,FALSE)</f>
        <v>-4.2597185776200829E-2</v>
      </c>
      <c r="U127" s="37">
        <f>VLOOKUP(D127,'FI index'!A2:G3944,7,FALSE)</f>
        <v>1.1849873288196065E-2</v>
      </c>
      <c r="V127" s="8" t="s">
        <v>354</v>
      </c>
      <c r="X127" s="7"/>
      <c r="Y127" s="31"/>
      <c r="Z127" s="31"/>
      <c r="AA127" s="7">
        <v>0</v>
      </c>
      <c r="AB127" s="7">
        <v>0</v>
      </c>
      <c r="AC127" s="4" t="s">
        <v>10</v>
      </c>
      <c r="AD127" s="8" t="s">
        <v>17</v>
      </c>
      <c r="AE127" s="8">
        <f t="shared" si="7"/>
        <v>1</v>
      </c>
      <c r="AF127" s="58">
        <v>3761418</v>
      </c>
      <c r="AG127" s="58">
        <f>AF127*E127</f>
        <v>55969899.840000004</v>
      </c>
      <c r="AH127" s="8" t="s">
        <v>378</v>
      </c>
      <c r="AI127" s="8">
        <v>0</v>
      </c>
      <c r="AJ127" s="8">
        <v>0</v>
      </c>
      <c r="AK127" s="29">
        <v>35796</v>
      </c>
      <c r="AL127" s="7">
        <f>LN(DATEDIF(AK127,D127,"y")+1)</f>
        <v>2.8903717578961645</v>
      </c>
      <c r="AM127" s="45">
        <f>DATEDIF(AK127,D127,"y")</f>
        <v>17</v>
      </c>
      <c r="AN127" s="8" t="s">
        <v>376</v>
      </c>
      <c r="AO127" s="35">
        <v>2834</v>
      </c>
      <c r="AP127" s="36">
        <f>IFERROR(VLOOKUP(AO127,'Tech SIC'!$A$2:$B$35,2,FALSE),0)</f>
        <v>0</v>
      </c>
      <c r="AQ127" s="8" t="s">
        <v>15</v>
      </c>
      <c r="AR127" s="8" t="s">
        <v>353</v>
      </c>
    </row>
    <row r="128" spans="1:44" ht="25" customHeight="1" x14ac:dyDescent="0.2">
      <c r="A128" s="76" t="s">
        <v>379</v>
      </c>
      <c r="B128" s="8" t="s">
        <v>381</v>
      </c>
      <c r="C128" s="29">
        <f>DATE(2015,7,7)</f>
        <v>42192</v>
      </c>
      <c r="D128" s="1">
        <v>42192</v>
      </c>
      <c r="E128" s="31">
        <v>5</v>
      </c>
      <c r="F128" s="4">
        <v>5.19</v>
      </c>
      <c r="G128" s="37">
        <f t="shared" si="4"/>
        <v>3.8000000000000034E-2</v>
      </c>
      <c r="H128" s="37">
        <f>G128-VLOOKUP(D128,'FI index'!A9:E3951,5,FALSE)</f>
        <v>6.0504916279555204E-2</v>
      </c>
      <c r="I128" s="8">
        <v>3</v>
      </c>
      <c r="K128" s="7">
        <v>57.3</v>
      </c>
      <c r="L128" s="7">
        <f>K128*'FI CPI'!$D$15</f>
        <v>57.589487595027549</v>
      </c>
      <c r="M128" s="31">
        <f t="shared" si="5"/>
        <v>4.0533400440146394</v>
      </c>
      <c r="N128" s="31"/>
      <c r="O128" s="31"/>
      <c r="P128" s="2">
        <f t="shared" si="6"/>
        <v>0</v>
      </c>
      <c r="Q128" s="1">
        <v>42200</v>
      </c>
      <c r="R128" s="5">
        <f>VLOOKUP(Q128,Sentiment!$A$3:$B$199,2,FALSE)</f>
        <v>-7.2</v>
      </c>
      <c r="S128" s="106">
        <v>1</v>
      </c>
      <c r="T128" s="37">
        <f>VLOOKUP(D128,'FI index'!A9:G3951,6,FALSE)</f>
        <v>-9.6508540692769887E-2</v>
      </c>
      <c r="U128" s="37">
        <f>VLOOKUP(D128,'FI index'!A9:G3951,7,FALSE)</f>
        <v>1.1780542470695177E-2</v>
      </c>
      <c r="V128" s="8" t="s">
        <v>354</v>
      </c>
      <c r="W128" s="5">
        <v>11</v>
      </c>
      <c r="X128" s="7">
        <v>9</v>
      </c>
      <c r="Y128" s="31">
        <v>5</v>
      </c>
      <c r="Z128" s="31">
        <v>5</v>
      </c>
      <c r="AA128" s="7">
        <f>IF(AC128="FIXED",0,IF(E128&gt;W128,1,0))</f>
        <v>0</v>
      </c>
      <c r="AB128" s="7">
        <f>IF(AC128="FIXED",0,IF(E128&lt;X128,1,0))</f>
        <v>1</v>
      </c>
      <c r="AC128" s="40" t="s">
        <v>73</v>
      </c>
      <c r="AD128" s="8" t="s">
        <v>17</v>
      </c>
      <c r="AE128" s="8">
        <f t="shared" si="7"/>
        <v>0</v>
      </c>
      <c r="AF128" s="58">
        <v>5100000</v>
      </c>
      <c r="AG128" s="58">
        <f>AF128*E128</f>
        <v>25500000</v>
      </c>
      <c r="AH128" s="8" t="s">
        <v>382</v>
      </c>
      <c r="AI128" s="8">
        <v>0</v>
      </c>
      <c r="AJ128" s="8">
        <v>0</v>
      </c>
      <c r="AK128" s="29">
        <v>31778</v>
      </c>
      <c r="AL128" s="7">
        <f>LN(DATEDIF(AK128,D128,"y")+1)</f>
        <v>3.3672958299864741</v>
      </c>
      <c r="AM128" s="45">
        <f>DATEDIF(AK128,D128,"y")</f>
        <v>28</v>
      </c>
      <c r="AN128" s="8" t="s">
        <v>380</v>
      </c>
      <c r="AO128" s="35">
        <v>5812</v>
      </c>
      <c r="AP128" s="36">
        <f>IFERROR(VLOOKUP(AO128,'Tech SIC'!$A$2:$B$35,2,FALSE),0)</f>
        <v>0</v>
      </c>
      <c r="AQ128" s="8" t="s">
        <v>164</v>
      </c>
      <c r="AR128" s="8" t="s">
        <v>353</v>
      </c>
    </row>
    <row r="129" spans="1:66" ht="25" customHeight="1" x14ac:dyDescent="0.2">
      <c r="A129" s="76" t="s">
        <v>383</v>
      </c>
      <c r="B129" s="8" t="s">
        <v>385</v>
      </c>
      <c r="C129" s="29">
        <f>DATE(2015,12,2)</f>
        <v>42340</v>
      </c>
      <c r="D129" s="1">
        <v>42340</v>
      </c>
      <c r="E129" s="31">
        <v>6.75</v>
      </c>
      <c r="F129" s="4">
        <v>8.3699999999999992</v>
      </c>
      <c r="G129" s="37">
        <f t="shared" si="4"/>
        <v>0.24</v>
      </c>
      <c r="H129" s="37">
        <f>G129-VLOOKUP(D129,'FI index'!A2:E3944,5,FALSE)</f>
        <v>0.23433012267376563</v>
      </c>
      <c r="I129" s="8">
        <v>3</v>
      </c>
      <c r="K129" s="7">
        <v>836.7</v>
      </c>
      <c r="L129" s="7">
        <f>K129*'FI CPI'!$D$15</f>
        <v>840.92712514414586</v>
      </c>
      <c r="M129" s="31">
        <f t="shared" si="5"/>
        <v>6.7345050035954985</v>
      </c>
      <c r="N129" s="31"/>
      <c r="O129" s="31"/>
      <c r="P129" s="2">
        <f t="shared" si="6"/>
        <v>0</v>
      </c>
      <c r="Q129" s="1">
        <v>42353</v>
      </c>
      <c r="R129" s="5">
        <f>VLOOKUP(Q129,Sentiment!$A$3:$B$199,2,FALSE)</f>
        <v>-5.8</v>
      </c>
      <c r="S129" s="106">
        <v>1</v>
      </c>
      <c r="T129" s="37">
        <f>VLOOKUP(D129,'FI index'!A2:G3944,6,FALSE)</f>
        <v>9.3031165595679297E-2</v>
      </c>
      <c r="U129" s="37">
        <f>VLOOKUP(D129,'FI index'!A2:G3944,7,FALSE)</f>
        <v>9.3585924985545004E-3</v>
      </c>
      <c r="V129" s="8" t="s">
        <v>354</v>
      </c>
      <c r="X129" s="7"/>
      <c r="Y129" s="31"/>
      <c r="Z129" s="31"/>
      <c r="AA129" s="7">
        <v>0</v>
      </c>
      <c r="AB129" s="7">
        <v>0</v>
      </c>
      <c r="AC129" s="4" t="s">
        <v>10</v>
      </c>
      <c r="AD129" s="8" t="s">
        <v>10</v>
      </c>
      <c r="AE129" s="8">
        <f t="shared" si="7"/>
        <v>1</v>
      </c>
      <c r="AF129" s="58">
        <v>2100000</v>
      </c>
      <c r="AG129" s="58">
        <f>AF129*E129</f>
        <v>14175000</v>
      </c>
      <c r="AH129" s="8" t="s">
        <v>386</v>
      </c>
      <c r="AI129" s="8">
        <v>0</v>
      </c>
      <c r="AJ129" s="8">
        <v>0</v>
      </c>
      <c r="AK129" s="29">
        <f>DATE(1985,1,1)</f>
        <v>31048</v>
      </c>
      <c r="AL129" s="7">
        <f>LN(DATEDIF(AK129,D129,"y")+1)</f>
        <v>3.4339872044851463</v>
      </c>
      <c r="AM129" s="45">
        <f>DATEDIF(AK129,D129,"y")</f>
        <v>30</v>
      </c>
      <c r="AN129" s="8" t="s">
        <v>384</v>
      </c>
      <c r="AO129" s="35">
        <v>6211</v>
      </c>
      <c r="AP129" s="36">
        <f>IFERROR(VLOOKUP(AO129,'Tech SIC'!$A$2:$B$35,2,FALSE),0)</f>
        <v>0</v>
      </c>
      <c r="AQ129" s="8" t="s">
        <v>89</v>
      </c>
      <c r="AR129" s="8" t="s">
        <v>353</v>
      </c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</row>
    <row r="130" spans="1:66" ht="25" customHeight="1" x14ac:dyDescent="0.2">
      <c r="A130" s="76" t="s">
        <v>387</v>
      </c>
      <c r="B130" s="8" t="s">
        <v>389</v>
      </c>
      <c r="C130" s="29">
        <f>DATE(2015,12,11)</f>
        <v>42349</v>
      </c>
      <c r="D130" s="1">
        <v>42349</v>
      </c>
      <c r="E130" s="31">
        <v>9.5</v>
      </c>
      <c r="F130" s="4">
        <v>9.8000000000000007</v>
      </c>
      <c r="G130" s="37">
        <f t="shared" ref="G130:G193" si="8">((F130/E130)-1)</f>
        <v>3.1578947368421151E-2</v>
      </c>
      <c r="H130" s="37">
        <f>G130-VLOOKUP(D130,'FI index'!A5:E3947,5,FALSE)</f>
        <v>6.1543133778442394E-2</v>
      </c>
      <c r="I130" s="8">
        <v>3</v>
      </c>
      <c r="K130" s="7">
        <v>98</v>
      </c>
      <c r="L130" s="7">
        <f>K130*'FI CPI'!$D$15</f>
        <v>98.495109673869109</v>
      </c>
      <c r="M130" s="31">
        <f t="shared" ref="M130:M193" si="9">LN(L130)</f>
        <v>4.5900068989645169</v>
      </c>
      <c r="N130" s="31"/>
      <c r="O130" s="31"/>
      <c r="P130" s="2">
        <f t="shared" ref="P130:P193" si="10">IF(D130=C130,0,1)</f>
        <v>0</v>
      </c>
      <c r="Q130" s="1">
        <v>42353</v>
      </c>
      <c r="R130" s="5">
        <f>VLOOKUP(Q130,Sentiment!$A$3:$B$199,2,FALSE)</f>
        <v>-5.8</v>
      </c>
      <c r="S130" s="106">
        <v>1</v>
      </c>
      <c r="T130" s="37">
        <f>VLOOKUP(D130,'FI index'!A5:G3947,6,FALSE)</f>
        <v>-1.2930607975870419E-2</v>
      </c>
      <c r="U130" s="37">
        <f>VLOOKUP(D130,'FI index'!A5:G3947,7,FALSE)</f>
        <v>1.2070440241439544E-2</v>
      </c>
      <c r="V130" s="8" t="s">
        <v>354</v>
      </c>
      <c r="W130" s="5">
        <v>11.5</v>
      </c>
      <c r="X130" s="7">
        <v>9.5</v>
      </c>
      <c r="Y130" s="31">
        <v>11.5</v>
      </c>
      <c r="Z130" s="31">
        <v>9.5</v>
      </c>
      <c r="AA130" s="7">
        <f>IF(AC130="FIXED",0,IF(E130&gt;W130,1,0))</f>
        <v>0</v>
      </c>
      <c r="AB130" s="7">
        <f>IF(AC130="FIXED",0,IF(E130&lt;X130,1,0))</f>
        <v>0</v>
      </c>
      <c r="AC130" s="40" t="s">
        <v>73</v>
      </c>
      <c r="AD130" s="8" t="s">
        <v>17</v>
      </c>
      <c r="AE130" s="8">
        <f t="shared" ref="AE130:AE193" si="11">IF(AC130="FIXED",1,0)</f>
        <v>0</v>
      </c>
      <c r="AF130" s="58">
        <v>4045967</v>
      </c>
      <c r="AG130" s="58">
        <f>AF130*E130</f>
        <v>38436686.5</v>
      </c>
      <c r="AH130" s="8" t="s">
        <v>370</v>
      </c>
      <c r="AI130" s="8">
        <v>0</v>
      </c>
      <c r="AJ130" s="8">
        <v>0</v>
      </c>
      <c r="AK130" s="29">
        <v>39448</v>
      </c>
      <c r="AL130" s="7">
        <f>LN(DATEDIF(AK130,D130,"y")+1)</f>
        <v>2.0794415416798357</v>
      </c>
      <c r="AM130" s="45">
        <f>DATEDIF(AK130,D130,"y")</f>
        <v>7</v>
      </c>
      <c r="AN130" s="8" t="s">
        <v>388</v>
      </c>
      <c r="AO130" s="35">
        <v>1541</v>
      </c>
      <c r="AP130" s="36">
        <f>IFERROR(VLOOKUP(AO130,'Tech SIC'!$A$2:$B$35,2,FALSE),0)</f>
        <v>0</v>
      </c>
      <c r="AQ130" s="8" t="s">
        <v>227</v>
      </c>
      <c r="AR130" s="8" t="s">
        <v>353</v>
      </c>
    </row>
    <row r="131" spans="1:66" ht="25" customHeight="1" x14ac:dyDescent="0.2">
      <c r="A131" s="76" t="s">
        <v>390</v>
      </c>
      <c r="B131" s="8" t="s">
        <v>392</v>
      </c>
      <c r="C131" s="29">
        <f>DATE(2016,4,28)</f>
        <v>42488</v>
      </c>
      <c r="D131" s="1">
        <v>42488</v>
      </c>
      <c r="E131" s="31">
        <v>5.0999999999999996</v>
      </c>
      <c r="F131" s="4">
        <v>5.9</v>
      </c>
      <c r="G131" s="37">
        <f t="shared" si="8"/>
        <v>0.15686274509803932</v>
      </c>
      <c r="H131" s="37">
        <f>G131-VLOOKUP(D131,'FI index'!A10:E3952,5,FALSE)</f>
        <v>0.15046623236490719</v>
      </c>
      <c r="I131" s="8">
        <v>3</v>
      </c>
      <c r="K131" s="7">
        <v>154.1</v>
      </c>
      <c r="L131" s="7">
        <f>K131*'FI CPI'!$D$16</f>
        <v>154.1</v>
      </c>
      <c r="M131" s="31">
        <f t="shared" si="9"/>
        <v>5.0376017423260704</v>
      </c>
      <c r="N131" s="31"/>
      <c r="O131" s="31"/>
      <c r="P131" s="2">
        <f t="shared" si="10"/>
        <v>0</v>
      </c>
      <c r="Q131" s="1">
        <v>42475</v>
      </c>
      <c r="R131" s="5">
        <f>VLOOKUP(Q131,Sentiment!$A$3:$B$199,2,FALSE)</f>
        <v>-9.4</v>
      </c>
      <c r="S131" s="107">
        <v>1</v>
      </c>
      <c r="T131" s="37">
        <f>VLOOKUP(D131,'FI index'!A10:G3952,6,FALSE)</f>
        <v>-8.8470239776249019E-3</v>
      </c>
      <c r="U131" s="37">
        <f>VLOOKUP(D131,'FI index'!A10:G3952,7,FALSE)</f>
        <v>1.1087747832195046E-2</v>
      </c>
      <c r="V131" s="8" t="s">
        <v>354</v>
      </c>
      <c r="W131" s="5">
        <v>5.0999999999999996</v>
      </c>
      <c r="X131" s="7">
        <v>4.5</v>
      </c>
      <c r="Y131" s="31">
        <v>5.0999999999999996</v>
      </c>
      <c r="Z131" s="31">
        <v>4.5</v>
      </c>
      <c r="AA131" s="7">
        <f>IF(AC131="FIXED",0,IF(E131&gt;W131,1,0))</f>
        <v>0</v>
      </c>
      <c r="AB131" s="7">
        <f>IF(AC131="FIXED",0,IF(E131&lt;X131,1,0))</f>
        <v>0</v>
      </c>
      <c r="AC131" s="40" t="s">
        <v>73</v>
      </c>
      <c r="AD131" s="8" t="s">
        <v>10</v>
      </c>
      <c r="AE131" s="8">
        <f t="shared" si="11"/>
        <v>0</v>
      </c>
      <c r="AF131" s="58">
        <v>13607045</v>
      </c>
      <c r="AG131" s="58">
        <f>AF131*E131</f>
        <v>69395929.5</v>
      </c>
      <c r="AH131" s="8" t="s">
        <v>393</v>
      </c>
      <c r="AI131" s="8">
        <v>0</v>
      </c>
      <c r="AJ131" s="8">
        <v>0</v>
      </c>
      <c r="AK131" s="29">
        <v>27760</v>
      </c>
      <c r="AL131" s="7">
        <f>LN(DATEDIF(AK131,D131,"y")+1)</f>
        <v>3.713572066704308</v>
      </c>
      <c r="AM131" s="45">
        <f>DATEDIF(AK131,D131,"y")</f>
        <v>40</v>
      </c>
      <c r="AN131" s="8" t="s">
        <v>391</v>
      </c>
      <c r="AO131" s="35">
        <v>1541</v>
      </c>
      <c r="AP131" s="36">
        <f>IFERROR(VLOOKUP(AO131,'Tech SIC'!$A$2:$B$35,2,FALSE),0)</f>
        <v>0</v>
      </c>
      <c r="AQ131" s="8" t="s">
        <v>227</v>
      </c>
      <c r="AR131" s="8" t="s">
        <v>353</v>
      </c>
    </row>
    <row r="132" spans="1:66" ht="25" customHeight="1" x14ac:dyDescent="0.2">
      <c r="A132" s="76" t="s">
        <v>394</v>
      </c>
      <c r="B132" s="8" t="s">
        <v>396</v>
      </c>
      <c r="C132" s="29">
        <f>DATE(2016,4,29)</f>
        <v>42489</v>
      </c>
      <c r="D132" s="1">
        <v>42489</v>
      </c>
      <c r="E132" s="31">
        <v>6.7</v>
      </c>
      <c r="F132" s="4">
        <v>6.7</v>
      </c>
      <c r="G132" s="37">
        <f t="shared" si="8"/>
        <v>0</v>
      </c>
      <c r="H132" s="37">
        <f>G132-VLOOKUP(D132,'FI index'!A8:E3950,5,FALSE)</f>
        <v>1.0981544396640022E-2</v>
      </c>
      <c r="I132" s="8">
        <v>3</v>
      </c>
      <c r="K132" s="7">
        <v>488.6</v>
      </c>
      <c r="L132" s="7">
        <f>K132*'FI CPI'!$D$16</f>
        <v>488.6</v>
      </c>
      <c r="M132" s="31">
        <f t="shared" si="9"/>
        <v>6.19154415882364</v>
      </c>
      <c r="N132" s="31"/>
      <c r="O132" s="31"/>
      <c r="P132" s="2">
        <f t="shared" si="10"/>
        <v>0</v>
      </c>
      <c r="Q132" s="1">
        <v>42475</v>
      </c>
      <c r="R132" s="5">
        <f>VLOOKUP(Q132,Sentiment!$A$3:$B$199,2,FALSE)</f>
        <v>-9.4</v>
      </c>
      <c r="S132" s="106">
        <v>1</v>
      </c>
      <c r="T132" s="37">
        <f>VLOOKUP(D132,'FI index'!A8:G3950,6,FALSE)</f>
        <v>-1.9504256520630713E-2</v>
      </c>
      <c r="U132" s="37">
        <f>VLOOKUP(D132,'FI index'!A8:G3950,7,FALSE)</f>
        <v>1.1258137298061759E-2</v>
      </c>
      <c r="V132" s="8" t="s">
        <v>354</v>
      </c>
      <c r="W132" s="5">
        <v>7.6</v>
      </c>
      <c r="X132" s="7">
        <v>6.25</v>
      </c>
      <c r="Y132" s="31">
        <v>6.7</v>
      </c>
      <c r="Z132" s="31">
        <v>6.7</v>
      </c>
      <c r="AA132" s="7">
        <f>IF(AC132="FIXED",0,IF(E132&gt;W132,1,0))</f>
        <v>0</v>
      </c>
      <c r="AB132" s="7">
        <f>IF(AC132="FIXED",0,IF(E132&lt;X132,1,0))</f>
        <v>0</v>
      </c>
      <c r="AC132" s="40" t="s">
        <v>73</v>
      </c>
      <c r="AD132" s="8" t="s">
        <v>10</v>
      </c>
      <c r="AE132" s="8">
        <f t="shared" si="11"/>
        <v>0</v>
      </c>
      <c r="AF132" s="58">
        <v>23547501</v>
      </c>
      <c r="AG132" s="58">
        <f>AF132*E132</f>
        <v>157768256.70000002</v>
      </c>
      <c r="AH132" s="8" t="s">
        <v>397</v>
      </c>
      <c r="AI132" s="8">
        <v>1</v>
      </c>
      <c r="AJ132" s="8">
        <v>1</v>
      </c>
      <c r="AK132" s="29">
        <v>32509</v>
      </c>
      <c r="AL132" s="7">
        <f>LN(DATEDIF(AK132,D132,"y")+1)</f>
        <v>3.3322045101752038</v>
      </c>
      <c r="AM132" s="45">
        <f>DATEDIF(AK132,D132,"y")</f>
        <v>27</v>
      </c>
      <c r="AN132" s="8" t="s">
        <v>395</v>
      </c>
      <c r="AO132" s="35">
        <v>5311</v>
      </c>
      <c r="AP132" s="36">
        <f>IFERROR(VLOOKUP(AO132,'Tech SIC'!$A$2:$B$35,2,FALSE),0)</f>
        <v>0</v>
      </c>
      <c r="AQ132" s="8" t="s">
        <v>316</v>
      </c>
      <c r="AR132" s="8" t="s">
        <v>353</v>
      </c>
    </row>
    <row r="133" spans="1:66" ht="25" customHeight="1" x14ac:dyDescent="0.2">
      <c r="A133" s="76" t="s">
        <v>398</v>
      </c>
      <c r="B133" s="8" t="s">
        <v>399</v>
      </c>
      <c r="C133" s="29">
        <f>DATE(2016,12,2)</f>
        <v>42706</v>
      </c>
      <c r="D133" s="1">
        <v>42704</v>
      </c>
      <c r="E133" s="31">
        <v>10.1</v>
      </c>
      <c r="F133" s="4">
        <v>10.1</v>
      </c>
      <c r="G133" s="37">
        <f t="shared" si="8"/>
        <v>0</v>
      </c>
      <c r="H133" s="37">
        <f>G133-VLOOKUP(D133,'FI index'!A6:E3948,5,FALSE)</f>
        <v>-5.8058275778166057E-3</v>
      </c>
      <c r="I133" s="8">
        <v>3</v>
      </c>
      <c r="K133" s="7">
        <v>1301.0999999999999</v>
      </c>
      <c r="L133" s="7">
        <f>K133*'FI CPI'!$D$16</f>
        <v>1301.0999999999999</v>
      </c>
      <c r="M133" s="31">
        <f t="shared" si="9"/>
        <v>7.1709653395094302</v>
      </c>
      <c r="N133" s="60"/>
      <c r="O133" s="60"/>
      <c r="P133" s="2">
        <f t="shared" si="10"/>
        <v>1</v>
      </c>
      <c r="Q133" s="1">
        <v>42689</v>
      </c>
      <c r="R133" s="5">
        <f>VLOOKUP(Q133,Sentiment!$A$3:$B$199,2,FALSE)</f>
        <v>-6.2</v>
      </c>
      <c r="S133" s="107">
        <v>1</v>
      </c>
      <c r="T133" s="37">
        <f>VLOOKUP(D133,'FI index'!A6:G3948,6,FALSE)</f>
        <v>-3.3172268687101229E-3</v>
      </c>
      <c r="U133" s="37">
        <f>VLOOKUP(D133,'FI index'!A6:G3948,7,FALSE)</f>
        <v>8.7618981299123575E-3</v>
      </c>
      <c r="V133" s="8" t="s">
        <v>354</v>
      </c>
      <c r="W133" s="5">
        <v>11.15</v>
      </c>
      <c r="X133" s="7">
        <v>9.85</v>
      </c>
      <c r="Y133" s="31">
        <v>11.15</v>
      </c>
      <c r="Z133" s="31">
        <v>9.85</v>
      </c>
      <c r="AA133" s="7">
        <f>IF(AC133="FIXED",0,IF(E133&gt;W133,1,0))</f>
        <v>0</v>
      </c>
      <c r="AB133" s="7">
        <f>IF(AC133="FIXED",0,IF(E133&lt;X133,1,0))</f>
        <v>0</v>
      </c>
      <c r="AC133" s="40" t="s">
        <v>73</v>
      </c>
      <c r="AD133" s="8" t="s">
        <v>17</v>
      </c>
      <c r="AE133" s="8">
        <f t="shared" si="11"/>
        <v>0</v>
      </c>
      <c r="AF133" s="58">
        <v>40927650</v>
      </c>
      <c r="AG133" s="58">
        <f>AF133*E133</f>
        <v>413369265</v>
      </c>
      <c r="AH133" s="8" t="s">
        <v>400</v>
      </c>
      <c r="AI133" s="8">
        <v>1</v>
      </c>
      <c r="AJ133" s="8">
        <v>1</v>
      </c>
      <c r="AK133" s="29">
        <f>DATE(1999,1,1)</f>
        <v>36161</v>
      </c>
      <c r="AL133" s="7">
        <f>LN(DATEDIF(AK133,D133,"y")+1)</f>
        <v>2.8903717578961645</v>
      </c>
      <c r="AM133" s="45">
        <f>DATEDIF(AK133,D133,"y")</f>
        <v>17</v>
      </c>
      <c r="AN133" s="8" t="s">
        <v>67</v>
      </c>
      <c r="AO133" s="35">
        <v>4812</v>
      </c>
      <c r="AP133" s="36">
        <f>IFERROR(VLOOKUP(AO133,'Tech SIC'!$A$2:$B$35,2,FALSE),0)</f>
        <v>1</v>
      </c>
      <c r="AQ133" s="8" t="s">
        <v>68</v>
      </c>
      <c r="AR133" s="8" t="s">
        <v>353</v>
      </c>
    </row>
    <row r="134" spans="1:66" ht="25" customHeight="1" x14ac:dyDescent="0.2">
      <c r="A134" s="76" t="s">
        <v>85</v>
      </c>
      <c r="B134" s="8" t="s">
        <v>87</v>
      </c>
      <c r="C134" s="29">
        <f>DATE(2001,6,18)</f>
        <v>37060</v>
      </c>
      <c r="D134" s="1">
        <v>37060</v>
      </c>
      <c r="E134" s="3">
        <v>69</v>
      </c>
      <c r="F134" s="4">
        <v>69</v>
      </c>
      <c r="G134" s="37">
        <f t="shared" si="8"/>
        <v>0</v>
      </c>
      <c r="H134" s="37">
        <f>G134-VLOOKUP(D134,'NO index'!$A$1:$E$5365,5,FALSE)</f>
        <v>2.2402673172596354E-3</v>
      </c>
      <c r="I134" s="8">
        <v>4</v>
      </c>
      <c r="K134" s="7">
        <v>21074.5</v>
      </c>
      <c r="L134" s="60">
        <f>K134*'NO CPI'!$D$1</f>
        <v>27399.518557472391</v>
      </c>
      <c r="M134" s="31">
        <f t="shared" si="9"/>
        <v>10.218280721326623</v>
      </c>
      <c r="N134" s="60"/>
      <c r="O134" s="60"/>
      <c r="P134" s="2">
        <f t="shared" si="10"/>
        <v>0</v>
      </c>
      <c r="Q134" s="1">
        <v>37057</v>
      </c>
      <c r="R134" s="5">
        <f>VLOOKUP(Q134,Sentiment!$A$3:$B$199,2,FALSE)</f>
        <v>-3</v>
      </c>
      <c r="S134" s="106">
        <v>0</v>
      </c>
      <c r="T134" s="37">
        <f>VLOOKUP(D134,'NO index'!$A$2:$G$5365,6,FALSE)</f>
        <v>-8.4159174930882336E-3</v>
      </c>
      <c r="U134" s="37">
        <f>VLOOKUP(D134,'NO index'!$A$2:$G$5365,7,FALSE)</f>
        <v>1.2144605987533285E-2</v>
      </c>
      <c r="V134" s="8" t="s">
        <v>72</v>
      </c>
      <c r="W134" s="5">
        <v>76</v>
      </c>
      <c r="X134" s="7">
        <v>66</v>
      </c>
      <c r="Y134" s="31">
        <v>76</v>
      </c>
      <c r="Z134" s="31">
        <v>66</v>
      </c>
      <c r="AA134" s="7">
        <f>IF(AC134="FIXED",0,IF(E134&gt;W134,1,0))</f>
        <v>0</v>
      </c>
      <c r="AB134" s="7">
        <f>IF(AC134="FIXED",0,IF(E134&lt;X134,1,0))</f>
        <v>0</v>
      </c>
      <c r="AC134" s="40" t="s">
        <v>73</v>
      </c>
      <c r="AD134" s="8" t="s">
        <v>17</v>
      </c>
      <c r="AE134" s="8">
        <f t="shared" si="11"/>
        <v>0</v>
      </c>
      <c r="AF134" s="58">
        <v>383177480</v>
      </c>
      <c r="AG134" s="58">
        <f>AF134*E134</f>
        <v>26439246120</v>
      </c>
      <c r="AH134" s="8" t="s">
        <v>88</v>
      </c>
      <c r="AI134" s="8">
        <v>0</v>
      </c>
      <c r="AJ134" s="8">
        <v>1</v>
      </c>
      <c r="AK134" s="29">
        <f>DATE(1972,1,1)</f>
        <v>26299</v>
      </c>
      <c r="AL134" s="7">
        <f>LN(DATEDIF(AK134,D134,"y")+1)</f>
        <v>3.4011973816621555</v>
      </c>
      <c r="AM134" s="45">
        <f>DATEDIF(AK134,D134,"y")</f>
        <v>29</v>
      </c>
      <c r="AN134" s="8" t="s">
        <v>86</v>
      </c>
      <c r="AO134" s="35">
        <v>1311</v>
      </c>
      <c r="AP134" s="36">
        <f>IFERROR(VLOOKUP(AO134,'Tech SIC'!$A$2:$B$35,2,FALSE),0)</f>
        <v>0</v>
      </c>
      <c r="AQ134" s="8" t="s">
        <v>51</v>
      </c>
      <c r="AR134" s="8" t="s">
        <v>50</v>
      </c>
    </row>
    <row r="135" spans="1:66" ht="25" customHeight="1" x14ac:dyDescent="0.2">
      <c r="A135" s="76" t="s">
        <v>768</v>
      </c>
      <c r="B135" s="8"/>
      <c r="C135" s="29">
        <v>37063</v>
      </c>
      <c r="D135" s="41">
        <v>37071</v>
      </c>
      <c r="E135" s="56">
        <v>26</v>
      </c>
      <c r="F135" s="4">
        <v>26</v>
      </c>
      <c r="G135" s="37">
        <f t="shared" si="8"/>
        <v>0</v>
      </c>
      <c r="H135" s="37">
        <f>G135-VLOOKUP(D135,'NO index'!$A$1:$E$5365,5,FALSE)</f>
        <v>-9.7144301557563519E-3</v>
      </c>
      <c r="I135" s="8">
        <v>4</v>
      </c>
      <c r="J135" s="41"/>
      <c r="K135" s="7">
        <v>240.8</v>
      </c>
      <c r="L135" s="60">
        <f>K135*'NO CPI'!$D$1</f>
        <v>313.07049128754426</v>
      </c>
      <c r="M135" s="31">
        <f t="shared" si="9"/>
        <v>5.7464283769650786</v>
      </c>
      <c r="N135" s="31"/>
      <c r="O135" s="31"/>
      <c r="P135" s="2">
        <f t="shared" si="10"/>
        <v>1</v>
      </c>
      <c r="Q135" s="41">
        <v>37057</v>
      </c>
      <c r="R135" s="5">
        <f>VLOOKUP(Q135,Sentiment!$A$3:$B$199,2,FALSE)</f>
        <v>-3</v>
      </c>
      <c r="S135" s="106">
        <v>0</v>
      </c>
      <c r="T135" s="37">
        <f>VLOOKUP(D135,'NO index'!$A$2:$G$5365,6,FALSE)</f>
        <v>-2.3513103601865874E-2</v>
      </c>
      <c r="U135" s="37">
        <f>VLOOKUP(D135,'NO index'!$A$2:$G$5365,7,FALSE)</f>
        <v>1.0904782165786274E-2</v>
      </c>
      <c r="V135" s="8" t="s">
        <v>72</v>
      </c>
      <c r="W135" s="5">
        <v>32</v>
      </c>
      <c r="X135" s="7">
        <v>26</v>
      </c>
      <c r="Y135" s="31">
        <v>32</v>
      </c>
      <c r="Z135" s="31">
        <v>26</v>
      </c>
      <c r="AA135" s="7">
        <f>IF(AC135="FIXED",0,IF(E135&gt;W135,1,0))</f>
        <v>0</v>
      </c>
      <c r="AB135" s="7">
        <f>IF(AC135="FIXED",0,IF(E135&lt;X135,1,0))</f>
        <v>0</v>
      </c>
      <c r="AC135" s="40" t="s">
        <v>73</v>
      </c>
      <c r="AD135" s="8" t="s">
        <v>17</v>
      </c>
      <c r="AE135" s="8">
        <f t="shared" si="11"/>
        <v>0</v>
      </c>
      <c r="AF135" s="58">
        <v>12000000</v>
      </c>
      <c r="AG135" s="58">
        <f>AF135*E135</f>
        <v>312000000</v>
      </c>
      <c r="AH135" s="8" t="s">
        <v>70</v>
      </c>
      <c r="AI135" s="8">
        <v>0</v>
      </c>
      <c r="AJ135" s="8">
        <v>0</v>
      </c>
      <c r="AK135" s="29">
        <v>33239</v>
      </c>
      <c r="AL135" s="7">
        <f>LN(DATEDIF(AK135,D135,"y")+1)</f>
        <v>2.3978952727983707</v>
      </c>
      <c r="AM135" s="45">
        <f>DATEDIF(AK135,D135,"y")</f>
        <v>10</v>
      </c>
      <c r="AN135" s="8" t="s">
        <v>769</v>
      </c>
      <c r="AO135" s="35">
        <v>2092</v>
      </c>
      <c r="AP135" s="36">
        <f>IFERROR(VLOOKUP(AO135,'Tech SIC'!$A$2:$B$35,2,FALSE),0)</f>
        <v>0</v>
      </c>
      <c r="AQ135" s="8" t="s">
        <v>15</v>
      </c>
      <c r="AR135" s="8" t="s">
        <v>50</v>
      </c>
    </row>
    <row r="136" spans="1:66" ht="25" customHeight="1" x14ac:dyDescent="0.2">
      <c r="A136" s="76" t="s">
        <v>90</v>
      </c>
      <c r="B136" s="8" t="s">
        <v>92</v>
      </c>
      <c r="C136" s="29">
        <f>DATE(2003,12,17)</f>
        <v>37972</v>
      </c>
      <c r="D136" s="1">
        <v>37973</v>
      </c>
      <c r="E136" s="3">
        <v>32</v>
      </c>
      <c r="F136" s="4">
        <v>33.5</v>
      </c>
      <c r="G136" s="37">
        <f t="shared" si="8"/>
        <v>4.6875E-2</v>
      </c>
      <c r="H136" s="37">
        <f>G136-VLOOKUP(D136,'NO index'!$A$1:$E$5365,5,FALSE)</f>
        <v>3.4430401261247738E-2</v>
      </c>
      <c r="I136" s="8">
        <v>4</v>
      </c>
      <c r="K136" s="7">
        <v>45.1</v>
      </c>
      <c r="L136" s="60">
        <f>K136*'NO CPI'!$D$3</f>
        <v>57.261732235721858</v>
      </c>
      <c r="M136" s="31">
        <f t="shared" si="9"/>
        <v>4.0476325513206941</v>
      </c>
      <c r="N136" s="31"/>
      <c r="O136" s="61"/>
      <c r="P136" s="2">
        <f t="shared" si="10"/>
        <v>1</v>
      </c>
      <c r="Q136" s="1">
        <v>37970</v>
      </c>
      <c r="R136" s="5">
        <f>VLOOKUP(Q136,Sentiment!$A$3:$B$199,2,FALSE)</f>
        <v>-16.399999999999999</v>
      </c>
      <c r="S136" s="108">
        <v>0</v>
      </c>
      <c r="T136" s="37">
        <f>VLOOKUP(D136,'NO index'!$A$2:$G$5365,6,FALSE)</f>
        <v>1.6397733113480768E-2</v>
      </c>
      <c r="U136" s="37">
        <f>VLOOKUP(D136,'NO index'!$A$2:$G$5365,7,FALSE)</f>
        <v>7.8383722459200948E-3</v>
      </c>
      <c r="V136" s="8" t="s">
        <v>72</v>
      </c>
      <c r="W136" s="5">
        <v>33</v>
      </c>
      <c r="X136" s="7">
        <v>27</v>
      </c>
      <c r="Y136" s="8"/>
      <c r="Z136" s="8"/>
      <c r="AA136" s="7">
        <f>IF(AC136="FIXED",0,IF(E136&gt;W136,1,0))</f>
        <v>0</v>
      </c>
      <c r="AB136" s="7">
        <f>IF(AC136="FIXED",0,IF(E136&lt;X136,1,0))</f>
        <v>0</v>
      </c>
      <c r="AC136" s="40" t="s">
        <v>73</v>
      </c>
      <c r="AD136" s="8" t="s">
        <v>17</v>
      </c>
      <c r="AE136" s="8">
        <f t="shared" si="11"/>
        <v>0</v>
      </c>
      <c r="AF136" s="58">
        <v>7812500</v>
      </c>
      <c r="AG136" s="58">
        <f>AF136*E136</f>
        <v>250000000</v>
      </c>
      <c r="AH136" s="8" t="s">
        <v>39</v>
      </c>
      <c r="AI136" s="8">
        <v>0</v>
      </c>
      <c r="AJ136" s="8">
        <v>1</v>
      </c>
      <c r="AK136" s="29">
        <f>DATE(1993,1,1)</f>
        <v>33970</v>
      </c>
      <c r="AL136" s="7">
        <f>LN(DATEDIF(AK136,D136,"y")+1)</f>
        <v>2.3978952727983707</v>
      </c>
      <c r="AM136" s="45">
        <f>DATEDIF(AK136,D136,"y")</f>
        <v>10</v>
      </c>
      <c r="AN136" s="8" t="s">
        <v>91</v>
      </c>
      <c r="AO136" s="35">
        <v>4512</v>
      </c>
      <c r="AP136" s="36">
        <f>IFERROR(VLOOKUP(AO136,'Tech SIC'!$A$2:$B$35,2,FALSE),0)</f>
        <v>0</v>
      </c>
      <c r="AQ136" s="8" t="s">
        <v>55</v>
      </c>
      <c r="AR136" s="8" t="s">
        <v>50</v>
      </c>
    </row>
    <row r="137" spans="1:66" ht="25" customHeight="1" x14ac:dyDescent="0.2">
      <c r="A137" s="76" t="s">
        <v>93</v>
      </c>
      <c r="B137" s="8" t="s">
        <v>95</v>
      </c>
      <c r="C137" s="29">
        <f>DATE(2004,3,11)</f>
        <v>38057</v>
      </c>
      <c r="D137" s="1">
        <v>38057</v>
      </c>
      <c r="E137" s="3">
        <v>10</v>
      </c>
      <c r="F137" s="4">
        <v>11.4</v>
      </c>
      <c r="G137" s="37">
        <f t="shared" si="8"/>
        <v>0.14000000000000012</v>
      </c>
      <c r="H137" s="37">
        <f>G137-VLOOKUP(D137,'NO index'!$A$1:$E$5365,5,FALSE)</f>
        <v>0.16312031244835604</v>
      </c>
      <c r="I137" s="8">
        <v>4</v>
      </c>
      <c r="K137" s="7">
        <v>10.5</v>
      </c>
      <c r="L137" s="60">
        <f>K137*'NO CPI'!$D$4</f>
        <v>13.173891350721544</v>
      </c>
      <c r="M137" s="31">
        <f t="shared" si="9"/>
        <v>2.5782369429339642</v>
      </c>
      <c r="N137" s="31"/>
      <c r="O137" s="61"/>
      <c r="P137" s="2">
        <f t="shared" si="10"/>
        <v>0</v>
      </c>
      <c r="Q137" s="1">
        <v>38061</v>
      </c>
      <c r="R137" s="5">
        <f>VLOOKUP(Q137,Sentiment!$A$3:$B$199,2,FALSE)</f>
        <v>-14.200000000000001</v>
      </c>
      <c r="S137" s="106">
        <v>0</v>
      </c>
      <c r="T137" s="37">
        <f>VLOOKUP(D137,'NO index'!$A$2:$G$5365,6,FALSE)</f>
        <v>6.7613478603226862E-2</v>
      </c>
      <c r="U137" s="37">
        <f>VLOOKUP(D137,'NO index'!$A$2:$G$5365,7,FALSE)</f>
        <v>1.0839611442459969E-2</v>
      </c>
      <c r="V137" s="8" t="s">
        <v>72</v>
      </c>
      <c r="W137" s="5">
        <v>10</v>
      </c>
      <c r="X137" s="7">
        <v>8</v>
      </c>
      <c r="Y137" s="8"/>
      <c r="Z137" s="8"/>
      <c r="AA137" s="7">
        <f>IF(AC137="FIXED",0,IF(E137&gt;W137,1,0))</f>
        <v>0</v>
      </c>
      <c r="AB137" s="7">
        <f>IF(AC137="FIXED",0,IF(E137&lt;X137,1,0))</f>
        <v>0</v>
      </c>
      <c r="AC137" s="40" t="s">
        <v>73</v>
      </c>
      <c r="AD137" s="8" t="s">
        <v>17</v>
      </c>
      <c r="AE137" s="8">
        <f t="shared" si="11"/>
        <v>0</v>
      </c>
      <c r="AF137" s="58">
        <v>24344900</v>
      </c>
      <c r="AG137" s="58">
        <f>AF137*E137</f>
        <v>243449000</v>
      </c>
      <c r="AH137" s="8" t="s">
        <v>39</v>
      </c>
      <c r="AI137" s="8">
        <v>0</v>
      </c>
      <c r="AJ137" s="8">
        <v>1</v>
      </c>
      <c r="AK137" s="29">
        <f>DATE(1994,1,1)</f>
        <v>34335</v>
      </c>
      <c r="AL137" s="7">
        <f>LN(DATEDIF(AK137,D137,"y")+1)</f>
        <v>2.3978952727983707</v>
      </c>
      <c r="AM137" s="45">
        <f>DATEDIF(AK137,D137,"y")</f>
        <v>10</v>
      </c>
      <c r="AN137" s="8" t="s">
        <v>94</v>
      </c>
      <c r="AO137" s="35">
        <v>7372</v>
      </c>
      <c r="AP137" s="36">
        <f>IFERROR(VLOOKUP(AO137,'Tech SIC'!$A$2:$B$35,2,FALSE),0)</f>
        <v>1</v>
      </c>
      <c r="AQ137" s="8" t="s">
        <v>13</v>
      </c>
      <c r="AR137" s="8" t="s">
        <v>50</v>
      </c>
    </row>
    <row r="138" spans="1:66" ht="25" customHeight="1" x14ac:dyDescent="0.2">
      <c r="A138" s="76" t="s">
        <v>96</v>
      </c>
      <c r="B138" s="8" t="s">
        <v>98</v>
      </c>
      <c r="C138" s="29">
        <f>DATE(2004,3,25)</f>
        <v>38071</v>
      </c>
      <c r="D138" s="1">
        <v>38071</v>
      </c>
      <c r="E138" s="3">
        <v>41</v>
      </c>
      <c r="F138" s="4">
        <v>51</v>
      </c>
      <c r="G138" s="37">
        <f t="shared" si="8"/>
        <v>0.24390243902439024</v>
      </c>
      <c r="H138" s="37">
        <f>G138-VLOOKUP(D138,'NO index'!$A$1:$E$5365,5,FALSE)</f>
        <v>0.24303693328082449</v>
      </c>
      <c r="I138" s="8">
        <v>4</v>
      </c>
      <c r="K138" s="7">
        <v>3730.6</v>
      </c>
      <c r="L138" s="60">
        <f>K138*'NO CPI'!$D$4</f>
        <v>4680.6208640954092</v>
      </c>
      <c r="M138" s="31">
        <f t="shared" si="9"/>
        <v>8.4511860433809485</v>
      </c>
      <c r="N138" s="60"/>
      <c r="O138" s="119"/>
      <c r="P138" s="2">
        <f t="shared" si="10"/>
        <v>0</v>
      </c>
      <c r="Q138" s="1">
        <v>38061</v>
      </c>
      <c r="R138" s="5">
        <f>VLOOKUP(Q138,Sentiment!$A$3:$B$199,2,FALSE)</f>
        <v>-14.200000000000001</v>
      </c>
      <c r="S138" s="107">
        <v>0</v>
      </c>
      <c r="T138" s="37">
        <f>VLOOKUP(D138,'NO index'!$A$2:$G$5365,6,FALSE)</f>
        <v>2.0076505211285206E-2</v>
      </c>
      <c r="U138" s="37">
        <f>VLOOKUP(D138,'NO index'!$A$2:$G$5365,7,FALSE)</f>
        <v>1.2298441556955586E-2</v>
      </c>
      <c r="V138" s="8" t="s">
        <v>72</v>
      </c>
      <c r="W138" s="5">
        <v>41</v>
      </c>
      <c r="X138" s="7">
        <v>36</v>
      </c>
      <c r="Y138" s="8"/>
      <c r="Z138" s="8"/>
      <c r="AA138" s="7">
        <f>IF(AC138="FIXED",0,IF(E138&gt;W138,1,0))</f>
        <v>0</v>
      </c>
      <c r="AB138" s="7">
        <f>IF(AC138="FIXED",0,IF(E138&lt;X138,1,0))</f>
        <v>0</v>
      </c>
      <c r="AC138" s="40" t="s">
        <v>73</v>
      </c>
      <c r="AD138" s="8" t="s">
        <v>17</v>
      </c>
      <c r="AE138" s="8">
        <f t="shared" si="11"/>
        <v>0</v>
      </c>
      <c r="AF138" s="58">
        <v>31826207</v>
      </c>
      <c r="AG138" s="58">
        <f>AF138*E138</f>
        <v>1304874487</v>
      </c>
      <c r="AH138" s="8" t="s">
        <v>99</v>
      </c>
      <c r="AI138" s="8">
        <v>1</v>
      </c>
      <c r="AJ138" s="8">
        <v>1</v>
      </c>
      <c r="AK138" s="29">
        <v>1828</v>
      </c>
      <c r="AL138" s="7">
        <f>LN(DATEDIF(AK138,D138,"y")+1)</f>
        <v>4.6051701859880918</v>
      </c>
      <c r="AM138" s="45">
        <f>DATEDIF(AK138,D138,"y")</f>
        <v>99</v>
      </c>
      <c r="AN138" s="8" t="s">
        <v>97</v>
      </c>
      <c r="AO138" s="35">
        <v>2873</v>
      </c>
      <c r="AP138" s="36">
        <f>IFERROR(VLOOKUP(AO138,'Tech SIC'!$A$2:$B$35,2,FALSE),0)</f>
        <v>0</v>
      </c>
      <c r="AQ138" s="8" t="s">
        <v>15</v>
      </c>
      <c r="AR138" s="8" t="s">
        <v>50</v>
      </c>
    </row>
    <row r="139" spans="1:66" ht="25" customHeight="1" x14ac:dyDescent="0.2">
      <c r="A139" s="76" t="s">
        <v>100</v>
      </c>
      <c r="B139" s="8" t="s">
        <v>102</v>
      </c>
      <c r="C139" s="29">
        <f>DATE(2004,3,29)</f>
        <v>38075</v>
      </c>
      <c r="D139" s="1">
        <v>38075</v>
      </c>
      <c r="E139" s="3">
        <v>20</v>
      </c>
      <c r="F139" s="4">
        <v>19.899999999999999</v>
      </c>
      <c r="G139" s="37">
        <f t="shared" si="8"/>
        <v>-5.0000000000001155E-3</v>
      </c>
      <c r="H139" s="37">
        <f>G139-VLOOKUP(D139,'NO index'!$A$1:$E$5365,5,FALSE)</f>
        <v>-1.5149074794438713E-2</v>
      </c>
      <c r="I139" s="8">
        <v>4</v>
      </c>
      <c r="K139" s="7">
        <v>35.200000000000003</v>
      </c>
      <c r="L139" s="60">
        <f>K139*'NO CPI'!$D$4</f>
        <v>44.163902432895085</v>
      </c>
      <c r="M139" s="31">
        <f t="shared" si="9"/>
        <v>3.7879077683745384</v>
      </c>
      <c r="N139" s="73"/>
      <c r="O139" s="31"/>
      <c r="P139" s="2">
        <f t="shared" si="10"/>
        <v>0</v>
      </c>
      <c r="Q139" s="1">
        <v>38061</v>
      </c>
      <c r="R139" s="5">
        <f>VLOOKUP(Q139,Sentiment!$A$3:$B$199,2,FALSE)</f>
        <v>-14.200000000000001</v>
      </c>
      <c r="S139" s="106">
        <v>0</v>
      </c>
      <c r="T139" s="37">
        <f>VLOOKUP(D139,'NO index'!$A$2:$G$5365,6,FALSE)</f>
        <v>2.9373177032828508E-2</v>
      </c>
      <c r="U139" s="37">
        <f>VLOOKUP(D139,'NO index'!$A$2:$G$5365,7,FALSE)</f>
        <v>1.2432852811560627E-2</v>
      </c>
      <c r="V139" s="8" t="s">
        <v>72</v>
      </c>
      <c r="W139" s="5">
        <v>23</v>
      </c>
      <c r="X139" s="7">
        <v>19</v>
      </c>
      <c r="Y139" s="8"/>
      <c r="Z139" s="8"/>
      <c r="AA139" s="7">
        <f>IF(AC139="FIXED",0,IF(E139&gt;W139,1,0))</f>
        <v>0</v>
      </c>
      <c r="AB139" s="7">
        <f>IF(AC139="FIXED",0,IF(E139&lt;X139,1,0))</f>
        <v>0</v>
      </c>
      <c r="AC139" s="4" t="s">
        <v>73</v>
      </c>
      <c r="AD139" s="8" t="s">
        <v>17</v>
      </c>
      <c r="AE139" s="8">
        <f t="shared" si="11"/>
        <v>0</v>
      </c>
      <c r="AF139" s="58">
        <v>9100000</v>
      </c>
      <c r="AG139" s="58">
        <f>AF139*E139</f>
        <v>182000000</v>
      </c>
      <c r="AH139" s="8" t="s">
        <v>103</v>
      </c>
      <c r="AI139" s="8">
        <v>0</v>
      </c>
      <c r="AJ139" s="8">
        <v>0</v>
      </c>
      <c r="AK139" s="29">
        <v>36526</v>
      </c>
      <c r="AL139" s="7">
        <f>LN(DATEDIF(AK139,D139,"y")+1)</f>
        <v>1.6094379124341003</v>
      </c>
      <c r="AM139" s="45">
        <f>DATEDIF(AK139,D139,"y")</f>
        <v>4</v>
      </c>
      <c r="AN139" s="8" t="s">
        <v>101</v>
      </c>
      <c r="AO139" s="35">
        <v>7375</v>
      </c>
      <c r="AP139" s="36">
        <f>IFERROR(VLOOKUP(AO139,'Tech SIC'!$A$2:$B$35,2,FALSE),0)</f>
        <v>1</v>
      </c>
      <c r="AQ139" s="8" t="s">
        <v>13</v>
      </c>
      <c r="AR139" s="8" t="s">
        <v>50</v>
      </c>
    </row>
    <row r="140" spans="1:66" ht="25" customHeight="1" x14ac:dyDescent="0.2">
      <c r="A140" s="76" t="s">
        <v>104</v>
      </c>
      <c r="B140" s="8" t="s">
        <v>106</v>
      </c>
      <c r="C140" s="29">
        <f>DATE(2004,4,2)</f>
        <v>38079</v>
      </c>
      <c r="D140" s="1">
        <v>38079</v>
      </c>
      <c r="E140" s="3">
        <v>130</v>
      </c>
      <c r="F140" s="4">
        <v>126.5</v>
      </c>
      <c r="G140" s="37">
        <f t="shared" si="8"/>
        <v>-2.6923076923076938E-2</v>
      </c>
      <c r="H140" s="37">
        <f>G140-VLOOKUP(D140,'NO index'!$A$1:$E$5365,5,FALSE)</f>
        <v>-5.2160756109023848E-2</v>
      </c>
      <c r="I140" s="8">
        <v>4</v>
      </c>
      <c r="K140" s="7">
        <v>2820.9</v>
      </c>
      <c r="L140" s="60">
        <f>K140*'NO CPI'!$D$4</f>
        <v>3539.260010595277</v>
      </c>
      <c r="M140" s="31">
        <f t="shared" si="9"/>
        <v>8.1716729477216283</v>
      </c>
      <c r="N140" s="60"/>
      <c r="O140" s="60"/>
      <c r="P140" s="2">
        <f t="shared" si="10"/>
        <v>0</v>
      </c>
      <c r="Q140" s="1">
        <v>38092</v>
      </c>
      <c r="R140" s="5">
        <f>VLOOKUP(Q140,Sentiment!$A$3:$B$199,2,FALSE)</f>
        <v>-13.6</v>
      </c>
      <c r="S140" s="108">
        <v>0</v>
      </c>
      <c r="T140" s="37">
        <f>VLOOKUP(D140,'NO index'!$A$2:$G$5365,6,FALSE)</f>
        <v>-9.3692710973636226E-3</v>
      </c>
      <c r="U140" s="37">
        <f>VLOOKUP(D140,'NO index'!$A$2:$G$5365,7,FALSE)</f>
        <v>1.2570337610173602E-2</v>
      </c>
      <c r="V140" s="8" t="s">
        <v>72</v>
      </c>
      <c r="W140" s="5">
        <v>155</v>
      </c>
      <c r="X140" s="7">
        <v>130</v>
      </c>
      <c r="Y140" s="31">
        <v>155</v>
      </c>
      <c r="Z140" s="31">
        <v>130</v>
      </c>
      <c r="AA140" s="7">
        <f>IF(AC140="FIXED",0,IF(E140&gt;W140,1,0))</f>
        <v>0</v>
      </c>
      <c r="AB140" s="7">
        <f>IF(AC140="FIXED",0,IF(E140&lt;X140,1,0))</f>
        <v>0</v>
      </c>
      <c r="AC140" s="4" t="s">
        <v>73</v>
      </c>
      <c r="AD140" s="8" t="s">
        <v>17</v>
      </c>
      <c r="AE140" s="8">
        <f t="shared" si="11"/>
        <v>0</v>
      </c>
      <c r="AF140" s="58">
        <v>16153846</v>
      </c>
      <c r="AG140" s="58">
        <f>AF140*E140</f>
        <v>2099999980</v>
      </c>
      <c r="AH140" s="8" t="s">
        <v>107</v>
      </c>
      <c r="AI140" s="8">
        <v>0</v>
      </c>
      <c r="AJ140" s="8">
        <v>0</v>
      </c>
      <c r="AK140" s="29" t="s">
        <v>807</v>
      </c>
      <c r="AL140" s="7">
        <f>LN(2004-1853+1)</f>
        <v>5.0238805208462765</v>
      </c>
      <c r="AM140" s="45">
        <f>-1853+2004</f>
        <v>151</v>
      </c>
      <c r="AN140" s="8" t="s">
        <v>105</v>
      </c>
      <c r="AO140" s="35">
        <v>8711</v>
      </c>
      <c r="AP140" s="36">
        <f>IFERROR(VLOOKUP(AO140,'Tech SIC'!$A$2:$B$35,2,FALSE),0)</f>
        <v>0</v>
      </c>
      <c r="AQ140" s="8" t="s">
        <v>13</v>
      </c>
      <c r="AR140" s="8" t="s">
        <v>50</v>
      </c>
    </row>
    <row r="141" spans="1:66" ht="25" customHeight="1" x14ac:dyDescent="0.2">
      <c r="A141" s="76" t="s">
        <v>108</v>
      </c>
      <c r="B141" s="8" t="s">
        <v>110</v>
      </c>
      <c r="C141" s="29">
        <f>DATE(2004,5,10)</f>
        <v>38117</v>
      </c>
      <c r="D141" s="1">
        <v>38117</v>
      </c>
      <c r="E141" s="3">
        <v>7</v>
      </c>
      <c r="F141" s="4">
        <v>6.8</v>
      </c>
      <c r="G141" s="37">
        <f t="shared" si="8"/>
        <v>-2.8571428571428581E-2</v>
      </c>
      <c r="H141" s="37">
        <f>G141-VLOOKUP(D141,'NO index'!$A$1:$E$5365,5,FALSE)</f>
        <v>2.8978107612944864E-3</v>
      </c>
      <c r="I141" s="8">
        <v>4</v>
      </c>
      <c r="K141" s="7">
        <v>12.1</v>
      </c>
      <c r="L141" s="60">
        <f>K141*'NO CPI'!$D$4</f>
        <v>15.181341461307683</v>
      </c>
      <c r="M141" s="31">
        <f t="shared" si="9"/>
        <v>2.720067138373182</v>
      </c>
      <c r="N141" s="31"/>
      <c r="O141" s="31"/>
      <c r="P141" s="2">
        <f t="shared" si="10"/>
        <v>0</v>
      </c>
      <c r="Q141" s="1">
        <v>38122</v>
      </c>
      <c r="R141" s="5">
        <f>VLOOKUP(Q141,Sentiment!$A$3:$B$199,2,FALSE)</f>
        <v>-14.700000000000001</v>
      </c>
      <c r="S141" s="106">
        <v>0</v>
      </c>
      <c r="T141" s="37">
        <f>VLOOKUP(D141,'NO index'!$A$2:$G$5365,6,FALSE)</f>
        <v>-4.9245841776916939E-2</v>
      </c>
      <c r="U141" s="37">
        <f>VLOOKUP(D141,'NO index'!$A$2:$G$5365,7,FALSE)</f>
        <v>1.2644233821404133E-2</v>
      </c>
      <c r="V141" s="8" t="s">
        <v>72</v>
      </c>
      <c r="W141" s="5">
        <v>9</v>
      </c>
      <c r="X141" s="7">
        <v>6</v>
      </c>
      <c r="Y141" s="8"/>
      <c r="Z141" s="8"/>
      <c r="AA141" s="7">
        <f>IF(AC141="FIXED",0,IF(E141&gt;W141,1,0))</f>
        <v>0</v>
      </c>
      <c r="AB141" s="7">
        <f>IF(AC141="FIXED",0,IF(E141&lt;X141,1,0))</f>
        <v>0</v>
      </c>
      <c r="AC141" s="4" t="s">
        <v>73</v>
      </c>
      <c r="AD141" s="8" t="s">
        <v>17</v>
      </c>
      <c r="AE141" s="8">
        <f t="shared" si="11"/>
        <v>0</v>
      </c>
      <c r="AF141" s="58">
        <v>7000000</v>
      </c>
      <c r="AG141" s="58">
        <f>AF141*E141</f>
        <v>49000000</v>
      </c>
      <c r="AH141" s="8" t="s">
        <v>39</v>
      </c>
      <c r="AI141" s="8">
        <v>0</v>
      </c>
      <c r="AJ141" s="8">
        <v>1</v>
      </c>
      <c r="AK141" s="29">
        <f>DATE(1994,1,1)</f>
        <v>34335</v>
      </c>
      <c r="AL141" s="7">
        <f>LN(DATEDIF(AK141,D141,"y")+1)</f>
        <v>2.3978952727983707</v>
      </c>
      <c r="AM141" s="45">
        <f>DATEDIF(AK141,D141,"y")</f>
        <v>10</v>
      </c>
      <c r="AN141" s="8" t="s">
        <v>109</v>
      </c>
      <c r="AO141" s="35">
        <v>7372</v>
      </c>
      <c r="AP141" s="36">
        <f>IFERROR(VLOOKUP(AO141,'Tech SIC'!$A$2:$B$35,2,FALSE),0)</f>
        <v>1</v>
      </c>
      <c r="AQ141" s="8" t="s">
        <v>13</v>
      </c>
      <c r="AR141" s="8" t="s">
        <v>50</v>
      </c>
    </row>
    <row r="142" spans="1:66" ht="25" customHeight="1" x14ac:dyDescent="0.2">
      <c r="A142" s="76" t="s">
        <v>111</v>
      </c>
      <c r="B142" s="8" t="s">
        <v>113</v>
      </c>
      <c r="C142" s="29">
        <f>DATE(2004,5,25)</f>
        <v>38132</v>
      </c>
      <c r="D142" s="1">
        <v>38132</v>
      </c>
      <c r="E142" s="31">
        <v>25</v>
      </c>
      <c r="F142" s="4">
        <v>25</v>
      </c>
      <c r="G142" s="37">
        <f t="shared" si="8"/>
        <v>0</v>
      </c>
      <c r="H142" s="37">
        <f>G142-VLOOKUP(D142,'NO index'!$A$1:$E$5365,5,FALSE)</f>
        <v>-1.993528265504549E-3</v>
      </c>
      <c r="I142" s="8">
        <v>4</v>
      </c>
      <c r="J142" s="1">
        <v>38135</v>
      </c>
      <c r="K142" s="7">
        <f>N142/(VLOOKUP(J142,'NO FX'!$A$3:$B$199,2,FALSE))</f>
        <v>866.15111826322766</v>
      </c>
      <c r="L142" s="60">
        <f>K142*'NO CPI'!$D$4</f>
        <v>1086.7219738386409</v>
      </c>
      <c r="M142" s="31">
        <f t="shared" si="9"/>
        <v>6.9909210805680058</v>
      </c>
      <c r="N142" s="8">
        <v>5813</v>
      </c>
      <c r="O142" s="8" t="s">
        <v>799</v>
      </c>
      <c r="P142" s="2">
        <f t="shared" si="10"/>
        <v>0</v>
      </c>
      <c r="Q142" s="1">
        <v>38122</v>
      </c>
      <c r="R142" s="5">
        <f>VLOOKUP(Q142,Sentiment!$A$3:$B$199,2,FALSE)</f>
        <v>-14.700000000000001</v>
      </c>
      <c r="S142" s="107">
        <v>0</v>
      </c>
      <c r="T142" s="37">
        <f>VLOOKUP(D142,'NO index'!$A$2:$G$5365,6,FALSE)</f>
        <v>-4.9790257300267711E-2</v>
      </c>
      <c r="U142" s="37">
        <f>VLOOKUP(D142,'NO index'!$A$2:$G$5365,7,FALSE)</f>
        <v>1.1286229875466115E-2</v>
      </c>
      <c r="V142" s="8" t="s">
        <v>72</v>
      </c>
      <c r="W142" s="5">
        <v>40</v>
      </c>
      <c r="X142" s="7">
        <v>30</v>
      </c>
      <c r="Y142" s="31">
        <v>40</v>
      </c>
      <c r="Z142" s="31">
        <v>30</v>
      </c>
      <c r="AA142" s="7">
        <f>IF(AC142="FIXED",0,IF(E142&gt;W142,1,0))</f>
        <v>0</v>
      </c>
      <c r="AB142" s="7">
        <f>IF(AC142="FIXED",0,IF(E142&lt;X142,1,0))</f>
        <v>1</v>
      </c>
      <c r="AC142" s="4" t="s">
        <v>73</v>
      </c>
      <c r="AD142" s="8" t="s">
        <v>17</v>
      </c>
      <c r="AE142" s="8">
        <f t="shared" si="11"/>
        <v>0</v>
      </c>
      <c r="AF142" s="58">
        <v>44918888</v>
      </c>
      <c r="AG142" s="58">
        <f>AF142*E142</f>
        <v>1122972200</v>
      </c>
      <c r="AH142" s="8" t="s">
        <v>114</v>
      </c>
      <c r="AI142" s="8">
        <v>1</v>
      </c>
      <c r="AJ142" s="8">
        <v>0</v>
      </c>
      <c r="AK142" s="29">
        <f>DATE(1992,1,1)</f>
        <v>33604</v>
      </c>
      <c r="AL142" s="7">
        <f>LN(DATEDIF(AK142,D142,"y")+1)</f>
        <v>2.5649493574615367</v>
      </c>
      <c r="AM142" s="45">
        <f>DATEDIF(AK142,D142,"y")</f>
        <v>12</v>
      </c>
      <c r="AN142" s="8" t="s">
        <v>112</v>
      </c>
      <c r="AO142" s="35">
        <v>2741</v>
      </c>
      <c r="AP142" s="36">
        <f>IFERROR(VLOOKUP(AO142,'Tech SIC'!$A$2:$B$35,2,FALSE),0)</f>
        <v>0</v>
      </c>
      <c r="AQ142" s="8" t="s">
        <v>15</v>
      </c>
      <c r="AR142" s="8" t="s">
        <v>50</v>
      </c>
    </row>
    <row r="143" spans="1:66" ht="25" customHeight="1" x14ac:dyDescent="0.2">
      <c r="A143" s="76" t="s">
        <v>770</v>
      </c>
      <c r="B143" s="8"/>
      <c r="C143" s="29">
        <v>38408</v>
      </c>
      <c r="D143" s="41">
        <v>38420</v>
      </c>
      <c r="E143" s="56">
        <v>115</v>
      </c>
      <c r="F143" s="4">
        <v>135</v>
      </c>
      <c r="G143" s="37">
        <f t="shared" si="8"/>
        <v>0.17391304347826098</v>
      </c>
      <c r="H143" s="37">
        <f>G143-VLOOKUP(D143,'NO index'!$A$1:$E$5365,5,FALSE)</f>
        <v>0.17627339256259947</v>
      </c>
      <c r="I143" s="8">
        <v>4</v>
      </c>
      <c r="J143" s="41">
        <v>38439</v>
      </c>
      <c r="K143" s="7">
        <f>N143/(VLOOKUP(J143,'NO FX'!$A$3:$B$199,2,FALSE))</f>
        <v>79.199923983276307</v>
      </c>
      <c r="L143" s="60">
        <f>K143*'NO CPI'!$D$5</f>
        <v>98.206719768061433</v>
      </c>
      <c r="M143" s="31">
        <f t="shared" si="9"/>
        <v>4.5870746424292292</v>
      </c>
      <c r="N143" s="8">
        <v>500.1</v>
      </c>
      <c r="O143" s="8" t="s">
        <v>799</v>
      </c>
      <c r="P143" s="2">
        <f t="shared" si="10"/>
        <v>1</v>
      </c>
      <c r="Q143" s="41">
        <v>38426</v>
      </c>
      <c r="R143" s="5">
        <f>VLOOKUP(Q143,Sentiment!$A$3:$B$199,2,FALSE)</f>
        <v>-14.3</v>
      </c>
      <c r="S143" s="106">
        <v>1</v>
      </c>
      <c r="T143" s="37">
        <f>VLOOKUP(D143,'NO index'!$A$2:$G$5365,6,FALSE)</f>
        <v>7.6154079575298933E-2</v>
      </c>
      <c r="U143" s="37">
        <f>VLOOKUP(D143,'NO index'!$A$2:$G$5365,7,FALSE)</f>
        <v>7.1472168359248012E-3</v>
      </c>
      <c r="V143" s="8" t="s">
        <v>72</v>
      </c>
      <c r="W143" s="5">
        <v>115</v>
      </c>
      <c r="X143" s="7">
        <v>105</v>
      </c>
      <c r="Y143" s="8">
        <v>115</v>
      </c>
      <c r="Z143" s="8">
        <v>105</v>
      </c>
      <c r="AA143" s="7">
        <f>IF(AC143="FIXED",0,IF(E143&gt;W143,1,0))</f>
        <v>0</v>
      </c>
      <c r="AB143" s="7">
        <f>IF(AC143="FIXED",0,IF(E143&lt;X143,1,0))</f>
        <v>0</v>
      </c>
      <c r="AC143" s="40" t="s">
        <v>73</v>
      </c>
      <c r="AD143" s="8" t="s">
        <v>17</v>
      </c>
      <c r="AE143" s="8">
        <f t="shared" si="11"/>
        <v>0</v>
      </c>
      <c r="AF143" s="58">
        <v>2659815</v>
      </c>
      <c r="AG143" s="58">
        <f>AF143*E143</f>
        <v>305878725</v>
      </c>
      <c r="AH143" s="8" t="s">
        <v>53</v>
      </c>
      <c r="AI143" s="8">
        <v>0</v>
      </c>
      <c r="AJ143" s="8">
        <v>0</v>
      </c>
      <c r="AK143" s="29">
        <v>37987</v>
      </c>
      <c r="AL143" s="7">
        <f>LN(DATEDIF(AK143,D143,"y")+1)</f>
        <v>0.69314718055994529</v>
      </c>
      <c r="AM143" s="45">
        <f>DATEDIF(AK143,D143,"y")</f>
        <v>1</v>
      </c>
      <c r="AN143" s="8" t="s">
        <v>54</v>
      </c>
      <c r="AO143" s="35">
        <v>4412</v>
      </c>
      <c r="AP143" s="36">
        <f>IFERROR(VLOOKUP(AO143,'Tech SIC'!$A$2:$B$35,2,FALSE),0)</f>
        <v>0</v>
      </c>
      <c r="AQ143" s="8" t="s">
        <v>55</v>
      </c>
      <c r="AR143" s="8" t="s">
        <v>50</v>
      </c>
    </row>
    <row r="144" spans="1:66" ht="25" customHeight="1" x14ac:dyDescent="0.2">
      <c r="A144" s="76" t="s">
        <v>116</v>
      </c>
      <c r="B144" s="8" t="s">
        <v>118</v>
      </c>
      <c r="C144" s="29">
        <f>DATE(2005,4,26)</f>
        <v>38468</v>
      </c>
      <c r="D144" s="1">
        <v>38468</v>
      </c>
      <c r="E144" s="3">
        <v>21.5</v>
      </c>
      <c r="F144" s="4">
        <v>21.2</v>
      </c>
      <c r="G144" s="37">
        <f t="shared" si="8"/>
        <v>-1.3953488372093092E-2</v>
      </c>
      <c r="H144" s="37">
        <f>G144-VLOOKUP(D144,'NO index'!$A$1:$E$5365,5,FALSE)</f>
        <v>1.2706566194449383E-3</v>
      </c>
      <c r="I144" s="8">
        <v>4</v>
      </c>
      <c r="J144" s="1">
        <v>38470</v>
      </c>
      <c r="K144" s="7">
        <f>N144/(VLOOKUP(J144,'NO FX'!$A$3:$B$199,2,FALSE))</f>
        <v>261.21774501080461</v>
      </c>
      <c r="L144" s="60">
        <f>K144*'NO CPI'!$D$5</f>
        <v>323.90609223486024</v>
      </c>
      <c r="M144" s="31">
        <f t="shared" si="9"/>
        <v>5.780453634999656</v>
      </c>
      <c r="N144" s="8">
        <v>1644</v>
      </c>
      <c r="O144" s="8" t="s">
        <v>799</v>
      </c>
      <c r="P144" s="2">
        <f t="shared" si="10"/>
        <v>0</v>
      </c>
      <c r="Q144" s="1">
        <v>38457</v>
      </c>
      <c r="R144" s="5">
        <f>VLOOKUP(Q144,Sentiment!$A$3:$B$199,2,FALSE)</f>
        <v>-13.200000000000001</v>
      </c>
      <c r="S144" s="107">
        <v>1</v>
      </c>
      <c r="T144" s="37">
        <f>VLOOKUP(D144,'NO index'!$A$2:$G$5365,6,FALSE)</f>
        <v>-2.3194231353668358E-2</v>
      </c>
      <c r="U144" s="37">
        <f>VLOOKUP(D144,'NO index'!$A$2:$G$5365,7,FALSE)</f>
        <v>1.0302383030506221E-2</v>
      </c>
      <c r="V144" s="8" t="s">
        <v>72</v>
      </c>
      <c r="W144" s="5">
        <v>21.5</v>
      </c>
      <c r="X144" s="7">
        <v>19</v>
      </c>
      <c r="Y144" s="31">
        <v>21.5</v>
      </c>
      <c r="Z144" s="31">
        <v>19</v>
      </c>
      <c r="AA144" s="7">
        <f>IF(AC144="FIXED",0,IF(E144&gt;W144,1,0))</f>
        <v>0</v>
      </c>
      <c r="AB144" s="7">
        <f>IF(AC144="FIXED",0,IF(E144&lt;X144,1,0))</f>
        <v>0</v>
      </c>
      <c r="AC144" s="40" t="s">
        <v>73</v>
      </c>
      <c r="AD144" s="8" t="s">
        <v>17</v>
      </c>
      <c r="AE144" s="8">
        <f t="shared" si="11"/>
        <v>0</v>
      </c>
      <c r="AF144" s="58">
        <v>32750000</v>
      </c>
      <c r="AG144" s="58">
        <f>AF144*E144</f>
        <v>704125000</v>
      </c>
      <c r="AH144" s="8" t="s">
        <v>119</v>
      </c>
      <c r="AI144" s="8">
        <v>0</v>
      </c>
      <c r="AJ144" s="8">
        <v>1</v>
      </c>
      <c r="AK144" s="29">
        <f>DATE(1999,1,1)</f>
        <v>36161</v>
      </c>
      <c r="AL144" s="7">
        <f>LN(DATEDIF(AK144,D144,"y")+1)</f>
        <v>1.9459101490553132</v>
      </c>
      <c r="AM144" s="45">
        <f>DATEDIF(AK144,D144,"y")</f>
        <v>6</v>
      </c>
      <c r="AN144" s="8" t="s">
        <v>117</v>
      </c>
      <c r="AO144" s="35">
        <v>3089</v>
      </c>
      <c r="AP144" s="36">
        <f>IFERROR(VLOOKUP(AO144,'Tech SIC'!$A$2:$B$35,2,FALSE),0)</f>
        <v>0</v>
      </c>
      <c r="AQ144" s="8" t="s">
        <v>15</v>
      </c>
      <c r="AR144" s="8" t="s">
        <v>50</v>
      </c>
    </row>
    <row r="145" spans="1:66" ht="25" customHeight="1" x14ac:dyDescent="0.2">
      <c r="A145" s="76" t="s">
        <v>772</v>
      </c>
      <c r="B145" s="8"/>
      <c r="C145" s="29">
        <v>38475</v>
      </c>
      <c r="D145" s="41">
        <v>38475</v>
      </c>
      <c r="E145" s="56">
        <v>53</v>
      </c>
      <c r="F145" s="4">
        <v>54</v>
      </c>
      <c r="G145" s="37">
        <f t="shared" si="8"/>
        <v>1.8867924528301883E-2</v>
      </c>
      <c r="H145" s="74">
        <f>G145-VLOOKUP(D145,'NO index'!$A$1:$E$5365,5,FALSE)</f>
        <v>1.3110370273543247E-2</v>
      </c>
      <c r="I145" s="8">
        <v>4</v>
      </c>
      <c r="J145" s="41">
        <v>38500</v>
      </c>
      <c r="K145" s="7">
        <f>N145/(VLOOKUP(J145,'NO FX'!$A$3:$B$199,2,FALSE))</f>
        <v>65.809974801650768</v>
      </c>
      <c r="L145" s="60">
        <f>K145*'NO CPI'!$D$5</f>
        <v>81.603383289277033</v>
      </c>
      <c r="M145" s="31">
        <f t="shared" si="9"/>
        <v>4.401870722988936</v>
      </c>
      <c r="N145" s="8">
        <v>421.786</v>
      </c>
      <c r="O145" s="8" t="s">
        <v>799</v>
      </c>
      <c r="P145" s="2">
        <f t="shared" si="10"/>
        <v>0</v>
      </c>
      <c r="Q145" s="41">
        <v>38487</v>
      </c>
      <c r="R145" s="5">
        <f>VLOOKUP(Q145,Sentiment!$A$3:$B$199,2,FALSE)</f>
        <v>-14.200000000000001</v>
      </c>
      <c r="S145" s="106">
        <v>1</v>
      </c>
      <c r="T145" s="37">
        <f>VLOOKUP(D145,'NO index'!$A$2:$G$5365,6,FALSE)</f>
        <v>-5.8423014954974345E-2</v>
      </c>
      <c r="U145" s="37">
        <f>VLOOKUP(D145,'NO index'!$A$2:$G$5365,7,FALSE)</f>
        <v>1.1144801919384191E-2</v>
      </c>
      <c r="V145" s="8" t="s">
        <v>72</v>
      </c>
      <c r="W145" s="5">
        <v>55</v>
      </c>
      <c r="X145" s="7">
        <v>52</v>
      </c>
      <c r="Y145" s="31">
        <v>55</v>
      </c>
      <c r="Z145" s="31">
        <v>52</v>
      </c>
      <c r="AA145" s="7">
        <f>IF(AC145="FIXED",0,IF(E145&gt;W145,1,0))</f>
        <v>0</v>
      </c>
      <c r="AB145" s="7">
        <f>IF(AC145="FIXED",0,IF(E145&lt;X145,1,0))</f>
        <v>0</v>
      </c>
      <c r="AC145" s="40" t="s">
        <v>73</v>
      </c>
      <c r="AD145" s="8" t="s">
        <v>17</v>
      </c>
      <c r="AE145" s="8">
        <f t="shared" si="11"/>
        <v>0</v>
      </c>
      <c r="AF145" s="58">
        <v>5610000</v>
      </c>
      <c r="AG145" s="58">
        <f>AF145*E145</f>
        <v>297330000</v>
      </c>
      <c r="AH145" s="8" t="s">
        <v>165</v>
      </c>
      <c r="AI145" s="8">
        <v>0</v>
      </c>
      <c r="AJ145" s="8">
        <v>1</v>
      </c>
      <c r="AK145" s="29">
        <v>37987</v>
      </c>
      <c r="AL145" s="7">
        <f>LN(DATEDIF(AK145,D145,"y")+1)</f>
        <v>0.69314718055994529</v>
      </c>
      <c r="AM145" s="45">
        <f>DATEDIF(AK145,D145,"y")</f>
        <v>1</v>
      </c>
      <c r="AN145" s="8" t="s">
        <v>682</v>
      </c>
      <c r="AO145" s="35">
        <v>6798</v>
      </c>
      <c r="AP145" s="36">
        <f>IFERROR(VLOOKUP(AO145,'Tech SIC'!$A$2:$B$35,2,FALSE),0)</f>
        <v>0</v>
      </c>
      <c r="AQ145" s="8" t="s">
        <v>352</v>
      </c>
      <c r="AR145" s="8" t="s">
        <v>50</v>
      </c>
    </row>
    <row r="146" spans="1:66" ht="25" customHeight="1" x14ac:dyDescent="0.2">
      <c r="A146" s="76" t="s">
        <v>120</v>
      </c>
      <c r="B146" s="8" t="s">
        <v>122</v>
      </c>
      <c r="C146" s="29">
        <f>DATE(2005,5,13)</f>
        <v>38485</v>
      </c>
      <c r="D146" s="1">
        <v>38485</v>
      </c>
      <c r="E146" s="3">
        <v>29</v>
      </c>
      <c r="F146" s="4">
        <v>28.9</v>
      </c>
      <c r="G146" s="37">
        <f t="shared" si="8"/>
        <v>-3.4482758620689724E-3</v>
      </c>
      <c r="H146" s="37">
        <f>G146-VLOOKUP(D146,'NO index'!$A$1:$E$5365,5,FALSE)</f>
        <v>1.2326241313629326E-2</v>
      </c>
      <c r="I146" s="8">
        <v>4</v>
      </c>
      <c r="K146" s="7">
        <v>400.6</v>
      </c>
      <c r="L146" s="60">
        <f>K146*'NO CPI'!$D$5</f>
        <v>496.73800125607073</v>
      </c>
      <c r="M146" s="31">
        <f t="shared" si="9"/>
        <v>6.2080627266481452</v>
      </c>
      <c r="N146" s="31"/>
      <c r="O146" s="31"/>
      <c r="P146" s="2">
        <f t="shared" si="10"/>
        <v>0</v>
      </c>
      <c r="Q146" s="1">
        <v>38487</v>
      </c>
      <c r="R146" s="5">
        <f>VLOOKUP(Q146,Sentiment!$A$3:$B$199,2,FALSE)</f>
        <v>-14.200000000000001</v>
      </c>
      <c r="S146" s="107">
        <v>1</v>
      </c>
      <c r="T146" s="37">
        <f>VLOOKUP(D146,'NO index'!$A$2:$G$5365,6,FALSE)</f>
        <v>-3.7100374366254865E-2</v>
      </c>
      <c r="U146" s="37">
        <f>VLOOKUP(D146,'NO index'!$A$2:$G$5365,7,FALSE)</f>
        <v>1.18420713847455E-2</v>
      </c>
      <c r="V146" s="8" t="s">
        <v>72</v>
      </c>
      <c r="W146" s="5">
        <v>34</v>
      </c>
      <c r="X146" s="7">
        <v>29</v>
      </c>
      <c r="Y146" s="8"/>
      <c r="Z146" s="8"/>
      <c r="AA146" s="7">
        <f>IF(AC146="FIXED",0,IF(E146&gt;W146,1,0))</f>
        <v>0</v>
      </c>
      <c r="AB146" s="7">
        <f>IF(AC146="FIXED",0,IF(E146&lt;X146,1,0))</f>
        <v>0</v>
      </c>
      <c r="AC146" s="40" t="s">
        <v>73</v>
      </c>
      <c r="AD146" s="8" t="s">
        <v>17</v>
      </c>
      <c r="AE146" s="8">
        <f t="shared" si="11"/>
        <v>0</v>
      </c>
      <c r="AF146" s="58">
        <v>15614742</v>
      </c>
      <c r="AG146" s="58">
        <f>AF146*E146</f>
        <v>452827518</v>
      </c>
      <c r="AH146" s="8" t="s">
        <v>123</v>
      </c>
      <c r="AI146" s="8">
        <v>0</v>
      </c>
      <c r="AJ146" s="8">
        <v>1</v>
      </c>
      <c r="AK146" s="29">
        <v>15342</v>
      </c>
      <c r="AL146" s="7">
        <f>LN(DATEDIF(AK146,D146,"y")+1)</f>
        <v>4.1588830833596715</v>
      </c>
      <c r="AM146" s="45">
        <f>DATEDIF(AK146,D146,"y")</f>
        <v>63</v>
      </c>
      <c r="AN146" s="8" t="s">
        <v>121</v>
      </c>
      <c r="AO146" s="35">
        <v>2091</v>
      </c>
      <c r="AP146" s="36">
        <f>IFERROR(VLOOKUP(AO146,'Tech SIC'!$A$2:$B$35,2,FALSE),0)</f>
        <v>0</v>
      </c>
      <c r="AQ146" s="8" t="s">
        <v>15</v>
      </c>
      <c r="AR146" s="8" t="s">
        <v>50</v>
      </c>
    </row>
    <row r="147" spans="1:66" ht="25" customHeight="1" x14ac:dyDescent="0.2">
      <c r="A147" s="76" t="s">
        <v>124</v>
      </c>
      <c r="B147" s="8" t="s">
        <v>126</v>
      </c>
      <c r="C147" s="29">
        <f>DATE(2005,5,25)</f>
        <v>38497</v>
      </c>
      <c r="D147" s="1">
        <v>38497</v>
      </c>
      <c r="E147" s="3">
        <v>8</v>
      </c>
      <c r="F147" s="4">
        <v>8.5</v>
      </c>
      <c r="G147" s="37">
        <f t="shared" si="8"/>
        <v>6.25E-2</v>
      </c>
      <c r="H147" s="37">
        <f>G147-VLOOKUP(D147,'NO index'!$A$1:$E$5365,5,FALSE)</f>
        <v>6.3687801786609974E-2</v>
      </c>
      <c r="I147" s="8">
        <v>4</v>
      </c>
      <c r="J147" s="1">
        <v>38500</v>
      </c>
      <c r="K147" s="7">
        <f>N147/(VLOOKUP(J147,'NO FX'!$A$3:$B$199,2,FALSE))</f>
        <v>35.854988571027356</v>
      </c>
      <c r="L147" s="60">
        <f>K147*'NO CPI'!$D$5</f>
        <v>44.459648921196674</v>
      </c>
      <c r="M147" s="31">
        <f t="shared" si="9"/>
        <v>3.7945820119955762</v>
      </c>
      <c r="N147" s="8">
        <v>229.8</v>
      </c>
      <c r="O147" s="8" t="s">
        <v>799</v>
      </c>
      <c r="P147" s="2">
        <f t="shared" si="10"/>
        <v>0</v>
      </c>
      <c r="Q147" s="1">
        <v>38487</v>
      </c>
      <c r="R147" s="5">
        <f>VLOOKUP(Q147,Sentiment!$A$3:$B$199,2,FALSE)</f>
        <v>-14.200000000000001</v>
      </c>
      <c r="S147" s="107">
        <v>1</v>
      </c>
      <c r="T147" s="37">
        <f>VLOOKUP(D147,'NO index'!$A$2:$G$5365,6,FALSE)</f>
        <v>-2.5788345298309607E-2</v>
      </c>
      <c r="U147" s="37">
        <f>VLOOKUP(D147,'NO index'!$A$2:$G$5365,7,FALSE)</f>
        <v>1.2126435343859944E-2</v>
      </c>
      <c r="V147" s="8" t="s">
        <v>72</v>
      </c>
      <c r="W147" s="5">
        <v>10</v>
      </c>
      <c r="X147" s="7">
        <v>8</v>
      </c>
      <c r="Y147" s="8"/>
      <c r="Z147" s="8"/>
      <c r="AA147" s="7">
        <f>IF(AC147="FIXED",0,IF(E147&gt;W147,1,0))</f>
        <v>0</v>
      </c>
      <c r="AB147" s="7">
        <f>IF(AC147="FIXED",0,IF(E147&lt;X147,1,0))</f>
        <v>0</v>
      </c>
      <c r="AC147" s="40" t="s">
        <v>73</v>
      </c>
      <c r="AD147" s="8" t="s">
        <v>17</v>
      </c>
      <c r="AE147" s="8">
        <f t="shared" si="11"/>
        <v>0</v>
      </c>
      <c r="AF147" s="58">
        <v>10800000</v>
      </c>
      <c r="AG147" s="58">
        <f>AF147*E147</f>
        <v>86400000</v>
      </c>
      <c r="AH147" s="33" t="s">
        <v>830</v>
      </c>
      <c r="AI147" s="8">
        <v>0</v>
      </c>
      <c r="AJ147" s="8">
        <v>1</v>
      </c>
      <c r="AK147" s="29">
        <f>DATE(1968,1,1)</f>
        <v>24838</v>
      </c>
      <c r="AL147" s="7">
        <f>LN(DATEDIF(AK147,D147,"y")+1)</f>
        <v>3.6375861597263857</v>
      </c>
      <c r="AM147" s="45">
        <f>DATEDIF(AK147,D147,"y")</f>
        <v>37</v>
      </c>
      <c r="AN147" s="8" t="s">
        <v>125</v>
      </c>
      <c r="AO147" s="35">
        <v>7371</v>
      </c>
      <c r="AP147" s="36">
        <f>IFERROR(VLOOKUP(AO147,'Tech SIC'!$A$2:$B$35,2,FALSE),0)</f>
        <v>1</v>
      </c>
      <c r="AQ147" s="8" t="s">
        <v>13</v>
      </c>
      <c r="AR147" s="8" t="s">
        <v>50</v>
      </c>
    </row>
    <row r="148" spans="1:66" ht="25" customHeight="1" x14ac:dyDescent="0.2">
      <c r="A148" s="76" t="s">
        <v>127</v>
      </c>
      <c r="B148" s="8" t="s">
        <v>129</v>
      </c>
      <c r="C148" s="29">
        <f>DATE(2005,6,2)</f>
        <v>38505</v>
      </c>
      <c r="D148" s="1">
        <v>38512</v>
      </c>
      <c r="E148" s="3">
        <v>29</v>
      </c>
      <c r="F148" s="4">
        <v>28.5</v>
      </c>
      <c r="G148" s="37">
        <f t="shared" si="8"/>
        <v>-1.7241379310344862E-2</v>
      </c>
      <c r="H148" s="37">
        <f>G148-VLOOKUP(D148,'NO index'!$A$1:$E$5365,5,FALSE)</f>
        <v>-1.5762402499688244E-2</v>
      </c>
      <c r="I148" s="8">
        <v>4</v>
      </c>
      <c r="J148" s="1">
        <v>38531</v>
      </c>
      <c r="K148" s="7">
        <f>N148/(VLOOKUP(J148,'NO FX'!$A$3:$B$199,2,FALSE))</f>
        <v>96.209734161338659</v>
      </c>
      <c r="L148" s="60">
        <f>K148*'NO CPI'!$D$5</f>
        <v>119.29862967718741</v>
      </c>
      <c r="M148" s="31">
        <f t="shared" si="9"/>
        <v>4.7816298426773605</v>
      </c>
      <c r="N148" s="8">
        <v>629</v>
      </c>
      <c r="O148" s="8" t="s">
        <v>799</v>
      </c>
      <c r="P148" s="2">
        <f t="shared" si="10"/>
        <v>1</v>
      </c>
      <c r="Q148" s="1">
        <v>38518</v>
      </c>
      <c r="R148" s="5">
        <f>VLOOKUP(Q148,Sentiment!$A$3:$B$199,2,FALSE)</f>
        <v>-14.5</v>
      </c>
      <c r="S148" s="106">
        <v>1</v>
      </c>
      <c r="T148" s="37">
        <f>VLOOKUP(D148,'NO index'!$A$2:$G$5365,6,FALSE)</f>
        <v>5.6514112656684219E-2</v>
      </c>
      <c r="U148" s="37">
        <f>VLOOKUP(D148,'NO index'!$A$2:$G$5365,7,FALSE)</f>
        <v>1.0125365465031099E-2</v>
      </c>
      <c r="V148" s="8" t="s">
        <v>72</v>
      </c>
      <c r="X148" s="7"/>
      <c r="Y148" s="8"/>
      <c r="Z148" s="8"/>
      <c r="AA148" s="7">
        <v>0</v>
      </c>
      <c r="AB148" s="7">
        <v>0</v>
      </c>
      <c r="AC148" s="40" t="s">
        <v>10</v>
      </c>
      <c r="AD148" s="8" t="s">
        <v>10</v>
      </c>
      <c r="AE148" s="8">
        <f t="shared" si="11"/>
        <v>1</v>
      </c>
      <c r="AF148" s="58">
        <v>5021253</v>
      </c>
      <c r="AG148" s="58">
        <f>AF148*E148</f>
        <v>145616337</v>
      </c>
      <c r="AH148" s="8" t="s">
        <v>130</v>
      </c>
      <c r="AI148" s="8">
        <v>0</v>
      </c>
      <c r="AJ148" s="8">
        <v>1</v>
      </c>
      <c r="AK148" s="29">
        <v>35431</v>
      </c>
      <c r="AL148" s="7">
        <f>LN(DATEDIF(AK148,D148,"y")+1)</f>
        <v>2.1972245773362196</v>
      </c>
      <c r="AM148" s="45">
        <f>DATEDIF(AK148,D148,"y")</f>
        <v>8</v>
      </c>
      <c r="AN148" s="8" t="s">
        <v>128</v>
      </c>
      <c r="AO148" s="35">
        <v>4724</v>
      </c>
      <c r="AP148" s="36">
        <f>IFERROR(VLOOKUP(AO148,'Tech SIC'!$A$2:$B$35,2,FALSE),0)</f>
        <v>0</v>
      </c>
      <c r="AQ148" s="8" t="s">
        <v>55</v>
      </c>
      <c r="AR148" s="8" t="s">
        <v>50</v>
      </c>
    </row>
    <row r="149" spans="1:66" ht="25" customHeight="1" x14ac:dyDescent="0.2">
      <c r="A149" s="76" t="s">
        <v>133</v>
      </c>
      <c r="B149" s="8" t="s">
        <v>135</v>
      </c>
      <c r="C149" s="29">
        <f>DATE(2005,6,24)</f>
        <v>38527</v>
      </c>
      <c r="D149" s="1">
        <v>38527</v>
      </c>
      <c r="E149" s="3">
        <v>46</v>
      </c>
      <c r="F149" s="4">
        <v>47.5</v>
      </c>
      <c r="G149" s="37">
        <f t="shared" si="8"/>
        <v>3.2608695652173836E-2</v>
      </c>
      <c r="H149" s="37">
        <f>G149-VLOOKUP(D149,'NO index'!$A$1:$E$5365,5,FALSE)</f>
        <v>2.2874564473565562E-2</v>
      </c>
      <c r="I149" s="8">
        <v>4</v>
      </c>
      <c r="J149" s="1">
        <v>38531</v>
      </c>
      <c r="K149" s="7">
        <f>N149/(VLOOKUP(J149,'NO FX'!$A$3:$B$199,2,FALSE))</f>
        <v>270.33558689467401</v>
      </c>
      <c r="L149" s="60">
        <f>K149*'NO CPI'!$D$5</f>
        <v>335.21207963666296</v>
      </c>
      <c r="M149" s="31">
        <f t="shared" si="9"/>
        <v>5.8147634050608241</v>
      </c>
      <c r="N149" s="8">
        <v>1767.4</v>
      </c>
      <c r="O149" s="8" t="s">
        <v>805</v>
      </c>
      <c r="P149" s="2">
        <f t="shared" si="10"/>
        <v>0</v>
      </c>
      <c r="Q149" s="1">
        <v>38518</v>
      </c>
      <c r="R149" s="5">
        <f>VLOOKUP(Q149,Sentiment!$A$3:$B$199,2,FALSE)</f>
        <v>-14.5</v>
      </c>
      <c r="S149" s="107">
        <v>1</v>
      </c>
      <c r="T149" s="37">
        <f>VLOOKUP(D149,'NO index'!$A$2:$G$5365,6,FALSE)</f>
        <v>0.11183702561016558</v>
      </c>
      <c r="U149" s="37">
        <f>VLOOKUP(D149,'NO index'!$A$2:$G$5365,7,FALSE)</f>
        <v>7.4595797857320845E-3</v>
      </c>
      <c r="V149" s="8" t="s">
        <v>72</v>
      </c>
      <c r="W149" s="5">
        <v>49</v>
      </c>
      <c r="X149" s="7">
        <v>45</v>
      </c>
      <c r="Y149" s="8"/>
      <c r="Z149" s="8"/>
      <c r="AA149" s="7">
        <f>IF(AC149="FIXED",0,IF(E149&gt;W149,1,0))</f>
        <v>0</v>
      </c>
      <c r="AB149" s="7">
        <f>IF(AC149="FIXED",0,IF(E149&lt;X149,1,0))</f>
        <v>0</v>
      </c>
      <c r="AC149" s="40" t="s">
        <v>73</v>
      </c>
      <c r="AD149" s="8" t="s">
        <v>17</v>
      </c>
      <c r="AE149" s="8">
        <f t="shared" si="11"/>
        <v>0</v>
      </c>
      <c r="AF149" s="58">
        <v>14500000</v>
      </c>
      <c r="AG149" s="58">
        <f>AF149*E149</f>
        <v>667000000</v>
      </c>
      <c r="AH149" s="8" t="s">
        <v>53</v>
      </c>
      <c r="AI149" s="8">
        <v>0</v>
      </c>
      <c r="AJ149" s="8">
        <v>0</v>
      </c>
      <c r="AK149" s="29">
        <v>31778</v>
      </c>
      <c r="AL149" s="7">
        <f>LN(DATEDIF(AK149,D149,"y")+1)</f>
        <v>2.9444389791664403</v>
      </c>
      <c r="AM149" s="45">
        <f>DATEDIF(AK149,D149,"y")</f>
        <v>18</v>
      </c>
      <c r="AN149" s="8" t="s">
        <v>134</v>
      </c>
      <c r="AO149" s="35">
        <v>3714</v>
      </c>
      <c r="AP149" s="36">
        <f>IFERROR(VLOOKUP(AO149,'Tech SIC'!$A$2:$B$35,2,FALSE),0)</f>
        <v>0</v>
      </c>
      <c r="AQ149" s="8" t="s">
        <v>15</v>
      </c>
      <c r="AR149" s="8" t="s">
        <v>50</v>
      </c>
    </row>
    <row r="150" spans="1:66" ht="25" customHeight="1" x14ac:dyDescent="0.2">
      <c r="A150" s="76" t="s">
        <v>773</v>
      </c>
      <c r="B150" s="8"/>
      <c r="C150" s="29">
        <f>DATE(2005,6,27)</f>
        <v>38530</v>
      </c>
      <c r="D150" s="41">
        <v>38530</v>
      </c>
      <c r="E150" s="56">
        <v>42</v>
      </c>
      <c r="F150" s="4">
        <v>44</v>
      </c>
      <c r="G150" s="37">
        <f t="shared" si="8"/>
        <v>4.7619047619047672E-2</v>
      </c>
      <c r="H150" s="37">
        <f>G150-VLOOKUP(D150,'NO index'!$A$1:$E$5365,5,FALSE)</f>
        <v>5.809386515086238E-2</v>
      </c>
      <c r="I150" s="8">
        <v>4</v>
      </c>
      <c r="J150" s="41">
        <v>38531</v>
      </c>
      <c r="K150" s="7">
        <f>N150/(VLOOKUP(J150,'NO FX'!$A$3:$B$199,2,FALSE))</f>
        <v>218.1593196488115</v>
      </c>
      <c r="L150" s="60">
        <f>K150*'NO CPI'!$D$5</f>
        <v>270.51428955999717</v>
      </c>
      <c r="M150" s="31">
        <f t="shared" si="9"/>
        <v>5.6003249233607582</v>
      </c>
      <c r="N150" s="8">
        <f>1426282/1000</f>
        <v>1426.2819999999999</v>
      </c>
      <c r="O150" s="8" t="s">
        <v>799</v>
      </c>
      <c r="P150" s="2">
        <f t="shared" si="10"/>
        <v>0</v>
      </c>
      <c r="Q150" s="41">
        <v>38518</v>
      </c>
      <c r="R150" s="5">
        <f>VLOOKUP(Q150,Sentiment!$A$3:$B$199,2,FALSE)</f>
        <v>-14.5</v>
      </c>
      <c r="S150" s="108">
        <v>1</v>
      </c>
      <c r="T150" s="37">
        <f>VLOOKUP(D150,'NO index'!$A$2:$G$5365,6,FALSE)</f>
        <v>0.11713672525404924</v>
      </c>
      <c r="U150" s="37">
        <f>VLOOKUP(D150,'NO index'!$A$2:$G$5365,7,FALSE)</f>
        <v>7.0130264280473904E-3</v>
      </c>
      <c r="V150" s="8" t="s">
        <v>72</v>
      </c>
      <c r="W150" s="5">
        <v>42</v>
      </c>
      <c r="X150" s="7">
        <v>34</v>
      </c>
      <c r="Y150" s="31">
        <v>42</v>
      </c>
      <c r="Z150" s="31">
        <v>34</v>
      </c>
      <c r="AA150" s="7">
        <f>IF(AC150="FIXED",0,IF(E150&gt;W150,1,0))</f>
        <v>0</v>
      </c>
      <c r="AB150" s="7">
        <f>IF(AC150="FIXED",0,IF(E150&lt;X150,1,0))</f>
        <v>0</v>
      </c>
      <c r="AC150" s="40" t="s">
        <v>73</v>
      </c>
      <c r="AD150" s="8" t="s">
        <v>17</v>
      </c>
      <c r="AE150" s="8">
        <f t="shared" si="11"/>
        <v>0</v>
      </c>
      <c r="AF150" s="58">
        <v>27503070</v>
      </c>
      <c r="AG150" s="58">
        <f>AF150*E150</f>
        <v>1155128940</v>
      </c>
      <c r="AH150" s="8" t="s">
        <v>771</v>
      </c>
      <c r="AI150" s="8">
        <v>0</v>
      </c>
      <c r="AJ150" s="8">
        <v>0</v>
      </c>
      <c r="AK150" s="29">
        <v>37257</v>
      </c>
      <c r="AL150" s="7">
        <f>LN(DATEDIF(AK150,D150,"y")+1)</f>
        <v>1.3862943611198906</v>
      </c>
      <c r="AM150" s="45">
        <f>DATEDIF(AK150,D150,"y")</f>
        <v>3</v>
      </c>
      <c r="AN150" s="8" t="s">
        <v>774</v>
      </c>
      <c r="AO150" s="35">
        <v>1311</v>
      </c>
      <c r="AP150" s="36">
        <f>IFERROR(VLOOKUP(AO150,'Tech SIC'!$A$2:$B$35,2,FALSE),0)</f>
        <v>0</v>
      </c>
      <c r="AQ150" s="8" t="s">
        <v>51</v>
      </c>
      <c r="AR150" s="8" t="s">
        <v>50</v>
      </c>
    </row>
    <row r="151" spans="1:66" ht="25" customHeight="1" x14ac:dyDescent="0.2">
      <c r="A151" s="76" t="s">
        <v>803</v>
      </c>
      <c r="B151" s="8" t="s">
        <v>804</v>
      </c>
      <c r="C151" s="29">
        <f>DATE(2005,6,30)</f>
        <v>38533</v>
      </c>
      <c r="D151" s="1">
        <v>38544</v>
      </c>
      <c r="E151" s="3">
        <v>65</v>
      </c>
      <c r="F151" s="4">
        <v>66</v>
      </c>
      <c r="G151" s="37">
        <f t="shared" si="8"/>
        <v>1.538461538461533E-2</v>
      </c>
      <c r="H151" s="37">
        <f>G151-VLOOKUP(D151,'NO index'!$A$1:$E$5365,5,FALSE)</f>
        <v>1.8301581373617603E-2</v>
      </c>
      <c r="I151" s="8">
        <v>4</v>
      </c>
      <c r="K151" s="7">
        <v>308.10000000000002</v>
      </c>
      <c r="L151" s="60">
        <f>K151*'NO CPI'!$D$5</f>
        <v>382.03938638790663</v>
      </c>
      <c r="M151" s="31">
        <f t="shared" si="9"/>
        <v>5.9455237090190494</v>
      </c>
      <c r="N151" s="8"/>
      <c r="O151" s="8"/>
      <c r="P151" s="2">
        <f t="shared" si="10"/>
        <v>1</v>
      </c>
      <c r="Q151" s="1">
        <v>38548</v>
      </c>
      <c r="R151" s="5">
        <f>VLOOKUP(Q151,Sentiment!$A$3:$B$199,2,FALSE)</f>
        <v>-14.9</v>
      </c>
      <c r="S151" s="106">
        <v>1</v>
      </c>
      <c r="T151" s="37">
        <f>VLOOKUP(D151,'NO index'!$A$2:$G$5365,6,FALSE)</f>
        <v>0.14453086167979665</v>
      </c>
      <c r="U151" s="37">
        <f>VLOOKUP(D151,'NO index'!$A$2:$G$5365,7,FALSE)</f>
        <v>1.0130797931090792E-2</v>
      </c>
      <c r="V151" s="8" t="s">
        <v>72</v>
      </c>
      <c r="W151" s="5">
        <v>65</v>
      </c>
      <c r="X151" s="7">
        <v>55</v>
      </c>
      <c r="Y151" s="8"/>
      <c r="Z151" s="8"/>
      <c r="AA151" s="7">
        <f>IF(AC151="FIXED",0,IF(E151&gt;W151,1,0))</f>
        <v>0</v>
      </c>
      <c r="AB151" s="7">
        <f>IF(AC151="FIXED",0,IF(E151&lt;X151,1,0))</f>
        <v>0</v>
      </c>
      <c r="AC151" s="40" t="s">
        <v>73</v>
      </c>
      <c r="AD151" s="8" t="s">
        <v>17</v>
      </c>
      <c r="AE151" s="8">
        <f t="shared" si="11"/>
        <v>0</v>
      </c>
      <c r="AF151" s="58">
        <v>12500000</v>
      </c>
      <c r="AG151" s="58">
        <f>AF151*E151</f>
        <v>812500000</v>
      </c>
      <c r="AH151" s="8" t="s">
        <v>130</v>
      </c>
      <c r="AI151" s="8">
        <v>0</v>
      </c>
      <c r="AJ151" s="8">
        <v>1</v>
      </c>
      <c r="AK151" s="29">
        <v>38353</v>
      </c>
      <c r="AL151" s="7">
        <f>LN(DATEDIF(AK151,D151,"y")+1.001)</f>
        <v>9.9950033308342321E-4</v>
      </c>
      <c r="AM151" s="45">
        <f>DATEDIF(AK151,D151,"y")</f>
        <v>0</v>
      </c>
      <c r="AN151" s="8" t="s">
        <v>136</v>
      </c>
      <c r="AO151" s="35">
        <v>8748</v>
      </c>
      <c r="AP151" s="36">
        <f>IFERROR(VLOOKUP(AO151,'Tech SIC'!$A$2:$B$35,2,FALSE),0)</f>
        <v>0</v>
      </c>
      <c r="AQ151" s="8" t="s">
        <v>13</v>
      </c>
      <c r="AR151" s="8" t="s">
        <v>50</v>
      </c>
    </row>
    <row r="152" spans="1:66" ht="25" customHeight="1" x14ac:dyDescent="0.2">
      <c r="A152" s="76" t="s">
        <v>137</v>
      </c>
      <c r="B152" s="8" t="s">
        <v>138</v>
      </c>
      <c r="C152" s="29">
        <f>DATE(2005,9,15)</f>
        <v>38610</v>
      </c>
      <c r="D152" s="1">
        <v>38610</v>
      </c>
      <c r="E152" s="3">
        <v>11.5</v>
      </c>
      <c r="F152" s="4">
        <v>11.9</v>
      </c>
      <c r="G152" s="37">
        <f t="shared" si="8"/>
        <v>3.4782608695652195E-2</v>
      </c>
      <c r="H152" s="37">
        <f>G152-VLOOKUP(D152,'NO index'!$A$1:$E$5365,5,FALSE)</f>
        <v>2.4584507274346815E-2</v>
      </c>
      <c r="I152" s="8">
        <v>4</v>
      </c>
      <c r="K152" s="7">
        <v>219.7</v>
      </c>
      <c r="L152" s="60">
        <f>K152*'NO CPI'!$D$5</f>
        <v>272.42471012470975</v>
      </c>
      <c r="M152" s="31">
        <f t="shared" si="9"/>
        <v>5.6073622828069913</v>
      </c>
      <c r="N152" s="31"/>
      <c r="O152" s="31"/>
      <c r="P152" s="2">
        <f t="shared" si="10"/>
        <v>0</v>
      </c>
      <c r="Q152" s="1">
        <v>38610</v>
      </c>
      <c r="R152" s="5">
        <f>VLOOKUP(Q152,Sentiment!$A$3:$B$199,2,FALSE)</f>
        <v>-14.4</v>
      </c>
      <c r="S152" s="106">
        <v>1</v>
      </c>
      <c r="T152" s="37">
        <f>VLOOKUP(D152,'NO index'!$A$2:$G$5365,6,FALSE)</f>
        <v>6.7154630047309413E-2</v>
      </c>
      <c r="U152" s="37">
        <f>VLOOKUP(D152,'NO index'!$A$2:$G$5365,7,FALSE)</f>
        <v>7.8589170954590781E-3</v>
      </c>
      <c r="V152" s="8" t="s">
        <v>72</v>
      </c>
      <c r="W152" s="5">
        <v>10.5</v>
      </c>
      <c r="X152" s="7">
        <v>9.5</v>
      </c>
      <c r="Y152" s="8"/>
      <c r="Z152" s="8"/>
      <c r="AA152" s="7">
        <f>IF(AC152="FIXED",0,IF(E152&gt;W152,1,0))</f>
        <v>1</v>
      </c>
      <c r="AB152" s="7">
        <f>IF(AC152="FIXED",0,IF(E152&lt;X152,1,0))</f>
        <v>0</v>
      </c>
      <c r="AC152" s="40" t="s">
        <v>73</v>
      </c>
      <c r="AD152" s="8" t="s">
        <v>17</v>
      </c>
      <c r="AE152" s="8">
        <f t="shared" si="11"/>
        <v>0</v>
      </c>
      <c r="AF152" s="58">
        <v>3000000</v>
      </c>
      <c r="AG152" s="58">
        <f>AF152*E152</f>
        <v>34500000</v>
      </c>
      <c r="AH152" s="33" t="s">
        <v>823</v>
      </c>
      <c r="AI152" s="8">
        <v>0</v>
      </c>
      <c r="AJ152" s="8">
        <v>1</v>
      </c>
      <c r="AK152" s="29">
        <v>38353</v>
      </c>
      <c r="AL152" s="7">
        <f>LN(DATEDIF(AK152,D152,"y")+1)</f>
        <v>0</v>
      </c>
      <c r="AM152" s="45">
        <f>DATEDIF(AK152,D152,"y")</f>
        <v>0</v>
      </c>
      <c r="AN152" s="8" t="s">
        <v>54</v>
      </c>
      <c r="AO152" s="35">
        <v>4412</v>
      </c>
      <c r="AP152" s="36">
        <f>IFERROR(VLOOKUP(AO152,'Tech SIC'!$A$2:$B$35,2,FALSE),0)</f>
        <v>0</v>
      </c>
      <c r="AQ152" s="8" t="s">
        <v>55</v>
      </c>
      <c r="AR152" s="8" t="s">
        <v>50</v>
      </c>
    </row>
    <row r="153" spans="1:66" ht="25" customHeight="1" x14ac:dyDescent="0.2">
      <c r="A153" s="76" t="s">
        <v>139</v>
      </c>
      <c r="B153" s="8" t="s">
        <v>141</v>
      </c>
      <c r="C153" s="29">
        <f>DATE(2005,9,23)</f>
        <v>38618</v>
      </c>
      <c r="D153" s="1">
        <v>38618</v>
      </c>
      <c r="E153" s="3">
        <v>11</v>
      </c>
      <c r="F153" s="4">
        <v>10.5</v>
      </c>
      <c r="G153" s="37">
        <f t="shared" si="8"/>
        <v>-4.5454545454545414E-2</v>
      </c>
      <c r="H153" s="37">
        <f>G153-VLOOKUP(D153,'NO index'!$A$1:$E$5365,5,FALSE)</f>
        <v>-3.333248561951728E-2</v>
      </c>
      <c r="I153" s="8">
        <v>4</v>
      </c>
      <c r="K153" s="7">
        <v>10.1</v>
      </c>
      <c r="L153" s="60">
        <f>K153*'NO CPI'!$D$5</f>
        <v>12.523848758577918</v>
      </c>
      <c r="M153" s="31">
        <f t="shared" si="9"/>
        <v>2.5276347272636408</v>
      </c>
      <c r="N153" s="31"/>
      <c r="O153" s="31"/>
      <c r="P153" s="2">
        <f t="shared" si="10"/>
        <v>0</v>
      </c>
      <c r="Q153" s="1">
        <v>38610</v>
      </c>
      <c r="R153" s="5">
        <f>VLOOKUP(Q153,Sentiment!$A$3:$B$199,2,FALSE)</f>
        <v>-14.4</v>
      </c>
      <c r="S153" s="107">
        <v>1</v>
      </c>
      <c r="T153" s="37">
        <f>VLOOKUP(D153,'NO index'!$A$2:$G$5365,6,FALSE)</f>
        <v>4.7145379942920153E-2</v>
      </c>
      <c r="U153" s="37">
        <f>VLOOKUP(D153,'NO index'!$A$2:$G$5365,7,FALSE)</f>
        <v>8.0098655428518691E-3</v>
      </c>
      <c r="V153" s="8" t="s">
        <v>72</v>
      </c>
      <c r="W153" s="5">
        <v>12</v>
      </c>
      <c r="X153" s="7">
        <v>10.5</v>
      </c>
      <c r="Y153" s="8"/>
      <c r="Z153" s="8"/>
      <c r="AA153" s="7">
        <f>IF(AC153="FIXED",0,IF(E153&gt;W153,1,0))</f>
        <v>0</v>
      </c>
      <c r="AB153" s="7">
        <f>IF(AC153="FIXED",0,IF(E153&lt;X153,1,0))</f>
        <v>0</v>
      </c>
      <c r="AC153" s="40" t="s">
        <v>73</v>
      </c>
      <c r="AD153" s="8" t="s">
        <v>17</v>
      </c>
      <c r="AE153" s="8">
        <f t="shared" si="11"/>
        <v>0</v>
      </c>
      <c r="AF153" s="58">
        <v>3500000</v>
      </c>
      <c r="AG153" s="58">
        <f>AF153*E153</f>
        <v>38500000</v>
      </c>
      <c r="AH153" s="33" t="s">
        <v>822</v>
      </c>
      <c r="AI153" s="33">
        <v>0</v>
      </c>
      <c r="AJ153" s="33">
        <v>1</v>
      </c>
      <c r="AK153" s="29">
        <v>35431</v>
      </c>
      <c r="AL153" s="7">
        <f>LN(DATEDIF(AK153,D153,"y")+1)</f>
        <v>2.1972245773362196</v>
      </c>
      <c r="AM153" s="45">
        <f>DATEDIF(AK153,D153,"y")</f>
        <v>8</v>
      </c>
      <c r="AN153" s="8" t="s">
        <v>140</v>
      </c>
      <c r="AO153" s="35">
        <v>8742</v>
      </c>
      <c r="AP153" s="36">
        <f>IFERROR(VLOOKUP(AO153,'Tech SIC'!$A$2:$B$35,2,FALSE),0)</f>
        <v>0</v>
      </c>
      <c r="AQ153" s="8" t="s">
        <v>13</v>
      </c>
      <c r="AR153" s="8" t="s">
        <v>50</v>
      </c>
    </row>
    <row r="154" spans="1:66" ht="25" customHeight="1" x14ac:dyDescent="0.2">
      <c r="A154" s="76" t="s">
        <v>145</v>
      </c>
      <c r="B154" s="8" t="s">
        <v>147</v>
      </c>
      <c r="C154" s="29">
        <f>DATE(2005,10,12)</f>
        <v>38637</v>
      </c>
      <c r="D154" s="1">
        <v>38638</v>
      </c>
      <c r="E154" s="3">
        <v>30</v>
      </c>
      <c r="F154" s="4">
        <v>29.8</v>
      </c>
      <c r="G154" s="37">
        <f t="shared" si="8"/>
        <v>-6.6666666666665986E-3</v>
      </c>
      <c r="H154" s="37">
        <f>G154-VLOOKUP(D154,'NO index'!$A$1:$E$5365,5,FALSE)</f>
        <v>3.4202214059155252E-2</v>
      </c>
      <c r="I154" s="8">
        <v>4</v>
      </c>
      <c r="J154" s="1">
        <v>38653</v>
      </c>
      <c r="K154" s="7">
        <f>N154/(VLOOKUP(J154,'NO FX'!$A$3:$B$199,2,FALSE))</f>
        <v>112.42913952111007</v>
      </c>
      <c r="L154" s="60">
        <f>K154*'NO CPI'!$D$5</f>
        <v>139.41044944746912</v>
      </c>
      <c r="M154" s="31">
        <f t="shared" si="9"/>
        <v>4.9374224556854083</v>
      </c>
      <c r="N154" s="8">
        <f>730840*0.001</f>
        <v>730.84</v>
      </c>
      <c r="O154" s="8" t="s">
        <v>799</v>
      </c>
      <c r="P154" s="2">
        <f t="shared" si="10"/>
        <v>1</v>
      </c>
      <c r="Q154" s="1">
        <v>38640</v>
      </c>
      <c r="R154" s="5">
        <f>VLOOKUP(Q154,Sentiment!$A$3:$B$199,2,FALSE)</f>
        <v>-13.6</v>
      </c>
      <c r="S154" s="106">
        <v>1</v>
      </c>
      <c r="T154" s="37">
        <f>VLOOKUP(D154,'NO index'!$A$2:$G$5365,6,FALSE)</f>
        <v>-7.2105267961447395E-2</v>
      </c>
      <c r="U154" s="37">
        <f>VLOOKUP(D154,'NO index'!$A$2:$G$5365,7,FALSE)</f>
        <v>1.311458196895594E-2</v>
      </c>
      <c r="V154" s="8" t="s">
        <v>72</v>
      </c>
      <c r="W154" s="5">
        <v>30</v>
      </c>
      <c r="X154" s="7">
        <v>27</v>
      </c>
      <c r="Y154" s="8"/>
      <c r="Z154" s="8"/>
      <c r="AA154" s="7">
        <f>IF(AC154="FIXED",0,IF(E154&gt;W154,1,0))</f>
        <v>0</v>
      </c>
      <c r="AB154" s="7">
        <f>IF(AC154="FIXED",0,IF(E154&lt;X154,1,0))</f>
        <v>0</v>
      </c>
      <c r="AC154" s="40" t="s">
        <v>73</v>
      </c>
      <c r="AD154" s="8" t="s">
        <v>17</v>
      </c>
      <c r="AE154" s="8">
        <f t="shared" si="11"/>
        <v>0</v>
      </c>
      <c r="AF154" s="58">
        <v>2651070</v>
      </c>
      <c r="AG154" s="58">
        <f>AF154*E154</f>
        <v>79532100</v>
      </c>
      <c r="AH154" s="8" t="s">
        <v>38</v>
      </c>
      <c r="AI154" s="8">
        <v>0</v>
      </c>
      <c r="AJ154" s="8">
        <v>0</v>
      </c>
      <c r="AK154" s="29">
        <v>28491</v>
      </c>
      <c r="AL154" s="7">
        <f>LN(DATEDIF(AK154,D154,"y")+1)</f>
        <v>3.3322045101752038</v>
      </c>
      <c r="AM154" s="45">
        <f>DATEDIF(AK154,D154,"y")</f>
        <v>27</v>
      </c>
      <c r="AN154" s="8" t="s">
        <v>146</v>
      </c>
      <c r="AO154" s="35">
        <v>4789</v>
      </c>
      <c r="AP154" s="36">
        <f>IFERROR(VLOOKUP(AO154,'Tech SIC'!$A$2:$B$35,2,FALSE),0)</f>
        <v>0</v>
      </c>
      <c r="AQ154" s="8" t="s">
        <v>55</v>
      </c>
      <c r="AR154" s="8" t="s">
        <v>50</v>
      </c>
    </row>
    <row r="155" spans="1:66" ht="25" customHeight="1" x14ac:dyDescent="0.2">
      <c r="A155" s="76" t="s">
        <v>142</v>
      </c>
      <c r="B155" s="8" t="s">
        <v>144</v>
      </c>
      <c r="C155" s="29">
        <f>DATE(2005,10,24)</f>
        <v>38649</v>
      </c>
      <c r="D155" s="1">
        <v>38649</v>
      </c>
      <c r="E155" s="3">
        <v>15</v>
      </c>
      <c r="F155" s="4">
        <v>15</v>
      </c>
      <c r="G155" s="37">
        <f t="shared" si="8"/>
        <v>0</v>
      </c>
      <c r="H155" s="37">
        <f>G155-VLOOKUP(D155,'NO index'!$A$1:$E$5365,5,FALSE)</f>
        <v>-2.7028145242016702E-2</v>
      </c>
      <c r="I155" s="8">
        <v>4</v>
      </c>
      <c r="K155" s="7">
        <v>33.1</v>
      </c>
      <c r="L155" s="60">
        <f>K155*'NO CPI'!$D$5</f>
        <v>41.043504347418725</v>
      </c>
      <c r="M155" s="31">
        <f t="shared" si="9"/>
        <v>3.7146325857994444</v>
      </c>
      <c r="N155" s="31"/>
      <c r="O155" s="31"/>
      <c r="P155" s="2">
        <f t="shared" si="10"/>
        <v>0</v>
      </c>
      <c r="Q155" s="1">
        <v>38640</v>
      </c>
      <c r="R155" s="5">
        <f>VLOOKUP(Q155,Sentiment!$A$3:$B$199,2,FALSE)</f>
        <v>-13.6</v>
      </c>
      <c r="S155" s="108">
        <v>1</v>
      </c>
      <c r="T155" s="37">
        <f>VLOOKUP(D155,'NO index'!$A$2:$G$5365,6,FALSE)</f>
        <v>-8.2247837109362412E-2</v>
      </c>
      <c r="U155" s="37">
        <f>VLOOKUP(D155,'NO index'!$A$2:$G$5365,7,FALSE)</f>
        <v>1.7591035499978896E-2</v>
      </c>
      <c r="V155" s="8" t="s">
        <v>72</v>
      </c>
      <c r="W155" s="5">
        <v>21</v>
      </c>
      <c r="X155" s="7">
        <v>18</v>
      </c>
      <c r="Y155" s="8"/>
      <c r="Z155" s="8"/>
      <c r="AA155" s="7">
        <f>IF(AC155="FIXED",0,IF(E155&gt;W155,1,0))</f>
        <v>0</v>
      </c>
      <c r="AB155" s="7">
        <f>IF(AC155="FIXED",0,IF(E155&lt;X155,1,0))</f>
        <v>1</v>
      </c>
      <c r="AC155" s="40" t="s">
        <v>73</v>
      </c>
      <c r="AD155" s="8" t="s">
        <v>17</v>
      </c>
      <c r="AE155" s="8">
        <f t="shared" si="11"/>
        <v>0</v>
      </c>
      <c r="AF155" s="58">
        <v>4000000</v>
      </c>
      <c r="AG155" s="58">
        <f>AF155*E155</f>
        <v>60000000</v>
      </c>
      <c r="AH155" s="33" t="s">
        <v>822</v>
      </c>
      <c r="AI155" s="33">
        <v>0</v>
      </c>
      <c r="AJ155" s="33">
        <v>1</v>
      </c>
      <c r="AK155" s="29">
        <f>DATE(1996,1,1)</f>
        <v>35065</v>
      </c>
      <c r="AL155" s="7">
        <f>LN(DATEDIF(AK155,D155,"y")+1)</f>
        <v>2.3025850929940459</v>
      </c>
      <c r="AM155" s="45">
        <f>DATEDIF(AK155,D155,"y")</f>
        <v>9</v>
      </c>
      <c r="AN155" s="8" t="s">
        <v>143</v>
      </c>
      <c r="AO155" s="35">
        <v>7372</v>
      </c>
      <c r="AP155" s="36">
        <f>IFERROR(VLOOKUP(AO155,'Tech SIC'!$A$2:$B$35,2,FALSE),0)</f>
        <v>1</v>
      </c>
      <c r="AQ155" s="8" t="s">
        <v>13</v>
      </c>
      <c r="AR155" s="8" t="s">
        <v>50</v>
      </c>
    </row>
    <row r="156" spans="1:66" ht="25" customHeight="1" x14ac:dyDescent="0.2">
      <c r="A156" s="76" t="s">
        <v>148</v>
      </c>
      <c r="B156" s="8" t="s">
        <v>151</v>
      </c>
      <c r="C156" s="29">
        <f>DATE(2005,10,24)</f>
        <v>38649</v>
      </c>
      <c r="D156" s="1">
        <v>38649</v>
      </c>
      <c r="E156" s="3">
        <v>44</v>
      </c>
      <c r="F156" s="4">
        <v>44.1</v>
      </c>
      <c r="G156" s="37">
        <f t="shared" si="8"/>
        <v>2.2727272727272041E-3</v>
      </c>
      <c r="H156" s="37">
        <f>G156-VLOOKUP(D156,'NO index'!$A$1:$E$5365,5,FALSE)</f>
        <v>-2.4755417969289498E-2</v>
      </c>
      <c r="I156" s="8">
        <v>4</v>
      </c>
      <c r="K156" s="7">
        <v>957.2</v>
      </c>
      <c r="L156" s="60">
        <f>K156*'NO CPI'!$D$5</f>
        <v>1186.9136665060182</v>
      </c>
      <c r="M156" s="31">
        <f t="shared" si="9"/>
        <v>7.0791116594506454</v>
      </c>
      <c r="N156" s="31"/>
      <c r="O156" s="31"/>
      <c r="P156" s="2">
        <f t="shared" si="10"/>
        <v>0</v>
      </c>
      <c r="Q156" s="1">
        <v>38640</v>
      </c>
      <c r="R156" s="5">
        <f>VLOOKUP(Q156,Sentiment!$A$3:$B$199,2,FALSE)</f>
        <v>-13.6</v>
      </c>
      <c r="S156" s="106">
        <v>1</v>
      </c>
      <c r="T156" s="37">
        <f>VLOOKUP(D156,'NO index'!$A$2:$G$5365,6,FALSE)</f>
        <v>-8.2247837109362412E-2</v>
      </c>
      <c r="U156" s="37">
        <f>VLOOKUP(D156,'NO index'!$A$2:$G$5365,7,FALSE)</f>
        <v>1.7591035499978896E-2</v>
      </c>
      <c r="V156" s="8" t="s">
        <v>72</v>
      </c>
      <c r="W156" s="5">
        <v>44</v>
      </c>
      <c r="X156" s="7">
        <v>37</v>
      </c>
      <c r="Y156" s="31">
        <v>44</v>
      </c>
      <c r="Z156" s="31">
        <v>37</v>
      </c>
      <c r="AA156" s="7">
        <f>IF(AC156="FIXED",0,IF(E156&gt;W156,1,0))</f>
        <v>0</v>
      </c>
      <c r="AB156" s="7">
        <f>IF(AC156="FIXED",0,IF(E156&lt;X156,1,0))</f>
        <v>0</v>
      </c>
      <c r="AC156" s="40" t="s">
        <v>73</v>
      </c>
      <c r="AD156" s="8" t="s">
        <v>17</v>
      </c>
      <c r="AE156" s="8">
        <f t="shared" si="11"/>
        <v>0</v>
      </c>
      <c r="AF156" s="58">
        <v>30000000</v>
      </c>
      <c r="AG156" s="58">
        <f>AF156*E156</f>
        <v>1320000000</v>
      </c>
      <c r="AH156" s="8" t="s">
        <v>153</v>
      </c>
      <c r="AI156" s="8">
        <v>0</v>
      </c>
      <c r="AJ156" s="8">
        <v>0</v>
      </c>
      <c r="AK156" s="29">
        <f>DATE(1995,1,1)</f>
        <v>34700</v>
      </c>
      <c r="AL156" s="7">
        <f>LN(DATEDIF(AK156,D156,"y")+1)</f>
        <v>2.3978952727983707</v>
      </c>
      <c r="AM156" s="45">
        <f>DATEDIF(AK156,D156,"y")</f>
        <v>10</v>
      </c>
      <c r="AN156" s="8" t="s">
        <v>149</v>
      </c>
      <c r="AO156" s="8" t="s">
        <v>150</v>
      </c>
      <c r="AP156" s="36">
        <f>IFERROR(VLOOKUP(AO156,'Tech SIC'!$A$2:$B$35,2,FALSE),0)</f>
        <v>0</v>
      </c>
      <c r="AQ156" s="8" t="s">
        <v>152</v>
      </c>
      <c r="AR156" s="8" t="s">
        <v>50</v>
      </c>
    </row>
    <row r="157" spans="1:66" ht="25" customHeight="1" x14ac:dyDescent="0.2">
      <c r="A157" s="78" t="s">
        <v>154</v>
      </c>
      <c r="B157" s="64" t="s">
        <v>156</v>
      </c>
      <c r="C157" s="65">
        <f>DATE(2005,10,25)</f>
        <v>38650</v>
      </c>
      <c r="D157" s="1">
        <v>38650</v>
      </c>
      <c r="E157" s="56">
        <v>82</v>
      </c>
      <c r="F157" s="66">
        <v>77.5</v>
      </c>
      <c r="G157" s="37">
        <f t="shared" si="8"/>
        <v>-5.4878048780487854E-2</v>
      </c>
      <c r="H157" s="37">
        <f>G157-VLOOKUP(D157,'NO index'!$A$1:$E$5365,5,FALSE)</f>
        <v>-6.1205009082566909E-2</v>
      </c>
      <c r="I157" s="8">
        <v>4</v>
      </c>
      <c r="K157" s="67">
        <v>2711</v>
      </c>
      <c r="L157" s="60">
        <f>K157*'NO CPI'!$D$5</f>
        <v>3361.5994044064096</v>
      </c>
      <c r="M157" s="31">
        <f t="shared" si="9"/>
        <v>8.1201721529150923</v>
      </c>
      <c r="N157" s="64"/>
      <c r="O157" s="64"/>
      <c r="P157" s="2">
        <f t="shared" si="10"/>
        <v>0</v>
      </c>
      <c r="Q157" s="1">
        <v>38640</v>
      </c>
      <c r="R157" s="5">
        <f>VLOOKUP(Q157,Sentiment!$A$3:$B$199,2,FALSE)</f>
        <v>-13.6</v>
      </c>
      <c r="S157" s="106">
        <v>1</v>
      </c>
      <c r="T157" s="37">
        <f>VLOOKUP(D157,'NO index'!$A$2:$G$5365,6,FALSE)</f>
        <v>-8.0727707619146091E-2</v>
      </c>
      <c r="U157" s="37">
        <f>VLOOKUP(D157,'NO index'!$A$2:$G$5365,7,FALSE)</f>
        <v>1.7616869489751413E-2</v>
      </c>
      <c r="V157" s="64" t="s">
        <v>72</v>
      </c>
      <c r="W157" s="59">
        <v>90</v>
      </c>
      <c r="X157" s="67">
        <v>80</v>
      </c>
      <c r="Y157" s="64"/>
      <c r="Z157" s="64"/>
      <c r="AA157" s="7">
        <f>IF(AC157="FIXED",0,IF(E157&gt;W157,1,0))</f>
        <v>0</v>
      </c>
      <c r="AB157" s="7">
        <f>IF(AC157="FIXED",0,IF(E157&lt;X157,1,0))</f>
        <v>0</v>
      </c>
      <c r="AC157" s="40" t="s">
        <v>73</v>
      </c>
      <c r="AD157" s="64" t="s">
        <v>17</v>
      </c>
      <c r="AE157" s="8">
        <f t="shared" si="11"/>
        <v>0</v>
      </c>
      <c r="AF157" s="69">
        <v>51467600</v>
      </c>
      <c r="AG157" s="58">
        <f>AF157*E157</f>
        <v>4220343200</v>
      </c>
      <c r="AH157" s="64" t="s">
        <v>157</v>
      </c>
      <c r="AI157" s="64">
        <v>1</v>
      </c>
      <c r="AJ157" s="64">
        <v>1</v>
      </c>
      <c r="AK157" s="65">
        <v>12785</v>
      </c>
      <c r="AL157" s="7">
        <f>LN(DATEDIF(AK157,D157,"y")+1)</f>
        <v>4.2626798770413155</v>
      </c>
      <c r="AM157" s="45">
        <f>DATEDIF(AK157,D157,"y")</f>
        <v>70</v>
      </c>
      <c r="AN157" s="64" t="s">
        <v>155</v>
      </c>
      <c r="AO157" s="70">
        <v>1311</v>
      </c>
      <c r="AP157" s="36">
        <f>IFERROR(VLOOKUP(AO157,'Tech SIC'!$A$2:$B$35,2,FALSE),0)</f>
        <v>0</v>
      </c>
      <c r="AQ157" s="64" t="s">
        <v>51</v>
      </c>
      <c r="AR157" s="64" t="s">
        <v>50</v>
      </c>
    </row>
    <row r="158" spans="1:66" ht="25" customHeight="1" x14ac:dyDescent="0.2">
      <c r="A158" s="76" t="s">
        <v>158</v>
      </c>
      <c r="B158" s="8" t="s">
        <v>159</v>
      </c>
      <c r="C158" s="29">
        <f>DATE(2005,11,4)</f>
        <v>38660</v>
      </c>
      <c r="D158" s="1">
        <v>38660</v>
      </c>
      <c r="E158" s="3">
        <v>24.5</v>
      </c>
      <c r="F158" s="4">
        <v>25</v>
      </c>
      <c r="G158" s="37">
        <f t="shared" si="8"/>
        <v>2.0408163265306145E-2</v>
      </c>
      <c r="H158" s="37">
        <f>G158-VLOOKUP(D158,'NO index'!$A$1:$E$5365,5,FALSE)</f>
        <v>2.2675306040269679E-2</v>
      </c>
      <c r="I158" s="8">
        <v>4</v>
      </c>
      <c r="J158" s="1">
        <v>38684</v>
      </c>
      <c r="K158" s="7">
        <f>N158/(VLOOKUP(J158,'NO FX'!$A$3:$B$199,2,FALSE))</f>
        <v>7.5137941021394781</v>
      </c>
      <c r="L158" s="60">
        <f>K158*'NO CPI'!$D$5</f>
        <v>9.3169921721078808</v>
      </c>
      <c r="M158" s="31">
        <f t="shared" si="9"/>
        <v>2.2318398482949049</v>
      </c>
      <c r="N158" s="7">
        <f>50590*0.001</f>
        <v>50.59</v>
      </c>
      <c r="O158" s="7" t="s">
        <v>799</v>
      </c>
      <c r="P158" s="2">
        <f t="shared" si="10"/>
        <v>0</v>
      </c>
      <c r="Q158" s="1">
        <v>38671</v>
      </c>
      <c r="R158" s="5">
        <f>VLOOKUP(Q158,Sentiment!$A$3:$B$199,2,FALSE)</f>
        <v>-13.8</v>
      </c>
      <c r="S158" s="107">
        <v>1</v>
      </c>
      <c r="T158" s="37">
        <f>VLOOKUP(D158,'NO index'!$A$2:$G$5365,6,FALSE)</f>
        <v>-3.7923388558854444E-2</v>
      </c>
      <c r="U158" s="37">
        <f>VLOOKUP(D158,'NO index'!$A$2:$G$5365,7,FALSE)</f>
        <v>2.0292799179028299E-2</v>
      </c>
      <c r="V158" s="8" t="s">
        <v>72</v>
      </c>
      <c r="W158" s="5">
        <v>28.5</v>
      </c>
      <c r="X158" s="7">
        <v>25.5</v>
      </c>
      <c r="Y158" s="8"/>
      <c r="Z158" s="8"/>
      <c r="AA158" s="7">
        <f>IF(AC158="FIXED",0,IF(E158&gt;W158,1,0))</f>
        <v>0</v>
      </c>
      <c r="AB158" s="7">
        <f>IF(AC158="FIXED",0,IF(E158&lt;X158,1,0))</f>
        <v>1</v>
      </c>
      <c r="AC158" s="4" t="s">
        <v>73</v>
      </c>
      <c r="AD158" s="8" t="s">
        <v>17</v>
      </c>
      <c r="AE158" s="8">
        <f t="shared" si="11"/>
        <v>0</v>
      </c>
      <c r="AF158" s="58">
        <v>6330021</v>
      </c>
      <c r="AG158" s="58">
        <f>AF158*E158</f>
        <v>155085514.5</v>
      </c>
      <c r="AH158" s="33" t="s">
        <v>160</v>
      </c>
      <c r="AI158" s="33">
        <v>0</v>
      </c>
      <c r="AJ158" s="33">
        <v>0</v>
      </c>
      <c r="AK158" s="29">
        <f>DATE(1990,1,1)</f>
        <v>32874</v>
      </c>
      <c r="AL158" s="7">
        <f>LN(DATEDIF(AK158,D158,"y")+1)</f>
        <v>2.7725887222397811</v>
      </c>
      <c r="AM158" s="45">
        <f>DATEDIF(AK158,D158,"y")</f>
        <v>15</v>
      </c>
      <c r="AN158" s="8" t="s">
        <v>65</v>
      </c>
      <c r="AO158" s="35">
        <v>2836</v>
      </c>
      <c r="AP158" s="36">
        <f>IFERROR(VLOOKUP(AO158,'Tech SIC'!$A$2:$B$35,2,FALSE),0)</f>
        <v>0</v>
      </c>
      <c r="AQ158" s="8" t="s">
        <v>15</v>
      </c>
      <c r="AR158" s="8" t="s">
        <v>50</v>
      </c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</row>
    <row r="159" spans="1:66" ht="25" customHeight="1" x14ac:dyDescent="0.2">
      <c r="A159" s="76" t="s">
        <v>161</v>
      </c>
      <c r="B159" s="8" t="s">
        <v>163</v>
      </c>
      <c r="C159" s="29">
        <f>DATE(2005,11,16)</f>
        <v>38672</v>
      </c>
      <c r="D159" s="1">
        <v>38672</v>
      </c>
      <c r="E159" s="3">
        <v>56</v>
      </c>
      <c r="F159" s="4">
        <v>56</v>
      </c>
      <c r="G159" s="37">
        <f t="shared" si="8"/>
        <v>0</v>
      </c>
      <c r="H159" s="37">
        <f>G159-VLOOKUP(D159,'NO index'!$A$1:$E$5365,5,FALSE)</f>
        <v>1.3911461142090756E-2</v>
      </c>
      <c r="I159" s="8">
        <v>4</v>
      </c>
      <c r="K159" s="7">
        <v>563.1</v>
      </c>
      <c r="L159" s="60">
        <f>K159*'NO CPI'!$D$5</f>
        <v>698.23556791635906</v>
      </c>
      <c r="M159" s="31">
        <f t="shared" si="9"/>
        <v>6.5485565356770001</v>
      </c>
      <c r="N159" s="31"/>
      <c r="O159" s="31"/>
      <c r="P159" s="2">
        <f t="shared" si="10"/>
        <v>0</v>
      </c>
      <c r="Q159" s="1">
        <v>38671</v>
      </c>
      <c r="R159" s="5">
        <f>VLOOKUP(Q159,Sentiment!$A$3:$B$199,2,FALSE)</f>
        <v>-13.8</v>
      </c>
      <c r="S159" s="106">
        <v>1</v>
      </c>
      <c r="T159" s="37">
        <f>VLOOKUP(D159,'NO index'!$A$2:$G$5365,6,FALSE)</f>
        <v>-2.4412854171751507E-2</v>
      </c>
      <c r="U159" s="37">
        <f>VLOOKUP(D159,'NO index'!$A$2:$G$5365,7,FALSE)</f>
        <v>1.8736799113849418E-2</v>
      </c>
      <c r="V159" s="8" t="s">
        <v>72</v>
      </c>
      <c r="W159" s="5">
        <v>58</v>
      </c>
      <c r="X159" s="7">
        <v>53</v>
      </c>
      <c r="Y159" s="31">
        <v>58</v>
      </c>
      <c r="Z159" s="31">
        <v>53</v>
      </c>
      <c r="AA159" s="7">
        <f>IF(AC159="FIXED",0,IF(E159&gt;W159,1,0))</f>
        <v>0</v>
      </c>
      <c r="AB159" s="7">
        <f>IF(AC159="FIXED",0,IF(E159&lt;X159,1,0))</f>
        <v>0</v>
      </c>
      <c r="AC159" s="40" t="s">
        <v>73</v>
      </c>
      <c r="AD159" s="8" t="s">
        <v>17</v>
      </c>
      <c r="AE159" s="8">
        <f t="shared" si="11"/>
        <v>0</v>
      </c>
      <c r="AF159" s="58">
        <v>8642857</v>
      </c>
      <c r="AG159" s="58">
        <f>AF159*E159</f>
        <v>483999992</v>
      </c>
      <c r="AH159" s="8" t="s">
        <v>165</v>
      </c>
      <c r="AI159" s="8">
        <v>0</v>
      </c>
      <c r="AJ159" s="8">
        <v>1</v>
      </c>
      <c r="AK159" s="29">
        <f>DATE(2005,3,1)</f>
        <v>38412</v>
      </c>
      <c r="AL159" s="7">
        <f>LN(DATEDIF(AK159,D159,"y")+1)</f>
        <v>0</v>
      </c>
      <c r="AM159" s="45">
        <f>DATEDIF(AK159,D159,"y")</f>
        <v>0</v>
      </c>
      <c r="AN159" s="8" t="s">
        <v>162</v>
      </c>
      <c r="AO159" s="35">
        <v>7011</v>
      </c>
      <c r="AP159" s="36">
        <f>IFERROR(VLOOKUP(AO159,'Tech SIC'!$A$2:$B$35,2,FALSE),0)</f>
        <v>0</v>
      </c>
      <c r="AQ159" s="8" t="s">
        <v>164</v>
      </c>
      <c r="AR159" s="8" t="s">
        <v>50</v>
      </c>
    </row>
    <row r="160" spans="1:66" ht="25" customHeight="1" x14ac:dyDescent="0.2">
      <c r="A160" s="76" t="s">
        <v>166</v>
      </c>
      <c r="B160" s="8" t="s">
        <v>168</v>
      </c>
      <c r="C160" s="29">
        <f>DATE(2005,11,17)</f>
        <v>38673</v>
      </c>
      <c r="D160" s="1">
        <v>38674</v>
      </c>
      <c r="E160" s="3">
        <v>30</v>
      </c>
      <c r="F160" s="4">
        <v>31.5</v>
      </c>
      <c r="G160" s="37">
        <f t="shared" si="8"/>
        <v>5.0000000000000044E-2</v>
      </c>
      <c r="H160" s="37">
        <f>G160-VLOOKUP(D160,'NO index'!$A$1:$E$5365,5,FALSE)</f>
        <v>4.8085644311799326E-2</v>
      </c>
      <c r="I160" s="8">
        <v>4</v>
      </c>
      <c r="K160" s="7">
        <v>21.8</v>
      </c>
      <c r="L160" s="60">
        <f>K160*'NO CPI'!$D$5</f>
        <v>27.031673558118676</v>
      </c>
      <c r="M160" s="31">
        <f t="shared" si="9"/>
        <v>3.2970092732114704</v>
      </c>
      <c r="N160" s="31"/>
      <c r="O160" s="31"/>
      <c r="P160" s="2">
        <f t="shared" si="10"/>
        <v>1</v>
      </c>
      <c r="Q160" s="1">
        <v>38671</v>
      </c>
      <c r="R160" s="5">
        <f>VLOOKUP(Q160,Sentiment!$A$3:$B$199,2,FALSE)</f>
        <v>-13.8</v>
      </c>
      <c r="S160" s="107">
        <v>1</v>
      </c>
      <c r="T160" s="37">
        <f>VLOOKUP(D160,'NO index'!$A$2:$G$5365,6,FALSE)</f>
        <v>1.8607845715600982E-3</v>
      </c>
      <c r="U160" s="37">
        <f>VLOOKUP(D160,'NO index'!$A$2:$G$5365,7,FALSE)</f>
        <v>1.9165651572254482E-2</v>
      </c>
      <c r="V160" s="8" t="s">
        <v>72</v>
      </c>
      <c r="W160" s="5">
        <v>39.5</v>
      </c>
      <c r="X160" s="7">
        <v>33</v>
      </c>
      <c r="Y160" s="31">
        <v>39.5</v>
      </c>
      <c r="Z160" s="31">
        <v>33</v>
      </c>
      <c r="AA160" s="7">
        <f>IF(AC160="FIXED",0,IF(E160&gt;W160,1,0))</f>
        <v>0</v>
      </c>
      <c r="AB160" s="7">
        <f>IF(AC160="FIXED",0,IF(E160&lt;X160,1,0))</f>
        <v>1</v>
      </c>
      <c r="AC160" s="4" t="s">
        <v>73</v>
      </c>
      <c r="AD160" s="8" t="s">
        <v>17</v>
      </c>
      <c r="AE160" s="8">
        <f t="shared" si="11"/>
        <v>0</v>
      </c>
      <c r="AF160" s="58">
        <v>4500000</v>
      </c>
      <c r="AG160" s="58">
        <f>AF160*E160</f>
        <v>135000000</v>
      </c>
      <c r="AH160" s="8" t="s">
        <v>56</v>
      </c>
      <c r="AI160" s="8">
        <v>0</v>
      </c>
      <c r="AJ160" s="8">
        <v>0</v>
      </c>
      <c r="AK160" s="29">
        <v>27030</v>
      </c>
      <c r="AL160" s="7">
        <f>LN(DATEDIF(AK160,D160,"y")+1)</f>
        <v>3.4657359027997265</v>
      </c>
      <c r="AM160" s="45">
        <f>DATEDIF(AK160,D160,"y")</f>
        <v>31</v>
      </c>
      <c r="AN160" s="8" t="s">
        <v>167</v>
      </c>
      <c r="AO160" s="35">
        <v>3731</v>
      </c>
      <c r="AP160" s="36">
        <f>IFERROR(VLOOKUP(AO160,'Tech SIC'!$A$2:$B$35,2,FALSE),0)</f>
        <v>0</v>
      </c>
      <c r="AQ160" s="8" t="s">
        <v>15</v>
      </c>
      <c r="AR160" s="8" t="s">
        <v>50</v>
      </c>
    </row>
    <row r="161" spans="1:44" ht="25" customHeight="1" x14ac:dyDescent="0.2">
      <c r="A161" s="76" t="s">
        <v>169</v>
      </c>
      <c r="B161" s="8" t="s">
        <v>171</v>
      </c>
      <c r="C161" s="29">
        <f>DATE(2005,12,12)</f>
        <v>38698</v>
      </c>
      <c r="D161" s="1">
        <v>38699</v>
      </c>
      <c r="E161" s="3">
        <v>15</v>
      </c>
      <c r="F161" s="4">
        <v>13.5</v>
      </c>
      <c r="G161" s="37">
        <f t="shared" si="8"/>
        <v>-9.9999999999999978E-2</v>
      </c>
      <c r="H161" s="37">
        <f>G161-VLOOKUP(D161,'NO index'!$A$1:$E$5365,5,FALSE)</f>
        <v>-0.10783615783892012</v>
      </c>
      <c r="I161" s="8">
        <v>4</v>
      </c>
      <c r="K161" s="7">
        <v>15.789</v>
      </c>
      <c r="L161" s="60">
        <f>K161*'NO CPI'!$D$5</f>
        <v>19.578123569226413</v>
      </c>
      <c r="M161" s="31">
        <f t="shared" si="9"/>
        <v>2.9744127984561786</v>
      </c>
      <c r="N161" s="8"/>
      <c r="O161" s="8"/>
      <c r="P161" s="2">
        <f t="shared" si="10"/>
        <v>1</v>
      </c>
      <c r="Q161" s="1">
        <v>38701</v>
      </c>
      <c r="R161" s="5">
        <f>VLOOKUP(Q161,Sentiment!$A$3:$B$199,2,FALSE)</f>
        <v>-11.700000000000001</v>
      </c>
      <c r="S161" s="106">
        <v>1</v>
      </c>
      <c r="T161" s="37">
        <f>VLOOKUP(D161,'NO index'!$A$2:$G$5365,6,FALSE)</f>
        <v>9.89899016462161E-2</v>
      </c>
      <c r="U161" s="37">
        <f>VLOOKUP(D161,'NO index'!$A$2:$G$5365,7,FALSE)</f>
        <v>1.10617492640665E-2</v>
      </c>
      <c r="V161" s="8" t="s">
        <v>72</v>
      </c>
      <c r="W161" s="5">
        <v>20</v>
      </c>
      <c r="X161" s="7">
        <v>15</v>
      </c>
      <c r="Y161" s="8"/>
      <c r="Z161" s="8"/>
      <c r="AA161" s="7">
        <f>IF(AC161="FIXED",0,IF(E161&gt;W161,1,0))</f>
        <v>0</v>
      </c>
      <c r="AB161" s="7">
        <f>IF(AC161="FIXED",0,IF(E161&lt;X161,1,0))</f>
        <v>0</v>
      </c>
      <c r="AC161" s="4" t="s">
        <v>73</v>
      </c>
      <c r="AD161" s="8" t="s">
        <v>17</v>
      </c>
      <c r="AE161" s="8">
        <f t="shared" si="11"/>
        <v>0</v>
      </c>
      <c r="AF161" s="58">
        <v>11000000</v>
      </c>
      <c r="AG161" s="58">
        <f>AF161*E161</f>
        <v>165000000</v>
      </c>
      <c r="AH161" s="8" t="s">
        <v>172</v>
      </c>
      <c r="AI161" s="8">
        <v>0</v>
      </c>
      <c r="AJ161" s="8">
        <v>1</v>
      </c>
      <c r="AK161" s="29">
        <f>DATE(1993,1,1)</f>
        <v>33970</v>
      </c>
      <c r="AL161" s="7">
        <f>LN(DATEDIF(AK161,D161,"y")+1)</f>
        <v>2.5649493574615367</v>
      </c>
      <c r="AM161" s="45">
        <f>DATEDIF(AK161,D161,"y")</f>
        <v>12</v>
      </c>
      <c r="AN161" s="8" t="s">
        <v>170</v>
      </c>
      <c r="AO161" s="35">
        <v>7372</v>
      </c>
      <c r="AP161" s="36">
        <f>IFERROR(VLOOKUP(AO161,'Tech SIC'!$A$2:$B$35,2,FALSE),0)</f>
        <v>1</v>
      </c>
      <c r="AQ161" s="8" t="s">
        <v>13</v>
      </c>
      <c r="AR161" s="8" t="s">
        <v>50</v>
      </c>
    </row>
    <row r="162" spans="1:44" ht="25" customHeight="1" x14ac:dyDescent="0.2">
      <c r="A162" s="76" t="s">
        <v>775</v>
      </c>
      <c r="B162" s="8"/>
      <c r="C162" s="29">
        <v>38700</v>
      </c>
      <c r="D162" s="41">
        <v>38700</v>
      </c>
      <c r="E162" s="56">
        <v>10</v>
      </c>
      <c r="F162" s="4">
        <v>9.9</v>
      </c>
      <c r="G162" s="37">
        <f t="shared" si="8"/>
        <v>-1.0000000000000009E-2</v>
      </c>
      <c r="H162" s="37">
        <f>G162-VLOOKUP(D162,'NO index'!$A$1:$E$5365,5,FALSE)</f>
        <v>-1.1222491839414284E-2</v>
      </c>
      <c r="I162" s="8">
        <v>4</v>
      </c>
      <c r="J162" s="41">
        <v>38714</v>
      </c>
      <c r="K162" s="7">
        <f>N162/(VLOOKUP(J162,'NO FX'!$A$3:$B$199,2,FALSE))</f>
        <v>1.4526121469448035</v>
      </c>
      <c r="L162" s="60">
        <f>K162*'NO CPI'!$D$5</f>
        <v>1.8012173102188003</v>
      </c>
      <c r="M162" s="31">
        <f t="shared" si="9"/>
        <v>0.58846271978040166</v>
      </c>
      <c r="N162" s="8">
        <v>9.8360000000000003</v>
      </c>
      <c r="O162" s="8" t="s">
        <v>799</v>
      </c>
      <c r="P162" s="2">
        <f t="shared" si="10"/>
        <v>0</v>
      </c>
      <c r="Q162" s="41">
        <v>38701</v>
      </c>
      <c r="R162" s="5">
        <f>VLOOKUP(Q162,Sentiment!$A$3:$B$199,2,FALSE)</f>
        <v>-11.700000000000001</v>
      </c>
      <c r="S162" s="106">
        <v>1</v>
      </c>
      <c r="T162" s="37">
        <f>VLOOKUP(D162,'NO index'!$A$2:$G$5365,6,FALSE)</f>
        <v>6.4075089792976478E-2</v>
      </c>
      <c r="U162" s="37">
        <f>VLOOKUP(D162,'NO index'!$A$2:$G$5365,7,FALSE)</f>
        <v>9.0987786598341683E-3</v>
      </c>
      <c r="V162" s="8" t="s">
        <v>72</v>
      </c>
      <c r="W162" s="5">
        <v>11</v>
      </c>
      <c r="X162" s="7">
        <v>9.5</v>
      </c>
      <c r="Y162" s="31">
        <v>11</v>
      </c>
      <c r="Z162" s="31">
        <v>9.5</v>
      </c>
      <c r="AA162" s="7">
        <f>IF(AC162="FIXED",0,IF(E162&gt;W162,1,0))</f>
        <v>0</v>
      </c>
      <c r="AB162" s="7">
        <f>IF(AC162="FIXED",0,IF(E162&lt;X162,1,0))</f>
        <v>0</v>
      </c>
      <c r="AC162" s="40" t="s">
        <v>73</v>
      </c>
      <c r="AD162" s="8" t="s">
        <v>17</v>
      </c>
      <c r="AE162" s="8">
        <f t="shared" si="11"/>
        <v>0</v>
      </c>
      <c r="AF162" s="58">
        <v>7500000</v>
      </c>
      <c r="AG162" s="58">
        <f>AF162*E162</f>
        <v>75000000</v>
      </c>
      <c r="AH162" s="33" t="s">
        <v>57</v>
      </c>
      <c r="AI162" s="8">
        <v>0</v>
      </c>
      <c r="AJ162" s="8">
        <v>0</v>
      </c>
      <c r="AK162" s="29">
        <v>37257</v>
      </c>
      <c r="AL162" s="7">
        <f>LN(DATEDIF(AK162,D162,"y")+1)</f>
        <v>1.3862943611198906</v>
      </c>
      <c r="AM162" s="45">
        <f>DATEDIF(AK162,D162,"y")</f>
        <v>3</v>
      </c>
      <c r="AN162" s="8" t="s">
        <v>65</v>
      </c>
      <c r="AO162" s="35">
        <v>8731</v>
      </c>
      <c r="AP162" s="36">
        <f>IFERROR(VLOOKUP(AO162,'Tech SIC'!$A$2:$B$35,2,FALSE),0)</f>
        <v>0</v>
      </c>
      <c r="AQ162" s="8" t="s">
        <v>13</v>
      </c>
      <c r="AR162" s="8" t="s">
        <v>50</v>
      </c>
    </row>
    <row r="163" spans="1:44" ht="25" customHeight="1" x14ac:dyDescent="0.2">
      <c r="A163" s="76" t="s">
        <v>173</v>
      </c>
      <c r="B163" s="8" t="s">
        <v>175</v>
      </c>
      <c r="C163" s="29">
        <f>DATE(2006,3,17)</f>
        <v>38793</v>
      </c>
      <c r="D163" s="1">
        <v>38793</v>
      </c>
      <c r="E163" s="3">
        <v>33</v>
      </c>
      <c r="F163" s="4">
        <v>36.799999999999997</v>
      </c>
      <c r="G163" s="37">
        <f t="shared" si="8"/>
        <v>0.115151515151515</v>
      </c>
      <c r="H163" s="37">
        <f>G163-VLOOKUP(D163,'NO index'!$A$1:$E$5365,5,FALSE)</f>
        <v>0.10527694804826475</v>
      </c>
      <c r="I163" s="8">
        <v>4</v>
      </c>
      <c r="J163" s="1">
        <v>38804</v>
      </c>
      <c r="K163" s="7">
        <f>N163/(VLOOKUP(J163,'NO FX'!$A$3:$B$199,2,FALSE))</f>
        <v>175.56716975094659</v>
      </c>
      <c r="L163" s="60">
        <f>K163*'NO CPI'!$D$6</f>
        <v>214.11832836481187</v>
      </c>
      <c r="M163" s="31">
        <f t="shared" si="9"/>
        <v>5.3665287984930803</v>
      </c>
      <c r="N163" s="8">
        <f>1152221*0.001</f>
        <v>1152.221</v>
      </c>
      <c r="O163" s="8" t="s">
        <v>799</v>
      </c>
      <c r="P163" s="2">
        <f t="shared" si="10"/>
        <v>0</v>
      </c>
      <c r="Q163" s="71">
        <v>38791</v>
      </c>
      <c r="R163" s="5">
        <f>VLOOKUP(Q163,Sentiment!$A$3:$B$199,2,FALSE)</f>
        <v>-11.5</v>
      </c>
      <c r="S163" s="107">
        <v>1</v>
      </c>
      <c r="T163" s="37">
        <f>VLOOKUP(D163,'NO index'!$A$2:$G$5365,6,FALSE)</f>
        <v>4.6238112936528172E-2</v>
      </c>
      <c r="U163" s="37">
        <f>VLOOKUP(D163,'NO index'!$A$2:$G$5365,7,FALSE)</f>
        <v>9.9183933082293112E-3</v>
      </c>
      <c r="V163" s="8" t="s">
        <v>72</v>
      </c>
      <c r="W163" s="5">
        <v>33</v>
      </c>
      <c r="X163" s="7">
        <v>28</v>
      </c>
      <c r="Y163" s="31">
        <v>33</v>
      </c>
      <c r="Z163" s="31">
        <v>28</v>
      </c>
      <c r="AA163" s="7">
        <f>IF(AC163="FIXED",0,IF(E163&gt;W163,1,0))</f>
        <v>0</v>
      </c>
      <c r="AB163" s="7">
        <f>IF(AC163="FIXED",0,IF(E163&lt;X163,1,0))</f>
        <v>0</v>
      </c>
      <c r="AC163" s="40" t="s">
        <v>73</v>
      </c>
      <c r="AD163" s="8" t="s">
        <v>17</v>
      </c>
      <c r="AE163" s="8">
        <f t="shared" si="11"/>
        <v>0</v>
      </c>
      <c r="AF163" s="58">
        <v>20400000</v>
      </c>
      <c r="AG163" s="58">
        <f>AF163*E163</f>
        <v>673200000</v>
      </c>
      <c r="AH163" s="8" t="s">
        <v>38</v>
      </c>
      <c r="AI163" s="8">
        <v>0</v>
      </c>
      <c r="AJ163" s="8">
        <v>0</v>
      </c>
      <c r="AK163" s="29">
        <v>34335</v>
      </c>
      <c r="AL163" s="7">
        <f>LN(DATEDIF(AK163,D163,"y")+1)</f>
        <v>2.5649493574615367</v>
      </c>
      <c r="AM163" s="45">
        <f>DATEDIF(AK163,D163,"y")</f>
        <v>12</v>
      </c>
      <c r="AN163" s="8" t="s">
        <v>174</v>
      </c>
      <c r="AO163" s="35">
        <v>3448</v>
      </c>
      <c r="AP163" s="36">
        <f>IFERROR(VLOOKUP(AO163,'Tech SIC'!$A$2:$B$35,2,FALSE),0)</f>
        <v>0</v>
      </c>
      <c r="AQ163" s="8" t="s">
        <v>15</v>
      </c>
      <c r="AR163" s="8" t="s">
        <v>50</v>
      </c>
    </row>
    <row r="164" spans="1:44" ht="25" customHeight="1" x14ac:dyDescent="0.2">
      <c r="A164" s="76" t="s">
        <v>776</v>
      </c>
      <c r="B164" s="8" t="s">
        <v>816</v>
      </c>
      <c r="C164" s="29">
        <v>38846</v>
      </c>
      <c r="D164" s="41">
        <v>38846</v>
      </c>
      <c r="E164" s="56">
        <v>95</v>
      </c>
      <c r="F164" s="4">
        <v>117</v>
      </c>
      <c r="G164" s="37">
        <f t="shared" si="8"/>
        <v>0.23157894736842111</v>
      </c>
      <c r="H164" s="37">
        <f>G164-VLOOKUP(D164,'NO index'!$A$1:$E$5365,5,FALSE)</f>
        <v>0.21960270194137599</v>
      </c>
      <c r="I164" s="8">
        <v>4</v>
      </c>
      <c r="J164" s="41">
        <v>38865</v>
      </c>
      <c r="K164" s="7">
        <f>N164/(VLOOKUP(J164,'NO FX'!$A$3:$B$199,2,FALSE))</f>
        <v>334.5962149786701</v>
      </c>
      <c r="L164" s="60">
        <f>K164*'NO CPI'!$D$6</f>
        <v>408.06707956878591</v>
      </c>
      <c r="M164" s="31">
        <f t="shared" si="9"/>
        <v>6.0114315715980107</v>
      </c>
      <c r="N164" s="8">
        <v>2031.434</v>
      </c>
      <c r="O164" s="8" t="s">
        <v>799</v>
      </c>
      <c r="P164" s="2">
        <f t="shared" si="10"/>
        <v>0</v>
      </c>
      <c r="Q164" s="41">
        <v>38852</v>
      </c>
      <c r="R164" s="5">
        <f>VLOOKUP(Q164,Sentiment!$A$3:$B$199,2,FALSE)</f>
        <v>-8.8000000000000007</v>
      </c>
      <c r="S164" s="106">
        <v>1</v>
      </c>
      <c r="T164" s="37">
        <f>VLOOKUP(D164,'NO index'!$A$2:$G$5365,6,FALSE)</f>
        <v>0.10217481680757218</v>
      </c>
      <c r="U164" s="37">
        <f>VLOOKUP(D164,'NO index'!$A$2:$G$5365,7,FALSE)</f>
        <v>1.1603433127565267E-2</v>
      </c>
      <c r="V164" s="8" t="s">
        <v>72</v>
      </c>
      <c r="W164" s="5">
        <v>95</v>
      </c>
      <c r="X164" s="7">
        <v>88</v>
      </c>
      <c r="Y164" s="31">
        <v>95</v>
      </c>
      <c r="Z164" s="31">
        <v>88</v>
      </c>
      <c r="AA164" s="7">
        <f>IF(AC164="FIXED",0,IF(E164&gt;W164,1,0))</f>
        <v>0</v>
      </c>
      <c r="AB164" s="7">
        <f>IF(AC164="FIXED",0,IF(E164&lt;X164,1,0))</f>
        <v>0</v>
      </c>
      <c r="AC164" s="40" t="s">
        <v>73</v>
      </c>
      <c r="AD164" s="8" t="s">
        <v>17</v>
      </c>
      <c r="AE164" s="8">
        <f t="shared" si="11"/>
        <v>0</v>
      </c>
      <c r="AF164" s="58">
        <v>73813200</v>
      </c>
      <c r="AG164" s="58">
        <f>AF164*E164</f>
        <v>7012254000</v>
      </c>
      <c r="AH164" s="8" t="s">
        <v>182</v>
      </c>
      <c r="AI164" s="8">
        <v>1</v>
      </c>
      <c r="AJ164" s="8">
        <v>1</v>
      </c>
      <c r="AK164" s="29">
        <v>35065</v>
      </c>
      <c r="AL164" s="7">
        <f>LN(DATEDIF(AK164,D164,"y")+1)</f>
        <v>2.3978952727983707</v>
      </c>
      <c r="AM164" s="45">
        <f>DATEDIF(AK164,D164,"y")</f>
        <v>10</v>
      </c>
      <c r="AN164" s="8" t="s">
        <v>777</v>
      </c>
      <c r="AO164" s="35">
        <v>3674</v>
      </c>
      <c r="AP164" s="36">
        <f>IFERROR(VLOOKUP(AO164,'Tech SIC'!$A$2:$B$35,2,FALSE),0)</f>
        <v>1</v>
      </c>
      <c r="AQ164" s="8" t="s">
        <v>15</v>
      </c>
      <c r="AR164" s="8" t="s">
        <v>50</v>
      </c>
    </row>
    <row r="165" spans="1:44" ht="25" customHeight="1" x14ac:dyDescent="0.2">
      <c r="A165" s="76" t="s">
        <v>179</v>
      </c>
      <c r="B165" s="8" t="s">
        <v>181</v>
      </c>
      <c r="C165" s="29">
        <f>DATE(2006,6,30)</f>
        <v>38898</v>
      </c>
      <c r="D165" s="1">
        <v>38898</v>
      </c>
      <c r="E165" s="3">
        <v>43</v>
      </c>
      <c r="F165" s="4">
        <v>41</v>
      </c>
      <c r="G165" s="37">
        <f t="shared" si="8"/>
        <v>-4.6511627906976716E-2</v>
      </c>
      <c r="H165" s="37">
        <f>G165-VLOOKUP(D165,'NO index'!$A$1:$E$5365,5,FALSE)</f>
        <v>-5.031009464763251E-2</v>
      </c>
      <c r="I165" s="8">
        <v>4</v>
      </c>
      <c r="K165" s="7">
        <v>947.7</v>
      </c>
      <c r="L165" s="60">
        <f>K165*'NO CPI'!$D$6</f>
        <v>1155.796610944901</v>
      </c>
      <c r="M165" s="31">
        <f t="shared" si="9"/>
        <v>7.0525450916635117</v>
      </c>
      <c r="N165" s="31"/>
      <c r="O165" s="31"/>
      <c r="P165" s="2">
        <f t="shared" si="10"/>
        <v>0</v>
      </c>
      <c r="Q165" s="1">
        <v>38883</v>
      </c>
      <c r="R165" s="5">
        <f>VLOOKUP(Q165,Sentiment!$A$3:$B$199,2,FALSE)</f>
        <v>-8.9</v>
      </c>
      <c r="S165" s="108">
        <v>1</v>
      </c>
      <c r="T165" s="37">
        <f>VLOOKUP(D165,'NO index'!$A$2:$G$5365,6,FALSE)</f>
        <v>1.5358420146592956E-2</v>
      </c>
      <c r="U165" s="37">
        <f>VLOOKUP(D165,'NO index'!$A$2:$G$5365,7,FALSE)</f>
        <v>2.9347796112557365E-2</v>
      </c>
      <c r="V165" s="8" t="s">
        <v>72</v>
      </c>
      <c r="W165" s="5">
        <v>47</v>
      </c>
      <c r="X165" s="7">
        <v>37</v>
      </c>
      <c r="Y165" s="31">
        <v>47</v>
      </c>
      <c r="Z165" s="31">
        <v>37</v>
      </c>
      <c r="AA165" s="7">
        <f>IF(AC165="FIXED",0,IF(E165&gt;W165,1,0))</f>
        <v>0</v>
      </c>
      <c r="AB165" s="7">
        <f>IF(AC165="FIXED",0,IF(E165&lt;X165,1,0))</f>
        <v>0</v>
      </c>
      <c r="AC165" s="40" t="s">
        <v>73</v>
      </c>
      <c r="AD165" s="8" t="s">
        <v>17</v>
      </c>
      <c r="AE165" s="8">
        <f t="shared" si="11"/>
        <v>0</v>
      </c>
      <c r="AF165" s="58">
        <v>7499995</v>
      </c>
      <c r="AG165" s="58">
        <f>AF165*E165</f>
        <v>322499785</v>
      </c>
      <c r="AH165" s="8" t="s">
        <v>182</v>
      </c>
      <c r="AI165" s="8">
        <v>1</v>
      </c>
      <c r="AJ165" s="8">
        <v>1</v>
      </c>
      <c r="AK165" s="29">
        <v>38718</v>
      </c>
      <c r="AL165" s="7">
        <f>LN(DATEDIF(AK165,D165,"y")+1)</f>
        <v>0</v>
      </c>
      <c r="AM165" s="45">
        <f>DATEDIF(AK165,D165,"y")</f>
        <v>0</v>
      </c>
      <c r="AN165" s="8" t="s">
        <v>180</v>
      </c>
      <c r="AO165" s="35">
        <v>1381</v>
      </c>
      <c r="AP165" s="36">
        <f>IFERROR(VLOOKUP(AO165,'Tech SIC'!$A$2:$B$35,2,FALSE),0)</f>
        <v>0</v>
      </c>
      <c r="AQ165" s="8" t="s">
        <v>51</v>
      </c>
      <c r="AR165" s="8" t="s">
        <v>50</v>
      </c>
    </row>
    <row r="166" spans="1:44" ht="25" customHeight="1" x14ac:dyDescent="0.2">
      <c r="A166" s="76" t="s">
        <v>176</v>
      </c>
      <c r="B166" s="8" t="s">
        <v>178</v>
      </c>
      <c r="C166" s="29">
        <f>DATE(2006,7,3)</f>
        <v>38901</v>
      </c>
      <c r="D166" s="1">
        <v>38901</v>
      </c>
      <c r="E166" s="3">
        <v>47</v>
      </c>
      <c r="F166" s="4">
        <v>46</v>
      </c>
      <c r="G166" s="37">
        <f t="shared" si="8"/>
        <v>-2.1276595744680882E-2</v>
      </c>
      <c r="H166" s="37">
        <f>G166-VLOOKUP(D166,'NO index'!$A$1:$E$5365,5,FALSE)</f>
        <v>-3.8194464599452554E-2</v>
      </c>
      <c r="I166" s="8">
        <v>4</v>
      </c>
      <c r="J166" s="1">
        <v>38926</v>
      </c>
      <c r="K166" s="7">
        <f>N166/(VLOOKUP(J166,'NO FX'!$A$3:$B$199,2,FALSE))</f>
        <v>181.68094886782814</v>
      </c>
      <c r="L166" s="60">
        <f>K166*'NO CPI'!$D$6</f>
        <v>221.57457526083107</v>
      </c>
      <c r="M166" s="31">
        <f t="shared" si="9"/>
        <v>5.4007592157133661</v>
      </c>
      <c r="N166" s="8">
        <f>1120490*0.001</f>
        <v>1120.49</v>
      </c>
      <c r="O166" s="8" t="s">
        <v>799</v>
      </c>
      <c r="P166" s="2">
        <f t="shared" si="10"/>
        <v>0</v>
      </c>
      <c r="Q166" s="1">
        <v>38913</v>
      </c>
      <c r="R166" s="5">
        <f>VLOOKUP(Q166,Sentiment!$A$3:$B$199,2,FALSE)</f>
        <v>-8.1</v>
      </c>
      <c r="S166" s="106">
        <v>1</v>
      </c>
      <c r="T166" s="37">
        <f>VLOOKUP(D166,'NO index'!$A$2:$G$5365,6,FALSE)</f>
        <v>3.4372191777779983E-2</v>
      </c>
      <c r="U166" s="37">
        <f>VLOOKUP(D166,'NO index'!$A$2:$G$5365,7,FALSE)</f>
        <v>2.9499045725134513E-2</v>
      </c>
      <c r="V166" s="8" t="s">
        <v>72</v>
      </c>
      <c r="W166" s="5">
        <v>53</v>
      </c>
      <c r="X166" s="7">
        <v>45</v>
      </c>
      <c r="Y166" s="8"/>
      <c r="Z166" s="8"/>
      <c r="AA166" s="7">
        <f>IF(AC166="FIXED",0,IF(E166&gt;W166,1,0))</f>
        <v>0</v>
      </c>
      <c r="AB166" s="7">
        <f>IF(AC166="FIXED",0,IF(E166&lt;X166,1,0))</f>
        <v>0</v>
      </c>
      <c r="AC166" s="40" t="s">
        <v>73</v>
      </c>
      <c r="AD166" s="8" t="s">
        <v>17</v>
      </c>
      <c r="AE166" s="8">
        <f t="shared" si="11"/>
        <v>0</v>
      </c>
      <c r="AF166" s="58">
        <v>27400000</v>
      </c>
      <c r="AG166" s="58">
        <f>AF166*E166</f>
        <v>1287800000</v>
      </c>
      <c r="AH166" s="8" t="s">
        <v>56</v>
      </c>
      <c r="AI166" s="8">
        <v>0</v>
      </c>
      <c r="AJ166" s="8">
        <v>0</v>
      </c>
      <c r="AK166" s="29">
        <f>DATE(1987,1,1)</f>
        <v>31778</v>
      </c>
      <c r="AL166" s="7">
        <f>LN(DATEDIF(AK166,D166,"y")+1)</f>
        <v>2.9957322735539909</v>
      </c>
      <c r="AM166" s="45">
        <f>DATEDIF(AK166,D166,"y")</f>
        <v>19</v>
      </c>
      <c r="AN166" s="8" t="s">
        <v>177</v>
      </c>
      <c r="AO166" s="35">
        <v>8731</v>
      </c>
      <c r="AP166" s="36">
        <f>IFERROR(VLOOKUP(AO166,'Tech SIC'!$A$2:$B$35,2,FALSE),0)</f>
        <v>0</v>
      </c>
      <c r="AQ166" s="8" t="s">
        <v>13</v>
      </c>
      <c r="AR166" s="8" t="s">
        <v>50</v>
      </c>
    </row>
    <row r="167" spans="1:44" ht="25" customHeight="1" x14ac:dyDescent="0.2">
      <c r="A167" s="76" t="s">
        <v>186</v>
      </c>
      <c r="B167" s="8" t="s">
        <v>187</v>
      </c>
      <c r="C167" s="29">
        <f>DATE(2006,7,5)</f>
        <v>38903</v>
      </c>
      <c r="D167" s="1">
        <v>38903</v>
      </c>
      <c r="E167" s="3">
        <v>16</v>
      </c>
      <c r="F167" s="4">
        <v>17.5</v>
      </c>
      <c r="G167" s="37">
        <f t="shared" si="8"/>
        <v>9.375E-2</v>
      </c>
      <c r="H167" s="37">
        <f>G167-VLOOKUP(D167,'NO index'!$A$1:$E$5365,5,FALSE)</f>
        <v>0.11350386228191851</v>
      </c>
      <c r="I167" s="8">
        <v>4</v>
      </c>
      <c r="K167" s="7">
        <v>20.9</v>
      </c>
      <c r="L167" s="60">
        <f>K167*'NO CPI'!$D$6</f>
        <v>25.489236223222992</v>
      </c>
      <c r="M167" s="31">
        <f t="shared" si="9"/>
        <v>3.2382562541581277</v>
      </c>
      <c r="N167" s="31"/>
      <c r="O167" s="31"/>
      <c r="P167" s="2">
        <f t="shared" si="10"/>
        <v>0</v>
      </c>
      <c r="Q167" s="1">
        <v>38913</v>
      </c>
      <c r="R167" s="5">
        <f>VLOOKUP(Q167,Sentiment!$A$3:$B$199,2,FALSE)</f>
        <v>-8.1</v>
      </c>
      <c r="S167" s="106">
        <v>1</v>
      </c>
      <c r="T167" s="37">
        <f>VLOOKUP(D167,'NO index'!$A$2:$G$5365,6,FALSE)</f>
        <v>7.2934819825803073E-5</v>
      </c>
      <c r="U167" s="37">
        <f>VLOOKUP(D167,'NO index'!$A$2:$G$5365,7,FALSE)</f>
        <v>2.5151440729085456E-2</v>
      </c>
      <c r="V167" s="8" t="s">
        <v>72</v>
      </c>
      <c r="W167" s="5">
        <v>20</v>
      </c>
      <c r="X167" s="7">
        <v>14</v>
      </c>
      <c r="Y167" s="31">
        <v>20</v>
      </c>
      <c r="Z167" s="31">
        <v>14</v>
      </c>
      <c r="AA167" s="7">
        <f>IF(AC167="FIXED",0,IF(E167&gt;W167,1,0))</f>
        <v>0</v>
      </c>
      <c r="AB167" s="7">
        <f>IF(AC167="FIXED",0,IF(E167&lt;X167,1,0))</f>
        <v>0</v>
      </c>
      <c r="AC167" s="40" t="s">
        <v>73</v>
      </c>
      <c r="AD167" s="8" t="s">
        <v>17</v>
      </c>
      <c r="AE167" s="8">
        <f t="shared" si="11"/>
        <v>0</v>
      </c>
      <c r="AF167" s="58">
        <v>7500000</v>
      </c>
      <c r="AG167" s="58">
        <f>AF167*E167</f>
        <v>120000000</v>
      </c>
      <c r="AH167" s="8" t="s">
        <v>39</v>
      </c>
      <c r="AI167" s="8">
        <v>0</v>
      </c>
      <c r="AJ167" s="8">
        <v>1</v>
      </c>
      <c r="AK167" s="29">
        <v>34335</v>
      </c>
      <c r="AL167" s="7">
        <f>LN(DATEDIF(AK167,D167,"y")+1)</f>
        <v>2.5649493574615367</v>
      </c>
      <c r="AM167" s="45">
        <f>DATEDIF(AK167,D167,"y")</f>
        <v>12</v>
      </c>
      <c r="AN167" s="8" t="s">
        <v>143</v>
      </c>
      <c r="AO167" s="35">
        <v>7372</v>
      </c>
      <c r="AP167" s="36">
        <f>IFERROR(VLOOKUP(AO167,'Tech SIC'!$A$2:$B$35,2,FALSE),0)</f>
        <v>1</v>
      </c>
      <c r="AQ167" s="8" t="s">
        <v>13</v>
      </c>
      <c r="AR167" s="8" t="s">
        <v>50</v>
      </c>
    </row>
    <row r="168" spans="1:44" ht="25" customHeight="1" x14ac:dyDescent="0.2">
      <c r="A168" s="76" t="s">
        <v>183</v>
      </c>
      <c r="B168" s="8" t="s">
        <v>185</v>
      </c>
      <c r="C168" s="29">
        <f>DATE(2006,7,7)</f>
        <v>38905</v>
      </c>
      <c r="D168" s="1">
        <v>38905</v>
      </c>
      <c r="E168" s="3">
        <v>45.5</v>
      </c>
      <c r="F168" s="4">
        <v>46.6</v>
      </c>
      <c r="G168" s="37">
        <f t="shared" si="8"/>
        <v>2.4175824175824312E-2</v>
      </c>
      <c r="H168" s="37">
        <f>G168-VLOOKUP(D168,'NO index'!$A$1:$E$5365,5,FALSE)</f>
        <v>1.3870004372499233E-2</v>
      </c>
      <c r="I168" s="8">
        <v>4</v>
      </c>
      <c r="K168" s="7">
        <v>40.9</v>
      </c>
      <c r="L168" s="60">
        <f>K168*'NO CPI'!$D$6</f>
        <v>49.880849833962699</v>
      </c>
      <c r="M168" s="31">
        <f t="shared" si="9"/>
        <v>3.9096371582361185</v>
      </c>
      <c r="N168" s="31"/>
      <c r="O168" s="31"/>
      <c r="P168" s="2">
        <f t="shared" si="10"/>
        <v>0</v>
      </c>
      <c r="Q168" s="1">
        <v>38913</v>
      </c>
      <c r="R168" s="5">
        <f>VLOOKUP(Q168,Sentiment!$A$3:$B$199,2,FALSE)</f>
        <v>-8.1</v>
      </c>
      <c r="S168" s="107">
        <v>1</v>
      </c>
      <c r="T168" s="37">
        <f>VLOOKUP(D168,'NO index'!$A$2:$G$5365,6,FALSE)</f>
        <v>1.7547078922375774E-2</v>
      </c>
      <c r="U168" s="37">
        <f>VLOOKUP(D168,'NO index'!$A$2:$G$5365,7,FALSE)</f>
        <v>2.3671158759746527E-2</v>
      </c>
      <c r="V168" s="8" t="s">
        <v>72</v>
      </c>
      <c r="X168" s="7"/>
      <c r="Y168" s="8"/>
      <c r="Z168" s="8"/>
      <c r="AA168" s="7">
        <v>0</v>
      </c>
      <c r="AB168" s="7">
        <v>0</v>
      </c>
      <c r="AC168" s="4" t="s">
        <v>10</v>
      </c>
      <c r="AD168" s="8" t="s">
        <v>10</v>
      </c>
      <c r="AE168" s="8">
        <f t="shared" si="11"/>
        <v>1</v>
      </c>
      <c r="AF168" s="58">
        <v>4880000</v>
      </c>
      <c r="AG168" s="58">
        <f>AF168*E168</f>
        <v>222040000</v>
      </c>
      <c r="AH168" s="8" t="s">
        <v>26</v>
      </c>
      <c r="AI168" s="8">
        <v>0</v>
      </c>
      <c r="AJ168" s="8">
        <v>0</v>
      </c>
      <c r="AK168" s="29">
        <v>36892</v>
      </c>
      <c r="AL168" s="7">
        <f>LN(DATEDIF(AK168,D168,"y")+1)</f>
        <v>1.791759469228055</v>
      </c>
      <c r="AM168" s="45">
        <f>DATEDIF(AK168,D168,"y")</f>
        <v>5</v>
      </c>
      <c r="AN168" s="8" t="s">
        <v>184</v>
      </c>
      <c r="AO168" s="35">
        <v>2834</v>
      </c>
      <c r="AP168" s="36">
        <f>IFERROR(VLOOKUP(AO168,'Tech SIC'!$A$2:$B$35,2,FALSE),0)</f>
        <v>0</v>
      </c>
      <c r="AQ168" s="8" t="s">
        <v>15</v>
      </c>
      <c r="AR168" s="8" t="s">
        <v>50</v>
      </c>
    </row>
    <row r="169" spans="1:44" ht="25" customHeight="1" x14ac:dyDescent="0.2">
      <c r="A169" s="76" t="s">
        <v>188</v>
      </c>
      <c r="B169" s="8" t="s">
        <v>190</v>
      </c>
      <c r="C169" s="29">
        <f>DATE(2006,10,11)</f>
        <v>39001</v>
      </c>
      <c r="D169" s="1">
        <v>39001</v>
      </c>
      <c r="E169" s="3">
        <v>39</v>
      </c>
      <c r="F169" s="4">
        <v>39.799999999999997</v>
      </c>
      <c r="G169" s="37">
        <f t="shared" si="8"/>
        <v>2.051282051282044E-2</v>
      </c>
      <c r="H169" s="37">
        <f>G169-VLOOKUP(D169,'NO index'!$A$1:$E$5365,5,FALSE)</f>
        <v>2.3091900387168483E-2</v>
      </c>
      <c r="I169" s="8">
        <v>4</v>
      </c>
      <c r="K169" s="7">
        <v>458.7</v>
      </c>
      <c r="L169" s="60">
        <f>K169*'NO CPI'!$D$6</f>
        <v>559.42165816231511</v>
      </c>
      <c r="M169" s="31">
        <f t="shared" si="9"/>
        <v>6.3269034967904885</v>
      </c>
      <c r="N169" s="31"/>
      <c r="O169" s="31"/>
      <c r="P169" s="2">
        <f t="shared" si="10"/>
        <v>0</v>
      </c>
      <c r="Q169" s="1">
        <v>39005</v>
      </c>
      <c r="R169" s="5">
        <f>VLOOKUP(Q169,Sentiment!$A$3:$B$199,2,FALSE)</f>
        <v>-8.4</v>
      </c>
      <c r="S169" s="107">
        <v>1</v>
      </c>
      <c r="T169" s="37">
        <f>VLOOKUP(D169,'NO index'!$A$2:$G$5365,6,FALSE)</f>
        <v>-1.9182268578860764E-2</v>
      </c>
      <c r="U169" s="37">
        <f>VLOOKUP(D169,'NO index'!$A$2:$G$5365,7,FALSE)</f>
        <v>1.6003889973582312E-2</v>
      </c>
      <c r="V169" s="8" t="s">
        <v>72</v>
      </c>
      <c r="W169" s="5">
        <v>43</v>
      </c>
      <c r="X169" s="7">
        <v>38</v>
      </c>
      <c r="Y169" s="31">
        <v>43</v>
      </c>
      <c r="Z169" s="31">
        <v>38</v>
      </c>
      <c r="AA169" s="7">
        <f>IF(AC169="FIXED",0,IF(E169&gt;W169,1,0))</f>
        <v>0</v>
      </c>
      <c r="AB169" s="7">
        <f>IF(AC169="FIXED",0,IF(E169&lt;X169,1,0))</f>
        <v>0</v>
      </c>
      <c r="AC169" s="40" t="s">
        <v>73</v>
      </c>
      <c r="AD169" s="8" t="s">
        <v>17</v>
      </c>
      <c r="AE169" s="8">
        <f t="shared" si="11"/>
        <v>0</v>
      </c>
      <c r="AF169" s="58">
        <v>20000000</v>
      </c>
      <c r="AG169" s="58">
        <f>AF169*E169</f>
        <v>780000000</v>
      </c>
      <c r="AH169" s="8" t="s">
        <v>191</v>
      </c>
      <c r="AI169" s="8">
        <v>0</v>
      </c>
      <c r="AJ169" s="8">
        <v>1</v>
      </c>
      <c r="AK169" s="29">
        <f>DATE(1981,1,1)</f>
        <v>29587</v>
      </c>
      <c r="AL169" s="7">
        <f>LN(DATEDIF(AK169,D169,"y")+1)</f>
        <v>3.2580965380214821</v>
      </c>
      <c r="AM169" s="45">
        <f>DATEDIF(AK169,D169,"y")</f>
        <v>25</v>
      </c>
      <c r="AN169" s="8" t="s">
        <v>189</v>
      </c>
      <c r="AO169" s="35">
        <v>2092</v>
      </c>
      <c r="AP169" s="36">
        <f>IFERROR(VLOOKUP(AO169,'Tech SIC'!$A$2:$B$35,2,FALSE),0)</f>
        <v>0</v>
      </c>
      <c r="AQ169" s="8" t="s">
        <v>15</v>
      </c>
      <c r="AR169" s="8" t="s">
        <v>50</v>
      </c>
    </row>
    <row r="170" spans="1:44" ht="25" customHeight="1" x14ac:dyDescent="0.2">
      <c r="A170" s="76" t="s">
        <v>192</v>
      </c>
      <c r="B170" s="8" t="s">
        <v>194</v>
      </c>
      <c r="C170" s="29">
        <f>DATE(2006,10,12)</f>
        <v>39002</v>
      </c>
      <c r="D170" s="1">
        <v>39002</v>
      </c>
      <c r="E170" s="3">
        <v>14</v>
      </c>
      <c r="F170" s="4">
        <v>13.8</v>
      </c>
      <c r="G170" s="37">
        <f t="shared" si="8"/>
        <v>-1.4285714285714235E-2</v>
      </c>
      <c r="H170" s="37">
        <f>G170-VLOOKUP(D170,'NO index'!$A$1:$E$5365,5,FALSE)</f>
        <v>-2.6415536637592309E-2</v>
      </c>
      <c r="I170" s="8">
        <v>4</v>
      </c>
      <c r="K170" s="7">
        <v>103.2</v>
      </c>
      <c r="L170" s="60">
        <f>K170*'NO CPI'!$D$6</f>
        <v>125.86072623141689</v>
      </c>
      <c r="M170" s="31">
        <f t="shared" si="9"/>
        <v>4.8351759482348253</v>
      </c>
      <c r="N170" s="31"/>
      <c r="O170" s="31"/>
      <c r="P170" s="2">
        <f t="shared" si="10"/>
        <v>0</v>
      </c>
      <c r="Q170" s="1">
        <v>39005</v>
      </c>
      <c r="R170" s="5">
        <f>VLOOKUP(Q170,Sentiment!$A$3:$B$199,2,FALSE)</f>
        <v>-8.4</v>
      </c>
      <c r="S170" s="108">
        <v>1</v>
      </c>
      <c r="T170" s="37">
        <f>VLOOKUP(D170,'NO index'!$A$2:$G$5365,6,FALSE)</f>
        <v>-2.1387220517120244E-2</v>
      </c>
      <c r="U170" s="37">
        <f>VLOOKUP(D170,'NO index'!$A$2:$G$5365,7,FALSE)</f>
        <v>1.5935190239886425E-2</v>
      </c>
      <c r="V170" s="8" t="s">
        <v>72</v>
      </c>
      <c r="X170" s="7"/>
      <c r="Y170" s="8"/>
      <c r="Z170" s="8"/>
      <c r="AA170" s="7">
        <v>0</v>
      </c>
      <c r="AB170" s="7">
        <v>0</v>
      </c>
      <c r="AC170" s="4" t="s">
        <v>10</v>
      </c>
      <c r="AD170" s="8" t="s">
        <v>10</v>
      </c>
      <c r="AE170" s="8">
        <f t="shared" si="11"/>
        <v>1</v>
      </c>
      <c r="AF170" s="58">
        <v>2000000</v>
      </c>
      <c r="AG170" s="58">
        <f>AF170*E170</f>
        <v>28000000</v>
      </c>
      <c r="AH170" s="8" t="s">
        <v>64</v>
      </c>
      <c r="AI170" s="8">
        <v>0</v>
      </c>
      <c r="AJ170" s="8">
        <v>1</v>
      </c>
      <c r="AK170" s="29">
        <f>DATE(1976,1,1)</f>
        <v>27760</v>
      </c>
      <c r="AL170" s="7">
        <f>LN(DATEDIF(AK170,D170,"y")+1)</f>
        <v>3.4339872044851463</v>
      </c>
      <c r="AM170" s="45">
        <f>DATEDIF(AK170,D170,"y")</f>
        <v>30</v>
      </c>
      <c r="AN170" s="8" t="s">
        <v>149</v>
      </c>
      <c r="AO170" s="8" t="s">
        <v>193</v>
      </c>
      <c r="AP170" s="36">
        <f>IFERROR(VLOOKUP(AO170,'Tech SIC'!$A$2:$B$35,2,FALSE),0)</f>
        <v>0</v>
      </c>
      <c r="AQ170" s="8" t="s">
        <v>152</v>
      </c>
      <c r="AR170" s="8" t="s">
        <v>50</v>
      </c>
    </row>
    <row r="171" spans="1:44" ht="25" customHeight="1" x14ac:dyDescent="0.2">
      <c r="A171" s="76" t="s">
        <v>199</v>
      </c>
      <c r="B171" s="8" t="s">
        <v>202</v>
      </c>
      <c r="C171" s="29">
        <f>DATE(2006,10,19)</f>
        <v>39009</v>
      </c>
      <c r="D171" s="1">
        <v>39009</v>
      </c>
      <c r="E171" s="3">
        <v>23.5</v>
      </c>
      <c r="F171" s="4">
        <v>25</v>
      </c>
      <c r="G171" s="37">
        <f t="shared" si="8"/>
        <v>6.3829787234042534E-2</v>
      </c>
      <c r="H171" s="37">
        <f>G171-VLOOKUP(D171,'NO index'!$A$1:$E$5365,5,FALSE)</f>
        <v>5.5994007049649602E-2</v>
      </c>
      <c r="I171" s="8">
        <v>4</v>
      </c>
      <c r="K171" s="7">
        <v>19.3</v>
      </c>
      <c r="L171" s="60">
        <f>K171*'NO CPI'!$D$6</f>
        <v>23.537907134363817</v>
      </c>
      <c r="M171" s="31">
        <f t="shared" si="9"/>
        <v>3.1586121910982023</v>
      </c>
      <c r="N171" s="31"/>
      <c r="O171" s="31"/>
      <c r="P171" s="2">
        <f t="shared" si="10"/>
        <v>0</v>
      </c>
      <c r="Q171" s="1">
        <v>39005</v>
      </c>
      <c r="R171" s="5">
        <f>VLOOKUP(Q171,Sentiment!$A$3:$B$199,2,FALSE)</f>
        <v>-8.4</v>
      </c>
      <c r="S171" s="106">
        <v>1</v>
      </c>
      <c r="T171" s="37">
        <f>VLOOKUP(D171,'NO index'!$A$2:$G$5365,6,FALSE)</f>
        <v>4.3521208116734163E-2</v>
      </c>
      <c r="U171" s="37">
        <f>VLOOKUP(D171,'NO index'!$A$2:$G$5365,7,FALSE)</f>
        <v>1.5813951566728858E-2</v>
      </c>
      <c r="V171" s="8" t="s">
        <v>72</v>
      </c>
      <c r="W171" s="5">
        <v>26</v>
      </c>
      <c r="X171" s="7">
        <v>21</v>
      </c>
      <c r="Y171" s="31">
        <v>26</v>
      </c>
      <c r="Z171" s="31">
        <v>21</v>
      </c>
      <c r="AA171" s="7">
        <f>IF(AC171="FIXED",0,IF(E171&gt;W171,1,0))</f>
        <v>0</v>
      </c>
      <c r="AB171" s="7">
        <f>IF(AC171="FIXED",0,IF(E171&lt;X171,1,0))</f>
        <v>0</v>
      </c>
      <c r="AC171" s="4" t="s">
        <v>73</v>
      </c>
      <c r="AD171" s="8" t="s">
        <v>17</v>
      </c>
      <c r="AE171" s="8">
        <f t="shared" si="11"/>
        <v>0</v>
      </c>
      <c r="AF171" s="58">
        <v>4500000</v>
      </c>
      <c r="AG171" s="58">
        <f>AF171*E171</f>
        <v>105750000</v>
      </c>
      <c r="AH171" s="8" t="s">
        <v>203</v>
      </c>
      <c r="AI171" s="8">
        <v>0</v>
      </c>
      <c r="AJ171" s="8">
        <v>1</v>
      </c>
      <c r="AK171" s="29">
        <f>DATE(2002,1,1)</f>
        <v>37257</v>
      </c>
      <c r="AL171" s="7">
        <f>LN(DATEDIF(AK171,D171,"y")+1)</f>
        <v>1.6094379124341003</v>
      </c>
      <c r="AM171" s="45">
        <f>DATEDIF(AK171,D171,"y")</f>
        <v>4</v>
      </c>
      <c r="AN171" s="8" t="s">
        <v>200</v>
      </c>
      <c r="AO171" s="8" t="s">
        <v>201</v>
      </c>
      <c r="AP171" s="36">
        <f>IFERROR(VLOOKUP(AO171,'Tech SIC'!$A$2:$B$35,2,FALSE),0)</f>
        <v>0</v>
      </c>
      <c r="AQ171" s="8" t="s">
        <v>152</v>
      </c>
      <c r="AR171" s="8" t="s">
        <v>50</v>
      </c>
    </row>
    <row r="172" spans="1:44" ht="25" customHeight="1" x14ac:dyDescent="0.2">
      <c r="A172" s="76" t="s">
        <v>195</v>
      </c>
      <c r="B172" s="8" t="s">
        <v>197</v>
      </c>
      <c r="C172" s="29">
        <f>DATE(2006,10,6)</f>
        <v>38996</v>
      </c>
      <c r="D172" s="1">
        <v>39023</v>
      </c>
      <c r="E172" s="3">
        <v>28</v>
      </c>
      <c r="F172" s="4">
        <v>28.5</v>
      </c>
      <c r="G172" s="37">
        <f t="shared" si="8"/>
        <v>1.7857142857142794E-2</v>
      </c>
      <c r="H172" s="37">
        <f>G172-VLOOKUP(D172,'NO index'!$A$1:$E$5365,5,FALSE)</f>
        <v>2.7727356688049154E-2</v>
      </c>
      <c r="I172" s="8">
        <v>4</v>
      </c>
      <c r="K172" s="7">
        <v>0.155</v>
      </c>
      <c r="L172" s="60">
        <f>K172*'NO CPI'!$D$6</f>
        <v>0.18903500548323271</v>
      </c>
      <c r="M172" s="31">
        <f t="shared" si="9"/>
        <v>-1.6658230668755281</v>
      </c>
      <c r="N172" s="8"/>
      <c r="O172" s="8"/>
      <c r="P172" s="2">
        <f t="shared" si="10"/>
        <v>1</v>
      </c>
      <c r="Q172" s="1">
        <v>39036</v>
      </c>
      <c r="R172" s="5">
        <f>VLOOKUP(Q172,Sentiment!$A$3:$B$199,2,FALSE)</f>
        <v>-7.9</v>
      </c>
      <c r="S172" s="107">
        <v>1</v>
      </c>
      <c r="T172" s="37">
        <f>VLOOKUP(D172,'NO index'!$A$2:$G$5365,6,FALSE)</f>
        <v>9.8813899821381945E-2</v>
      </c>
      <c r="U172" s="37">
        <f>VLOOKUP(D172,'NO index'!$A$2:$G$5365,7,FALSE)</f>
        <v>1.3987967424083765E-2</v>
      </c>
      <c r="V172" s="8" t="s">
        <v>72</v>
      </c>
      <c r="W172" s="5">
        <v>31.5</v>
      </c>
      <c r="X172" s="7">
        <v>27.6</v>
      </c>
      <c r="Y172" s="31">
        <v>31.5</v>
      </c>
      <c r="Z172" s="31">
        <v>27.6</v>
      </c>
      <c r="AA172" s="7">
        <f>IF(AC172="FIXED",0,IF(E172&gt;W172,1,0))</f>
        <v>0</v>
      </c>
      <c r="AB172" s="7">
        <f>IF(AC172="FIXED",0,IF(E172&lt;X172,1,0))</f>
        <v>0</v>
      </c>
      <c r="AC172" s="4" t="s">
        <v>73</v>
      </c>
      <c r="AD172" s="8" t="s">
        <v>17</v>
      </c>
      <c r="AE172" s="8">
        <f t="shared" si="11"/>
        <v>0</v>
      </c>
      <c r="AF172" s="58">
        <v>70000000</v>
      </c>
      <c r="AG172" s="58">
        <f>AF172*E172</f>
        <v>1960000000</v>
      </c>
      <c r="AH172" s="8" t="s">
        <v>198</v>
      </c>
      <c r="AI172" s="8">
        <v>0</v>
      </c>
      <c r="AJ172" s="8">
        <v>0</v>
      </c>
      <c r="AK172" s="29">
        <f>DATE(2001,1,1)</f>
        <v>36892</v>
      </c>
      <c r="AL172" s="7">
        <f>LN(DATEDIF(AK172,D172,"y")+1)</f>
        <v>1.791759469228055</v>
      </c>
      <c r="AM172" s="45">
        <f>DATEDIF(AK172,D172,"y")</f>
        <v>5</v>
      </c>
      <c r="AN172" s="8" t="s">
        <v>196</v>
      </c>
      <c r="AO172" s="35">
        <v>3731</v>
      </c>
      <c r="AP172" s="36">
        <f>IFERROR(VLOOKUP(AO172,'Tech SIC'!$A$2:$B$35,2,FALSE),0)</f>
        <v>0</v>
      </c>
      <c r="AQ172" s="8" t="s">
        <v>15</v>
      </c>
      <c r="AR172" s="8" t="s">
        <v>50</v>
      </c>
    </row>
    <row r="173" spans="1:44" ht="25" customHeight="1" x14ac:dyDescent="0.2">
      <c r="A173" s="76" t="s">
        <v>204</v>
      </c>
      <c r="B173" s="8" t="s">
        <v>206</v>
      </c>
      <c r="C173" s="29">
        <f>DATE(2006,11,10)</f>
        <v>39031</v>
      </c>
      <c r="D173" s="1">
        <v>39031</v>
      </c>
      <c r="E173" s="31">
        <v>35</v>
      </c>
      <c r="F173" s="4">
        <v>35</v>
      </c>
      <c r="G173" s="37">
        <f t="shared" si="8"/>
        <v>0</v>
      </c>
      <c r="H173" s="37">
        <f>G173-VLOOKUP(D173,'NO index'!$A$1:$E$5365,5,FALSE)</f>
        <v>1.0172212342102844E-2</v>
      </c>
      <c r="I173" s="8">
        <v>4</v>
      </c>
      <c r="K173" s="7">
        <v>16.2</v>
      </c>
      <c r="L173" s="60">
        <f>K173*'NO CPI'!$D$6</f>
        <v>19.757207024699163</v>
      </c>
      <c r="M173" s="31">
        <f t="shared" si="9"/>
        <v>2.9835183374257008</v>
      </c>
      <c r="N173" s="31"/>
      <c r="O173" s="31"/>
      <c r="P173" s="2">
        <f t="shared" si="10"/>
        <v>0</v>
      </c>
      <c r="Q173" s="1">
        <v>39036</v>
      </c>
      <c r="R173" s="5">
        <f>VLOOKUP(Q173,Sentiment!$A$3:$B$199,2,FALSE)</f>
        <v>-7.9</v>
      </c>
      <c r="S173" s="106">
        <v>1</v>
      </c>
      <c r="T173" s="37">
        <f>VLOOKUP(D173,'NO index'!$A$2:$G$5365,6,FALSE)</f>
        <v>0.11406142453857003</v>
      </c>
      <c r="U173" s="37">
        <f>VLOOKUP(D173,'NO index'!$A$2:$G$5365,7,FALSE)</f>
        <v>1.1421814895054125E-2</v>
      </c>
      <c r="V173" s="8" t="s">
        <v>72</v>
      </c>
      <c r="W173" s="5">
        <v>40</v>
      </c>
      <c r="X173" s="7">
        <v>33</v>
      </c>
      <c r="Y173" s="31">
        <v>40</v>
      </c>
      <c r="Z173" s="31">
        <v>33</v>
      </c>
      <c r="AA173" s="7">
        <f>IF(AC173="FIXED",0,IF(E173&gt;W173,1,0))</f>
        <v>0</v>
      </c>
      <c r="AB173" s="7">
        <f>IF(AC173="FIXED",0,IF(E173&lt;X173,1,0))</f>
        <v>0</v>
      </c>
      <c r="AC173" s="40" t="s">
        <v>73</v>
      </c>
      <c r="AD173" s="8" t="s">
        <v>17</v>
      </c>
      <c r="AE173" s="8">
        <f t="shared" si="11"/>
        <v>0</v>
      </c>
      <c r="AF173" s="58">
        <v>6541332</v>
      </c>
      <c r="AG173" s="58">
        <f>AF173*E173</f>
        <v>228946620</v>
      </c>
      <c r="AH173" s="8" t="s">
        <v>56</v>
      </c>
      <c r="AI173" s="8">
        <v>0</v>
      </c>
      <c r="AJ173" s="8">
        <v>0</v>
      </c>
      <c r="AK173" s="29">
        <f>DATE(1983,1,1)</f>
        <v>30317</v>
      </c>
      <c r="AL173" s="7">
        <f>LN(DATEDIF(AK173,D173,"y")+1)</f>
        <v>3.1780538303479458</v>
      </c>
      <c r="AM173" s="45">
        <f>DATEDIF(AK173,D173,"y")</f>
        <v>23</v>
      </c>
      <c r="AN173" s="8" t="s">
        <v>205</v>
      </c>
      <c r="AO173" s="35">
        <v>3496</v>
      </c>
      <c r="AP173" s="36">
        <f>IFERROR(VLOOKUP(AO173,'Tech SIC'!$A$2:$B$35,2,FALSE),0)</f>
        <v>0</v>
      </c>
      <c r="AQ173" s="8" t="s">
        <v>15</v>
      </c>
      <c r="AR173" s="8" t="s">
        <v>50</v>
      </c>
    </row>
    <row r="174" spans="1:44" ht="25" customHeight="1" x14ac:dyDescent="0.2">
      <c r="A174" s="76" t="s">
        <v>778</v>
      </c>
      <c r="B174" s="8"/>
      <c r="C174" s="29">
        <v>39031</v>
      </c>
      <c r="D174" s="41">
        <v>39031</v>
      </c>
      <c r="E174" s="56">
        <v>60</v>
      </c>
      <c r="F174" s="4">
        <v>64.5</v>
      </c>
      <c r="G174" s="37">
        <f t="shared" si="8"/>
        <v>7.4999999999999956E-2</v>
      </c>
      <c r="H174" s="37">
        <f>G174-VLOOKUP(D174,'NO index'!$A$1:$E$5365,5,FALSE)</f>
        <v>8.5172212342102802E-2</v>
      </c>
      <c r="I174" s="8">
        <v>4</v>
      </c>
      <c r="J174" s="41"/>
      <c r="K174" s="7">
        <v>52.6</v>
      </c>
      <c r="L174" s="60">
        <f>K174*'NO CPI'!$D$6</f>
        <v>64.149943796245424</v>
      </c>
      <c r="M174" s="31">
        <f t="shared" si="9"/>
        <v>4.1612232149310264</v>
      </c>
      <c r="N174" s="31"/>
      <c r="O174" s="31"/>
      <c r="P174" s="2">
        <f t="shared" si="10"/>
        <v>0</v>
      </c>
      <c r="Q174" s="41">
        <v>39036</v>
      </c>
      <c r="R174" s="5">
        <f>VLOOKUP(Q174,Sentiment!$A$3:$B$199,2,FALSE)</f>
        <v>-7.9</v>
      </c>
      <c r="S174" s="108">
        <v>1</v>
      </c>
      <c r="T174" s="37">
        <f>VLOOKUP(D174,'NO index'!$A$2:$G$5365,6,FALSE)</f>
        <v>0.11406142453857003</v>
      </c>
      <c r="U174" s="37">
        <f>VLOOKUP(D174,'NO index'!$A$2:$G$5365,7,FALSE)</f>
        <v>1.1421814895054125E-2</v>
      </c>
      <c r="V174" s="8" t="s">
        <v>72</v>
      </c>
      <c r="W174" s="5">
        <v>80</v>
      </c>
      <c r="X174" s="7">
        <v>70</v>
      </c>
      <c r="Y174" s="31">
        <v>80</v>
      </c>
      <c r="Z174" s="31">
        <v>70</v>
      </c>
      <c r="AA174" s="7">
        <f>IF(AC174="FIXED",0,IF(E174&gt;W174,1,0))</f>
        <v>0</v>
      </c>
      <c r="AB174" s="7">
        <f>IF(AC174="FIXED",0,IF(E174&lt;X174,1,0))</f>
        <v>1</v>
      </c>
      <c r="AC174" s="40" t="s">
        <v>73</v>
      </c>
      <c r="AD174" s="8" t="s">
        <v>17</v>
      </c>
      <c r="AE174" s="8">
        <f t="shared" si="11"/>
        <v>0</v>
      </c>
      <c r="AF174" s="58">
        <v>937000</v>
      </c>
      <c r="AG174" s="58">
        <f>AF174*E174</f>
        <v>56220000</v>
      </c>
      <c r="AH174" s="8" t="s">
        <v>57</v>
      </c>
      <c r="AI174" s="8">
        <v>1</v>
      </c>
      <c r="AJ174" s="8">
        <v>0</v>
      </c>
      <c r="AK174" s="29">
        <v>36892</v>
      </c>
      <c r="AL174" s="7">
        <f>LN(DATEDIF(AK174,D174,"y")+1)</f>
        <v>1.791759469228055</v>
      </c>
      <c r="AM174" s="45">
        <f>DATEDIF(AK174,D174,"y")</f>
        <v>5</v>
      </c>
      <c r="AN174" s="8" t="s">
        <v>52</v>
      </c>
      <c r="AO174" s="35">
        <v>1311</v>
      </c>
      <c r="AP174" s="36">
        <f>IFERROR(VLOOKUP(AO174,'Tech SIC'!$A$2:$B$35,2,FALSE),0)</f>
        <v>0</v>
      </c>
      <c r="AQ174" s="8" t="s">
        <v>51</v>
      </c>
      <c r="AR174" s="8" t="s">
        <v>50</v>
      </c>
    </row>
    <row r="175" spans="1:44" ht="25" customHeight="1" x14ac:dyDescent="0.2">
      <c r="A175" s="76" t="s">
        <v>779</v>
      </c>
      <c r="B175" s="8"/>
      <c r="C175" s="29">
        <v>39036</v>
      </c>
      <c r="D175" s="41">
        <v>39036</v>
      </c>
      <c r="E175" s="68">
        <v>53.5</v>
      </c>
      <c r="F175" s="4">
        <v>57.75</v>
      </c>
      <c r="G175" s="37">
        <f t="shared" si="8"/>
        <v>7.9439252336448662E-2</v>
      </c>
      <c r="H175" s="37">
        <f>G175-VLOOKUP(D175,'NO index'!$A$1:$E$5365,5,FALSE)</f>
        <v>7.2230720113144922E-2</v>
      </c>
      <c r="I175" s="8">
        <v>4</v>
      </c>
      <c r="J175" s="41"/>
      <c r="K175" s="7">
        <v>2094.6</v>
      </c>
      <c r="L175" s="60">
        <f>K175*'NO CPI'!$D$6</f>
        <v>2554.5336934527695</v>
      </c>
      <c r="M175" s="31">
        <f t="shared" si="9"/>
        <v>7.8456249785264083</v>
      </c>
      <c r="N175" s="60"/>
      <c r="O175" s="60"/>
      <c r="P175" s="2">
        <f t="shared" si="10"/>
        <v>0</v>
      </c>
      <c r="Q175" s="41">
        <v>39036</v>
      </c>
      <c r="R175" s="5">
        <f>VLOOKUP(Q175,Sentiment!$A$3:$B$199,2,FALSE)</f>
        <v>-7.9</v>
      </c>
      <c r="S175" s="107">
        <v>1</v>
      </c>
      <c r="T175" s="37">
        <f>VLOOKUP(D175,'NO index'!$A$2:$G$5365,6,FALSE)</f>
        <v>0.1278097992365716</v>
      </c>
      <c r="U175" s="37">
        <f>VLOOKUP(D175,'NO index'!$A$2:$G$5365,7,FALSE)</f>
        <v>9.863976263715029E-3</v>
      </c>
      <c r="V175" s="8" t="s">
        <v>72</v>
      </c>
      <c r="W175" s="5">
        <v>55</v>
      </c>
      <c r="X175" s="7">
        <v>50</v>
      </c>
      <c r="Y175" s="31">
        <v>55</v>
      </c>
      <c r="Z175" s="31">
        <v>50</v>
      </c>
      <c r="AA175" s="7">
        <f>IF(AC175="FIXED",0,IF(E175&gt;W175,1,0))</f>
        <v>0</v>
      </c>
      <c r="AB175" s="7">
        <f>IF(AC175="FIXED",0,IF(E175&lt;X175,1,0))</f>
        <v>0</v>
      </c>
      <c r="AC175" s="40" t="s">
        <v>73</v>
      </c>
      <c r="AD175" s="8" t="s">
        <v>17</v>
      </c>
      <c r="AE175" s="8">
        <f t="shared" si="11"/>
        <v>0</v>
      </c>
      <c r="AF175" s="58">
        <v>24545455</v>
      </c>
      <c r="AG175" s="58">
        <f>AF175*E175</f>
        <v>1313181842.5</v>
      </c>
      <c r="AH175" s="8" t="s">
        <v>56</v>
      </c>
      <c r="AI175" s="8">
        <v>1</v>
      </c>
      <c r="AJ175" s="8">
        <v>0</v>
      </c>
      <c r="AK175" s="29">
        <v>38718</v>
      </c>
      <c r="AL175" s="7">
        <f>LN(DATEDIF(AK175,D175,"y")+1)</f>
        <v>0</v>
      </c>
      <c r="AM175" s="45">
        <f>DATEDIF(AK175,D175,"y")</f>
        <v>0</v>
      </c>
      <c r="AN175" s="8" t="s">
        <v>780</v>
      </c>
      <c r="AO175" s="35">
        <v>6798</v>
      </c>
      <c r="AP175" s="36">
        <f>IFERROR(VLOOKUP(AO175,'Tech SIC'!$A$2:$B$35,2,FALSE),0)</f>
        <v>0</v>
      </c>
      <c r="AQ175" s="8" t="s">
        <v>352</v>
      </c>
      <c r="AR175" s="8" t="s">
        <v>50</v>
      </c>
    </row>
    <row r="176" spans="1:44" ht="25" customHeight="1" x14ac:dyDescent="0.2">
      <c r="A176" s="76" t="s">
        <v>208</v>
      </c>
      <c r="B176" s="8" t="s">
        <v>210</v>
      </c>
      <c r="C176" s="29">
        <f>DATE(2006,11,27)</f>
        <v>39048</v>
      </c>
      <c r="D176" s="1">
        <v>39059</v>
      </c>
      <c r="E176" s="31">
        <v>35</v>
      </c>
      <c r="F176" s="4">
        <v>33.799999999999997</v>
      </c>
      <c r="G176" s="37">
        <f t="shared" si="8"/>
        <v>-3.4285714285714364E-2</v>
      </c>
      <c r="H176" s="37">
        <f>G176-VLOOKUP(D176,'NO index'!$A$1:$E$5365,5,FALSE)</f>
        <v>-3.8274635229600701E-2</v>
      </c>
      <c r="I176" s="8">
        <v>4</v>
      </c>
      <c r="K176" s="7">
        <v>46</v>
      </c>
      <c r="L176" s="60">
        <f>K176*'NO CPI'!$D$6</f>
        <v>56.100711304701328</v>
      </c>
      <c r="M176" s="31">
        <f t="shared" si="9"/>
        <v>4.0271484916764573</v>
      </c>
      <c r="N176" s="31"/>
      <c r="O176" s="31"/>
      <c r="P176" s="2">
        <f t="shared" si="10"/>
        <v>1</v>
      </c>
      <c r="Q176" s="1">
        <v>39066</v>
      </c>
      <c r="R176" s="5">
        <f>VLOOKUP(Q176,Sentiment!$A$3:$B$199,2,FALSE)</f>
        <v>-6.8</v>
      </c>
      <c r="S176" s="106">
        <v>1</v>
      </c>
      <c r="T176" s="37">
        <f>VLOOKUP(D176,'NO index'!$A$2:$G$5365,6,FALSE)</f>
        <v>3.7479092231022436E-2</v>
      </c>
      <c r="U176" s="37">
        <f>VLOOKUP(D176,'NO index'!$A$2:$G$5365,7,FALSE)</f>
        <v>1.1459178980344495E-2</v>
      </c>
      <c r="V176" s="8" t="s">
        <v>72</v>
      </c>
      <c r="W176" s="5">
        <v>42</v>
      </c>
      <c r="X176" s="7">
        <v>34</v>
      </c>
      <c r="Y176" s="31">
        <v>42</v>
      </c>
      <c r="Z176" s="31">
        <v>34</v>
      </c>
      <c r="AA176" s="7">
        <f>IF(AC176="FIXED",0,IF(E176&gt;W176,1,0))</f>
        <v>0</v>
      </c>
      <c r="AB176" s="7">
        <f>IF(AC176="FIXED",0,IF(E176&lt;X176,1,0))</f>
        <v>0</v>
      </c>
      <c r="AC176" s="4" t="s">
        <v>73</v>
      </c>
      <c r="AD176" s="8" t="s">
        <v>17</v>
      </c>
      <c r="AE176" s="8">
        <f t="shared" si="11"/>
        <v>0</v>
      </c>
      <c r="AF176" s="58">
        <v>19350000</v>
      </c>
      <c r="AG176" s="58">
        <f>AF176*E176</f>
        <v>677250000</v>
      </c>
      <c r="AH176" s="8" t="s">
        <v>57</v>
      </c>
      <c r="AI176" s="8">
        <v>0</v>
      </c>
      <c r="AJ176" s="8">
        <v>0</v>
      </c>
      <c r="AK176" s="29">
        <f>DATE(1999,1,1)</f>
        <v>36161</v>
      </c>
      <c r="AL176" s="7">
        <f>LN(DATEDIF(AK176,D176,"y")+1)</f>
        <v>2.0794415416798357</v>
      </c>
      <c r="AM176" s="45">
        <f>DATEDIF(AK176,D176,"y")</f>
        <v>7</v>
      </c>
      <c r="AN176" s="8" t="s">
        <v>209</v>
      </c>
      <c r="AO176" s="35">
        <v>6552</v>
      </c>
      <c r="AP176" s="36">
        <f>IFERROR(VLOOKUP(AO176,'Tech SIC'!$A$2:$B$35,2,FALSE),0)</f>
        <v>0</v>
      </c>
      <c r="AQ176" s="8" t="s">
        <v>211</v>
      </c>
      <c r="AR176" s="8" t="s">
        <v>50</v>
      </c>
    </row>
    <row r="177" spans="1:44" ht="25" customHeight="1" x14ac:dyDescent="0.2">
      <c r="A177" s="76" t="s">
        <v>212</v>
      </c>
      <c r="B177" s="8" t="s">
        <v>214</v>
      </c>
      <c r="C177" s="29">
        <f>DATE(2007,3,23)</f>
        <v>39164</v>
      </c>
      <c r="D177" s="1">
        <v>39164</v>
      </c>
      <c r="E177" s="3">
        <v>33</v>
      </c>
      <c r="F177" s="4">
        <v>32</v>
      </c>
      <c r="G177" s="37">
        <f t="shared" si="8"/>
        <v>-3.0303030303030276E-2</v>
      </c>
      <c r="H177" s="37">
        <f>G177-VLOOKUP(D177,'NO index'!$A$1:$E$5365,5,FALSE)</f>
        <v>-4.0394224774948084E-2</v>
      </c>
      <c r="I177" s="8">
        <v>4</v>
      </c>
      <c r="K177" s="7">
        <v>28.4</v>
      </c>
      <c r="L177" s="60">
        <f>K177*'NO CPI'!$D$7</f>
        <v>34.49925356799821</v>
      </c>
      <c r="M177" s="31">
        <f t="shared" si="9"/>
        <v>3.5409376880930621</v>
      </c>
      <c r="N177" s="31"/>
      <c r="O177" s="31"/>
      <c r="P177" s="2">
        <f t="shared" si="10"/>
        <v>0</v>
      </c>
      <c r="Q177" s="1">
        <v>39156</v>
      </c>
      <c r="R177" s="5">
        <f>VLOOKUP(Q177,Sentiment!$A$3:$B$199,2,FALSE)</f>
        <v>-5.3</v>
      </c>
      <c r="S177" s="108">
        <v>1</v>
      </c>
      <c r="T177" s="37">
        <f>VLOOKUP(D177,'NO index'!$A$2:$G$5365,6,FALSE)</f>
        <v>-7.8578046527389318E-3</v>
      </c>
      <c r="U177" s="37">
        <f>VLOOKUP(D177,'NO index'!$A$2:$G$5365,7,FALSE)</f>
        <v>1.3372077957570614E-2</v>
      </c>
      <c r="V177" s="8" t="s">
        <v>72</v>
      </c>
      <c r="W177" s="5">
        <v>41</v>
      </c>
      <c r="X177" s="7">
        <v>33</v>
      </c>
      <c r="Y177" s="31">
        <v>41</v>
      </c>
      <c r="Z177" s="31">
        <v>33</v>
      </c>
      <c r="AA177" s="7">
        <f>IF(AC177="FIXED",0,IF(E177&gt;W177,1,0))</f>
        <v>0</v>
      </c>
      <c r="AB177" s="7">
        <f>IF(AC177="FIXED",0,IF(E177&lt;X177,1,0))</f>
        <v>0</v>
      </c>
      <c r="AC177" s="4" t="s">
        <v>73</v>
      </c>
      <c r="AD177" s="8" t="s">
        <v>17</v>
      </c>
      <c r="AE177" s="8">
        <f t="shared" si="11"/>
        <v>0</v>
      </c>
      <c r="AF177" s="58">
        <v>3000000</v>
      </c>
      <c r="AG177" s="58">
        <f>AF177*E177</f>
        <v>99000000</v>
      </c>
      <c r="AH177" s="8" t="s">
        <v>63</v>
      </c>
      <c r="AI177" s="8">
        <v>0</v>
      </c>
      <c r="AJ177" s="8">
        <v>1</v>
      </c>
      <c r="AK177" s="29">
        <f>DATE(1988,1,1)</f>
        <v>32143</v>
      </c>
      <c r="AL177" s="7">
        <f>LN(DATEDIF(AK177,D177,"y")+1)</f>
        <v>2.9957322735539909</v>
      </c>
      <c r="AM177" s="45">
        <f>DATEDIF(AK177,D177,"y")</f>
        <v>19</v>
      </c>
      <c r="AN177" s="8" t="s">
        <v>213</v>
      </c>
      <c r="AO177" s="35">
        <v>8744</v>
      </c>
      <c r="AP177" s="36">
        <f>IFERROR(VLOOKUP(AO177,'Tech SIC'!$A$2:$B$35,2,FALSE),0)</f>
        <v>0</v>
      </c>
      <c r="AQ177" s="8" t="s">
        <v>13</v>
      </c>
      <c r="AR177" s="8" t="s">
        <v>50</v>
      </c>
    </row>
    <row r="178" spans="1:44" ht="25" customHeight="1" x14ac:dyDescent="0.2">
      <c r="A178" s="76" t="s">
        <v>215</v>
      </c>
      <c r="B178" s="8" t="s">
        <v>217</v>
      </c>
      <c r="C178" s="29">
        <f>DATE(2007,3,27)</f>
        <v>39168</v>
      </c>
      <c r="D178" s="1">
        <v>39168</v>
      </c>
      <c r="E178" s="3">
        <v>47</v>
      </c>
      <c r="F178" s="4">
        <v>44</v>
      </c>
      <c r="G178" s="37">
        <f t="shared" si="8"/>
        <v>-6.3829787234042534E-2</v>
      </c>
      <c r="H178" s="37">
        <f>G178-VLOOKUP(D178,'NO index'!$A$1:$E$5365,5,FALSE)</f>
        <v>-5.3748159961316072E-2</v>
      </c>
      <c r="I178" s="8">
        <v>4</v>
      </c>
      <c r="K178" s="7">
        <v>14.5</v>
      </c>
      <c r="L178" s="60">
        <f>K178*'NO CPI'!$D$7</f>
        <v>17.614055518872327</v>
      </c>
      <c r="M178" s="31">
        <f t="shared" si="9"/>
        <v>2.8686971923524305</v>
      </c>
      <c r="N178" s="31"/>
      <c r="O178" s="31"/>
      <c r="P178" s="2">
        <f t="shared" si="10"/>
        <v>0</v>
      </c>
      <c r="Q178" s="1">
        <v>39156</v>
      </c>
      <c r="R178" s="5">
        <f>VLOOKUP(Q178,Sentiment!$A$3:$B$199,2,FALSE)</f>
        <v>-5.3</v>
      </c>
      <c r="S178" s="106">
        <v>1</v>
      </c>
      <c r="T178" s="37">
        <f>VLOOKUP(D178,'NO index'!$A$2:$G$5365,6,FALSE)</f>
        <v>-4.4538038094084527E-2</v>
      </c>
      <c r="U178" s="37">
        <f>VLOOKUP(D178,'NO index'!$A$2:$G$5365,7,FALSE)</f>
        <v>1.3207402896480206E-2</v>
      </c>
      <c r="V178" s="8" t="s">
        <v>72</v>
      </c>
      <c r="W178" s="5">
        <v>51</v>
      </c>
      <c r="X178" s="7">
        <v>41</v>
      </c>
      <c r="Y178" s="31">
        <v>51</v>
      </c>
      <c r="Z178" s="31">
        <v>41</v>
      </c>
      <c r="AA178" s="7">
        <f>IF(AC178="FIXED",0,IF(E178&gt;W178,1,0))</f>
        <v>0</v>
      </c>
      <c r="AB178" s="7">
        <f>IF(AC178="FIXED",0,IF(E178&lt;X178,1,0))</f>
        <v>0</v>
      </c>
      <c r="AC178" s="4" t="s">
        <v>73</v>
      </c>
      <c r="AD178" s="8" t="s">
        <v>17</v>
      </c>
      <c r="AE178" s="8">
        <f t="shared" si="11"/>
        <v>0</v>
      </c>
      <c r="AF178" s="58">
        <v>5319148</v>
      </c>
      <c r="AG178" s="58">
        <f>AF178*E178</f>
        <v>249999956</v>
      </c>
      <c r="AH178" s="8" t="s">
        <v>218</v>
      </c>
      <c r="AI178" s="8">
        <v>0</v>
      </c>
      <c r="AJ178" s="8">
        <v>1</v>
      </c>
      <c r="AK178" s="29">
        <v>35431</v>
      </c>
      <c r="AL178" s="7">
        <f>LN(DATEDIF(AK178,D178,"y")+1)</f>
        <v>2.3978952727983707</v>
      </c>
      <c r="AM178" s="45">
        <f>DATEDIF(AK178,D178,"y")</f>
        <v>10</v>
      </c>
      <c r="AN178" s="8" t="s">
        <v>216</v>
      </c>
      <c r="AO178" s="35">
        <v>2834</v>
      </c>
      <c r="AP178" s="36">
        <f>IFERROR(VLOOKUP(AO178,'Tech SIC'!$A$2:$B$35,2,FALSE),0)</f>
        <v>0</v>
      </c>
      <c r="AQ178" s="8" t="s">
        <v>15</v>
      </c>
      <c r="AR178" s="8" t="s">
        <v>50</v>
      </c>
    </row>
    <row r="179" spans="1:44" ht="25" customHeight="1" x14ac:dyDescent="0.2">
      <c r="A179" s="76" t="s">
        <v>781</v>
      </c>
      <c r="B179" s="8"/>
      <c r="C179" s="29">
        <v>39171</v>
      </c>
      <c r="D179" s="41">
        <v>39171</v>
      </c>
      <c r="E179" s="68">
        <v>135</v>
      </c>
      <c r="F179" s="4">
        <v>145.5</v>
      </c>
      <c r="G179" s="37">
        <f t="shared" si="8"/>
        <v>7.7777777777777724E-2</v>
      </c>
      <c r="H179" s="37">
        <f>G179-VLOOKUP(D179,'NO index'!$A$1:$E$5365,5,FALSE)</f>
        <v>7.9887132824306276E-2</v>
      </c>
      <c r="I179" s="8">
        <v>4</v>
      </c>
      <c r="J179" s="41"/>
      <c r="K179" s="7">
        <v>87</v>
      </c>
      <c r="L179" s="60">
        <f>K179*'NO CPI'!$D$7</f>
        <v>105.68433311323396</v>
      </c>
      <c r="M179" s="31">
        <f t="shared" si="9"/>
        <v>4.6604566615804854</v>
      </c>
      <c r="N179" s="31"/>
      <c r="O179" s="31"/>
      <c r="P179" s="2">
        <f t="shared" si="10"/>
        <v>0</v>
      </c>
      <c r="Q179" s="41">
        <v>39156</v>
      </c>
      <c r="R179" s="5">
        <f>VLOOKUP(Q179,Sentiment!$A$3:$B$199,2,FALSE)</f>
        <v>-5.3</v>
      </c>
      <c r="S179" s="106">
        <v>1</v>
      </c>
      <c r="T179" s="37">
        <f>VLOOKUP(D179,'NO index'!$A$2:$G$5365,6,FALSE)</f>
        <v>-1.1430805778295878E-2</v>
      </c>
      <c r="U179" s="37">
        <f>VLOOKUP(D179,'NO index'!$A$2:$G$5365,7,FALSE)</f>
        <v>1.2776947855270716E-2</v>
      </c>
      <c r="V179" s="8" t="s">
        <v>72</v>
      </c>
      <c r="W179" s="5">
        <v>125</v>
      </c>
      <c r="X179" s="7">
        <v>100</v>
      </c>
      <c r="Y179" s="31">
        <v>125</v>
      </c>
      <c r="Z179" s="31">
        <v>100</v>
      </c>
      <c r="AA179" s="7">
        <f>IF(AC179="FIXED",0,IF(E179&gt;W179,1,0))</f>
        <v>1</v>
      </c>
      <c r="AB179" s="7">
        <f>IF(AC179="FIXED",0,IF(E179&lt;X179,1,0))</f>
        <v>0</v>
      </c>
      <c r="AC179" s="40" t="s">
        <v>73</v>
      </c>
      <c r="AD179" s="8" t="s">
        <v>17</v>
      </c>
      <c r="AE179" s="8">
        <f t="shared" si="11"/>
        <v>0</v>
      </c>
      <c r="AF179" s="58">
        <v>19623200</v>
      </c>
      <c r="AG179" s="58">
        <f>AF179*E179</f>
        <v>2649132000</v>
      </c>
      <c r="AH179" s="8" t="s">
        <v>783</v>
      </c>
      <c r="AI179" s="8">
        <v>1</v>
      </c>
      <c r="AJ179" s="8">
        <v>1</v>
      </c>
      <c r="AK179" s="29">
        <v>37257</v>
      </c>
      <c r="AL179" s="7">
        <f>LN(DATEDIF(AK179,D179,"y")+1)</f>
        <v>1.791759469228055</v>
      </c>
      <c r="AM179" s="45">
        <f>DATEDIF(AK179,D179,"y")</f>
        <v>5</v>
      </c>
      <c r="AN179" s="8" t="s">
        <v>782</v>
      </c>
      <c r="AO179" s="35">
        <v>8713</v>
      </c>
      <c r="AP179" s="36">
        <f>IFERROR(VLOOKUP(AO179,'Tech SIC'!$A$2:$B$35,2,FALSE),0)</f>
        <v>0</v>
      </c>
      <c r="AQ179" s="8" t="s">
        <v>13</v>
      </c>
      <c r="AR179" s="8" t="s">
        <v>50</v>
      </c>
    </row>
    <row r="180" spans="1:44" ht="25" customHeight="1" x14ac:dyDescent="0.2">
      <c r="A180" s="76" t="s">
        <v>219</v>
      </c>
      <c r="B180" s="8" t="s">
        <v>221</v>
      </c>
      <c r="C180" s="29">
        <f>DATE(2007,5,8)</f>
        <v>39210</v>
      </c>
      <c r="D180" s="1">
        <v>39210</v>
      </c>
      <c r="E180" s="3">
        <v>39</v>
      </c>
      <c r="F180" s="4">
        <v>39</v>
      </c>
      <c r="G180" s="37">
        <f t="shared" si="8"/>
        <v>0</v>
      </c>
      <c r="H180" s="37">
        <f>G180-VLOOKUP(D180,'NO index'!$A$1:$E$5365,5,FALSE)</f>
        <v>2.6073865044359056E-2</v>
      </c>
      <c r="I180" s="8">
        <v>4</v>
      </c>
      <c r="K180" s="7">
        <v>393.3</v>
      </c>
      <c r="L180" s="60">
        <f>K180*'NO CPI'!$D$7</f>
        <v>477.76607141879219</v>
      </c>
      <c r="M180" s="31">
        <f t="shared" si="9"/>
        <v>6.1691212223636658</v>
      </c>
      <c r="N180" s="31"/>
      <c r="O180" s="31"/>
      <c r="P180" s="2">
        <f t="shared" si="10"/>
        <v>0</v>
      </c>
      <c r="Q180" s="1">
        <v>39217</v>
      </c>
      <c r="R180" s="5">
        <f>VLOOKUP(Q180,Sentiment!$A$3:$B$199,2,FALSE)</f>
        <v>-1.5</v>
      </c>
      <c r="S180" s="108">
        <v>1</v>
      </c>
      <c r="T180" s="37">
        <f>VLOOKUP(D180,'NO index'!$A$2:$G$5365,6,FALSE)</f>
        <v>4.4104541675599122E-2</v>
      </c>
      <c r="U180" s="37">
        <f>VLOOKUP(D180,'NO index'!$A$2:$G$5365,7,FALSE)</f>
        <v>9.3928728435587368E-3</v>
      </c>
      <c r="V180" s="8" t="s">
        <v>72</v>
      </c>
      <c r="X180" s="7"/>
      <c r="Y180" s="8"/>
      <c r="Z180" s="8"/>
      <c r="AA180" s="7">
        <v>0</v>
      </c>
      <c r="AB180" s="7">
        <v>0</v>
      </c>
      <c r="AC180" s="4" t="s">
        <v>10</v>
      </c>
      <c r="AD180" s="8" t="s">
        <v>10</v>
      </c>
      <c r="AE180" s="8">
        <f t="shared" si="11"/>
        <v>1</v>
      </c>
      <c r="AF180" s="58">
        <v>3000000</v>
      </c>
      <c r="AG180" s="58">
        <f>AF180*E180</f>
        <v>117000000</v>
      </c>
      <c r="AH180" s="8" t="s">
        <v>222</v>
      </c>
      <c r="AI180" s="8">
        <v>0</v>
      </c>
      <c r="AJ180" s="8">
        <v>0</v>
      </c>
      <c r="AK180" s="29">
        <f>DATE(1991,1,1)</f>
        <v>33239</v>
      </c>
      <c r="AL180" s="7">
        <f>LN(DATEDIF(AK180,D180,"y")+1)</f>
        <v>2.8332133440562162</v>
      </c>
      <c r="AM180" s="45">
        <f>DATEDIF(AK180,D180,"y")</f>
        <v>16</v>
      </c>
      <c r="AN180" s="8" t="s">
        <v>220</v>
      </c>
      <c r="AO180" s="8" t="s">
        <v>193</v>
      </c>
      <c r="AP180" s="36">
        <f>IFERROR(VLOOKUP(AO180,'Tech SIC'!$A$2:$B$35,2,FALSE),0)</f>
        <v>0</v>
      </c>
      <c r="AQ180" s="8" t="s">
        <v>152</v>
      </c>
      <c r="AR180" s="8" t="s">
        <v>50</v>
      </c>
    </row>
    <row r="181" spans="1:44" ht="25" customHeight="1" x14ac:dyDescent="0.2">
      <c r="A181" s="76" t="s">
        <v>223</v>
      </c>
      <c r="B181" s="8" t="s">
        <v>224</v>
      </c>
      <c r="C181" s="29">
        <f>DATE(2007,5,25)</f>
        <v>39227</v>
      </c>
      <c r="D181" s="1">
        <v>39227</v>
      </c>
      <c r="E181" s="3">
        <v>14</v>
      </c>
      <c r="F181" s="4">
        <v>15</v>
      </c>
      <c r="G181" s="37">
        <f t="shared" si="8"/>
        <v>7.1428571428571397E-2</v>
      </c>
      <c r="H181" s="37">
        <f>G181-VLOOKUP(D181,'NO index'!$A$1:$E$5365,5,FALSE)</f>
        <v>8.3966562616001522E-2</v>
      </c>
      <c r="I181" s="8">
        <v>4</v>
      </c>
      <c r="K181" s="7">
        <v>154.5</v>
      </c>
      <c r="L181" s="60">
        <f>K181*'NO CPI'!$D$7</f>
        <v>187.6807984597086</v>
      </c>
      <c r="M181" s="31">
        <f t="shared" si="9"/>
        <v>5.2347426392637022</v>
      </c>
      <c r="N181" s="31"/>
      <c r="O181" s="31"/>
      <c r="P181" s="2">
        <f t="shared" si="10"/>
        <v>0</v>
      </c>
      <c r="Q181" s="1">
        <v>39217</v>
      </c>
      <c r="R181" s="5">
        <f>VLOOKUP(Q181,Sentiment!$A$3:$B$199,2,FALSE)</f>
        <v>-1.5</v>
      </c>
      <c r="S181" s="107">
        <v>1</v>
      </c>
      <c r="T181" s="37">
        <f>VLOOKUP(D181,'NO index'!$A$2:$G$5365,6,FALSE)</f>
        <v>6.0615286398880863E-2</v>
      </c>
      <c r="U181" s="37">
        <f>VLOOKUP(D181,'NO index'!$A$2:$G$5365,7,FALSE)</f>
        <v>1.0108155381775376E-2</v>
      </c>
      <c r="V181" s="8" t="s">
        <v>72</v>
      </c>
      <c r="W181" s="5">
        <v>14</v>
      </c>
      <c r="X181" s="7">
        <v>12</v>
      </c>
      <c r="Y181" s="31">
        <v>14</v>
      </c>
      <c r="Z181" s="31">
        <v>12</v>
      </c>
      <c r="AA181" s="7">
        <f>IF(AC181="FIXED",0,IF(E181&gt;W181,1,0))</f>
        <v>0</v>
      </c>
      <c r="AB181" s="7">
        <f>IF(AC181="FIXED",0,IF(E181&lt;X181,1,0))</f>
        <v>0</v>
      </c>
      <c r="AC181" s="4" t="s">
        <v>73</v>
      </c>
      <c r="AD181" s="8" t="s">
        <v>17</v>
      </c>
      <c r="AE181" s="8">
        <f t="shared" si="11"/>
        <v>0</v>
      </c>
      <c r="AF181" s="58">
        <v>31306377</v>
      </c>
      <c r="AG181" s="58">
        <f>AF181*E181</f>
        <v>438289278</v>
      </c>
      <c r="AH181" s="8" t="s">
        <v>198</v>
      </c>
      <c r="AI181" s="8">
        <v>0</v>
      </c>
      <c r="AJ181" s="8">
        <v>0</v>
      </c>
      <c r="AK181" s="29">
        <f>DATE(2003,1,1)</f>
        <v>37622</v>
      </c>
      <c r="AL181" s="7">
        <f>LN(DATEDIF(AK181,D181,"y")+1)</f>
        <v>1.6094379124341003</v>
      </c>
      <c r="AM181" s="45">
        <f>DATEDIF(AK181,D181,"y")</f>
        <v>4</v>
      </c>
      <c r="AN181" s="8" t="s">
        <v>131</v>
      </c>
      <c r="AO181" s="35">
        <v>6311</v>
      </c>
      <c r="AP181" s="36">
        <f>IFERROR(VLOOKUP(AO181,'Tech SIC'!$A$2:$B$35,2,FALSE),0)</f>
        <v>0</v>
      </c>
      <c r="AQ181" s="8" t="s">
        <v>132</v>
      </c>
      <c r="AR181" s="8" t="s">
        <v>50</v>
      </c>
    </row>
    <row r="182" spans="1:44" ht="25" customHeight="1" x14ac:dyDescent="0.2">
      <c r="A182" s="76" t="s">
        <v>225</v>
      </c>
      <c r="B182" s="8" t="s">
        <v>226</v>
      </c>
      <c r="C182" s="29">
        <f>DATE(2007,5,21)</f>
        <v>39223</v>
      </c>
      <c r="D182" s="1">
        <v>39254</v>
      </c>
      <c r="E182" s="3">
        <v>23</v>
      </c>
      <c r="F182" s="4">
        <v>23</v>
      </c>
      <c r="G182" s="37">
        <f t="shared" si="8"/>
        <v>0</v>
      </c>
      <c r="H182" s="37">
        <f>G182-VLOOKUP(D182,'NO index'!$A$1:$E$5365,5,FALSE)</f>
        <v>1.5004029622117405E-3</v>
      </c>
      <c r="I182" s="8">
        <v>4</v>
      </c>
      <c r="K182" s="7">
        <v>306.5</v>
      </c>
      <c r="L182" s="60">
        <f>K182*'NO CPI'!$D$7</f>
        <v>372.32469079547366</v>
      </c>
      <c r="M182" s="31">
        <f t="shared" si="9"/>
        <v>5.9197662983021679</v>
      </c>
      <c r="N182" s="31"/>
      <c r="O182" s="31"/>
      <c r="P182" s="2">
        <f t="shared" si="10"/>
        <v>1</v>
      </c>
      <c r="Q182" s="1">
        <v>39248</v>
      </c>
      <c r="R182" s="5">
        <f>VLOOKUP(Q182,Sentiment!$A$3:$B$199,2,FALSE)</f>
        <v>-1.9000000000000001</v>
      </c>
      <c r="S182" s="106">
        <v>1</v>
      </c>
      <c r="T182" s="37">
        <f>VLOOKUP(D182,'NO index'!$A$2:$G$5365,6,FALSE)</f>
        <v>5.8284893108583646E-2</v>
      </c>
      <c r="U182" s="37">
        <f>VLOOKUP(D182,'NO index'!$A$2:$G$5365,7,FALSE)</f>
        <v>1.0826923890816603E-2</v>
      </c>
      <c r="V182" s="8" t="s">
        <v>72</v>
      </c>
      <c r="W182" s="5">
        <v>27</v>
      </c>
      <c r="X182" s="7">
        <v>23</v>
      </c>
      <c r="Y182" s="8"/>
      <c r="Z182" s="8"/>
      <c r="AA182" s="7">
        <f>IF(AC182="FIXED",0,IF(E182&gt;W182,1,0))</f>
        <v>0</v>
      </c>
      <c r="AB182" s="7">
        <f>IF(AC182="FIXED",0,IF(E182&lt;X182,1,0))</f>
        <v>0</v>
      </c>
      <c r="AC182" s="4" t="s">
        <v>73</v>
      </c>
      <c r="AD182" s="8" t="s">
        <v>17</v>
      </c>
      <c r="AE182" s="8">
        <f t="shared" si="11"/>
        <v>0</v>
      </c>
      <c r="AF182" s="58">
        <v>26000000</v>
      </c>
      <c r="AG182" s="58">
        <f>AF182*E182</f>
        <v>598000000</v>
      </c>
      <c r="AH182" s="8" t="s">
        <v>198</v>
      </c>
      <c r="AI182" s="8">
        <v>0</v>
      </c>
      <c r="AJ182" s="8">
        <v>0</v>
      </c>
      <c r="AK182" s="29">
        <v>33604</v>
      </c>
      <c r="AL182" s="7">
        <f>LN(DATEDIF(AK182,D182,"y")+1)</f>
        <v>2.7725887222397811</v>
      </c>
      <c r="AM182" s="45">
        <f>DATEDIF(AK182,D182,"y")</f>
        <v>15</v>
      </c>
      <c r="AN182" s="8" t="s">
        <v>149</v>
      </c>
      <c r="AO182" s="8" t="s">
        <v>193</v>
      </c>
      <c r="AP182" s="36">
        <f>IFERROR(VLOOKUP(AO182,'Tech SIC'!$A$2:$B$35,2,FALSE),0)</f>
        <v>0</v>
      </c>
      <c r="AQ182" s="8" t="s">
        <v>152</v>
      </c>
      <c r="AR182" s="8" t="s">
        <v>50</v>
      </c>
    </row>
    <row r="183" spans="1:44" ht="25" customHeight="1" x14ac:dyDescent="0.2">
      <c r="A183" s="76" t="s">
        <v>228</v>
      </c>
      <c r="B183" s="8" t="s">
        <v>230</v>
      </c>
      <c r="C183" s="29">
        <f>DATE(2007,10,11)</f>
        <v>39366</v>
      </c>
      <c r="D183" s="1">
        <v>39366</v>
      </c>
      <c r="E183" s="31">
        <v>23</v>
      </c>
      <c r="F183" s="4">
        <v>23.8</v>
      </c>
      <c r="G183" s="37">
        <f t="shared" si="8"/>
        <v>3.4782608695652195E-2</v>
      </c>
      <c r="H183" s="37">
        <f>G183-VLOOKUP(D183,'NO index'!$A$1:$E$5365,5,FALSE)</f>
        <v>9.0148011782334343E-3</v>
      </c>
      <c r="I183" s="8">
        <v>4</v>
      </c>
      <c r="K183" s="7">
        <v>517.6</v>
      </c>
      <c r="L183" s="60">
        <f>K183*'NO CPI'!$D$7</f>
        <v>628.76104390126329</v>
      </c>
      <c r="M183" s="31">
        <f t="shared" si="9"/>
        <v>6.443751286112593</v>
      </c>
      <c r="N183" s="31"/>
      <c r="O183" s="31"/>
      <c r="P183" s="2">
        <f t="shared" si="10"/>
        <v>0</v>
      </c>
      <c r="Q183" s="1">
        <v>39370</v>
      </c>
      <c r="R183" s="5">
        <f>VLOOKUP(Q183,Sentiment!$A$3:$B$199,2,FALSE)</f>
        <v>-7.2</v>
      </c>
      <c r="S183" s="107">
        <v>1</v>
      </c>
      <c r="T183" s="37">
        <f>VLOOKUP(D183,'NO index'!$A$2:$G$5365,6,FALSE)</f>
        <v>6.9045061873652641E-2</v>
      </c>
      <c r="U183" s="37">
        <f>VLOOKUP(D183,'NO index'!$A$2:$G$5365,7,FALSE)</f>
        <v>1.1497602172123591E-2</v>
      </c>
      <c r="V183" s="8" t="s">
        <v>72</v>
      </c>
      <c r="W183" s="5">
        <v>29</v>
      </c>
      <c r="X183" s="7">
        <v>23</v>
      </c>
      <c r="Y183" s="31">
        <v>29</v>
      </c>
      <c r="Z183" s="31">
        <v>23</v>
      </c>
      <c r="AA183" s="7">
        <f>IF(AC183="FIXED",0,IF(E183&gt;W183,1,0))</f>
        <v>0</v>
      </c>
      <c r="AB183" s="7">
        <f>IF(AC183="FIXED",0,IF(E183&lt;X183,1,0))</f>
        <v>0</v>
      </c>
      <c r="AC183" s="40" t="s">
        <v>73</v>
      </c>
      <c r="AD183" s="8" t="s">
        <v>17</v>
      </c>
      <c r="AE183" s="8">
        <f t="shared" si="11"/>
        <v>0</v>
      </c>
      <c r="AF183" s="58">
        <v>105915432</v>
      </c>
      <c r="AG183" s="58">
        <f>AF183*E183</f>
        <v>2436054936</v>
      </c>
      <c r="AH183" s="8" t="s">
        <v>231</v>
      </c>
      <c r="AI183" s="8">
        <v>1</v>
      </c>
      <c r="AJ183" s="8">
        <v>0</v>
      </c>
      <c r="AK183" s="29" t="s">
        <v>808</v>
      </c>
      <c r="AL183" s="7">
        <f>LN(2007-1838+1)</f>
        <v>5.1357984370502621</v>
      </c>
      <c r="AM183" s="45">
        <f>-1838+2007</f>
        <v>169</v>
      </c>
      <c r="AN183" s="8" t="s">
        <v>229</v>
      </c>
      <c r="AO183" s="35">
        <v>2834</v>
      </c>
      <c r="AP183" s="36">
        <f>IFERROR(VLOOKUP(AO183,'Tech SIC'!$A$2:$B$35,2,FALSE),0)</f>
        <v>0</v>
      </c>
      <c r="AQ183" s="8" t="s">
        <v>15</v>
      </c>
      <c r="AR183" s="8" t="s">
        <v>50</v>
      </c>
    </row>
    <row r="184" spans="1:44" ht="25" customHeight="1" x14ac:dyDescent="0.2">
      <c r="A184" s="76" t="s">
        <v>232</v>
      </c>
      <c r="B184" s="8" t="s">
        <v>234</v>
      </c>
      <c r="C184" s="29">
        <f>DATE(2007,12,5)</f>
        <v>39421</v>
      </c>
      <c r="D184" s="1">
        <v>39421</v>
      </c>
      <c r="E184" s="31">
        <v>18</v>
      </c>
      <c r="F184" s="4">
        <v>17.600000000000001</v>
      </c>
      <c r="G184" s="37">
        <f t="shared" si="8"/>
        <v>-2.2222222222222143E-2</v>
      </c>
      <c r="H184" s="37">
        <f>G184-VLOOKUP(D184,'NO index'!$A$1:$E$5365,5,FALSE)</f>
        <v>-4.4264222131733776E-2</v>
      </c>
      <c r="I184" s="8">
        <v>4</v>
      </c>
      <c r="K184" s="7">
        <v>126.9</v>
      </c>
      <c r="L184" s="60">
        <f>K184*'NO CPI'!$D$7</f>
        <v>154.15335485137231</v>
      </c>
      <c r="M184" s="31">
        <f t="shared" si="9"/>
        <v>5.0379479176462434</v>
      </c>
      <c r="N184" s="31"/>
      <c r="O184" s="31"/>
      <c r="P184" s="2">
        <f t="shared" si="10"/>
        <v>0</v>
      </c>
      <c r="Q184" s="1">
        <v>39431</v>
      </c>
      <c r="R184" s="5">
        <f>VLOOKUP(Q184,Sentiment!$A$3:$B$199,2,FALSE)</f>
        <v>-9.6</v>
      </c>
      <c r="S184" s="106">
        <v>1</v>
      </c>
      <c r="T184" s="37">
        <f>VLOOKUP(D184,'NO index'!$A$2:$G$5365,6,FALSE)</f>
        <v>-2.2948507646286691E-2</v>
      </c>
      <c r="U184" s="37">
        <f>VLOOKUP(D184,'NO index'!$A$2:$G$5365,7,FALSE)</f>
        <v>1.6832874121109658E-2</v>
      </c>
      <c r="V184" s="8" t="s">
        <v>72</v>
      </c>
      <c r="W184" s="5">
        <v>25</v>
      </c>
      <c r="X184" s="7">
        <v>20</v>
      </c>
      <c r="Y184" s="8"/>
      <c r="Z184" s="8"/>
      <c r="AA184" s="7">
        <f>IF(AC184="FIXED",0,IF(E184&gt;W184,1,0))</f>
        <v>0</v>
      </c>
      <c r="AB184" s="7">
        <f>IF(AC184="FIXED",0,IF(E184&lt;X184,1,0))</f>
        <v>1</v>
      </c>
      <c r="AC184" s="40" t="s">
        <v>73</v>
      </c>
      <c r="AD184" s="8" t="s">
        <v>17</v>
      </c>
      <c r="AE184" s="8">
        <f t="shared" si="11"/>
        <v>0</v>
      </c>
      <c r="AF184" s="58">
        <v>14300000</v>
      </c>
      <c r="AG184" s="58">
        <f>AF184*E184</f>
        <v>257400000</v>
      </c>
      <c r="AH184" s="8" t="s">
        <v>26</v>
      </c>
      <c r="AI184" s="8">
        <v>0</v>
      </c>
      <c r="AJ184" s="8">
        <v>0</v>
      </c>
      <c r="AK184" s="29">
        <v>39083</v>
      </c>
      <c r="AL184" s="7">
        <f>LN(DATEDIF(AK184,D184,"y")+1)</f>
        <v>0</v>
      </c>
      <c r="AM184" s="45">
        <f>DATEDIF(AK184,D184,"y")</f>
        <v>0</v>
      </c>
      <c r="AN184" s="8" t="s">
        <v>233</v>
      </c>
      <c r="AO184" s="35">
        <v>1541</v>
      </c>
      <c r="AP184" s="36">
        <f>IFERROR(VLOOKUP(AO184,'Tech SIC'!$A$2:$B$35,2,FALSE),0)</f>
        <v>0</v>
      </c>
      <c r="AQ184" s="8" t="s">
        <v>227</v>
      </c>
      <c r="AR184" s="8" t="s">
        <v>50</v>
      </c>
    </row>
    <row r="185" spans="1:44" ht="25" customHeight="1" x14ac:dyDescent="0.2">
      <c r="A185" s="76" t="s">
        <v>235</v>
      </c>
      <c r="B185" s="8" t="s">
        <v>236</v>
      </c>
      <c r="C185" s="29">
        <f>DATE(2010,3,30)</f>
        <v>40267</v>
      </c>
      <c r="D185" s="1">
        <v>40267</v>
      </c>
      <c r="E185" s="3">
        <v>25</v>
      </c>
      <c r="F185" s="4">
        <v>25</v>
      </c>
      <c r="G185" s="37">
        <f t="shared" si="8"/>
        <v>0</v>
      </c>
      <c r="H185" s="37">
        <f>G185-VLOOKUP(D185,'NO index'!$A$1:$E$5365,5,FALSE)</f>
        <v>3.9890860064905583E-3</v>
      </c>
      <c r="I185" s="8">
        <v>4</v>
      </c>
      <c r="K185" s="7">
        <v>183.3</v>
      </c>
      <c r="L185" s="60">
        <f>K185*'NO CPI'!$D$10</f>
        <v>207.43738275395091</v>
      </c>
      <c r="M185" s="31">
        <f t="shared" si="9"/>
        <v>5.3348295242685886</v>
      </c>
      <c r="N185" s="31"/>
      <c r="O185" s="61"/>
      <c r="P185" s="2">
        <f t="shared" si="10"/>
        <v>0</v>
      </c>
      <c r="Q185" s="1">
        <v>40252</v>
      </c>
      <c r="R185" s="5">
        <f>VLOOKUP(Q185,Sentiment!$A$3:$B$199,2,FALSE)</f>
        <v>-17.600000000000001</v>
      </c>
      <c r="S185" s="107">
        <v>1</v>
      </c>
      <c r="T185" s="37">
        <f>VLOOKUP(D185,'NO index'!$A$2:$G$5365,6,FALSE)</f>
        <v>6.3461900630002593E-2</v>
      </c>
      <c r="U185" s="37">
        <f>VLOOKUP(D185,'NO index'!$A$2:$G$5365,7,FALSE)</f>
        <v>1.2334247311593972E-2</v>
      </c>
      <c r="V185" s="8" t="s">
        <v>72</v>
      </c>
      <c r="W185" s="5">
        <v>35</v>
      </c>
      <c r="X185" s="7">
        <v>30</v>
      </c>
      <c r="Y185" s="31">
        <v>25</v>
      </c>
      <c r="Z185" s="31">
        <v>25</v>
      </c>
      <c r="AA185" s="7">
        <f>IF(AC185="FIXED",0,IF(E185&gt;W185,1,0))</f>
        <v>0</v>
      </c>
      <c r="AB185" s="7">
        <f>IF(AC185="FIXED",0,IF(E185&lt;X185,1,0))</f>
        <v>1</v>
      </c>
      <c r="AC185" s="40" t="s">
        <v>73</v>
      </c>
      <c r="AD185" s="8" t="s">
        <v>10</v>
      </c>
      <c r="AE185" s="8">
        <f t="shared" si="11"/>
        <v>0</v>
      </c>
      <c r="AF185" s="58">
        <v>6000000</v>
      </c>
      <c r="AG185" s="58">
        <f>AF185*E185</f>
        <v>150000000</v>
      </c>
      <c r="AH185" s="8" t="s">
        <v>237</v>
      </c>
      <c r="AI185" s="8">
        <v>0</v>
      </c>
      <c r="AJ185" s="8">
        <v>0</v>
      </c>
      <c r="AK185" s="29">
        <v>31413</v>
      </c>
      <c r="AL185" s="7">
        <f>LN(DATEDIF(AK185,D185,"y")+1)</f>
        <v>3.2188758248682006</v>
      </c>
      <c r="AM185" s="45">
        <f>DATEDIF(AK185,D185,"y")</f>
        <v>24</v>
      </c>
      <c r="AN185" s="8" t="s">
        <v>54</v>
      </c>
      <c r="AO185" s="35">
        <v>4412</v>
      </c>
      <c r="AP185" s="36">
        <f>IFERROR(VLOOKUP(AO185,'Tech SIC'!$A$2:$B$35,2,FALSE),0)</f>
        <v>0</v>
      </c>
      <c r="AQ185" s="8" t="s">
        <v>55</v>
      </c>
      <c r="AR185" s="8" t="s">
        <v>50</v>
      </c>
    </row>
    <row r="186" spans="1:44" ht="25" customHeight="1" x14ac:dyDescent="0.2">
      <c r="A186" s="76" t="s">
        <v>238</v>
      </c>
      <c r="B186" s="8" t="s">
        <v>239</v>
      </c>
      <c r="C186" s="29">
        <f>DATE(2010,5,21)</f>
        <v>40319</v>
      </c>
      <c r="D186" s="1">
        <v>40319</v>
      </c>
      <c r="E186" s="3">
        <v>22</v>
      </c>
      <c r="F186" s="4">
        <v>17.170000000000002</v>
      </c>
      <c r="G186" s="37">
        <f t="shared" si="8"/>
        <v>-0.21954545454545449</v>
      </c>
      <c r="H186" s="37">
        <f>G186-VLOOKUP(D186,'NO index'!$A$1:$E$5365,5,FALSE)</f>
        <v>-0.23650699191982977</v>
      </c>
      <c r="I186" s="8">
        <v>4</v>
      </c>
      <c r="K186" s="7">
        <v>123.3</v>
      </c>
      <c r="L186" s="60">
        <f>K186*'NO CPI'!$D$10</f>
        <v>139.53643913563636</v>
      </c>
      <c r="M186" s="31">
        <f t="shared" si="9"/>
        <v>4.938325779593228</v>
      </c>
      <c r="N186" s="31"/>
      <c r="O186" s="31"/>
      <c r="P186" s="2">
        <f t="shared" si="10"/>
        <v>0</v>
      </c>
      <c r="Q186" s="1">
        <v>40313</v>
      </c>
      <c r="R186" s="5">
        <f>VLOOKUP(Q186,Sentiment!$A$3:$B$199,2,FALSE)</f>
        <v>-18</v>
      </c>
      <c r="S186" s="106">
        <v>1</v>
      </c>
      <c r="T186" s="37">
        <f>VLOOKUP(D186,'NO index'!$A$2:$G$5365,6,FALSE)</f>
        <v>-0.10420532871427032</v>
      </c>
      <c r="U186" s="37">
        <f>VLOOKUP(D186,'NO index'!$A$2:$G$5365,7,FALSE)</f>
        <v>2.1918295251871223E-2</v>
      </c>
      <c r="V186" s="8" t="s">
        <v>72</v>
      </c>
      <c r="W186" s="5">
        <v>26</v>
      </c>
      <c r="X186" s="7">
        <v>22</v>
      </c>
      <c r="Y186" s="31">
        <v>22</v>
      </c>
      <c r="Z186" s="31">
        <v>22</v>
      </c>
      <c r="AA186" s="7">
        <f>IF(AC186="FIXED",0,IF(E186&gt;W186,1,0))</f>
        <v>0</v>
      </c>
      <c r="AB186" s="7">
        <f>IF(AC186="FIXED",0,IF(E186&lt;X186,1,0))</f>
        <v>0</v>
      </c>
      <c r="AC186" s="40" t="s">
        <v>73</v>
      </c>
      <c r="AD186" s="8" t="s">
        <v>17</v>
      </c>
      <c r="AE186" s="8">
        <f t="shared" si="11"/>
        <v>0</v>
      </c>
      <c r="AF186" s="58">
        <v>291146</v>
      </c>
      <c r="AG186" s="58">
        <f>AF186*E186</f>
        <v>6405212</v>
      </c>
      <c r="AH186" s="8" t="s">
        <v>14</v>
      </c>
      <c r="AI186" s="8">
        <v>0</v>
      </c>
      <c r="AJ186" s="8">
        <v>0</v>
      </c>
      <c r="AK186" s="29">
        <v>40179</v>
      </c>
      <c r="AL186" s="7">
        <f>LN(DATEDIF(AK186,D186,"y")+1)</f>
        <v>0</v>
      </c>
      <c r="AM186" s="45">
        <f>DATEDIF(AK186,D186,"y")</f>
        <v>0</v>
      </c>
      <c r="AN186" s="8" t="s">
        <v>52</v>
      </c>
      <c r="AO186" s="35">
        <v>1382</v>
      </c>
      <c r="AP186" s="36">
        <f>IFERROR(VLOOKUP(AO186,'Tech SIC'!$A$2:$B$35,2,FALSE),0)</f>
        <v>0</v>
      </c>
      <c r="AQ186" s="8" t="s">
        <v>51</v>
      </c>
      <c r="AR186" s="8" t="s">
        <v>50</v>
      </c>
    </row>
    <row r="187" spans="1:44" ht="25" customHeight="1" x14ac:dyDescent="0.2">
      <c r="A187" s="76" t="s">
        <v>240</v>
      </c>
      <c r="B187" s="8" t="s">
        <v>242</v>
      </c>
      <c r="C187" s="29">
        <f>DATE(2010,7,9)</f>
        <v>40368</v>
      </c>
      <c r="D187" s="1">
        <v>40344</v>
      </c>
      <c r="E187" s="3">
        <v>3.2</v>
      </c>
      <c r="F187" s="4">
        <v>3.1</v>
      </c>
      <c r="G187" s="37">
        <f t="shared" si="8"/>
        <v>-3.125E-2</v>
      </c>
      <c r="H187" s="37">
        <f>G187-VLOOKUP(D187,'NO index'!$A$1:$E$5365,5,FALSE)</f>
        <v>-3.3653269601799228E-2</v>
      </c>
      <c r="I187" s="8">
        <v>4</v>
      </c>
      <c r="J187" s="1">
        <v>40357</v>
      </c>
      <c r="K187" s="7">
        <f>N187/(VLOOKUP(J187,'NO FX'!$A$3:$B$199,2,FALSE))</f>
        <v>3.7212735366706897</v>
      </c>
      <c r="L187" s="60">
        <f>K187*'NO CPI'!$D$10</f>
        <v>4.2112997433633739</v>
      </c>
      <c r="M187" s="31">
        <f t="shared" si="9"/>
        <v>1.4377713276874748</v>
      </c>
      <c r="N187" s="8">
        <f>24200*1000/1000000</f>
        <v>24.2</v>
      </c>
      <c r="O187" s="33" t="s">
        <v>799</v>
      </c>
      <c r="P187" s="2">
        <f t="shared" si="10"/>
        <v>1</v>
      </c>
      <c r="Q187" s="1">
        <v>40344</v>
      </c>
      <c r="R187" s="5">
        <f>VLOOKUP(Q187,Sentiment!$A$3:$B$199,2,FALSE)</f>
        <v>-17.5</v>
      </c>
      <c r="S187" s="107">
        <v>1</v>
      </c>
      <c r="T187" s="37">
        <f>VLOOKUP(D187,'NO index'!$A$2:$G$5365,6,FALSE)</f>
        <v>-4.3650443875893882E-2</v>
      </c>
      <c r="U187" s="37">
        <f>VLOOKUP(D187,'NO index'!$A$2:$G$5365,7,FALSE)</f>
        <v>2.5571620863607033E-2</v>
      </c>
      <c r="V187" s="8" t="s">
        <v>72</v>
      </c>
      <c r="X187" s="7"/>
      <c r="Y187" s="31"/>
      <c r="Z187" s="31"/>
      <c r="AA187" s="7">
        <v>0</v>
      </c>
      <c r="AB187" s="7">
        <v>0</v>
      </c>
      <c r="AC187" s="40" t="s">
        <v>10</v>
      </c>
      <c r="AD187" s="8" t="s">
        <v>10</v>
      </c>
      <c r="AE187" s="8">
        <f t="shared" si="11"/>
        <v>1</v>
      </c>
      <c r="AF187" s="58">
        <v>4687500</v>
      </c>
      <c r="AG187" s="58">
        <f>AF187*E187</f>
        <v>15000000</v>
      </c>
      <c r="AH187" s="33" t="s">
        <v>824</v>
      </c>
      <c r="AI187" s="33">
        <v>0</v>
      </c>
      <c r="AJ187" s="33">
        <v>0</v>
      </c>
      <c r="AK187" s="29">
        <f>DATE(2007,1,1)</f>
        <v>39083</v>
      </c>
      <c r="AL187" s="7">
        <f>LN(DATEDIF(AK187,D187,"y")+1)</f>
        <v>1.3862943611198906</v>
      </c>
      <c r="AM187" s="45">
        <f>DATEDIF(AK187,D187,"y")</f>
        <v>3</v>
      </c>
      <c r="AN187" s="8" t="s">
        <v>241</v>
      </c>
      <c r="AO187" s="35">
        <v>4813</v>
      </c>
      <c r="AP187" s="36">
        <f>IFERROR(VLOOKUP(AO187,'Tech SIC'!$A$2:$B$35,2,FALSE),0)</f>
        <v>1</v>
      </c>
      <c r="AQ187" s="8" t="s">
        <v>84</v>
      </c>
      <c r="AR187" s="8" t="s">
        <v>50</v>
      </c>
    </row>
    <row r="188" spans="1:44" ht="25" customHeight="1" x14ac:dyDescent="0.2">
      <c r="A188" s="76" t="s">
        <v>243</v>
      </c>
      <c r="B188" s="8" t="s">
        <v>245</v>
      </c>
      <c r="C188" s="29">
        <f>DATE(2010,6,16)</f>
        <v>40345</v>
      </c>
      <c r="D188" s="1">
        <v>40353</v>
      </c>
      <c r="E188" s="31">
        <v>24.2</v>
      </c>
      <c r="F188" s="4">
        <v>22.9</v>
      </c>
      <c r="G188" s="37">
        <f t="shared" si="8"/>
        <v>-5.3719008264462853E-2</v>
      </c>
      <c r="H188" s="37">
        <f>G188-VLOOKUP(D188,'NO index'!$A$1:$E$5365,5,FALSE)</f>
        <v>-3.2758676179784035E-2</v>
      </c>
      <c r="I188" s="8">
        <v>4</v>
      </c>
      <c r="K188" s="7">
        <v>3640.4</v>
      </c>
      <c r="L188" s="60">
        <f>K188*'NO CPI'!$D$10</f>
        <v>4119.7765858018711</v>
      </c>
      <c r="M188" s="31">
        <f t="shared" si="9"/>
        <v>8.3235542141261298</v>
      </c>
      <c r="N188" s="60"/>
      <c r="O188" s="62"/>
      <c r="P188" s="2">
        <f t="shared" si="10"/>
        <v>1</v>
      </c>
      <c r="Q188" s="1">
        <v>40344</v>
      </c>
      <c r="R188" s="5">
        <f>VLOOKUP(Q188,Sentiment!$A$3:$B$199,2,FALSE)</f>
        <v>-17.5</v>
      </c>
      <c r="S188" s="107">
        <v>1</v>
      </c>
      <c r="T188" s="37">
        <f>VLOOKUP(D188,'NO index'!$A$2:$G$5365,6,FALSE)</f>
        <v>-4.7913538393035332E-2</v>
      </c>
      <c r="U188" s="37">
        <f>VLOOKUP(D188,'NO index'!$A$2:$G$5365,7,FALSE)</f>
        <v>2.1799770705899307E-2</v>
      </c>
      <c r="V188" s="8" t="s">
        <v>72</v>
      </c>
      <c r="W188" s="5">
        <v>28.2</v>
      </c>
      <c r="X188" s="7">
        <v>24.2</v>
      </c>
      <c r="Y188" s="31">
        <v>24.2</v>
      </c>
      <c r="Z188" s="31">
        <v>24.2</v>
      </c>
      <c r="AA188" s="7">
        <f>IF(AC188="FIXED",0,IF(E188&gt;W188,1,0))</f>
        <v>0</v>
      </c>
      <c r="AB188" s="7">
        <f>IF(AC188="FIXED",0,IF(E188&lt;X188,1,0))</f>
        <v>0</v>
      </c>
      <c r="AC188" s="40" t="s">
        <v>73</v>
      </c>
      <c r="AD188" s="8" t="s">
        <v>17</v>
      </c>
      <c r="AE188" s="8">
        <f t="shared" si="11"/>
        <v>0</v>
      </c>
      <c r="AF188" s="58">
        <v>60000000</v>
      </c>
      <c r="AG188" s="58">
        <f>AF188*E188</f>
        <v>1452000000</v>
      </c>
      <c r="AH188" s="8" t="s">
        <v>246</v>
      </c>
      <c r="AI188" s="8">
        <v>0</v>
      </c>
      <c r="AJ188" s="8">
        <v>1</v>
      </c>
      <c r="AK188" s="29" t="s">
        <v>809</v>
      </c>
      <c r="AL188" s="7">
        <f>LN(2010-1861+1)</f>
        <v>5.0106352940962555</v>
      </c>
      <c r="AM188" s="45">
        <f>-1861+2010</f>
        <v>149</v>
      </c>
      <c r="AN188" s="8" t="s">
        <v>244</v>
      </c>
      <c r="AO188" s="35">
        <v>4412</v>
      </c>
      <c r="AP188" s="36">
        <f>IFERROR(VLOOKUP(AO188,'Tech SIC'!$A$2:$B$35,2,FALSE),0)</f>
        <v>0</v>
      </c>
      <c r="AQ188" s="8" t="s">
        <v>55</v>
      </c>
      <c r="AR188" s="8" t="s">
        <v>50</v>
      </c>
    </row>
    <row r="189" spans="1:44" ht="25" customHeight="1" x14ac:dyDescent="0.2">
      <c r="A189" s="76" t="s">
        <v>247</v>
      </c>
      <c r="B189" s="8" t="s">
        <v>249</v>
      </c>
      <c r="C189" s="29">
        <f>DATE(2010,6,30)</f>
        <v>40359</v>
      </c>
      <c r="D189" s="1">
        <v>40359</v>
      </c>
      <c r="E189" s="31">
        <v>22</v>
      </c>
      <c r="F189" s="4">
        <v>19.7</v>
      </c>
      <c r="G189" s="37">
        <f t="shared" si="8"/>
        <v>-0.10454545454545461</v>
      </c>
      <c r="H189" s="37">
        <f>G189-VLOOKUP(D189,'NO index'!$A$1:$E$5365,5,FALSE)</f>
        <v>-0.10919841622653252</v>
      </c>
      <c r="I189" s="8">
        <v>4</v>
      </c>
      <c r="K189" s="7">
        <v>293.8</v>
      </c>
      <c r="L189" s="60">
        <f>K189*'NO CPI'!$D$10</f>
        <v>332.4882872510135</v>
      </c>
      <c r="M189" s="31">
        <f t="shared" si="9"/>
        <v>5.8066046331627064</v>
      </c>
      <c r="N189" s="31"/>
      <c r="O189" s="31"/>
      <c r="P189" s="2">
        <f t="shared" si="10"/>
        <v>0</v>
      </c>
      <c r="Q189" s="1">
        <v>40344</v>
      </c>
      <c r="R189" s="5">
        <f>VLOOKUP(Q189,Sentiment!$A$3:$B$199,2,FALSE)</f>
        <v>-17.5</v>
      </c>
      <c r="S189" s="106">
        <v>1</v>
      </c>
      <c r="T189" s="37">
        <f>VLOOKUP(D189,'NO index'!$A$2:$G$5365,6,FALSE)</f>
        <v>-6.1239326635103494E-2</v>
      </c>
      <c r="U189" s="37">
        <f>VLOOKUP(D189,'NO index'!$A$2:$G$5365,7,FALSE)</f>
        <v>2.1675976498140081E-2</v>
      </c>
      <c r="V189" s="8" t="s">
        <v>72</v>
      </c>
      <c r="W189" s="5">
        <v>28</v>
      </c>
      <c r="X189" s="7">
        <v>22</v>
      </c>
      <c r="Y189" s="31">
        <v>22</v>
      </c>
      <c r="Z189" s="31">
        <v>22</v>
      </c>
      <c r="AA189" s="7">
        <f>IF(AC189="FIXED",0,IF(E189&gt;W189,1,0))</f>
        <v>0</v>
      </c>
      <c r="AB189" s="7">
        <f>IF(AC189="FIXED",0,IF(E189&lt;X189,1,0))</f>
        <v>0</v>
      </c>
      <c r="AC189" s="40" t="s">
        <v>73</v>
      </c>
      <c r="AD189" s="8" t="s">
        <v>17</v>
      </c>
      <c r="AE189" s="8">
        <f t="shared" si="11"/>
        <v>0</v>
      </c>
      <c r="AF189" s="58">
        <v>60809099</v>
      </c>
      <c r="AG189" s="58">
        <f>AF189*E189</f>
        <v>1337800178</v>
      </c>
      <c r="AH189" s="8" t="s">
        <v>250</v>
      </c>
      <c r="AI189" s="8">
        <v>0</v>
      </c>
      <c r="AJ189" s="8">
        <v>1</v>
      </c>
      <c r="AK189" s="29">
        <f>DATE(1996,1,1)</f>
        <v>35065</v>
      </c>
      <c r="AL189" s="7">
        <f>LN(DATEDIF(AK189,D189,"y")+1)</f>
        <v>2.7080502011022101</v>
      </c>
      <c r="AM189" s="45">
        <f>DATEDIF(AK189,D189,"y")</f>
        <v>14</v>
      </c>
      <c r="AN189" s="8" t="s">
        <v>248</v>
      </c>
      <c r="AO189" s="35">
        <v>2092</v>
      </c>
      <c r="AP189" s="36">
        <f>IFERROR(VLOOKUP(AO189,'Tech SIC'!$A$2:$B$35,2,FALSE),0)</f>
        <v>0</v>
      </c>
      <c r="AQ189" s="8" t="s">
        <v>15</v>
      </c>
      <c r="AR189" s="8" t="s">
        <v>50</v>
      </c>
    </row>
    <row r="190" spans="1:44" ht="25" customHeight="1" x14ac:dyDescent="0.2">
      <c r="A190" s="76" t="s">
        <v>251</v>
      </c>
      <c r="B190" s="8" t="s">
        <v>252</v>
      </c>
      <c r="C190" s="29">
        <f>DATE(2010,10,6)</f>
        <v>40457</v>
      </c>
      <c r="D190" s="1">
        <v>40457</v>
      </c>
      <c r="E190" s="3">
        <v>5</v>
      </c>
      <c r="F190" s="4">
        <v>3.85</v>
      </c>
      <c r="G190" s="37">
        <f t="shared" si="8"/>
        <v>-0.22999999999999998</v>
      </c>
      <c r="H190" s="37">
        <f>G190-VLOOKUP(D190,'NO index'!$A$1:$E$5365,5,FALSE)</f>
        <v>-0.23892322707343686</v>
      </c>
      <c r="I190" s="8">
        <v>4</v>
      </c>
      <c r="J190" s="1">
        <v>40479</v>
      </c>
      <c r="K190" s="7">
        <f>N190/(VLOOKUP(J190,'NO FX'!$A$3:$B$199,2,FALSE))</f>
        <v>11.697033502572548</v>
      </c>
      <c r="L190" s="60">
        <f>K190*'NO CPI'!$D$10</f>
        <v>13.237326872661914</v>
      </c>
      <c r="M190" s="31">
        <f t="shared" si="9"/>
        <v>2.5830406322895478</v>
      </c>
      <c r="N190" s="8">
        <f>68885*1000/1000000</f>
        <v>68.885000000000005</v>
      </c>
      <c r="O190" s="33" t="s">
        <v>799</v>
      </c>
      <c r="P190" s="2">
        <f t="shared" si="10"/>
        <v>0</v>
      </c>
      <c r="Q190" s="1">
        <v>40466</v>
      </c>
      <c r="R190" s="5">
        <f>VLOOKUP(Q190,Sentiment!$A$3:$B$199,2,FALSE)</f>
        <v>-11.4</v>
      </c>
      <c r="S190" s="107">
        <v>1</v>
      </c>
      <c r="T190" s="37">
        <f>VLOOKUP(D190,'NO index'!$A$2:$G$5365,6,FALSE)</f>
        <v>0.11684118027183976</v>
      </c>
      <c r="U190" s="37">
        <f>VLOOKUP(D190,'NO index'!$A$2:$G$5365,7,FALSE)</f>
        <v>9.133747354238806E-3</v>
      </c>
      <c r="V190" s="8" t="s">
        <v>72</v>
      </c>
      <c r="X190" s="7"/>
      <c r="Y190" s="31"/>
      <c r="Z190" s="31"/>
      <c r="AA190" s="7">
        <v>0</v>
      </c>
      <c r="AB190" s="7">
        <v>0</v>
      </c>
      <c r="AC190" s="40" t="s">
        <v>10</v>
      </c>
      <c r="AD190" s="8" t="s">
        <v>10</v>
      </c>
      <c r="AE190" s="8">
        <f t="shared" si="11"/>
        <v>1</v>
      </c>
      <c r="AF190" s="58">
        <v>3617200</v>
      </c>
      <c r="AG190" s="58">
        <f>AF190*E190</f>
        <v>18086000</v>
      </c>
      <c r="AH190" s="8" t="s">
        <v>253</v>
      </c>
      <c r="AI190" s="8">
        <v>0</v>
      </c>
      <c r="AJ190" s="8">
        <v>0</v>
      </c>
      <c r="AK190" s="29">
        <v>35796</v>
      </c>
      <c r="AL190" s="7">
        <f>LN(DATEDIF(AK190,D190,"y")+1)</f>
        <v>2.5649493574615367</v>
      </c>
      <c r="AM190" s="45">
        <f>DATEDIF(AK190,D190,"y")</f>
        <v>12</v>
      </c>
      <c r="AN190" s="8" t="s">
        <v>115</v>
      </c>
      <c r="AO190" s="35">
        <v>3845</v>
      </c>
      <c r="AP190" s="36">
        <f>IFERROR(VLOOKUP(AO190,'Tech SIC'!$A$2:$B$35,2,FALSE),0)</f>
        <v>1</v>
      </c>
      <c r="AQ190" s="8" t="s">
        <v>15</v>
      </c>
      <c r="AR190" s="8" t="s">
        <v>50</v>
      </c>
    </row>
    <row r="191" spans="1:44" ht="25" customHeight="1" x14ac:dyDescent="0.2">
      <c r="A191" s="76" t="s">
        <v>254</v>
      </c>
      <c r="B191" s="8" t="s">
        <v>256</v>
      </c>
      <c r="C191" s="29">
        <f>DATE(2010,10,22)</f>
        <v>40473</v>
      </c>
      <c r="D191" s="1">
        <v>40473</v>
      </c>
      <c r="E191" s="31">
        <v>39</v>
      </c>
      <c r="F191" s="4">
        <v>40.5</v>
      </c>
      <c r="G191" s="37">
        <f t="shared" si="8"/>
        <v>3.8461538461538547E-2</v>
      </c>
      <c r="H191" s="37">
        <f>G191-VLOOKUP(D191,'NO index'!$A$1:$E$5365,5,FALSE)</f>
        <v>4.3359016068082665E-2</v>
      </c>
      <c r="I191" s="8">
        <v>4</v>
      </c>
      <c r="K191" s="7">
        <v>97042.9</v>
      </c>
      <c r="L191" s="60">
        <f>K191*'NO CPI'!$D$10</f>
        <v>109821.74135762893</v>
      </c>
      <c r="M191" s="31">
        <f t="shared" si="9"/>
        <v>11.606613797178003</v>
      </c>
      <c r="N191" s="60"/>
      <c r="O191" s="62"/>
      <c r="P191" s="2">
        <f t="shared" si="10"/>
        <v>0</v>
      </c>
      <c r="Q191" s="71">
        <v>40466</v>
      </c>
      <c r="R191" s="5">
        <f>VLOOKUP(Q191,Sentiment!$A$3:$B$199,2,FALSE)</f>
        <v>-11.4</v>
      </c>
      <c r="S191" s="106">
        <v>1</v>
      </c>
      <c r="T191" s="37">
        <f>VLOOKUP(D191,'NO index'!$A$2:$G$5365,6,FALSE)</f>
        <v>5.1293294387550481E-2</v>
      </c>
      <c r="U191" s="37">
        <f>VLOOKUP(D191,'NO index'!$A$2:$G$5365,7,FALSE)</f>
        <v>7.4076087572618361E-3</v>
      </c>
      <c r="V191" s="8" t="s">
        <v>72</v>
      </c>
      <c r="W191" s="5">
        <v>41</v>
      </c>
      <c r="X191" s="7">
        <v>32</v>
      </c>
      <c r="Y191" s="31">
        <v>39</v>
      </c>
      <c r="Z191" s="31">
        <v>39</v>
      </c>
      <c r="AA191" s="7">
        <f>IF(AC191="FIXED",0,IF(E191&gt;W191,1,0))</f>
        <v>0</v>
      </c>
      <c r="AB191" s="7">
        <f>IF(AC191="FIXED",0,IF(E191&lt;X191,1,0))</f>
        <v>0</v>
      </c>
      <c r="AC191" s="40" t="s">
        <v>73</v>
      </c>
      <c r="AD191" s="8" t="s">
        <v>17</v>
      </c>
      <c r="AE191" s="8">
        <f t="shared" si="11"/>
        <v>0</v>
      </c>
      <c r="AF191" s="58">
        <v>120000000</v>
      </c>
      <c r="AG191" s="58">
        <f>AF191*E191</f>
        <v>4680000000</v>
      </c>
      <c r="AH191" s="8" t="s">
        <v>258</v>
      </c>
      <c r="AI191" s="8">
        <v>1</v>
      </c>
      <c r="AJ191" s="8">
        <v>1</v>
      </c>
      <c r="AK191" s="29">
        <v>40179</v>
      </c>
      <c r="AL191" s="7">
        <f>LN(DATEDIF(AK191,D191,"y")+1)</f>
        <v>0</v>
      </c>
      <c r="AM191" s="45">
        <f>DATEDIF(AK191,D191,"y")</f>
        <v>0</v>
      </c>
      <c r="AN191" s="8" t="s">
        <v>255</v>
      </c>
      <c r="AO191" s="35">
        <v>5172</v>
      </c>
      <c r="AP191" s="36">
        <f>IFERROR(VLOOKUP(AO191,'Tech SIC'!$A$2:$B$35,2,FALSE),0)</f>
        <v>0</v>
      </c>
      <c r="AQ191" s="8" t="s">
        <v>257</v>
      </c>
      <c r="AR191" s="8" t="s">
        <v>50</v>
      </c>
    </row>
    <row r="192" spans="1:44" ht="25" customHeight="1" x14ac:dyDescent="0.2">
      <c r="A192" s="76" t="s">
        <v>259</v>
      </c>
      <c r="B192" s="8" t="s">
        <v>261</v>
      </c>
      <c r="C192" s="29">
        <f>DATE(2010,12,10)</f>
        <v>40522</v>
      </c>
      <c r="D192" s="1">
        <v>40522</v>
      </c>
      <c r="E192" s="31">
        <v>59</v>
      </c>
      <c r="F192" s="4">
        <v>58.75</v>
      </c>
      <c r="G192" s="37">
        <f t="shared" si="8"/>
        <v>-4.237288135593209E-3</v>
      </c>
      <c r="H192" s="37">
        <f>G192-VLOOKUP(D192,'NO index'!$A$1:$E$5365,5,FALSE)</f>
        <v>3.8205637392789479E-3</v>
      </c>
      <c r="I192" s="8">
        <v>4</v>
      </c>
      <c r="K192" s="7">
        <v>14137.4</v>
      </c>
      <c r="L192" s="60">
        <f>K192*'NO CPI'!$D$10</f>
        <v>15999.046671825998</v>
      </c>
      <c r="M192" s="31">
        <f t="shared" si="9"/>
        <v>9.6802844164359048</v>
      </c>
      <c r="N192" s="60"/>
      <c r="O192" s="62"/>
      <c r="P192" s="2">
        <f t="shared" si="10"/>
        <v>0</v>
      </c>
      <c r="Q192" s="1">
        <v>40527</v>
      </c>
      <c r="R192" s="5">
        <f>VLOOKUP(Q192,Sentiment!$A$3:$B$199,2,FALSE)</f>
        <v>-11.6</v>
      </c>
      <c r="S192" s="108">
        <v>1</v>
      </c>
      <c r="T192" s="37">
        <f>VLOOKUP(D192,'NO index'!$A$2:$G$5365,6,FALSE)</f>
        <v>2.0966234316358592E-2</v>
      </c>
      <c r="U192" s="37">
        <f>VLOOKUP(D192,'NO index'!$A$2:$G$5365,7,FALSE)</f>
        <v>1.3943455228287188E-2</v>
      </c>
      <c r="V192" s="8" t="s">
        <v>72</v>
      </c>
      <c r="W192" s="5">
        <v>64</v>
      </c>
      <c r="X192" s="7">
        <v>54</v>
      </c>
      <c r="Y192" s="31">
        <v>62</v>
      </c>
      <c r="Z192" s="31">
        <v>56</v>
      </c>
      <c r="AA192" s="7">
        <f>IF(AC192="FIXED",0,IF(E192&gt;W192,1,0))</f>
        <v>0</v>
      </c>
      <c r="AB192" s="7">
        <f>IF(AC192="FIXED",0,IF(E192&lt;X192,1,0))</f>
        <v>0</v>
      </c>
      <c r="AC192" s="40" t="s">
        <v>73</v>
      </c>
      <c r="AD192" s="8" t="s">
        <v>10</v>
      </c>
      <c r="AE192" s="8">
        <f t="shared" si="11"/>
        <v>0</v>
      </c>
      <c r="AF192" s="58">
        <v>181650000</v>
      </c>
      <c r="AG192" s="58">
        <f>AF192*E192</f>
        <v>10717350000</v>
      </c>
      <c r="AH192" s="8" t="s">
        <v>262</v>
      </c>
      <c r="AI192" s="8">
        <v>1</v>
      </c>
      <c r="AJ192" s="8">
        <v>1</v>
      </c>
      <c r="AK192" s="29">
        <v>8402</v>
      </c>
      <c r="AL192" s="7">
        <f>LN(DATEDIF(AK192,D192,"y")+1)</f>
        <v>4.4773368144782069</v>
      </c>
      <c r="AM192" s="45">
        <f>DATEDIF(AK192,D192,"y")</f>
        <v>87</v>
      </c>
      <c r="AN192" s="8" t="s">
        <v>260</v>
      </c>
      <c r="AO192" s="35">
        <v>6311</v>
      </c>
      <c r="AP192" s="36">
        <f>IFERROR(VLOOKUP(AO192,'Tech SIC'!$A$2:$B$35,2,FALSE),0)</f>
        <v>0</v>
      </c>
      <c r="AQ192" s="8" t="s">
        <v>132</v>
      </c>
      <c r="AR192" s="8" t="s">
        <v>50</v>
      </c>
    </row>
    <row r="193" spans="1:66" ht="25" customHeight="1" x14ac:dyDescent="0.2">
      <c r="A193" s="76" t="s">
        <v>263</v>
      </c>
      <c r="B193" s="8" t="s">
        <v>265</v>
      </c>
      <c r="C193" s="29">
        <f>DATE(2011,4,1)</f>
        <v>40634</v>
      </c>
      <c r="D193" s="1">
        <v>40599</v>
      </c>
      <c r="E193" s="31">
        <v>19</v>
      </c>
      <c r="F193" s="4">
        <v>19.2</v>
      </c>
      <c r="G193" s="37">
        <f t="shared" si="8"/>
        <v>1.0526315789473717E-2</v>
      </c>
      <c r="H193" s="37">
        <f>G193-VLOOKUP(D193,'NO index'!$A$1:$E$5365,5,FALSE)</f>
        <v>-2.6597060820476425E-3</v>
      </c>
      <c r="I193" s="8">
        <v>4</v>
      </c>
      <c r="K193" s="7">
        <v>3178.1039999999998</v>
      </c>
      <c r="L193" s="60">
        <f>K193*'NO CPI'!$D$11</f>
        <v>3545.261696810835</v>
      </c>
      <c r="M193" s="31">
        <f t="shared" si="9"/>
        <v>8.1733672576268486</v>
      </c>
      <c r="N193" s="8"/>
      <c r="O193" s="33"/>
      <c r="P193" s="2">
        <f t="shared" si="10"/>
        <v>1</v>
      </c>
      <c r="Q193" s="1">
        <v>40589</v>
      </c>
      <c r="R193" s="5">
        <f>VLOOKUP(Q193,Sentiment!$A$3:$B$199,2,FALSE)</f>
        <v>-10.3</v>
      </c>
      <c r="S193" s="107">
        <v>0</v>
      </c>
      <c r="T193" s="37">
        <f>VLOOKUP(D193,'NO index'!$A$2:$G$5365,6,FALSE)</f>
        <v>1.0988712690104693E-2</v>
      </c>
      <c r="U193" s="37">
        <f>VLOOKUP(D193,'NO index'!$A$2:$G$5365,7,FALSE)</f>
        <v>1.1396198185093163E-2</v>
      </c>
      <c r="V193" s="8" t="s">
        <v>72</v>
      </c>
      <c r="W193" s="5">
        <v>27</v>
      </c>
      <c r="X193" s="7">
        <v>19</v>
      </c>
      <c r="Y193" s="31">
        <v>22</v>
      </c>
      <c r="Z193" s="31">
        <v>19</v>
      </c>
      <c r="AA193" s="7">
        <f>IF(AC193="FIXED",0,IF(E193&gt;W193,1,0))</f>
        <v>0</v>
      </c>
      <c r="AB193" s="7">
        <f>IF(AC193="FIXED",0,IF(E193&lt;X193,1,0))</f>
        <v>0</v>
      </c>
      <c r="AC193" s="40" t="s">
        <v>73</v>
      </c>
      <c r="AD193" s="8" t="s">
        <v>17</v>
      </c>
      <c r="AE193" s="8">
        <f t="shared" si="11"/>
        <v>0</v>
      </c>
      <c r="AF193" s="58">
        <v>189473684</v>
      </c>
      <c r="AG193" s="58">
        <f>AF193*E193</f>
        <v>3599999996</v>
      </c>
      <c r="AH193" s="8" t="s">
        <v>266</v>
      </c>
      <c r="AI193" s="8">
        <v>0</v>
      </c>
      <c r="AJ193" s="8">
        <v>1</v>
      </c>
      <c r="AK193" s="29">
        <f>DATE(2005,1,1)</f>
        <v>38353</v>
      </c>
      <c r="AL193" s="7">
        <f>LN(DATEDIF(AK193,D193,"y")+1)</f>
        <v>1.9459101490553132</v>
      </c>
      <c r="AM193" s="45">
        <f>DATEDIF(AK193,D193,"y")</f>
        <v>6</v>
      </c>
      <c r="AN193" s="8" t="s">
        <v>264</v>
      </c>
      <c r="AO193" s="35">
        <v>1389</v>
      </c>
      <c r="AP193" s="36">
        <f>IFERROR(VLOOKUP(AO193,'Tech SIC'!$A$2:$B$35,2,FALSE),0)</f>
        <v>0</v>
      </c>
      <c r="AQ193" s="8" t="s">
        <v>51</v>
      </c>
      <c r="AR193" s="8" t="s">
        <v>50</v>
      </c>
    </row>
    <row r="194" spans="1:66" s="40" customFormat="1" ht="25" customHeight="1" x14ac:dyDescent="0.2">
      <c r="A194" s="76" t="s">
        <v>267</v>
      </c>
      <c r="B194" s="8" t="s">
        <v>269</v>
      </c>
      <c r="C194" s="29">
        <f>DATE(2011,3,29)</f>
        <v>40631</v>
      </c>
      <c r="D194" s="1">
        <v>40631</v>
      </c>
      <c r="E194" s="31">
        <v>21</v>
      </c>
      <c r="F194" s="4">
        <v>21.8</v>
      </c>
      <c r="G194" s="37">
        <f t="shared" ref="G194:G220" si="12">((F194/E194)-1)</f>
        <v>3.8095238095238182E-2</v>
      </c>
      <c r="H194" s="37">
        <f>G194-VLOOKUP(D194,'NO index'!$A$1:$E$5365,5,FALSE)</f>
        <v>3.9075918766165368E-2</v>
      </c>
      <c r="I194" s="8">
        <v>4</v>
      </c>
      <c r="J194" s="1"/>
      <c r="K194" s="7">
        <v>251.7</v>
      </c>
      <c r="L194" s="60">
        <f>K194*'NO CPI'!$D$11</f>
        <v>280.77821527781566</v>
      </c>
      <c r="M194" s="31">
        <f t="shared" ref="M194:M220" si="13">LN(L194)</f>
        <v>5.6375650882226411</v>
      </c>
      <c r="N194" s="31"/>
      <c r="O194" s="31"/>
      <c r="P194" s="2">
        <f t="shared" ref="P194:P220" si="14">IF(D194=C194,0,1)</f>
        <v>0</v>
      </c>
      <c r="Q194" s="1">
        <v>40617</v>
      </c>
      <c r="R194" s="5">
        <f>VLOOKUP(Q194,Sentiment!$A$3:$B$199,2,FALSE)</f>
        <v>-11</v>
      </c>
      <c r="S194" s="106">
        <v>0</v>
      </c>
      <c r="T194" s="37">
        <f>VLOOKUP(D194,'NO index'!$A$2:$G$5365,6,FALSE)</f>
        <v>1.669367501148809E-3</v>
      </c>
      <c r="U194" s="37">
        <f>VLOOKUP(D194,'NO index'!$A$2:$G$5365,7,FALSE)</f>
        <v>9.5427901536116692E-3</v>
      </c>
      <c r="V194" s="8" t="s">
        <v>72</v>
      </c>
      <c r="W194" s="5">
        <v>30</v>
      </c>
      <c r="X194" s="7">
        <v>21</v>
      </c>
      <c r="Y194" s="31">
        <v>30</v>
      </c>
      <c r="Z194" s="31">
        <v>23</v>
      </c>
      <c r="AA194" s="7">
        <f>IF(AC194="FIXED",0,IF(E194&gt;W194,1,0))</f>
        <v>0</v>
      </c>
      <c r="AB194" s="7">
        <f>IF(AC194="FIXED",0,IF(E194&lt;X194,1,0))</f>
        <v>0</v>
      </c>
      <c r="AC194" s="4" t="s">
        <v>73</v>
      </c>
      <c r="AD194" s="8" t="s">
        <v>10</v>
      </c>
      <c r="AE194" s="8">
        <f t="shared" ref="AE194:AE220" si="15">IF(AC194="FIXED",1,0)</f>
        <v>0</v>
      </c>
      <c r="AF194" s="58">
        <v>4963400</v>
      </c>
      <c r="AG194" s="58">
        <f>AF194*E194</f>
        <v>104231400</v>
      </c>
      <c r="AH194" s="8" t="s">
        <v>270</v>
      </c>
      <c r="AI194" s="8">
        <v>0</v>
      </c>
      <c r="AJ194" s="8">
        <v>0</v>
      </c>
      <c r="AK194" s="29">
        <f>DATE(1992,1,1)</f>
        <v>33604</v>
      </c>
      <c r="AL194" s="7">
        <f>LN(DATEDIF(AK194,D194,"y")+1)</f>
        <v>2.9957322735539909</v>
      </c>
      <c r="AM194" s="45">
        <f>DATEDIF(AK194,D194,"y")</f>
        <v>19</v>
      </c>
      <c r="AN194" s="8" t="s">
        <v>268</v>
      </c>
      <c r="AO194" s="8" t="s">
        <v>201</v>
      </c>
      <c r="AP194" s="36">
        <f>IFERROR(VLOOKUP(AO194,'Tech SIC'!$A$2:$B$35,2,FALSE),0)</f>
        <v>0</v>
      </c>
      <c r="AQ194" s="8" t="s">
        <v>152</v>
      </c>
      <c r="AR194" s="8" t="s">
        <v>50</v>
      </c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pans="1:66" ht="25" customHeight="1" x14ac:dyDescent="0.2">
      <c r="A195" s="76" t="s">
        <v>271</v>
      </c>
      <c r="B195" s="8" t="s">
        <v>800</v>
      </c>
      <c r="C195" s="29">
        <f>DATE(2011,6,10)</f>
        <v>40704</v>
      </c>
      <c r="D195" s="1">
        <v>40666</v>
      </c>
      <c r="E195" s="31">
        <v>8</v>
      </c>
      <c r="F195" s="4">
        <v>7.77</v>
      </c>
      <c r="G195" s="37">
        <f t="shared" si="12"/>
        <v>-2.8750000000000053E-2</v>
      </c>
      <c r="H195" s="37">
        <f>G195-VLOOKUP(D195,'NO index'!$A$1:$E$5365,5,FALSE)</f>
        <v>-1.1274088108029153E-2</v>
      </c>
      <c r="I195" s="8">
        <v>4</v>
      </c>
      <c r="K195" s="7">
        <v>353.8</v>
      </c>
      <c r="L195" s="60">
        <f>K195*'NO CPI'!$D$11</f>
        <v>394.67355012034642</v>
      </c>
      <c r="M195" s="31">
        <f t="shared" si="13"/>
        <v>5.9780589678070557</v>
      </c>
      <c r="N195" s="31"/>
      <c r="O195" s="31"/>
      <c r="P195" s="2">
        <f t="shared" si="14"/>
        <v>1</v>
      </c>
      <c r="Q195" s="1">
        <v>40678</v>
      </c>
      <c r="R195" s="5">
        <f>VLOOKUP(Q195,Sentiment!$A$3:$B$199,2,FALSE)</f>
        <v>-10.200000000000001</v>
      </c>
      <c r="S195" s="106">
        <v>0</v>
      </c>
      <c r="T195" s="37">
        <f>VLOOKUP(D195,'NO index'!$A$2:$G$5365,6,FALSE)</f>
        <v>1.6006306684249332E-2</v>
      </c>
      <c r="U195" s="37">
        <f>VLOOKUP(D195,'NO index'!$A$2:$G$5365,7,FALSE)</f>
        <v>1.0620310532395387E-2</v>
      </c>
      <c r="V195" s="8" t="s">
        <v>72</v>
      </c>
      <c r="W195" s="5">
        <v>10</v>
      </c>
      <c r="X195" s="7">
        <v>8</v>
      </c>
      <c r="Y195" s="31">
        <v>8</v>
      </c>
      <c r="Z195" s="31">
        <v>8</v>
      </c>
      <c r="AA195" s="7">
        <f>IF(AC195="FIXED",0,IF(E195&gt;W195,1,0))</f>
        <v>0</v>
      </c>
      <c r="AB195" s="7">
        <f>IF(AC195="FIXED",0,IF(E195&lt;X195,1,0))</f>
        <v>0</v>
      </c>
      <c r="AC195" s="4" t="s">
        <v>73</v>
      </c>
      <c r="AD195" s="8" t="s">
        <v>17</v>
      </c>
      <c r="AE195" s="8">
        <f t="shared" si="15"/>
        <v>0</v>
      </c>
      <c r="AF195" s="58">
        <v>240625000</v>
      </c>
      <c r="AG195" s="58">
        <f>AF195*E195</f>
        <v>1925000000</v>
      </c>
      <c r="AH195" s="8" t="s">
        <v>272</v>
      </c>
      <c r="AI195" s="8">
        <v>0</v>
      </c>
      <c r="AJ195" s="8">
        <v>1</v>
      </c>
      <c r="AK195" s="29">
        <v>38718</v>
      </c>
      <c r="AL195" s="7">
        <f>LN(DATEDIF(AK195,D195,"y")+1)</f>
        <v>1.791759469228055</v>
      </c>
      <c r="AM195" s="45">
        <f>DATEDIF(AK195,D195,"y")</f>
        <v>5</v>
      </c>
      <c r="AN195" s="8" t="s">
        <v>52</v>
      </c>
      <c r="AO195" s="35">
        <v>1311</v>
      </c>
      <c r="AP195" s="36">
        <f>IFERROR(VLOOKUP(AO195,'Tech SIC'!$A$2:$B$35,2,FALSE),0)</f>
        <v>0</v>
      </c>
      <c r="AQ195" s="8" t="s">
        <v>51</v>
      </c>
      <c r="AR195" s="8" t="s">
        <v>50</v>
      </c>
    </row>
    <row r="196" spans="1:66" ht="25" customHeight="1" x14ac:dyDescent="0.2">
      <c r="A196" s="76" t="s">
        <v>273</v>
      </c>
      <c r="B196" s="33" t="s">
        <v>274</v>
      </c>
      <c r="C196" s="29">
        <f>DATE(2011,7,5)</f>
        <v>40729</v>
      </c>
      <c r="D196" s="1">
        <v>40729</v>
      </c>
      <c r="E196" s="3">
        <v>38</v>
      </c>
      <c r="F196" s="4">
        <v>41.9</v>
      </c>
      <c r="G196" s="37">
        <f t="shared" si="12"/>
        <v>0.10263157894736841</v>
      </c>
      <c r="H196" s="37">
        <f>G196-VLOOKUP(D196,'NO index'!$A$1:$E$5365,5,FALSE)</f>
        <v>0.10296312279707912</v>
      </c>
      <c r="I196" s="8">
        <v>4</v>
      </c>
      <c r="K196" s="7">
        <v>636.5</v>
      </c>
      <c r="L196" s="60">
        <f>K196*'NO CPI'!$D$11</f>
        <v>710.033110942907</v>
      </c>
      <c r="M196" s="31">
        <f t="shared" si="13"/>
        <v>6.5653116040788317</v>
      </c>
      <c r="N196" s="31"/>
      <c r="O196" s="31"/>
      <c r="P196" s="2">
        <f t="shared" si="14"/>
        <v>0</v>
      </c>
      <c r="Q196" s="1">
        <v>40739</v>
      </c>
      <c r="R196" s="5">
        <f>VLOOKUP(Q196,Sentiment!$A$3:$B$199,2,FALSE)</f>
        <v>-11.5</v>
      </c>
      <c r="S196" s="106">
        <v>0</v>
      </c>
      <c r="T196" s="37">
        <f>VLOOKUP(D196,'NO index'!$A$2:$G$5365,6,FALSE)</f>
        <v>-9.1785229022877464E-4</v>
      </c>
      <c r="U196" s="37">
        <f>VLOOKUP(D196,'NO index'!$A$2:$G$5365,7,FALSE)</f>
        <v>1.309706438717491E-2</v>
      </c>
      <c r="V196" s="8" t="s">
        <v>72</v>
      </c>
      <c r="W196" s="5">
        <v>54</v>
      </c>
      <c r="X196" s="7">
        <v>38</v>
      </c>
      <c r="Y196" s="31">
        <v>38</v>
      </c>
      <c r="Z196" s="31">
        <v>38</v>
      </c>
      <c r="AA196" s="7">
        <f>IF(AC196="FIXED",0,IF(E196&gt;W196,1,0))</f>
        <v>0</v>
      </c>
      <c r="AB196" s="7">
        <f>IF(AC196="FIXED",0,IF(E196&lt;X196,1,0))</f>
        <v>0</v>
      </c>
      <c r="AC196" s="4" t="s">
        <v>73</v>
      </c>
      <c r="AD196" s="8" t="s">
        <v>17</v>
      </c>
      <c r="AE196" s="8">
        <f t="shared" si="15"/>
        <v>0</v>
      </c>
      <c r="AF196" s="58">
        <v>17087684</v>
      </c>
      <c r="AG196" s="58">
        <f>AF196*E196</f>
        <v>649331992</v>
      </c>
      <c r="AH196" s="8" t="s">
        <v>275</v>
      </c>
      <c r="AI196" s="8">
        <v>0</v>
      </c>
      <c r="AJ196" s="8">
        <v>1</v>
      </c>
      <c r="AK196" s="29">
        <f>DATE(1973,1,1)</f>
        <v>26665</v>
      </c>
      <c r="AL196" s="7">
        <f>LN(DATEDIF(AK196,D196,"y")+1)</f>
        <v>3.6635616461296463</v>
      </c>
      <c r="AM196" s="45">
        <f>DATEDIF(AK196,D196,"y")</f>
        <v>38</v>
      </c>
      <c r="AN196" s="8" t="s">
        <v>54</v>
      </c>
      <c r="AO196" s="35">
        <v>4412</v>
      </c>
      <c r="AP196" s="36">
        <f>IFERROR(VLOOKUP(AO196,'Tech SIC'!$A$2:$B$35,2,FALSE),0)</f>
        <v>0</v>
      </c>
      <c r="AQ196" s="8" t="s">
        <v>55</v>
      </c>
      <c r="AR196" s="8" t="s">
        <v>50</v>
      </c>
    </row>
    <row r="197" spans="1:66" ht="25" customHeight="1" x14ac:dyDescent="0.2">
      <c r="A197" s="77" t="s">
        <v>276</v>
      </c>
      <c r="B197" s="33" t="s">
        <v>277</v>
      </c>
      <c r="C197" s="32">
        <f>DATE(2012,6,14)</f>
        <v>41074</v>
      </c>
      <c r="D197" s="1">
        <v>41074</v>
      </c>
      <c r="E197" s="61">
        <v>20</v>
      </c>
      <c r="F197" s="40">
        <v>19</v>
      </c>
      <c r="G197" s="37">
        <f t="shared" si="12"/>
        <v>-5.0000000000000044E-2</v>
      </c>
      <c r="H197" s="37">
        <f>G197-VLOOKUP(D197,'NO index'!$A$1:$E$5365,5,FALSE)</f>
        <v>-5.2047782285565239E-2</v>
      </c>
      <c r="I197" s="8">
        <v>4</v>
      </c>
      <c r="K197" s="6">
        <v>1009.4</v>
      </c>
      <c r="L197" s="60">
        <f>K197*'NO CPI'!$D$12</f>
        <v>1123.8188833376428</v>
      </c>
      <c r="M197" s="31">
        <f t="shared" si="13"/>
        <v>7.0244878816492626</v>
      </c>
      <c r="N197" s="62"/>
      <c r="O197" s="62"/>
      <c r="P197" s="2">
        <f t="shared" si="14"/>
        <v>0</v>
      </c>
      <c r="Q197" s="1">
        <v>41075</v>
      </c>
      <c r="R197" s="5">
        <f>VLOOKUP(Q197,Sentiment!$A$3:$B$199,2,FALSE)</f>
        <v>-19.600000000000001</v>
      </c>
      <c r="S197" s="107">
        <v>0</v>
      </c>
      <c r="T197" s="37">
        <f>VLOOKUP(D197,'NO index'!$A$2:$G$5365,6,FALSE)</f>
        <v>-9.6095084881439891E-2</v>
      </c>
      <c r="U197" s="37">
        <f>VLOOKUP(D197,'NO index'!$A$2:$G$5365,7,FALSE)</f>
        <v>1.6179839201477531E-2</v>
      </c>
      <c r="V197" s="33" t="s">
        <v>72</v>
      </c>
      <c r="W197" s="20">
        <v>32</v>
      </c>
      <c r="X197" s="6">
        <v>25</v>
      </c>
      <c r="Y197" s="61">
        <v>32</v>
      </c>
      <c r="Z197" s="61">
        <v>25</v>
      </c>
      <c r="AA197" s="7">
        <f>IF(AC197="FIXED",0,IF(E197&gt;W197,1,0))</f>
        <v>0</v>
      </c>
      <c r="AB197" s="7">
        <f>IF(AC197="FIXED",0,IF(E197&lt;X197,1,0))</f>
        <v>1</v>
      </c>
      <c r="AC197" s="40" t="s">
        <v>73</v>
      </c>
      <c r="AD197" s="33" t="s">
        <v>17</v>
      </c>
      <c r="AE197" s="8">
        <f t="shared" si="15"/>
        <v>0</v>
      </c>
      <c r="AF197" s="30">
        <v>25031030</v>
      </c>
      <c r="AG197" s="58">
        <f>AF197*E197</f>
        <v>500620600</v>
      </c>
      <c r="AH197" s="33" t="s">
        <v>250</v>
      </c>
      <c r="AI197" s="33">
        <v>0</v>
      </c>
      <c r="AJ197" s="33">
        <v>1</v>
      </c>
      <c r="AK197" s="32">
        <v>39448</v>
      </c>
      <c r="AL197" s="7">
        <f>LN(DATEDIF(AK197,D197,"y")+1)</f>
        <v>1.6094379124341003</v>
      </c>
      <c r="AM197" s="45">
        <f>DATEDIF(AK197,D197,"y")</f>
        <v>4</v>
      </c>
      <c r="AN197" s="33" t="s">
        <v>209</v>
      </c>
      <c r="AO197" s="34">
        <v>6552</v>
      </c>
      <c r="AP197" s="36">
        <f>IFERROR(VLOOKUP(AO197,'Tech SIC'!$A$2:$B$35,2,FALSE),0)</f>
        <v>0</v>
      </c>
      <c r="AQ197" s="33" t="s">
        <v>211</v>
      </c>
      <c r="AR197" s="33" t="s">
        <v>50</v>
      </c>
    </row>
    <row r="198" spans="1:66" ht="25" customHeight="1" x14ac:dyDescent="0.2">
      <c r="A198" s="76" t="s">
        <v>278</v>
      </c>
      <c r="B198" s="8" t="s">
        <v>280</v>
      </c>
      <c r="C198" s="29">
        <f>DATE(2012,10,18)</f>
        <v>41200</v>
      </c>
      <c r="D198" s="1">
        <v>41200</v>
      </c>
      <c r="E198" s="31">
        <v>21</v>
      </c>
      <c r="F198" s="4">
        <v>20.7</v>
      </c>
      <c r="G198" s="37">
        <f t="shared" si="12"/>
        <v>-1.4285714285714346E-2</v>
      </c>
      <c r="H198" s="37">
        <f>G198-VLOOKUP(D198,'NO index'!$A$1:$E$5365,5,FALSE)</f>
        <v>-1.1406302456312705E-2</v>
      </c>
      <c r="I198" s="8">
        <v>4</v>
      </c>
      <c r="J198" s="1">
        <v>41210</v>
      </c>
      <c r="K198" s="7">
        <f>N198/(VLOOKUP(J198,'NO FX'!$A$3:$B$199,2,FALSE))</f>
        <v>828.64073843782558</v>
      </c>
      <c r="L198" s="60">
        <f>K198*'NO CPI'!$D$12</f>
        <v>922.56995181224192</v>
      </c>
      <c r="M198" s="31">
        <f>LN(L198)</f>
        <v>6.8271632015626009</v>
      </c>
      <c r="N198" s="8">
        <v>4731</v>
      </c>
      <c r="O198" s="8" t="s">
        <v>799</v>
      </c>
      <c r="P198" s="2">
        <f t="shared" si="14"/>
        <v>0</v>
      </c>
      <c r="Q198" s="1">
        <v>41197</v>
      </c>
      <c r="R198" s="5">
        <f>VLOOKUP(Q198,Sentiment!$A$3:$B$199,2,FALSE)</f>
        <v>-25.400000000000002</v>
      </c>
      <c r="S198" s="107">
        <v>0</v>
      </c>
      <c r="T198" s="37">
        <f>VLOOKUP(D198,'NO index'!$A$2:$G$5365,6,FALSE)</f>
        <v>1.4522753114171873E-2</v>
      </c>
      <c r="U198" s="37">
        <f>VLOOKUP(D198,'NO index'!$A$2:$G$5365,7,FALSE)</f>
        <v>1.00958150319614E-2</v>
      </c>
      <c r="V198" s="8" t="s">
        <v>72</v>
      </c>
      <c r="W198" s="5">
        <v>22</v>
      </c>
      <c r="X198" s="7">
        <v>21</v>
      </c>
      <c r="Y198" s="31">
        <v>22</v>
      </c>
      <c r="Z198" s="31">
        <v>21</v>
      </c>
      <c r="AA198" s="7">
        <f>IF(AC198="FIXED",0,IF(E198&gt;W198,1,0))</f>
        <v>0</v>
      </c>
      <c r="AB198" s="7">
        <f>IF(AC198="FIXED",0,IF(E198&lt;X198,1,0))</f>
        <v>0</v>
      </c>
      <c r="AC198" s="4" t="s">
        <v>73</v>
      </c>
      <c r="AD198" s="8" t="s">
        <v>17</v>
      </c>
      <c r="AE198" s="8">
        <f t="shared" si="15"/>
        <v>0</v>
      </c>
      <c r="AF198" s="58">
        <v>81000000</v>
      </c>
      <c r="AG198" s="58">
        <f>AF198*E198</f>
        <v>1701000000</v>
      </c>
      <c r="AH198" s="8" t="s">
        <v>281</v>
      </c>
      <c r="AI198" s="8">
        <v>1</v>
      </c>
      <c r="AJ198" s="8">
        <v>1</v>
      </c>
      <c r="AK198" s="29">
        <v>6576</v>
      </c>
      <c r="AL198" s="7">
        <f>LN(DATEDIF(AK198,D198,"y")+1)</f>
        <v>4.5538768916005408</v>
      </c>
      <c r="AM198" s="45">
        <f>DATEDIF(AK198,D198,"y")</f>
        <v>94</v>
      </c>
      <c r="AN198" s="8" t="s">
        <v>279</v>
      </c>
      <c r="AO198" s="35">
        <v>2861</v>
      </c>
      <c r="AP198" s="36">
        <f>IFERROR(VLOOKUP(AO198,'Tech SIC'!$A$2:$B$35,2,FALSE),0)</f>
        <v>0</v>
      </c>
      <c r="AQ198" s="8" t="s">
        <v>15</v>
      </c>
      <c r="AR198" s="8" t="s">
        <v>50</v>
      </c>
    </row>
    <row r="199" spans="1:66" ht="25" customHeight="1" x14ac:dyDescent="0.2">
      <c r="A199" s="77" t="s">
        <v>74</v>
      </c>
      <c r="B199" s="33" t="s">
        <v>76</v>
      </c>
      <c r="C199" s="32">
        <f>DATE(2013,3,20)</f>
        <v>41353</v>
      </c>
      <c r="D199" s="1">
        <v>41353</v>
      </c>
      <c r="E199" s="61">
        <v>36</v>
      </c>
      <c r="F199" s="40">
        <v>34.799999999999997</v>
      </c>
      <c r="G199" s="37">
        <f t="shared" si="12"/>
        <v>-3.3333333333333437E-2</v>
      </c>
      <c r="H199" s="37">
        <f>G199-VLOOKUP(D199,'NO index'!$A$1:$E$5365,5,FALSE)</f>
        <v>-2.9085728368243149E-2</v>
      </c>
      <c r="I199" s="8">
        <v>4</v>
      </c>
      <c r="K199" s="6">
        <v>8.1620000000000008</v>
      </c>
      <c r="L199" s="60">
        <f>K199*'NO CPI'!$D$13</f>
        <v>8.8458764421448173</v>
      </c>
      <c r="M199" s="31">
        <f t="shared" si="13"/>
        <v>2.1799514116959546</v>
      </c>
      <c r="N199" s="33"/>
      <c r="O199" s="33"/>
      <c r="P199" s="2">
        <f t="shared" si="14"/>
        <v>0</v>
      </c>
      <c r="Q199" s="1">
        <v>41348</v>
      </c>
      <c r="R199" s="5">
        <f>VLOOKUP(Q199,Sentiment!$A$3:$B$199,2,FALSE)</f>
        <v>-23.5</v>
      </c>
      <c r="S199" s="106">
        <v>0</v>
      </c>
      <c r="T199" s="37">
        <f>VLOOKUP(D199,'NO index'!$A$2:$G$5365,6,FALSE)</f>
        <v>1.550842785392398E-2</v>
      </c>
      <c r="U199" s="37">
        <f>VLOOKUP(D199,'NO index'!$A$2:$G$5365,7,FALSE)</f>
        <v>6.1335276032143194E-3</v>
      </c>
      <c r="V199" s="33" t="s">
        <v>72</v>
      </c>
      <c r="W199" s="20">
        <v>40</v>
      </c>
      <c r="X199" s="6">
        <v>33</v>
      </c>
      <c r="Y199" s="61">
        <v>40</v>
      </c>
      <c r="Z199" s="61">
        <v>33</v>
      </c>
      <c r="AA199" s="7">
        <f>IF(AC199="FIXED",0,IF(E199&gt;W199,1,0))</f>
        <v>0</v>
      </c>
      <c r="AB199" s="7">
        <f>IF(AC199="FIXED",0,IF(E199&lt;X199,1,0))</f>
        <v>0</v>
      </c>
      <c r="AC199" s="40" t="s">
        <v>73</v>
      </c>
      <c r="AD199" s="33" t="s">
        <v>17</v>
      </c>
      <c r="AE199" s="8">
        <f t="shared" si="15"/>
        <v>0</v>
      </c>
      <c r="AF199" s="30">
        <v>5333333</v>
      </c>
      <c r="AG199" s="58">
        <f>AF199*E199</f>
        <v>191999988</v>
      </c>
      <c r="AH199" s="33" t="s">
        <v>77</v>
      </c>
      <c r="AI199" s="33">
        <v>0</v>
      </c>
      <c r="AJ199" s="33">
        <v>0</v>
      </c>
      <c r="AK199" s="32">
        <v>35431</v>
      </c>
      <c r="AL199" s="7">
        <f>LN(DATEDIF(AK199,D199,"y")+1)</f>
        <v>2.8332133440562162</v>
      </c>
      <c r="AM199" s="45">
        <f>DATEDIF(AK199,D199,"y")</f>
        <v>16</v>
      </c>
      <c r="AN199" s="33" t="s">
        <v>75</v>
      </c>
      <c r="AO199" s="34">
        <v>3577</v>
      </c>
      <c r="AP199" s="36">
        <f>IFERROR(VLOOKUP(AO199,'Tech SIC'!$A$2:$B$35,2,FALSE),0)</f>
        <v>1</v>
      </c>
      <c r="AQ199" s="33" t="s">
        <v>15</v>
      </c>
      <c r="AR199" s="33" t="s">
        <v>59</v>
      </c>
    </row>
    <row r="200" spans="1:66" ht="25" customHeight="1" x14ac:dyDescent="0.2">
      <c r="A200" s="76" t="s">
        <v>282</v>
      </c>
      <c r="B200" s="8" t="s">
        <v>285</v>
      </c>
      <c r="C200" s="29">
        <f>DATE(2013,3,26)</f>
        <v>41359</v>
      </c>
      <c r="D200" s="1">
        <v>41359</v>
      </c>
      <c r="E200" s="31">
        <v>100</v>
      </c>
      <c r="F200" s="4">
        <v>99</v>
      </c>
      <c r="G200" s="37">
        <f t="shared" si="12"/>
        <v>-1.0000000000000009E-2</v>
      </c>
      <c r="H200" s="37">
        <f>G200-VLOOKUP(D200,'NO index'!$A$1:$E$5365,5,FALSE)</f>
        <v>-1.1931620786385447E-2</v>
      </c>
      <c r="I200" s="8">
        <v>4</v>
      </c>
      <c r="K200" s="7">
        <v>28.8</v>
      </c>
      <c r="L200" s="60">
        <f>K200*'NO CPI'!$D$13</f>
        <v>31.213090116855025</v>
      </c>
      <c r="M200" s="31">
        <f t="shared" si="13"/>
        <v>3.4408375618542406</v>
      </c>
      <c r="N200" s="31"/>
      <c r="O200" s="31"/>
      <c r="P200" s="2">
        <f t="shared" si="14"/>
        <v>0</v>
      </c>
      <c r="Q200" s="1">
        <v>41348</v>
      </c>
      <c r="R200" s="5">
        <f>VLOOKUP(Q200,Sentiment!$A$3:$B$199,2,FALSE)</f>
        <v>-23.5</v>
      </c>
      <c r="S200" s="107">
        <v>0</v>
      </c>
      <c r="T200" s="37">
        <f>VLOOKUP(D200,'NO index'!$A$2:$G$5365,6,FALSE)</f>
        <v>-5.0613160570790099E-4</v>
      </c>
      <c r="U200" s="37">
        <f>VLOOKUP(D200,'NO index'!$A$2:$G$5365,7,FALSE)</f>
        <v>5.8661668464479602E-3</v>
      </c>
      <c r="V200" s="8" t="s">
        <v>72</v>
      </c>
      <c r="W200" s="5">
        <v>120</v>
      </c>
      <c r="X200" s="7">
        <v>100</v>
      </c>
      <c r="Y200" s="31">
        <v>120</v>
      </c>
      <c r="Z200" s="31">
        <v>100</v>
      </c>
      <c r="AA200" s="7">
        <f>IF(AC200="FIXED",0,IF(E200&gt;W200,1,0))</f>
        <v>0</v>
      </c>
      <c r="AB200" s="7">
        <f>IF(AC200="FIXED",0,IF(E200&lt;X200,1,0))</f>
        <v>0</v>
      </c>
      <c r="AC200" s="4" t="s">
        <v>73</v>
      </c>
      <c r="AD200" s="8" t="s">
        <v>17</v>
      </c>
      <c r="AE200" s="8">
        <f t="shared" si="15"/>
        <v>0</v>
      </c>
      <c r="AF200" s="58">
        <v>1120000</v>
      </c>
      <c r="AG200" s="58">
        <f>AF200*E200</f>
        <v>112000000</v>
      </c>
      <c r="AH200" s="8" t="s">
        <v>71</v>
      </c>
      <c r="AI200" s="8">
        <v>0</v>
      </c>
      <c r="AJ200" s="8">
        <v>0</v>
      </c>
      <c r="AK200" s="29">
        <f>DATE(2011,1,1)</f>
        <v>40544</v>
      </c>
      <c r="AL200" s="7">
        <f>LN(DATEDIF(AK200,D200,"y")+1)</f>
        <v>1.0986122886681098</v>
      </c>
      <c r="AM200" s="45">
        <f>DATEDIF(AK200,D200,"y")</f>
        <v>2</v>
      </c>
      <c r="AN200" s="8" t="s">
        <v>283</v>
      </c>
      <c r="AO200" s="8" t="s">
        <v>284</v>
      </c>
      <c r="AP200" s="36">
        <f>IFERROR(VLOOKUP(AO200,'Tech SIC'!$A$2:$B$35,2,FALSE),0)</f>
        <v>0</v>
      </c>
      <c r="AQ200" s="8" t="s">
        <v>286</v>
      </c>
      <c r="AR200" s="8" t="s">
        <v>50</v>
      </c>
    </row>
    <row r="201" spans="1:66" ht="25" customHeight="1" x14ac:dyDescent="0.2">
      <c r="A201" s="76" t="s">
        <v>287</v>
      </c>
      <c r="B201" s="8" t="s">
        <v>16</v>
      </c>
      <c r="C201" s="29">
        <f>DATE(2013,7,5)</f>
        <v>41460</v>
      </c>
      <c r="D201" s="1">
        <v>41460</v>
      </c>
      <c r="E201" s="31">
        <v>27</v>
      </c>
      <c r="F201" s="4">
        <v>27.7</v>
      </c>
      <c r="G201" s="37">
        <f t="shared" si="12"/>
        <v>2.5925925925925908E-2</v>
      </c>
      <c r="H201" s="37">
        <f>G201-VLOOKUP(D201,'NO index'!$A$1:$E$5365,5,FALSE)</f>
        <v>2.3910081746707505E-2</v>
      </c>
      <c r="I201" s="8">
        <v>4</v>
      </c>
      <c r="K201" s="7">
        <v>10606.6</v>
      </c>
      <c r="L201" s="60">
        <f>K201*'NO CPI'!$D$13</f>
        <v>11495.304223383142</v>
      </c>
      <c r="M201" s="31">
        <f t="shared" si="13"/>
        <v>9.3496939025611336</v>
      </c>
      <c r="N201" s="60"/>
      <c r="O201" s="60"/>
      <c r="P201" s="2">
        <f t="shared" si="14"/>
        <v>0</v>
      </c>
      <c r="Q201" s="1">
        <v>41470</v>
      </c>
      <c r="R201" s="5">
        <f>VLOOKUP(Q201,Sentiment!$A$3:$B$199,2,FALSE)</f>
        <v>-17.400000000000002</v>
      </c>
      <c r="S201" s="107">
        <v>0</v>
      </c>
      <c r="T201" s="37">
        <f>VLOOKUP(D201,'NO index'!$A$2:$G$5365,6,FALSE)</f>
        <v>-2.7361083533619015E-2</v>
      </c>
      <c r="U201" s="37">
        <f>VLOOKUP(D201,'NO index'!$A$2:$G$5365,7,FALSE)</f>
        <v>1.0546092157118537E-2</v>
      </c>
      <c r="V201" s="8" t="s">
        <v>72</v>
      </c>
      <c r="W201" s="5">
        <v>34</v>
      </c>
      <c r="X201" s="7">
        <v>30</v>
      </c>
      <c r="Y201" s="31">
        <v>34</v>
      </c>
      <c r="Z201" s="31">
        <v>30</v>
      </c>
      <c r="AA201" s="7">
        <f>IF(AC201="FIXED",0,IF(E201&gt;W201,1,0))</f>
        <v>0</v>
      </c>
      <c r="AB201" s="7">
        <f>IF(AC201="FIXED",0,IF(E201&lt;X201,1,0))</f>
        <v>1</v>
      </c>
      <c r="AC201" s="4" t="s">
        <v>73</v>
      </c>
      <c r="AD201" s="8" t="s">
        <v>17</v>
      </c>
      <c r="AE201" s="8">
        <f t="shared" si="15"/>
        <v>0</v>
      </c>
      <c r="AF201" s="58">
        <v>33500000</v>
      </c>
      <c r="AG201" s="58">
        <f>AF201*E201</f>
        <v>904500000</v>
      </c>
      <c r="AH201" s="8" t="s">
        <v>289</v>
      </c>
      <c r="AI201" s="8">
        <v>0</v>
      </c>
      <c r="AJ201" s="8">
        <v>1</v>
      </c>
      <c r="AK201" s="29">
        <v>40909</v>
      </c>
      <c r="AL201" s="7">
        <f>LN(DATEDIF(AK201,D201,"y")+1)</f>
        <v>0.69314718055994529</v>
      </c>
      <c r="AM201" s="45">
        <f>DATEDIF(AK201,D201,"y")</f>
        <v>1</v>
      </c>
      <c r="AN201" s="8" t="s">
        <v>288</v>
      </c>
      <c r="AO201" s="35">
        <v>1629</v>
      </c>
      <c r="AP201" s="36">
        <f>IFERROR(VLOOKUP(AO201,'Tech SIC'!$A$2:$B$35,2,FALSE),0)</f>
        <v>0</v>
      </c>
      <c r="AQ201" s="8" t="s">
        <v>227</v>
      </c>
      <c r="AR201" s="8" t="s">
        <v>50</v>
      </c>
    </row>
    <row r="202" spans="1:66" ht="25" customHeight="1" x14ac:dyDescent="0.2">
      <c r="A202" s="76" t="s">
        <v>290</v>
      </c>
      <c r="B202" s="8" t="s">
        <v>802</v>
      </c>
      <c r="C202" s="29">
        <f>DATE(2013,9,30)</f>
        <v>41547</v>
      </c>
      <c r="D202" s="1">
        <v>41544</v>
      </c>
      <c r="E202" s="31">
        <v>42</v>
      </c>
      <c r="F202" s="4">
        <v>41</v>
      </c>
      <c r="G202" s="37">
        <f t="shared" si="12"/>
        <v>-2.3809523809523836E-2</v>
      </c>
      <c r="H202" s="37">
        <f>G202-VLOOKUP(D202,'NO index'!$A$1:$E$5365,5,FALSE)</f>
        <v>-1.949048752069436E-2</v>
      </c>
      <c r="I202" s="8">
        <v>4</v>
      </c>
      <c r="K202" s="7">
        <v>2753</v>
      </c>
      <c r="L202" s="60">
        <f>K202*'NO CPI'!$D$13</f>
        <v>2983.6679545729821</v>
      </c>
      <c r="M202" s="31">
        <f t="shared" si="13"/>
        <v>8.0009086798549482</v>
      </c>
      <c r="N202" s="8"/>
      <c r="O202" s="8"/>
      <c r="P202" s="2">
        <f t="shared" si="14"/>
        <v>1</v>
      </c>
      <c r="Q202" s="1">
        <v>41532</v>
      </c>
      <c r="R202" s="5">
        <f>VLOOKUP(Q202,Sentiment!$A$3:$B$199,2,FALSE)</f>
        <v>-15</v>
      </c>
      <c r="S202" s="106">
        <v>0</v>
      </c>
      <c r="T202" s="37">
        <f>VLOOKUP(D202,'NO index'!$A$2:$G$5365,6,FALSE)</f>
        <v>4.5446478299348931E-3</v>
      </c>
      <c r="U202" s="37">
        <f>VLOOKUP(D202,'NO index'!$A$2:$G$5365,7,FALSE)</f>
        <v>5.3810620375952791E-3</v>
      </c>
      <c r="V202" s="8" t="s">
        <v>72</v>
      </c>
      <c r="W202" s="5">
        <v>48</v>
      </c>
      <c r="X202" s="7">
        <v>37</v>
      </c>
      <c r="Y202" s="31">
        <v>42</v>
      </c>
      <c r="Z202" s="31">
        <v>40</v>
      </c>
      <c r="AA202" s="7">
        <f>IF(AC202="FIXED",0,IF(E202&gt;W202,1,0))</f>
        <v>0</v>
      </c>
      <c r="AB202" s="7">
        <f>IF(AC202="FIXED",0,IF(E202&lt;X202,1,0))</f>
        <v>0</v>
      </c>
      <c r="AC202" s="4" t="s">
        <v>73</v>
      </c>
      <c r="AD202" s="8" t="s">
        <v>17</v>
      </c>
      <c r="AE202" s="8">
        <f t="shared" si="15"/>
        <v>0</v>
      </c>
      <c r="AF202" s="58">
        <v>56000000</v>
      </c>
      <c r="AG202" s="58">
        <f>AF202*E202</f>
        <v>2352000000</v>
      </c>
      <c r="AH202" s="8" t="s">
        <v>292</v>
      </c>
      <c r="AI202" s="8">
        <v>1</v>
      </c>
      <c r="AJ202" s="8">
        <v>1</v>
      </c>
      <c r="AK202" s="29">
        <f>DATE(1973,1,1)</f>
        <v>26665</v>
      </c>
      <c r="AL202" s="7">
        <f>LN(DATEDIF(AK202,D202,"y")+1)</f>
        <v>3.713572066704308</v>
      </c>
      <c r="AM202" s="45">
        <f>DATEDIF(AK202,D202,"y")</f>
        <v>40</v>
      </c>
      <c r="AN202" s="8" t="s">
        <v>291</v>
      </c>
      <c r="AO202" s="35">
        <v>1381</v>
      </c>
      <c r="AP202" s="36">
        <f>IFERROR(VLOOKUP(AO202,'Tech SIC'!$A$2:$B$35,2,FALSE),0)</f>
        <v>0</v>
      </c>
      <c r="AQ202" s="8" t="s">
        <v>51</v>
      </c>
      <c r="AR202" s="8" t="s">
        <v>50</v>
      </c>
    </row>
    <row r="203" spans="1:66" ht="25" customHeight="1" x14ac:dyDescent="0.2">
      <c r="A203" s="76" t="s">
        <v>293</v>
      </c>
      <c r="B203" s="8" t="s">
        <v>295</v>
      </c>
      <c r="C203" s="29">
        <f>DATE(2013,10,25)</f>
        <v>41572</v>
      </c>
      <c r="D203" s="1">
        <v>41572</v>
      </c>
      <c r="E203" s="31">
        <v>12</v>
      </c>
      <c r="F203" s="4">
        <v>11.8</v>
      </c>
      <c r="G203" s="37">
        <f t="shared" si="12"/>
        <v>-1.6666666666666607E-2</v>
      </c>
      <c r="H203" s="37">
        <f>G203-VLOOKUP(D203,'NO index'!$A$1:$E$5365,5,FALSE)</f>
        <v>-2.6684605339817011E-2</v>
      </c>
      <c r="I203" s="8">
        <v>4</v>
      </c>
      <c r="K203" s="7">
        <v>244.5</v>
      </c>
      <c r="L203" s="60">
        <f>K203*'NO CPI'!$D$13</f>
        <v>264.98612963788378</v>
      </c>
      <c r="M203" s="31">
        <f t="shared" si="13"/>
        <v>5.5796774836272673</v>
      </c>
      <c r="N203" s="31"/>
      <c r="O203" s="31"/>
      <c r="P203" s="2">
        <f t="shared" si="14"/>
        <v>0</v>
      </c>
      <c r="Q203" s="1">
        <v>41562</v>
      </c>
      <c r="R203" s="5">
        <f>VLOOKUP(Q203,Sentiment!$A$3:$B$199,2,FALSE)</f>
        <v>-14.6</v>
      </c>
      <c r="S203" s="107">
        <v>0</v>
      </c>
      <c r="T203" s="37">
        <f>VLOOKUP(D203,'NO index'!$A$2:$G$5365,6,FALSE)</f>
        <v>6.1651329429780292E-2</v>
      </c>
      <c r="U203" s="37">
        <f>VLOOKUP(D203,'NO index'!$A$2:$G$5365,7,FALSE)</f>
        <v>7.0393176018912736E-3</v>
      </c>
      <c r="V203" s="8" t="s">
        <v>72</v>
      </c>
      <c r="W203" s="5">
        <v>22</v>
      </c>
      <c r="X203" s="7">
        <v>15</v>
      </c>
      <c r="Y203" s="31">
        <v>22</v>
      </c>
      <c r="Z203" s="31">
        <v>15</v>
      </c>
      <c r="AA203" s="7">
        <f>IF(AC203="FIXED",0,IF(E203&gt;W203,1,0))</f>
        <v>0</v>
      </c>
      <c r="AB203" s="7">
        <f>IF(AC203="FIXED",0,IF(E203&lt;X203,1,0))</f>
        <v>1</v>
      </c>
      <c r="AC203" s="4" t="s">
        <v>73</v>
      </c>
      <c r="AD203" s="8" t="s">
        <v>17</v>
      </c>
      <c r="AE203" s="8">
        <f t="shared" si="15"/>
        <v>0</v>
      </c>
      <c r="AF203" s="58">
        <v>57414970</v>
      </c>
      <c r="AG203" s="58">
        <f>AF203*E203</f>
        <v>688979640</v>
      </c>
      <c r="AH203" s="8" t="s">
        <v>296</v>
      </c>
      <c r="AI203" s="8">
        <v>0</v>
      </c>
      <c r="AJ203" s="8">
        <v>1</v>
      </c>
      <c r="AK203" s="29">
        <v>29952</v>
      </c>
      <c r="AL203" s="7">
        <f>LN(DATEDIF(AK203,D203,"y")+1)</f>
        <v>3.4657359027997265</v>
      </c>
      <c r="AM203" s="45">
        <f>DATEDIF(AK203,D203,"y")</f>
        <v>31</v>
      </c>
      <c r="AN203" s="8" t="s">
        <v>294</v>
      </c>
      <c r="AO203" s="35">
        <v>4412</v>
      </c>
      <c r="AP203" s="36">
        <f>IFERROR(VLOOKUP(AO203,'Tech SIC'!$A$2:$B$35,2,FALSE),0)</f>
        <v>0</v>
      </c>
      <c r="AQ203" s="8" t="s">
        <v>55</v>
      </c>
      <c r="AR203" s="8" t="s">
        <v>50</v>
      </c>
    </row>
    <row r="204" spans="1:66" ht="25" customHeight="1" x14ac:dyDescent="0.2">
      <c r="A204" s="77" t="s">
        <v>78</v>
      </c>
      <c r="B204" s="33" t="s">
        <v>80</v>
      </c>
      <c r="C204" s="32">
        <f>DATE(2013,12,6)</f>
        <v>41614</v>
      </c>
      <c r="D204" s="1">
        <v>41614</v>
      </c>
      <c r="E204" s="61">
        <v>58</v>
      </c>
      <c r="F204" s="40">
        <v>57.75</v>
      </c>
      <c r="G204" s="37">
        <f t="shared" si="12"/>
        <v>-4.3103448275861878E-3</v>
      </c>
      <c r="H204" s="37">
        <f>G204-VLOOKUP(D204,'NO index'!$A$1:$E$5365,5,FALSE)</f>
        <v>-1.5838119995464674E-3</v>
      </c>
      <c r="I204" s="8">
        <v>4</v>
      </c>
      <c r="K204" s="6">
        <v>21.8</v>
      </c>
      <c r="L204" s="60">
        <f>K204*'NO CPI'!$D$13</f>
        <v>23.626575157897207</v>
      </c>
      <c r="M204" s="31">
        <f t="shared" si="13"/>
        <v>3.1623721445073838</v>
      </c>
      <c r="N204" s="61"/>
      <c r="O204" s="61"/>
      <c r="P204" s="2">
        <f t="shared" si="14"/>
        <v>0</v>
      </c>
      <c r="Q204" s="1">
        <v>41623</v>
      </c>
      <c r="R204" s="5">
        <f>VLOOKUP(Q204,Sentiment!$A$3:$B$199,2,FALSE)</f>
        <v>-13.700000000000001</v>
      </c>
      <c r="S204" s="107">
        <v>0</v>
      </c>
      <c r="T204" s="37">
        <f>VLOOKUP(D204,'NO index'!$A$2:$G$5365,6,FALSE)</f>
        <v>-7.6342004178881666E-3</v>
      </c>
      <c r="U204" s="37">
        <f>VLOOKUP(D204,'NO index'!$A$2:$G$5365,7,FALSE)</f>
        <v>6.4660813567202638E-3</v>
      </c>
      <c r="V204" s="33" t="s">
        <v>72</v>
      </c>
      <c r="W204" s="20">
        <v>73</v>
      </c>
      <c r="X204" s="6">
        <v>58</v>
      </c>
      <c r="Y204" s="61">
        <v>73</v>
      </c>
      <c r="Z204" s="61">
        <v>58</v>
      </c>
      <c r="AA204" s="7">
        <f>IF(AC204="FIXED",0,IF(E204&gt;W204,1,0))</f>
        <v>0</v>
      </c>
      <c r="AB204" s="7">
        <f>IF(AC204="FIXED",0,IF(E204&lt;X204,1,0))</f>
        <v>0</v>
      </c>
      <c r="AC204" s="40" t="s">
        <v>73</v>
      </c>
      <c r="AD204" s="33" t="s">
        <v>17</v>
      </c>
      <c r="AE204" s="8">
        <f t="shared" si="15"/>
        <v>0</v>
      </c>
      <c r="AF204" s="30">
        <v>2400000</v>
      </c>
      <c r="AG204" s="58">
        <f>AF204*E204</f>
        <v>139200000</v>
      </c>
      <c r="AH204" s="33" t="s">
        <v>66</v>
      </c>
      <c r="AI204" s="33">
        <v>0</v>
      </c>
      <c r="AJ204" s="33">
        <v>1</v>
      </c>
      <c r="AK204" s="32">
        <v>37622</v>
      </c>
      <c r="AL204" s="7">
        <f>LN(DATEDIF(AK204,D204,"y")+1)</f>
        <v>2.3978952727983707</v>
      </c>
      <c r="AM204" s="45">
        <f>DATEDIF(AK204,D204,"y")</f>
        <v>10</v>
      </c>
      <c r="AN204" s="33" t="s">
        <v>79</v>
      </c>
      <c r="AO204" s="34">
        <v>3577</v>
      </c>
      <c r="AP204" s="36">
        <f>IFERROR(VLOOKUP(AO204,'Tech SIC'!$A$2:$B$35,2,FALSE),0)</f>
        <v>1</v>
      </c>
      <c r="AQ204" s="33" t="s">
        <v>15</v>
      </c>
      <c r="AR204" s="33" t="s">
        <v>59</v>
      </c>
    </row>
    <row r="205" spans="1:66" ht="25" customHeight="1" x14ac:dyDescent="0.2">
      <c r="A205" s="76" t="s">
        <v>297</v>
      </c>
      <c r="B205" s="8" t="s">
        <v>299</v>
      </c>
      <c r="C205" s="29">
        <f>DATE(2014,4,8)</f>
        <v>41737</v>
      </c>
      <c r="D205" s="1">
        <v>41737</v>
      </c>
      <c r="E205" s="31">
        <v>30</v>
      </c>
      <c r="F205" s="4">
        <v>25.3</v>
      </c>
      <c r="G205" s="37">
        <f t="shared" si="12"/>
        <v>-0.15666666666666662</v>
      </c>
      <c r="H205" s="37">
        <f>G205-VLOOKUP(D205,'NO index'!$A$1:$E$5365,5,FALSE)</f>
        <v>-0.14756415014501834</v>
      </c>
      <c r="I205" s="8">
        <v>4</v>
      </c>
      <c r="K205" s="7">
        <v>105.1</v>
      </c>
      <c r="L205" s="60">
        <f>K205*'NO CPI'!$D$14</f>
        <v>111.52607821058514</v>
      </c>
      <c r="M205" s="31">
        <f t="shared" si="13"/>
        <v>4.714258448849999</v>
      </c>
      <c r="N205" s="31"/>
      <c r="O205" s="31"/>
      <c r="P205" s="2">
        <f t="shared" si="14"/>
        <v>0</v>
      </c>
      <c r="Q205" s="1">
        <v>41744</v>
      </c>
      <c r="R205" s="5">
        <f>VLOOKUP(Q205,Sentiment!$A$3:$B$199,2,FALSE)</f>
        <v>-8.8000000000000007</v>
      </c>
      <c r="S205" s="107">
        <v>1</v>
      </c>
      <c r="T205" s="37">
        <f>VLOOKUP(D205,'NO index'!$A$2:$G$5365,6,FALSE)</f>
        <v>-8.2558931590264676E-3</v>
      </c>
      <c r="U205" s="37">
        <f>VLOOKUP(D205,'NO index'!$A$2:$G$5365,7,FALSE)</f>
        <v>7.0728368892254631E-3</v>
      </c>
      <c r="V205" s="8" t="s">
        <v>72</v>
      </c>
      <c r="W205" s="5">
        <v>40</v>
      </c>
      <c r="X205" s="7">
        <v>30</v>
      </c>
      <c r="Y205" s="31">
        <v>40</v>
      </c>
      <c r="Z205" s="31">
        <v>30</v>
      </c>
      <c r="AA205" s="7">
        <f>IF(AC205="FIXED",0,IF(E205&gt;W205,1,0))</f>
        <v>0</v>
      </c>
      <c r="AB205" s="7">
        <f>IF(AC205="FIXED",0,IF(E205&lt;X205,1,0))</f>
        <v>0</v>
      </c>
      <c r="AC205" s="4" t="s">
        <v>73</v>
      </c>
      <c r="AD205" s="8" t="s">
        <v>17</v>
      </c>
      <c r="AE205" s="8">
        <f t="shared" si="15"/>
        <v>0</v>
      </c>
      <c r="AF205" s="58">
        <v>5833334</v>
      </c>
      <c r="AG205" s="58">
        <f>AF205*E205</f>
        <v>175000020</v>
      </c>
      <c r="AH205" s="8" t="s">
        <v>300</v>
      </c>
      <c r="AI205" s="8">
        <v>0</v>
      </c>
      <c r="AJ205" s="8">
        <v>1</v>
      </c>
      <c r="AK205" s="29">
        <v>39814</v>
      </c>
      <c r="AL205" s="7">
        <f>LN(DATEDIF(AK205,D205,"y")+1)</f>
        <v>1.791759469228055</v>
      </c>
      <c r="AM205" s="45">
        <f>DATEDIF(AK205,D205,"y")</f>
        <v>5</v>
      </c>
      <c r="AN205" s="8" t="s">
        <v>298</v>
      </c>
      <c r="AO205" s="35">
        <v>6411</v>
      </c>
      <c r="AP205" s="36">
        <f>IFERROR(VLOOKUP(AO205,'Tech SIC'!$A$2:$B$35,2,FALSE),0)</f>
        <v>0</v>
      </c>
      <c r="AQ205" s="8" t="s">
        <v>132</v>
      </c>
      <c r="AR205" s="8" t="s">
        <v>50</v>
      </c>
    </row>
    <row r="206" spans="1:66" ht="25" customHeight="1" x14ac:dyDescent="0.2">
      <c r="A206" s="76" t="s">
        <v>303</v>
      </c>
      <c r="B206" s="8" t="s">
        <v>305</v>
      </c>
      <c r="C206" s="29">
        <f>DATE(2014,6,20)</f>
        <v>41810</v>
      </c>
      <c r="D206" s="1">
        <v>41810</v>
      </c>
      <c r="E206" s="31">
        <v>23</v>
      </c>
      <c r="F206" s="4">
        <v>25</v>
      </c>
      <c r="G206" s="37">
        <f t="shared" si="12"/>
        <v>8.6956521739130377E-2</v>
      </c>
      <c r="H206" s="37">
        <f>G206-VLOOKUP(D206,'NO index'!$A$1:$E$5365,5,FALSE)</f>
        <v>8.99392223491121E-2</v>
      </c>
      <c r="I206" s="8">
        <v>4</v>
      </c>
      <c r="K206" s="7">
        <v>20.2</v>
      </c>
      <c r="L206" s="60">
        <f>K206*'NO CPI'!$D$14</f>
        <v>21.435078780721405</v>
      </c>
      <c r="M206" s="31">
        <f t="shared" si="13"/>
        <v>3.0650287753742527</v>
      </c>
      <c r="N206" s="31"/>
      <c r="O206" s="31"/>
      <c r="P206" s="2">
        <f t="shared" si="14"/>
        <v>0</v>
      </c>
      <c r="Q206" s="1">
        <v>41805</v>
      </c>
      <c r="R206" s="5">
        <f>VLOOKUP(Q206,Sentiment!$A$3:$B$199,2,FALSE)</f>
        <v>-7.7</v>
      </c>
      <c r="S206" s="106">
        <v>1</v>
      </c>
      <c r="T206" s="37">
        <f>VLOOKUP(D206,'NO index'!$A$2:$G$5365,6,FALSE)</f>
        <v>6.9261645944051792E-2</v>
      </c>
      <c r="U206" s="37">
        <f>VLOOKUP(D206,'NO index'!$A$2:$G$5365,7,FALSE)</f>
        <v>6.2042834826897229E-3</v>
      </c>
      <c r="V206" s="8" t="s">
        <v>72</v>
      </c>
      <c r="W206" s="5">
        <v>26</v>
      </c>
      <c r="X206" s="7">
        <v>20</v>
      </c>
      <c r="Y206" s="8"/>
      <c r="Z206" s="8"/>
      <c r="AA206" s="7">
        <f>IF(AC206="FIXED",0,IF(E206&gt;W206,1,0))</f>
        <v>0</v>
      </c>
      <c r="AB206" s="7">
        <f>IF(AC206="FIXED",0,IF(E206&lt;X206,1,0))</f>
        <v>0</v>
      </c>
      <c r="AC206" s="4" t="s">
        <v>73</v>
      </c>
      <c r="AD206" s="8" t="s">
        <v>17</v>
      </c>
      <c r="AE206" s="8">
        <f t="shared" si="15"/>
        <v>0</v>
      </c>
      <c r="AF206" s="58">
        <v>8104800</v>
      </c>
      <c r="AG206" s="58">
        <f>AF206*E206</f>
        <v>186410400</v>
      </c>
      <c r="AH206" s="8" t="s">
        <v>306</v>
      </c>
      <c r="AI206" s="8">
        <v>0</v>
      </c>
      <c r="AJ206" s="8">
        <v>1</v>
      </c>
      <c r="AK206" s="29">
        <f>DATE(2000,1,1)</f>
        <v>36526</v>
      </c>
      <c r="AL206" s="7">
        <f>LN(DATEDIF(AK206,D206,"y")+1)</f>
        <v>2.7080502011022101</v>
      </c>
      <c r="AM206" s="45">
        <f>DATEDIF(AK206,D206,"y")</f>
        <v>14</v>
      </c>
      <c r="AN206" s="8" t="s">
        <v>304</v>
      </c>
      <c r="AO206" s="35">
        <v>8721</v>
      </c>
      <c r="AP206" s="36">
        <f>IFERROR(VLOOKUP(AO206,'Tech SIC'!$A$2:$B$35,2,FALSE),0)</f>
        <v>0</v>
      </c>
      <c r="AQ206" s="8" t="s">
        <v>13</v>
      </c>
      <c r="AR206" s="8" t="s">
        <v>50</v>
      </c>
    </row>
    <row r="207" spans="1:66" ht="25" customHeight="1" x14ac:dyDescent="0.2">
      <c r="A207" s="76" t="s">
        <v>307</v>
      </c>
      <c r="B207" s="8" t="s">
        <v>16</v>
      </c>
      <c r="C207" s="29">
        <f>DATE(2014,6,26)</f>
        <v>41816</v>
      </c>
      <c r="D207" s="1">
        <v>41821</v>
      </c>
      <c r="E207" s="31">
        <v>33.5</v>
      </c>
      <c r="F207" s="4">
        <v>33</v>
      </c>
      <c r="G207" s="37">
        <f t="shared" si="12"/>
        <v>-1.4925373134328401E-2</v>
      </c>
      <c r="H207" s="37">
        <f>G207-VLOOKUP(D207,'NO index'!$A$1:$E$5365,5,FALSE)</f>
        <v>-2.2860524906404812E-2</v>
      </c>
      <c r="I207" s="8">
        <v>4</v>
      </c>
      <c r="K207" s="7">
        <v>272.10000000000002</v>
      </c>
      <c r="L207" s="60">
        <f>K207*'NO CPI'!$D$14</f>
        <v>288.73687803140075</v>
      </c>
      <c r="M207" s="31">
        <f t="shared" si="13"/>
        <v>5.6655158167562947</v>
      </c>
      <c r="N207" s="31"/>
      <c r="O207" s="31"/>
      <c r="P207" s="2">
        <f t="shared" si="14"/>
        <v>1</v>
      </c>
      <c r="Q207" s="1">
        <v>41835</v>
      </c>
      <c r="R207" s="5">
        <f>VLOOKUP(Q207,Sentiment!$A$3:$B$199,2,FALSE)</f>
        <v>-8.5</v>
      </c>
      <c r="S207" s="107">
        <v>1</v>
      </c>
      <c r="T207" s="37">
        <f>VLOOKUP(D207,'NO index'!$A$2:$G$5365,6,FALSE)</f>
        <v>4.7213064238376297E-2</v>
      </c>
      <c r="U207" s="37">
        <f>VLOOKUP(D207,'NO index'!$A$2:$G$5365,7,FALSE)</f>
        <v>7.0191696911535003E-3</v>
      </c>
      <c r="V207" s="8" t="s">
        <v>72</v>
      </c>
      <c r="X207" s="7"/>
      <c r="Y207" s="31"/>
      <c r="Z207" s="31"/>
      <c r="AA207" s="7">
        <v>0</v>
      </c>
      <c r="AB207" s="7">
        <v>0</v>
      </c>
      <c r="AC207" s="4" t="s">
        <v>10</v>
      </c>
      <c r="AD207" s="8" t="s">
        <v>10</v>
      </c>
      <c r="AE207" s="8">
        <f t="shared" si="15"/>
        <v>1</v>
      </c>
      <c r="AF207" s="58">
        <v>4200000</v>
      </c>
      <c r="AG207" s="58">
        <f>AF207*E207</f>
        <v>140700000</v>
      </c>
      <c r="AH207" s="8" t="s">
        <v>309</v>
      </c>
      <c r="AI207" s="8">
        <v>0</v>
      </c>
      <c r="AJ207" s="8">
        <v>0</v>
      </c>
      <c r="AK207" s="29">
        <v>36161</v>
      </c>
      <c r="AL207" s="7">
        <f>LN(DATEDIF(AK207,D207,"y")+1)</f>
        <v>2.7725887222397811</v>
      </c>
      <c r="AM207" s="45">
        <f>DATEDIF(AK207,D207,"y")</f>
        <v>15</v>
      </c>
      <c r="AN207" s="8" t="s">
        <v>308</v>
      </c>
      <c r="AO207" s="35">
        <v>3731</v>
      </c>
      <c r="AP207" s="36">
        <f>IFERROR(VLOOKUP(AO207,'Tech SIC'!$A$2:$B$35,2,FALSE),0)</f>
        <v>0</v>
      </c>
      <c r="AQ207" s="8" t="s">
        <v>15</v>
      </c>
      <c r="AR207" s="8" t="s">
        <v>50</v>
      </c>
    </row>
    <row r="208" spans="1:66" ht="25" customHeight="1" x14ac:dyDescent="0.2">
      <c r="A208" s="76" t="s">
        <v>301</v>
      </c>
      <c r="B208" s="8" t="s">
        <v>302</v>
      </c>
      <c r="C208" s="29">
        <f>DATE(2014,7,1)</f>
        <v>41821</v>
      </c>
      <c r="D208" s="1">
        <v>41821</v>
      </c>
      <c r="E208" s="3">
        <v>130</v>
      </c>
      <c r="F208" s="4">
        <v>129</v>
      </c>
      <c r="G208" s="37">
        <f t="shared" si="12"/>
        <v>-7.692307692307665E-3</v>
      </c>
      <c r="H208" s="37">
        <f>G208-VLOOKUP(D208,'NO index'!$A$1:$E$5365,5,FALSE)</f>
        <v>-1.5627459464384076E-2</v>
      </c>
      <c r="I208" s="8">
        <v>4</v>
      </c>
      <c r="K208" s="7">
        <v>20.7</v>
      </c>
      <c r="L208" s="60">
        <f>K208*'NO CPI'!$D$14</f>
        <v>21.965650037669956</v>
      </c>
      <c r="M208" s="31">
        <f t="shared" si="13"/>
        <v>3.0894798712384168</v>
      </c>
      <c r="N208" s="31"/>
      <c r="O208" s="31"/>
      <c r="P208" s="2">
        <f t="shared" si="14"/>
        <v>0</v>
      </c>
      <c r="Q208" s="1">
        <v>41835</v>
      </c>
      <c r="R208" s="5">
        <f>VLOOKUP(Q208,Sentiment!$A$3:$B$199,2,FALSE)</f>
        <v>-8.5</v>
      </c>
      <c r="S208" s="106">
        <v>1</v>
      </c>
      <c r="T208" s="37">
        <f>VLOOKUP(D208,'NO index'!$A$2:$G$5365,6,FALSE)</f>
        <v>4.7213064238376297E-2</v>
      </c>
      <c r="U208" s="37">
        <f>VLOOKUP(D208,'NO index'!$A$2:$G$5365,7,FALSE)</f>
        <v>7.0191696911535003E-3</v>
      </c>
      <c r="V208" s="8" t="s">
        <v>72</v>
      </c>
      <c r="W208" s="5">
        <v>150</v>
      </c>
      <c r="X208" s="7">
        <v>125</v>
      </c>
      <c r="Y208" s="8"/>
      <c r="Z208" s="8"/>
      <c r="AA208" s="7">
        <f>IF(AC208="FIXED",0,IF(E208&gt;W208,1,0))</f>
        <v>0</v>
      </c>
      <c r="AB208" s="7">
        <f>IF(AC208="FIXED",0,IF(E208&lt;X208,1,0))</f>
        <v>0</v>
      </c>
      <c r="AC208" s="4" t="s">
        <v>73</v>
      </c>
      <c r="AD208" s="8" t="s">
        <v>10</v>
      </c>
      <c r="AE208" s="8">
        <f t="shared" si="15"/>
        <v>0</v>
      </c>
      <c r="AF208" s="58">
        <v>326923</v>
      </c>
      <c r="AG208" s="58">
        <f>AF208*E208</f>
        <v>42499990</v>
      </c>
      <c r="AH208" s="8" t="s">
        <v>66</v>
      </c>
      <c r="AI208" s="8">
        <v>0</v>
      </c>
      <c r="AJ208" s="8">
        <v>1</v>
      </c>
      <c r="AK208" s="29">
        <v>40179</v>
      </c>
      <c r="AL208" s="7">
        <f>LN(DATEDIF(AK208,D208,"y")+1)</f>
        <v>1.6094379124341003</v>
      </c>
      <c r="AM208" s="45">
        <f>DATEDIF(AK208,D208,"y")</f>
        <v>4</v>
      </c>
      <c r="AN208" s="8" t="s">
        <v>58</v>
      </c>
      <c r="AO208" s="35">
        <v>7372</v>
      </c>
      <c r="AP208" s="36">
        <f>IFERROR(VLOOKUP(AO208,'Tech SIC'!$A$2:$B$35,2,FALSE),0)</f>
        <v>1</v>
      </c>
      <c r="AQ208" s="8" t="s">
        <v>13</v>
      </c>
      <c r="AR208" s="8" t="s">
        <v>50</v>
      </c>
    </row>
    <row r="209" spans="1:66" ht="25" customHeight="1" x14ac:dyDescent="0.2">
      <c r="A209" s="76" t="s">
        <v>81</v>
      </c>
      <c r="B209" s="8" t="s">
        <v>83</v>
      </c>
      <c r="C209" s="29">
        <f>DATE(2014,7,11)</f>
        <v>41831</v>
      </c>
      <c r="D209" s="1">
        <v>41831</v>
      </c>
      <c r="E209" s="31">
        <v>18</v>
      </c>
      <c r="F209" s="4">
        <v>14.55</v>
      </c>
      <c r="G209" s="37">
        <f t="shared" si="12"/>
        <v>-0.19166666666666665</v>
      </c>
      <c r="H209" s="37">
        <f>G209-VLOOKUP(D209,'NO index'!$A$1:$E$5365,5,FALSE)</f>
        <v>-0.19523829888672542</v>
      </c>
      <c r="I209" s="8">
        <v>4</v>
      </c>
      <c r="J209" s="1">
        <v>41848</v>
      </c>
      <c r="K209" s="7">
        <f>N209/(VLOOKUP(J209,'NO FX'!$A$3:$B$199,2,FALSE))</f>
        <v>3.0406236851088821</v>
      </c>
      <c r="L209" s="60">
        <f>K209*'NO CPI'!$D$14</f>
        <v>3.2265350610315013</v>
      </c>
      <c r="M209" s="31">
        <f t="shared" si="13"/>
        <v>1.1714088249181664</v>
      </c>
      <c r="N209" s="7">
        <f>19150*1000/1000000</f>
        <v>19.149999999999999</v>
      </c>
      <c r="O209" s="6" t="s">
        <v>798</v>
      </c>
      <c r="P209" s="2">
        <f t="shared" si="14"/>
        <v>0</v>
      </c>
      <c r="Q209" s="1">
        <v>41835</v>
      </c>
      <c r="R209" s="5">
        <f>VLOOKUP(Q209,Sentiment!$A$3:$B$199,2,FALSE)</f>
        <v>-8.5</v>
      </c>
      <c r="S209" s="106">
        <v>1</v>
      </c>
      <c r="T209" s="37">
        <f>VLOOKUP(D209,'NO index'!$A$2:$G$5365,6,FALSE)</f>
        <v>4.1935174610772848E-3</v>
      </c>
      <c r="U209" s="37">
        <f>VLOOKUP(D209,'NO index'!$A$2:$G$5365,7,FALSE)</f>
        <v>8.6919171909550196E-3</v>
      </c>
      <c r="V209" s="8" t="s">
        <v>72</v>
      </c>
      <c r="W209" s="5">
        <v>22</v>
      </c>
      <c r="X209" s="7">
        <v>18</v>
      </c>
      <c r="Y209" s="31">
        <v>22</v>
      </c>
      <c r="Z209" s="31">
        <v>18</v>
      </c>
      <c r="AA209" s="7">
        <f>IF(AC209="FIXED",0,IF(E209&gt;W209,1,0))</f>
        <v>0</v>
      </c>
      <c r="AB209" s="7">
        <f>IF(AC209="FIXED",0,IF(E209&lt;X209,1,0))</f>
        <v>0</v>
      </c>
      <c r="AC209" s="40" t="s">
        <v>73</v>
      </c>
      <c r="AD209" s="8" t="s">
        <v>10</v>
      </c>
      <c r="AE209" s="8">
        <f t="shared" si="15"/>
        <v>0</v>
      </c>
      <c r="AF209" s="58">
        <v>3762500</v>
      </c>
      <c r="AG209" s="58">
        <f>AF209*E209</f>
        <v>67725000</v>
      </c>
      <c r="AH209" s="8" t="s">
        <v>60</v>
      </c>
      <c r="AI209" s="8">
        <v>0</v>
      </c>
      <c r="AJ209" s="8">
        <v>0</v>
      </c>
      <c r="AK209" s="29">
        <f>DATE(2008,1,1)</f>
        <v>39448</v>
      </c>
      <c r="AL209" s="7">
        <f>LN(DATEDIF(AK209,D209,"y")+1)</f>
        <v>1.9459101490553132</v>
      </c>
      <c r="AM209" s="45">
        <f>DATEDIF(AK209,D209,"y")</f>
        <v>6</v>
      </c>
      <c r="AN209" s="8" t="s">
        <v>82</v>
      </c>
      <c r="AO209" s="35">
        <v>2834</v>
      </c>
      <c r="AP209" s="36">
        <f>IFERROR(VLOOKUP(AO209,'Tech SIC'!$A$2:$B$35,2,FALSE),0)</f>
        <v>0</v>
      </c>
      <c r="AQ209" s="8" t="s">
        <v>15</v>
      </c>
      <c r="AR209" s="8" t="s">
        <v>59</v>
      </c>
    </row>
    <row r="210" spans="1:66" ht="25" customHeight="1" x14ac:dyDescent="0.2">
      <c r="A210" s="76" t="s">
        <v>310</v>
      </c>
      <c r="B210" s="8" t="s">
        <v>312</v>
      </c>
      <c r="C210" s="29">
        <f>DATE(2014,10,2)</f>
        <v>41914</v>
      </c>
      <c r="D210" s="1">
        <v>41914</v>
      </c>
      <c r="E210" s="31">
        <v>19</v>
      </c>
      <c r="F210" s="4">
        <v>18.899999999999999</v>
      </c>
      <c r="G210" s="37">
        <f t="shared" si="12"/>
        <v>-5.2631578947369695E-3</v>
      </c>
      <c r="H210" s="37">
        <f>G210-VLOOKUP(D210,'NO index'!$A$1:$E$5365,5,FALSE)</f>
        <v>2.3346370003775371E-2</v>
      </c>
      <c r="I210" s="8">
        <v>4</v>
      </c>
      <c r="K210" s="7">
        <v>576</v>
      </c>
      <c r="L210" s="60">
        <f>K210*'NO CPI'!$D$14</f>
        <v>611.21808800472922</v>
      </c>
      <c r="M210" s="31">
        <f t="shared" si="13"/>
        <v>6.415453831662985</v>
      </c>
      <c r="N210" s="31"/>
      <c r="O210" s="31"/>
      <c r="P210" s="2">
        <f t="shared" si="14"/>
        <v>0</v>
      </c>
      <c r="Q210" s="1">
        <v>41927</v>
      </c>
      <c r="R210" s="5">
        <f>VLOOKUP(Q210,Sentiment!$A$3:$B$199,2,FALSE)</f>
        <v>-11.3</v>
      </c>
      <c r="S210" s="106">
        <v>1</v>
      </c>
      <c r="T210" s="37">
        <f>VLOOKUP(D210,'NO index'!$A$2:$G$5365,6,FALSE)</f>
        <v>-3.1913080875041869E-2</v>
      </c>
      <c r="U210" s="37">
        <f>VLOOKUP(D210,'NO index'!$A$2:$G$5365,7,FALSE)</f>
        <v>7.6473308888030337E-3</v>
      </c>
      <c r="V210" s="8" t="s">
        <v>72</v>
      </c>
      <c r="W210" s="5">
        <v>36</v>
      </c>
      <c r="X210" s="7">
        <v>28</v>
      </c>
      <c r="Y210" s="31">
        <v>21</v>
      </c>
      <c r="Z210" s="31">
        <v>19</v>
      </c>
      <c r="AA210" s="7">
        <f>IF(AC210="FIXED",0,IF(E210&gt;W210,1,0))</f>
        <v>0</v>
      </c>
      <c r="AB210" s="7">
        <f>IF(AC210="FIXED",0,IF(E210&lt;X210,1,0))</f>
        <v>1</v>
      </c>
      <c r="AC210" s="4" t="s">
        <v>73</v>
      </c>
      <c r="AD210" s="8" t="s">
        <v>17</v>
      </c>
      <c r="AE210" s="8">
        <f t="shared" si="15"/>
        <v>0</v>
      </c>
      <c r="AF210" s="58">
        <v>36315790</v>
      </c>
      <c r="AG210" s="58">
        <f>AF210*E210</f>
        <v>690000010</v>
      </c>
      <c r="AH210" s="8" t="s">
        <v>66</v>
      </c>
      <c r="AI210" s="8">
        <v>0</v>
      </c>
      <c r="AJ210" s="8">
        <v>1</v>
      </c>
      <c r="AK210" s="29">
        <f>DATE(2007,4,1)</f>
        <v>39173</v>
      </c>
      <c r="AL210" s="7">
        <f>LN(DATEDIF(AK210,D210,"y")+1)</f>
        <v>2.0794415416798357</v>
      </c>
      <c r="AM210" s="45">
        <f>DATEDIF(AK210,D210,"y")</f>
        <v>7</v>
      </c>
      <c r="AN210" s="8" t="s">
        <v>311</v>
      </c>
      <c r="AO210" s="35">
        <v>3674</v>
      </c>
      <c r="AP210" s="36">
        <f>IFERROR(VLOOKUP(AO210,'Tech SIC'!$A$2:$B$35,2,FALSE),0)</f>
        <v>1</v>
      </c>
      <c r="AQ210" s="8" t="s">
        <v>15</v>
      </c>
      <c r="AR210" s="8" t="s">
        <v>50</v>
      </c>
    </row>
    <row r="211" spans="1:66" ht="25" customHeight="1" x14ac:dyDescent="0.2">
      <c r="A211" s="76" t="s">
        <v>313</v>
      </c>
      <c r="B211" s="8" t="s">
        <v>315</v>
      </c>
      <c r="C211" s="29">
        <f>DATE(2014,10,8)</f>
        <v>41920</v>
      </c>
      <c r="D211" s="1">
        <v>41915</v>
      </c>
      <c r="E211" s="31">
        <v>58</v>
      </c>
      <c r="F211" s="4">
        <v>62</v>
      </c>
      <c r="G211" s="37">
        <f t="shared" si="12"/>
        <v>6.8965517241379226E-2</v>
      </c>
      <c r="H211" s="37">
        <f>G211-VLOOKUP(D211,'NO index'!$A$1:$E$5365,5,FALSE)</f>
        <v>7.1646839389314487E-2</v>
      </c>
      <c r="I211" s="8">
        <v>4</v>
      </c>
      <c r="K211" s="7">
        <v>783.1</v>
      </c>
      <c r="L211" s="60">
        <f>K211*'NO CPI'!$D$14</f>
        <v>830.98070263281852</v>
      </c>
      <c r="M211" s="31">
        <f t="shared" si="13"/>
        <v>6.7226065727239854</v>
      </c>
      <c r="N211" s="31"/>
      <c r="O211" s="31"/>
      <c r="P211" s="2">
        <f t="shared" si="14"/>
        <v>1</v>
      </c>
      <c r="Q211" s="1">
        <v>41927</v>
      </c>
      <c r="R211" s="5">
        <f>VLOOKUP(Q211,Sentiment!$A$3:$B$199,2,FALSE)</f>
        <v>-11.3</v>
      </c>
      <c r="S211" s="106">
        <v>1</v>
      </c>
      <c r="T211" s="37">
        <f>VLOOKUP(D211,'NO index'!$A$2:$G$5365,6,FALSE)</f>
        <v>-4.086152198934806E-2</v>
      </c>
      <c r="U211" s="37">
        <f>VLOOKUP(D211,'NO index'!$A$2:$G$5365,7,FALSE)</f>
        <v>7.5188896036486076E-3</v>
      </c>
      <c r="V211" s="8" t="s">
        <v>72</v>
      </c>
      <c r="W211" s="5">
        <v>65</v>
      </c>
      <c r="X211" s="7">
        <v>45</v>
      </c>
      <c r="Y211" s="31">
        <v>62</v>
      </c>
      <c r="Z211" s="31">
        <v>57</v>
      </c>
      <c r="AA211" s="7">
        <f>IF(AC211="FIXED",0,IF(E211&gt;W211,1,0))</f>
        <v>0</v>
      </c>
      <c r="AB211" s="7">
        <f>IF(AC211="FIXED",0,IF(E211&lt;X211,1,0))</f>
        <v>0</v>
      </c>
      <c r="AC211" s="4" t="s">
        <v>73</v>
      </c>
      <c r="AD211" s="8" t="s">
        <v>10</v>
      </c>
      <c r="AE211" s="8">
        <f t="shared" si="15"/>
        <v>0</v>
      </c>
      <c r="AF211" s="58">
        <v>45652174</v>
      </c>
      <c r="AG211" s="58">
        <f>AF211*E211</f>
        <v>2647826092</v>
      </c>
      <c r="AH211" s="8" t="s">
        <v>317</v>
      </c>
      <c r="AI211" s="8">
        <v>1</v>
      </c>
      <c r="AJ211" s="8">
        <v>1</v>
      </c>
      <c r="AK211" s="29">
        <f>DATE(2001,1,1)</f>
        <v>36892</v>
      </c>
      <c r="AL211" s="7">
        <f>LN(DATEDIF(AK211,D211,"y")+1)</f>
        <v>2.6390573296152584</v>
      </c>
      <c r="AM211" s="45">
        <f>DATEDIF(AK211,D211,"y")</f>
        <v>13</v>
      </c>
      <c r="AN211" s="8" t="s">
        <v>314</v>
      </c>
      <c r="AO211" s="35">
        <v>5941</v>
      </c>
      <c r="AP211" s="36">
        <f>IFERROR(VLOOKUP(AO211,'Tech SIC'!$A$2:$B$35,2,FALSE),0)</f>
        <v>0</v>
      </c>
      <c r="AQ211" s="8" t="s">
        <v>316</v>
      </c>
      <c r="AR211" s="8" t="s">
        <v>50</v>
      </c>
    </row>
    <row r="212" spans="1:66" ht="25" customHeight="1" x14ac:dyDescent="0.2">
      <c r="A212" s="76" t="s">
        <v>318</v>
      </c>
      <c r="B212" s="8" t="s">
        <v>320</v>
      </c>
      <c r="C212" s="29">
        <f>DATE(2014,10,17)</f>
        <v>41929</v>
      </c>
      <c r="D212" s="1">
        <v>41929</v>
      </c>
      <c r="E212" s="31">
        <v>65</v>
      </c>
      <c r="F212" s="4">
        <v>67</v>
      </c>
      <c r="G212" s="37">
        <f t="shared" si="12"/>
        <v>3.076923076923066E-2</v>
      </c>
      <c r="H212" s="37">
        <f>G212-VLOOKUP(D212,'NO index'!$A$1:$E$5365,5,FALSE)</f>
        <v>-8.0376235304770033E-3</v>
      </c>
      <c r="I212" s="8">
        <v>4</v>
      </c>
      <c r="K212" s="7">
        <v>4636.1000000000004</v>
      </c>
      <c r="L212" s="60">
        <f>K212*'NO CPI'!$D$14</f>
        <v>4919.5628086783427</v>
      </c>
      <c r="M212" s="31">
        <f t="shared" si="13"/>
        <v>8.5009749455133417</v>
      </c>
      <c r="N212" s="60"/>
      <c r="O212" s="60"/>
      <c r="P212" s="2">
        <f t="shared" si="14"/>
        <v>0</v>
      </c>
      <c r="Q212" s="1">
        <v>41927</v>
      </c>
      <c r="R212" s="5">
        <f>VLOOKUP(Q212,Sentiment!$A$3:$B$199,2,FALSE)</f>
        <v>-11.3</v>
      </c>
      <c r="S212" s="106">
        <v>1</v>
      </c>
      <c r="T212" s="37">
        <f>VLOOKUP(D212,'NO index'!$A$2:$G$5365,6,FALSE)</f>
        <v>-0.10684093547897587</v>
      </c>
      <c r="U212" s="37">
        <f>VLOOKUP(D212,'NO index'!$A$2:$G$5365,7,FALSE)</f>
        <v>1.2808491400654074E-2</v>
      </c>
      <c r="V212" s="8" t="s">
        <v>72</v>
      </c>
      <c r="W212" s="5">
        <v>65</v>
      </c>
      <c r="X212" s="7">
        <v>63</v>
      </c>
      <c r="Y212" s="31">
        <v>65</v>
      </c>
      <c r="Z212" s="31">
        <v>65</v>
      </c>
      <c r="AA212" s="7">
        <f>IF(AC212="FIXED",0,IF(E212&gt;W212,1,0))</f>
        <v>0</v>
      </c>
      <c r="AB212" s="7">
        <f>IF(AC212="FIXED",0,IF(E212&lt;X212,1,0))</f>
        <v>0</v>
      </c>
      <c r="AC212" s="4" t="s">
        <v>73</v>
      </c>
      <c r="AD212" s="8" t="s">
        <v>17</v>
      </c>
      <c r="AE212" s="8">
        <f t="shared" si="15"/>
        <v>0</v>
      </c>
      <c r="AF212" s="58">
        <v>80468227</v>
      </c>
      <c r="AG212" s="58">
        <f>AF212*E212</f>
        <v>5230434755</v>
      </c>
      <c r="AH212" s="8" t="s">
        <v>321</v>
      </c>
      <c r="AI212" s="8">
        <v>1</v>
      </c>
      <c r="AJ212" s="8">
        <v>1</v>
      </c>
      <c r="AK212" s="29">
        <v>36526</v>
      </c>
      <c r="AL212" s="7">
        <f>LN(DATEDIF(AK212,D212,"y")+1)</f>
        <v>2.7080502011022101</v>
      </c>
      <c r="AM212" s="45">
        <f>DATEDIF(AK212,D212,"y")</f>
        <v>14</v>
      </c>
      <c r="AN212" s="8" t="s">
        <v>319</v>
      </c>
      <c r="AO212" s="35">
        <v>6531</v>
      </c>
      <c r="AP212" s="36">
        <f>IFERROR(VLOOKUP(AO212,'Tech SIC'!$A$2:$B$35,2,FALSE),0)</f>
        <v>0</v>
      </c>
      <c r="AQ212" s="8" t="s">
        <v>211</v>
      </c>
      <c r="AR212" s="8" t="s">
        <v>50</v>
      </c>
    </row>
    <row r="213" spans="1:66" ht="25" customHeight="1" x14ac:dyDescent="0.2">
      <c r="A213" s="76" t="s">
        <v>322</v>
      </c>
      <c r="B213" s="8" t="s">
        <v>323</v>
      </c>
      <c r="C213" s="29">
        <f>DATE(2014,12,16)</f>
        <v>41989</v>
      </c>
      <c r="D213" s="1">
        <v>41989</v>
      </c>
      <c r="E213" s="31">
        <v>47</v>
      </c>
      <c r="F213" s="4">
        <v>45.8</v>
      </c>
      <c r="G213" s="37">
        <f t="shared" si="12"/>
        <v>-2.5531914893617058E-2</v>
      </c>
      <c r="H213" s="37">
        <f>G213-VLOOKUP(D213,'NO index'!$A$1:$E$5365,5,FALSE)</f>
        <v>-1.4751863871982676E-2</v>
      </c>
      <c r="I213" s="8">
        <v>4</v>
      </c>
      <c r="K213" s="7">
        <v>345.6</v>
      </c>
      <c r="L213" s="60">
        <f>K213*'NO CPI'!$D$14</f>
        <v>366.73085280283755</v>
      </c>
      <c r="M213" s="31">
        <f t="shared" si="13"/>
        <v>5.9046282078969945</v>
      </c>
      <c r="N213" s="31"/>
      <c r="O213" s="31"/>
      <c r="P213" s="2">
        <f t="shared" si="14"/>
        <v>0</v>
      </c>
      <c r="Q213" s="1">
        <v>41988</v>
      </c>
      <c r="R213" s="5">
        <f>VLOOKUP(Q213,Sentiment!$A$3:$B$199,2,FALSE)</f>
        <v>-11.1</v>
      </c>
      <c r="S213" s="106">
        <v>1</v>
      </c>
      <c r="T213" s="37">
        <f>VLOOKUP(D213,'NO index'!$A$2:$G$5365,6,FALSE)</f>
        <v>-9.0233901830519103E-2</v>
      </c>
      <c r="U213" s="37">
        <f>VLOOKUP(D213,'NO index'!$A$2:$G$5365,7,FALSE)</f>
        <v>1.1067237463157489E-2</v>
      </c>
      <c r="V213" s="8" t="s">
        <v>72</v>
      </c>
      <c r="W213" s="5">
        <v>53</v>
      </c>
      <c r="X213" s="7">
        <v>39</v>
      </c>
      <c r="Y213" s="31">
        <v>47</v>
      </c>
      <c r="Z213" s="31">
        <v>47</v>
      </c>
      <c r="AA213" s="7">
        <f>IF(AC213="FIXED",0,IF(E213&gt;W213,1,0))</f>
        <v>0</v>
      </c>
      <c r="AB213" s="7">
        <f>IF(AC213="FIXED",0,IF(E213&lt;X213,1,0))</f>
        <v>0</v>
      </c>
      <c r="AC213" s="4" t="s">
        <v>73</v>
      </c>
      <c r="AD213" s="8" t="s">
        <v>17</v>
      </c>
      <c r="AE213" s="8">
        <f t="shared" si="15"/>
        <v>0</v>
      </c>
      <c r="AF213" s="58">
        <v>17820158</v>
      </c>
      <c r="AG213" s="58">
        <f>AF213*E213</f>
        <v>837547426</v>
      </c>
      <c r="AH213" s="8" t="s">
        <v>324</v>
      </c>
      <c r="AI213" s="8">
        <v>0</v>
      </c>
      <c r="AJ213" s="8">
        <v>1</v>
      </c>
      <c r="AK213" s="29">
        <f>DATE(2000,1,1)</f>
        <v>36526</v>
      </c>
      <c r="AL213" s="7">
        <f>LN(DATEDIF(AK213,D213,"y")+1)</f>
        <v>2.7080502011022101</v>
      </c>
      <c r="AM213" s="45">
        <f>DATEDIF(AK213,D213,"y")</f>
        <v>14</v>
      </c>
      <c r="AN213" s="8" t="s">
        <v>61</v>
      </c>
      <c r="AO213" s="35">
        <v>4953</v>
      </c>
      <c r="AP213" s="36">
        <f>IFERROR(VLOOKUP(AO213,'Tech SIC'!$A$2:$B$35,2,FALSE),0)</f>
        <v>0</v>
      </c>
      <c r="AQ213" s="8" t="s">
        <v>62</v>
      </c>
      <c r="AR213" s="8" t="s">
        <v>50</v>
      </c>
    </row>
    <row r="214" spans="1:66" ht="25" customHeight="1" x14ac:dyDescent="0.2">
      <c r="A214" s="79" t="s">
        <v>325</v>
      </c>
      <c r="B214" s="8" t="s">
        <v>326</v>
      </c>
      <c r="C214" s="29">
        <f>DATE(2015,3,23)</f>
        <v>42086</v>
      </c>
      <c r="D214" s="1">
        <v>42086</v>
      </c>
      <c r="E214" s="31">
        <v>32</v>
      </c>
      <c r="F214" s="4">
        <v>34.5</v>
      </c>
      <c r="G214" s="37">
        <f t="shared" si="12"/>
        <v>7.8125E-2</v>
      </c>
      <c r="H214" s="37">
        <f>G214-VLOOKUP(D214,'NO index'!$A$1:$E$5365,5,FALSE)</f>
        <v>7.9651810294091421E-2</v>
      </c>
      <c r="I214" s="8">
        <v>4</v>
      </c>
      <c r="K214" s="7">
        <v>46.3</v>
      </c>
      <c r="L214" s="60">
        <f>K214*'NO CPI'!$D$15</f>
        <v>48.288431778286494</v>
      </c>
      <c r="M214" s="31">
        <f t="shared" si="13"/>
        <v>3.8771920242760465</v>
      </c>
      <c r="N214" s="31"/>
      <c r="O214" s="31"/>
      <c r="P214" s="2">
        <f t="shared" si="14"/>
        <v>0</v>
      </c>
      <c r="Q214" s="1">
        <v>42078</v>
      </c>
      <c r="R214" s="5">
        <f>VLOOKUP(Q214,Sentiment!$A$3:$B$199,2,FALSE)</f>
        <v>-3.7</v>
      </c>
      <c r="S214" s="106">
        <v>1</v>
      </c>
      <c r="T214" s="37">
        <f>VLOOKUP(D214,'NO index'!$A$2:$G$5365,6,FALSE)</f>
        <v>6.7159028049710145E-3</v>
      </c>
      <c r="U214" s="37">
        <f>VLOOKUP(D214,'NO index'!$A$2:$G$5365,7,FALSE)</f>
        <v>9.0482018154499598E-3</v>
      </c>
      <c r="V214" s="8" t="s">
        <v>72</v>
      </c>
      <c r="W214" s="5">
        <v>33</v>
      </c>
      <c r="X214" s="7">
        <v>27</v>
      </c>
      <c r="Y214" s="31">
        <v>32</v>
      </c>
      <c r="Z214" s="31">
        <v>31</v>
      </c>
      <c r="AA214" s="7">
        <f>IF(AC214="FIXED",0,IF(E214&gt;W214,1,0))</f>
        <v>0</v>
      </c>
      <c r="AB214" s="7">
        <f>IF(AC214="FIXED",0,IF(E214&lt;X214,1,0))</f>
        <v>0</v>
      </c>
      <c r="AC214" s="4" t="s">
        <v>73</v>
      </c>
      <c r="AD214" s="8" t="s">
        <v>17</v>
      </c>
      <c r="AE214" s="8">
        <f t="shared" si="15"/>
        <v>0</v>
      </c>
      <c r="AF214" s="58">
        <v>15625000</v>
      </c>
      <c r="AG214" s="58">
        <f>AF214*E214</f>
        <v>500000000</v>
      </c>
      <c r="AH214" s="8" t="s">
        <v>327</v>
      </c>
      <c r="AI214" s="8">
        <v>0</v>
      </c>
      <c r="AJ214" s="8">
        <v>1</v>
      </c>
      <c r="AK214" s="29">
        <f>DATE(2009,1,1)</f>
        <v>39814</v>
      </c>
      <c r="AL214" s="7">
        <f>LN(DATEDIF(AK214,D214,"y")+1)</f>
        <v>1.9459101490553132</v>
      </c>
      <c r="AM214" s="45">
        <f>DATEDIF(AK214,D214,"y")</f>
        <v>6</v>
      </c>
      <c r="AN214" s="8" t="s">
        <v>82</v>
      </c>
      <c r="AO214" s="35">
        <v>2834</v>
      </c>
      <c r="AP214" s="36">
        <f>IFERROR(VLOOKUP(AO214,'Tech SIC'!$A$2:$B$35,2,FALSE),0)</f>
        <v>0</v>
      </c>
      <c r="AQ214" s="8" t="s">
        <v>15</v>
      </c>
      <c r="AR214" s="8" t="s">
        <v>50</v>
      </c>
    </row>
    <row r="215" spans="1:66" ht="25" customHeight="1" x14ac:dyDescent="0.2">
      <c r="A215" s="76" t="s">
        <v>328</v>
      </c>
      <c r="B215" s="8" t="s">
        <v>330</v>
      </c>
      <c r="C215" s="29">
        <f>DATE(2015,5,22)</f>
        <v>42146</v>
      </c>
      <c r="D215" s="1">
        <v>42146</v>
      </c>
      <c r="E215" s="31">
        <v>78</v>
      </c>
      <c r="F215" s="4">
        <v>92.75</v>
      </c>
      <c r="G215" s="37">
        <f t="shared" si="12"/>
        <v>0.1891025641025641</v>
      </c>
      <c r="H215" s="37">
        <f>G215-VLOOKUP(D215,'NO index'!$A$1:$E$5365,5,FALSE)</f>
        <v>0.19032761956082514</v>
      </c>
      <c r="I215" s="8">
        <v>4</v>
      </c>
      <c r="K215" s="7">
        <v>154.30000000000001</v>
      </c>
      <c r="L215" s="60">
        <f>K215*'NO CPI'!$D$15</f>
        <v>160.92667437126582</v>
      </c>
      <c r="M215" s="31">
        <f t="shared" si="13"/>
        <v>5.0809488225529735</v>
      </c>
      <c r="N215" s="31"/>
      <c r="O215" s="31"/>
      <c r="P215" s="2">
        <f t="shared" si="14"/>
        <v>0</v>
      </c>
      <c r="Q215" s="1">
        <v>42139</v>
      </c>
      <c r="R215" s="5">
        <f>VLOOKUP(Q215,Sentiment!$A$3:$B$199,2,FALSE)</f>
        <v>-5.6000000000000005</v>
      </c>
      <c r="S215" s="106">
        <v>1</v>
      </c>
      <c r="T215" s="37">
        <f>VLOOKUP(D215,'NO index'!$A$2:$G$5365,6,FALSE)</f>
        <v>6.3119087980587889E-3</v>
      </c>
      <c r="U215" s="37">
        <f>VLOOKUP(D215,'NO index'!$A$2:$G$5365,7,FALSE)</f>
        <v>9.2769541593739312E-3</v>
      </c>
      <c r="V215" s="8" t="s">
        <v>72</v>
      </c>
      <c r="W215" s="5">
        <v>78</v>
      </c>
      <c r="X215" s="7">
        <v>75</v>
      </c>
      <c r="Y215" s="31">
        <v>78</v>
      </c>
      <c r="Z215" s="31">
        <v>75</v>
      </c>
      <c r="AA215" s="7">
        <f>IF(AC215="FIXED",0,IF(E215&gt;W215,1,0))</f>
        <v>0</v>
      </c>
      <c r="AB215" s="7">
        <f>IF(AC215="FIXED",0,IF(E215&lt;X215,1,0))</f>
        <v>0</v>
      </c>
      <c r="AC215" s="4" t="s">
        <v>73</v>
      </c>
      <c r="AD215" s="8" t="s">
        <v>10</v>
      </c>
      <c r="AE215" s="8">
        <f t="shared" si="15"/>
        <v>0</v>
      </c>
      <c r="AF215" s="58">
        <v>10600000</v>
      </c>
      <c r="AG215" s="58">
        <f>AF215*E215</f>
        <v>826800000</v>
      </c>
      <c r="AH215" s="8" t="s">
        <v>331</v>
      </c>
      <c r="AI215" s="8">
        <v>0</v>
      </c>
      <c r="AJ215" s="8">
        <v>1</v>
      </c>
      <c r="AK215" s="29">
        <v>2923</v>
      </c>
      <c r="AL215" s="7">
        <f>LN(DATEDIF(AK215,D215,"y")+1)</f>
        <v>4.6821312271242199</v>
      </c>
      <c r="AM215" s="45">
        <f>DATEDIF(AK215,D215,"y")</f>
        <v>107</v>
      </c>
      <c r="AN215" s="8" t="s">
        <v>329</v>
      </c>
      <c r="AO215" s="35">
        <v>8711</v>
      </c>
      <c r="AP215" s="36">
        <f>IFERROR(VLOOKUP(AO215,'Tech SIC'!$A$2:$B$35,2,FALSE),0)</f>
        <v>0</v>
      </c>
      <c r="AQ215" s="8" t="s">
        <v>13</v>
      </c>
      <c r="AR215" s="8" t="s">
        <v>50</v>
      </c>
    </row>
    <row r="216" spans="1:66" ht="25" customHeight="1" x14ac:dyDescent="0.2">
      <c r="A216" s="79" t="s">
        <v>332</v>
      </c>
      <c r="B216" s="8" t="s">
        <v>334</v>
      </c>
      <c r="C216" s="29">
        <f>DATE(2015,6,19)</f>
        <v>42174</v>
      </c>
      <c r="D216" s="1">
        <v>42174</v>
      </c>
      <c r="E216" s="31">
        <v>45</v>
      </c>
      <c r="F216" s="4">
        <v>43</v>
      </c>
      <c r="G216" s="37">
        <f t="shared" si="12"/>
        <v>-4.4444444444444398E-2</v>
      </c>
      <c r="H216" s="37">
        <f>G216-VLOOKUP(D216,'NO index'!$A$1:$E$5365,5,FALSE)</f>
        <v>-4.9875139247246028E-2</v>
      </c>
      <c r="I216" s="8">
        <v>4</v>
      </c>
      <c r="K216" s="7">
        <v>472.3</v>
      </c>
      <c r="L216" s="60">
        <f>K216*'NO CPI'!$D$15</f>
        <v>492.58372200614934</v>
      </c>
      <c r="M216" s="31">
        <f t="shared" si="13"/>
        <v>6.1996644400859298</v>
      </c>
      <c r="N216" s="31"/>
      <c r="O216" s="31"/>
      <c r="P216" s="2">
        <f t="shared" si="14"/>
        <v>0</v>
      </c>
      <c r="Q216" s="1">
        <v>42170</v>
      </c>
      <c r="R216" s="5">
        <f>VLOOKUP(Q216,Sentiment!$A$3:$B$199,2,FALSE)</f>
        <v>-5.6000000000000005</v>
      </c>
      <c r="S216" s="106">
        <v>1</v>
      </c>
      <c r="T216" s="37">
        <f>VLOOKUP(D216,'NO index'!$A$2:$G$5365,6,FALSE)</f>
        <v>-1.4483969813040877E-2</v>
      </c>
      <c r="U216" s="37">
        <f>VLOOKUP(D216,'NO index'!$A$2:$G$5365,7,FALSE)</f>
        <v>7.7509356246665776E-3</v>
      </c>
      <c r="V216" s="8" t="s">
        <v>72</v>
      </c>
      <c r="W216" s="5">
        <v>53</v>
      </c>
      <c r="X216" s="7">
        <v>43</v>
      </c>
      <c r="Y216" s="31">
        <v>53</v>
      </c>
      <c r="Z216" s="31">
        <v>43</v>
      </c>
      <c r="AA216" s="7">
        <f>IF(AC216="FIXED",0,IF(E216&gt;W216,1,0))</f>
        <v>0</v>
      </c>
      <c r="AB216" s="7">
        <f>IF(AC216="FIXED",0,IF(E216&lt;X216,1,0))</f>
        <v>0</v>
      </c>
      <c r="AC216" s="4" t="s">
        <v>73</v>
      </c>
      <c r="AD216" s="8" t="s">
        <v>10</v>
      </c>
      <c r="AE216" s="8">
        <f t="shared" si="15"/>
        <v>0</v>
      </c>
      <c r="AF216" s="58">
        <v>83484444</v>
      </c>
      <c r="AG216" s="58">
        <f>AF216*E216</f>
        <v>3756799980</v>
      </c>
      <c r="AH216" s="8" t="s">
        <v>335</v>
      </c>
      <c r="AI216" s="8">
        <v>1</v>
      </c>
      <c r="AJ216" s="8">
        <v>1</v>
      </c>
      <c r="AK216" s="29">
        <v>33604</v>
      </c>
      <c r="AL216" s="7">
        <f>LN(DATEDIF(AK216,D216,"y")+1)</f>
        <v>3.1780538303479458</v>
      </c>
      <c r="AM216" s="45">
        <f>DATEDIF(AK216,D216,"y")</f>
        <v>23</v>
      </c>
      <c r="AN216" s="8" t="s">
        <v>333</v>
      </c>
      <c r="AO216" s="35">
        <v>5311</v>
      </c>
      <c r="AP216" s="36">
        <f>IFERROR(VLOOKUP(AO216,'Tech SIC'!$A$2:$B$35,2,FALSE),0)</f>
        <v>0</v>
      </c>
      <c r="AQ216" s="8" t="s">
        <v>316</v>
      </c>
      <c r="AR216" s="8" t="s">
        <v>50</v>
      </c>
    </row>
    <row r="217" spans="1:66" ht="25" customHeight="1" x14ac:dyDescent="0.2">
      <c r="A217" s="76" t="s">
        <v>339</v>
      </c>
      <c r="B217" s="8" t="s">
        <v>341</v>
      </c>
      <c r="C217" s="29">
        <f>DATE(2015,11,2)</f>
        <v>42310</v>
      </c>
      <c r="D217" s="1">
        <v>42310</v>
      </c>
      <c r="E217" s="31">
        <v>46</v>
      </c>
      <c r="F217" s="4">
        <v>43.5</v>
      </c>
      <c r="G217" s="37">
        <f t="shared" si="12"/>
        <v>-5.4347826086956541E-2</v>
      </c>
      <c r="H217" s="37">
        <f>G217-VLOOKUP(D217,'NO index'!$A$1:$E$5365,5,FALSE)</f>
        <v>-5.9685280228127906E-2</v>
      </c>
      <c r="I217" s="8">
        <v>4</v>
      </c>
      <c r="K217" s="7">
        <v>7324.3</v>
      </c>
      <c r="L217" s="60">
        <f>K217*'NO CPI'!$D$15</f>
        <v>7638.8544465162813</v>
      </c>
      <c r="M217" s="31">
        <f t="shared" si="13"/>
        <v>8.941002929362746</v>
      </c>
      <c r="N217" s="60"/>
      <c r="O217" s="60"/>
      <c r="P217" s="2">
        <f t="shared" si="14"/>
        <v>0</v>
      </c>
      <c r="Q217" s="1">
        <v>42323</v>
      </c>
      <c r="R217" s="5">
        <f>VLOOKUP(Q217,Sentiment!$A$3:$B$199,2,FALSE)</f>
        <v>-6</v>
      </c>
      <c r="S217" s="107">
        <v>1</v>
      </c>
      <c r="T217" s="37">
        <f>VLOOKUP(D217,'NO index'!$A$2:$G$5365,6,FALSE)</f>
        <v>6.719587122126415E-2</v>
      </c>
      <c r="U217" s="37">
        <f>VLOOKUP(D217,'NO index'!$A$2:$G$5365,7,FALSE)</f>
        <v>1.3765981153793783E-2</v>
      </c>
      <c r="V217" s="8" t="s">
        <v>72</v>
      </c>
      <c r="W217" s="5">
        <v>54</v>
      </c>
      <c r="X217" s="7">
        <v>43</v>
      </c>
      <c r="Y217" s="31">
        <v>48</v>
      </c>
      <c r="Z217" s="31">
        <v>45</v>
      </c>
      <c r="AA217" s="7">
        <f>IF(AC217="FIXED",0,IF(E217&gt;W217,1,0))</f>
        <v>0</v>
      </c>
      <c r="AB217" s="7">
        <f>IF(AC217="FIXED",0,IF(E217&lt;X217,1,0))</f>
        <v>0</v>
      </c>
      <c r="AC217" s="4" t="s">
        <v>73</v>
      </c>
      <c r="AD217" s="8" t="s">
        <v>10</v>
      </c>
      <c r="AE217" s="8">
        <f t="shared" si="15"/>
        <v>0</v>
      </c>
      <c r="AF217" s="58">
        <v>74575000</v>
      </c>
      <c r="AG217" s="58">
        <f>AF217*E217</f>
        <v>3430450000</v>
      </c>
      <c r="AH217" s="8" t="s">
        <v>343</v>
      </c>
      <c r="AI217" s="8">
        <v>0</v>
      </c>
      <c r="AJ217" s="8">
        <v>0</v>
      </c>
      <c r="AK217" s="29">
        <v>36526</v>
      </c>
      <c r="AL217" s="7">
        <f>LN(DATEDIF(AK217,D217,"y")+1)</f>
        <v>2.7725887222397811</v>
      </c>
      <c r="AM217" s="45">
        <f>DATEDIF(AK217,D217,"y")</f>
        <v>15</v>
      </c>
      <c r="AN217" s="8" t="s">
        <v>340</v>
      </c>
      <c r="AO217" s="35">
        <v>6000</v>
      </c>
      <c r="AP217" s="36">
        <f>IFERROR(VLOOKUP(AO217,'Tech SIC'!$A$2:$B$35,2,FALSE),0)</f>
        <v>0</v>
      </c>
      <c r="AQ217" s="8" t="s">
        <v>342</v>
      </c>
      <c r="AR217" s="8" t="s">
        <v>50</v>
      </c>
    </row>
    <row r="218" spans="1:66" ht="25" customHeight="1" x14ac:dyDescent="0.2">
      <c r="A218" s="76" t="s">
        <v>336</v>
      </c>
      <c r="B218" s="8" t="s">
        <v>338</v>
      </c>
      <c r="C218" s="29">
        <f>DATE(2015,11,2)</f>
        <v>42310</v>
      </c>
      <c r="D218" s="1">
        <v>42310</v>
      </c>
      <c r="E218" s="31">
        <v>31</v>
      </c>
      <c r="F218" s="4">
        <v>29.9</v>
      </c>
      <c r="G218" s="37">
        <f t="shared" si="12"/>
        <v>-3.5483870967741971E-2</v>
      </c>
      <c r="H218" s="37">
        <f>G218-VLOOKUP(D218,'NO index'!$A$1:$E$5365,5,FALSE)</f>
        <v>-4.0821325108913335E-2</v>
      </c>
      <c r="I218" s="8">
        <v>4</v>
      </c>
      <c r="K218" s="7">
        <v>223</v>
      </c>
      <c r="L218" s="60">
        <f>K218*'NO CPI'!$D$15</f>
        <v>232.57711202068876</v>
      </c>
      <c r="M218" s="31">
        <f t="shared" si="13"/>
        <v>5.4492218346439767</v>
      </c>
      <c r="N218" s="31"/>
      <c r="O218" s="31"/>
      <c r="P218" s="2">
        <f t="shared" si="14"/>
        <v>0</v>
      </c>
      <c r="Q218" s="1">
        <v>42323</v>
      </c>
      <c r="R218" s="5">
        <f>VLOOKUP(Q218,Sentiment!$A$3:$B$199,2,FALSE)</f>
        <v>-6</v>
      </c>
      <c r="S218" s="106">
        <v>1</v>
      </c>
      <c r="T218" s="37">
        <f>VLOOKUP(D218,'NO index'!$A$2:$G$5365,6,FALSE)</f>
        <v>6.719587122126415E-2</v>
      </c>
      <c r="U218" s="37">
        <f>VLOOKUP(D218,'NO index'!$A$2:$G$5365,7,FALSE)</f>
        <v>1.3765981153793783E-2</v>
      </c>
      <c r="V218" s="8" t="s">
        <v>72</v>
      </c>
      <c r="W218" s="5">
        <v>37</v>
      </c>
      <c r="X218" s="7">
        <v>31</v>
      </c>
      <c r="Y218" s="31">
        <v>31</v>
      </c>
      <c r="Z218" s="31">
        <v>31</v>
      </c>
      <c r="AA218" s="7">
        <f>IF(AC218="FIXED",0,IF(E218&gt;W218,1,0))</f>
        <v>0</v>
      </c>
      <c r="AB218" s="7">
        <f>IF(AC218="FIXED",0,IF(E218&lt;X218,1,0))</f>
        <v>0</v>
      </c>
      <c r="AC218" s="4" t="s">
        <v>73</v>
      </c>
      <c r="AD218" s="8" t="s">
        <v>10</v>
      </c>
      <c r="AE218" s="8">
        <f t="shared" si="15"/>
        <v>0</v>
      </c>
      <c r="AF218" s="58">
        <v>20645162</v>
      </c>
      <c r="AG218" s="58">
        <f>AF218*E218</f>
        <v>640000022</v>
      </c>
      <c r="AH218" s="8" t="s">
        <v>331</v>
      </c>
      <c r="AI218" s="8">
        <v>0</v>
      </c>
      <c r="AJ218" s="8">
        <v>1</v>
      </c>
      <c r="AK218" s="29">
        <v>13516</v>
      </c>
      <c r="AL218" s="7">
        <f>LN(DATEDIF(AK218,D218,"y")+1)</f>
        <v>4.3694478524670215</v>
      </c>
      <c r="AM218" s="45">
        <f>DATEDIF(AK218,D218,"y")</f>
        <v>78</v>
      </c>
      <c r="AN218" s="8" t="s">
        <v>337</v>
      </c>
      <c r="AO218" s="35">
        <v>5714</v>
      </c>
      <c r="AP218" s="36">
        <f>IFERROR(VLOOKUP(AO218,'Tech SIC'!$A$2:$B$35,2,FALSE),0)</f>
        <v>0</v>
      </c>
      <c r="AQ218" s="8" t="s">
        <v>316</v>
      </c>
      <c r="AR218" s="8" t="s">
        <v>50</v>
      </c>
    </row>
    <row r="219" spans="1:66" s="104" customFormat="1" ht="25" customHeight="1" x14ac:dyDescent="0.2">
      <c r="A219" s="76" t="s">
        <v>344</v>
      </c>
      <c r="B219" s="8" t="s">
        <v>346</v>
      </c>
      <c r="C219" s="29">
        <f>DATE(2016,6,8)</f>
        <v>42529</v>
      </c>
      <c r="D219" s="1">
        <v>42529</v>
      </c>
      <c r="E219" s="31">
        <v>12</v>
      </c>
      <c r="F219" s="4">
        <v>12.5</v>
      </c>
      <c r="G219" s="37">
        <f t="shared" si="12"/>
        <v>4.1666666666666741E-2</v>
      </c>
      <c r="H219" s="37">
        <f>G219-VLOOKUP(D219,'NO index'!$A$1:$E$5365,5,FALSE)</f>
        <v>3.9944631369916307E-2</v>
      </c>
      <c r="I219" s="8">
        <v>4</v>
      </c>
      <c r="J219" s="1"/>
      <c r="K219" s="7">
        <v>535</v>
      </c>
      <c r="L219" s="60">
        <f>K219*'NO CPI'!$D$16</f>
        <v>535</v>
      </c>
      <c r="M219" s="31">
        <f t="shared" si="13"/>
        <v>6.2822667468960063</v>
      </c>
      <c r="N219" s="31"/>
      <c r="O219" s="31"/>
      <c r="P219" s="2">
        <f t="shared" si="14"/>
        <v>0</v>
      </c>
      <c r="Q219" s="1">
        <v>42536</v>
      </c>
      <c r="R219" s="5">
        <f>VLOOKUP(Q219,Sentiment!$A$3:$B$199,2,FALSE)</f>
        <v>-7.3</v>
      </c>
      <c r="S219" s="106">
        <v>1</v>
      </c>
      <c r="T219" s="37">
        <f>VLOOKUP(D219,'NO index'!$A$2:$G$5365,6,FALSE)</f>
        <v>5.0081340773089192E-2</v>
      </c>
      <c r="U219" s="37">
        <f>VLOOKUP(D219,'NO index'!$A$2:$G$5365,7,FALSE)</f>
        <v>1.0069724065949331E-2</v>
      </c>
      <c r="V219" s="8" t="s">
        <v>72</v>
      </c>
      <c r="W219" s="5">
        <v>13.5</v>
      </c>
      <c r="X219" s="7">
        <v>11.5</v>
      </c>
      <c r="Y219" s="31">
        <v>13.5</v>
      </c>
      <c r="Z219" s="31">
        <v>11.25</v>
      </c>
      <c r="AA219" s="7">
        <f>IF(AC219="FIXED",0,IF(E219&gt;W219,1,0))</f>
        <v>0</v>
      </c>
      <c r="AB219" s="7">
        <f>IF(AC219="FIXED",0,IF(E219&lt;X219,1,0))</f>
        <v>0</v>
      </c>
      <c r="AC219" s="4" t="s">
        <v>73</v>
      </c>
      <c r="AD219" s="8" t="s">
        <v>17</v>
      </c>
      <c r="AE219" s="8">
        <f t="shared" si="15"/>
        <v>0</v>
      </c>
      <c r="AF219" s="58">
        <v>69416666</v>
      </c>
      <c r="AG219" s="58">
        <f>AF219*E219</f>
        <v>832999992</v>
      </c>
      <c r="AH219" s="8" t="s">
        <v>347</v>
      </c>
      <c r="AI219" s="8">
        <v>0</v>
      </c>
      <c r="AJ219" s="8">
        <v>1</v>
      </c>
      <c r="AK219" s="29">
        <v>40544</v>
      </c>
      <c r="AL219" s="7">
        <f>LN(DATEDIF(AK219,D219,"y")+1)</f>
        <v>1.791759469228055</v>
      </c>
      <c r="AM219" s="45">
        <f>DATEDIF(AK219,D219,"y")</f>
        <v>5</v>
      </c>
      <c r="AN219" s="8" t="s">
        <v>345</v>
      </c>
      <c r="AO219" s="35">
        <v>6282</v>
      </c>
      <c r="AP219" s="36">
        <f>IFERROR(VLOOKUP(AO219,'Tech SIC'!$A$2:$B$35,2,FALSE),0)</f>
        <v>0</v>
      </c>
      <c r="AQ219" s="8" t="s">
        <v>89</v>
      </c>
      <c r="AR219" s="8" t="s">
        <v>50</v>
      </c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</row>
    <row r="220" spans="1:66" s="104" customFormat="1" ht="25" customHeight="1" x14ac:dyDescent="0.2">
      <c r="A220" s="77" t="s">
        <v>348</v>
      </c>
      <c r="B220" s="33" t="s">
        <v>350</v>
      </c>
      <c r="C220" s="32">
        <f>DATE(2016,12,1)</f>
        <v>42705</v>
      </c>
      <c r="D220" s="1">
        <v>42705</v>
      </c>
      <c r="E220" s="61">
        <v>43</v>
      </c>
      <c r="F220" s="40">
        <v>43</v>
      </c>
      <c r="G220" s="37">
        <f t="shared" si="12"/>
        <v>0</v>
      </c>
      <c r="H220" s="37">
        <f>G220-VLOOKUP(D220,'NO index'!$A$1:$E$5365,5,FALSE)</f>
        <v>-1.096711596472065E-2</v>
      </c>
      <c r="I220" s="8">
        <v>4</v>
      </c>
      <c r="J220" s="1">
        <v>42732</v>
      </c>
      <c r="K220" s="7">
        <f>N220/(VLOOKUP(J220,'NO FX'!$A$3:$B$199,2,FALSE))</f>
        <v>498.94861577424859</v>
      </c>
      <c r="L220" s="60">
        <f>K220*'NO CPI'!$D$16</f>
        <v>498.94861577424859</v>
      </c>
      <c r="M220" s="31">
        <f t="shared" si="13"/>
        <v>6.2125031160489881</v>
      </c>
      <c r="N220" s="33">
        <v>4294.8</v>
      </c>
      <c r="O220" s="33" t="s">
        <v>799</v>
      </c>
      <c r="P220" s="2">
        <f t="shared" si="14"/>
        <v>0</v>
      </c>
      <c r="Q220" s="1">
        <v>42719</v>
      </c>
      <c r="R220" s="5">
        <f>VLOOKUP(Q220,Sentiment!$A$3:$B$199,2,FALSE)</f>
        <v>-5.2</v>
      </c>
      <c r="S220" s="106">
        <v>1</v>
      </c>
      <c r="T220" s="37">
        <f>VLOOKUP(D220,'NO index'!$A$2:$G$5365,6,FALSE)</f>
        <v>3.8896742915380998E-2</v>
      </c>
      <c r="U220" s="37">
        <f>VLOOKUP(D220,'NO index'!$A$2:$G$5365,7,FALSE)</f>
        <v>9.3999319615455743E-3</v>
      </c>
      <c r="V220" s="33" t="s">
        <v>72</v>
      </c>
      <c r="W220" s="20">
        <v>45</v>
      </c>
      <c r="X220" s="6">
        <v>39</v>
      </c>
      <c r="Y220" s="61">
        <v>43</v>
      </c>
      <c r="Z220" s="61">
        <v>43</v>
      </c>
      <c r="AA220" s="7">
        <f>IF(AC220="FIXED",0,IF(E220&gt;W220,1,0))</f>
        <v>0</v>
      </c>
      <c r="AB220" s="7">
        <f>IF(AC220="FIXED",0,IF(E220&lt;X220,1,0))</f>
        <v>0</v>
      </c>
      <c r="AC220" s="40" t="s">
        <v>73</v>
      </c>
      <c r="AD220" s="33" t="s">
        <v>10</v>
      </c>
      <c r="AE220" s="8">
        <f t="shared" si="15"/>
        <v>0</v>
      </c>
      <c r="AF220" s="30">
        <v>43352727</v>
      </c>
      <c r="AG220" s="58">
        <f>AF220*E220</f>
        <v>1864167261</v>
      </c>
      <c r="AH220" s="33" t="s">
        <v>351</v>
      </c>
      <c r="AI220" s="33">
        <v>0</v>
      </c>
      <c r="AJ220" s="33">
        <v>1</v>
      </c>
      <c r="AK220" s="32">
        <v>37987</v>
      </c>
      <c r="AL220" s="7">
        <f>LN(DATEDIF(AK220,D220,"y")+1)</f>
        <v>2.5649493574615367</v>
      </c>
      <c r="AM220" s="45">
        <f>DATEDIF(AK220,D220,"y")</f>
        <v>12</v>
      </c>
      <c r="AN220" s="33" t="s">
        <v>349</v>
      </c>
      <c r="AO220" s="34">
        <v>2085</v>
      </c>
      <c r="AP220" s="36">
        <f>IFERROR(VLOOKUP(AO220,'Tech SIC'!$A$2:$B$35,2,FALSE),0)</f>
        <v>0</v>
      </c>
      <c r="AQ220" s="33" t="s">
        <v>15</v>
      </c>
      <c r="AR220" s="33" t="s">
        <v>50</v>
      </c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</row>
    <row r="221" spans="1:66" ht="25" customHeight="1" x14ac:dyDescent="0.2">
      <c r="A221" s="76"/>
      <c r="B221" s="8"/>
      <c r="C221" s="8"/>
      <c r="E221" s="8"/>
      <c r="F221" s="33"/>
      <c r="G221" s="38"/>
      <c r="H221" s="38"/>
      <c r="K221" s="83"/>
      <c r="L221" s="38"/>
      <c r="M221" s="38"/>
      <c r="N221" s="38"/>
      <c r="O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N221" s="38"/>
      <c r="AO221" s="38"/>
      <c r="AP221" s="38"/>
      <c r="AQ221" s="8"/>
      <c r="AR221" s="8"/>
    </row>
    <row r="222" spans="1:66" ht="25" customHeight="1" x14ac:dyDescent="0.2">
      <c r="G222" s="129"/>
      <c r="H222" s="129"/>
      <c r="I222" s="51"/>
      <c r="J222" s="48"/>
      <c r="K222" s="49"/>
      <c r="N222" s="5"/>
      <c r="AG222" s="84"/>
    </row>
    <row r="223" spans="1:66" ht="25" customHeight="1" x14ac:dyDescent="0.2">
      <c r="F223" s="51"/>
      <c r="J223" s="126"/>
      <c r="L223" s="131"/>
      <c r="M223" s="131"/>
      <c r="N223" s="5"/>
      <c r="AG223" s="84"/>
      <c r="AH223" s="84"/>
    </row>
    <row r="224" spans="1:66" ht="25" customHeight="1" x14ac:dyDescent="0.2">
      <c r="F224" s="51"/>
      <c r="J224" s="126"/>
      <c r="L224" s="5"/>
      <c r="M224" s="5"/>
      <c r="N224" s="5"/>
      <c r="AG224" s="84"/>
      <c r="AH224" s="84"/>
    </row>
    <row r="225" spans="6:34" ht="25" customHeight="1" x14ac:dyDescent="0.2">
      <c r="F225" s="51"/>
      <c r="J225" s="126"/>
      <c r="L225" s="5"/>
      <c r="M225" s="5"/>
      <c r="N225" s="127"/>
      <c r="AG225" s="84"/>
      <c r="AH225" s="84"/>
    </row>
    <row r="226" spans="6:34" ht="25" customHeight="1" x14ac:dyDescent="0.2">
      <c r="F226" s="51"/>
      <c r="J226" s="126"/>
      <c r="L226" s="5"/>
      <c r="M226" s="5"/>
      <c r="N226" s="5"/>
      <c r="AG226" s="84"/>
      <c r="AH226" s="84"/>
    </row>
    <row r="227" spans="6:34" ht="25" customHeight="1" x14ac:dyDescent="0.2">
      <c r="F227" s="51"/>
      <c r="AG227" s="85"/>
    </row>
    <row r="228" spans="6:34" ht="25" customHeight="1" x14ac:dyDescent="0.2">
      <c r="AH228" s="86"/>
    </row>
    <row r="229" spans="6:34" ht="25" customHeight="1" x14ac:dyDescent="0.2">
      <c r="F229" s="71"/>
      <c r="G229" s="5"/>
      <c r="AH229" s="86"/>
    </row>
    <row r="230" spans="6:34" ht="25" customHeight="1" x14ac:dyDescent="0.2">
      <c r="F230" s="127"/>
      <c r="G230" s="128"/>
      <c r="H230" s="130"/>
      <c r="AH230" s="86"/>
    </row>
    <row r="231" spans="6:34" ht="25" customHeight="1" x14ac:dyDescent="0.2">
      <c r="F231" s="126"/>
      <c r="G231" s="128"/>
      <c r="AH231" s="86"/>
    </row>
    <row r="232" spans="6:34" ht="25" customHeight="1" x14ac:dyDescent="0.2">
      <c r="AH232" s="86"/>
    </row>
    <row r="233" spans="6:34" ht="25" customHeight="1" x14ac:dyDescent="0.2">
      <c r="AH233" s="86"/>
    </row>
    <row r="238" spans="6:34" ht="25" customHeight="1" x14ac:dyDescent="0.2">
      <c r="I238" s="86"/>
    </row>
    <row r="243" spans="9:9" ht="25" customHeight="1" x14ac:dyDescent="0.2">
      <c r="I243" s="86"/>
    </row>
  </sheetData>
  <sortState ref="A2:BY220">
    <sortCondition ref="I2:I220"/>
  </sortState>
  <printOptions gridLines="1"/>
  <pageMargins left="1.7999999523162842" right="1.7999999523162842" top="1.8999999761581421" bottom="1.8999999761581421" header="0.5" footer="0.5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workbookViewId="0">
      <selection activeCell="D15" sqref="D15"/>
    </sheetView>
  </sheetViews>
  <sheetFormatPr baseColWidth="10" defaultColWidth="20.6640625" defaultRowHeight="13" x14ac:dyDescent="0.15"/>
  <cols>
    <col min="1" max="16384" width="20.6640625" style="14"/>
  </cols>
  <sheetData>
    <row r="1" spans="1:5" x14ac:dyDescent="0.15">
      <c r="A1" s="18" t="s">
        <v>834</v>
      </c>
      <c r="B1" s="18" t="s">
        <v>840</v>
      </c>
      <c r="D1" s="14">
        <f>LN($B$188/B8)+1</f>
        <v>1.1710209284859645</v>
      </c>
      <c r="E1" s="14">
        <v>2001</v>
      </c>
    </row>
    <row r="2" spans="1:5" x14ac:dyDescent="0.15">
      <c r="A2" s="16">
        <v>36892</v>
      </c>
      <c r="B2" s="15">
        <v>86.52</v>
      </c>
      <c r="D2" s="14">
        <f>LN($B$188/B20)+1</f>
        <v>1.1512738490303769</v>
      </c>
      <c r="E2" s="14">
        <v>2002</v>
      </c>
    </row>
    <row r="3" spans="1:5" x14ac:dyDescent="0.15">
      <c r="A3" s="16">
        <v>36923</v>
      </c>
      <c r="B3" s="15">
        <v>86.83</v>
      </c>
      <c r="D3" s="14">
        <f>LN($B$188/B32)+1</f>
        <v>1.1347463683720838</v>
      </c>
      <c r="E3" s="14">
        <v>2003</v>
      </c>
    </row>
    <row r="4" spans="1:5" x14ac:dyDescent="0.15">
      <c r="A4" s="16">
        <v>36951</v>
      </c>
      <c r="B4" s="15">
        <v>87.48</v>
      </c>
      <c r="D4" s="14">
        <f>LN($B$188/B44)+1</f>
        <v>1.1286454669996162</v>
      </c>
      <c r="E4" s="14">
        <v>2004</v>
      </c>
    </row>
    <row r="5" spans="1:5" x14ac:dyDescent="0.15">
      <c r="A5" s="16">
        <v>36982</v>
      </c>
      <c r="B5" s="15">
        <v>88.24</v>
      </c>
      <c r="D5" s="14">
        <f>LN($B$188/B56)+1</f>
        <v>1.1252841192969114</v>
      </c>
      <c r="E5" s="14">
        <v>2005</v>
      </c>
    </row>
    <row r="6" spans="1:5" x14ac:dyDescent="0.15">
      <c r="A6" s="16">
        <v>37012</v>
      </c>
      <c r="B6" s="15">
        <v>88.83</v>
      </c>
      <c r="D6" s="14">
        <f>LN($B$188/B68)+1</f>
        <v>1.1083254645086587</v>
      </c>
      <c r="E6" s="14">
        <v>2006</v>
      </c>
    </row>
    <row r="7" spans="1:5" x14ac:dyDescent="0.15">
      <c r="A7" s="16">
        <v>37043</v>
      </c>
      <c r="B7" s="15">
        <v>88.71</v>
      </c>
      <c r="D7" s="14">
        <f>LN($B$188/B80)+1</f>
        <v>1.0898718380915557</v>
      </c>
      <c r="E7" s="14">
        <v>2007</v>
      </c>
    </row>
    <row r="8" spans="1:5" x14ac:dyDescent="0.15">
      <c r="A8" s="16">
        <v>37073</v>
      </c>
      <c r="B8" s="15">
        <v>88.25</v>
      </c>
      <c r="D8" s="14">
        <f>LN($B$188/B92)+1</f>
        <v>1.0493298953200059</v>
      </c>
      <c r="E8" s="14">
        <v>2008</v>
      </c>
    </row>
    <row r="9" spans="1:5" x14ac:dyDescent="0.15">
      <c r="A9" s="16">
        <v>37104</v>
      </c>
      <c r="B9" s="15">
        <v>88.47</v>
      </c>
      <c r="D9" s="14">
        <f>LN($B$188/B104)+1</f>
        <v>1.0614426910396599</v>
      </c>
      <c r="E9" s="14">
        <v>2009</v>
      </c>
    </row>
    <row r="10" spans="1:5" x14ac:dyDescent="0.15">
      <c r="A10" s="16">
        <v>37135</v>
      </c>
      <c r="B10" s="15">
        <v>89.21</v>
      </c>
      <c r="D10" s="14">
        <f>LN($B$188/B116)+1</f>
        <v>1.0507355180413984</v>
      </c>
      <c r="E10" s="14">
        <v>2010</v>
      </c>
    </row>
    <row r="11" spans="1:5" x14ac:dyDescent="0.15">
      <c r="A11" s="16">
        <v>37165</v>
      </c>
      <c r="B11" s="15">
        <v>88.97</v>
      </c>
      <c r="D11" s="14">
        <f>LN($B$188/B128)+1</f>
        <v>1.0178257839526004</v>
      </c>
      <c r="E11" s="14">
        <v>2011</v>
      </c>
    </row>
    <row r="12" spans="1:5" x14ac:dyDescent="0.15">
      <c r="A12" s="16">
        <v>37196</v>
      </c>
      <c r="B12" s="15">
        <v>89.01</v>
      </c>
      <c r="D12" s="14">
        <f>LN($B$188/B140)+1</f>
        <v>1.0110434694160337</v>
      </c>
      <c r="E12" s="14">
        <v>2012</v>
      </c>
    </row>
    <row r="13" spans="1:5" x14ac:dyDescent="0.15">
      <c r="A13" s="16">
        <v>37226</v>
      </c>
      <c r="B13" s="15">
        <v>89.09</v>
      </c>
      <c r="D13" s="14">
        <f>LN($B$188/B152)+1</f>
        <v>1.0100783115378102</v>
      </c>
      <c r="E13" s="14">
        <v>2013</v>
      </c>
    </row>
    <row r="14" spans="1:5" x14ac:dyDescent="0.15">
      <c r="A14" s="16">
        <v>37257</v>
      </c>
      <c r="B14" s="15">
        <v>88.87</v>
      </c>
      <c r="D14" s="14">
        <f>LN($B$188/B164)+1</f>
        <v>1.0096925090638891</v>
      </c>
      <c r="E14" s="14">
        <v>2014</v>
      </c>
    </row>
    <row r="15" spans="1:5" x14ac:dyDescent="0.15">
      <c r="A15" s="16">
        <v>37288</v>
      </c>
      <c r="B15" s="15">
        <v>89.08</v>
      </c>
      <c r="D15" s="14">
        <f>LN($B$188/B176)+1</f>
        <v>1.0104642629127283</v>
      </c>
      <c r="E15" s="14">
        <v>2015</v>
      </c>
    </row>
    <row r="16" spans="1:5" x14ac:dyDescent="0.15">
      <c r="A16" s="16">
        <v>37316</v>
      </c>
      <c r="B16" s="15">
        <v>89.85</v>
      </c>
      <c r="D16" s="14">
        <f>LN($B$188/B188)+1</f>
        <v>1</v>
      </c>
      <c r="E16" s="14">
        <v>2016</v>
      </c>
    </row>
    <row r="17" spans="1:2" x14ac:dyDescent="0.15">
      <c r="A17" s="16">
        <v>37347</v>
      </c>
      <c r="B17" s="15">
        <v>90.24</v>
      </c>
    </row>
    <row r="18" spans="1:2" x14ac:dyDescent="0.15">
      <c r="A18" s="16">
        <v>37377</v>
      </c>
      <c r="B18" s="15">
        <v>90.47</v>
      </c>
    </row>
    <row r="19" spans="1:2" x14ac:dyDescent="0.15">
      <c r="A19" s="16">
        <v>37408</v>
      </c>
      <c r="B19" s="15">
        <v>90.34</v>
      </c>
    </row>
    <row r="20" spans="1:2" x14ac:dyDescent="0.15">
      <c r="A20" s="16">
        <v>37438</v>
      </c>
      <c r="B20" s="15">
        <v>90.01</v>
      </c>
    </row>
    <row r="21" spans="1:2" x14ac:dyDescent="0.15">
      <c r="A21" s="16">
        <v>37469</v>
      </c>
      <c r="B21" s="15">
        <v>90.07</v>
      </c>
    </row>
    <row r="22" spans="1:2" x14ac:dyDescent="0.15">
      <c r="A22" s="16">
        <v>37500</v>
      </c>
      <c r="B22" s="15">
        <v>90.75</v>
      </c>
    </row>
    <row r="23" spans="1:2" x14ac:dyDescent="0.15">
      <c r="A23" s="16">
        <v>37530</v>
      </c>
      <c r="B23" s="15">
        <v>91.05</v>
      </c>
    </row>
    <row r="24" spans="1:2" x14ac:dyDescent="0.15">
      <c r="A24" s="16">
        <v>37561</v>
      </c>
      <c r="B24" s="15">
        <v>90.82</v>
      </c>
    </row>
    <row r="25" spans="1:2" x14ac:dyDescent="0.15">
      <c r="A25" s="16">
        <v>37591</v>
      </c>
      <c r="B25" s="15">
        <v>90.94</v>
      </c>
    </row>
    <row r="26" spans="1:2" x14ac:dyDescent="0.15">
      <c r="A26" s="16">
        <v>37622</v>
      </c>
      <c r="B26" s="15">
        <v>91.23</v>
      </c>
    </row>
    <row r="27" spans="1:2" x14ac:dyDescent="0.15">
      <c r="A27" s="16">
        <v>37653</v>
      </c>
      <c r="B27" s="15">
        <v>92.04</v>
      </c>
    </row>
    <row r="28" spans="1:2" x14ac:dyDescent="0.15">
      <c r="A28" s="16">
        <v>37681</v>
      </c>
      <c r="B28" s="15">
        <v>92.51</v>
      </c>
    </row>
    <row r="29" spans="1:2" x14ac:dyDescent="0.15">
      <c r="A29" s="16">
        <v>37712</v>
      </c>
      <c r="B29" s="15">
        <v>92.19</v>
      </c>
    </row>
    <row r="30" spans="1:2" x14ac:dyDescent="0.15">
      <c r="A30" s="16">
        <v>37742</v>
      </c>
      <c r="B30" s="15">
        <v>92.08</v>
      </c>
    </row>
    <row r="31" spans="1:2" x14ac:dyDescent="0.15">
      <c r="A31" s="16">
        <v>37773</v>
      </c>
      <c r="B31" s="15">
        <v>91.82</v>
      </c>
    </row>
    <row r="32" spans="1:2" x14ac:dyDescent="0.15">
      <c r="A32" s="16">
        <v>37803</v>
      </c>
      <c r="B32" s="15">
        <v>91.51</v>
      </c>
    </row>
    <row r="33" spans="1:2" x14ac:dyDescent="0.15">
      <c r="A33" s="16">
        <v>37834</v>
      </c>
      <c r="B33" s="15">
        <v>91.48</v>
      </c>
    </row>
    <row r="34" spans="1:2" x14ac:dyDescent="0.15">
      <c r="A34" s="16">
        <v>37865</v>
      </c>
      <c r="B34" s="15">
        <v>92.14</v>
      </c>
    </row>
    <row r="35" spans="1:2" x14ac:dyDescent="0.15">
      <c r="A35" s="16">
        <v>37895</v>
      </c>
      <c r="B35" s="15">
        <v>92.21</v>
      </c>
    </row>
    <row r="36" spans="1:2" x14ac:dyDescent="0.15">
      <c r="A36" s="16">
        <v>37926</v>
      </c>
      <c r="B36" s="15">
        <v>92.01</v>
      </c>
    </row>
    <row r="37" spans="1:2" x14ac:dyDescent="0.15">
      <c r="A37" s="16">
        <v>37956</v>
      </c>
      <c r="B37" s="15">
        <v>92.1</v>
      </c>
    </row>
    <row r="38" spans="1:2" x14ac:dyDescent="0.15">
      <c r="A38" s="16">
        <v>37987</v>
      </c>
      <c r="B38" s="15">
        <v>91.9</v>
      </c>
    </row>
    <row r="39" spans="1:2" x14ac:dyDescent="0.15">
      <c r="A39" s="16">
        <v>38018</v>
      </c>
      <c r="B39" s="15">
        <v>91.67</v>
      </c>
    </row>
    <row r="40" spans="1:2" x14ac:dyDescent="0.15">
      <c r="A40" s="16">
        <v>38047</v>
      </c>
      <c r="B40" s="15">
        <v>92.37</v>
      </c>
    </row>
    <row r="41" spans="1:2" x14ac:dyDescent="0.15">
      <c r="A41" s="16">
        <v>38078</v>
      </c>
      <c r="B41" s="15">
        <v>92.39</v>
      </c>
    </row>
    <row r="42" spans="1:2" x14ac:dyDescent="0.15">
      <c r="A42" s="16">
        <v>38108</v>
      </c>
      <c r="B42" s="15">
        <v>92.61</v>
      </c>
    </row>
    <row r="43" spans="1:2" x14ac:dyDescent="0.15">
      <c r="A43" s="16">
        <v>38139</v>
      </c>
      <c r="B43" s="15">
        <v>92.21</v>
      </c>
    </row>
    <row r="44" spans="1:2" x14ac:dyDescent="0.15">
      <c r="A44" s="16">
        <v>38169</v>
      </c>
      <c r="B44" s="15">
        <v>92.07</v>
      </c>
    </row>
    <row r="45" spans="1:2" x14ac:dyDescent="0.15">
      <c r="A45" s="16">
        <v>38200</v>
      </c>
      <c r="B45" s="15">
        <v>91.96</v>
      </c>
    </row>
    <row r="46" spans="1:2" x14ac:dyDescent="0.15">
      <c r="A46" s="16">
        <v>38231</v>
      </c>
      <c r="B46" s="15">
        <v>92.63</v>
      </c>
    </row>
    <row r="47" spans="1:2" x14ac:dyDescent="0.15">
      <c r="A47" s="16">
        <v>38261</v>
      </c>
      <c r="B47" s="15">
        <v>92.91</v>
      </c>
    </row>
    <row r="48" spans="1:2" x14ac:dyDescent="0.15">
      <c r="A48" s="16">
        <v>38292</v>
      </c>
      <c r="B48" s="15">
        <v>92.38</v>
      </c>
    </row>
    <row r="49" spans="1:2" x14ac:dyDescent="0.15">
      <c r="A49" s="16">
        <v>38322</v>
      </c>
      <c r="B49" s="15">
        <v>92.36</v>
      </c>
    </row>
    <row r="50" spans="1:2" x14ac:dyDescent="0.15">
      <c r="A50" s="16">
        <v>38353</v>
      </c>
      <c r="B50" s="15">
        <v>91.87</v>
      </c>
    </row>
    <row r="51" spans="1:2" x14ac:dyDescent="0.15">
      <c r="A51" s="16">
        <v>38384</v>
      </c>
      <c r="B51" s="15">
        <v>92.31</v>
      </c>
    </row>
    <row r="52" spans="1:2" x14ac:dyDescent="0.15">
      <c r="A52" s="16">
        <v>38412</v>
      </c>
      <c r="B52" s="15">
        <v>92.49</v>
      </c>
    </row>
    <row r="53" spans="1:2" x14ac:dyDescent="0.15">
      <c r="A53" s="16">
        <v>38443</v>
      </c>
      <c r="B53" s="15">
        <v>92.62</v>
      </c>
    </row>
    <row r="54" spans="1:2" x14ac:dyDescent="0.15">
      <c r="A54" s="16">
        <v>38473</v>
      </c>
      <c r="B54" s="15">
        <v>92.69</v>
      </c>
    </row>
    <row r="55" spans="1:2" x14ac:dyDescent="0.15">
      <c r="A55" s="16">
        <v>38504</v>
      </c>
      <c r="B55" s="15">
        <v>92.72</v>
      </c>
    </row>
    <row r="56" spans="1:2" x14ac:dyDescent="0.15">
      <c r="A56" s="16">
        <v>38534</v>
      </c>
      <c r="B56" s="15">
        <v>92.38</v>
      </c>
    </row>
    <row r="57" spans="1:2" x14ac:dyDescent="0.15">
      <c r="A57" s="16">
        <v>38565</v>
      </c>
      <c r="B57" s="15">
        <v>92.55</v>
      </c>
    </row>
    <row r="58" spans="1:2" x14ac:dyDescent="0.15">
      <c r="A58" s="16">
        <v>38596</v>
      </c>
      <c r="B58" s="15">
        <v>93.19</v>
      </c>
    </row>
    <row r="59" spans="1:2" x14ac:dyDescent="0.15">
      <c r="A59" s="16">
        <v>38626</v>
      </c>
      <c r="B59" s="15">
        <v>93.35</v>
      </c>
    </row>
    <row r="60" spans="1:2" x14ac:dyDescent="0.15">
      <c r="A60" s="16">
        <v>38657</v>
      </c>
      <c r="B60" s="15">
        <v>93.13</v>
      </c>
    </row>
    <row r="61" spans="1:2" x14ac:dyDescent="0.15">
      <c r="A61" s="16">
        <v>38687</v>
      </c>
      <c r="B61" s="15">
        <v>93.17</v>
      </c>
    </row>
    <row r="62" spans="1:2" x14ac:dyDescent="0.15">
      <c r="A62" s="16">
        <v>38718</v>
      </c>
      <c r="B62" s="15">
        <v>92.43</v>
      </c>
    </row>
    <row r="63" spans="1:2" x14ac:dyDescent="0.15">
      <c r="A63" s="16">
        <v>38749</v>
      </c>
      <c r="B63" s="15">
        <v>92.87</v>
      </c>
    </row>
    <row r="64" spans="1:2" x14ac:dyDescent="0.15">
      <c r="A64" s="16">
        <v>38777</v>
      </c>
      <c r="B64" s="15">
        <v>93.53</v>
      </c>
    </row>
    <row r="65" spans="1:2" x14ac:dyDescent="0.15">
      <c r="A65" s="16">
        <v>38808</v>
      </c>
      <c r="B65" s="15">
        <v>94</v>
      </c>
    </row>
    <row r="66" spans="1:2" x14ac:dyDescent="0.15">
      <c r="A66" s="16">
        <v>38838</v>
      </c>
      <c r="B66" s="15">
        <v>94.14</v>
      </c>
    </row>
    <row r="67" spans="1:2" x14ac:dyDescent="0.15">
      <c r="A67" s="16">
        <v>38869</v>
      </c>
      <c r="B67" s="15">
        <v>94.12</v>
      </c>
    </row>
    <row r="68" spans="1:2" x14ac:dyDescent="0.15">
      <c r="A68" s="16">
        <v>38899</v>
      </c>
      <c r="B68" s="15">
        <v>93.96</v>
      </c>
    </row>
    <row r="69" spans="1:2" x14ac:dyDescent="0.15">
      <c r="A69" s="16">
        <v>38930</v>
      </c>
      <c r="B69" s="15">
        <v>94.02</v>
      </c>
    </row>
    <row r="70" spans="1:2" x14ac:dyDescent="0.15">
      <c r="A70" s="16">
        <v>38961</v>
      </c>
      <c r="B70" s="15">
        <v>94.57</v>
      </c>
    </row>
    <row r="71" spans="1:2" x14ac:dyDescent="0.15">
      <c r="A71" s="16">
        <v>38991</v>
      </c>
      <c r="B71" s="15">
        <v>94.58</v>
      </c>
    </row>
    <row r="72" spans="1:2" x14ac:dyDescent="0.15">
      <c r="A72" s="16">
        <v>39022</v>
      </c>
      <c r="B72" s="15">
        <v>94.7</v>
      </c>
    </row>
    <row r="73" spans="1:2" x14ac:dyDescent="0.15">
      <c r="A73" s="16">
        <v>39052</v>
      </c>
      <c r="B73" s="15">
        <v>94.7</v>
      </c>
    </row>
    <row r="74" spans="1:2" x14ac:dyDescent="0.15">
      <c r="A74" s="16">
        <v>39083</v>
      </c>
      <c r="B74" s="15">
        <v>94.23</v>
      </c>
    </row>
    <row r="75" spans="1:2" x14ac:dyDescent="0.15">
      <c r="A75" s="16">
        <v>39114</v>
      </c>
      <c r="B75" s="15">
        <v>94.7</v>
      </c>
    </row>
    <row r="76" spans="1:2" x14ac:dyDescent="0.15">
      <c r="A76" s="16">
        <v>39142</v>
      </c>
      <c r="B76" s="15">
        <v>95.32</v>
      </c>
    </row>
    <row r="77" spans="1:2" x14ac:dyDescent="0.15">
      <c r="A77" s="16">
        <v>39173</v>
      </c>
      <c r="B77" s="15">
        <v>95.81</v>
      </c>
    </row>
    <row r="78" spans="1:2" x14ac:dyDescent="0.15">
      <c r="A78" s="16">
        <v>39203</v>
      </c>
      <c r="B78" s="15">
        <v>95.7</v>
      </c>
    </row>
    <row r="79" spans="1:2" x14ac:dyDescent="0.15">
      <c r="A79" s="16">
        <v>39234</v>
      </c>
      <c r="B79" s="15">
        <v>95.86</v>
      </c>
    </row>
    <row r="80" spans="1:2" x14ac:dyDescent="0.15">
      <c r="A80" s="16">
        <v>39264</v>
      </c>
      <c r="B80" s="15">
        <v>95.71</v>
      </c>
    </row>
    <row r="81" spans="1:2" x14ac:dyDescent="0.15">
      <c r="A81" s="16">
        <v>39295</v>
      </c>
      <c r="B81" s="15">
        <v>95.68</v>
      </c>
    </row>
    <row r="82" spans="1:2" x14ac:dyDescent="0.15">
      <c r="A82" s="16">
        <v>39326</v>
      </c>
      <c r="B82" s="15">
        <v>96.64</v>
      </c>
    </row>
    <row r="83" spans="1:2" x14ac:dyDescent="0.15">
      <c r="A83" s="16">
        <v>39356</v>
      </c>
      <c r="B83" s="15">
        <v>97.15</v>
      </c>
    </row>
    <row r="84" spans="1:2" x14ac:dyDescent="0.15">
      <c r="A84" s="16">
        <v>39387</v>
      </c>
      <c r="B84" s="15">
        <v>97.78</v>
      </c>
    </row>
    <row r="85" spans="1:2" x14ac:dyDescent="0.15">
      <c r="A85" s="16">
        <v>39417</v>
      </c>
      <c r="B85" s="15">
        <v>97.97</v>
      </c>
    </row>
    <row r="86" spans="1:2" x14ac:dyDescent="0.15">
      <c r="A86" s="16">
        <v>39448</v>
      </c>
      <c r="B86" s="15">
        <v>97.24</v>
      </c>
    </row>
    <row r="87" spans="1:2" x14ac:dyDescent="0.15">
      <c r="A87" s="16">
        <v>39479</v>
      </c>
      <c r="B87" s="15">
        <v>97.64</v>
      </c>
    </row>
    <row r="88" spans="1:2" x14ac:dyDescent="0.15">
      <c r="A88" s="16">
        <v>39508</v>
      </c>
      <c r="B88" s="15">
        <v>98.57</v>
      </c>
    </row>
    <row r="89" spans="1:2" x14ac:dyDescent="0.15">
      <c r="A89" s="16">
        <v>39539</v>
      </c>
      <c r="B89" s="15">
        <v>99.01</v>
      </c>
    </row>
    <row r="90" spans="1:2" x14ac:dyDescent="0.15">
      <c r="A90" s="16">
        <v>39569</v>
      </c>
      <c r="B90" s="15">
        <v>99.4</v>
      </c>
    </row>
    <row r="91" spans="1:2" x14ac:dyDescent="0.15">
      <c r="A91" s="16">
        <v>39600</v>
      </c>
      <c r="B91" s="15">
        <v>99.87</v>
      </c>
    </row>
    <row r="92" spans="1:2" x14ac:dyDescent="0.15">
      <c r="A92" s="16">
        <v>39630</v>
      </c>
      <c r="B92" s="15">
        <v>99.67</v>
      </c>
    </row>
    <row r="93" spans="1:2" x14ac:dyDescent="0.15">
      <c r="A93" s="16">
        <v>39661</v>
      </c>
      <c r="B93" s="15">
        <v>99.84</v>
      </c>
    </row>
    <row r="94" spans="1:2" x14ac:dyDescent="0.15">
      <c r="A94" s="16">
        <v>39692</v>
      </c>
      <c r="B94" s="15">
        <v>100.86</v>
      </c>
    </row>
    <row r="95" spans="1:2" x14ac:dyDescent="0.15">
      <c r="A95" s="16">
        <v>39722</v>
      </c>
      <c r="B95" s="15">
        <v>101.02</v>
      </c>
    </row>
    <row r="96" spans="1:2" x14ac:dyDescent="0.15">
      <c r="A96" s="16">
        <v>39753</v>
      </c>
      <c r="B96" s="15">
        <v>100.19</v>
      </c>
    </row>
    <row r="97" spans="1:2" x14ac:dyDescent="0.15">
      <c r="A97" s="16">
        <v>39783</v>
      </c>
      <c r="B97" s="15">
        <v>98.85</v>
      </c>
    </row>
    <row r="98" spans="1:2" x14ac:dyDescent="0.15">
      <c r="A98" s="16">
        <v>39814</v>
      </c>
      <c r="B98" s="15">
        <v>98.48</v>
      </c>
    </row>
    <row r="99" spans="1:2" x14ac:dyDescent="0.15">
      <c r="A99" s="16">
        <v>39845</v>
      </c>
      <c r="B99" s="15">
        <v>98.5</v>
      </c>
    </row>
    <row r="100" spans="1:2" x14ac:dyDescent="0.15">
      <c r="A100" s="16">
        <v>39873</v>
      </c>
      <c r="B100" s="15">
        <v>98.79</v>
      </c>
    </row>
    <row r="101" spans="1:2" x14ac:dyDescent="0.15">
      <c r="A101" s="16">
        <v>39904</v>
      </c>
      <c r="B101" s="15">
        <v>98.94</v>
      </c>
    </row>
    <row r="102" spans="1:2" x14ac:dyDescent="0.15">
      <c r="A102" s="16">
        <v>39934</v>
      </c>
      <c r="B102" s="15">
        <v>98.68</v>
      </c>
    </row>
    <row r="103" spans="1:2" x14ac:dyDescent="0.15">
      <c r="A103" s="16">
        <v>39965</v>
      </c>
      <c r="B103" s="15">
        <v>98.92</v>
      </c>
    </row>
    <row r="104" spans="1:2" x14ac:dyDescent="0.15">
      <c r="A104" s="16">
        <v>39995</v>
      </c>
      <c r="B104" s="15">
        <v>98.47</v>
      </c>
    </row>
    <row r="105" spans="1:2" x14ac:dyDescent="0.15">
      <c r="A105" s="16">
        <v>40026</v>
      </c>
      <c r="B105" s="15">
        <v>98.67</v>
      </c>
    </row>
    <row r="106" spans="1:2" x14ac:dyDescent="0.15">
      <c r="A106" s="16">
        <v>40057</v>
      </c>
      <c r="B106" s="15">
        <v>98.97</v>
      </c>
    </row>
    <row r="107" spans="1:2" x14ac:dyDescent="0.15">
      <c r="A107" s="16">
        <v>40087</v>
      </c>
      <c r="B107" s="15">
        <v>99.22</v>
      </c>
    </row>
    <row r="108" spans="1:2" x14ac:dyDescent="0.15">
      <c r="A108" s="16">
        <v>40118</v>
      </c>
      <c r="B108" s="15">
        <v>99.2</v>
      </c>
    </row>
    <row r="109" spans="1:2" x14ac:dyDescent="0.15">
      <c r="A109" s="16">
        <v>40148</v>
      </c>
      <c r="B109" s="15">
        <v>99.42</v>
      </c>
    </row>
    <row r="110" spans="1:2" x14ac:dyDescent="0.15">
      <c r="A110" s="16">
        <v>40179</v>
      </c>
      <c r="B110" s="15">
        <v>98.79</v>
      </c>
    </row>
    <row r="111" spans="1:2" x14ac:dyDescent="0.15">
      <c r="A111" s="16">
        <v>40210</v>
      </c>
      <c r="B111" s="15">
        <v>99.38</v>
      </c>
    </row>
    <row r="112" spans="1:2" x14ac:dyDescent="0.15">
      <c r="A112" s="16">
        <v>40238</v>
      </c>
      <c r="B112" s="15">
        <v>99.62</v>
      </c>
    </row>
    <row r="113" spans="1:2" x14ac:dyDescent="0.15">
      <c r="A113" s="16">
        <v>40269</v>
      </c>
      <c r="B113" s="15">
        <v>99.64</v>
      </c>
    </row>
    <row r="114" spans="1:2" x14ac:dyDescent="0.15">
      <c r="A114" s="16">
        <v>40299</v>
      </c>
      <c r="B114" s="15">
        <v>99.82</v>
      </c>
    </row>
    <row r="115" spans="1:2" x14ac:dyDescent="0.15">
      <c r="A115" s="16">
        <v>40330</v>
      </c>
      <c r="B115" s="15">
        <v>99.84</v>
      </c>
    </row>
    <row r="116" spans="1:2" x14ac:dyDescent="0.15">
      <c r="A116" s="16">
        <v>40360</v>
      </c>
      <c r="B116" s="15">
        <v>99.53</v>
      </c>
    </row>
    <row r="117" spans="1:2" x14ac:dyDescent="0.15">
      <c r="A117" s="16">
        <v>40391</v>
      </c>
      <c r="B117" s="15">
        <v>99.54</v>
      </c>
    </row>
    <row r="118" spans="1:2" x14ac:dyDescent="0.15">
      <c r="A118" s="16">
        <v>40422</v>
      </c>
      <c r="B118" s="15">
        <v>100.38</v>
      </c>
    </row>
    <row r="119" spans="1:2" x14ac:dyDescent="0.15">
      <c r="A119" s="16">
        <v>40452</v>
      </c>
      <c r="B119" s="15">
        <v>100.7</v>
      </c>
    </row>
    <row r="120" spans="1:2" x14ac:dyDescent="0.15">
      <c r="A120" s="16">
        <v>40483</v>
      </c>
      <c r="B120" s="15">
        <v>101.03</v>
      </c>
    </row>
    <row r="121" spans="1:2" x14ac:dyDescent="0.15">
      <c r="A121" s="16">
        <v>40513</v>
      </c>
      <c r="B121" s="15">
        <v>101.74</v>
      </c>
    </row>
    <row r="122" spans="1:2" x14ac:dyDescent="0.15">
      <c r="A122" s="16">
        <v>40544</v>
      </c>
      <c r="B122" s="15">
        <v>101.22</v>
      </c>
    </row>
    <row r="123" spans="1:2" x14ac:dyDescent="0.15">
      <c r="A123" s="16">
        <v>40575</v>
      </c>
      <c r="B123" s="15">
        <v>101.83</v>
      </c>
    </row>
    <row r="124" spans="1:2" x14ac:dyDescent="0.15">
      <c r="A124" s="16">
        <v>40603</v>
      </c>
      <c r="B124" s="15">
        <v>102.53</v>
      </c>
    </row>
    <row r="125" spans="1:2" x14ac:dyDescent="0.15">
      <c r="A125" s="16">
        <v>40634</v>
      </c>
      <c r="B125" s="15">
        <v>102.96</v>
      </c>
    </row>
    <row r="126" spans="1:2" x14ac:dyDescent="0.15">
      <c r="A126" s="16">
        <v>40664</v>
      </c>
      <c r="B126" s="15">
        <v>103.16</v>
      </c>
    </row>
    <row r="127" spans="1:2" x14ac:dyDescent="0.15">
      <c r="A127" s="16">
        <v>40695</v>
      </c>
      <c r="B127" s="15">
        <v>102.91</v>
      </c>
    </row>
    <row r="128" spans="1:2" x14ac:dyDescent="0.15">
      <c r="A128" s="16">
        <v>40725</v>
      </c>
      <c r="B128" s="15">
        <v>102.86</v>
      </c>
    </row>
    <row r="129" spans="1:2" x14ac:dyDescent="0.15">
      <c r="A129" s="16">
        <v>40756</v>
      </c>
      <c r="B129" s="15">
        <v>102.9</v>
      </c>
    </row>
    <row r="130" spans="1:2" x14ac:dyDescent="0.15">
      <c r="A130" s="16">
        <v>40787</v>
      </c>
      <c r="B130" s="15">
        <v>103.62</v>
      </c>
    </row>
    <row r="131" spans="1:2" x14ac:dyDescent="0.15">
      <c r="A131" s="16">
        <v>40817</v>
      </c>
      <c r="B131" s="15">
        <v>103.62</v>
      </c>
    </row>
    <row r="132" spans="1:2" x14ac:dyDescent="0.15">
      <c r="A132" s="16">
        <v>40848</v>
      </c>
      <c r="B132" s="15">
        <v>103.86</v>
      </c>
    </row>
    <row r="133" spans="1:2" x14ac:dyDescent="0.15">
      <c r="A133" s="16">
        <v>40878</v>
      </c>
      <c r="B133" s="15">
        <v>104.07</v>
      </c>
    </row>
    <row r="134" spans="1:2" x14ac:dyDescent="0.15">
      <c r="A134" s="16">
        <v>40909</v>
      </c>
      <c r="B134" s="15">
        <v>103.1</v>
      </c>
    </row>
    <row r="135" spans="1:2" x14ac:dyDescent="0.15">
      <c r="A135" s="16">
        <v>40940</v>
      </c>
      <c r="B135" s="15">
        <v>103.78</v>
      </c>
    </row>
    <row r="136" spans="1:2" x14ac:dyDescent="0.15">
      <c r="A136" s="16">
        <v>40969</v>
      </c>
      <c r="B136" s="15">
        <v>104.08</v>
      </c>
    </row>
    <row r="137" spans="1:2" x14ac:dyDescent="0.15">
      <c r="A137" s="16">
        <v>41000</v>
      </c>
      <c r="B137" s="15">
        <v>104.3</v>
      </c>
    </row>
    <row r="138" spans="1:2" x14ac:dyDescent="0.15">
      <c r="A138" s="16">
        <v>41030</v>
      </c>
      <c r="B138" s="15">
        <v>104.22</v>
      </c>
    </row>
    <row r="139" spans="1:2" x14ac:dyDescent="0.15">
      <c r="A139" s="16">
        <v>41061</v>
      </c>
      <c r="B139" s="15">
        <v>103.96</v>
      </c>
    </row>
    <row r="140" spans="1:2" x14ac:dyDescent="0.15">
      <c r="A140" s="16">
        <v>41091</v>
      </c>
      <c r="B140" s="15">
        <v>103.56</v>
      </c>
    </row>
    <row r="141" spans="1:2" x14ac:dyDescent="0.15">
      <c r="A141" s="16">
        <v>41122</v>
      </c>
      <c r="B141" s="15">
        <v>103.66</v>
      </c>
    </row>
    <row r="142" spans="1:2" x14ac:dyDescent="0.15">
      <c r="A142" s="16">
        <v>41153</v>
      </c>
      <c r="B142" s="15">
        <v>104.08</v>
      </c>
    </row>
    <row r="143" spans="1:2" x14ac:dyDescent="0.15">
      <c r="A143" s="16">
        <v>41183</v>
      </c>
      <c r="B143" s="15">
        <v>104.01</v>
      </c>
    </row>
    <row r="144" spans="1:2" x14ac:dyDescent="0.15">
      <c r="A144" s="16">
        <v>41214</v>
      </c>
      <c r="B144" s="15">
        <v>103.75</v>
      </c>
    </row>
    <row r="145" spans="1:2" x14ac:dyDescent="0.15">
      <c r="A145" s="16">
        <v>41244</v>
      </c>
      <c r="B145" s="15">
        <v>104.01</v>
      </c>
    </row>
    <row r="146" spans="1:2" x14ac:dyDescent="0.15">
      <c r="A146" s="16">
        <v>41275</v>
      </c>
      <c r="B146" s="15">
        <v>103.15</v>
      </c>
    </row>
    <row r="147" spans="1:2" x14ac:dyDescent="0.15">
      <c r="A147" s="16">
        <v>41306</v>
      </c>
      <c r="B147" s="15">
        <v>103.61</v>
      </c>
    </row>
    <row r="148" spans="1:2" x14ac:dyDescent="0.15">
      <c r="A148" s="16">
        <v>41334</v>
      </c>
      <c r="B148" s="15">
        <v>104.03</v>
      </c>
    </row>
    <row r="149" spans="1:2" x14ac:dyDescent="0.15">
      <c r="A149" s="16">
        <v>41365</v>
      </c>
      <c r="B149" s="15">
        <v>103.82</v>
      </c>
    </row>
    <row r="150" spans="1:2" x14ac:dyDescent="0.15">
      <c r="A150" s="16">
        <v>41395</v>
      </c>
      <c r="B150" s="15">
        <v>103.99</v>
      </c>
    </row>
    <row r="151" spans="1:2" x14ac:dyDescent="0.15">
      <c r="A151" s="16">
        <v>41426</v>
      </c>
      <c r="B151" s="15">
        <v>103.81</v>
      </c>
    </row>
    <row r="152" spans="1:2" x14ac:dyDescent="0.15">
      <c r="A152" s="16">
        <v>41456</v>
      </c>
      <c r="B152" s="15">
        <v>103.66</v>
      </c>
    </row>
    <row r="153" spans="1:2" x14ac:dyDescent="0.15">
      <c r="A153" s="16">
        <v>41487</v>
      </c>
      <c r="B153" s="15">
        <v>103.76</v>
      </c>
    </row>
    <row r="154" spans="1:2" x14ac:dyDescent="0.15">
      <c r="A154" s="16">
        <v>41518</v>
      </c>
      <c r="B154" s="15">
        <v>104.16</v>
      </c>
    </row>
    <row r="155" spans="1:2" x14ac:dyDescent="0.15">
      <c r="A155" s="16">
        <v>41548</v>
      </c>
      <c r="B155" s="15">
        <v>103.94</v>
      </c>
    </row>
    <row r="156" spans="1:2" x14ac:dyDescent="0.15">
      <c r="A156" s="16">
        <v>41579</v>
      </c>
      <c r="B156" s="15">
        <v>103.88</v>
      </c>
    </row>
    <row r="157" spans="1:2" x14ac:dyDescent="0.15">
      <c r="A157" s="16">
        <v>41609</v>
      </c>
      <c r="B157" s="15">
        <v>104.15</v>
      </c>
    </row>
    <row r="158" spans="1:2" x14ac:dyDescent="0.15">
      <c r="A158" s="16">
        <v>41640</v>
      </c>
      <c r="B158" s="15">
        <v>102.95</v>
      </c>
    </row>
    <row r="159" spans="1:2" x14ac:dyDescent="0.15">
      <c r="A159" s="16">
        <v>41671</v>
      </c>
      <c r="B159" s="15">
        <v>103.38</v>
      </c>
    </row>
    <row r="160" spans="1:2" x14ac:dyDescent="0.15">
      <c r="A160" s="16">
        <v>41699</v>
      </c>
      <c r="B160" s="15">
        <v>103.37</v>
      </c>
    </row>
    <row r="161" spans="1:2" x14ac:dyDescent="0.15">
      <c r="A161" s="16">
        <v>41730</v>
      </c>
      <c r="B161" s="15">
        <v>103.77</v>
      </c>
    </row>
    <row r="162" spans="1:2" x14ac:dyDescent="0.15">
      <c r="A162" s="16">
        <v>41760</v>
      </c>
      <c r="B162" s="15">
        <v>103.83</v>
      </c>
    </row>
    <row r="163" spans="1:2" x14ac:dyDescent="0.15">
      <c r="A163" s="16">
        <v>41791</v>
      </c>
      <c r="B163" s="15">
        <v>104.04</v>
      </c>
    </row>
    <row r="164" spans="1:2" x14ac:dyDescent="0.15">
      <c r="A164" s="16">
        <v>41821</v>
      </c>
      <c r="B164" s="15">
        <v>103.7</v>
      </c>
    </row>
    <row r="165" spans="1:2" x14ac:dyDescent="0.15">
      <c r="A165" s="16">
        <v>41852</v>
      </c>
      <c r="B165" s="15">
        <v>103.6</v>
      </c>
    </row>
    <row r="166" spans="1:2" x14ac:dyDescent="0.15">
      <c r="A166" s="16">
        <v>41883</v>
      </c>
      <c r="B166" s="15">
        <v>103.76</v>
      </c>
    </row>
    <row r="167" spans="1:2" x14ac:dyDescent="0.15">
      <c r="A167" s="16">
        <v>41913</v>
      </c>
      <c r="B167" s="15">
        <v>103.82</v>
      </c>
    </row>
    <row r="168" spans="1:2" x14ac:dyDescent="0.15">
      <c r="A168" s="16">
        <v>41944</v>
      </c>
      <c r="B168" s="15">
        <v>103.67</v>
      </c>
    </row>
    <row r="169" spans="1:2" x14ac:dyDescent="0.15">
      <c r="A169" s="16">
        <v>41974</v>
      </c>
      <c r="B169" s="15">
        <v>103.83</v>
      </c>
    </row>
    <row r="170" spans="1:2" x14ac:dyDescent="0.15">
      <c r="A170" s="16">
        <v>42005</v>
      </c>
      <c r="B170" s="15">
        <v>102.74</v>
      </c>
    </row>
    <row r="171" spans="1:2" x14ac:dyDescent="0.15">
      <c r="A171" s="16">
        <v>42036</v>
      </c>
      <c r="B171" s="15">
        <v>103.46</v>
      </c>
    </row>
    <row r="172" spans="1:2" x14ac:dyDescent="0.15">
      <c r="A172" s="16">
        <v>42064</v>
      </c>
      <c r="B172" s="15">
        <v>103.54</v>
      </c>
    </row>
    <row r="173" spans="1:2" x14ac:dyDescent="0.15">
      <c r="A173" s="16">
        <v>42095</v>
      </c>
      <c r="B173" s="15">
        <v>103.53</v>
      </c>
    </row>
    <row r="174" spans="1:2" x14ac:dyDescent="0.15">
      <c r="A174" s="16">
        <v>42125</v>
      </c>
      <c r="B174" s="15">
        <v>103.89</v>
      </c>
    </row>
    <row r="175" spans="1:2" x14ac:dyDescent="0.15">
      <c r="A175" s="16">
        <v>42156</v>
      </c>
      <c r="B175" s="15">
        <v>103.59</v>
      </c>
    </row>
    <row r="176" spans="1:2" x14ac:dyDescent="0.15">
      <c r="A176" s="16">
        <v>42186</v>
      </c>
      <c r="B176" s="15">
        <v>103.62</v>
      </c>
    </row>
    <row r="177" spans="1:2" x14ac:dyDescent="0.15">
      <c r="A177" s="16">
        <v>42217</v>
      </c>
      <c r="B177" s="15">
        <v>103.42</v>
      </c>
    </row>
    <row r="178" spans="1:2" x14ac:dyDescent="0.15">
      <c r="A178" s="16">
        <v>42248</v>
      </c>
      <c r="B178" s="15">
        <v>103.83</v>
      </c>
    </row>
    <row r="179" spans="1:2" x14ac:dyDescent="0.15">
      <c r="A179" s="16">
        <v>42278</v>
      </c>
      <c r="B179" s="15">
        <v>103.91</v>
      </c>
    </row>
    <row r="180" spans="1:2" x14ac:dyDescent="0.15">
      <c r="A180" s="16">
        <v>42309</v>
      </c>
      <c r="B180" s="15">
        <v>103.73</v>
      </c>
    </row>
    <row r="181" spans="1:2" x14ac:dyDescent="0.15">
      <c r="A181" s="16">
        <v>42339</v>
      </c>
      <c r="B181" s="15">
        <v>103.88</v>
      </c>
    </row>
    <row r="182" spans="1:2" x14ac:dyDescent="0.15">
      <c r="A182" s="16">
        <v>42370</v>
      </c>
      <c r="B182" s="15">
        <v>103.52</v>
      </c>
    </row>
    <row r="183" spans="1:2" x14ac:dyDescent="0.15">
      <c r="A183" s="16">
        <v>42401</v>
      </c>
      <c r="B183" s="15">
        <v>103.86</v>
      </c>
    </row>
    <row r="184" spans="1:2" x14ac:dyDescent="0.15">
      <c r="A184" s="16">
        <v>42430</v>
      </c>
      <c r="B184" s="15">
        <v>104.37</v>
      </c>
    </row>
    <row r="185" spans="1:2" x14ac:dyDescent="0.15">
      <c r="A185" s="16">
        <v>42461</v>
      </c>
      <c r="B185" s="15">
        <v>104.35</v>
      </c>
    </row>
    <row r="186" spans="1:2" x14ac:dyDescent="0.15">
      <c r="A186" s="16">
        <v>42491</v>
      </c>
      <c r="B186" s="15">
        <v>104.54</v>
      </c>
    </row>
    <row r="187" spans="1:2" x14ac:dyDescent="0.15">
      <c r="A187" s="16">
        <v>42522</v>
      </c>
      <c r="B187" s="15">
        <v>104.65</v>
      </c>
    </row>
    <row r="188" spans="1:2" x14ac:dyDescent="0.15">
      <c r="A188" s="16">
        <v>42552</v>
      </c>
      <c r="B188" s="15">
        <v>104.71</v>
      </c>
    </row>
    <row r="189" spans="1:2" x14ac:dyDescent="0.15">
      <c r="A189" s="16">
        <v>42583</v>
      </c>
      <c r="B189" s="15">
        <v>104.6</v>
      </c>
    </row>
    <row r="190" spans="1:2" x14ac:dyDescent="0.15">
      <c r="A190" s="16">
        <v>42614</v>
      </c>
      <c r="B190" s="15">
        <v>104.77</v>
      </c>
    </row>
    <row r="191" spans="1:2" x14ac:dyDescent="0.15">
      <c r="A191" s="16">
        <v>42644</v>
      </c>
      <c r="B191" s="15">
        <v>105.13</v>
      </c>
    </row>
    <row r="192" spans="1:2" x14ac:dyDescent="0.15">
      <c r="A192" s="16">
        <v>42675</v>
      </c>
      <c r="B192" s="15">
        <v>105.17</v>
      </c>
    </row>
    <row r="193" spans="1:2" x14ac:dyDescent="0.15">
      <c r="A193" s="16">
        <v>42705</v>
      </c>
      <c r="B193" s="15">
        <v>105.69</v>
      </c>
    </row>
    <row r="194" spans="1:2" x14ac:dyDescent="0.15">
      <c r="A194" s="16">
        <v>42736</v>
      </c>
      <c r="B194" s="15">
        <v>104.97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1"/>
  <sheetViews>
    <sheetView workbookViewId="0">
      <selection activeCell="D1" sqref="D1"/>
    </sheetView>
  </sheetViews>
  <sheetFormatPr baseColWidth="10" defaultColWidth="20.6640625" defaultRowHeight="13" x14ac:dyDescent="0.15"/>
  <cols>
    <col min="1" max="16384" width="20.6640625" style="14"/>
  </cols>
  <sheetData>
    <row r="1" spans="1:5" x14ac:dyDescent="0.15">
      <c r="A1" s="18" t="s">
        <v>834</v>
      </c>
      <c r="B1" s="18" t="s">
        <v>841</v>
      </c>
      <c r="D1" s="14">
        <f>LN($B$188/B8)+1</f>
        <v>1.2521905035201182</v>
      </c>
      <c r="E1" s="14">
        <v>2001</v>
      </c>
    </row>
    <row r="2" spans="1:5" x14ac:dyDescent="0.15">
      <c r="A2" s="16">
        <v>36892</v>
      </c>
      <c r="B2" s="15">
        <v>82.17</v>
      </c>
      <c r="D2" s="14">
        <f>LN($B$88/B20)+1</f>
        <v>1.1169899059381043</v>
      </c>
      <c r="E2" s="14">
        <v>2002</v>
      </c>
    </row>
    <row r="3" spans="1:5" x14ac:dyDescent="0.15">
      <c r="A3" s="16">
        <v>36923</v>
      </c>
      <c r="B3" s="15">
        <v>82.81</v>
      </c>
      <c r="D3" s="14">
        <f>LN($B$188/B32)+1</f>
        <v>1.2120141099691686</v>
      </c>
      <c r="E3" s="14">
        <v>2003</v>
      </c>
    </row>
    <row r="4" spans="1:5" x14ac:dyDescent="0.15">
      <c r="A4" s="16">
        <v>36951</v>
      </c>
      <c r="B4" s="15">
        <v>83.24</v>
      </c>
      <c r="D4" s="14">
        <f>LN($B$188/B44)+1</f>
        <v>1.1985574124390901</v>
      </c>
      <c r="E4" s="14">
        <v>2004</v>
      </c>
    </row>
    <row r="5" spans="1:5" x14ac:dyDescent="0.15">
      <c r="A5" s="16">
        <v>36982</v>
      </c>
      <c r="B5" s="15">
        <v>83.56</v>
      </c>
      <c r="D5" s="14">
        <f>LN($B$188/B56)+1</f>
        <v>1.1781508292133336</v>
      </c>
      <c r="E5" s="14">
        <v>2005</v>
      </c>
    </row>
    <row r="6" spans="1:5" x14ac:dyDescent="0.15">
      <c r="A6" s="16">
        <v>37012</v>
      </c>
      <c r="B6" s="15">
        <v>83.99</v>
      </c>
      <c r="D6" s="14">
        <f>LN($B$188/B68)+1</f>
        <v>1.1581523602871253</v>
      </c>
      <c r="E6" s="14">
        <v>2006</v>
      </c>
    </row>
    <row r="7" spans="1:5" x14ac:dyDescent="0.15">
      <c r="A7" s="16">
        <v>37043</v>
      </c>
      <c r="B7" s="15">
        <v>83.89</v>
      </c>
      <c r="D7" s="14">
        <f>LN($B$188/B80)+1</f>
        <v>1.1465790333375199</v>
      </c>
      <c r="E7" s="14">
        <v>2007</v>
      </c>
    </row>
    <row r="8" spans="1:5" x14ac:dyDescent="0.15">
      <c r="A8" s="16">
        <v>37073</v>
      </c>
      <c r="B8" s="15">
        <v>83.67</v>
      </c>
      <c r="D8" s="14">
        <f>LN($B$188/B92)+1</f>
        <v>1.1070440264327885</v>
      </c>
      <c r="E8" s="14">
        <v>2008</v>
      </c>
    </row>
    <row r="9" spans="1:5" x14ac:dyDescent="0.15">
      <c r="A9" s="16">
        <v>37104</v>
      </c>
      <c r="B9" s="15">
        <v>83.67</v>
      </c>
      <c r="D9" s="14">
        <f>LN($B$188/B104)+1</f>
        <v>1.0970670858713738</v>
      </c>
      <c r="E9" s="14">
        <v>2009</v>
      </c>
    </row>
    <row r="10" spans="1:5" x14ac:dyDescent="0.15">
      <c r="A10" s="16">
        <v>37135</v>
      </c>
      <c r="B10" s="15">
        <v>83.99</v>
      </c>
      <c r="D10" s="14">
        <f>LN($B$188/B116)+1</f>
        <v>1.0754019339658014</v>
      </c>
      <c r="E10" s="14">
        <v>2010</v>
      </c>
    </row>
    <row r="11" spans="1:5" x14ac:dyDescent="0.15">
      <c r="A11" s="16">
        <v>37165</v>
      </c>
      <c r="B11" s="15">
        <v>84.1</v>
      </c>
      <c r="D11" s="14">
        <f>LN($B$188/B128)+1</f>
        <v>1.0457993777286594</v>
      </c>
      <c r="E11" s="14">
        <v>2011</v>
      </c>
    </row>
    <row r="12" spans="1:5" x14ac:dyDescent="0.15">
      <c r="A12" s="16">
        <v>37196</v>
      </c>
      <c r="B12" s="15">
        <v>83.89</v>
      </c>
      <c r="D12" s="14">
        <f>LN($B$188/B140)+1</f>
        <v>1.0232076935240162</v>
      </c>
      <c r="E12" s="14">
        <v>2012</v>
      </c>
    </row>
    <row r="13" spans="1:5" x14ac:dyDescent="0.15">
      <c r="A13" s="16">
        <v>37226</v>
      </c>
      <c r="B13" s="15">
        <v>84.1</v>
      </c>
      <c r="D13" s="14">
        <f>LN($B$188/B152)+1</f>
        <v>1.0170479962467516</v>
      </c>
      <c r="E13" s="14">
        <v>2013</v>
      </c>
    </row>
    <row r="14" spans="1:5" x14ac:dyDescent="0.15">
      <c r="A14" s="16">
        <v>37257</v>
      </c>
      <c r="B14" s="15">
        <v>84.21</v>
      </c>
      <c r="D14" s="14">
        <f>LN($B$188/B164)+1</f>
        <v>1.0099874820958816</v>
      </c>
      <c r="E14" s="14">
        <v>2014</v>
      </c>
    </row>
    <row r="15" spans="1:5" x14ac:dyDescent="0.15">
      <c r="A15" s="16">
        <v>37288</v>
      </c>
      <c r="B15" s="15">
        <v>84.85</v>
      </c>
      <c r="D15" s="14">
        <f>LN($B$188/B176)+1</f>
        <v>1.0029764695028356</v>
      </c>
      <c r="E15" s="14">
        <v>2015</v>
      </c>
    </row>
    <row r="16" spans="1:5" x14ac:dyDescent="0.15">
      <c r="A16" s="16">
        <v>37316</v>
      </c>
      <c r="B16" s="15">
        <v>85.39</v>
      </c>
      <c r="D16" s="14">
        <v>1</v>
      </c>
      <c r="E16" s="14">
        <v>2016</v>
      </c>
    </row>
    <row r="17" spans="1:5" x14ac:dyDescent="0.15">
      <c r="A17" s="16">
        <v>37347</v>
      </c>
      <c r="B17" s="15">
        <v>85.71</v>
      </c>
    </row>
    <row r="18" spans="1:5" x14ac:dyDescent="0.15">
      <c r="A18" s="16">
        <v>37377</v>
      </c>
      <c r="B18" s="15">
        <v>85.71</v>
      </c>
    </row>
    <row r="19" spans="1:5" x14ac:dyDescent="0.15">
      <c r="A19" s="16">
        <v>37408</v>
      </c>
      <c r="B19" s="15">
        <v>85.71</v>
      </c>
    </row>
    <row r="20" spans="1:5" x14ac:dyDescent="0.15">
      <c r="A20" s="16">
        <v>37438</v>
      </c>
      <c r="B20" s="15">
        <v>85.49</v>
      </c>
    </row>
    <row r="21" spans="1:5" x14ac:dyDescent="0.15">
      <c r="A21" s="16">
        <v>37469</v>
      </c>
      <c r="B21" s="15">
        <v>85.6</v>
      </c>
    </row>
    <row r="22" spans="1:5" x14ac:dyDescent="0.15">
      <c r="A22" s="16">
        <v>37500</v>
      </c>
      <c r="B22" s="15">
        <v>86.03</v>
      </c>
    </row>
    <row r="23" spans="1:5" x14ac:dyDescent="0.15">
      <c r="A23" s="16">
        <v>37530</v>
      </c>
      <c r="B23" s="15">
        <v>86.24</v>
      </c>
    </row>
    <row r="24" spans="1:5" x14ac:dyDescent="0.15">
      <c r="A24" s="16">
        <v>37561</v>
      </c>
      <c r="B24" s="15">
        <v>86.24</v>
      </c>
    </row>
    <row r="25" spans="1:5" x14ac:dyDescent="0.15">
      <c r="A25" s="16">
        <v>37591</v>
      </c>
      <c r="B25" s="15">
        <v>86.24</v>
      </c>
    </row>
    <row r="26" spans="1:5" x14ac:dyDescent="0.15">
      <c r="A26" s="16">
        <v>37622</v>
      </c>
      <c r="B26" s="15">
        <v>86.35</v>
      </c>
    </row>
    <row r="27" spans="1:5" x14ac:dyDescent="0.15">
      <c r="A27" s="16">
        <v>37653</v>
      </c>
      <c r="B27" s="15">
        <v>87.21</v>
      </c>
      <c r="E27" s="82"/>
    </row>
    <row r="28" spans="1:5" x14ac:dyDescent="0.15">
      <c r="A28" s="16">
        <v>37681</v>
      </c>
      <c r="B28" s="15">
        <v>87.85</v>
      </c>
      <c r="E28" s="82"/>
    </row>
    <row r="29" spans="1:5" x14ac:dyDescent="0.15">
      <c r="A29" s="16">
        <v>37712</v>
      </c>
      <c r="B29" s="15">
        <v>87.74</v>
      </c>
      <c r="E29" s="82"/>
    </row>
    <row r="30" spans="1:5" x14ac:dyDescent="0.15">
      <c r="A30" s="16">
        <v>37742</v>
      </c>
      <c r="B30" s="15">
        <v>87.64</v>
      </c>
      <c r="E30" s="82"/>
    </row>
    <row r="31" spans="1:5" x14ac:dyDescent="0.15">
      <c r="A31" s="16">
        <v>37773</v>
      </c>
      <c r="B31" s="15">
        <v>87.64</v>
      </c>
      <c r="E31" s="82"/>
    </row>
    <row r="32" spans="1:5" x14ac:dyDescent="0.15">
      <c r="A32" s="16">
        <v>37803</v>
      </c>
      <c r="B32" s="15">
        <v>87.1</v>
      </c>
      <c r="E32" s="82"/>
    </row>
    <row r="33" spans="1:5" x14ac:dyDescent="0.15">
      <c r="A33" s="16">
        <v>37834</v>
      </c>
      <c r="B33" s="15">
        <v>87.1</v>
      </c>
      <c r="E33" s="82"/>
    </row>
    <row r="34" spans="1:5" x14ac:dyDescent="0.15">
      <c r="A34" s="16">
        <v>37865</v>
      </c>
      <c r="B34" s="15">
        <v>87.64</v>
      </c>
      <c r="E34" s="82"/>
    </row>
    <row r="35" spans="1:5" x14ac:dyDescent="0.15">
      <c r="A35" s="16">
        <v>37895</v>
      </c>
      <c r="B35" s="15">
        <v>87.42</v>
      </c>
      <c r="E35" s="82"/>
    </row>
    <row r="36" spans="1:5" x14ac:dyDescent="0.15">
      <c r="A36" s="16">
        <v>37926</v>
      </c>
      <c r="B36" s="15">
        <v>87.64</v>
      </c>
      <c r="E36" s="82"/>
    </row>
    <row r="37" spans="1:5" x14ac:dyDescent="0.15">
      <c r="A37" s="16">
        <v>37956</v>
      </c>
      <c r="B37" s="15">
        <v>87.42</v>
      </c>
      <c r="E37" s="82"/>
    </row>
    <row r="38" spans="1:5" x14ac:dyDescent="0.15">
      <c r="A38" s="16">
        <v>37987</v>
      </c>
      <c r="B38" s="15">
        <v>87.42</v>
      </c>
      <c r="E38" s="82"/>
    </row>
    <row r="39" spans="1:5" x14ac:dyDescent="0.15">
      <c r="A39" s="16">
        <v>38018</v>
      </c>
      <c r="B39" s="15">
        <v>88.06</v>
      </c>
      <c r="E39" s="82"/>
    </row>
    <row r="40" spans="1:5" x14ac:dyDescent="0.15">
      <c r="A40" s="16">
        <v>38047</v>
      </c>
      <c r="B40" s="15">
        <v>88.38</v>
      </c>
      <c r="E40" s="82"/>
    </row>
    <row r="41" spans="1:5" x14ac:dyDescent="0.15">
      <c r="A41" s="16">
        <v>38078</v>
      </c>
      <c r="B41" s="15">
        <v>88.49</v>
      </c>
      <c r="E41" s="82"/>
    </row>
    <row r="42" spans="1:5" x14ac:dyDescent="0.15">
      <c r="A42" s="16">
        <v>38108</v>
      </c>
      <c r="B42" s="15">
        <v>88.81</v>
      </c>
      <c r="E42" s="82"/>
    </row>
    <row r="43" spans="1:5" x14ac:dyDescent="0.15">
      <c r="A43" s="16">
        <v>38139</v>
      </c>
      <c r="B43" s="15">
        <v>88.6</v>
      </c>
      <c r="E43" s="82"/>
    </row>
    <row r="44" spans="1:5" x14ac:dyDescent="0.15">
      <c r="A44" s="16">
        <v>38169</v>
      </c>
      <c r="B44" s="15">
        <v>88.28</v>
      </c>
      <c r="E44" s="82"/>
    </row>
    <row r="45" spans="1:5" x14ac:dyDescent="0.15">
      <c r="A45" s="16">
        <v>38200</v>
      </c>
      <c r="B45" s="15">
        <v>88.06</v>
      </c>
      <c r="E45" s="82"/>
    </row>
    <row r="46" spans="1:5" x14ac:dyDescent="0.15">
      <c r="A46" s="16">
        <v>38231</v>
      </c>
      <c r="B46" s="15">
        <v>88.6</v>
      </c>
      <c r="E46" s="82"/>
    </row>
    <row r="47" spans="1:5" x14ac:dyDescent="0.15">
      <c r="A47" s="16">
        <v>38261</v>
      </c>
      <c r="B47" s="15">
        <v>88.92</v>
      </c>
      <c r="E47" s="82"/>
    </row>
    <row r="48" spans="1:5" x14ac:dyDescent="0.15">
      <c r="A48" s="16">
        <v>38292</v>
      </c>
      <c r="B48" s="15">
        <v>88.71</v>
      </c>
      <c r="E48" s="82"/>
    </row>
    <row r="49" spans="1:5" x14ac:dyDescent="0.15">
      <c r="A49" s="16">
        <v>38322</v>
      </c>
      <c r="B49" s="15">
        <v>88.49</v>
      </c>
      <c r="E49" s="82"/>
    </row>
    <row r="50" spans="1:5" x14ac:dyDescent="0.15">
      <c r="A50" s="16">
        <v>38353</v>
      </c>
      <c r="B50" s="15">
        <v>88.28</v>
      </c>
      <c r="E50" s="82"/>
    </row>
    <row r="51" spans="1:5" x14ac:dyDescent="0.15">
      <c r="A51" s="16">
        <v>38384</v>
      </c>
      <c r="B51" s="15">
        <v>89.13</v>
      </c>
      <c r="E51" s="82"/>
    </row>
    <row r="52" spans="1:5" x14ac:dyDescent="0.15">
      <c r="A52" s="16">
        <v>38412</v>
      </c>
      <c r="B52" s="15">
        <v>89.67</v>
      </c>
      <c r="E52" s="82"/>
    </row>
    <row r="53" spans="1:5" x14ac:dyDescent="0.15">
      <c r="A53" s="16">
        <v>38443</v>
      </c>
      <c r="B53" s="15">
        <v>90.1</v>
      </c>
      <c r="E53" s="82"/>
    </row>
    <row r="54" spans="1:5" x14ac:dyDescent="0.15">
      <c r="A54" s="16">
        <v>38473</v>
      </c>
      <c r="B54" s="15">
        <v>90.1</v>
      </c>
      <c r="E54" s="82"/>
    </row>
    <row r="55" spans="1:5" x14ac:dyDescent="0.15">
      <c r="A55" s="16">
        <v>38504</v>
      </c>
      <c r="B55" s="15">
        <v>90.21</v>
      </c>
      <c r="E55" s="82"/>
    </row>
    <row r="56" spans="1:5" x14ac:dyDescent="0.15">
      <c r="A56" s="16">
        <v>38534</v>
      </c>
      <c r="B56" s="15">
        <v>90.1</v>
      </c>
      <c r="E56" s="82"/>
    </row>
    <row r="57" spans="1:5" x14ac:dyDescent="0.15">
      <c r="A57" s="16">
        <v>38565</v>
      </c>
      <c r="B57" s="15">
        <v>90.1</v>
      </c>
      <c r="E57" s="82"/>
    </row>
    <row r="58" spans="1:5" x14ac:dyDescent="0.15">
      <c r="A58" s="16">
        <v>38596</v>
      </c>
      <c r="B58" s="15">
        <v>90.74</v>
      </c>
      <c r="E58" s="82"/>
    </row>
    <row r="59" spans="1:5" x14ac:dyDescent="0.15">
      <c r="A59" s="16">
        <v>38626</v>
      </c>
      <c r="B59" s="15">
        <v>90.74</v>
      </c>
      <c r="E59" s="82"/>
    </row>
    <row r="60" spans="1:5" x14ac:dyDescent="0.15">
      <c r="A60" s="16">
        <v>38657</v>
      </c>
      <c r="B60" s="15">
        <v>90.42</v>
      </c>
      <c r="E60" s="82"/>
    </row>
    <row r="61" spans="1:5" x14ac:dyDescent="0.15">
      <c r="A61" s="16">
        <v>38687</v>
      </c>
      <c r="B61" s="15">
        <v>90.53</v>
      </c>
      <c r="E61" s="82"/>
    </row>
    <row r="62" spans="1:5" x14ac:dyDescent="0.15">
      <c r="A62" s="16">
        <v>38718</v>
      </c>
      <c r="B62" s="15">
        <v>90.21</v>
      </c>
      <c r="E62" s="82"/>
    </row>
    <row r="63" spans="1:5" x14ac:dyDescent="0.15">
      <c r="A63" s="16">
        <v>38749</v>
      </c>
      <c r="B63" s="15">
        <v>91.06</v>
      </c>
      <c r="E63" s="82"/>
    </row>
    <row r="64" spans="1:5" x14ac:dyDescent="0.15">
      <c r="A64" s="16">
        <v>38777</v>
      </c>
      <c r="B64" s="15">
        <v>91.38</v>
      </c>
      <c r="E64" s="82"/>
    </row>
    <row r="65" spans="1:5" x14ac:dyDescent="0.15">
      <c r="A65" s="16">
        <v>38808</v>
      </c>
      <c r="B65" s="15">
        <v>91.81</v>
      </c>
      <c r="E65" s="82"/>
    </row>
    <row r="66" spans="1:5" x14ac:dyDescent="0.15">
      <c r="A66" s="16">
        <v>38838</v>
      </c>
      <c r="B66" s="15">
        <v>91.92</v>
      </c>
      <c r="E66" s="82"/>
    </row>
    <row r="67" spans="1:5" x14ac:dyDescent="0.15">
      <c r="A67" s="16">
        <v>38869</v>
      </c>
      <c r="B67" s="15">
        <v>92.13</v>
      </c>
      <c r="E67" s="82"/>
    </row>
    <row r="68" spans="1:5" x14ac:dyDescent="0.15">
      <c r="A68" s="16">
        <v>38899</v>
      </c>
      <c r="B68" s="15">
        <v>91.92</v>
      </c>
      <c r="E68" s="82"/>
    </row>
    <row r="69" spans="1:5" x14ac:dyDescent="0.15">
      <c r="A69" s="16">
        <v>38930</v>
      </c>
      <c r="B69" s="15">
        <v>91.92</v>
      </c>
      <c r="E69" s="82"/>
    </row>
    <row r="70" spans="1:5" x14ac:dyDescent="0.15">
      <c r="A70" s="16">
        <v>38961</v>
      </c>
      <c r="B70" s="15">
        <v>92.24</v>
      </c>
      <c r="E70" s="82"/>
    </row>
    <row r="71" spans="1:5" x14ac:dyDescent="0.15">
      <c r="A71" s="16">
        <v>38991</v>
      </c>
      <c r="B71" s="15">
        <v>92.13</v>
      </c>
      <c r="E71" s="82"/>
    </row>
    <row r="72" spans="1:5" x14ac:dyDescent="0.15">
      <c r="A72" s="16">
        <v>39022</v>
      </c>
      <c r="B72" s="15">
        <v>92.03</v>
      </c>
      <c r="E72" s="82"/>
    </row>
    <row r="73" spans="1:5" x14ac:dyDescent="0.15">
      <c r="A73" s="16">
        <v>39052</v>
      </c>
      <c r="B73" s="15">
        <v>92.13</v>
      </c>
      <c r="E73" s="82"/>
    </row>
    <row r="74" spans="1:5" x14ac:dyDescent="0.15">
      <c r="A74" s="16">
        <v>39083</v>
      </c>
      <c r="B74" s="15">
        <v>91.81</v>
      </c>
      <c r="E74" s="82"/>
    </row>
    <row r="75" spans="1:5" x14ac:dyDescent="0.15">
      <c r="A75" s="16">
        <v>39114</v>
      </c>
      <c r="B75" s="15">
        <v>92.78</v>
      </c>
      <c r="E75" s="82"/>
    </row>
    <row r="76" spans="1:5" x14ac:dyDescent="0.15">
      <c r="A76" s="16">
        <v>39142</v>
      </c>
      <c r="B76" s="15">
        <v>93.21</v>
      </c>
      <c r="E76" s="82"/>
    </row>
    <row r="77" spans="1:5" x14ac:dyDescent="0.15">
      <c r="A77" s="16">
        <v>39173</v>
      </c>
      <c r="B77" s="15">
        <v>93.31</v>
      </c>
      <c r="E77" s="82"/>
    </row>
    <row r="78" spans="1:5" x14ac:dyDescent="0.15">
      <c r="A78" s="16">
        <v>39203</v>
      </c>
      <c r="B78" s="15">
        <v>93.53</v>
      </c>
      <c r="E78" s="82"/>
    </row>
    <row r="79" spans="1:5" x14ac:dyDescent="0.15">
      <c r="A79" s="16">
        <v>39234</v>
      </c>
      <c r="B79" s="15">
        <v>93.42</v>
      </c>
      <c r="E79" s="82"/>
    </row>
    <row r="80" spans="1:5" x14ac:dyDescent="0.15">
      <c r="A80" s="16">
        <v>39264</v>
      </c>
      <c r="B80" s="15">
        <v>92.99</v>
      </c>
      <c r="E80" s="82"/>
    </row>
    <row r="81" spans="1:5" x14ac:dyDescent="0.15">
      <c r="A81" s="16">
        <v>39295</v>
      </c>
      <c r="B81" s="15">
        <v>92.78</v>
      </c>
      <c r="E81" s="82"/>
    </row>
    <row r="82" spans="1:5" x14ac:dyDescent="0.15">
      <c r="A82" s="16">
        <v>39326</v>
      </c>
      <c r="B82" s="15">
        <v>93.42</v>
      </c>
      <c r="E82" s="82"/>
    </row>
    <row r="83" spans="1:5" x14ac:dyDescent="0.15">
      <c r="A83" s="16">
        <v>39356</v>
      </c>
      <c r="B83" s="15">
        <v>93.74</v>
      </c>
      <c r="E83" s="82"/>
    </row>
    <row r="84" spans="1:5" x14ac:dyDescent="0.15">
      <c r="A84" s="16">
        <v>39387</v>
      </c>
      <c r="B84" s="15">
        <v>94.28</v>
      </c>
      <c r="E84" s="82"/>
    </row>
    <row r="85" spans="1:5" x14ac:dyDescent="0.15">
      <c r="A85" s="16">
        <v>39417</v>
      </c>
      <c r="B85" s="15">
        <v>94.28</v>
      </c>
      <c r="E85" s="82"/>
    </row>
    <row r="86" spans="1:5" x14ac:dyDescent="0.15">
      <c r="A86" s="16">
        <v>39448</v>
      </c>
      <c r="B86" s="15">
        <v>94.49</v>
      </c>
      <c r="E86" s="82"/>
    </row>
    <row r="87" spans="1:5" x14ac:dyDescent="0.15">
      <c r="A87" s="16">
        <v>39479</v>
      </c>
      <c r="B87" s="15">
        <v>95.67</v>
      </c>
      <c r="E87" s="82"/>
    </row>
    <row r="88" spans="1:5" x14ac:dyDescent="0.15">
      <c r="A88" s="16">
        <v>39508</v>
      </c>
      <c r="B88" s="15">
        <v>96.1</v>
      </c>
      <c r="E88" s="82"/>
    </row>
    <row r="89" spans="1:5" x14ac:dyDescent="0.15">
      <c r="A89" s="16">
        <v>39539</v>
      </c>
      <c r="B89" s="15">
        <v>96.42</v>
      </c>
      <c r="E89" s="82"/>
    </row>
    <row r="90" spans="1:5" x14ac:dyDescent="0.15">
      <c r="A90" s="16">
        <v>39569</v>
      </c>
      <c r="B90" s="15">
        <v>96.74</v>
      </c>
      <c r="E90" s="82"/>
    </row>
    <row r="91" spans="1:5" x14ac:dyDescent="0.15">
      <c r="A91" s="16">
        <v>39600</v>
      </c>
      <c r="B91" s="15">
        <v>96.96</v>
      </c>
      <c r="E91" s="82"/>
    </row>
    <row r="92" spans="1:5" x14ac:dyDescent="0.15">
      <c r="A92" s="16">
        <v>39630</v>
      </c>
      <c r="B92" s="15">
        <v>96.74</v>
      </c>
      <c r="E92" s="82"/>
    </row>
    <row r="93" spans="1:5" x14ac:dyDescent="0.15">
      <c r="A93" s="16">
        <v>39661</v>
      </c>
      <c r="B93" s="15">
        <v>96.85</v>
      </c>
      <c r="E93" s="82"/>
    </row>
    <row r="94" spans="1:5" x14ac:dyDescent="0.15">
      <c r="A94" s="16">
        <v>39692</v>
      </c>
      <c r="B94" s="15">
        <v>97.28</v>
      </c>
      <c r="E94" s="82"/>
    </row>
    <row r="95" spans="1:5" x14ac:dyDescent="0.15">
      <c r="A95" s="16">
        <v>39722</v>
      </c>
      <c r="B95" s="15">
        <v>97.17</v>
      </c>
      <c r="E95" s="82"/>
    </row>
    <row r="96" spans="1:5" x14ac:dyDescent="0.15">
      <c r="A96" s="16">
        <v>39753</v>
      </c>
      <c r="B96" s="15">
        <v>96.85</v>
      </c>
      <c r="E96" s="82"/>
    </row>
    <row r="97" spans="1:5" x14ac:dyDescent="0.15">
      <c r="A97" s="16">
        <v>39783</v>
      </c>
      <c r="B97" s="15">
        <v>96.53</v>
      </c>
      <c r="E97" s="82"/>
    </row>
    <row r="98" spans="1:5" x14ac:dyDescent="0.15">
      <c r="A98" s="16">
        <v>39814</v>
      </c>
      <c r="B98" s="15">
        <v>96.21</v>
      </c>
      <c r="E98" s="82"/>
    </row>
    <row r="99" spans="1:5" x14ac:dyDescent="0.15">
      <c r="A99" s="16">
        <v>39845</v>
      </c>
      <c r="B99" s="15">
        <v>97.38</v>
      </c>
      <c r="E99" s="82"/>
    </row>
    <row r="100" spans="1:5" x14ac:dyDescent="0.15">
      <c r="A100" s="16">
        <v>39873</v>
      </c>
      <c r="B100" s="15">
        <v>97.71</v>
      </c>
      <c r="E100" s="82"/>
    </row>
    <row r="101" spans="1:5" x14ac:dyDescent="0.15">
      <c r="A101" s="16">
        <v>39904</v>
      </c>
      <c r="B101" s="15">
        <v>97.6</v>
      </c>
      <c r="E101" s="82"/>
    </row>
    <row r="102" spans="1:5" x14ac:dyDescent="0.15">
      <c r="A102" s="16">
        <v>39934</v>
      </c>
      <c r="B102" s="15">
        <v>97.92</v>
      </c>
      <c r="E102" s="82"/>
    </row>
    <row r="103" spans="1:5" x14ac:dyDescent="0.15">
      <c r="A103" s="16">
        <v>39965</v>
      </c>
      <c r="B103" s="15">
        <v>98.13</v>
      </c>
      <c r="E103" s="82"/>
    </row>
    <row r="104" spans="1:5" x14ac:dyDescent="0.15">
      <c r="A104" s="16">
        <v>39995</v>
      </c>
      <c r="B104" s="15">
        <v>97.71</v>
      </c>
      <c r="E104" s="82"/>
    </row>
    <row r="105" spans="1:5" x14ac:dyDescent="0.15">
      <c r="A105" s="16">
        <v>40026</v>
      </c>
      <c r="B105" s="15">
        <v>97.92</v>
      </c>
      <c r="E105" s="82"/>
    </row>
    <row r="106" spans="1:5" x14ac:dyDescent="0.15">
      <c r="A106" s="16">
        <v>40057</v>
      </c>
      <c r="B106" s="15">
        <v>98.13</v>
      </c>
      <c r="E106" s="82"/>
    </row>
    <row r="107" spans="1:5" x14ac:dyDescent="0.15">
      <c r="A107" s="16">
        <v>40087</v>
      </c>
      <c r="B107" s="15">
        <v>98.13</v>
      </c>
      <c r="E107" s="82"/>
    </row>
    <row r="108" spans="1:5" x14ac:dyDescent="0.15">
      <c r="A108" s="16">
        <v>40118</v>
      </c>
      <c r="B108" s="15">
        <v>98.13</v>
      </c>
      <c r="E108" s="82"/>
    </row>
    <row r="109" spans="1:5" x14ac:dyDescent="0.15">
      <c r="A109" s="16">
        <v>40148</v>
      </c>
      <c r="B109" s="15">
        <v>97.92</v>
      </c>
      <c r="E109" s="82"/>
    </row>
    <row r="110" spans="1:5" x14ac:dyDescent="0.15">
      <c r="A110" s="16">
        <v>40179</v>
      </c>
      <c r="B110" s="15">
        <v>98.13</v>
      </c>
      <c r="E110" s="82"/>
    </row>
    <row r="111" spans="1:5" x14ac:dyDescent="0.15">
      <c r="A111" s="16">
        <v>40210</v>
      </c>
      <c r="B111" s="15">
        <v>99.31</v>
      </c>
      <c r="E111" s="82"/>
    </row>
    <row r="112" spans="1:5" x14ac:dyDescent="0.15">
      <c r="A112" s="16">
        <v>40238</v>
      </c>
      <c r="B112" s="15">
        <v>99.96</v>
      </c>
      <c r="E112" s="82"/>
    </row>
    <row r="113" spans="1:5" x14ac:dyDescent="0.15">
      <c r="A113" s="16">
        <v>40269</v>
      </c>
      <c r="B113" s="15">
        <v>100.06</v>
      </c>
      <c r="E113" s="82"/>
    </row>
    <row r="114" spans="1:5" x14ac:dyDescent="0.15">
      <c r="A114" s="16">
        <v>40299</v>
      </c>
      <c r="B114" s="15">
        <v>100.06</v>
      </c>
      <c r="E114" s="82"/>
    </row>
    <row r="115" spans="1:5" x14ac:dyDescent="0.15">
      <c r="A115" s="16">
        <v>40330</v>
      </c>
      <c r="B115" s="15">
        <v>99.96</v>
      </c>
      <c r="E115" s="82"/>
    </row>
    <row r="116" spans="1:5" x14ac:dyDescent="0.15">
      <c r="A116" s="16">
        <v>40360</v>
      </c>
      <c r="B116" s="15">
        <v>99.85</v>
      </c>
      <c r="E116" s="82"/>
    </row>
    <row r="117" spans="1:5" x14ac:dyDescent="0.15">
      <c r="A117" s="16">
        <v>40391</v>
      </c>
      <c r="B117" s="15">
        <v>100.28</v>
      </c>
      <c r="E117" s="82"/>
    </row>
    <row r="118" spans="1:5" x14ac:dyDescent="0.15">
      <c r="A118" s="16">
        <v>40422</v>
      </c>
      <c r="B118" s="15">
        <v>100.6</v>
      </c>
      <c r="E118" s="82"/>
    </row>
    <row r="119" spans="1:5" x14ac:dyDescent="0.15">
      <c r="A119" s="16">
        <v>40452</v>
      </c>
      <c r="B119" s="15">
        <v>100.49</v>
      </c>
      <c r="E119" s="82"/>
    </row>
    <row r="120" spans="1:5" x14ac:dyDescent="0.15">
      <c r="A120" s="16">
        <v>40483</v>
      </c>
      <c r="B120" s="15">
        <v>100.6</v>
      </c>
      <c r="E120" s="82"/>
    </row>
    <row r="121" spans="1:5" x14ac:dyDescent="0.15">
      <c r="A121" s="16">
        <v>40513</v>
      </c>
      <c r="B121" s="15">
        <v>100.71</v>
      </c>
      <c r="E121" s="82"/>
    </row>
    <row r="122" spans="1:5" x14ac:dyDescent="0.15">
      <c r="A122" s="16">
        <v>40544</v>
      </c>
      <c r="B122" s="15">
        <v>100.81</v>
      </c>
      <c r="E122" s="82"/>
    </row>
    <row r="123" spans="1:5" x14ac:dyDescent="0.15">
      <c r="A123" s="16">
        <v>40575</v>
      </c>
      <c r="B123" s="15">
        <v>101.99</v>
      </c>
      <c r="E123" s="82"/>
    </row>
    <row r="124" spans="1:5" x14ac:dyDescent="0.15">
      <c r="A124" s="16">
        <v>40603</v>
      </c>
      <c r="B124" s="15">
        <v>102.63</v>
      </c>
      <c r="E124" s="82"/>
    </row>
    <row r="125" spans="1:5" x14ac:dyDescent="0.15">
      <c r="A125" s="16">
        <v>40634</v>
      </c>
      <c r="B125" s="15">
        <v>103.06</v>
      </c>
      <c r="E125" s="82"/>
    </row>
    <row r="126" spans="1:5" x14ac:dyDescent="0.15">
      <c r="A126" s="16">
        <v>40664</v>
      </c>
      <c r="B126" s="15">
        <v>103.17</v>
      </c>
      <c r="E126" s="82"/>
    </row>
    <row r="127" spans="1:5" x14ac:dyDescent="0.15">
      <c r="A127" s="16">
        <v>40695</v>
      </c>
      <c r="B127" s="15">
        <v>102.96</v>
      </c>
      <c r="E127" s="82"/>
    </row>
    <row r="128" spans="1:5" x14ac:dyDescent="0.15">
      <c r="A128" s="16">
        <v>40725</v>
      </c>
      <c r="B128" s="15">
        <v>102.85</v>
      </c>
      <c r="E128" s="82"/>
    </row>
    <row r="129" spans="1:5" x14ac:dyDescent="0.15">
      <c r="A129" s="16">
        <v>40756</v>
      </c>
      <c r="B129" s="15">
        <v>102.85</v>
      </c>
      <c r="E129" s="82"/>
    </row>
    <row r="130" spans="1:5" x14ac:dyDescent="0.15">
      <c r="A130" s="16">
        <v>40787</v>
      </c>
      <c r="B130" s="15">
        <v>103.17</v>
      </c>
      <c r="E130" s="82"/>
    </row>
    <row r="131" spans="1:5" x14ac:dyDescent="0.15">
      <c r="A131" s="16">
        <v>40817</v>
      </c>
      <c r="B131" s="15">
        <v>103.28</v>
      </c>
      <c r="E131" s="82"/>
    </row>
    <row r="132" spans="1:5" x14ac:dyDescent="0.15">
      <c r="A132" s="16">
        <v>40848</v>
      </c>
      <c r="B132" s="15">
        <v>103.17</v>
      </c>
      <c r="E132" s="82"/>
    </row>
    <row r="133" spans="1:5" x14ac:dyDescent="0.15">
      <c r="A133" s="16">
        <v>40878</v>
      </c>
      <c r="B133" s="15">
        <v>103.17</v>
      </c>
      <c r="E133" s="82"/>
    </row>
    <row r="134" spans="1:5" x14ac:dyDescent="0.15">
      <c r="A134" s="16">
        <v>40909</v>
      </c>
      <c r="B134" s="15">
        <v>103.6</v>
      </c>
      <c r="E134" s="82"/>
    </row>
    <row r="135" spans="1:5" x14ac:dyDescent="0.15">
      <c r="A135" s="16">
        <v>40940</v>
      </c>
      <c r="B135" s="15">
        <v>104.78</v>
      </c>
      <c r="E135" s="82"/>
    </row>
    <row r="136" spans="1:5" x14ac:dyDescent="0.15">
      <c r="A136" s="16">
        <v>40969</v>
      </c>
      <c r="B136" s="15">
        <v>105.31</v>
      </c>
      <c r="E136" s="82"/>
    </row>
    <row r="137" spans="1:5" x14ac:dyDescent="0.15">
      <c r="A137" s="16">
        <v>41000</v>
      </c>
      <c r="B137" s="15">
        <v>105.31</v>
      </c>
      <c r="E137" s="82"/>
    </row>
    <row r="138" spans="1:5" x14ac:dyDescent="0.15">
      <c r="A138" s="16">
        <v>41030</v>
      </c>
      <c r="B138" s="15">
        <v>105.42</v>
      </c>
      <c r="E138" s="82"/>
    </row>
    <row r="139" spans="1:5" x14ac:dyDescent="0.15">
      <c r="A139" s="16">
        <v>41061</v>
      </c>
      <c r="B139" s="15">
        <v>105.2</v>
      </c>
      <c r="E139" s="82"/>
    </row>
    <row r="140" spans="1:5" x14ac:dyDescent="0.15">
      <c r="A140" s="16">
        <v>41091</v>
      </c>
      <c r="B140" s="15">
        <v>105.2</v>
      </c>
      <c r="E140" s="82"/>
    </row>
    <row r="141" spans="1:5" x14ac:dyDescent="0.15">
      <c r="A141" s="16">
        <v>41122</v>
      </c>
      <c r="B141" s="15">
        <v>105.53</v>
      </c>
      <c r="E141" s="82"/>
    </row>
    <row r="142" spans="1:5" x14ac:dyDescent="0.15">
      <c r="A142" s="16">
        <v>41153</v>
      </c>
      <c r="B142" s="15">
        <v>105.74</v>
      </c>
      <c r="E142" s="82"/>
    </row>
    <row r="143" spans="1:5" x14ac:dyDescent="0.15">
      <c r="A143" s="16">
        <v>41183</v>
      </c>
      <c r="B143" s="15">
        <v>105.74</v>
      </c>
      <c r="E143" s="82"/>
    </row>
    <row r="144" spans="1:5" x14ac:dyDescent="0.15">
      <c r="A144" s="16">
        <v>41214</v>
      </c>
      <c r="B144" s="15">
        <v>105.53</v>
      </c>
      <c r="E144" s="82"/>
    </row>
    <row r="145" spans="1:5" x14ac:dyDescent="0.15">
      <c r="A145" s="16">
        <v>41244</v>
      </c>
      <c r="B145" s="15">
        <v>105.31</v>
      </c>
      <c r="E145" s="82"/>
    </row>
    <row r="146" spans="1:5" x14ac:dyDescent="0.15">
      <c r="A146" s="16">
        <v>41275</v>
      </c>
      <c r="B146" s="15">
        <v>104.88</v>
      </c>
      <c r="E146" s="82"/>
    </row>
    <row r="147" spans="1:5" x14ac:dyDescent="0.15">
      <c r="A147" s="16">
        <v>41306</v>
      </c>
      <c r="B147" s="15">
        <v>106.06</v>
      </c>
      <c r="E147" s="82"/>
    </row>
    <row r="148" spans="1:5" x14ac:dyDescent="0.15">
      <c r="A148" s="16">
        <v>41334</v>
      </c>
      <c r="B148" s="15">
        <v>106.38</v>
      </c>
      <c r="E148" s="82"/>
    </row>
    <row r="149" spans="1:5" x14ac:dyDescent="0.15">
      <c r="A149" s="16">
        <v>41365</v>
      </c>
      <c r="B149" s="15">
        <v>106.17</v>
      </c>
      <c r="E149" s="82"/>
    </row>
    <row r="150" spans="1:5" x14ac:dyDescent="0.15">
      <c r="A150" s="16">
        <v>41395</v>
      </c>
      <c r="B150" s="15">
        <v>106.28</v>
      </c>
      <c r="E150" s="82"/>
    </row>
    <row r="151" spans="1:5" x14ac:dyDescent="0.15">
      <c r="A151" s="16">
        <v>41426</v>
      </c>
      <c r="B151" s="15">
        <v>106.17</v>
      </c>
      <c r="E151" s="82"/>
    </row>
    <row r="152" spans="1:5" x14ac:dyDescent="0.15">
      <c r="A152" s="16">
        <v>41456</v>
      </c>
      <c r="B152" s="15">
        <v>105.85</v>
      </c>
      <c r="E152" s="82"/>
    </row>
    <row r="153" spans="1:5" x14ac:dyDescent="0.15">
      <c r="A153" s="16">
        <v>41487</v>
      </c>
      <c r="B153" s="15">
        <v>105.95</v>
      </c>
      <c r="E153" s="82"/>
    </row>
    <row r="154" spans="1:5" x14ac:dyDescent="0.15">
      <c r="A154" s="16">
        <v>41518</v>
      </c>
      <c r="B154" s="15">
        <v>106.28</v>
      </c>
      <c r="E154" s="82"/>
    </row>
    <row r="155" spans="1:5" x14ac:dyDescent="0.15">
      <c r="A155" s="16">
        <v>41548</v>
      </c>
      <c r="B155" s="15">
        <v>106.38</v>
      </c>
      <c r="E155" s="82"/>
    </row>
    <row r="156" spans="1:5" x14ac:dyDescent="0.15">
      <c r="A156" s="16">
        <v>41579</v>
      </c>
      <c r="B156" s="15">
        <v>106.17</v>
      </c>
      <c r="E156" s="82"/>
    </row>
    <row r="157" spans="1:5" x14ac:dyDescent="0.15">
      <c r="A157" s="16">
        <v>41609</v>
      </c>
      <c r="B157" s="15">
        <v>106.06</v>
      </c>
      <c r="E157" s="82"/>
    </row>
    <row r="158" spans="1:5" x14ac:dyDescent="0.15">
      <c r="A158" s="16">
        <v>41640</v>
      </c>
      <c r="B158" s="15">
        <v>105.95</v>
      </c>
      <c r="E158" s="82"/>
    </row>
    <row r="159" spans="1:5" x14ac:dyDescent="0.15">
      <c r="A159" s="16">
        <v>41671</v>
      </c>
      <c r="B159" s="15">
        <v>106.6</v>
      </c>
      <c r="E159" s="82"/>
    </row>
    <row r="160" spans="1:5" x14ac:dyDescent="0.15">
      <c r="A160" s="16">
        <v>41699</v>
      </c>
      <c r="B160" s="15">
        <v>106.7</v>
      </c>
      <c r="E160" s="82"/>
    </row>
    <row r="161" spans="1:5" x14ac:dyDescent="0.15">
      <c r="A161" s="16">
        <v>41730</v>
      </c>
      <c r="B161" s="15">
        <v>106.92</v>
      </c>
      <c r="E161" s="82"/>
    </row>
    <row r="162" spans="1:5" x14ac:dyDescent="0.15">
      <c r="A162" s="16">
        <v>41760</v>
      </c>
      <c r="B162" s="15">
        <v>106.81</v>
      </c>
      <c r="E162" s="82"/>
    </row>
    <row r="163" spans="1:5" x14ac:dyDescent="0.15">
      <c r="A163" s="16">
        <v>41791</v>
      </c>
      <c r="B163" s="15">
        <v>106.81</v>
      </c>
      <c r="E163" s="82"/>
    </row>
    <row r="164" spans="1:5" x14ac:dyDescent="0.15">
      <c r="A164" s="16">
        <v>41821</v>
      </c>
      <c r="B164" s="15">
        <v>106.6</v>
      </c>
      <c r="E164" s="82"/>
    </row>
    <row r="165" spans="1:5" x14ac:dyDescent="0.15">
      <c r="A165" s="16">
        <v>41852</v>
      </c>
      <c r="B165" s="15">
        <v>106.49</v>
      </c>
      <c r="E165" s="82"/>
    </row>
    <row r="166" spans="1:5" x14ac:dyDescent="0.15">
      <c r="A166" s="16">
        <v>41883</v>
      </c>
      <c r="B166" s="15">
        <v>106.81</v>
      </c>
      <c r="E166" s="82"/>
    </row>
    <row r="167" spans="1:5" x14ac:dyDescent="0.15">
      <c r="A167" s="16">
        <v>41913</v>
      </c>
      <c r="B167" s="15">
        <v>106.92</v>
      </c>
      <c r="E167" s="82"/>
    </row>
    <row r="168" spans="1:5" x14ac:dyDescent="0.15">
      <c r="A168" s="16">
        <v>41944</v>
      </c>
      <c r="B168" s="15">
        <v>106.7</v>
      </c>
      <c r="E168" s="82"/>
    </row>
    <row r="169" spans="1:5" x14ac:dyDescent="0.15">
      <c r="A169" s="16">
        <v>41974</v>
      </c>
      <c r="B169" s="15">
        <v>106.49</v>
      </c>
      <c r="E169" s="82"/>
    </row>
    <row r="170" spans="1:5" x14ac:dyDescent="0.15">
      <c r="A170" s="16">
        <v>42005</v>
      </c>
      <c r="B170" s="15">
        <v>105.85</v>
      </c>
      <c r="E170" s="82"/>
    </row>
    <row r="171" spans="1:5" x14ac:dyDescent="0.15">
      <c r="A171" s="16">
        <v>42036</v>
      </c>
      <c r="B171" s="15">
        <v>106.92</v>
      </c>
      <c r="E171" s="82"/>
    </row>
    <row r="172" spans="1:5" x14ac:dyDescent="0.15">
      <c r="A172" s="16">
        <v>42064</v>
      </c>
      <c r="B172" s="15">
        <v>107.35</v>
      </c>
      <c r="E172" s="82"/>
    </row>
    <row r="173" spans="1:5" x14ac:dyDescent="0.15">
      <c r="A173" s="16">
        <v>42095</v>
      </c>
      <c r="B173" s="15">
        <v>107.45</v>
      </c>
      <c r="E173" s="82"/>
    </row>
    <row r="174" spans="1:5" x14ac:dyDescent="0.15">
      <c r="A174" s="16">
        <v>42125</v>
      </c>
      <c r="B174" s="15">
        <v>107.56</v>
      </c>
      <c r="E174" s="82"/>
    </row>
    <row r="175" spans="1:5" x14ac:dyDescent="0.15">
      <c r="A175" s="16">
        <v>42156</v>
      </c>
      <c r="B175" s="15">
        <v>107.45</v>
      </c>
      <c r="E175" s="82"/>
    </row>
    <row r="176" spans="1:5" x14ac:dyDescent="0.15">
      <c r="A176" s="16">
        <v>42186</v>
      </c>
      <c r="B176" s="15">
        <v>107.35</v>
      </c>
      <c r="E176" s="82"/>
    </row>
    <row r="177" spans="1:5" x14ac:dyDescent="0.15">
      <c r="A177" s="16">
        <v>42217</v>
      </c>
      <c r="B177" s="15">
        <v>107.13</v>
      </c>
      <c r="E177" s="82"/>
    </row>
    <row r="178" spans="1:5" x14ac:dyDescent="0.15">
      <c r="A178" s="16">
        <v>42248</v>
      </c>
      <c r="B178" s="15">
        <v>107.35</v>
      </c>
      <c r="E178" s="82"/>
    </row>
    <row r="179" spans="1:5" x14ac:dyDescent="0.15">
      <c r="A179" s="16">
        <v>42278</v>
      </c>
      <c r="B179" s="15">
        <v>107.24</v>
      </c>
      <c r="E179" s="82"/>
    </row>
    <row r="180" spans="1:5" x14ac:dyDescent="0.15">
      <c r="A180" s="16">
        <v>42309</v>
      </c>
      <c r="B180" s="15">
        <v>107.03</v>
      </c>
      <c r="E180" s="82"/>
    </row>
    <row r="181" spans="1:5" x14ac:dyDescent="0.15">
      <c r="A181" s="16">
        <v>42339</v>
      </c>
      <c r="B181" s="15">
        <v>106.92</v>
      </c>
      <c r="E181" s="82"/>
    </row>
    <row r="182" spans="1:5" x14ac:dyDescent="0.15">
      <c r="A182" s="16">
        <v>42370</v>
      </c>
      <c r="B182" s="15">
        <v>106.49</v>
      </c>
      <c r="E182" s="82"/>
    </row>
    <row r="183" spans="1:5" x14ac:dyDescent="0.15">
      <c r="A183" s="16">
        <v>42401</v>
      </c>
      <c r="B183" s="15">
        <v>107.24</v>
      </c>
      <c r="E183" s="82"/>
    </row>
    <row r="184" spans="1:5" x14ac:dyDescent="0.15">
      <c r="A184" s="16">
        <v>42430</v>
      </c>
      <c r="B184" s="15">
        <v>107.35</v>
      </c>
      <c r="E184" s="82"/>
    </row>
    <row r="185" spans="1:5" x14ac:dyDescent="0.15">
      <c r="A185" s="16">
        <v>42461</v>
      </c>
      <c r="B185" s="15">
        <v>107.45</v>
      </c>
      <c r="E185" s="82"/>
    </row>
    <row r="186" spans="1:5" x14ac:dyDescent="0.15">
      <c r="A186" s="16">
        <v>42491</v>
      </c>
      <c r="B186" s="15">
        <v>107.67</v>
      </c>
      <c r="E186" s="82"/>
    </row>
    <row r="187" spans="1:5" x14ac:dyDescent="0.15">
      <c r="A187" s="16">
        <v>42522</v>
      </c>
      <c r="B187" s="15">
        <v>107.78</v>
      </c>
      <c r="E187" s="82"/>
    </row>
    <row r="188" spans="1:5" x14ac:dyDescent="0.15">
      <c r="A188" s="16">
        <v>42552</v>
      </c>
      <c r="B188" s="15">
        <v>107.67</v>
      </c>
      <c r="E188" s="82"/>
    </row>
    <row r="189" spans="1:5" x14ac:dyDescent="0.15">
      <c r="A189" s="16">
        <v>42583</v>
      </c>
      <c r="B189" s="15">
        <v>107.35</v>
      </c>
      <c r="E189" s="82"/>
    </row>
    <row r="190" spans="1:5" x14ac:dyDescent="0.15">
      <c r="A190" s="16">
        <v>42614</v>
      </c>
      <c r="B190" s="15">
        <v>107.35</v>
      </c>
      <c r="E190" s="82"/>
    </row>
    <row r="191" spans="1:5" x14ac:dyDescent="0.15">
      <c r="A191" s="16">
        <v>42644</v>
      </c>
      <c r="B191" s="15">
        <v>107.56</v>
      </c>
      <c r="E191" s="82"/>
    </row>
    <row r="192" spans="1:5" x14ac:dyDescent="0.15">
      <c r="A192" s="16">
        <v>42675</v>
      </c>
      <c r="B192" s="15">
        <v>107.45</v>
      </c>
      <c r="E192" s="82"/>
    </row>
    <row r="193" spans="1:5" x14ac:dyDescent="0.15">
      <c r="A193" s="16">
        <v>42705</v>
      </c>
      <c r="B193" s="15">
        <v>107.45</v>
      </c>
      <c r="E193" s="82"/>
    </row>
    <row r="194" spans="1:5" x14ac:dyDescent="0.15">
      <c r="A194" s="16">
        <v>42736</v>
      </c>
      <c r="B194" s="15">
        <v>107.45</v>
      </c>
      <c r="E194" s="82"/>
    </row>
    <row r="195" spans="1:5" x14ac:dyDescent="0.15">
      <c r="E195" s="82"/>
    </row>
    <row r="196" spans="1:5" x14ac:dyDescent="0.15">
      <c r="E196" s="82"/>
    </row>
    <row r="197" spans="1:5" x14ac:dyDescent="0.15">
      <c r="E197" s="82"/>
    </row>
    <row r="198" spans="1:5" x14ac:dyDescent="0.15">
      <c r="E198" s="82"/>
    </row>
    <row r="199" spans="1:5" x14ac:dyDescent="0.15">
      <c r="E199" s="82"/>
    </row>
    <row r="200" spans="1:5" x14ac:dyDescent="0.15">
      <c r="E200" s="82"/>
    </row>
    <row r="201" spans="1:5" x14ac:dyDescent="0.15">
      <c r="E201" s="82"/>
    </row>
    <row r="202" spans="1:5" x14ac:dyDescent="0.15">
      <c r="E202" s="82"/>
    </row>
    <row r="203" spans="1:5" x14ac:dyDescent="0.15">
      <c r="E203" s="82"/>
    </row>
    <row r="204" spans="1:5" x14ac:dyDescent="0.15">
      <c r="E204" s="82"/>
    </row>
    <row r="205" spans="1:5" x14ac:dyDescent="0.15">
      <c r="E205" s="82"/>
    </row>
    <row r="206" spans="1:5" x14ac:dyDescent="0.15">
      <c r="E206" s="82"/>
    </row>
    <row r="207" spans="1:5" x14ac:dyDescent="0.15">
      <c r="E207" s="82"/>
    </row>
    <row r="208" spans="1:5" x14ac:dyDescent="0.15">
      <c r="E208" s="82"/>
    </row>
    <row r="209" spans="5:5" x14ac:dyDescent="0.15">
      <c r="E209" s="82"/>
    </row>
    <row r="210" spans="5:5" x14ac:dyDescent="0.15">
      <c r="E210" s="82"/>
    </row>
    <row r="211" spans="5:5" x14ac:dyDescent="0.15">
      <c r="E211" s="82"/>
    </row>
    <row r="212" spans="5:5" x14ac:dyDescent="0.15">
      <c r="E212" s="82"/>
    </row>
    <row r="213" spans="5:5" x14ac:dyDescent="0.15">
      <c r="E213" s="82"/>
    </row>
    <row r="214" spans="5:5" x14ac:dyDescent="0.15">
      <c r="E214" s="82"/>
    </row>
    <row r="215" spans="5:5" x14ac:dyDescent="0.15">
      <c r="E215" s="82"/>
    </row>
    <row r="216" spans="5:5" x14ac:dyDescent="0.15">
      <c r="E216" s="82"/>
    </row>
    <row r="217" spans="5:5" x14ac:dyDescent="0.15">
      <c r="E217" s="82"/>
    </row>
    <row r="218" spans="5:5" x14ac:dyDescent="0.15">
      <c r="E218" s="82"/>
    </row>
    <row r="219" spans="5:5" x14ac:dyDescent="0.15">
      <c r="E219" s="82"/>
    </row>
    <row r="220" spans="5:5" x14ac:dyDescent="0.15">
      <c r="E220" s="82"/>
    </row>
    <row r="221" spans="5:5" x14ac:dyDescent="0.15">
      <c r="E221" s="82"/>
    </row>
    <row r="222" spans="5:5" x14ac:dyDescent="0.15">
      <c r="E222" s="82"/>
    </row>
    <row r="223" spans="5:5" x14ac:dyDescent="0.15">
      <c r="E223" s="82"/>
    </row>
    <row r="224" spans="5:5" x14ac:dyDescent="0.15">
      <c r="E224" s="82"/>
    </row>
    <row r="225" spans="5:5" x14ac:dyDescent="0.15">
      <c r="E225" s="82"/>
    </row>
    <row r="226" spans="5:5" x14ac:dyDescent="0.15">
      <c r="E226" s="82"/>
    </row>
    <row r="227" spans="5:5" x14ac:dyDescent="0.15">
      <c r="E227" s="82"/>
    </row>
    <row r="228" spans="5:5" x14ac:dyDescent="0.15">
      <c r="E228" s="82"/>
    </row>
    <row r="229" spans="5:5" x14ac:dyDescent="0.15">
      <c r="E229" s="82"/>
    </row>
    <row r="230" spans="5:5" x14ac:dyDescent="0.15">
      <c r="E230" s="82"/>
    </row>
    <row r="231" spans="5:5" x14ac:dyDescent="0.15">
      <c r="E231" s="8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workbookViewId="0">
      <selection activeCell="F48" sqref="F48"/>
    </sheetView>
  </sheetViews>
  <sheetFormatPr baseColWidth="10" defaultColWidth="20.6640625" defaultRowHeight="13" x14ac:dyDescent="0.15"/>
  <cols>
    <col min="1" max="16384" width="20.6640625" style="14"/>
  </cols>
  <sheetData>
    <row r="1" spans="1:5" x14ac:dyDescent="0.15">
      <c r="A1" s="18" t="s">
        <v>834</v>
      </c>
      <c r="B1" s="18" t="s">
        <v>842</v>
      </c>
      <c r="D1" s="14">
        <f>LN($B$188/B8)+1</f>
        <v>1.2132512818282941</v>
      </c>
      <c r="E1" s="14">
        <v>2001</v>
      </c>
    </row>
    <row r="2" spans="1:5" x14ac:dyDescent="0.15">
      <c r="A2" s="16">
        <v>36892</v>
      </c>
      <c r="B2" s="15">
        <v>86.85</v>
      </c>
      <c r="D2" s="14">
        <f>LN($B$188/B20)+1</f>
        <v>1.1966067230307924</v>
      </c>
      <c r="E2" s="14">
        <v>2002</v>
      </c>
    </row>
    <row r="3" spans="1:5" x14ac:dyDescent="0.15">
      <c r="A3" s="16">
        <v>36923</v>
      </c>
      <c r="B3" s="15">
        <v>87.39</v>
      </c>
      <c r="D3" s="14">
        <f>LN($B$188/B32)+1</f>
        <v>1.1919332973667056</v>
      </c>
      <c r="E3" s="14">
        <v>2003</v>
      </c>
    </row>
    <row r="4" spans="1:5" x14ac:dyDescent="0.15">
      <c r="A4" s="16">
        <v>36951</v>
      </c>
      <c r="B4" s="15">
        <v>87.86</v>
      </c>
      <c r="D4" s="14">
        <f>LN($B$188/B44)+1</f>
        <v>1.1886084577749523</v>
      </c>
      <c r="E4" s="14">
        <v>2004</v>
      </c>
    </row>
    <row r="5" spans="1:5" x14ac:dyDescent="0.15">
      <c r="A5" s="16">
        <v>36982</v>
      </c>
      <c r="B5" s="15">
        <v>88.27</v>
      </c>
      <c r="D5" s="14">
        <f>LN($B$188/B56)+1</f>
        <v>1.1834216669159057</v>
      </c>
      <c r="E5" s="14">
        <v>2005</v>
      </c>
    </row>
    <row r="6" spans="1:5" x14ac:dyDescent="0.15">
      <c r="A6" s="16">
        <v>37012</v>
      </c>
      <c r="B6" s="15">
        <v>88.85</v>
      </c>
      <c r="D6" s="14">
        <f>LN($B$188/B68)+1</f>
        <v>1.1645583261549612</v>
      </c>
      <c r="E6" s="14">
        <v>2006</v>
      </c>
    </row>
    <row r="7" spans="1:5" x14ac:dyDescent="0.15">
      <c r="A7" s="16">
        <v>37043</v>
      </c>
      <c r="B7" s="15">
        <v>88.84</v>
      </c>
      <c r="D7" s="14">
        <f>LN($B$188/B80)+1</f>
        <v>1.1392810244997911</v>
      </c>
      <c r="E7" s="14">
        <v>2007</v>
      </c>
    </row>
    <row r="8" spans="1:5" x14ac:dyDescent="0.15">
      <c r="A8" s="16">
        <v>37073</v>
      </c>
      <c r="B8" s="15">
        <v>88.18</v>
      </c>
      <c r="D8" s="14">
        <f>LN($B$188/B92)+1</f>
        <v>1.0969057345979942</v>
      </c>
      <c r="E8" s="14">
        <v>2008</v>
      </c>
    </row>
    <row r="9" spans="1:5" x14ac:dyDescent="0.15">
      <c r="A9" s="16">
        <v>37104</v>
      </c>
      <c r="B9" s="15">
        <v>88.46</v>
      </c>
      <c r="D9" s="14">
        <f>LN($B$188/B104)+1</f>
        <v>1.1024733958904982</v>
      </c>
      <c r="E9" s="14">
        <v>2009</v>
      </c>
    </row>
    <row r="10" spans="1:5" x14ac:dyDescent="0.15">
      <c r="A10" s="16">
        <v>37135</v>
      </c>
      <c r="B10" s="15">
        <v>89.09</v>
      </c>
      <c r="D10" s="14">
        <f>LN($B$188/B115)+1</f>
        <v>1.0877613207789965</v>
      </c>
      <c r="E10" s="14">
        <v>2010</v>
      </c>
    </row>
    <row r="11" spans="1:5" x14ac:dyDescent="0.15">
      <c r="A11" s="16">
        <v>37165</v>
      </c>
      <c r="B11" s="15">
        <v>88.89</v>
      </c>
      <c r="D11" s="14">
        <f>LN($B$188/B128)+1</f>
        <v>1.0557688290375049</v>
      </c>
      <c r="E11" s="14">
        <v>2011</v>
      </c>
    </row>
    <row r="12" spans="1:5" x14ac:dyDescent="0.15">
      <c r="A12" s="16">
        <v>37196</v>
      </c>
      <c r="B12" s="15">
        <v>88.5</v>
      </c>
      <c r="D12" s="14">
        <f>LN($B$188/B140)+1</f>
        <v>1.0269307760299622</v>
      </c>
      <c r="E12" s="14">
        <v>2012</v>
      </c>
    </row>
    <row r="13" spans="1:5" x14ac:dyDescent="0.15">
      <c r="A13" s="16">
        <v>37226</v>
      </c>
      <c r="B13" s="15">
        <v>88.46</v>
      </c>
      <c r="D13" s="14">
        <f>LN($B$188/B152)+1</f>
        <v>1.0111485929208308</v>
      </c>
      <c r="E13" s="14">
        <v>2013</v>
      </c>
    </row>
    <row r="14" spans="1:5" x14ac:dyDescent="0.15">
      <c r="A14" s="16">
        <v>37257</v>
      </c>
      <c r="B14" s="15">
        <v>88.83</v>
      </c>
      <c r="D14" s="14">
        <f>LN($B$188/B164)+1</f>
        <v>1.0028444300501156</v>
      </c>
      <c r="E14" s="14">
        <v>2014</v>
      </c>
    </row>
    <row r="15" spans="1:5" x14ac:dyDescent="0.15">
      <c r="A15" s="16">
        <v>37288</v>
      </c>
      <c r="B15" s="15">
        <v>88.97</v>
      </c>
      <c r="D15" s="14">
        <f>LN($B$188/B176)+1</f>
        <v>1.0050521395292766</v>
      </c>
      <c r="E15" s="14">
        <v>2015</v>
      </c>
    </row>
    <row r="16" spans="1:5" x14ac:dyDescent="0.15">
      <c r="A16" s="16">
        <v>37316</v>
      </c>
      <c r="B16" s="15">
        <v>89.45</v>
      </c>
      <c r="D16" s="14">
        <f>LN($B$188/B188)+1</f>
        <v>1</v>
      </c>
      <c r="E16" s="14">
        <v>2016</v>
      </c>
    </row>
    <row r="17" spans="1:2" x14ac:dyDescent="0.15">
      <c r="A17" s="16">
        <v>37347</v>
      </c>
      <c r="B17" s="15">
        <v>89.82</v>
      </c>
    </row>
    <row r="18" spans="1:2" x14ac:dyDescent="0.15">
      <c r="A18" s="16">
        <v>37377</v>
      </c>
      <c r="B18" s="15">
        <v>90.01</v>
      </c>
    </row>
    <row r="19" spans="1:2" x14ac:dyDescent="0.15">
      <c r="A19" s="16">
        <v>37408</v>
      </c>
      <c r="B19" s="15">
        <v>89.82</v>
      </c>
    </row>
    <row r="20" spans="1:2" x14ac:dyDescent="0.15">
      <c r="A20" s="16">
        <v>37438</v>
      </c>
      <c r="B20" s="15">
        <v>89.66</v>
      </c>
    </row>
    <row r="21" spans="1:2" x14ac:dyDescent="0.15">
      <c r="A21" s="16">
        <v>37469</v>
      </c>
      <c r="B21" s="15">
        <v>89.66</v>
      </c>
    </row>
    <row r="22" spans="1:2" x14ac:dyDescent="0.15">
      <c r="A22" s="16">
        <v>37500</v>
      </c>
      <c r="B22" s="15">
        <v>89.99</v>
      </c>
    </row>
    <row r="23" spans="1:2" x14ac:dyDescent="0.15">
      <c r="A23" s="16">
        <v>37530</v>
      </c>
      <c r="B23" s="15">
        <v>90.22</v>
      </c>
    </row>
    <row r="24" spans="1:2" x14ac:dyDescent="0.15">
      <c r="A24" s="16">
        <v>37561</v>
      </c>
      <c r="B24" s="15">
        <v>89.94</v>
      </c>
    </row>
    <row r="25" spans="1:2" x14ac:dyDescent="0.15">
      <c r="A25" s="16">
        <v>37591</v>
      </c>
      <c r="B25" s="15">
        <v>89.93</v>
      </c>
    </row>
    <row r="26" spans="1:2" x14ac:dyDescent="0.15">
      <c r="A26" s="16">
        <v>37622</v>
      </c>
      <c r="B26" s="15">
        <v>90.04</v>
      </c>
    </row>
    <row r="27" spans="1:2" x14ac:dyDescent="0.15">
      <c r="A27" s="16">
        <v>37653</v>
      </c>
      <c r="B27" s="15">
        <v>90.63</v>
      </c>
    </row>
    <row r="28" spans="1:2" x14ac:dyDescent="0.15">
      <c r="A28" s="16">
        <v>37681</v>
      </c>
      <c r="B28" s="15">
        <v>90.88</v>
      </c>
    </row>
    <row r="29" spans="1:2" x14ac:dyDescent="0.15">
      <c r="A29" s="16">
        <v>37712</v>
      </c>
      <c r="B29" s="15">
        <v>90.77</v>
      </c>
    </row>
    <row r="30" spans="1:2" x14ac:dyDescent="0.15">
      <c r="A30" s="16">
        <v>37742</v>
      </c>
      <c r="B30" s="15">
        <v>90.66</v>
      </c>
    </row>
    <row r="31" spans="1:2" x14ac:dyDescent="0.15">
      <c r="A31" s="16">
        <v>37773</v>
      </c>
      <c r="B31" s="15">
        <v>90.56</v>
      </c>
    </row>
    <row r="32" spans="1:2" x14ac:dyDescent="0.15">
      <c r="A32" s="16">
        <v>37803</v>
      </c>
      <c r="B32" s="15">
        <v>90.08</v>
      </c>
    </row>
    <row r="33" spans="1:2" x14ac:dyDescent="0.15">
      <c r="A33" s="16">
        <v>37834</v>
      </c>
      <c r="B33" s="15">
        <v>90.2</v>
      </c>
    </row>
    <row r="34" spans="1:2" x14ac:dyDescent="0.15">
      <c r="A34" s="16">
        <v>37865</v>
      </c>
      <c r="B34" s="15">
        <v>90.57</v>
      </c>
    </row>
    <row r="35" spans="1:2" x14ac:dyDescent="0.15">
      <c r="A35" s="16">
        <v>37895</v>
      </c>
      <c r="B35" s="15">
        <v>90.48</v>
      </c>
    </row>
    <row r="36" spans="1:2" x14ac:dyDescent="0.15">
      <c r="A36" s="16">
        <v>37926</v>
      </c>
      <c r="B36" s="15">
        <v>90.39</v>
      </c>
    </row>
    <row r="37" spans="1:2" x14ac:dyDescent="0.15">
      <c r="A37" s="16">
        <v>37956</v>
      </c>
      <c r="B37" s="15">
        <v>90.47</v>
      </c>
    </row>
    <row r="38" spans="1:2" x14ac:dyDescent="0.15">
      <c r="A38" s="16">
        <v>37987</v>
      </c>
      <c r="B38" s="15">
        <v>90.22</v>
      </c>
    </row>
    <row r="39" spans="1:2" x14ac:dyDescent="0.15">
      <c r="A39" s="16">
        <v>38018</v>
      </c>
      <c r="B39" s="15">
        <v>90.73</v>
      </c>
    </row>
    <row r="40" spans="1:2" x14ac:dyDescent="0.15">
      <c r="A40" s="16">
        <v>38047</v>
      </c>
      <c r="B40" s="15">
        <v>90.42</v>
      </c>
    </row>
    <row r="41" spans="1:2" x14ac:dyDescent="0.15">
      <c r="A41" s="16">
        <v>38078</v>
      </c>
      <c r="B41" s="15">
        <v>90.44</v>
      </c>
    </row>
    <row r="42" spans="1:2" x14ac:dyDescent="0.15">
      <c r="A42" s="16">
        <v>38108</v>
      </c>
      <c r="B42" s="15">
        <v>90.56</v>
      </c>
    </row>
    <row r="43" spans="1:2" x14ac:dyDescent="0.15">
      <c r="A43" s="16">
        <v>38139</v>
      </c>
      <c r="B43" s="15">
        <v>90.5</v>
      </c>
    </row>
    <row r="44" spans="1:2" x14ac:dyDescent="0.15">
      <c r="A44" s="16">
        <v>38169</v>
      </c>
      <c r="B44" s="15">
        <v>90.38</v>
      </c>
    </row>
    <row r="45" spans="1:2" x14ac:dyDescent="0.15">
      <c r="A45" s="16">
        <v>38200</v>
      </c>
      <c r="B45" s="15">
        <v>90.61</v>
      </c>
    </row>
    <row r="46" spans="1:2" x14ac:dyDescent="0.15">
      <c r="A46" s="16">
        <v>38231</v>
      </c>
      <c r="B46" s="15">
        <v>90.96</v>
      </c>
    </row>
    <row r="47" spans="1:2" x14ac:dyDescent="0.15">
      <c r="A47" s="16">
        <v>38261</v>
      </c>
      <c r="B47" s="15">
        <v>91.25</v>
      </c>
    </row>
    <row r="48" spans="1:2" x14ac:dyDescent="0.15">
      <c r="A48" s="16">
        <v>38292</v>
      </c>
      <c r="B48" s="15">
        <v>90.85</v>
      </c>
    </row>
    <row r="49" spans="1:2" x14ac:dyDescent="0.15">
      <c r="A49" s="16">
        <v>38322</v>
      </c>
      <c r="B49" s="15">
        <v>90.86</v>
      </c>
    </row>
    <row r="50" spans="1:2" x14ac:dyDescent="0.15">
      <c r="A50" s="16">
        <v>38353</v>
      </c>
      <c r="B50" s="15">
        <v>90.39</v>
      </c>
    </row>
    <row r="51" spans="1:2" x14ac:dyDescent="0.15">
      <c r="A51" s="16">
        <v>38384</v>
      </c>
      <c r="B51" s="15">
        <v>91.03</v>
      </c>
    </row>
    <row r="52" spans="1:2" x14ac:dyDescent="0.15">
      <c r="A52" s="16">
        <v>38412</v>
      </c>
      <c r="B52" s="15">
        <v>91.3</v>
      </c>
    </row>
    <row r="53" spans="1:2" x14ac:dyDescent="0.15">
      <c r="A53" s="16">
        <v>38443</v>
      </c>
      <c r="B53" s="15">
        <v>91.4</v>
      </c>
    </row>
    <row r="54" spans="1:2" x14ac:dyDescent="0.15">
      <c r="A54" s="16">
        <v>38473</v>
      </c>
      <c r="B54" s="15">
        <v>91.12</v>
      </c>
    </row>
    <row r="55" spans="1:2" x14ac:dyDescent="0.15">
      <c r="A55" s="16">
        <v>38504</v>
      </c>
      <c r="B55" s="15">
        <v>91.21</v>
      </c>
    </row>
    <row r="56" spans="1:2" x14ac:dyDescent="0.15">
      <c r="A56" s="16">
        <v>38534</v>
      </c>
      <c r="B56" s="15">
        <v>90.85</v>
      </c>
    </row>
    <row r="57" spans="1:2" x14ac:dyDescent="0.15">
      <c r="A57" s="16">
        <v>38565</v>
      </c>
      <c r="B57" s="15">
        <v>91.21</v>
      </c>
    </row>
    <row r="58" spans="1:2" x14ac:dyDescent="0.15">
      <c r="A58" s="16">
        <v>38596</v>
      </c>
      <c r="B58" s="15">
        <v>91.67</v>
      </c>
    </row>
    <row r="59" spans="1:2" x14ac:dyDescent="0.15">
      <c r="A59" s="16">
        <v>38626</v>
      </c>
      <c r="B59" s="15">
        <v>91.58</v>
      </c>
    </row>
    <row r="60" spans="1:2" x14ac:dyDescent="0.15">
      <c r="A60" s="16">
        <v>38657</v>
      </c>
      <c r="B60" s="15">
        <v>91.4</v>
      </c>
    </row>
    <row r="61" spans="1:2" x14ac:dyDescent="0.15">
      <c r="A61" s="16">
        <v>38687</v>
      </c>
      <c r="B61" s="15">
        <v>91.4</v>
      </c>
    </row>
    <row r="62" spans="1:2" x14ac:dyDescent="0.15">
      <c r="A62" s="16">
        <v>38718</v>
      </c>
      <c r="B62" s="15">
        <v>91.12</v>
      </c>
    </row>
    <row r="63" spans="1:2" x14ac:dyDescent="0.15">
      <c r="A63" s="16">
        <v>38749</v>
      </c>
      <c r="B63" s="15">
        <v>91.85</v>
      </c>
    </row>
    <row r="64" spans="1:2" x14ac:dyDescent="0.15">
      <c r="A64" s="16">
        <v>38777</v>
      </c>
      <c r="B64" s="15">
        <v>92.13</v>
      </c>
    </row>
    <row r="65" spans="1:2" x14ac:dyDescent="0.15">
      <c r="A65" s="16">
        <v>38808</v>
      </c>
      <c r="B65" s="15">
        <v>92.58</v>
      </c>
    </row>
    <row r="66" spans="1:2" x14ac:dyDescent="0.15">
      <c r="A66" s="16">
        <v>38838</v>
      </c>
      <c r="B66" s="15">
        <v>92.67</v>
      </c>
    </row>
    <row r="67" spans="1:2" x14ac:dyDescent="0.15">
      <c r="A67" s="16">
        <v>38869</v>
      </c>
      <c r="B67" s="15">
        <v>92.76</v>
      </c>
    </row>
    <row r="68" spans="1:2" x14ac:dyDescent="0.15">
      <c r="A68" s="16">
        <v>38899</v>
      </c>
      <c r="B68" s="15">
        <v>92.58</v>
      </c>
    </row>
    <row r="69" spans="1:2" x14ac:dyDescent="0.15">
      <c r="A69" s="16">
        <v>38930</v>
      </c>
      <c r="B69" s="15">
        <v>92.95</v>
      </c>
    </row>
    <row r="70" spans="1:2" x14ac:dyDescent="0.15">
      <c r="A70" s="16">
        <v>38961</v>
      </c>
      <c r="B70" s="15">
        <v>93.04</v>
      </c>
    </row>
    <row r="71" spans="1:2" x14ac:dyDescent="0.15">
      <c r="A71" s="16">
        <v>38991</v>
      </c>
      <c r="B71" s="15">
        <v>93.31</v>
      </c>
    </row>
    <row r="72" spans="1:2" x14ac:dyDescent="0.15">
      <c r="A72" s="16">
        <v>39022</v>
      </c>
      <c r="B72" s="15">
        <v>93.31</v>
      </c>
    </row>
    <row r="73" spans="1:2" x14ac:dyDescent="0.15">
      <c r="A73" s="16">
        <v>39052</v>
      </c>
      <c r="B73" s="15">
        <v>93.4</v>
      </c>
    </row>
    <row r="74" spans="1:2" x14ac:dyDescent="0.15">
      <c r="A74" s="16">
        <v>39083</v>
      </c>
      <c r="B74" s="15">
        <v>93.22</v>
      </c>
    </row>
    <row r="75" spans="1:2" x14ac:dyDescent="0.15">
      <c r="A75" s="16">
        <v>39114</v>
      </c>
      <c r="B75" s="15">
        <v>93.86</v>
      </c>
    </row>
    <row r="76" spans="1:2" x14ac:dyDescent="0.15">
      <c r="A76" s="16">
        <v>39142</v>
      </c>
      <c r="B76" s="15">
        <v>94.5</v>
      </c>
    </row>
    <row r="77" spans="1:2" x14ac:dyDescent="0.15">
      <c r="A77" s="16">
        <v>39173</v>
      </c>
      <c r="B77" s="15">
        <v>94.95</v>
      </c>
    </row>
    <row r="78" spans="1:2" x14ac:dyDescent="0.15">
      <c r="A78" s="16">
        <v>39203</v>
      </c>
      <c r="B78" s="15">
        <v>94.86</v>
      </c>
    </row>
    <row r="79" spans="1:2" x14ac:dyDescent="0.15">
      <c r="A79" s="16">
        <v>39234</v>
      </c>
      <c r="B79" s="15">
        <v>95.04</v>
      </c>
    </row>
    <row r="80" spans="1:2" x14ac:dyDescent="0.15">
      <c r="A80" s="16">
        <v>39264</v>
      </c>
      <c r="B80" s="15">
        <v>94.95</v>
      </c>
    </row>
    <row r="81" spans="1:2" x14ac:dyDescent="0.15">
      <c r="A81" s="16">
        <v>39295</v>
      </c>
      <c r="B81" s="15">
        <v>95.04</v>
      </c>
    </row>
    <row r="82" spans="1:2" x14ac:dyDescent="0.15">
      <c r="A82" s="16">
        <v>39326</v>
      </c>
      <c r="B82" s="15">
        <v>95.5</v>
      </c>
    </row>
    <row r="83" spans="1:2" x14ac:dyDescent="0.15">
      <c r="A83" s="16">
        <v>39356</v>
      </c>
      <c r="B83" s="15">
        <v>95.77</v>
      </c>
    </row>
    <row r="84" spans="1:2" x14ac:dyDescent="0.15">
      <c r="A84" s="16">
        <v>39387</v>
      </c>
      <c r="B84" s="15">
        <v>96.05</v>
      </c>
    </row>
    <row r="85" spans="1:2" x14ac:dyDescent="0.15">
      <c r="A85" s="16">
        <v>39417</v>
      </c>
      <c r="B85" s="15">
        <v>95.87</v>
      </c>
    </row>
    <row r="86" spans="1:2" x14ac:dyDescent="0.15">
      <c r="A86" s="16">
        <v>39448</v>
      </c>
      <c r="B86" s="15">
        <v>96.87</v>
      </c>
    </row>
    <row r="87" spans="1:2" x14ac:dyDescent="0.15">
      <c r="A87" s="16">
        <v>39479</v>
      </c>
      <c r="B87" s="15">
        <v>97.32</v>
      </c>
    </row>
    <row r="88" spans="1:2" x14ac:dyDescent="0.15">
      <c r="A88" s="16">
        <v>39508</v>
      </c>
      <c r="B88" s="15">
        <v>98.15</v>
      </c>
    </row>
    <row r="89" spans="1:2" x14ac:dyDescent="0.15">
      <c r="A89" s="16">
        <v>39539</v>
      </c>
      <c r="B89" s="15">
        <v>98.33</v>
      </c>
    </row>
    <row r="90" spans="1:2" x14ac:dyDescent="0.15">
      <c r="A90" s="16">
        <v>39569</v>
      </c>
      <c r="B90" s="15">
        <v>98.88</v>
      </c>
    </row>
    <row r="91" spans="1:2" x14ac:dyDescent="0.15">
      <c r="A91" s="16">
        <v>39600</v>
      </c>
      <c r="B91" s="15">
        <v>99.24</v>
      </c>
    </row>
    <row r="92" spans="1:2" x14ac:dyDescent="0.15">
      <c r="A92" s="16">
        <v>39630</v>
      </c>
      <c r="B92" s="15">
        <v>99.06</v>
      </c>
    </row>
    <row r="93" spans="1:2" x14ac:dyDescent="0.15">
      <c r="A93" s="16">
        <v>39661</v>
      </c>
      <c r="B93" s="15">
        <v>99.51</v>
      </c>
    </row>
    <row r="94" spans="1:2" x14ac:dyDescent="0.15">
      <c r="A94" s="16">
        <v>39692</v>
      </c>
      <c r="B94" s="15">
        <v>99.97</v>
      </c>
    </row>
    <row r="95" spans="1:2" x14ac:dyDescent="0.15">
      <c r="A95" s="16">
        <v>39722</v>
      </c>
      <c r="B95" s="15">
        <v>99.97</v>
      </c>
    </row>
    <row r="96" spans="1:2" x14ac:dyDescent="0.15">
      <c r="A96" s="16">
        <v>39753</v>
      </c>
      <c r="B96" s="15">
        <v>99.51</v>
      </c>
    </row>
    <row r="97" spans="1:2" x14ac:dyDescent="0.15">
      <c r="A97" s="16">
        <v>39783</v>
      </c>
      <c r="B97" s="15">
        <v>99.15</v>
      </c>
    </row>
    <row r="98" spans="1:2" x14ac:dyDescent="0.15">
      <c r="A98" s="16">
        <v>39814</v>
      </c>
      <c r="B98" s="15">
        <v>98.97</v>
      </c>
    </row>
    <row r="99" spans="1:2" x14ac:dyDescent="0.15">
      <c r="A99" s="16">
        <v>39845</v>
      </c>
      <c r="B99" s="15">
        <v>99.06</v>
      </c>
    </row>
    <row r="100" spans="1:2" x14ac:dyDescent="0.15">
      <c r="A100" s="16">
        <v>39873</v>
      </c>
      <c r="B100" s="15">
        <v>99.06</v>
      </c>
    </row>
    <row r="101" spans="1:2" x14ac:dyDescent="0.15">
      <c r="A101" s="16">
        <v>39904</v>
      </c>
      <c r="B101" s="15">
        <v>99.06</v>
      </c>
    </row>
    <row r="102" spans="1:2" x14ac:dyDescent="0.15">
      <c r="A102" s="16">
        <v>39934</v>
      </c>
      <c r="B102" s="15">
        <v>98.88</v>
      </c>
    </row>
    <row r="103" spans="1:2" x14ac:dyDescent="0.15">
      <c r="A103" s="16">
        <v>39965</v>
      </c>
      <c r="B103" s="15">
        <v>99.15</v>
      </c>
    </row>
    <row r="104" spans="1:2" x14ac:dyDescent="0.15">
      <c r="A104" s="16">
        <v>39995</v>
      </c>
      <c r="B104" s="15">
        <v>98.51</v>
      </c>
    </row>
    <row r="105" spans="1:2" x14ac:dyDescent="0.15">
      <c r="A105" s="16">
        <v>40026</v>
      </c>
      <c r="B105" s="15">
        <v>98.78</v>
      </c>
    </row>
    <row r="106" spans="1:2" x14ac:dyDescent="0.15">
      <c r="A106" s="16">
        <v>40057</v>
      </c>
      <c r="B106" s="15">
        <v>98.97</v>
      </c>
    </row>
    <row r="107" spans="1:2" x14ac:dyDescent="0.15">
      <c r="A107" s="16">
        <v>40087</v>
      </c>
      <c r="B107" s="15">
        <v>98.42</v>
      </c>
    </row>
    <row r="108" spans="1:2" x14ac:dyDescent="0.15">
      <c r="A108" s="16">
        <v>40118</v>
      </c>
      <c r="B108" s="15">
        <v>98.51</v>
      </c>
    </row>
    <row r="109" spans="1:2" x14ac:dyDescent="0.15">
      <c r="A109" s="16">
        <v>40148</v>
      </c>
      <c r="B109" s="15">
        <v>98.6</v>
      </c>
    </row>
    <row r="110" spans="1:2" x14ac:dyDescent="0.15">
      <c r="A110" s="16">
        <v>40179</v>
      </c>
      <c r="B110" s="15">
        <v>98.78</v>
      </c>
    </row>
    <row r="111" spans="1:2" x14ac:dyDescent="0.15">
      <c r="A111" s="16">
        <v>40210</v>
      </c>
      <c r="B111" s="15">
        <v>99.1</v>
      </c>
    </row>
    <row r="112" spans="1:2" x14ac:dyDescent="0.15">
      <c r="A112" s="16">
        <v>40238</v>
      </c>
      <c r="B112" s="15">
        <v>99.67</v>
      </c>
    </row>
    <row r="113" spans="1:2" x14ac:dyDescent="0.15">
      <c r="A113" s="16">
        <v>40269</v>
      </c>
      <c r="B113" s="15">
        <v>100</v>
      </c>
    </row>
    <row r="114" spans="1:2" x14ac:dyDescent="0.15">
      <c r="A114" s="16">
        <v>40299</v>
      </c>
      <c r="B114" s="15">
        <v>99.87</v>
      </c>
    </row>
    <row r="115" spans="1:2" x14ac:dyDescent="0.15">
      <c r="A115" s="16">
        <v>40330</v>
      </c>
      <c r="B115" s="15">
        <v>99.97</v>
      </c>
    </row>
    <row r="116" spans="1:2" x14ac:dyDescent="0.15">
      <c r="A116" s="16">
        <v>40360</v>
      </c>
      <c r="B116" s="15">
        <v>99.29</v>
      </c>
    </row>
    <row r="117" spans="1:2" x14ac:dyDescent="0.15">
      <c r="A117" s="16">
        <v>40391</v>
      </c>
      <c r="B117" s="15">
        <v>99.79</v>
      </c>
    </row>
    <row r="118" spans="1:2" x14ac:dyDescent="0.15">
      <c r="A118" s="16">
        <v>40422</v>
      </c>
      <c r="B118" s="15">
        <v>100.34</v>
      </c>
    </row>
    <row r="119" spans="1:2" x14ac:dyDescent="0.15">
      <c r="A119" s="16">
        <v>40452</v>
      </c>
      <c r="B119" s="15">
        <v>100.74</v>
      </c>
    </row>
    <row r="120" spans="1:2" x14ac:dyDescent="0.15">
      <c r="A120" s="16">
        <v>40483</v>
      </c>
      <c r="B120" s="15">
        <v>100.99</v>
      </c>
    </row>
    <row r="121" spans="1:2" x14ac:dyDescent="0.15">
      <c r="A121" s="16">
        <v>40513</v>
      </c>
      <c r="B121" s="15">
        <v>101.41</v>
      </c>
    </row>
    <row r="122" spans="1:2" x14ac:dyDescent="0.15">
      <c r="A122" s="16">
        <v>40544</v>
      </c>
      <c r="B122" s="15">
        <v>101.78</v>
      </c>
    </row>
    <row r="123" spans="1:2" x14ac:dyDescent="0.15">
      <c r="A123" s="16">
        <v>40575</v>
      </c>
      <c r="B123" s="15">
        <v>102.4</v>
      </c>
    </row>
    <row r="124" spans="1:2" x14ac:dyDescent="0.15">
      <c r="A124" s="16">
        <v>40603</v>
      </c>
      <c r="B124" s="15">
        <v>102.96</v>
      </c>
    </row>
    <row r="125" spans="1:2" x14ac:dyDescent="0.15">
      <c r="A125" s="16">
        <v>40634</v>
      </c>
      <c r="B125" s="15">
        <v>103.16</v>
      </c>
    </row>
    <row r="126" spans="1:2" x14ac:dyDescent="0.15">
      <c r="A126" s="16">
        <v>40664</v>
      </c>
      <c r="B126" s="15">
        <v>103.21</v>
      </c>
    </row>
    <row r="127" spans="1:2" x14ac:dyDescent="0.15">
      <c r="A127" s="16">
        <v>40695</v>
      </c>
      <c r="B127" s="15">
        <v>103.51</v>
      </c>
    </row>
    <row r="128" spans="1:2" x14ac:dyDescent="0.15">
      <c r="A128" s="16">
        <v>40725</v>
      </c>
      <c r="B128" s="15">
        <v>103.22</v>
      </c>
    </row>
    <row r="129" spans="1:2" x14ac:dyDescent="0.15">
      <c r="A129" s="16">
        <v>40756</v>
      </c>
      <c r="B129" s="15">
        <v>103.62</v>
      </c>
    </row>
    <row r="130" spans="1:2" x14ac:dyDescent="0.15">
      <c r="A130" s="16">
        <v>40787</v>
      </c>
      <c r="B130" s="15">
        <v>104.05</v>
      </c>
    </row>
    <row r="131" spans="1:2" x14ac:dyDescent="0.15">
      <c r="A131" s="16">
        <v>40817</v>
      </c>
      <c r="B131" s="15">
        <v>104.31</v>
      </c>
    </row>
    <row r="132" spans="1:2" x14ac:dyDescent="0.15">
      <c r="A132" s="16">
        <v>40848</v>
      </c>
      <c r="B132" s="15">
        <v>104.38</v>
      </c>
    </row>
    <row r="133" spans="1:2" x14ac:dyDescent="0.15">
      <c r="A133" s="16">
        <v>40878</v>
      </c>
      <c r="B133" s="15">
        <v>104.35</v>
      </c>
    </row>
    <row r="134" spans="1:2" x14ac:dyDescent="0.15">
      <c r="A134" s="16">
        <v>40909</v>
      </c>
      <c r="B134" s="15">
        <v>105.01</v>
      </c>
    </row>
    <row r="135" spans="1:2" x14ac:dyDescent="0.15">
      <c r="A135" s="16">
        <v>40940</v>
      </c>
      <c r="B135" s="15">
        <v>105.59</v>
      </c>
    </row>
    <row r="136" spans="1:2" x14ac:dyDescent="0.15">
      <c r="A136" s="16">
        <v>40969</v>
      </c>
      <c r="B136" s="15">
        <v>105.99</v>
      </c>
    </row>
    <row r="137" spans="1:2" x14ac:dyDescent="0.15">
      <c r="A137" s="16">
        <v>41000</v>
      </c>
      <c r="B137" s="15">
        <v>106.36</v>
      </c>
    </row>
    <row r="138" spans="1:2" x14ac:dyDescent="0.15">
      <c r="A138" s="16">
        <v>41030</v>
      </c>
      <c r="B138" s="15">
        <v>106.37</v>
      </c>
    </row>
    <row r="139" spans="1:2" x14ac:dyDescent="0.15">
      <c r="A139" s="16">
        <v>41061</v>
      </c>
      <c r="B139" s="15">
        <v>106.44</v>
      </c>
    </row>
    <row r="140" spans="1:2" x14ac:dyDescent="0.15">
      <c r="A140" s="16">
        <v>41091</v>
      </c>
      <c r="B140" s="15">
        <v>106.24</v>
      </c>
    </row>
    <row r="141" spans="1:2" x14ac:dyDescent="0.15">
      <c r="A141" s="16">
        <v>41122</v>
      </c>
      <c r="B141" s="15">
        <v>106.44</v>
      </c>
    </row>
    <row r="142" spans="1:2" x14ac:dyDescent="0.15">
      <c r="A142" s="16">
        <v>41153</v>
      </c>
      <c r="B142" s="15">
        <v>106.86</v>
      </c>
    </row>
    <row r="143" spans="1:2" x14ac:dyDescent="0.15">
      <c r="A143" s="16">
        <v>41183</v>
      </c>
      <c r="B143" s="15">
        <v>107.02</v>
      </c>
    </row>
    <row r="144" spans="1:2" x14ac:dyDescent="0.15">
      <c r="A144" s="16">
        <v>41214</v>
      </c>
      <c r="B144" s="15">
        <v>106.67</v>
      </c>
    </row>
    <row r="145" spans="1:2" x14ac:dyDescent="0.15">
      <c r="A145" s="16">
        <v>41244</v>
      </c>
      <c r="B145" s="15">
        <v>106.81</v>
      </c>
    </row>
    <row r="146" spans="1:2" x14ac:dyDescent="0.15">
      <c r="A146" s="16">
        <v>41275</v>
      </c>
      <c r="B146" s="15">
        <v>106.72</v>
      </c>
    </row>
    <row r="147" spans="1:2" x14ac:dyDescent="0.15">
      <c r="A147" s="16">
        <v>41306</v>
      </c>
      <c r="B147" s="15">
        <v>107.35</v>
      </c>
    </row>
    <row r="148" spans="1:2" x14ac:dyDescent="0.15">
      <c r="A148" s="16">
        <v>41334</v>
      </c>
      <c r="B148" s="15">
        <v>107.84</v>
      </c>
    </row>
    <row r="149" spans="1:2" x14ac:dyDescent="0.15">
      <c r="A149" s="16">
        <v>41365</v>
      </c>
      <c r="B149" s="15">
        <v>108</v>
      </c>
    </row>
    <row r="150" spans="1:2" x14ac:dyDescent="0.15">
      <c r="A150" s="16">
        <v>41395</v>
      </c>
      <c r="B150" s="15">
        <v>108.02</v>
      </c>
    </row>
    <row r="151" spans="1:2" x14ac:dyDescent="0.15">
      <c r="A151" s="16">
        <v>41426</v>
      </c>
      <c r="B151" s="15">
        <v>107.95</v>
      </c>
    </row>
    <row r="152" spans="1:2" x14ac:dyDescent="0.15">
      <c r="A152" s="16">
        <v>41456</v>
      </c>
      <c r="B152" s="15">
        <v>107.93</v>
      </c>
    </row>
    <row r="153" spans="1:2" x14ac:dyDescent="0.15">
      <c r="A153" s="16">
        <v>41487</v>
      </c>
      <c r="B153" s="15">
        <v>107.76</v>
      </c>
    </row>
    <row r="154" spans="1:2" x14ac:dyDescent="0.15">
      <c r="A154" s="16">
        <v>41518</v>
      </c>
      <c r="B154" s="15">
        <v>108.14</v>
      </c>
    </row>
    <row r="155" spans="1:2" x14ac:dyDescent="0.15">
      <c r="A155" s="16">
        <v>41548</v>
      </c>
      <c r="B155" s="15">
        <v>108.29</v>
      </c>
    </row>
    <row r="156" spans="1:2" x14ac:dyDescent="0.15">
      <c r="A156" s="16">
        <v>41579</v>
      </c>
      <c r="B156" s="15">
        <v>108.13</v>
      </c>
    </row>
    <row r="157" spans="1:2" x14ac:dyDescent="0.15">
      <c r="A157" s="16">
        <v>41609</v>
      </c>
      <c r="B157" s="15">
        <v>108.53</v>
      </c>
    </row>
    <row r="158" spans="1:2" x14ac:dyDescent="0.15">
      <c r="A158" s="16">
        <v>41640</v>
      </c>
      <c r="B158" s="15">
        <v>108.46</v>
      </c>
    </row>
    <row r="159" spans="1:2" x14ac:dyDescent="0.15">
      <c r="A159" s="16">
        <v>41671</v>
      </c>
      <c r="B159" s="15">
        <v>108.73</v>
      </c>
    </row>
    <row r="160" spans="1:2" x14ac:dyDescent="0.15">
      <c r="A160" s="16">
        <v>41699</v>
      </c>
      <c r="B160" s="15">
        <v>108.98</v>
      </c>
    </row>
    <row r="161" spans="1:2" x14ac:dyDescent="0.15">
      <c r="A161" s="16">
        <v>41730</v>
      </c>
      <c r="B161" s="15">
        <v>109.14</v>
      </c>
    </row>
    <row r="162" spans="1:2" x14ac:dyDescent="0.15">
      <c r="A162" s="16">
        <v>41760</v>
      </c>
      <c r="B162" s="15">
        <v>108.87</v>
      </c>
    </row>
    <row r="163" spans="1:2" x14ac:dyDescent="0.15">
      <c r="A163" s="16">
        <v>41791</v>
      </c>
      <c r="B163" s="15">
        <v>108.95</v>
      </c>
    </row>
    <row r="164" spans="1:2" x14ac:dyDescent="0.15">
      <c r="A164" s="16">
        <v>41821</v>
      </c>
      <c r="B164" s="15">
        <v>108.83</v>
      </c>
    </row>
    <row r="165" spans="1:2" x14ac:dyDescent="0.15">
      <c r="A165" s="16">
        <v>41852</v>
      </c>
      <c r="B165" s="15">
        <v>108.99</v>
      </c>
    </row>
    <row r="166" spans="1:2" x14ac:dyDescent="0.15">
      <c r="A166" s="16">
        <v>41883</v>
      </c>
      <c r="B166" s="15">
        <v>109.58</v>
      </c>
    </row>
    <row r="167" spans="1:2" x14ac:dyDescent="0.15">
      <c r="A167" s="16">
        <v>41913</v>
      </c>
      <c r="B167" s="15">
        <v>109.39</v>
      </c>
    </row>
    <row r="168" spans="1:2" x14ac:dyDescent="0.15">
      <c r="A168" s="16">
        <v>41944</v>
      </c>
      <c r="B168" s="15">
        <v>109.18</v>
      </c>
    </row>
    <row r="169" spans="1:2" x14ac:dyDescent="0.15">
      <c r="A169" s="16">
        <v>41974</v>
      </c>
      <c r="B169" s="15">
        <v>109.04</v>
      </c>
    </row>
    <row r="170" spans="1:2" x14ac:dyDescent="0.15">
      <c r="A170" s="16">
        <v>42005</v>
      </c>
      <c r="B170" s="15">
        <v>108.29</v>
      </c>
    </row>
    <row r="171" spans="1:2" x14ac:dyDescent="0.15">
      <c r="A171" s="16">
        <v>42036</v>
      </c>
      <c r="B171" s="15">
        <v>108.57</v>
      </c>
    </row>
    <row r="172" spans="1:2" x14ac:dyDescent="0.15">
      <c r="A172" s="16">
        <v>42064</v>
      </c>
      <c r="B172" s="15">
        <v>108.93</v>
      </c>
    </row>
    <row r="173" spans="1:2" x14ac:dyDescent="0.15">
      <c r="A173" s="16">
        <v>42095</v>
      </c>
      <c r="B173" s="15">
        <v>108.91</v>
      </c>
    </row>
    <row r="174" spans="1:2" x14ac:dyDescent="0.15">
      <c r="A174" s="16">
        <v>42125</v>
      </c>
      <c r="B174" s="15">
        <v>108.83</v>
      </c>
    </row>
    <row r="175" spans="1:2" x14ac:dyDescent="0.15">
      <c r="A175" s="16">
        <v>42156</v>
      </c>
      <c r="B175" s="15">
        <v>108.83</v>
      </c>
    </row>
    <row r="176" spans="1:2" x14ac:dyDescent="0.15">
      <c r="A176" s="16">
        <v>42186</v>
      </c>
      <c r="B176" s="15">
        <v>108.59</v>
      </c>
    </row>
    <row r="177" spans="1:2" x14ac:dyDescent="0.15">
      <c r="A177" s="16">
        <v>42217</v>
      </c>
      <c r="B177" s="15">
        <v>108.78</v>
      </c>
    </row>
    <row r="178" spans="1:2" x14ac:dyDescent="0.15">
      <c r="A178" s="16">
        <v>42248</v>
      </c>
      <c r="B178" s="15">
        <v>108.94</v>
      </c>
    </row>
    <row r="179" spans="1:2" x14ac:dyDescent="0.15">
      <c r="A179" s="16">
        <v>42278</v>
      </c>
      <c r="B179" s="15">
        <v>109.11</v>
      </c>
    </row>
    <row r="180" spans="1:2" x14ac:dyDescent="0.15">
      <c r="A180" s="16">
        <v>42309</v>
      </c>
      <c r="B180" s="15">
        <v>108.91</v>
      </c>
    </row>
    <row r="181" spans="1:2" x14ac:dyDescent="0.15">
      <c r="A181" s="16">
        <v>42339</v>
      </c>
      <c r="B181" s="15">
        <v>108.78</v>
      </c>
    </row>
    <row r="182" spans="1:2" x14ac:dyDescent="0.15">
      <c r="A182" s="16">
        <v>42370</v>
      </c>
      <c r="B182" s="15">
        <v>108.33</v>
      </c>
    </row>
    <row r="183" spans="1:2" x14ac:dyDescent="0.15">
      <c r="A183" s="16">
        <v>42401</v>
      </c>
      <c r="B183" s="15">
        <v>108.47</v>
      </c>
    </row>
    <row r="184" spans="1:2" x14ac:dyDescent="0.15">
      <c r="A184" s="16">
        <v>42430</v>
      </c>
      <c r="B184" s="15">
        <v>108.88</v>
      </c>
    </row>
    <row r="185" spans="1:2" x14ac:dyDescent="0.15">
      <c r="A185" s="16">
        <v>42461</v>
      </c>
      <c r="B185" s="15">
        <v>109.2</v>
      </c>
    </row>
    <row r="186" spans="1:2" x14ac:dyDescent="0.15">
      <c r="A186" s="16">
        <v>42491</v>
      </c>
      <c r="B186" s="15">
        <v>109.16</v>
      </c>
    </row>
    <row r="187" spans="1:2" x14ac:dyDescent="0.15">
      <c r="A187" s="16">
        <v>42522</v>
      </c>
      <c r="B187" s="15">
        <v>109.22</v>
      </c>
    </row>
    <row r="188" spans="1:2" x14ac:dyDescent="0.15">
      <c r="A188" s="16">
        <v>42552</v>
      </c>
      <c r="B188" s="15">
        <v>109.14</v>
      </c>
    </row>
    <row r="189" spans="1:2" x14ac:dyDescent="0.15">
      <c r="A189" s="16">
        <v>42583</v>
      </c>
      <c r="B189" s="15">
        <v>109.2</v>
      </c>
    </row>
    <row r="190" spans="1:2" x14ac:dyDescent="0.15">
      <c r="A190" s="16">
        <v>42614</v>
      </c>
      <c r="B190" s="15">
        <v>109.38</v>
      </c>
    </row>
    <row r="191" spans="1:2" x14ac:dyDescent="0.15">
      <c r="A191" s="16">
        <v>42644</v>
      </c>
      <c r="B191" s="15">
        <v>109.61</v>
      </c>
    </row>
    <row r="192" spans="1:2" x14ac:dyDescent="0.15">
      <c r="A192" s="16">
        <v>42675</v>
      </c>
      <c r="B192" s="15">
        <v>109.63</v>
      </c>
    </row>
    <row r="193" spans="1:2" x14ac:dyDescent="0.15">
      <c r="A193" s="16">
        <v>42705</v>
      </c>
      <c r="B193" s="15">
        <v>109.9</v>
      </c>
    </row>
    <row r="194" spans="1:2" x14ac:dyDescent="0.15">
      <c r="A194" s="16">
        <v>42736</v>
      </c>
      <c r="B194" s="15">
        <v>109.24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workbookViewId="0">
      <selection activeCell="F22" sqref="F22"/>
    </sheetView>
  </sheetViews>
  <sheetFormatPr baseColWidth="10" defaultColWidth="20.6640625" defaultRowHeight="13" x14ac:dyDescent="0.15"/>
  <cols>
    <col min="1" max="16384" width="20.6640625" style="14"/>
  </cols>
  <sheetData>
    <row r="1" spans="1:5" x14ac:dyDescent="0.15">
      <c r="A1" s="18" t="s">
        <v>834</v>
      </c>
      <c r="B1" s="18" t="s">
        <v>839</v>
      </c>
      <c r="D1" s="14">
        <f>LN($B$188/B8) +1</f>
        <v>1.3001266249482735</v>
      </c>
      <c r="E1" s="14">
        <v>2001</v>
      </c>
    </row>
    <row r="2" spans="1:5" x14ac:dyDescent="0.15">
      <c r="A2" s="16">
        <v>36892</v>
      </c>
      <c r="B2" s="15">
        <v>83.5</v>
      </c>
      <c r="D2" s="14">
        <f>LN($B$188/B20) +1</f>
        <v>1.2847780355624485</v>
      </c>
      <c r="E2" s="14">
        <v>2002</v>
      </c>
    </row>
    <row r="3" spans="1:5" x14ac:dyDescent="0.15">
      <c r="A3" s="16">
        <v>36923</v>
      </c>
      <c r="B3" s="15">
        <v>84.16</v>
      </c>
      <c r="D3" s="14">
        <f>LN($B$188/B32) +1</f>
        <v>1.2696614686412828</v>
      </c>
      <c r="E3" s="14">
        <v>2003</v>
      </c>
    </row>
    <row r="4" spans="1:5" x14ac:dyDescent="0.15">
      <c r="A4" s="16">
        <v>36951</v>
      </c>
      <c r="B4" s="15">
        <v>84.37</v>
      </c>
      <c r="D4" s="14">
        <f>LN($B$188/B44) +1</f>
        <v>1.2546563191163376</v>
      </c>
      <c r="E4" s="14">
        <v>2004</v>
      </c>
    </row>
    <row r="5" spans="1:5" x14ac:dyDescent="0.15">
      <c r="A5" s="16">
        <v>36982</v>
      </c>
      <c r="B5" s="15">
        <v>84.7</v>
      </c>
      <c r="D5" s="14">
        <f>LN($B$188/B56) +1</f>
        <v>1.2399850256017741</v>
      </c>
      <c r="E5" s="14">
        <v>2005</v>
      </c>
    </row>
    <row r="6" spans="1:5" x14ac:dyDescent="0.15">
      <c r="A6" s="16">
        <v>37012</v>
      </c>
      <c r="B6" s="15">
        <v>85.13</v>
      </c>
      <c r="D6" s="14">
        <f>LN($B$188/B68) +1</f>
        <v>1.2195806805369853</v>
      </c>
      <c r="E6" s="14">
        <v>2006</v>
      </c>
    </row>
    <row r="7" spans="1:5" x14ac:dyDescent="0.15">
      <c r="A7" s="16">
        <v>37043</v>
      </c>
      <c r="B7" s="15">
        <v>85.13</v>
      </c>
      <c r="D7" s="14">
        <f>LN($B$188/B80) +1</f>
        <v>1.2147624495774019</v>
      </c>
      <c r="E7" s="14">
        <v>2007</v>
      </c>
    </row>
    <row r="8" spans="1:5" x14ac:dyDescent="0.15">
      <c r="A8" s="16">
        <v>37073</v>
      </c>
      <c r="B8" s="15">
        <v>84.05</v>
      </c>
      <c r="D8" s="14">
        <f>LN($B$188/B92) +1</f>
        <v>1.1729359346311414</v>
      </c>
      <c r="E8" s="14">
        <v>2008</v>
      </c>
    </row>
    <row r="9" spans="1:5" x14ac:dyDescent="0.15">
      <c r="A9" s="16">
        <v>37104</v>
      </c>
      <c r="B9" s="15">
        <v>83.94</v>
      </c>
      <c r="D9" s="14">
        <f>LN($B$188/B104) +1</f>
        <v>1.1504560943438964</v>
      </c>
      <c r="E9" s="14">
        <v>2009</v>
      </c>
    </row>
    <row r="10" spans="1:5" x14ac:dyDescent="0.15">
      <c r="A10" s="16">
        <v>37135</v>
      </c>
      <c r="B10" s="15">
        <v>84.37</v>
      </c>
      <c r="D10" s="14">
        <f>LN($B$188/B116) +1</f>
        <v>1.1316823936385756</v>
      </c>
      <c r="E10" s="14">
        <v>2010</v>
      </c>
    </row>
    <row r="11" spans="1:5" x14ac:dyDescent="0.15">
      <c r="A11" s="16">
        <v>37165</v>
      </c>
      <c r="B11" s="15">
        <v>84.37</v>
      </c>
      <c r="D11" s="14">
        <f>LN($B$188/B128) +1</f>
        <v>1.1155272756369317</v>
      </c>
      <c r="E11" s="14">
        <v>2011</v>
      </c>
    </row>
    <row r="12" spans="1:5" x14ac:dyDescent="0.15">
      <c r="A12" s="16">
        <v>37196</v>
      </c>
      <c r="B12" s="15">
        <v>84.37</v>
      </c>
      <c r="D12" s="14">
        <f>LN($B$188/B140) +1</f>
        <v>1.1133533617373121</v>
      </c>
      <c r="E12" s="14">
        <v>2012</v>
      </c>
    </row>
    <row r="13" spans="1:5" x14ac:dyDescent="0.15">
      <c r="A13" s="16">
        <v>37226</v>
      </c>
      <c r="B13" s="15">
        <v>84.59</v>
      </c>
      <c r="D13" s="14">
        <f>LN($B$188/B152) +1</f>
        <v>1.0837878512796884</v>
      </c>
      <c r="E13" s="14">
        <v>2013</v>
      </c>
    </row>
    <row r="14" spans="1:5" x14ac:dyDescent="0.15">
      <c r="A14" s="16">
        <v>37257</v>
      </c>
      <c r="B14" s="15">
        <v>84.7</v>
      </c>
      <c r="D14" s="14">
        <f>LN($B$188/B164) +1</f>
        <v>1.0611425138970993</v>
      </c>
      <c r="E14" s="14">
        <v>2014</v>
      </c>
    </row>
    <row r="15" spans="1:5" x14ac:dyDescent="0.15">
      <c r="A15" s="16">
        <v>37288</v>
      </c>
      <c r="B15" s="15">
        <v>84.81</v>
      </c>
      <c r="D15" s="14">
        <f>LN($B$188/B176) +1</f>
        <v>1.0429466906757343</v>
      </c>
      <c r="E15" s="14">
        <v>2015</v>
      </c>
    </row>
    <row r="16" spans="1:5" x14ac:dyDescent="0.15">
      <c r="A16" s="16">
        <v>37316</v>
      </c>
      <c r="B16" s="15">
        <v>85.13</v>
      </c>
      <c r="D16" s="14">
        <f>LN($B$188/B188) +1</f>
        <v>1</v>
      </c>
      <c r="E16" s="14">
        <v>2016</v>
      </c>
    </row>
    <row r="17" spans="1:2" x14ac:dyDescent="0.15">
      <c r="A17" s="16">
        <v>37347</v>
      </c>
      <c r="B17" s="15">
        <v>85.24</v>
      </c>
    </row>
    <row r="18" spans="1:2" x14ac:dyDescent="0.15">
      <c r="A18" s="16">
        <v>37377</v>
      </c>
      <c r="B18" s="15">
        <v>85.46</v>
      </c>
    </row>
    <row r="19" spans="1:2" x14ac:dyDescent="0.15">
      <c r="A19" s="16">
        <v>37408</v>
      </c>
      <c r="B19" s="15">
        <v>85.46</v>
      </c>
    </row>
    <row r="20" spans="1:2" x14ac:dyDescent="0.15">
      <c r="A20" s="16">
        <v>37438</v>
      </c>
      <c r="B20" s="15">
        <v>85.35</v>
      </c>
    </row>
    <row r="21" spans="1:2" x14ac:dyDescent="0.15">
      <c r="A21" s="16">
        <v>37469</v>
      </c>
      <c r="B21" s="15">
        <v>85.02</v>
      </c>
    </row>
    <row r="22" spans="1:2" x14ac:dyDescent="0.15">
      <c r="A22" s="16">
        <v>37500</v>
      </c>
      <c r="B22" s="15">
        <v>85.57</v>
      </c>
    </row>
    <row r="23" spans="1:2" x14ac:dyDescent="0.15">
      <c r="A23" s="16">
        <v>37530</v>
      </c>
      <c r="B23" s="15">
        <v>85.89</v>
      </c>
    </row>
    <row r="24" spans="1:2" x14ac:dyDescent="0.15">
      <c r="A24" s="16">
        <v>37561</v>
      </c>
      <c r="B24" s="15">
        <v>86.22</v>
      </c>
    </row>
    <row r="25" spans="1:2" x14ac:dyDescent="0.15">
      <c r="A25" s="16">
        <v>37591</v>
      </c>
      <c r="B25" s="15">
        <v>86.87</v>
      </c>
    </row>
    <row r="26" spans="1:2" x14ac:dyDescent="0.15">
      <c r="A26" s="16">
        <v>37622</v>
      </c>
      <c r="B26" s="15">
        <v>88.93</v>
      </c>
    </row>
    <row r="27" spans="1:2" x14ac:dyDescent="0.15">
      <c r="A27" s="16">
        <v>37653</v>
      </c>
      <c r="B27" s="15">
        <v>89.04</v>
      </c>
    </row>
    <row r="28" spans="1:2" x14ac:dyDescent="0.15">
      <c r="A28" s="16">
        <v>37681</v>
      </c>
      <c r="B28" s="15">
        <v>88.39</v>
      </c>
    </row>
    <row r="29" spans="1:2" x14ac:dyDescent="0.15">
      <c r="A29" s="16">
        <v>37712</v>
      </c>
      <c r="B29" s="15">
        <v>87.74</v>
      </c>
    </row>
    <row r="30" spans="1:2" x14ac:dyDescent="0.15">
      <c r="A30" s="16">
        <v>37742</v>
      </c>
      <c r="B30" s="15">
        <v>87.2</v>
      </c>
    </row>
    <row r="31" spans="1:2" x14ac:dyDescent="0.15">
      <c r="A31" s="16">
        <v>37773</v>
      </c>
      <c r="B31" s="15">
        <v>86.98</v>
      </c>
    </row>
    <row r="32" spans="1:2" x14ac:dyDescent="0.15">
      <c r="A32" s="16">
        <v>37803</v>
      </c>
      <c r="B32" s="15">
        <v>86.65</v>
      </c>
    </row>
    <row r="33" spans="1:2" x14ac:dyDescent="0.15">
      <c r="A33" s="16">
        <v>37834</v>
      </c>
      <c r="B33" s="15">
        <v>86.87</v>
      </c>
    </row>
    <row r="34" spans="1:2" x14ac:dyDescent="0.15">
      <c r="A34" s="16">
        <v>37865</v>
      </c>
      <c r="B34" s="15">
        <v>87.3</v>
      </c>
    </row>
    <row r="35" spans="1:2" x14ac:dyDescent="0.15">
      <c r="A35" s="16">
        <v>37895</v>
      </c>
      <c r="B35" s="15">
        <v>87.3</v>
      </c>
    </row>
    <row r="36" spans="1:2" x14ac:dyDescent="0.15">
      <c r="A36" s="16">
        <v>37926</v>
      </c>
      <c r="B36" s="15">
        <v>87.41</v>
      </c>
    </row>
    <row r="37" spans="1:2" x14ac:dyDescent="0.15">
      <c r="A37" s="16">
        <v>37956</v>
      </c>
      <c r="B37" s="15">
        <v>87.41</v>
      </c>
    </row>
    <row r="38" spans="1:2" x14ac:dyDescent="0.15">
      <c r="A38" s="16">
        <v>37987</v>
      </c>
      <c r="B38" s="15">
        <v>87.3</v>
      </c>
    </row>
    <row r="39" spans="1:2" x14ac:dyDescent="0.15">
      <c r="A39" s="16">
        <v>38018</v>
      </c>
      <c r="B39" s="15">
        <v>87.41</v>
      </c>
    </row>
    <row r="40" spans="1:2" x14ac:dyDescent="0.15">
      <c r="A40" s="16">
        <v>38047</v>
      </c>
      <c r="B40" s="15">
        <v>87.85</v>
      </c>
    </row>
    <row r="41" spans="1:2" x14ac:dyDescent="0.15">
      <c r="A41" s="16">
        <v>38078</v>
      </c>
      <c r="B41" s="15">
        <v>87.96</v>
      </c>
    </row>
    <row r="42" spans="1:2" x14ac:dyDescent="0.15">
      <c r="A42" s="16">
        <v>38108</v>
      </c>
      <c r="B42" s="15">
        <v>88.06</v>
      </c>
    </row>
    <row r="43" spans="1:2" x14ac:dyDescent="0.15">
      <c r="A43" s="16">
        <v>38139</v>
      </c>
      <c r="B43" s="15">
        <v>88.06</v>
      </c>
    </row>
    <row r="44" spans="1:2" x14ac:dyDescent="0.15">
      <c r="A44" s="16">
        <v>38169</v>
      </c>
      <c r="B44" s="15">
        <v>87.96</v>
      </c>
    </row>
    <row r="45" spans="1:2" x14ac:dyDescent="0.15">
      <c r="A45" s="16">
        <v>38200</v>
      </c>
      <c r="B45" s="15">
        <v>87.74</v>
      </c>
    </row>
    <row r="46" spans="1:2" x14ac:dyDescent="0.15">
      <c r="A46" s="16">
        <v>38231</v>
      </c>
      <c r="B46" s="15">
        <v>88.28</v>
      </c>
    </row>
    <row r="47" spans="1:2" x14ac:dyDescent="0.15">
      <c r="A47" s="16">
        <v>38261</v>
      </c>
      <c r="B47" s="15">
        <v>88.5</v>
      </c>
    </row>
    <row r="48" spans="1:2" x14ac:dyDescent="0.15">
      <c r="A48" s="16">
        <v>38292</v>
      </c>
      <c r="B48" s="15">
        <v>88.5</v>
      </c>
    </row>
    <row r="49" spans="1:2" x14ac:dyDescent="0.15">
      <c r="A49" s="16">
        <v>38322</v>
      </c>
      <c r="B49" s="15">
        <v>88.39</v>
      </c>
    </row>
    <row r="50" spans="1:2" x14ac:dyDescent="0.15">
      <c r="A50" s="16">
        <v>38353</v>
      </c>
      <c r="B50" s="15">
        <v>88.17</v>
      </c>
    </row>
    <row r="51" spans="1:2" x14ac:dyDescent="0.15">
      <c r="A51" s="16">
        <v>38384</v>
      </c>
      <c r="B51" s="15">
        <v>88.28</v>
      </c>
    </row>
    <row r="52" spans="1:2" x14ac:dyDescent="0.15">
      <c r="A52" s="16">
        <v>38412</v>
      </c>
      <c r="B52" s="15">
        <v>88.72</v>
      </c>
    </row>
    <row r="53" spans="1:2" x14ac:dyDescent="0.15">
      <c r="A53" s="16">
        <v>38443</v>
      </c>
      <c r="B53" s="15">
        <v>89.15</v>
      </c>
    </row>
    <row r="54" spans="1:2" x14ac:dyDescent="0.15">
      <c r="A54" s="16">
        <v>38473</v>
      </c>
      <c r="B54" s="15">
        <v>89.48</v>
      </c>
    </row>
    <row r="55" spans="1:2" x14ac:dyDescent="0.15">
      <c r="A55" s="16">
        <v>38504</v>
      </c>
      <c r="B55" s="15">
        <v>89.48</v>
      </c>
    </row>
    <row r="56" spans="1:2" x14ac:dyDescent="0.15">
      <c r="A56" s="16">
        <v>38534</v>
      </c>
      <c r="B56" s="15">
        <v>89.26</v>
      </c>
    </row>
    <row r="57" spans="1:2" x14ac:dyDescent="0.15">
      <c r="A57" s="16">
        <v>38565</v>
      </c>
      <c r="B57" s="15">
        <v>89.37</v>
      </c>
    </row>
    <row r="58" spans="1:2" x14ac:dyDescent="0.15">
      <c r="A58" s="16">
        <v>38596</v>
      </c>
      <c r="B58" s="15">
        <v>90.02</v>
      </c>
    </row>
    <row r="59" spans="1:2" x14ac:dyDescent="0.15">
      <c r="A59" s="16">
        <v>38626</v>
      </c>
      <c r="B59" s="15">
        <v>90.13</v>
      </c>
    </row>
    <row r="60" spans="1:2" x14ac:dyDescent="0.15">
      <c r="A60" s="16">
        <v>38657</v>
      </c>
      <c r="B60" s="15">
        <v>90.13</v>
      </c>
    </row>
    <row r="61" spans="1:2" x14ac:dyDescent="0.15">
      <c r="A61" s="16">
        <v>38687</v>
      </c>
      <c r="B61" s="15">
        <v>90.02</v>
      </c>
    </row>
    <row r="62" spans="1:2" x14ac:dyDescent="0.15">
      <c r="A62" s="16">
        <v>38718</v>
      </c>
      <c r="B62" s="15">
        <v>89.8</v>
      </c>
    </row>
    <row r="63" spans="1:2" x14ac:dyDescent="0.15">
      <c r="A63" s="16">
        <v>38749</v>
      </c>
      <c r="B63" s="15">
        <v>90.56</v>
      </c>
    </row>
    <row r="64" spans="1:2" x14ac:dyDescent="0.15">
      <c r="A64" s="16">
        <v>38777</v>
      </c>
      <c r="B64" s="15">
        <v>90.78</v>
      </c>
    </row>
    <row r="65" spans="1:2" x14ac:dyDescent="0.15">
      <c r="A65" s="16">
        <v>38808</v>
      </c>
      <c r="B65" s="15">
        <v>91.54</v>
      </c>
    </row>
    <row r="66" spans="1:2" x14ac:dyDescent="0.15">
      <c r="A66" s="16">
        <v>38838</v>
      </c>
      <c r="B66" s="15">
        <v>91.54</v>
      </c>
    </row>
    <row r="67" spans="1:2" x14ac:dyDescent="0.15">
      <c r="A67" s="16">
        <v>38869</v>
      </c>
      <c r="B67" s="15">
        <v>91.43</v>
      </c>
    </row>
    <row r="68" spans="1:2" x14ac:dyDescent="0.15">
      <c r="A68" s="16">
        <v>38899</v>
      </c>
      <c r="B68" s="15">
        <v>91.1</v>
      </c>
    </row>
    <row r="69" spans="1:2" x14ac:dyDescent="0.15">
      <c r="A69" s="16">
        <v>38930</v>
      </c>
      <c r="B69" s="15">
        <v>91.1</v>
      </c>
    </row>
    <row r="70" spans="1:2" x14ac:dyDescent="0.15">
      <c r="A70" s="16">
        <v>38961</v>
      </c>
      <c r="B70" s="15">
        <v>92.41</v>
      </c>
    </row>
    <row r="71" spans="1:2" x14ac:dyDescent="0.15">
      <c r="A71" s="16">
        <v>38991</v>
      </c>
      <c r="B71" s="15">
        <v>92.52</v>
      </c>
    </row>
    <row r="72" spans="1:2" x14ac:dyDescent="0.15">
      <c r="A72" s="16">
        <v>39022</v>
      </c>
      <c r="B72" s="15">
        <v>92.41</v>
      </c>
    </row>
    <row r="73" spans="1:2" x14ac:dyDescent="0.15">
      <c r="A73" s="16">
        <v>39052</v>
      </c>
      <c r="B73" s="15">
        <v>91.97</v>
      </c>
    </row>
    <row r="74" spans="1:2" x14ac:dyDescent="0.15">
      <c r="A74" s="16">
        <v>39083</v>
      </c>
      <c r="B74" s="15">
        <v>90.89</v>
      </c>
    </row>
    <row r="75" spans="1:2" x14ac:dyDescent="0.15">
      <c r="A75" s="16">
        <v>39114</v>
      </c>
      <c r="B75" s="15">
        <v>91.21</v>
      </c>
    </row>
    <row r="76" spans="1:2" x14ac:dyDescent="0.15">
      <c r="A76" s="16">
        <v>39142</v>
      </c>
      <c r="B76" s="15">
        <v>91.76</v>
      </c>
    </row>
    <row r="77" spans="1:2" x14ac:dyDescent="0.15">
      <c r="A77" s="16">
        <v>39173</v>
      </c>
      <c r="B77" s="15">
        <v>91.76</v>
      </c>
    </row>
    <row r="78" spans="1:2" x14ac:dyDescent="0.15">
      <c r="A78" s="16">
        <v>39203</v>
      </c>
      <c r="B78" s="15">
        <v>91.86</v>
      </c>
    </row>
    <row r="79" spans="1:2" x14ac:dyDescent="0.15">
      <c r="A79" s="16">
        <v>39234</v>
      </c>
      <c r="B79" s="15">
        <v>91.76</v>
      </c>
    </row>
    <row r="80" spans="1:2" x14ac:dyDescent="0.15">
      <c r="A80" s="16">
        <v>39264</v>
      </c>
      <c r="B80" s="15">
        <v>91.54</v>
      </c>
    </row>
    <row r="81" spans="1:2" x14ac:dyDescent="0.15">
      <c r="A81" s="16">
        <v>39295</v>
      </c>
      <c r="B81" s="15">
        <v>91.43</v>
      </c>
    </row>
    <row r="82" spans="1:2" x14ac:dyDescent="0.15">
      <c r="A82" s="16">
        <v>39326</v>
      </c>
      <c r="B82" s="15">
        <v>92.08</v>
      </c>
    </row>
    <row r="83" spans="1:2" x14ac:dyDescent="0.15">
      <c r="A83" s="16">
        <v>39356</v>
      </c>
      <c r="B83" s="15">
        <v>92.3</v>
      </c>
    </row>
    <row r="84" spans="1:2" x14ac:dyDescent="0.15">
      <c r="A84" s="16">
        <v>39387</v>
      </c>
      <c r="B84" s="15">
        <v>93.82</v>
      </c>
    </row>
    <row r="85" spans="1:2" x14ac:dyDescent="0.15">
      <c r="A85" s="16">
        <v>39417</v>
      </c>
      <c r="B85" s="15">
        <v>94.58</v>
      </c>
    </row>
    <row r="86" spans="1:2" x14ac:dyDescent="0.15">
      <c r="A86" s="16">
        <v>39448</v>
      </c>
      <c r="B86" s="15">
        <v>94.15</v>
      </c>
    </row>
    <row r="87" spans="1:2" x14ac:dyDescent="0.15">
      <c r="A87" s="16">
        <v>39479</v>
      </c>
      <c r="B87" s="15">
        <v>94.69</v>
      </c>
    </row>
    <row r="88" spans="1:2" x14ac:dyDescent="0.15">
      <c r="A88" s="16">
        <v>39508</v>
      </c>
      <c r="B88" s="15">
        <v>94.69</v>
      </c>
    </row>
    <row r="89" spans="1:2" x14ac:dyDescent="0.15">
      <c r="A89" s="16">
        <v>39539</v>
      </c>
      <c r="B89" s="15">
        <v>94.69</v>
      </c>
    </row>
    <row r="90" spans="1:2" x14ac:dyDescent="0.15">
      <c r="A90" s="16">
        <v>39569</v>
      </c>
      <c r="B90" s="15">
        <v>94.69</v>
      </c>
    </row>
    <row r="91" spans="1:2" x14ac:dyDescent="0.15">
      <c r="A91" s="16">
        <v>39600</v>
      </c>
      <c r="B91" s="15">
        <v>94.91</v>
      </c>
    </row>
    <row r="92" spans="1:2" x14ac:dyDescent="0.15">
      <c r="A92" s="16">
        <v>39630</v>
      </c>
      <c r="B92" s="15">
        <v>95.45</v>
      </c>
    </row>
    <row r="93" spans="1:2" x14ac:dyDescent="0.15">
      <c r="A93" s="16">
        <v>39661</v>
      </c>
      <c r="B93" s="15">
        <v>95.56</v>
      </c>
    </row>
    <row r="94" spans="1:2" x14ac:dyDescent="0.15">
      <c r="A94" s="16">
        <v>39692</v>
      </c>
      <c r="B94" s="15">
        <v>96.97</v>
      </c>
    </row>
    <row r="95" spans="1:2" x14ac:dyDescent="0.15">
      <c r="A95" s="16">
        <v>39722</v>
      </c>
      <c r="B95" s="15">
        <v>97.29</v>
      </c>
    </row>
    <row r="96" spans="1:2" x14ac:dyDescent="0.15">
      <c r="A96" s="16">
        <v>39753</v>
      </c>
      <c r="B96" s="15">
        <v>96.75</v>
      </c>
    </row>
    <row r="97" spans="1:2" x14ac:dyDescent="0.15">
      <c r="A97" s="16">
        <v>39783</v>
      </c>
      <c r="B97" s="15">
        <v>96.64</v>
      </c>
    </row>
    <row r="98" spans="1:2" x14ac:dyDescent="0.15">
      <c r="A98" s="16">
        <v>39814</v>
      </c>
      <c r="B98" s="15">
        <v>96.32</v>
      </c>
    </row>
    <row r="99" spans="1:2" x14ac:dyDescent="0.15">
      <c r="A99" s="16">
        <v>39845</v>
      </c>
      <c r="B99" s="15">
        <v>97.08</v>
      </c>
    </row>
    <row r="100" spans="1:2" x14ac:dyDescent="0.15">
      <c r="A100" s="16">
        <v>39873</v>
      </c>
      <c r="B100" s="15">
        <v>97.08</v>
      </c>
    </row>
    <row r="101" spans="1:2" x14ac:dyDescent="0.15">
      <c r="A101" s="16">
        <v>39904</v>
      </c>
      <c r="B101" s="15">
        <v>97.4</v>
      </c>
    </row>
    <row r="102" spans="1:2" x14ac:dyDescent="0.15">
      <c r="A102" s="16">
        <v>39934</v>
      </c>
      <c r="B102" s="15">
        <v>97.62</v>
      </c>
    </row>
    <row r="103" spans="1:2" x14ac:dyDescent="0.15">
      <c r="A103" s="16">
        <v>39965</v>
      </c>
      <c r="B103" s="15">
        <v>98.16</v>
      </c>
    </row>
    <row r="104" spans="1:2" x14ac:dyDescent="0.15">
      <c r="A104" s="16">
        <v>39995</v>
      </c>
      <c r="B104" s="15">
        <v>97.62</v>
      </c>
    </row>
    <row r="105" spans="1:2" x14ac:dyDescent="0.15">
      <c r="A105" s="16">
        <v>40026</v>
      </c>
      <c r="B105" s="15">
        <v>97.4</v>
      </c>
    </row>
    <row r="106" spans="1:2" x14ac:dyDescent="0.15">
      <c r="A106" s="16">
        <v>40057</v>
      </c>
      <c r="B106" s="15">
        <v>98.16</v>
      </c>
    </row>
    <row r="107" spans="1:2" x14ac:dyDescent="0.15">
      <c r="A107" s="16">
        <v>40087</v>
      </c>
      <c r="B107" s="15">
        <v>97.95</v>
      </c>
    </row>
    <row r="108" spans="1:2" x14ac:dyDescent="0.15">
      <c r="A108" s="16">
        <v>40118</v>
      </c>
      <c r="B108" s="15">
        <v>98.27</v>
      </c>
    </row>
    <row r="109" spans="1:2" x14ac:dyDescent="0.15">
      <c r="A109" s="16">
        <v>40148</v>
      </c>
      <c r="B109" s="15">
        <v>98.6</v>
      </c>
    </row>
    <row r="110" spans="1:2" x14ac:dyDescent="0.15">
      <c r="A110" s="16">
        <v>40179</v>
      </c>
      <c r="B110" s="15">
        <v>98.71</v>
      </c>
    </row>
    <row r="111" spans="1:2" x14ac:dyDescent="0.15">
      <c r="A111" s="16">
        <v>40210</v>
      </c>
      <c r="B111" s="15">
        <v>99.9</v>
      </c>
    </row>
    <row r="112" spans="1:2" x14ac:dyDescent="0.15">
      <c r="A112" s="16">
        <v>40238</v>
      </c>
      <c r="B112" s="15">
        <v>100.44</v>
      </c>
    </row>
    <row r="113" spans="1:2" x14ac:dyDescent="0.15">
      <c r="A113" s="16">
        <v>40269</v>
      </c>
      <c r="B113" s="15">
        <v>100.66</v>
      </c>
    </row>
    <row r="114" spans="1:2" x14ac:dyDescent="0.15">
      <c r="A114" s="16">
        <v>40299</v>
      </c>
      <c r="B114" s="15">
        <v>100.12</v>
      </c>
    </row>
    <row r="115" spans="1:2" x14ac:dyDescent="0.15">
      <c r="A115" s="16">
        <v>40330</v>
      </c>
      <c r="B115" s="15">
        <v>100.01</v>
      </c>
    </row>
    <row r="116" spans="1:2" x14ac:dyDescent="0.15">
      <c r="A116" s="16">
        <v>40360</v>
      </c>
      <c r="B116" s="15">
        <v>99.47</v>
      </c>
    </row>
    <row r="117" spans="1:2" x14ac:dyDescent="0.15">
      <c r="A117" s="16">
        <v>40391</v>
      </c>
      <c r="B117" s="15">
        <v>99.25</v>
      </c>
    </row>
    <row r="118" spans="1:2" x14ac:dyDescent="0.15">
      <c r="A118" s="16">
        <v>40422</v>
      </c>
      <c r="B118" s="15">
        <v>99.9</v>
      </c>
    </row>
    <row r="119" spans="1:2" x14ac:dyDescent="0.15">
      <c r="A119" s="16">
        <v>40452</v>
      </c>
      <c r="B119" s="15">
        <v>100.01</v>
      </c>
    </row>
    <row r="120" spans="1:2" x14ac:dyDescent="0.15">
      <c r="A120" s="16">
        <v>40483</v>
      </c>
      <c r="B120" s="15">
        <v>100.23</v>
      </c>
    </row>
    <row r="121" spans="1:2" x14ac:dyDescent="0.15">
      <c r="A121" s="16">
        <v>40513</v>
      </c>
      <c r="B121" s="15">
        <v>101.31</v>
      </c>
    </row>
    <row r="122" spans="1:2" x14ac:dyDescent="0.15">
      <c r="A122" s="16">
        <v>40544</v>
      </c>
      <c r="B122" s="15">
        <v>100.66</v>
      </c>
    </row>
    <row r="123" spans="1:2" x14ac:dyDescent="0.15">
      <c r="A123" s="16">
        <v>40575</v>
      </c>
      <c r="B123" s="15">
        <v>101.09</v>
      </c>
    </row>
    <row r="124" spans="1:2" x14ac:dyDescent="0.15">
      <c r="A124" s="16">
        <v>40603</v>
      </c>
      <c r="B124" s="15">
        <v>101.42</v>
      </c>
    </row>
    <row r="125" spans="1:2" x14ac:dyDescent="0.15">
      <c r="A125" s="16">
        <v>40634</v>
      </c>
      <c r="B125" s="15">
        <v>101.96</v>
      </c>
    </row>
    <row r="126" spans="1:2" x14ac:dyDescent="0.15">
      <c r="A126" s="16">
        <v>40664</v>
      </c>
      <c r="B126" s="15">
        <v>101.75</v>
      </c>
    </row>
    <row r="127" spans="1:2" x14ac:dyDescent="0.15">
      <c r="A127" s="16">
        <v>40695</v>
      </c>
      <c r="B127" s="15">
        <v>101.42</v>
      </c>
    </row>
    <row r="128" spans="1:2" x14ac:dyDescent="0.15">
      <c r="A128" s="16">
        <v>40725</v>
      </c>
      <c r="B128" s="15">
        <v>101.09</v>
      </c>
    </row>
    <row r="129" spans="1:2" x14ac:dyDescent="0.15">
      <c r="A129" s="16">
        <v>40756</v>
      </c>
      <c r="B129" s="15">
        <v>100.55</v>
      </c>
    </row>
    <row r="130" spans="1:2" x14ac:dyDescent="0.15">
      <c r="A130" s="16">
        <v>40787</v>
      </c>
      <c r="B130" s="15">
        <v>101.42</v>
      </c>
    </row>
    <row r="131" spans="1:2" x14ac:dyDescent="0.15">
      <c r="A131" s="16">
        <v>40817</v>
      </c>
      <c r="B131" s="15">
        <v>101.31</v>
      </c>
    </row>
    <row r="132" spans="1:2" x14ac:dyDescent="0.15">
      <c r="A132" s="16">
        <v>40848</v>
      </c>
      <c r="B132" s="15">
        <v>101.31</v>
      </c>
    </row>
    <row r="133" spans="1:2" x14ac:dyDescent="0.15">
      <c r="A133" s="16">
        <v>40878</v>
      </c>
      <c r="B133" s="15">
        <v>101.42</v>
      </c>
    </row>
    <row r="134" spans="1:2" x14ac:dyDescent="0.15">
      <c r="A134" s="16">
        <v>40909</v>
      </c>
      <c r="B134" s="15">
        <v>101.2</v>
      </c>
    </row>
    <row r="135" spans="1:2" x14ac:dyDescent="0.15">
      <c r="A135" s="16">
        <v>40940</v>
      </c>
      <c r="B135" s="15">
        <v>102.29</v>
      </c>
    </row>
    <row r="136" spans="1:2" x14ac:dyDescent="0.15">
      <c r="A136" s="16">
        <v>40969</v>
      </c>
      <c r="B136" s="15">
        <v>102.18</v>
      </c>
    </row>
    <row r="137" spans="1:2" x14ac:dyDescent="0.15">
      <c r="A137" s="16">
        <v>41000</v>
      </c>
      <c r="B137" s="15">
        <v>102.29</v>
      </c>
    </row>
    <row r="138" spans="1:2" x14ac:dyDescent="0.15">
      <c r="A138" s="16">
        <v>41030</v>
      </c>
      <c r="B138" s="15">
        <v>102.29</v>
      </c>
    </row>
    <row r="139" spans="1:2" x14ac:dyDescent="0.15">
      <c r="A139" s="16">
        <v>41061</v>
      </c>
      <c r="B139" s="15">
        <v>101.75</v>
      </c>
    </row>
    <row r="140" spans="1:2" x14ac:dyDescent="0.15">
      <c r="A140" s="16">
        <v>41091</v>
      </c>
      <c r="B140" s="15">
        <v>101.31</v>
      </c>
    </row>
    <row r="141" spans="1:2" x14ac:dyDescent="0.15">
      <c r="A141" s="16">
        <v>41122</v>
      </c>
      <c r="B141" s="15">
        <v>100.88</v>
      </c>
    </row>
    <row r="142" spans="1:2" x14ac:dyDescent="0.15">
      <c r="A142" s="16">
        <v>41153</v>
      </c>
      <c r="B142" s="15">
        <v>101.96</v>
      </c>
    </row>
    <row r="143" spans="1:2" x14ac:dyDescent="0.15">
      <c r="A143" s="16">
        <v>41183</v>
      </c>
      <c r="B143" s="15">
        <v>102.4</v>
      </c>
    </row>
    <row r="144" spans="1:2" x14ac:dyDescent="0.15">
      <c r="A144" s="16">
        <v>41214</v>
      </c>
      <c r="B144" s="15">
        <v>102.51</v>
      </c>
    </row>
    <row r="145" spans="1:2" x14ac:dyDescent="0.15">
      <c r="A145" s="16">
        <v>41244</v>
      </c>
      <c r="B145" s="15">
        <v>102.83</v>
      </c>
    </row>
    <row r="146" spans="1:2" x14ac:dyDescent="0.15">
      <c r="A146" s="16">
        <v>41275</v>
      </c>
      <c r="B146" s="15">
        <v>102.62</v>
      </c>
    </row>
    <row r="147" spans="1:2" x14ac:dyDescent="0.15">
      <c r="A147" s="16">
        <v>41306</v>
      </c>
      <c r="B147" s="15">
        <v>103.27</v>
      </c>
    </row>
    <row r="148" spans="1:2" x14ac:dyDescent="0.15">
      <c r="A148" s="16">
        <v>41334</v>
      </c>
      <c r="B148" s="15">
        <v>103.59</v>
      </c>
    </row>
    <row r="149" spans="1:2" x14ac:dyDescent="0.15">
      <c r="A149" s="16">
        <v>41365</v>
      </c>
      <c r="B149" s="15">
        <v>104.14</v>
      </c>
    </row>
    <row r="150" spans="1:2" x14ac:dyDescent="0.15">
      <c r="A150" s="16">
        <v>41395</v>
      </c>
      <c r="B150" s="15">
        <v>104.24</v>
      </c>
    </row>
    <row r="151" spans="1:2" x14ac:dyDescent="0.15">
      <c r="A151" s="16">
        <v>41426</v>
      </c>
      <c r="B151" s="15">
        <v>103.92</v>
      </c>
    </row>
    <row r="152" spans="1:2" x14ac:dyDescent="0.15">
      <c r="A152" s="16">
        <v>41456</v>
      </c>
      <c r="B152" s="15">
        <v>104.35</v>
      </c>
    </row>
    <row r="153" spans="1:2" x14ac:dyDescent="0.15">
      <c r="A153" s="16">
        <v>41487</v>
      </c>
      <c r="B153" s="15">
        <v>104.24</v>
      </c>
    </row>
    <row r="154" spans="1:2" x14ac:dyDescent="0.15">
      <c r="A154" s="16">
        <v>41518</v>
      </c>
      <c r="B154" s="15">
        <v>104.68</v>
      </c>
    </row>
    <row r="155" spans="1:2" x14ac:dyDescent="0.15">
      <c r="A155" s="16">
        <v>41548</v>
      </c>
      <c r="B155" s="15">
        <v>104.9</v>
      </c>
    </row>
    <row r="156" spans="1:2" x14ac:dyDescent="0.15">
      <c r="A156" s="16">
        <v>41579</v>
      </c>
      <c r="B156" s="15">
        <v>105</v>
      </c>
    </row>
    <row r="157" spans="1:2" x14ac:dyDescent="0.15">
      <c r="A157" s="16">
        <v>41609</v>
      </c>
      <c r="B157" s="15">
        <v>104.9</v>
      </c>
    </row>
    <row r="158" spans="1:2" x14ac:dyDescent="0.15">
      <c r="A158" s="16">
        <v>41640</v>
      </c>
      <c r="B158" s="15">
        <v>104.9</v>
      </c>
    </row>
    <row r="159" spans="1:2" x14ac:dyDescent="0.15">
      <c r="A159" s="16">
        <v>41671</v>
      </c>
      <c r="B159" s="15">
        <v>105.44</v>
      </c>
    </row>
    <row r="160" spans="1:2" x14ac:dyDescent="0.15">
      <c r="A160" s="16">
        <v>41699</v>
      </c>
      <c r="B160" s="15">
        <v>105.66</v>
      </c>
    </row>
    <row r="161" spans="1:2" x14ac:dyDescent="0.15">
      <c r="A161" s="16">
        <v>41730</v>
      </c>
      <c r="B161" s="15">
        <v>106.09</v>
      </c>
    </row>
    <row r="162" spans="1:2" x14ac:dyDescent="0.15">
      <c r="A162" s="16">
        <v>41760</v>
      </c>
      <c r="B162" s="15">
        <v>106.2</v>
      </c>
    </row>
    <row r="163" spans="1:2" x14ac:dyDescent="0.15">
      <c r="A163" s="16">
        <v>41791</v>
      </c>
      <c r="B163" s="15">
        <v>105.87</v>
      </c>
    </row>
    <row r="164" spans="1:2" x14ac:dyDescent="0.15">
      <c r="A164" s="16">
        <v>41821</v>
      </c>
      <c r="B164" s="15">
        <v>106.74</v>
      </c>
    </row>
    <row r="165" spans="1:2" x14ac:dyDescent="0.15">
      <c r="A165" s="16">
        <v>41852</v>
      </c>
      <c r="B165" s="15">
        <v>106.31</v>
      </c>
    </row>
    <row r="166" spans="1:2" x14ac:dyDescent="0.15">
      <c r="A166" s="16">
        <v>41883</v>
      </c>
      <c r="B166" s="15">
        <v>106.96</v>
      </c>
    </row>
    <row r="167" spans="1:2" x14ac:dyDescent="0.15">
      <c r="A167" s="16">
        <v>41913</v>
      </c>
      <c r="B167" s="15">
        <v>107.07</v>
      </c>
    </row>
    <row r="168" spans="1:2" x14ac:dyDescent="0.15">
      <c r="A168" s="16">
        <v>41944</v>
      </c>
      <c r="B168" s="15">
        <v>107.07</v>
      </c>
    </row>
    <row r="169" spans="1:2" x14ac:dyDescent="0.15">
      <c r="A169" s="16">
        <v>41974</v>
      </c>
      <c r="B169" s="15">
        <v>107.07</v>
      </c>
    </row>
    <row r="170" spans="1:2" x14ac:dyDescent="0.15">
      <c r="A170" s="16">
        <v>42005</v>
      </c>
      <c r="B170" s="15">
        <v>107.07</v>
      </c>
    </row>
    <row r="171" spans="1:2" x14ac:dyDescent="0.15">
      <c r="A171" s="16">
        <v>42036</v>
      </c>
      <c r="B171" s="15">
        <v>107.39</v>
      </c>
    </row>
    <row r="172" spans="1:2" x14ac:dyDescent="0.15">
      <c r="A172" s="16">
        <v>42064</v>
      </c>
      <c r="B172" s="15">
        <v>107.72</v>
      </c>
    </row>
    <row r="173" spans="1:2" x14ac:dyDescent="0.15">
      <c r="A173" s="16">
        <v>42095</v>
      </c>
      <c r="B173" s="15">
        <v>108.15</v>
      </c>
    </row>
    <row r="174" spans="1:2" x14ac:dyDescent="0.15">
      <c r="A174" s="16">
        <v>42125</v>
      </c>
      <c r="B174" s="15">
        <v>108.37</v>
      </c>
    </row>
    <row r="175" spans="1:2" x14ac:dyDescent="0.15">
      <c r="A175" s="16">
        <v>42156</v>
      </c>
      <c r="B175" s="15">
        <v>108.7</v>
      </c>
    </row>
    <row r="176" spans="1:2" x14ac:dyDescent="0.15">
      <c r="A176" s="16">
        <v>42186</v>
      </c>
      <c r="B176" s="15">
        <v>108.7</v>
      </c>
    </row>
    <row r="177" spans="1:2" x14ac:dyDescent="0.15">
      <c r="A177" s="16">
        <v>42217</v>
      </c>
      <c r="B177" s="15">
        <v>108.48</v>
      </c>
    </row>
    <row r="178" spans="1:2" x14ac:dyDescent="0.15">
      <c r="A178" s="16">
        <v>42248</v>
      </c>
      <c r="B178" s="15">
        <v>109.24</v>
      </c>
    </row>
    <row r="179" spans="1:2" x14ac:dyDescent="0.15">
      <c r="A179" s="16">
        <v>42278</v>
      </c>
      <c r="B179" s="15">
        <v>109.67</v>
      </c>
    </row>
    <row r="180" spans="1:2" x14ac:dyDescent="0.15">
      <c r="A180" s="16">
        <v>42309</v>
      </c>
      <c r="B180" s="15">
        <v>110</v>
      </c>
    </row>
    <row r="181" spans="1:2" x14ac:dyDescent="0.15">
      <c r="A181" s="16">
        <v>42339</v>
      </c>
      <c r="B181" s="15">
        <v>109.56</v>
      </c>
    </row>
    <row r="182" spans="1:2" x14ac:dyDescent="0.15">
      <c r="A182" s="16">
        <v>42370</v>
      </c>
      <c r="B182" s="15">
        <v>110.22</v>
      </c>
    </row>
    <row r="183" spans="1:2" x14ac:dyDescent="0.15">
      <c r="A183" s="16">
        <v>42401</v>
      </c>
      <c r="B183" s="15">
        <v>110.87</v>
      </c>
    </row>
    <row r="184" spans="1:2" x14ac:dyDescent="0.15">
      <c r="A184" s="16">
        <v>42430</v>
      </c>
      <c r="B184" s="15">
        <v>111.3</v>
      </c>
    </row>
    <row r="185" spans="1:2" x14ac:dyDescent="0.15">
      <c r="A185" s="16">
        <v>42461</v>
      </c>
      <c r="B185" s="15">
        <v>111.74</v>
      </c>
    </row>
    <row r="186" spans="1:2" x14ac:dyDescent="0.15">
      <c r="A186" s="16">
        <v>42491</v>
      </c>
      <c r="B186" s="15">
        <v>112.06</v>
      </c>
    </row>
    <row r="187" spans="1:2" x14ac:dyDescent="0.15">
      <c r="A187" s="16">
        <v>42522</v>
      </c>
      <c r="B187" s="15">
        <v>112.71</v>
      </c>
    </row>
    <row r="188" spans="1:2" x14ac:dyDescent="0.15">
      <c r="A188" s="16">
        <v>42552</v>
      </c>
      <c r="B188" s="15">
        <v>113.47</v>
      </c>
    </row>
    <row r="189" spans="1:2" x14ac:dyDescent="0.15">
      <c r="A189" s="16">
        <v>42583</v>
      </c>
      <c r="B189" s="15">
        <v>112.82</v>
      </c>
    </row>
    <row r="190" spans="1:2" x14ac:dyDescent="0.15">
      <c r="A190" s="16">
        <v>42614</v>
      </c>
      <c r="B190" s="15">
        <v>113.15</v>
      </c>
    </row>
    <row r="191" spans="1:2" x14ac:dyDescent="0.15">
      <c r="A191" s="16">
        <v>42644</v>
      </c>
      <c r="B191" s="15">
        <v>113.69</v>
      </c>
    </row>
    <row r="192" spans="1:2" x14ac:dyDescent="0.15">
      <c r="A192" s="16">
        <v>42675</v>
      </c>
      <c r="B192" s="15">
        <v>113.91</v>
      </c>
    </row>
    <row r="193" spans="1:2" x14ac:dyDescent="0.15">
      <c r="A193" s="16">
        <v>42705</v>
      </c>
      <c r="B193" s="15">
        <v>113.37</v>
      </c>
    </row>
    <row r="194" spans="1:2" x14ac:dyDescent="0.15">
      <c r="A194" s="16">
        <v>42736</v>
      </c>
      <c r="B194" s="15">
        <v>113.26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9"/>
  <sheetViews>
    <sheetView workbookViewId="0">
      <selection activeCell="O28" sqref="O28"/>
    </sheetView>
  </sheetViews>
  <sheetFormatPr baseColWidth="10" defaultColWidth="8.83203125" defaultRowHeight="15" x14ac:dyDescent="0.2"/>
  <cols>
    <col min="1" max="1" width="10.1640625" style="45" bestFit="1" customWidth="1"/>
    <col min="2" max="16384" width="8.83203125" style="45"/>
  </cols>
  <sheetData>
    <row r="1" spans="1:2" x14ac:dyDescent="0.2">
      <c r="A1" s="45" t="s">
        <v>889</v>
      </c>
      <c r="B1" s="45" t="s">
        <v>893</v>
      </c>
    </row>
    <row r="2" spans="1:2" x14ac:dyDescent="0.2">
      <c r="A2" s="45" t="s">
        <v>890</v>
      </c>
      <c r="B2" s="45" t="s">
        <v>894</v>
      </c>
    </row>
    <row r="3" spans="1:2" x14ac:dyDescent="0.2">
      <c r="A3" s="46">
        <v>36919</v>
      </c>
      <c r="B3" s="45">
        <v>9.5310000000000006</v>
      </c>
    </row>
    <row r="4" spans="1:2" x14ac:dyDescent="0.2">
      <c r="A4" s="46">
        <v>36950</v>
      </c>
      <c r="B4" s="45">
        <v>9.8370000000000015</v>
      </c>
    </row>
    <row r="5" spans="1:2" x14ac:dyDescent="0.2">
      <c r="A5" s="46">
        <v>36978</v>
      </c>
      <c r="B5" s="45">
        <v>10.319500000000001</v>
      </c>
    </row>
    <row r="6" spans="1:2" x14ac:dyDescent="0.2">
      <c r="A6" s="46">
        <v>37009</v>
      </c>
      <c r="B6" s="45">
        <v>10.271000000000001</v>
      </c>
    </row>
    <row r="7" spans="1:2" x14ac:dyDescent="0.2">
      <c r="A7" s="46">
        <v>37039</v>
      </c>
      <c r="B7" s="45">
        <v>10.766300000000001</v>
      </c>
    </row>
    <row r="8" spans="1:2" x14ac:dyDescent="0.2">
      <c r="A8" s="46">
        <v>37070</v>
      </c>
      <c r="B8" s="45">
        <v>10.885400000000001</v>
      </c>
    </row>
    <row r="9" spans="1:2" x14ac:dyDescent="0.2">
      <c r="A9" s="46">
        <v>37100</v>
      </c>
      <c r="B9" s="45">
        <v>10.626900000000001</v>
      </c>
    </row>
    <row r="10" spans="1:2" x14ac:dyDescent="0.2">
      <c r="A10" s="46">
        <v>37131</v>
      </c>
      <c r="B10" s="45">
        <v>10.449400000000001</v>
      </c>
    </row>
    <row r="11" spans="1:2" x14ac:dyDescent="0.2">
      <c r="A11" s="46">
        <v>37162</v>
      </c>
      <c r="B11" s="45">
        <v>10.667900000000001</v>
      </c>
    </row>
    <row r="12" spans="1:2" x14ac:dyDescent="0.2">
      <c r="A12" s="46">
        <v>37192</v>
      </c>
      <c r="B12" s="45">
        <v>10.6348</v>
      </c>
    </row>
    <row r="13" spans="1:2" x14ac:dyDescent="0.2">
      <c r="A13" s="46">
        <v>37223</v>
      </c>
      <c r="B13" s="45">
        <v>10.6844</v>
      </c>
    </row>
    <row r="14" spans="1:2" x14ac:dyDescent="0.2">
      <c r="A14" s="46">
        <v>37253</v>
      </c>
      <c r="B14" s="45">
        <v>10.489700000000001</v>
      </c>
    </row>
    <row r="15" spans="1:2" x14ac:dyDescent="0.2">
      <c r="A15" s="46">
        <v>37284</v>
      </c>
      <c r="B15" s="45">
        <v>10.64</v>
      </c>
    </row>
    <row r="16" spans="1:2" x14ac:dyDescent="0.2">
      <c r="A16" s="46">
        <v>37315</v>
      </c>
      <c r="B16" s="45">
        <v>10.463900000000001</v>
      </c>
    </row>
    <row r="17" spans="1:2" x14ac:dyDescent="0.2">
      <c r="A17" s="46">
        <v>37343</v>
      </c>
      <c r="B17" s="45">
        <v>10.3582</v>
      </c>
    </row>
    <row r="18" spans="1:2" x14ac:dyDescent="0.2">
      <c r="A18" s="46">
        <v>37374</v>
      </c>
      <c r="B18" s="45">
        <v>10.275200000000002</v>
      </c>
    </row>
    <row r="19" spans="1:2" x14ac:dyDescent="0.2">
      <c r="A19" s="46">
        <v>37404</v>
      </c>
      <c r="B19" s="45">
        <v>9.738900000000001</v>
      </c>
    </row>
    <row r="20" spans="1:2" x14ac:dyDescent="0.2">
      <c r="A20" s="46">
        <v>37435</v>
      </c>
      <c r="B20" s="45">
        <v>9.1905000000000001</v>
      </c>
    </row>
    <row r="21" spans="1:2" x14ac:dyDescent="0.2">
      <c r="A21" s="46">
        <v>37465</v>
      </c>
      <c r="B21" s="45">
        <v>9.508700000000001</v>
      </c>
    </row>
    <row r="22" spans="1:2" x14ac:dyDescent="0.2">
      <c r="A22" s="46">
        <v>37496</v>
      </c>
      <c r="B22" s="45">
        <v>9.3874000000000013</v>
      </c>
    </row>
    <row r="23" spans="1:2" x14ac:dyDescent="0.2">
      <c r="A23" s="46">
        <v>37527</v>
      </c>
      <c r="B23" s="45">
        <v>9.2725000000000009</v>
      </c>
    </row>
    <row r="24" spans="1:2" x14ac:dyDescent="0.2">
      <c r="A24" s="46">
        <v>37557</v>
      </c>
      <c r="B24" s="45">
        <v>9.1623999999999999</v>
      </c>
    </row>
    <row r="25" spans="1:2" x14ac:dyDescent="0.2">
      <c r="A25" s="46">
        <v>37588</v>
      </c>
      <c r="B25" s="45">
        <v>9.0654000000000003</v>
      </c>
    </row>
    <row r="26" spans="1:2" x14ac:dyDescent="0.2">
      <c r="A26" s="46">
        <v>37618</v>
      </c>
      <c r="B26" s="45">
        <v>8.7133000000000003</v>
      </c>
    </row>
    <row r="27" spans="1:2" x14ac:dyDescent="0.2">
      <c r="A27" s="46">
        <v>37649</v>
      </c>
      <c r="B27" s="45">
        <v>8.6128</v>
      </c>
    </row>
    <row r="28" spans="1:2" x14ac:dyDescent="0.2">
      <c r="A28" s="46">
        <v>37680</v>
      </c>
      <c r="B28" s="45">
        <v>8.5090000000000003</v>
      </c>
    </row>
    <row r="29" spans="1:2" x14ac:dyDescent="0.2">
      <c r="A29" s="46">
        <v>37708</v>
      </c>
      <c r="B29" s="45">
        <v>8.4789500000000011</v>
      </c>
    </row>
    <row r="30" spans="1:2" x14ac:dyDescent="0.2">
      <c r="A30" s="46">
        <v>37739</v>
      </c>
      <c r="B30" s="45">
        <v>8.1797000000000004</v>
      </c>
    </row>
    <row r="31" spans="1:2" x14ac:dyDescent="0.2">
      <c r="A31" s="46">
        <v>37769</v>
      </c>
      <c r="B31" s="45">
        <v>7.7681500000000003</v>
      </c>
    </row>
    <row r="32" spans="1:2" x14ac:dyDescent="0.2">
      <c r="A32" s="46">
        <v>37800</v>
      </c>
      <c r="B32" s="45">
        <v>8.0049500000000009</v>
      </c>
    </row>
    <row r="33" spans="1:2" x14ac:dyDescent="0.2">
      <c r="A33" s="46">
        <v>37830</v>
      </c>
      <c r="B33" s="45">
        <v>8.21265</v>
      </c>
    </row>
    <row r="34" spans="1:2" x14ac:dyDescent="0.2">
      <c r="A34" s="46">
        <v>37861</v>
      </c>
      <c r="B34" s="45">
        <v>8.3612000000000002</v>
      </c>
    </row>
    <row r="35" spans="1:2" x14ac:dyDescent="0.2">
      <c r="A35" s="46">
        <v>37892</v>
      </c>
      <c r="B35" s="45">
        <v>7.7354000000000003</v>
      </c>
    </row>
    <row r="36" spans="1:2" x14ac:dyDescent="0.2">
      <c r="A36" s="46">
        <v>37922</v>
      </c>
      <c r="B36" s="45">
        <v>7.8008500000000005</v>
      </c>
    </row>
    <row r="37" spans="1:2" x14ac:dyDescent="0.2">
      <c r="A37" s="46">
        <v>37953</v>
      </c>
      <c r="B37" s="45">
        <v>7.5561000000000007</v>
      </c>
    </row>
    <row r="38" spans="1:2" x14ac:dyDescent="0.2">
      <c r="A38" s="46">
        <v>37983</v>
      </c>
      <c r="B38" s="45">
        <v>7.1953000000000005</v>
      </c>
    </row>
    <row r="39" spans="1:2" x14ac:dyDescent="0.2">
      <c r="A39" s="46">
        <v>38014</v>
      </c>
      <c r="B39" s="45">
        <v>7.4113000000000007</v>
      </c>
    </row>
    <row r="40" spans="1:2" x14ac:dyDescent="0.2">
      <c r="A40" s="46">
        <v>38045</v>
      </c>
      <c r="B40" s="45">
        <v>7.4442000000000004</v>
      </c>
    </row>
    <row r="41" spans="1:2" x14ac:dyDescent="0.2">
      <c r="A41" s="46">
        <v>38074</v>
      </c>
      <c r="B41" s="45">
        <v>7.5413000000000006</v>
      </c>
    </row>
    <row r="42" spans="1:2" x14ac:dyDescent="0.2">
      <c r="A42" s="46">
        <v>38105</v>
      </c>
      <c r="B42" s="45">
        <v>7.639450000000001</v>
      </c>
    </row>
    <row r="43" spans="1:2" x14ac:dyDescent="0.2">
      <c r="A43" s="46">
        <v>38135</v>
      </c>
      <c r="B43" s="45">
        <v>7.4552500000000004</v>
      </c>
    </row>
    <row r="44" spans="1:2" x14ac:dyDescent="0.2">
      <c r="A44" s="46">
        <v>38166</v>
      </c>
      <c r="B44" s="45">
        <v>7.5329500000000005</v>
      </c>
    </row>
    <row r="45" spans="1:2" x14ac:dyDescent="0.2">
      <c r="A45" s="46">
        <v>38196</v>
      </c>
      <c r="B45" s="45">
        <v>7.6739000000000006</v>
      </c>
    </row>
    <row r="46" spans="1:2" x14ac:dyDescent="0.2">
      <c r="A46" s="46">
        <v>38227</v>
      </c>
      <c r="B46" s="45">
        <v>7.5128000000000004</v>
      </c>
    </row>
    <row r="47" spans="1:2" x14ac:dyDescent="0.2">
      <c r="A47" s="46">
        <v>38258</v>
      </c>
      <c r="B47" s="45">
        <v>7.2802000000000007</v>
      </c>
    </row>
    <row r="48" spans="1:2" x14ac:dyDescent="0.2">
      <c r="A48" s="46">
        <v>38288</v>
      </c>
      <c r="B48" s="45">
        <v>7.113150000000001</v>
      </c>
    </row>
    <row r="49" spans="1:2" x14ac:dyDescent="0.2">
      <c r="A49" s="46">
        <v>38319</v>
      </c>
      <c r="B49" s="45">
        <v>6.7292500000000004</v>
      </c>
    </row>
    <row r="50" spans="1:2" x14ac:dyDescent="0.2">
      <c r="A50" s="46">
        <v>38349</v>
      </c>
      <c r="B50" s="45">
        <v>6.6454000000000004</v>
      </c>
    </row>
    <row r="51" spans="1:2" x14ac:dyDescent="0.2">
      <c r="A51" s="46">
        <v>38380</v>
      </c>
      <c r="B51" s="45">
        <v>6.9866500000000009</v>
      </c>
    </row>
    <row r="52" spans="1:2" x14ac:dyDescent="0.2">
      <c r="A52" s="46">
        <v>38411</v>
      </c>
      <c r="B52" s="45">
        <v>6.8237000000000005</v>
      </c>
    </row>
    <row r="53" spans="1:2" x14ac:dyDescent="0.2">
      <c r="A53" s="46">
        <v>38439</v>
      </c>
      <c r="B53" s="45">
        <v>7.0432000000000006</v>
      </c>
    </row>
    <row r="54" spans="1:2" x14ac:dyDescent="0.2">
      <c r="A54" s="46">
        <v>38470</v>
      </c>
      <c r="B54" s="45">
        <v>7.1248000000000005</v>
      </c>
    </row>
    <row r="55" spans="1:2" x14ac:dyDescent="0.2">
      <c r="A55" s="46">
        <v>38500</v>
      </c>
      <c r="B55" s="45">
        <v>7.4045500000000004</v>
      </c>
    </row>
    <row r="56" spans="1:2" x14ac:dyDescent="0.2">
      <c r="A56" s="46">
        <v>38531</v>
      </c>
      <c r="B56" s="45">
        <v>7.8089500000000003</v>
      </c>
    </row>
    <row r="57" spans="1:2" x14ac:dyDescent="0.2">
      <c r="A57" s="46">
        <v>38561</v>
      </c>
      <c r="B57" s="45">
        <v>7.7582000000000004</v>
      </c>
    </row>
    <row r="58" spans="1:2" x14ac:dyDescent="0.2">
      <c r="A58" s="46">
        <v>38592</v>
      </c>
      <c r="B58" s="45">
        <v>7.5939500000000004</v>
      </c>
    </row>
    <row r="59" spans="1:2" x14ac:dyDescent="0.2">
      <c r="A59" s="46">
        <v>38623</v>
      </c>
      <c r="B59" s="45">
        <v>7.7295500000000006</v>
      </c>
    </row>
    <row r="60" spans="1:2" x14ac:dyDescent="0.2">
      <c r="A60" s="46">
        <v>38653</v>
      </c>
      <c r="B60" s="45">
        <v>7.9636500000000003</v>
      </c>
    </row>
    <row r="61" spans="1:2" x14ac:dyDescent="0.2">
      <c r="A61" s="46">
        <v>38684</v>
      </c>
      <c r="B61" s="45">
        <v>8.0788000000000011</v>
      </c>
    </row>
    <row r="62" spans="1:2" x14ac:dyDescent="0.2">
      <c r="A62" s="46">
        <v>38714</v>
      </c>
      <c r="B62" s="45">
        <v>7.9586000000000006</v>
      </c>
    </row>
    <row r="63" spans="1:2" x14ac:dyDescent="0.2">
      <c r="A63" s="46">
        <v>38745</v>
      </c>
      <c r="B63" s="45">
        <v>7.6151000000000009</v>
      </c>
    </row>
    <row r="64" spans="1:2" x14ac:dyDescent="0.2">
      <c r="A64" s="46">
        <v>38776</v>
      </c>
      <c r="B64" s="45">
        <v>7.9182500000000005</v>
      </c>
    </row>
    <row r="65" spans="1:2" x14ac:dyDescent="0.2">
      <c r="A65" s="46">
        <v>38804</v>
      </c>
      <c r="B65" s="45">
        <v>7.7937000000000003</v>
      </c>
    </row>
    <row r="66" spans="1:2" x14ac:dyDescent="0.2">
      <c r="A66" s="46">
        <v>38835</v>
      </c>
      <c r="B66" s="45">
        <v>7.3858000000000006</v>
      </c>
    </row>
    <row r="67" spans="1:2" x14ac:dyDescent="0.2">
      <c r="A67" s="46">
        <v>38865</v>
      </c>
      <c r="B67" s="45">
        <v>7.2157500000000008</v>
      </c>
    </row>
    <row r="68" spans="1:2" x14ac:dyDescent="0.2">
      <c r="A68" s="46">
        <v>38896</v>
      </c>
      <c r="B68" s="45">
        <v>7.203450000000001</v>
      </c>
    </row>
    <row r="69" spans="1:2" x14ac:dyDescent="0.2">
      <c r="A69" s="46">
        <v>38926</v>
      </c>
      <c r="B69" s="45">
        <v>7.2201500000000003</v>
      </c>
    </row>
    <row r="70" spans="1:2" x14ac:dyDescent="0.2">
      <c r="A70" s="46">
        <v>38957</v>
      </c>
      <c r="B70" s="45">
        <v>7.2331000000000003</v>
      </c>
    </row>
    <row r="71" spans="1:2" x14ac:dyDescent="0.2">
      <c r="A71" s="46">
        <v>38988</v>
      </c>
      <c r="B71" s="45">
        <v>7.3285500000000008</v>
      </c>
    </row>
    <row r="72" spans="1:2" x14ac:dyDescent="0.2">
      <c r="A72" s="46">
        <v>39018</v>
      </c>
      <c r="B72" s="45">
        <v>7.2214000000000009</v>
      </c>
    </row>
    <row r="73" spans="1:2" x14ac:dyDescent="0.2">
      <c r="A73" s="46">
        <v>39049</v>
      </c>
      <c r="B73" s="45">
        <v>6.8413000000000004</v>
      </c>
    </row>
    <row r="74" spans="1:2" x14ac:dyDescent="0.2">
      <c r="A74" s="46">
        <v>39079</v>
      </c>
      <c r="B74" s="45">
        <v>6.8430000000000009</v>
      </c>
    </row>
    <row r="75" spans="1:2" x14ac:dyDescent="0.2">
      <c r="A75" s="46">
        <v>39110</v>
      </c>
      <c r="B75" s="45">
        <v>6.9675500000000001</v>
      </c>
    </row>
    <row r="76" spans="1:2" x14ac:dyDescent="0.2">
      <c r="A76" s="46">
        <v>39141</v>
      </c>
      <c r="B76" s="45">
        <v>7.0165500000000005</v>
      </c>
    </row>
    <row r="77" spans="1:2" x14ac:dyDescent="0.2">
      <c r="A77" s="46">
        <v>39169</v>
      </c>
      <c r="B77" s="45">
        <v>7.0161000000000007</v>
      </c>
    </row>
    <row r="78" spans="1:2" x14ac:dyDescent="0.2">
      <c r="A78" s="46">
        <v>39200</v>
      </c>
      <c r="B78" s="45">
        <v>6.7083500000000003</v>
      </c>
    </row>
    <row r="79" spans="1:2" x14ac:dyDescent="0.2">
      <c r="A79" s="46">
        <v>39230</v>
      </c>
      <c r="B79" s="45">
        <v>6.9124500000000006</v>
      </c>
    </row>
    <row r="80" spans="1:2" x14ac:dyDescent="0.2">
      <c r="A80" s="46">
        <v>39261</v>
      </c>
      <c r="B80" s="45">
        <v>6.8572000000000006</v>
      </c>
    </row>
    <row r="81" spans="1:2" x14ac:dyDescent="0.2">
      <c r="A81" s="46">
        <v>39291</v>
      </c>
      <c r="B81" s="45">
        <v>6.7379000000000007</v>
      </c>
    </row>
    <row r="82" spans="1:2" x14ac:dyDescent="0.2">
      <c r="A82" s="46">
        <v>39322</v>
      </c>
      <c r="B82" s="45">
        <v>6.8878500000000003</v>
      </c>
    </row>
    <row r="83" spans="1:2" x14ac:dyDescent="0.2">
      <c r="A83" s="46">
        <v>39353</v>
      </c>
      <c r="B83" s="45">
        <v>6.4690500000000002</v>
      </c>
    </row>
    <row r="84" spans="1:2" x14ac:dyDescent="0.2">
      <c r="A84" s="46">
        <v>39383</v>
      </c>
      <c r="B84" s="45">
        <v>6.3611000000000004</v>
      </c>
    </row>
    <row r="85" spans="1:2" x14ac:dyDescent="0.2">
      <c r="A85" s="46">
        <v>39414</v>
      </c>
      <c r="B85" s="45">
        <v>6.3884000000000007</v>
      </c>
    </row>
    <row r="86" spans="1:2" x14ac:dyDescent="0.2">
      <c r="A86" s="46">
        <v>39444</v>
      </c>
      <c r="B86" s="45">
        <v>6.4632000000000005</v>
      </c>
    </row>
    <row r="87" spans="1:2" x14ac:dyDescent="0.2">
      <c r="A87" s="46">
        <v>39475</v>
      </c>
      <c r="B87" s="45">
        <v>6.3993000000000002</v>
      </c>
    </row>
    <row r="88" spans="1:2" x14ac:dyDescent="0.2">
      <c r="A88" s="46">
        <v>39506</v>
      </c>
      <c r="B88" s="45">
        <v>6.1699000000000002</v>
      </c>
    </row>
    <row r="89" spans="1:2" x14ac:dyDescent="0.2">
      <c r="A89" s="46">
        <v>39535</v>
      </c>
      <c r="B89" s="45">
        <v>5.9299500000000007</v>
      </c>
    </row>
    <row r="90" spans="1:2" x14ac:dyDescent="0.2">
      <c r="A90" s="46">
        <v>39566</v>
      </c>
      <c r="B90" s="45">
        <v>5.9938500000000001</v>
      </c>
    </row>
    <row r="91" spans="1:2" x14ac:dyDescent="0.2">
      <c r="A91" s="46">
        <v>39596</v>
      </c>
      <c r="B91" s="45">
        <v>6.0049500000000009</v>
      </c>
    </row>
    <row r="92" spans="1:2" x14ac:dyDescent="0.2">
      <c r="A92" s="46">
        <v>39627</v>
      </c>
      <c r="B92" s="45">
        <v>6.0153500000000006</v>
      </c>
    </row>
    <row r="93" spans="1:2" x14ac:dyDescent="0.2">
      <c r="A93" s="46">
        <v>39657</v>
      </c>
      <c r="B93" s="45">
        <v>6.0517000000000003</v>
      </c>
    </row>
    <row r="94" spans="1:2" x14ac:dyDescent="0.2">
      <c r="A94" s="46">
        <v>39688</v>
      </c>
      <c r="B94" s="45">
        <v>6.4223500000000007</v>
      </c>
    </row>
    <row r="95" spans="1:2" x14ac:dyDescent="0.2">
      <c r="A95" s="46">
        <v>39719</v>
      </c>
      <c r="B95" s="45">
        <v>6.9727500000000004</v>
      </c>
    </row>
    <row r="96" spans="1:2" x14ac:dyDescent="0.2">
      <c r="A96" s="46">
        <v>39749</v>
      </c>
      <c r="B96" s="45">
        <v>7.7944500000000003</v>
      </c>
    </row>
    <row r="97" spans="1:2" x14ac:dyDescent="0.2">
      <c r="A97" s="46">
        <v>39780</v>
      </c>
      <c r="B97" s="45">
        <v>8.0991</v>
      </c>
    </row>
    <row r="98" spans="1:2" x14ac:dyDescent="0.2">
      <c r="A98" s="46">
        <v>39810</v>
      </c>
      <c r="B98" s="45">
        <v>7.9079500000000005</v>
      </c>
    </row>
    <row r="99" spans="1:2" x14ac:dyDescent="0.2">
      <c r="A99" s="46">
        <v>39841</v>
      </c>
      <c r="B99" s="45">
        <v>8.2951500000000014</v>
      </c>
    </row>
    <row r="100" spans="1:2" x14ac:dyDescent="0.2">
      <c r="A100" s="46">
        <v>39872</v>
      </c>
      <c r="B100" s="45">
        <v>8.9959000000000007</v>
      </c>
    </row>
    <row r="101" spans="1:2" x14ac:dyDescent="0.2">
      <c r="A101" s="46">
        <v>39900</v>
      </c>
      <c r="B101" s="45">
        <v>8.2673000000000005</v>
      </c>
    </row>
    <row r="102" spans="1:2" x14ac:dyDescent="0.2">
      <c r="A102" s="46">
        <v>39931</v>
      </c>
      <c r="B102" s="45">
        <v>8.0545000000000009</v>
      </c>
    </row>
    <row r="103" spans="1:2" x14ac:dyDescent="0.2">
      <c r="A103" s="46">
        <v>39961</v>
      </c>
      <c r="B103" s="45">
        <v>7.5802000000000005</v>
      </c>
    </row>
    <row r="104" spans="1:2" x14ac:dyDescent="0.2">
      <c r="A104" s="46">
        <v>39992</v>
      </c>
      <c r="B104" s="45">
        <v>7.7478500000000006</v>
      </c>
    </row>
    <row r="105" spans="1:2" x14ac:dyDescent="0.2">
      <c r="A105" s="46">
        <v>40022</v>
      </c>
      <c r="B105" s="45">
        <v>7.2853000000000003</v>
      </c>
    </row>
    <row r="106" spans="1:2" x14ac:dyDescent="0.2">
      <c r="A106" s="46">
        <v>40053</v>
      </c>
      <c r="B106" s="45">
        <v>7.1006000000000009</v>
      </c>
    </row>
    <row r="107" spans="1:2" x14ac:dyDescent="0.2">
      <c r="A107" s="46">
        <v>40084</v>
      </c>
      <c r="B107" s="45">
        <v>6.9928500000000007</v>
      </c>
    </row>
    <row r="108" spans="1:2" x14ac:dyDescent="0.2">
      <c r="A108" s="46">
        <v>40114</v>
      </c>
      <c r="B108" s="45">
        <v>7.0529500000000009</v>
      </c>
    </row>
    <row r="109" spans="1:2" x14ac:dyDescent="0.2">
      <c r="A109" s="46">
        <v>40145</v>
      </c>
      <c r="B109" s="45">
        <v>6.9892000000000003</v>
      </c>
    </row>
    <row r="110" spans="1:2" x14ac:dyDescent="0.2">
      <c r="A110" s="46">
        <v>40175</v>
      </c>
      <c r="B110" s="45">
        <v>7.1401000000000003</v>
      </c>
    </row>
    <row r="111" spans="1:2" x14ac:dyDescent="0.2">
      <c r="A111" s="46">
        <v>40206</v>
      </c>
      <c r="B111" s="45">
        <v>7.341400000000001</v>
      </c>
    </row>
    <row r="112" spans="1:2" x14ac:dyDescent="0.2">
      <c r="A112" s="46">
        <v>40237</v>
      </c>
      <c r="B112" s="45">
        <v>7.1121500000000006</v>
      </c>
    </row>
    <row r="113" spans="1:2" x14ac:dyDescent="0.2">
      <c r="A113" s="46">
        <v>40265</v>
      </c>
      <c r="B113" s="45">
        <v>7.197000000000001</v>
      </c>
    </row>
    <row r="114" spans="1:2" x14ac:dyDescent="0.2">
      <c r="A114" s="46">
        <v>40296</v>
      </c>
      <c r="B114" s="45">
        <v>7.2486000000000006</v>
      </c>
    </row>
    <row r="115" spans="1:2" x14ac:dyDescent="0.2">
      <c r="A115" s="46">
        <v>40326</v>
      </c>
      <c r="B115" s="45">
        <v>7.8289500000000007</v>
      </c>
    </row>
    <row r="116" spans="1:2" x14ac:dyDescent="0.2">
      <c r="A116" s="46">
        <v>40357</v>
      </c>
      <c r="B116" s="45">
        <v>7.7820000000000009</v>
      </c>
    </row>
    <row r="117" spans="1:2" x14ac:dyDescent="0.2">
      <c r="A117" s="46">
        <v>40387</v>
      </c>
      <c r="B117" s="45">
        <v>7.229750000000001</v>
      </c>
    </row>
    <row r="118" spans="1:2" x14ac:dyDescent="0.2">
      <c r="A118" s="46">
        <v>40418</v>
      </c>
      <c r="B118" s="45">
        <v>7.3703000000000003</v>
      </c>
    </row>
    <row r="119" spans="1:2" x14ac:dyDescent="0.2">
      <c r="A119" s="46">
        <v>40449</v>
      </c>
      <c r="B119" s="45">
        <v>6.7305500000000009</v>
      </c>
    </row>
    <row r="120" spans="1:2" x14ac:dyDescent="0.2">
      <c r="A120" s="46">
        <v>40479</v>
      </c>
      <c r="B120" s="45">
        <v>6.7047000000000008</v>
      </c>
    </row>
    <row r="121" spans="1:2" x14ac:dyDescent="0.2">
      <c r="A121" s="46">
        <v>40510</v>
      </c>
      <c r="B121" s="45">
        <v>7.0326000000000004</v>
      </c>
    </row>
    <row r="122" spans="1:2" x14ac:dyDescent="0.2">
      <c r="A122" s="46">
        <v>40540</v>
      </c>
      <c r="B122" s="45">
        <v>6.7228500000000002</v>
      </c>
    </row>
    <row r="123" spans="1:2" x14ac:dyDescent="0.2">
      <c r="A123" s="46">
        <v>40571</v>
      </c>
      <c r="B123" s="45">
        <v>6.4302500000000009</v>
      </c>
    </row>
    <row r="124" spans="1:2" x14ac:dyDescent="0.2">
      <c r="A124" s="46">
        <v>40602</v>
      </c>
      <c r="B124" s="45">
        <v>6.3298000000000005</v>
      </c>
    </row>
    <row r="125" spans="1:2" x14ac:dyDescent="0.2">
      <c r="A125" s="46">
        <v>40630</v>
      </c>
      <c r="B125" s="45">
        <v>6.3084000000000007</v>
      </c>
    </row>
    <row r="126" spans="1:2" x14ac:dyDescent="0.2">
      <c r="A126" s="46">
        <v>40661</v>
      </c>
      <c r="B126" s="45">
        <v>6.0274000000000001</v>
      </c>
    </row>
    <row r="127" spans="1:2" x14ac:dyDescent="0.2">
      <c r="A127" s="46">
        <v>40691</v>
      </c>
      <c r="B127" s="45">
        <v>6.1825000000000001</v>
      </c>
    </row>
    <row r="128" spans="1:2" x14ac:dyDescent="0.2">
      <c r="A128" s="46">
        <v>40722</v>
      </c>
      <c r="B128" s="45">
        <v>6.3100500000000004</v>
      </c>
    </row>
    <row r="129" spans="1:2" x14ac:dyDescent="0.2">
      <c r="A129" s="46">
        <v>40752</v>
      </c>
      <c r="B129" s="45">
        <v>6.3076500000000006</v>
      </c>
    </row>
    <row r="130" spans="1:2" x14ac:dyDescent="0.2">
      <c r="A130" s="46">
        <v>40783</v>
      </c>
      <c r="B130" s="45">
        <v>6.3240500000000006</v>
      </c>
    </row>
    <row r="131" spans="1:2" x14ac:dyDescent="0.2">
      <c r="A131" s="46">
        <v>40814</v>
      </c>
      <c r="B131" s="45">
        <v>6.8682000000000007</v>
      </c>
    </row>
    <row r="132" spans="1:2" x14ac:dyDescent="0.2">
      <c r="A132" s="46">
        <v>40844</v>
      </c>
      <c r="B132" s="45">
        <v>6.4661000000000008</v>
      </c>
    </row>
    <row r="133" spans="1:2" x14ac:dyDescent="0.2">
      <c r="A133" s="46">
        <v>40875</v>
      </c>
      <c r="B133" s="45">
        <v>6.7439000000000009</v>
      </c>
    </row>
    <row r="134" spans="1:2" x14ac:dyDescent="0.2">
      <c r="A134" s="46">
        <v>40905</v>
      </c>
      <c r="B134" s="45">
        <v>6.8553000000000006</v>
      </c>
    </row>
    <row r="135" spans="1:2" x14ac:dyDescent="0.2">
      <c r="A135" s="46">
        <v>40936</v>
      </c>
      <c r="B135" s="45">
        <v>6.8094000000000001</v>
      </c>
    </row>
    <row r="136" spans="1:2" x14ac:dyDescent="0.2">
      <c r="A136" s="46">
        <v>40967</v>
      </c>
      <c r="B136" s="45">
        <v>6.5757000000000003</v>
      </c>
    </row>
    <row r="137" spans="1:2" x14ac:dyDescent="0.2">
      <c r="A137" s="46">
        <v>40996</v>
      </c>
      <c r="B137" s="45">
        <v>6.6353500000000007</v>
      </c>
    </row>
    <row r="138" spans="1:2" x14ac:dyDescent="0.2">
      <c r="A138" s="46">
        <v>41027</v>
      </c>
      <c r="B138" s="45">
        <v>6.7233500000000008</v>
      </c>
    </row>
    <row r="139" spans="1:2" x14ac:dyDescent="0.2">
      <c r="A139" s="46">
        <v>41057</v>
      </c>
      <c r="B139" s="45">
        <v>7.2708000000000004</v>
      </c>
    </row>
    <row r="140" spans="1:2" x14ac:dyDescent="0.2">
      <c r="A140" s="46">
        <v>41088</v>
      </c>
      <c r="B140" s="45">
        <v>6.902400000000001</v>
      </c>
    </row>
    <row r="141" spans="1:2" x14ac:dyDescent="0.2">
      <c r="A141" s="46">
        <v>41118</v>
      </c>
      <c r="B141" s="45">
        <v>6.7891500000000002</v>
      </c>
    </row>
    <row r="142" spans="1:2" x14ac:dyDescent="0.2">
      <c r="A142" s="46">
        <v>41149</v>
      </c>
      <c r="B142" s="45">
        <v>6.6216500000000007</v>
      </c>
    </row>
    <row r="143" spans="1:2" x14ac:dyDescent="0.2">
      <c r="A143" s="46">
        <v>41180</v>
      </c>
      <c r="B143" s="45">
        <v>6.5566000000000004</v>
      </c>
    </row>
    <row r="144" spans="1:2" x14ac:dyDescent="0.2">
      <c r="A144" s="46">
        <v>41210</v>
      </c>
      <c r="B144" s="45">
        <v>6.6354000000000006</v>
      </c>
    </row>
    <row r="145" spans="1:2" x14ac:dyDescent="0.2">
      <c r="A145" s="46">
        <v>41241</v>
      </c>
      <c r="B145" s="45">
        <v>6.6587000000000005</v>
      </c>
    </row>
    <row r="146" spans="1:2" x14ac:dyDescent="0.2">
      <c r="A146" s="46">
        <v>41271</v>
      </c>
      <c r="B146" s="45">
        <v>6.5054500000000006</v>
      </c>
    </row>
    <row r="147" spans="1:2" x14ac:dyDescent="0.2">
      <c r="A147" s="46">
        <v>41302</v>
      </c>
      <c r="B147" s="45">
        <v>6.3631000000000002</v>
      </c>
    </row>
    <row r="148" spans="1:2" x14ac:dyDescent="0.2">
      <c r="A148" s="46">
        <v>41333</v>
      </c>
      <c r="B148" s="45">
        <v>6.4455000000000009</v>
      </c>
    </row>
    <row r="149" spans="1:2" x14ac:dyDescent="0.2">
      <c r="A149" s="46">
        <v>41361</v>
      </c>
      <c r="B149" s="45">
        <v>6.5020000000000007</v>
      </c>
    </row>
    <row r="150" spans="1:2" x14ac:dyDescent="0.2">
      <c r="A150" s="46">
        <v>41392</v>
      </c>
      <c r="B150" s="45">
        <v>6.4731500000000004</v>
      </c>
    </row>
    <row r="151" spans="1:2" x14ac:dyDescent="0.2">
      <c r="A151" s="46">
        <v>41422</v>
      </c>
      <c r="B151" s="45">
        <v>6.6470000000000002</v>
      </c>
    </row>
    <row r="152" spans="1:2" x14ac:dyDescent="0.2">
      <c r="A152" s="46">
        <v>41453</v>
      </c>
      <c r="B152" s="45">
        <v>6.7494500000000004</v>
      </c>
    </row>
    <row r="153" spans="1:2" x14ac:dyDescent="0.2">
      <c r="A153" s="46">
        <v>41483</v>
      </c>
      <c r="B153" s="45">
        <v>6.5359000000000007</v>
      </c>
    </row>
    <row r="154" spans="1:2" x14ac:dyDescent="0.2">
      <c r="A154" s="46">
        <v>41514</v>
      </c>
      <c r="B154" s="45">
        <v>6.6381500000000004</v>
      </c>
    </row>
    <row r="155" spans="1:2" x14ac:dyDescent="0.2">
      <c r="A155" s="46">
        <v>41545</v>
      </c>
      <c r="B155" s="45">
        <v>6.4231000000000007</v>
      </c>
    </row>
    <row r="156" spans="1:2" x14ac:dyDescent="0.2">
      <c r="A156" s="46">
        <v>41575</v>
      </c>
      <c r="B156" s="45">
        <v>6.4710500000000009</v>
      </c>
    </row>
    <row r="157" spans="1:2" x14ac:dyDescent="0.2">
      <c r="A157" s="46">
        <v>41606</v>
      </c>
      <c r="B157" s="45">
        <v>6.5359500000000006</v>
      </c>
    </row>
    <row r="158" spans="1:2" x14ac:dyDescent="0.2">
      <c r="A158" s="46">
        <v>41636</v>
      </c>
      <c r="B158" s="45">
        <v>6.4226000000000001</v>
      </c>
    </row>
    <row r="159" spans="1:2" x14ac:dyDescent="0.2">
      <c r="A159" s="46">
        <v>41667</v>
      </c>
      <c r="B159" s="45">
        <v>6.5462000000000007</v>
      </c>
    </row>
    <row r="160" spans="1:2" x14ac:dyDescent="0.2">
      <c r="A160" s="46">
        <v>41698</v>
      </c>
      <c r="B160" s="45">
        <v>6.4056500000000005</v>
      </c>
    </row>
    <row r="161" spans="1:2" x14ac:dyDescent="0.2">
      <c r="A161" s="46">
        <v>41726</v>
      </c>
      <c r="B161" s="45">
        <v>6.4835500000000001</v>
      </c>
    </row>
    <row r="162" spans="1:2" x14ac:dyDescent="0.2">
      <c r="A162" s="46">
        <v>41757</v>
      </c>
      <c r="B162" s="45">
        <v>6.5169000000000006</v>
      </c>
    </row>
    <row r="163" spans="1:2" x14ac:dyDescent="0.2">
      <c r="A163" s="46">
        <v>41787</v>
      </c>
      <c r="B163" s="45">
        <v>6.6797000000000004</v>
      </c>
    </row>
    <row r="164" spans="1:2" x14ac:dyDescent="0.2">
      <c r="A164" s="46">
        <v>41818</v>
      </c>
      <c r="B164" s="45">
        <v>6.6853500000000006</v>
      </c>
    </row>
    <row r="165" spans="1:2" x14ac:dyDescent="0.2">
      <c r="A165" s="46">
        <v>41848</v>
      </c>
      <c r="B165" s="45">
        <v>6.9059500000000007</v>
      </c>
    </row>
    <row r="166" spans="1:2" x14ac:dyDescent="0.2">
      <c r="A166" s="46">
        <v>41879</v>
      </c>
      <c r="B166" s="45">
        <v>6.9712500000000004</v>
      </c>
    </row>
    <row r="167" spans="1:2" x14ac:dyDescent="0.2">
      <c r="A167" s="46">
        <v>41910</v>
      </c>
      <c r="B167" s="45">
        <v>7.208400000000001</v>
      </c>
    </row>
    <row r="168" spans="1:2" x14ac:dyDescent="0.2">
      <c r="A168" s="46">
        <v>41940</v>
      </c>
      <c r="B168" s="45">
        <v>7.4002500000000007</v>
      </c>
    </row>
    <row r="169" spans="1:2" x14ac:dyDescent="0.2">
      <c r="A169" s="46">
        <v>41971</v>
      </c>
      <c r="B169" s="45">
        <v>7.4419000000000004</v>
      </c>
    </row>
    <row r="170" spans="1:2" x14ac:dyDescent="0.2">
      <c r="A170" s="46">
        <v>42001</v>
      </c>
      <c r="B170" s="45">
        <v>7.8282500000000006</v>
      </c>
    </row>
    <row r="171" spans="1:2" x14ac:dyDescent="0.2">
      <c r="A171" s="46">
        <v>42032</v>
      </c>
      <c r="B171" s="45">
        <v>8.272450000000001</v>
      </c>
    </row>
    <row r="172" spans="1:2" x14ac:dyDescent="0.2">
      <c r="A172" s="46">
        <v>42063</v>
      </c>
      <c r="B172" s="45">
        <v>8.3407499999999999</v>
      </c>
    </row>
    <row r="173" spans="1:2" x14ac:dyDescent="0.2">
      <c r="A173" s="46">
        <v>42091</v>
      </c>
      <c r="B173" s="45">
        <v>8.6240500000000004</v>
      </c>
    </row>
    <row r="174" spans="1:2" x14ac:dyDescent="0.2">
      <c r="A174" s="46">
        <v>42122</v>
      </c>
      <c r="B174" s="45">
        <v>8.3503500000000006</v>
      </c>
    </row>
    <row r="175" spans="1:2" x14ac:dyDescent="0.2">
      <c r="A175" s="46">
        <v>42152</v>
      </c>
      <c r="B175" s="45">
        <v>8.5439500000000006</v>
      </c>
    </row>
    <row r="176" spans="1:2" x14ac:dyDescent="0.2">
      <c r="A176" s="46">
        <v>42183</v>
      </c>
      <c r="B176" s="45">
        <v>8.2975000000000012</v>
      </c>
    </row>
    <row r="177" spans="1:2" x14ac:dyDescent="0.2">
      <c r="A177" s="46">
        <v>42213</v>
      </c>
      <c r="B177" s="45">
        <v>8.5754000000000001</v>
      </c>
    </row>
    <row r="178" spans="1:2" x14ac:dyDescent="0.2">
      <c r="A178" s="46">
        <v>42244</v>
      </c>
      <c r="B178" s="45">
        <v>8.4852500000000006</v>
      </c>
    </row>
    <row r="179" spans="1:2" x14ac:dyDescent="0.2">
      <c r="A179" s="46">
        <v>42275</v>
      </c>
      <c r="B179" s="45">
        <v>8.3870500000000003</v>
      </c>
    </row>
    <row r="180" spans="1:2" x14ac:dyDescent="0.2">
      <c r="A180" s="46">
        <v>42305</v>
      </c>
      <c r="B180" s="45">
        <v>8.4909500000000016</v>
      </c>
    </row>
    <row r="181" spans="1:2" x14ac:dyDescent="0.2">
      <c r="A181" s="46">
        <v>42336</v>
      </c>
      <c r="B181" s="45">
        <v>8.7210999999999999</v>
      </c>
    </row>
    <row r="182" spans="1:2" x14ac:dyDescent="0.2">
      <c r="A182" s="46">
        <v>42366</v>
      </c>
      <c r="B182" s="45">
        <v>8.4306000000000001</v>
      </c>
    </row>
    <row r="183" spans="1:2" x14ac:dyDescent="0.2">
      <c r="A183" s="46">
        <v>42397</v>
      </c>
      <c r="B183" s="45">
        <v>8.5749500000000012</v>
      </c>
    </row>
    <row r="184" spans="1:2" x14ac:dyDescent="0.2">
      <c r="A184" s="46">
        <v>42428</v>
      </c>
      <c r="B184" s="45">
        <v>8.5889000000000006</v>
      </c>
    </row>
    <row r="185" spans="1:2" x14ac:dyDescent="0.2">
      <c r="A185" s="46">
        <v>42457</v>
      </c>
      <c r="B185" s="45">
        <v>8.1067</v>
      </c>
    </row>
    <row r="186" spans="1:2" x14ac:dyDescent="0.2">
      <c r="A186" s="46">
        <v>42488</v>
      </c>
      <c r="B186" s="45">
        <v>8.022450000000001</v>
      </c>
    </row>
    <row r="187" spans="1:2" x14ac:dyDescent="0.2">
      <c r="A187" s="46">
        <v>42518</v>
      </c>
      <c r="B187" s="45">
        <v>8.353250000000001</v>
      </c>
    </row>
    <row r="188" spans="1:2" x14ac:dyDescent="0.2">
      <c r="A188" s="46">
        <v>42549</v>
      </c>
      <c r="B188" s="45">
        <v>8.4727000000000015</v>
      </c>
    </row>
    <row r="189" spans="1:2" x14ac:dyDescent="0.2">
      <c r="A189" s="46">
        <v>42579</v>
      </c>
      <c r="B189" s="45">
        <v>8.5334000000000003</v>
      </c>
    </row>
    <row r="190" spans="1:2" x14ac:dyDescent="0.2">
      <c r="A190" s="46">
        <v>42610</v>
      </c>
      <c r="B190" s="45">
        <v>8.5759000000000007</v>
      </c>
    </row>
    <row r="191" spans="1:2" x14ac:dyDescent="0.2">
      <c r="A191" s="46">
        <v>42641</v>
      </c>
      <c r="B191" s="45">
        <v>8.567400000000001</v>
      </c>
    </row>
    <row r="192" spans="1:2" x14ac:dyDescent="0.2">
      <c r="A192" s="46">
        <v>42671</v>
      </c>
      <c r="B192" s="45">
        <v>9.0215000000000014</v>
      </c>
    </row>
    <row r="193" spans="1:2" x14ac:dyDescent="0.2">
      <c r="A193" s="46">
        <v>42702</v>
      </c>
      <c r="B193" s="45">
        <v>9.2320000000000011</v>
      </c>
    </row>
    <row r="194" spans="1:2" x14ac:dyDescent="0.2">
      <c r="A194" s="46">
        <v>42732</v>
      </c>
      <c r="B194" s="45">
        <v>9.0846</v>
      </c>
    </row>
    <row r="195" spans="1:2" x14ac:dyDescent="0.2">
      <c r="A195" s="46">
        <v>42763</v>
      </c>
      <c r="B195" s="45">
        <v>8.7416</v>
      </c>
    </row>
    <row r="196" spans="1:2" x14ac:dyDescent="0.2">
      <c r="A196" s="46">
        <v>42794</v>
      </c>
      <c r="B196" s="45">
        <v>9.0062500000000014</v>
      </c>
    </row>
    <row r="197" spans="1:2" x14ac:dyDescent="0.2">
      <c r="A197" s="46">
        <v>42822</v>
      </c>
      <c r="B197" s="45">
        <v>8.9283000000000001</v>
      </c>
    </row>
    <row r="198" spans="1:2" x14ac:dyDescent="0.2">
      <c r="A198" s="46">
        <v>42853</v>
      </c>
      <c r="B198" s="45">
        <v>8.8548000000000009</v>
      </c>
    </row>
    <row r="199" spans="1:2" x14ac:dyDescent="0.2">
      <c r="A199" s="46">
        <v>42883</v>
      </c>
      <c r="B199" s="45">
        <v>8.6750000000000007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9"/>
  <sheetViews>
    <sheetView workbookViewId="0">
      <selection activeCell="M23" sqref="M23"/>
    </sheetView>
  </sheetViews>
  <sheetFormatPr baseColWidth="10" defaultColWidth="8.83203125" defaultRowHeight="15" x14ac:dyDescent="0.2"/>
  <cols>
    <col min="1" max="1" width="10.1640625" bestFit="1" customWidth="1"/>
  </cols>
  <sheetData>
    <row r="1" spans="1:2" x14ac:dyDescent="0.2">
      <c r="A1" t="s">
        <v>889</v>
      </c>
      <c r="B1" t="s">
        <v>895</v>
      </c>
    </row>
    <row r="2" spans="1:2" x14ac:dyDescent="0.2">
      <c r="A2" t="s">
        <v>890</v>
      </c>
      <c r="B2" t="s">
        <v>896</v>
      </c>
    </row>
    <row r="3" spans="1:2" x14ac:dyDescent="0.2">
      <c r="A3" s="46">
        <v>36919</v>
      </c>
      <c r="B3">
        <v>8.0251000000000001</v>
      </c>
    </row>
    <row r="4" spans="1:2" x14ac:dyDescent="0.2">
      <c r="A4" s="46">
        <v>36950</v>
      </c>
      <c r="B4">
        <v>8.1180000000000003</v>
      </c>
    </row>
    <row r="5" spans="1:2" x14ac:dyDescent="0.2">
      <c r="A5" s="46">
        <v>36978</v>
      </c>
      <c r="B5">
        <v>8.4495000000000005</v>
      </c>
    </row>
    <row r="6" spans="1:2" x14ac:dyDescent="0.2">
      <c r="A6" s="46">
        <v>37009</v>
      </c>
      <c r="B6">
        <v>8.4183000000000003</v>
      </c>
    </row>
    <row r="7" spans="1:2" x14ac:dyDescent="0.2">
      <c r="A7" s="46">
        <v>37039</v>
      </c>
      <c r="B7">
        <v>8.7967000000000013</v>
      </c>
    </row>
    <row r="8" spans="1:2" x14ac:dyDescent="0.2">
      <c r="A8" s="46">
        <v>37070</v>
      </c>
      <c r="B8">
        <v>8.7940000000000005</v>
      </c>
    </row>
    <row r="9" spans="1:2" x14ac:dyDescent="0.2">
      <c r="A9" s="46">
        <v>37100</v>
      </c>
      <c r="B9">
        <v>8.5137999999999998</v>
      </c>
    </row>
    <row r="10" spans="1:2" x14ac:dyDescent="0.2">
      <c r="A10" s="46">
        <v>37131</v>
      </c>
      <c r="B10">
        <v>8.1971000000000007</v>
      </c>
    </row>
    <row r="11" spans="1:2" x14ac:dyDescent="0.2">
      <c r="A11" s="46">
        <v>37162</v>
      </c>
      <c r="B11">
        <v>8.1650000000000009</v>
      </c>
    </row>
    <row r="12" spans="1:2" x14ac:dyDescent="0.2">
      <c r="A12" s="46">
        <v>37192</v>
      </c>
      <c r="B12">
        <v>8.2679000000000009</v>
      </c>
    </row>
    <row r="13" spans="1:2" x14ac:dyDescent="0.2">
      <c r="A13" s="46">
        <v>37223</v>
      </c>
      <c r="B13">
        <v>8.3135000000000012</v>
      </c>
    </row>
    <row r="14" spans="1:2" x14ac:dyDescent="0.2">
      <c r="A14" s="46">
        <v>37253</v>
      </c>
      <c r="B14">
        <v>8.3504000000000005</v>
      </c>
    </row>
    <row r="15" spans="1:2" x14ac:dyDescent="0.2">
      <c r="A15" s="46">
        <v>37284</v>
      </c>
      <c r="B15">
        <v>8.628400000000001</v>
      </c>
    </row>
    <row r="16" spans="1:2" x14ac:dyDescent="0.2">
      <c r="A16" s="46">
        <v>37315</v>
      </c>
      <c r="B16">
        <v>8.5910000000000011</v>
      </c>
    </row>
    <row r="17" spans="1:2" x14ac:dyDescent="0.2">
      <c r="A17" s="46">
        <v>37343</v>
      </c>
      <c r="B17">
        <v>8.5211000000000006</v>
      </c>
    </row>
    <row r="18" spans="1:2" x14ac:dyDescent="0.2">
      <c r="A18" s="46">
        <v>37374</v>
      </c>
      <c r="B18">
        <v>8.2507000000000001</v>
      </c>
    </row>
    <row r="19" spans="1:2" x14ac:dyDescent="0.2">
      <c r="A19" s="46">
        <v>37404</v>
      </c>
      <c r="B19">
        <v>7.9548000000000005</v>
      </c>
    </row>
    <row r="20" spans="1:2" x14ac:dyDescent="0.2">
      <c r="A20" s="46">
        <v>37435</v>
      </c>
      <c r="B20">
        <v>7.5219000000000005</v>
      </c>
    </row>
    <row r="21" spans="1:2" x14ac:dyDescent="0.2">
      <c r="A21" s="46">
        <v>37465</v>
      </c>
      <c r="B21">
        <v>7.5775000000000006</v>
      </c>
    </row>
    <row r="22" spans="1:2" x14ac:dyDescent="0.2">
      <c r="A22" s="46">
        <v>37496</v>
      </c>
      <c r="B22">
        <v>7.5715000000000003</v>
      </c>
    </row>
    <row r="23" spans="1:2" x14ac:dyDescent="0.2">
      <c r="A23" s="46">
        <v>37527</v>
      </c>
      <c r="B23">
        <v>7.5156000000000009</v>
      </c>
    </row>
    <row r="24" spans="1:2" x14ac:dyDescent="0.2">
      <c r="A24" s="46">
        <v>37557</v>
      </c>
      <c r="B24">
        <v>7.5047000000000006</v>
      </c>
    </row>
    <row r="25" spans="1:2" x14ac:dyDescent="0.2">
      <c r="A25" s="46">
        <v>37588</v>
      </c>
      <c r="B25">
        <v>7.4651000000000005</v>
      </c>
    </row>
    <row r="26" spans="1:2" x14ac:dyDescent="0.2">
      <c r="A26" s="46">
        <v>37618</v>
      </c>
      <c r="B26">
        <v>7.0784000000000002</v>
      </c>
    </row>
    <row r="27" spans="1:2" x14ac:dyDescent="0.2">
      <c r="A27" s="46">
        <v>37649</v>
      </c>
      <c r="B27">
        <v>6.9283000000000001</v>
      </c>
    </row>
    <row r="28" spans="1:2" x14ac:dyDescent="0.2">
      <c r="A28" s="46">
        <v>37680</v>
      </c>
      <c r="B28">
        <v>6.8926000000000007</v>
      </c>
    </row>
    <row r="29" spans="1:2" x14ac:dyDescent="0.2">
      <c r="A29" s="46">
        <v>37708</v>
      </c>
      <c r="B29">
        <v>6.805600000000001</v>
      </c>
    </row>
    <row r="30" spans="1:2" x14ac:dyDescent="0.2">
      <c r="A30" s="46">
        <v>37739</v>
      </c>
      <c r="B30">
        <v>6.6526500000000004</v>
      </c>
    </row>
    <row r="31" spans="1:2" x14ac:dyDescent="0.2">
      <c r="A31" s="46">
        <v>37769</v>
      </c>
      <c r="B31">
        <v>6.3125500000000008</v>
      </c>
    </row>
    <row r="32" spans="1:2" x14ac:dyDescent="0.2">
      <c r="A32" s="46">
        <v>37800</v>
      </c>
      <c r="B32">
        <v>6.4701000000000004</v>
      </c>
    </row>
    <row r="33" spans="1:2" x14ac:dyDescent="0.2">
      <c r="A33" s="46">
        <v>37830</v>
      </c>
      <c r="B33">
        <v>6.6015500000000005</v>
      </c>
    </row>
    <row r="34" spans="1:2" x14ac:dyDescent="0.2">
      <c r="A34" s="46">
        <v>37861</v>
      </c>
      <c r="B34">
        <v>6.7634500000000006</v>
      </c>
    </row>
    <row r="35" spans="1:2" x14ac:dyDescent="0.2">
      <c r="A35" s="46">
        <v>37892</v>
      </c>
      <c r="B35">
        <v>6.3762000000000008</v>
      </c>
    </row>
    <row r="36" spans="1:2" x14ac:dyDescent="0.2">
      <c r="A36" s="46">
        <v>37922</v>
      </c>
      <c r="B36">
        <v>6.3945500000000006</v>
      </c>
    </row>
    <row r="37" spans="1:2" x14ac:dyDescent="0.2">
      <c r="A37" s="46">
        <v>37953</v>
      </c>
      <c r="B37">
        <v>6.2066000000000008</v>
      </c>
    </row>
    <row r="38" spans="1:2" x14ac:dyDescent="0.2">
      <c r="A38" s="46">
        <v>37983</v>
      </c>
      <c r="B38">
        <v>5.9031500000000001</v>
      </c>
    </row>
    <row r="39" spans="1:2" x14ac:dyDescent="0.2">
      <c r="A39" s="46">
        <v>38014</v>
      </c>
      <c r="B39">
        <v>5.9966000000000008</v>
      </c>
    </row>
    <row r="40" spans="1:2" x14ac:dyDescent="0.2">
      <c r="A40" s="46">
        <v>38045</v>
      </c>
      <c r="B40">
        <v>5.9976000000000003</v>
      </c>
    </row>
    <row r="41" spans="1:2" x14ac:dyDescent="0.2">
      <c r="A41" s="46">
        <v>38074</v>
      </c>
      <c r="B41">
        <v>6.0582500000000001</v>
      </c>
    </row>
    <row r="42" spans="1:2" x14ac:dyDescent="0.2">
      <c r="A42" s="46">
        <v>38105</v>
      </c>
      <c r="B42">
        <v>6.2078000000000007</v>
      </c>
    </row>
    <row r="43" spans="1:2" x14ac:dyDescent="0.2">
      <c r="A43" s="46">
        <v>38135</v>
      </c>
      <c r="B43">
        <v>6.0907500000000008</v>
      </c>
    </row>
    <row r="44" spans="1:2" x14ac:dyDescent="0.2">
      <c r="A44" s="46">
        <v>38166</v>
      </c>
      <c r="B44">
        <v>6.1092500000000003</v>
      </c>
    </row>
    <row r="45" spans="1:2" x14ac:dyDescent="0.2">
      <c r="A45" s="46">
        <v>38196</v>
      </c>
      <c r="B45">
        <v>6.1756000000000002</v>
      </c>
    </row>
    <row r="46" spans="1:2" x14ac:dyDescent="0.2">
      <c r="A46" s="46">
        <v>38227</v>
      </c>
      <c r="B46">
        <v>6.1204500000000008</v>
      </c>
    </row>
    <row r="47" spans="1:2" x14ac:dyDescent="0.2">
      <c r="A47" s="46">
        <v>38258</v>
      </c>
      <c r="B47">
        <v>5.9916000000000009</v>
      </c>
    </row>
    <row r="48" spans="1:2" x14ac:dyDescent="0.2">
      <c r="A48" s="46">
        <v>38288</v>
      </c>
      <c r="B48">
        <v>5.8413000000000004</v>
      </c>
    </row>
    <row r="49" spans="1:2" x14ac:dyDescent="0.2">
      <c r="A49" s="46">
        <v>38319</v>
      </c>
      <c r="B49">
        <v>5.5899000000000001</v>
      </c>
    </row>
    <row r="50" spans="1:2" x14ac:dyDescent="0.2">
      <c r="A50" s="46">
        <v>38349</v>
      </c>
      <c r="B50">
        <v>5.47255</v>
      </c>
    </row>
    <row r="51" spans="1:2" x14ac:dyDescent="0.2">
      <c r="A51" s="46">
        <v>38380</v>
      </c>
      <c r="B51">
        <v>5.7085000000000008</v>
      </c>
    </row>
    <row r="52" spans="1:2" x14ac:dyDescent="0.2">
      <c r="A52" s="46">
        <v>38411</v>
      </c>
      <c r="B52">
        <v>5.6076500000000005</v>
      </c>
    </row>
    <row r="53" spans="1:2" x14ac:dyDescent="0.2">
      <c r="A53" s="46">
        <v>38439</v>
      </c>
      <c r="B53">
        <v>5.7322000000000006</v>
      </c>
    </row>
    <row r="54" spans="1:2" x14ac:dyDescent="0.2">
      <c r="A54" s="46">
        <v>38470</v>
      </c>
      <c r="B54">
        <v>5.7677000000000005</v>
      </c>
    </row>
    <row r="55" spans="1:2" x14ac:dyDescent="0.2">
      <c r="A55" s="46">
        <v>38500</v>
      </c>
      <c r="B55">
        <v>6.0275500000000006</v>
      </c>
    </row>
    <row r="56" spans="1:2" x14ac:dyDescent="0.2">
      <c r="A56" s="46">
        <v>38531</v>
      </c>
      <c r="B56">
        <v>6.1553000000000004</v>
      </c>
    </row>
    <row r="57" spans="1:2" x14ac:dyDescent="0.2">
      <c r="A57" s="46">
        <v>38561</v>
      </c>
      <c r="B57">
        <v>6.1414500000000007</v>
      </c>
    </row>
    <row r="58" spans="1:2" x14ac:dyDescent="0.2">
      <c r="A58" s="46">
        <v>38592</v>
      </c>
      <c r="B58">
        <v>6.0643000000000002</v>
      </c>
    </row>
    <row r="59" spans="1:2" x14ac:dyDescent="0.2">
      <c r="A59" s="46">
        <v>38623</v>
      </c>
      <c r="B59">
        <v>6.1897000000000002</v>
      </c>
    </row>
    <row r="60" spans="1:2" x14ac:dyDescent="0.2">
      <c r="A60" s="46">
        <v>38653</v>
      </c>
      <c r="B60">
        <v>6.2305500000000009</v>
      </c>
    </row>
    <row r="61" spans="1:2" x14ac:dyDescent="0.2">
      <c r="A61" s="46">
        <v>38684</v>
      </c>
      <c r="B61">
        <v>6.3219500000000002</v>
      </c>
    </row>
    <row r="62" spans="1:2" x14ac:dyDescent="0.2">
      <c r="A62" s="46">
        <v>38714</v>
      </c>
      <c r="B62">
        <v>6.3234500000000002</v>
      </c>
    </row>
    <row r="63" spans="1:2" x14ac:dyDescent="0.2">
      <c r="A63" s="46">
        <v>38745</v>
      </c>
      <c r="B63">
        <v>6.1469000000000005</v>
      </c>
    </row>
    <row r="64" spans="1:2" x14ac:dyDescent="0.2">
      <c r="A64" s="46">
        <v>38776</v>
      </c>
      <c r="B64">
        <v>6.2585000000000006</v>
      </c>
    </row>
    <row r="65" spans="1:2" x14ac:dyDescent="0.2">
      <c r="A65" s="46">
        <v>38804</v>
      </c>
      <c r="B65">
        <v>6.1665500000000009</v>
      </c>
    </row>
    <row r="66" spans="1:2" x14ac:dyDescent="0.2">
      <c r="A66" s="46">
        <v>38835</v>
      </c>
      <c r="B66">
        <v>5.9220500000000005</v>
      </c>
    </row>
    <row r="67" spans="1:2" x14ac:dyDescent="0.2">
      <c r="A67" s="46">
        <v>38865</v>
      </c>
      <c r="B67">
        <v>5.8060500000000008</v>
      </c>
    </row>
    <row r="68" spans="1:2" x14ac:dyDescent="0.2">
      <c r="A68" s="46">
        <v>38896</v>
      </c>
      <c r="B68">
        <v>5.8337500000000002</v>
      </c>
    </row>
    <row r="69" spans="1:2" x14ac:dyDescent="0.2">
      <c r="A69" s="46">
        <v>38926</v>
      </c>
      <c r="B69">
        <v>5.8471500000000001</v>
      </c>
    </row>
    <row r="70" spans="1:2" x14ac:dyDescent="0.2">
      <c r="A70" s="46">
        <v>38957</v>
      </c>
      <c r="B70">
        <v>5.8275000000000006</v>
      </c>
    </row>
    <row r="71" spans="1:2" x14ac:dyDescent="0.2">
      <c r="A71" s="46">
        <v>38988</v>
      </c>
      <c r="B71">
        <v>5.8869000000000007</v>
      </c>
    </row>
    <row r="72" spans="1:2" x14ac:dyDescent="0.2">
      <c r="A72" s="46">
        <v>39018</v>
      </c>
      <c r="B72">
        <v>5.8395000000000001</v>
      </c>
    </row>
    <row r="73" spans="1:2" x14ac:dyDescent="0.2">
      <c r="A73" s="46">
        <v>39049</v>
      </c>
      <c r="B73">
        <v>5.6243000000000007</v>
      </c>
    </row>
    <row r="74" spans="1:2" x14ac:dyDescent="0.2">
      <c r="A74" s="46">
        <v>39079</v>
      </c>
      <c r="B74">
        <v>5.6531000000000002</v>
      </c>
    </row>
    <row r="75" spans="1:2" x14ac:dyDescent="0.2">
      <c r="A75" s="46">
        <v>39110</v>
      </c>
      <c r="B75">
        <v>5.7381000000000002</v>
      </c>
    </row>
    <row r="76" spans="1:2" x14ac:dyDescent="0.2">
      <c r="A76" s="46">
        <v>39141</v>
      </c>
      <c r="B76">
        <v>5.6412500000000003</v>
      </c>
    </row>
    <row r="77" spans="1:2" x14ac:dyDescent="0.2">
      <c r="A77" s="46">
        <v>39169</v>
      </c>
      <c r="B77">
        <v>5.5976000000000008</v>
      </c>
    </row>
    <row r="78" spans="1:2" x14ac:dyDescent="0.2">
      <c r="A78" s="46">
        <v>39200</v>
      </c>
      <c r="B78">
        <v>5.4599000000000002</v>
      </c>
    </row>
    <row r="79" spans="1:2" x14ac:dyDescent="0.2">
      <c r="A79" s="46">
        <v>39230</v>
      </c>
      <c r="B79">
        <v>5.5356000000000005</v>
      </c>
    </row>
    <row r="80" spans="1:2" x14ac:dyDescent="0.2">
      <c r="A80" s="46">
        <v>39261</v>
      </c>
      <c r="B80">
        <v>5.5102000000000002</v>
      </c>
    </row>
    <row r="81" spans="1:2" x14ac:dyDescent="0.2">
      <c r="A81" s="46">
        <v>39291</v>
      </c>
      <c r="B81">
        <v>5.4357500000000005</v>
      </c>
    </row>
    <row r="82" spans="1:2" x14ac:dyDescent="0.2">
      <c r="A82" s="46">
        <v>39322</v>
      </c>
      <c r="B82">
        <v>5.4644000000000004</v>
      </c>
    </row>
    <row r="83" spans="1:2" x14ac:dyDescent="0.2">
      <c r="A83" s="46">
        <v>39353</v>
      </c>
      <c r="B83">
        <v>5.2413500000000006</v>
      </c>
    </row>
    <row r="84" spans="1:2" x14ac:dyDescent="0.2">
      <c r="A84" s="46">
        <v>39383</v>
      </c>
      <c r="B84">
        <v>5.1518500000000005</v>
      </c>
    </row>
    <row r="85" spans="1:2" x14ac:dyDescent="0.2">
      <c r="A85" s="46">
        <v>39414</v>
      </c>
      <c r="B85">
        <v>5.0803000000000003</v>
      </c>
    </row>
    <row r="86" spans="1:2" x14ac:dyDescent="0.2">
      <c r="A86" s="46">
        <v>39444</v>
      </c>
      <c r="B86">
        <v>5.1000500000000004</v>
      </c>
    </row>
    <row r="87" spans="1:2" x14ac:dyDescent="0.2">
      <c r="A87" s="46">
        <v>39475</v>
      </c>
      <c r="B87">
        <v>5.0348500000000005</v>
      </c>
    </row>
    <row r="88" spans="1:2" x14ac:dyDescent="0.2">
      <c r="A88" s="46">
        <v>39506</v>
      </c>
      <c r="B88">
        <v>4.9079000000000006</v>
      </c>
    </row>
    <row r="89" spans="1:2" x14ac:dyDescent="0.2">
      <c r="A89" s="46">
        <v>39535</v>
      </c>
      <c r="B89">
        <v>4.7062500000000007</v>
      </c>
    </row>
    <row r="90" spans="1:2" x14ac:dyDescent="0.2">
      <c r="A90" s="46">
        <v>39566</v>
      </c>
      <c r="B90">
        <v>4.7933500000000002</v>
      </c>
    </row>
    <row r="91" spans="1:2" x14ac:dyDescent="0.2">
      <c r="A91" s="46">
        <v>39596</v>
      </c>
      <c r="B91">
        <v>4.7998500000000002</v>
      </c>
    </row>
    <row r="92" spans="1:2" x14ac:dyDescent="0.2">
      <c r="A92" s="46">
        <v>39627</v>
      </c>
      <c r="B92">
        <v>4.7334500000000004</v>
      </c>
    </row>
    <row r="93" spans="1:2" x14ac:dyDescent="0.2">
      <c r="A93" s="46">
        <v>39657</v>
      </c>
      <c r="B93">
        <v>4.7818500000000004</v>
      </c>
    </row>
    <row r="94" spans="1:2" x14ac:dyDescent="0.2">
      <c r="A94" s="46">
        <v>39688</v>
      </c>
      <c r="B94">
        <v>5.0654500000000002</v>
      </c>
    </row>
    <row r="95" spans="1:2" x14ac:dyDescent="0.2">
      <c r="A95" s="46">
        <v>39719</v>
      </c>
      <c r="B95">
        <v>5.3118000000000007</v>
      </c>
    </row>
    <row r="96" spans="1:2" x14ac:dyDescent="0.2">
      <c r="A96" s="46">
        <v>39749</v>
      </c>
      <c r="B96">
        <v>5.8727500000000008</v>
      </c>
    </row>
    <row r="97" spans="1:2" x14ac:dyDescent="0.2">
      <c r="A97" s="46">
        <v>39780</v>
      </c>
      <c r="B97">
        <v>5.8707000000000003</v>
      </c>
    </row>
    <row r="98" spans="1:2" x14ac:dyDescent="0.2">
      <c r="A98" s="46">
        <v>39810</v>
      </c>
      <c r="B98">
        <v>5.3546500000000004</v>
      </c>
    </row>
    <row r="99" spans="1:2" x14ac:dyDescent="0.2">
      <c r="A99" s="46">
        <v>39841</v>
      </c>
      <c r="B99">
        <v>5.8171000000000008</v>
      </c>
    </row>
    <row r="100" spans="1:2" x14ac:dyDescent="0.2">
      <c r="A100" s="46">
        <v>39872</v>
      </c>
      <c r="B100">
        <v>5.8660000000000005</v>
      </c>
    </row>
    <row r="101" spans="1:2" x14ac:dyDescent="0.2">
      <c r="A101" s="46">
        <v>39900</v>
      </c>
      <c r="B101">
        <v>5.6098500000000007</v>
      </c>
    </row>
    <row r="102" spans="1:2" x14ac:dyDescent="0.2">
      <c r="A102" s="46">
        <v>39931</v>
      </c>
      <c r="B102">
        <v>5.6212000000000009</v>
      </c>
    </row>
    <row r="103" spans="1:2" x14ac:dyDescent="0.2">
      <c r="A103" s="46">
        <v>39961</v>
      </c>
      <c r="B103">
        <v>5.2601000000000004</v>
      </c>
    </row>
    <row r="104" spans="1:2" x14ac:dyDescent="0.2">
      <c r="A104" s="46">
        <v>39992</v>
      </c>
      <c r="B104">
        <v>5.3092000000000006</v>
      </c>
    </row>
    <row r="105" spans="1:2" x14ac:dyDescent="0.2">
      <c r="A105" s="46">
        <v>40022</v>
      </c>
      <c r="B105">
        <v>5.2518500000000001</v>
      </c>
    </row>
    <row r="106" spans="1:2" x14ac:dyDescent="0.2">
      <c r="A106" s="46">
        <v>40053</v>
      </c>
      <c r="B106">
        <v>5.1868500000000006</v>
      </c>
    </row>
    <row r="107" spans="1:2" x14ac:dyDescent="0.2">
      <c r="A107" s="46">
        <v>40084</v>
      </c>
      <c r="B107">
        <v>5.0931500000000005</v>
      </c>
    </row>
    <row r="108" spans="1:2" x14ac:dyDescent="0.2">
      <c r="A108" s="46">
        <v>40114</v>
      </c>
      <c r="B108">
        <v>5.0441000000000003</v>
      </c>
    </row>
    <row r="109" spans="1:2" x14ac:dyDescent="0.2">
      <c r="A109" s="46">
        <v>40145</v>
      </c>
      <c r="B109">
        <v>4.9568000000000003</v>
      </c>
    </row>
    <row r="110" spans="1:2" x14ac:dyDescent="0.2">
      <c r="A110" s="46">
        <v>40175</v>
      </c>
      <c r="B110">
        <v>5.1862500000000002</v>
      </c>
    </row>
    <row r="111" spans="1:2" x14ac:dyDescent="0.2">
      <c r="A111" s="46">
        <v>40206</v>
      </c>
      <c r="B111">
        <v>5.3569500000000003</v>
      </c>
    </row>
    <row r="112" spans="1:2" x14ac:dyDescent="0.2">
      <c r="A112" s="46">
        <v>40237</v>
      </c>
      <c r="B112">
        <v>5.4536000000000007</v>
      </c>
    </row>
    <row r="113" spans="1:2" x14ac:dyDescent="0.2">
      <c r="A113" s="46">
        <v>40265</v>
      </c>
      <c r="B113">
        <v>5.5019</v>
      </c>
    </row>
    <row r="114" spans="1:2" x14ac:dyDescent="0.2">
      <c r="A114" s="46">
        <v>40296</v>
      </c>
      <c r="B114">
        <v>5.5974500000000003</v>
      </c>
    </row>
    <row r="115" spans="1:2" x14ac:dyDescent="0.2">
      <c r="A115" s="46">
        <v>40326</v>
      </c>
      <c r="B115">
        <v>6.0627000000000004</v>
      </c>
    </row>
    <row r="116" spans="1:2" x14ac:dyDescent="0.2">
      <c r="A116" s="46">
        <v>40357</v>
      </c>
      <c r="B116">
        <v>6.0813500000000005</v>
      </c>
    </row>
    <row r="117" spans="1:2" x14ac:dyDescent="0.2">
      <c r="A117" s="46">
        <v>40387</v>
      </c>
      <c r="B117">
        <v>5.7195500000000008</v>
      </c>
    </row>
    <row r="118" spans="1:2" x14ac:dyDescent="0.2">
      <c r="A118" s="46">
        <v>40418</v>
      </c>
      <c r="B118">
        <v>5.8571000000000009</v>
      </c>
    </row>
    <row r="119" spans="1:2" x14ac:dyDescent="0.2">
      <c r="A119" s="46">
        <v>40449</v>
      </c>
      <c r="B119">
        <v>5.4587000000000003</v>
      </c>
    </row>
    <row r="120" spans="1:2" x14ac:dyDescent="0.2">
      <c r="A120" s="46">
        <v>40479</v>
      </c>
      <c r="B120">
        <v>5.3647500000000008</v>
      </c>
    </row>
    <row r="121" spans="1:2" x14ac:dyDescent="0.2">
      <c r="A121" s="46">
        <v>40510</v>
      </c>
      <c r="B121">
        <v>5.7254500000000004</v>
      </c>
    </row>
    <row r="122" spans="1:2" x14ac:dyDescent="0.2">
      <c r="A122" s="46">
        <v>40540</v>
      </c>
      <c r="B122">
        <v>5.5548500000000001</v>
      </c>
    </row>
    <row r="123" spans="1:2" x14ac:dyDescent="0.2">
      <c r="A123" s="46">
        <v>40571</v>
      </c>
      <c r="B123">
        <v>5.4375000000000009</v>
      </c>
    </row>
    <row r="124" spans="1:2" x14ac:dyDescent="0.2">
      <c r="A124" s="46">
        <v>40602</v>
      </c>
      <c r="B124">
        <v>5.3981000000000003</v>
      </c>
    </row>
    <row r="125" spans="1:2" x14ac:dyDescent="0.2">
      <c r="A125" s="46">
        <v>40630</v>
      </c>
      <c r="B125">
        <v>5.2541000000000002</v>
      </c>
    </row>
    <row r="126" spans="1:2" x14ac:dyDescent="0.2">
      <c r="A126" s="46">
        <v>40661</v>
      </c>
      <c r="B126">
        <v>5.0266500000000001</v>
      </c>
    </row>
    <row r="127" spans="1:2" x14ac:dyDescent="0.2">
      <c r="A127" s="46">
        <v>40691</v>
      </c>
      <c r="B127">
        <v>5.1859000000000002</v>
      </c>
    </row>
    <row r="128" spans="1:2" x14ac:dyDescent="0.2">
      <c r="A128" s="46">
        <v>40722</v>
      </c>
      <c r="B128">
        <v>5.1446000000000005</v>
      </c>
    </row>
    <row r="129" spans="1:2" x14ac:dyDescent="0.2">
      <c r="A129" s="46">
        <v>40752</v>
      </c>
      <c r="B129">
        <v>5.1849500000000006</v>
      </c>
    </row>
    <row r="130" spans="1:2" x14ac:dyDescent="0.2">
      <c r="A130" s="46">
        <v>40783</v>
      </c>
      <c r="B130">
        <v>5.1737000000000002</v>
      </c>
    </row>
    <row r="131" spans="1:2" x14ac:dyDescent="0.2">
      <c r="A131" s="46">
        <v>40814</v>
      </c>
      <c r="B131">
        <v>5.5461</v>
      </c>
    </row>
    <row r="132" spans="1:2" x14ac:dyDescent="0.2">
      <c r="A132" s="46">
        <v>40844</v>
      </c>
      <c r="B132">
        <v>5.3346</v>
      </c>
    </row>
    <row r="133" spans="1:2" x14ac:dyDescent="0.2">
      <c r="A133" s="46">
        <v>40875</v>
      </c>
      <c r="B133">
        <v>5.5244500000000007</v>
      </c>
    </row>
    <row r="134" spans="1:2" x14ac:dyDescent="0.2">
      <c r="A134" s="46">
        <v>40905</v>
      </c>
      <c r="B134">
        <v>5.7253500000000006</v>
      </c>
    </row>
    <row r="135" spans="1:2" x14ac:dyDescent="0.2">
      <c r="A135" s="46">
        <v>40936</v>
      </c>
      <c r="B135">
        <v>5.6791500000000008</v>
      </c>
    </row>
    <row r="136" spans="1:2" x14ac:dyDescent="0.2">
      <c r="A136" s="46">
        <v>40967</v>
      </c>
      <c r="B136">
        <v>5.5577500000000004</v>
      </c>
    </row>
    <row r="137" spans="1:2" x14ac:dyDescent="0.2">
      <c r="A137" s="46">
        <v>40996</v>
      </c>
      <c r="B137">
        <v>5.5865500000000008</v>
      </c>
    </row>
    <row r="138" spans="1:2" x14ac:dyDescent="0.2">
      <c r="A138" s="46">
        <v>41027</v>
      </c>
      <c r="B138">
        <v>5.6205500000000006</v>
      </c>
    </row>
    <row r="139" spans="1:2" x14ac:dyDescent="0.2">
      <c r="A139" s="46">
        <v>41057</v>
      </c>
      <c r="B139">
        <v>6.0096000000000007</v>
      </c>
    </row>
    <row r="140" spans="1:2" x14ac:dyDescent="0.2">
      <c r="A140" s="46">
        <v>41088</v>
      </c>
      <c r="B140">
        <v>5.8582000000000001</v>
      </c>
    </row>
    <row r="141" spans="1:2" x14ac:dyDescent="0.2">
      <c r="A141" s="46">
        <v>41118</v>
      </c>
      <c r="B141">
        <v>6.0421500000000004</v>
      </c>
    </row>
    <row r="142" spans="1:2" x14ac:dyDescent="0.2">
      <c r="A142" s="46">
        <v>41149</v>
      </c>
      <c r="B142">
        <v>5.9115000000000002</v>
      </c>
    </row>
    <row r="143" spans="1:2" x14ac:dyDescent="0.2">
      <c r="A143" s="46">
        <v>41180</v>
      </c>
      <c r="B143">
        <v>5.7946000000000009</v>
      </c>
    </row>
    <row r="144" spans="1:2" x14ac:dyDescent="0.2">
      <c r="A144" s="46">
        <v>41210</v>
      </c>
      <c r="B144">
        <v>5.7566000000000006</v>
      </c>
    </row>
    <row r="145" spans="1:2" x14ac:dyDescent="0.2">
      <c r="A145" s="46">
        <v>41241</v>
      </c>
      <c r="B145">
        <v>5.7358000000000002</v>
      </c>
    </row>
    <row r="146" spans="1:2" x14ac:dyDescent="0.2">
      <c r="A146" s="46">
        <v>41271</v>
      </c>
      <c r="B146">
        <v>5.6591000000000005</v>
      </c>
    </row>
    <row r="147" spans="1:2" x14ac:dyDescent="0.2">
      <c r="A147" s="46">
        <v>41302</v>
      </c>
      <c r="B147">
        <v>5.4966500000000007</v>
      </c>
    </row>
    <row r="148" spans="1:2" x14ac:dyDescent="0.2">
      <c r="A148" s="46">
        <v>41333</v>
      </c>
      <c r="B148">
        <v>5.7030000000000003</v>
      </c>
    </row>
    <row r="149" spans="1:2" x14ac:dyDescent="0.2">
      <c r="A149" s="46">
        <v>41361</v>
      </c>
      <c r="B149">
        <v>5.8055000000000003</v>
      </c>
    </row>
    <row r="150" spans="1:2" x14ac:dyDescent="0.2">
      <c r="A150" s="46">
        <v>41392</v>
      </c>
      <c r="B150">
        <v>5.6549500000000004</v>
      </c>
    </row>
    <row r="151" spans="1:2" x14ac:dyDescent="0.2">
      <c r="A151" s="46">
        <v>41422</v>
      </c>
      <c r="B151">
        <v>5.7530500000000009</v>
      </c>
    </row>
    <row r="152" spans="1:2" x14ac:dyDescent="0.2">
      <c r="A152" s="46">
        <v>41453</v>
      </c>
      <c r="B152">
        <v>5.7381500000000001</v>
      </c>
    </row>
    <row r="153" spans="1:2" x14ac:dyDescent="0.2">
      <c r="A153" s="46">
        <v>41483</v>
      </c>
      <c r="B153">
        <v>5.6145000000000005</v>
      </c>
    </row>
    <row r="154" spans="1:2" x14ac:dyDescent="0.2">
      <c r="A154" s="46">
        <v>41514</v>
      </c>
      <c r="B154">
        <v>5.6573500000000001</v>
      </c>
    </row>
    <row r="155" spans="1:2" x14ac:dyDescent="0.2">
      <c r="A155" s="46">
        <v>41545</v>
      </c>
      <c r="B155">
        <v>5.5096500000000006</v>
      </c>
    </row>
    <row r="156" spans="1:2" x14ac:dyDescent="0.2">
      <c r="A156" s="46">
        <v>41575</v>
      </c>
      <c r="B156">
        <v>5.4862500000000001</v>
      </c>
    </row>
    <row r="157" spans="1:2" x14ac:dyDescent="0.2">
      <c r="A157" s="46">
        <v>41606</v>
      </c>
      <c r="B157">
        <v>5.4784000000000006</v>
      </c>
    </row>
    <row r="158" spans="1:2" x14ac:dyDescent="0.2">
      <c r="A158" s="46">
        <v>41636</v>
      </c>
      <c r="B158">
        <v>5.4141000000000004</v>
      </c>
    </row>
    <row r="159" spans="1:2" x14ac:dyDescent="0.2">
      <c r="A159" s="46">
        <v>41667</v>
      </c>
      <c r="B159">
        <v>5.53315</v>
      </c>
    </row>
    <row r="160" spans="1:2" x14ac:dyDescent="0.2">
      <c r="A160" s="46">
        <v>41698</v>
      </c>
      <c r="B160">
        <v>5.4031000000000002</v>
      </c>
    </row>
    <row r="161" spans="1:2" x14ac:dyDescent="0.2">
      <c r="A161" s="46">
        <v>41726</v>
      </c>
      <c r="B161">
        <v>5.4170000000000007</v>
      </c>
    </row>
    <row r="162" spans="1:2" x14ac:dyDescent="0.2">
      <c r="A162" s="46">
        <v>41757</v>
      </c>
      <c r="B162">
        <v>5.3830500000000008</v>
      </c>
    </row>
    <row r="163" spans="1:2" x14ac:dyDescent="0.2">
      <c r="A163" s="46">
        <v>41787</v>
      </c>
      <c r="B163">
        <v>5.4693500000000004</v>
      </c>
    </row>
    <row r="164" spans="1:2" x14ac:dyDescent="0.2">
      <c r="A164" s="46">
        <v>41818</v>
      </c>
      <c r="B164">
        <v>5.4452000000000007</v>
      </c>
    </row>
    <row r="165" spans="1:2" x14ac:dyDescent="0.2">
      <c r="A165" s="46">
        <v>41848</v>
      </c>
      <c r="B165">
        <v>5.5718000000000005</v>
      </c>
    </row>
    <row r="166" spans="1:2" x14ac:dyDescent="0.2">
      <c r="A166" s="46">
        <v>41879</v>
      </c>
      <c r="B166">
        <v>5.6559000000000008</v>
      </c>
    </row>
    <row r="167" spans="1:2" x14ac:dyDescent="0.2">
      <c r="A167" s="46">
        <v>41910</v>
      </c>
      <c r="B167">
        <v>5.8927000000000005</v>
      </c>
    </row>
    <row r="168" spans="1:2" x14ac:dyDescent="0.2">
      <c r="A168" s="46">
        <v>41940</v>
      </c>
      <c r="B168">
        <v>5.9408500000000002</v>
      </c>
    </row>
    <row r="169" spans="1:2" x14ac:dyDescent="0.2">
      <c r="A169" s="46">
        <v>41971</v>
      </c>
      <c r="B169">
        <v>5.9687000000000001</v>
      </c>
    </row>
    <row r="170" spans="1:2" x14ac:dyDescent="0.2">
      <c r="A170" s="46">
        <v>42001</v>
      </c>
      <c r="B170">
        <v>6.1537500000000005</v>
      </c>
    </row>
    <row r="171" spans="1:2" x14ac:dyDescent="0.2">
      <c r="A171" s="46">
        <v>42032</v>
      </c>
      <c r="B171">
        <v>6.5969000000000007</v>
      </c>
    </row>
    <row r="172" spans="1:2" x14ac:dyDescent="0.2">
      <c r="A172" s="46">
        <v>42063</v>
      </c>
      <c r="B172">
        <v>6.6529500000000006</v>
      </c>
    </row>
    <row r="173" spans="1:2" x14ac:dyDescent="0.2">
      <c r="A173" s="46">
        <v>42091</v>
      </c>
      <c r="B173">
        <v>6.9560000000000004</v>
      </c>
    </row>
    <row r="174" spans="1:2" x14ac:dyDescent="0.2">
      <c r="A174" s="46">
        <v>42122</v>
      </c>
      <c r="B174">
        <v>6.66</v>
      </c>
    </row>
    <row r="175" spans="1:2" x14ac:dyDescent="0.2">
      <c r="A175" s="46">
        <v>42152</v>
      </c>
      <c r="B175">
        <v>6.8047000000000004</v>
      </c>
    </row>
    <row r="176" spans="1:2" x14ac:dyDescent="0.2">
      <c r="A176" s="46">
        <v>42183</v>
      </c>
      <c r="B176">
        <v>6.6953000000000005</v>
      </c>
    </row>
    <row r="177" spans="1:2" x14ac:dyDescent="0.2">
      <c r="A177" s="46">
        <v>42213</v>
      </c>
      <c r="B177">
        <v>6.7535500000000006</v>
      </c>
    </row>
    <row r="178" spans="1:2" x14ac:dyDescent="0.2">
      <c r="A178" s="46">
        <v>42244</v>
      </c>
      <c r="B178">
        <v>6.6610500000000004</v>
      </c>
    </row>
    <row r="179" spans="1:2" x14ac:dyDescent="0.2">
      <c r="A179" s="46">
        <v>42275</v>
      </c>
      <c r="B179">
        <v>6.6832500000000001</v>
      </c>
    </row>
    <row r="180" spans="1:2" x14ac:dyDescent="0.2">
      <c r="A180" s="46">
        <v>42305</v>
      </c>
      <c r="B180">
        <v>6.7512000000000008</v>
      </c>
    </row>
    <row r="181" spans="1:2" x14ac:dyDescent="0.2">
      <c r="A181" s="46">
        <v>42336</v>
      </c>
      <c r="B181">
        <v>7.063600000000001</v>
      </c>
    </row>
    <row r="182" spans="1:2" x14ac:dyDescent="0.2">
      <c r="A182" s="46">
        <v>42366</v>
      </c>
      <c r="B182">
        <v>6.8698000000000006</v>
      </c>
    </row>
    <row r="183" spans="1:2" x14ac:dyDescent="0.2">
      <c r="A183" s="46">
        <v>42397</v>
      </c>
      <c r="B183">
        <v>6.8968500000000006</v>
      </c>
    </row>
    <row r="184" spans="1:2" x14ac:dyDescent="0.2">
      <c r="A184" s="46">
        <v>42428</v>
      </c>
      <c r="B184">
        <v>6.8649000000000004</v>
      </c>
    </row>
    <row r="185" spans="1:2" x14ac:dyDescent="0.2">
      <c r="A185" s="46">
        <v>42457</v>
      </c>
      <c r="B185">
        <v>6.5379500000000004</v>
      </c>
    </row>
    <row r="186" spans="1:2" x14ac:dyDescent="0.2">
      <c r="A186" s="46">
        <v>42488</v>
      </c>
      <c r="B186">
        <v>6.4983000000000004</v>
      </c>
    </row>
    <row r="187" spans="1:2" x14ac:dyDescent="0.2">
      <c r="A187" s="46">
        <v>42518</v>
      </c>
      <c r="B187">
        <v>6.681750000000001</v>
      </c>
    </row>
    <row r="188" spans="1:2" x14ac:dyDescent="0.2">
      <c r="A188" s="46">
        <v>42549</v>
      </c>
      <c r="B188">
        <v>6.6968000000000005</v>
      </c>
    </row>
    <row r="189" spans="1:2" x14ac:dyDescent="0.2">
      <c r="A189" s="46">
        <v>42579</v>
      </c>
      <c r="B189">
        <v>6.6514500000000005</v>
      </c>
    </row>
    <row r="190" spans="1:2" x14ac:dyDescent="0.2">
      <c r="A190" s="46">
        <v>42610</v>
      </c>
      <c r="B190">
        <v>6.6826000000000008</v>
      </c>
    </row>
    <row r="191" spans="1:2" x14ac:dyDescent="0.2">
      <c r="A191" s="46">
        <v>42641</v>
      </c>
      <c r="B191">
        <v>6.6259500000000005</v>
      </c>
    </row>
    <row r="192" spans="1:2" x14ac:dyDescent="0.2">
      <c r="A192" s="46">
        <v>42671</v>
      </c>
      <c r="B192">
        <v>6.7861500000000001</v>
      </c>
    </row>
    <row r="193" spans="1:2" x14ac:dyDescent="0.2">
      <c r="A193" s="46">
        <v>42702</v>
      </c>
      <c r="B193">
        <v>7.0136000000000003</v>
      </c>
    </row>
    <row r="194" spans="1:2" x14ac:dyDescent="0.2">
      <c r="A194" s="46">
        <v>42732</v>
      </c>
      <c r="B194">
        <v>7.0495500000000009</v>
      </c>
    </row>
    <row r="195" spans="1:2" x14ac:dyDescent="0.2">
      <c r="A195" s="46">
        <v>42763</v>
      </c>
      <c r="B195">
        <v>6.8818000000000001</v>
      </c>
    </row>
    <row r="196" spans="1:2" x14ac:dyDescent="0.2">
      <c r="A196" s="46">
        <v>42794</v>
      </c>
      <c r="B196">
        <v>6.995000000000001</v>
      </c>
    </row>
    <row r="197" spans="1:2" x14ac:dyDescent="0.2">
      <c r="A197" s="46">
        <v>42822</v>
      </c>
      <c r="B197">
        <v>6.9527500000000009</v>
      </c>
    </row>
    <row r="198" spans="1:2" x14ac:dyDescent="0.2">
      <c r="A198" s="46">
        <v>42853</v>
      </c>
      <c r="B198">
        <v>6.8298000000000005</v>
      </c>
    </row>
    <row r="199" spans="1:2" x14ac:dyDescent="0.2">
      <c r="A199" s="46">
        <v>42883</v>
      </c>
      <c r="B199">
        <v>6.6159000000000008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9"/>
  <sheetViews>
    <sheetView workbookViewId="0">
      <selection activeCell="M193" sqref="M193"/>
    </sheetView>
  </sheetViews>
  <sheetFormatPr baseColWidth="10" defaultColWidth="8.83203125" defaultRowHeight="15" x14ac:dyDescent="0.2"/>
  <cols>
    <col min="1" max="1" width="10.1640625" bestFit="1" customWidth="1"/>
  </cols>
  <sheetData>
    <row r="1" spans="1:2" x14ac:dyDescent="0.2">
      <c r="A1" t="s">
        <v>889</v>
      </c>
      <c r="B1" t="s">
        <v>897</v>
      </c>
    </row>
    <row r="2" spans="1:2" x14ac:dyDescent="0.2">
      <c r="A2" t="s">
        <v>890</v>
      </c>
      <c r="B2" t="s">
        <v>898</v>
      </c>
    </row>
    <row r="3" spans="1:2" x14ac:dyDescent="0.2">
      <c r="A3" s="46">
        <v>36919</v>
      </c>
      <c r="B3">
        <v>1.0752700000000002</v>
      </c>
    </row>
    <row r="4" spans="1:2" x14ac:dyDescent="0.2">
      <c r="A4" s="46">
        <v>36950</v>
      </c>
      <c r="B4">
        <v>1.0874300000000001</v>
      </c>
    </row>
    <row r="5" spans="1:2" x14ac:dyDescent="0.2">
      <c r="A5" s="46">
        <v>36978</v>
      </c>
      <c r="B5">
        <v>1.1312200000000001</v>
      </c>
    </row>
    <row r="6" spans="1:2" x14ac:dyDescent="0.2">
      <c r="A6" s="46">
        <v>37009</v>
      </c>
      <c r="B6">
        <v>1.1279000000000001</v>
      </c>
    </row>
    <row r="7" spans="1:2" x14ac:dyDescent="0.2">
      <c r="A7" s="46">
        <v>37039</v>
      </c>
      <c r="B7">
        <v>1.1798000000000002</v>
      </c>
    </row>
    <row r="8" spans="1:2" x14ac:dyDescent="0.2">
      <c r="A8" s="46">
        <v>37070</v>
      </c>
      <c r="B8">
        <v>1.1812</v>
      </c>
    </row>
    <row r="9" spans="1:2" x14ac:dyDescent="0.2">
      <c r="A9" s="46">
        <v>37100</v>
      </c>
      <c r="B9">
        <v>1.14286</v>
      </c>
    </row>
    <row r="10" spans="1:2" x14ac:dyDescent="0.2">
      <c r="A10" s="46">
        <v>37131</v>
      </c>
      <c r="B10">
        <v>1.10084</v>
      </c>
    </row>
    <row r="11" spans="1:2" x14ac:dyDescent="0.2">
      <c r="A11" s="46">
        <v>37162</v>
      </c>
      <c r="B11">
        <v>1.09806</v>
      </c>
    </row>
    <row r="12" spans="1:2" x14ac:dyDescent="0.2">
      <c r="A12" s="46">
        <v>37192</v>
      </c>
      <c r="B12">
        <v>1.1102500000000002</v>
      </c>
    </row>
    <row r="13" spans="1:2" x14ac:dyDescent="0.2">
      <c r="A13" s="46">
        <v>37223</v>
      </c>
      <c r="B13">
        <v>1.1168200000000001</v>
      </c>
    </row>
    <row r="14" spans="1:2" x14ac:dyDescent="0.2">
      <c r="A14" s="46">
        <v>37253</v>
      </c>
      <c r="B14">
        <v>1.1230900000000001</v>
      </c>
    </row>
    <row r="15" spans="1:2" x14ac:dyDescent="0.2">
      <c r="A15" s="46">
        <v>37284</v>
      </c>
      <c r="B15">
        <v>1.16157</v>
      </c>
    </row>
    <row r="16" spans="1:2" x14ac:dyDescent="0.2">
      <c r="A16" s="46">
        <v>37315</v>
      </c>
      <c r="B16">
        <v>1.1560700000000002</v>
      </c>
    </row>
    <row r="17" spans="1:2" x14ac:dyDescent="0.2">
      <c r="A17" s="46">
        <v>37343</v>
      </c>
      <c r="B17">
        <v>1.1462600000000001</v>
      </c>
    </row>
    <row r="18" spans="1:2" x14ac:dyDescent="0.2">
      <c r="A18" s="46">
        <v>37374</v>
      </c>
      <c r="B18">
        <v>1.10975</v>
      </c>
    </row>
    <row r="19" spans="1:2" x14ac:dyDescent="0.2">
      <c r="A19" s="46">
        <v>37404</v>
      </c>
      <c r="B19">
        <v>1.0703200000000002</v>
      </c>
    </row>
    <row r="20" spans="1:2" x14ac:dyDescent="0.2">
      <c r="A20" s="46">
        <v>37435</v>
      </c>
      <c r="B20">
        <v>1.0125600000000001</v>
      </c>
    </row>
    <row r="21" spans="1:2" x14ac:dyDescent="0.2">
      <c r="A21" s="46">
        <v>37465</v>
      </c>
      <c r="B21">
        <v>1.0199900000000002</v>
      </c>
    </row>
    <row r="22" spans="1:2" x14ac:dyDescent="0.2">
      <c r="A22" s="46">
        <v>37496</v>
      </c>
      <c r="B22">
        <v>1.0196800000000001</v>
      </c>
    </row>
    <row r="23" spans="1:2" x14ac:dyDescent="0.2">
      <c r="A23" s="46">
        <v>37527</v>
      </c>
      <c r="B23">
        <v>1.0118400000000001</v>
      </c>
    </row>
    <row r="24" spans="1:2" x14ac:dyDescent="0.2">
      <c r="A24" s="46">
        <v>37557</v>
      </c>
      <c r="B24">
        <v>1.0097900000000002</v>
      </c>
    </row>
    <row r="25" spans="1:2" x14ac:dyDescent="0.2">
      <c r="A25" s="46">
        <v>37588</v>
      </c>
      <c r="B25">
        <v>1.0052300000000001</v>
      </c>
    </row>
    <row r="26" spans="1:2" x14ac:dyDescent="0.2">
      <c r="A26" s="46">
        <v>37618</v>
      </c>
      <c r="B26">
        <v>0.95293000000000005</v>
      </c>
    </row>
    <row r="27" spans="1:2" x14ac:dyDescent="0.2">
      <c r="A27" s="46">
        <v>37649</v>
      </c>
      <c r="B27">
        <v>0.93153000000000008</v>
      </c>
    </row>
    <row r="28" spans="1:2" x14ac:dyDescent="0.2">
      <c r="A28" s="46">
        <v>37680</v>
      </c>
      <c r="B28">
        <v>0.92782000000000009</v>
      </c>
    </row>
    <row r="29" spans="1:2" x14ac:dyDescent="0.2">
      <c r="A29" s="46">
        <v>37708</v>
      </c>
      <c r="B29">
        <v>0.91642000000000012</v>
      </c>
    </row>
    <row r="30" spans="1:2" x14ac:dyDescent="0.2">
      <c r="A30" s="46">
        <v>37739</v>
      </c>
      <c r="B30">
        <v>0.89606000000000008</v>
      </c>
    </row>
    <row r="31" spans="1:2" x14ac:dyDescent="0.2">
      <c r="A31" s="46">
        <v>37769</v>
      </c>
      <c r="B31">
        <v>0.85023000000000004</v>
      </c>
    </row>
    <row r="32" spans="1:2" x14ac:dyDescent="0.2">
      <c r="A32" s="46">
        <v>37800</v>
      </c>
      <c r="B32">
        <v>0.87081000000000008</v>
      </c>
    </row>
    <row r="33" spans="1:2" x14ac:dyDescent="0.2">
      <c r="A33" s="46">
        <v>37830</v>
      </c>
      <c r="B33">
        <v>0.88845000000000007</v>
      </c>
    </row>
    <row r="34" spans="1:2" x14ac:dyDescent="0.2">
      <c r="A34" s="46">
        <v>37861</v>
      </c>
      <c r="B34">
        <v>0.91083000000000003</v>
      </c>
    </row>
    <row r="35" spans="1:2" x14ac:dyDescent="0.2">
      <c r="A35" s="46">
        <v>37892</v>
      </c>
      <c r="B35">
        <v>0.85870000000000002</v>
      </c>
    </row>
    <row r="36" spans="1:2" x14ac:dyDescent="0.2">
      <c r="A36" s="46">
        <v>37922</v>
      </c>
      <c r="B36">
        <v>0.8602200000000001</v>
      </c>
    </row>
    <row r="37" spans="1:2" x14ac:dyDescent="0.2">
      <c r="A37" s="46">
        <v>37953</v>
      </c>
      <c r="B37">
        <v>0.83424000000000009</v>
      </c>
    </row>
    <row r="38" spans="1:2" x14ac:dyDescent="0.2">
      <c r="A38" s="46">
        <v>37983</v>
      </c>
      <c r="B38">
        <v>0.79280000000000006</v>
      </c>
    </row>
    <row r="39" spans="1:2" x14ac:dyDescent="0.2">
      <c r="A39" s="46">
        <v>38014</v>
      </c>
      <c r="B39">
        <v>0.80496000000000012</v>
      </c>
    </row>
    <row r="40" spans="1:2" x14ac:dyDescent="0.2">
      <c r="A40" s="46">
        <v>38045</v>
      </c>
      <c r="B40">
        <v>0.80483000000000005</v>
      </c>
    </row>
    <row r="41" spans="1:2" x14ac:dyDescent="0.2">
      <c r="A41" s="46">
        <v>38074</v>
      </c>
      <c r="B41">
        <v>0.81374000000000002</v>
      </c>
    </row>
    <row r="42" spans="1:2" x14ac:dyDescent="0.2">
      <c r="A42" s="46">
        <v>38105</v>
      </c>
      <c r="B42">
        <v>0.83420000000000005</v>
      </c>
    </row>
    <row r="43" spans="1:2" x14ac:dyDescent="0.2">
      <c r="A43" s="46">
        <v>38135</v>
      </c>
      <c r="B43">
        <v>0.81890000000000007</v>
      </c>
    </row>
    <row r="44" spans="1:2" x14ac:dyDescent="0.2">
      <c r="A44" s="46">
        <v>38166</v>
      </c>
      <c r="B44">
        <v>0.82193000000000005</v>
      </c>
    </row>
    <row r="45" spans="1:2" x14ac:dyDescent="0.2">
      <c r="A45" s="46">
        <v>38196</v>
      </c>
      <c r="B45">
        <v>0.83060000000000012</v>
      </c>
    </row>
    <row r="46" spans="1:2" x14ac:dyDescent="0.2">
      <c r="A46" s="46">
        <v>38227</v>
      </c>
      <c r="B46">
        <v>0.82284000000000002</v>
      </c>
    </row>
    <row r="47" spans="1:2" x14ac:dyDescent="0.2">
      <c r="A47" s="46">
        <v>38258</v>
      </c>
      <c r="B47">
        <v>0.80515000000000003</v>
      </c>
    </row>
    <row r="48" spans="1:2" x14ac:dyDescent="0.2">
      <c r="A48" s="46">
        <v>38288</v>
      </c>
      <c r="B48">
        <v>0.78613000000000011</v>
      </c>
    </row>
    <row r="49" spans="1:2" x14ac:dyDescent="0.2">
      <c r="A49" s="46">
        <v>38319</v>
      </c>
      <c r="B49">
        <v>0.75242000000000009</v>
      </c>
    </row>
    <row r="50" spans="1:2" x14ac:dyDescent="0.2">
      <c r="A50" s="46">
        <v>38349</v>
      </c>
      <c r="B50">
        <v>0.73570000000000002</v>
      </c>
    </row>
    <row r="51" spans="1:2" x14ac:dyDescent="0.2">
      <c r="A51" s="46">
        <v>38380</v>
      </c>
      <c r="B51">
        <v>0.76714000000000004</v>
      </c>
    </row>
    <row r="52" spans="1:2" x14ac:dyDescent="0.2">
      <c r="A52" s="46">
        <v>38411</v>
      </c>
      <c r="B52">
        <v>0.75338000000000005</v>
      </c>
    </row>
    <row r="53" spans="1:2" x14ac:dyDescent="0.2">
      <c r="A53" s="46">
        <v>38439</v>
      </c>
      <c r="B53">
        <v>0.76944000000000001</v>
      </c>
    </row>
    <row r="54" spans="1:2" x14ac:dyDescent="0.2">
      <c r="A54" s="46">
        <v>38470</v>
      </c>
      <c r="B54">
        <v>0.77462000000000009</v>
      </c>
    </row>
    <row r="55" spans="1:2" x14ac:dyDescent="0.2">
      <c r="A55" s="46">
        <v>38500</v>
      </c>
      <c r="B55">
        <v>0.80988000000000004</v>
      </c>
    </row>
    <row r="56" spans="1:2" x14ac:dyDescent="0.2">
      <c r="A56" s="46">
        <v>38531</v>
      </c>
      <c r="B56">
        <v>0.82600000000000007</v>
      </c>
    </row>
    <row r="57" spans="1:2" x14ac:dyDescent="0.2">
      <c r="A57" s="46">
        <v>38561</v>
      </c>
      <c r="B57">
        <v>0.82328000000000012</v>
      </c>
    </row>
    <row r="58" spans="1:2" x14ac:dyDescent="0.2">
      <c r="A58" s="46">
        <v>38592</v>
      </c>
      <c r="B58">
        <v>0.81311000000000011</v>
      </c>
    </row>
    <row r="59" spans="1:2" x14ac:dyDescent="0.2">
      <c r="A59" s="46">
        <v>38623</v>
      </c>
      <c r="B59">
        <v>0.82943000000000011</v>
      </c>
    </row>
    <row r="60" spans="1:2" x14ac:dyDescent="0.2">
      <c r="A60" s="46">
        <v>38653</v>
      </c>
      <c r="B60">
        <v>0.83490000000000009</v>
      </c>
    </row>
    <row r="61" spans="1:2" x14ac:dyDescent="0.2">
      <c r="A61" s="46">
        <v>38684</v>
      </c>
      <c r="B61">
        <v>0.84821000000000002</v>
      </c>
    </row>
    <row r="62" spans="1:2" x14ac:dyDescent="0.2">
      <c r="A62" s="46">
        <v>38714</v>
      </c>
      <c r="B62">
        <v>0.84778000000000009</v>
      </c>
    </row>
    <row r="63" spans="1:2" x14ac:dyDescent="0.2">
      <c r="A63" s="46">
        <v>38745</v>
      </c>
      <c r="B63">
        <v>0.82352000000000003</v>
      </c>
    </row>
    <row r="64" spans="1:2" x14ac:dyDescent="0.2">
      <c r="A64" s="46">
        <v>38776</v>
      </c>
      <c r="B64">
        <v>0.83875000000000011</v>
      </c>
    </row>
    <row r="65" spans="1:2" x14ac:dyDescent="0.2">
      <c r="A65" s="46">
        <v>38804</v>
      </c>
      <c r="B65">
        <v>0.82634000000000007</v>
      </c>
    </row>
    <row r="66" spans="1:2" x14ac:dyDescent="0.2">
      <c r="A66" s="46">
        <v>38835</v>
      </c>
      <c r="B66">
        <v>0.79387000000000008</v>
      </c>
    </row>
    <row r="67" spans="1:2" x14ac:dyDescent="0.2">
      <c r="A67" s="46">
        <v>38865</v>
      </c>
      <c r="B67">
        <v>0.77854000000000001</v>
      </c>
    </row>
    <row r="68" spans="1:2" x14ac:dyDescent="0.2">
      <c r="A68" s="46">
        <v>38896</v>
      </c>
      <c r="B68">
        <v>0.78207000000000004</v>
      </c>
    </row>
    <row r="69" spans="1:2" x14ac:dyDescent="0.2">
      <c r="A69" s="46">
        <v>38926</v>
      </c>
      <c r="B69">
        <v>0.78361000000000003</v>
      </c>
    </row>
    <row r="70" spans="1:2" x14ac:dyDescent="0.2">
      <c r="A70" s="46">
        <v>38957</v>
      </c>
      <c r="B70">
        <v>0.78122000000000003</v>
      </c>
    </row>
    <row r="71" spans="1:2" x14ac:dyDescent="0.2">
      <c r="A71" s="46">
        <v>38988</v>
      </c>
      <c r="B71">
        <v>0.78942000000000001</v>
      </c>
    </row>
    <row r="72" spans="1:2" x14ac:dyDescent="0.2">
      <c r="A72" s="46">
        <v>39018</v>
      </c>
      <c r="B72">
        <v>0.78348000000000007</v>
      </c>
    </row>
    <row r="73" spans="1:2" x14ac:dyDescent="0.2">
      <c r="A73" s="46">
        <v>39049</v>
      </c>
      <c r="B73">
        <v>0.75440000000000007</v>
      </c>
    </row>
    <row r="74" spans="1:2" x14ac:dyDescent="0.2">
      <c r="A74" s="46">
        <v>39079</v>
      </c>
      <c r="B74">
        <v>0.75835000000000008</v>
      </c>
    </row>
    <row r="75" spans="1:2" x14ac:dyDescent="0.2">
      <c r="A75" s="46">
        <v>39110</v>
      </c>
      <c r="B75">
        <v>0.76956000000000002</v>
      </c>
    </row>
    <row r="76" spans="1:2" x14ac:dyDescent="0.2">
      <c r="A76" s="46">
        <v>39141</v>
      </c>
      <c r="B76">
        <v>0.75703000000000009</v>
      </c>
    </row>
    <row r="77" spans="1:2" x14ac:dyDescent="0.2">
      <c r="A77" s="46">
        <v>39169</v>
      </c>
      <c r="B77">
        <v>0.75123000000000006</v>
      </c>
    </row>
    <row r="78" spans="1:2" x14ac:dyDescent="0.2">
      <c r="A78" s="46">
        <v>39200</v>
      </c>
      <c r="B78">
        <v>0.7327300000000001</v>
      </c>
    </row>
    <row r="79" spans="1:2" x14ac:dyDescent="0.2">
      <c r="A79" s="46">
        <v>39230</v>
      </c>
      <c r="B79">
        <v>0.74314000000000002</v>
      </c>
    </row>
    <row r="80" spans="1:2" x14ac:dyDescent="0.2">
      <c r="A80" s="46">
        <v>39261</v>
      </c>
      <c r="B80">
        <v>0.7404400000000001</v>
      </c>
    </row>
    <row r="81" spans="1:2" x14ac:dyDescent="0.2">
      <c r="A81" s="46">
        <v>39291</v>
      </c>
      <c r="B81">
        <v>0.73054000000000008</v>
      </c>
    </row>
    <row r="82" spans="1:2" x14ac:dyDescent="0.2">
      <c r="A82" s="46">
        <v>39322</v>
      </c>
      <c r="B82">
        <v>0.73354000000000008</v>
      </c>
    </row>
    <row r="83" spans="1:2" x14ac:dyDescent="0.2">
      <c r="A83" s="46">
        <v>39353</v>
      </c>
      <c r="B83">
        <v>0.70316000000000001</v>
      </c>
    </row>
    <row r="84" spans="1:2" x14ac:dyDescent="0.2">
      <c r="A84" s="46">
        <v>39383</v>
      </c>
      <c r="B84">
        <v>0.69120000000000004</v>
      </c>
    </row>
    <row r="85" spans="1:2" x14ac:dyDescent="0.2">
      <c r="A85" s="46">
        <v>39414</v>
      </c>
      <c r="B85">
        <v>0.68127000000000004</v>
      </c>
    </row>
    <row r="86" spans="1:2" x14ac:dyDescent="0.2">
      <c r="A86" s="46">
        <v>39444</v>
      </c>
      <c r="B86">
        <v>0.68397000000000008</v>
      </c>
    </row>
    <row r="87" spans="1:2" x14ac:dyDescent="0.2">
      <c r="A87" s="46">
        <v>39475</v>
      </c>
      <c r="B87">
        <v>0.6754</v>
      </c>
    </row>
    <row r="88" spans="1:2" x14ac:dyDescent="0.2">
      <c r="A88" s="46">
        <v>39506</v>
      </c>
      <c r="B88">
        <v>0.65872000000000008</v>
      </c>
    </row>
    <row r="89" spans="1:2" x14ac:dyDescent="0.2">
      <c r="A89" s="46">
        <v>39535</v>
      </c>
      <c r="B89">
        <v>0.63109000000000004</v>
      </c>
    </row>
    <row r="90" spans="1:2" x14ac:dyDescent="0.2">
      <c r="A90" s="46">
        <v>39566</v>
      </c>
      <c r="B90">
        <v>0.64230000000000009</v>
      </c>
    </row>
    <row r="91" spans="1:2" x14ac:dyDescent="0.2">
      <c r="A91" s="46">
        <v>39596</v>
      </c>
      <c r="B91">
        <v>0.64348000000000005</v>
      </c>
    </row>
    <row r="92" spans="1:2" x14ac:dyDescent="0.2">
      <c r="A92" s="46">
        <v>39627</v>
      </c>
      <c r="B92">
        <v>0.63470000000000004</v>
      </c>
    </row>
    <row r="93" spans="1:2" x14ac:dyDescent="0.2">
      <c r="A93" s="46">
        <v>39657</v>
      </c>
      <c r="B93">
        <v>0.64092000000000005</v>
      </c>
    </row>
    <row r="94" spans="1:2" x14ac:dyDescent="0.2">
      <c r="A94" s="46">
        <v>39688</v>
      </c>
      <c r="B94">
        <v>0.67923</v>
      </c>
    </row>
    <row r="95" spans="1:2" x14ac:dyDescent="0.2">
      <c r="A95" s="46">
        <v>39719</v>
      </c>
      <c r="B95">
        <v>0.71192000000000011</v>
      </c>
    </row>
    <row r="96" spans="1:2" x14ac:dyDescent="0.2">
      <c r="A96" s="46">
        <v>39749</v>
      </c>
      <c r="B96">
        <v>0.78861000000000003</v>
      </c>
    </row>
    <row r="97" spans="1:2" x14ac:dyDescent="0.2">
      <c r="A97" s="46">
        <v>39780</v>
      </c>
      <c r="B97">
        <v>0.78808000000000011</v>
      </c>
    </row>
    <row r="98" spans="1:2" x14ac:dyDescent="0.2">
      <c r="A98" s="46">
        <v>39810</v>
      </c>
      <c r="B98">
        <v>0.71940000000000004</v>
      </c>
    </row>
    <row r="99" spans="1:2" x14ac:dyDescent="0.2">
      <c r="A99" s="46">
        <v>39841</v>
      </c>
      <c r="B99">
        <v>0.78034000000000003</v>
      </c>
    </row>
    <row r="100" spans="1:2" x14ac:dyDescent="0.2">
      <c r="A100" s="46">
        <v>39872</v>
      </c>
      <c r="B100">
        <v>0.78737000000000001</v>
      </c>
    </row>
    <row r="101" spans="1:2" x14ac:dyDescent="0.2">
      <c r="A101" s="46">
        <v>39900</v>
      </c>
      <c r="B101">
        <v>0.75318000000000007</v>
      </c>
    </row>
    <row r="102" spans="1:2" x14ac:dyDescent="0.2">
      <c r="A102" s="46">
        <v>39931</v>
      </c>
      <c r="B102">
        <v>0.75466000000000011</v>
      </c>
    </row>
    <row r="103" spans="1:2" x14ac:dyDescent="0.2">
      <c r="A103" s="46">
        <v>39961</v>
      </c>
      <c r="B103">
        <v>0.70649000000000006</v>
      </c>
    </row>
    <row r="104" spans="1:2" x14ac:dyDescent="0.2">
      <c r="A104" s="46">
        <v>39992</v>
      </c>
      <c r="B104">
        <v>0.71294000000000002</v>
      </c>
    </row>
    <row r="105" spans="1:2" x14ac:dyDescent="0.2">
      <c r="A105" s="46">
        <v>40022</v>
      </c>
      <c r="B105">
        <v>0.70534000000000008</v>
      </c>
    </row>
    <row r="106" spans="1:2" x14ac:dyDescent="0.2">
      <c r="A106" s="46">
        <v>40053</v>
      </c>
      <c r="B106">
        <v>0.69684000000000001</v>
      </c>
    </row>
    <row r="107" spans="1:2" x14ac:dyDescent="0.2">
      <c r="A107" s="46">
        <v>40084</v>
      </c>
      <c r="B107">
        <v>0.68413000000000002</v>
      </c>
    </row>
    <row r="108" spans="1:2" x14ac:dyDescent="0.2">
      <c r="A108" s="46">
        <v>40114</v>
      </c>
      <c r="B108">
        <v>0.67776000000000003</v>
      </c>
    </row>
    <row r="109" spans="1:2" x14ac:dyDescent="0.2">
      <c r="A109" s="46">
        <v>40145</v>
      </c>
      <c r="B109">
        <v>0.66607000000000005</v>
      </c>
    </row>
    <row r="110" spans="1:2" x14ac:dyDescent="0.2">
      <c r="A110" s="46">
        <v>40175</v>
      </c>
      <c r="B110">
        <v>0.69699000000000011</v>
      </c>
    </row>
    <row r="111" spans="1:2" x14ac:dyDescent="0.2">
      <c r="A111" s="46">
        <v>40206</v>
      </c>
      <c r="B111">
        <v>0.71945000000000003</v>
      </c>
    </row>
    <row r="112" spans="1:2" x14ac:dyDescent="0.2">
      <c r="A112" s="46">
        <v>40237</v>
      </c>
      <c r="B112">
        <v>0.73276000000000008</v>
      </c>
    </row>
    <row r="113" spans="1:2" x14ac:dyDescent="0.2">
      <c r="A113" s="46">
        <v>40265</v>
      </c>
      <c r="B113">
        <v>0.73904000000000003</v>
      </c>
    </row>
    <row r="114" spans="1:2" x14ac:dyDescent="0.2">
      <c r="A114" s="46">
        <v>40296</v>
      </c>
      <c r="B114">
        <v>0.75208000000000008</v>
      </c>
    </row>
    <row r="115" spans="1:2" x14ac:dyDescent="0.2">
      <c r="A115" s="46">
        <v>40326</v>
      </c>
      <c r="B115">
        <v>0.81496000000000002</v>
      </c>
    </row>
    <row r="116" spans="1:2" x14ac:dyDescent="0.2">
      <c r="A116" s="46">
        <v>40357</v>
      </c>
      <c r="B116">
        <v>0.81639000000000006</v>
      </c>
    </row>
    <row r="117" spans="1:2" x14ac:dyDescent="0.2">
      <c r="A117" s="46">
        <v>40387</v>
      </c>
      <c r="B117">
        <v>0.76758000000000004</v>
      </c>
    </row>
    <row r="118" spans="1:2" x14ac:dyDescent="0.2">
      <c r="A118" s="46">
        <v>40418</v>
      </c>
      <c r="B118">
        <v>0.78681000000000001</v>
      </c>
    </row>
    <row r="119" spans="1:2" x14ac:dyDescent="0.2">
      <c r="A119" s="46">
        <v>40449</v>
      </c>
      <c r="B119">
        <v>0.73249000000000009</v>
      </c>
    </row>
    <row r="120" spans="1:2" x14ac:dyDescent="0.2">
      <c r="A120" s="46">
        <v>40479</v>
      </c>
      <c r="B120">
        <v>0.71948000000000001</v>
      </c>
    </row>
    <row r="121" spans="1:2" x14ac:dyDescent="0.2">
      <c r="A121" s="46">
        <v>40510</v>
      </c>
      <c r="B121">
        <v>0.7682000000000001</v>
      </c>
    </row>
    <row r="122" spans="1:2" x14ac:dyDescent="0.2">
      <c r="A122" s="46">
        <v>40540</v>
      </c>
      <c r="B122">
        <v>0.74541000000000002</v>
      </c>
    </row>
    <row r="123" spans="1:2" x14ac:dyDescent="0.2">
      <c r="A123" s="46">
        <v>40571</v>
      </c>
      <c r="B123">
        <v>0.72939000000000009</v>
      </c>
    </row>
    <row r="124" spans="1:2" x14ac:dyDescent="0.2">
      <c r="A124" s="46">
        <v>40602</v>
      </c>
      <c r="B124">
        <v>0.72401000000000004</v>
      </c>
    </row>
    <row r="125" spans="1:2" x14ac:dyDescent="0.2">
      <c r="A125" s="46">
        <v>40630</v>
      </c>
      <c r="B125">
        <v>0.70467000000000002</v>
      </c>
    </row>
    <row r="126" spans="1:2" x14ac:dyDescent="0.2">
      <c r="A126" s="46">
        <v>40661</v>
      </c>
      <c r="B126">
        <v>0.67404000000000008</v>
      </c>
    </row>
    <row r="127" spans="1:2" x14ac:dyDescent="0.2">
      <c r="A127" s="46">
        <v>40691</v>
      </c>
      <c r="B127">
        <v>0.69560000000000011</v>
      </c>
    </row>
    <row r="128" spans="1:2" x14ac:dyDescent="0.2">
      <c r="A128" s="46">
        <v>40722</v>
      </c>
      <c r="B128">
        <v>0.68973000000000007</v>
      </c>
    </row>
    <row r="129" spans="1:2" x14ac:dyDescent="0.2">
      <c r="A129" s="46">
        <v>40752</v>
      </c>
      <c r="B129">
        <v>0.69589000000000001</v>
      </c>
    </row>
    <row r="130" spans="1:2" x14ac:dyDescent="0.2">
      <c r="A130" s="46">
        <v>40783</v>
      </c>
      <c r="B130">
        <v>0.69454000000000005</v>
      </c>
    </row>
    <row r="131" spans="1:2" x14ac:dyDescent="0.2">
      <c r="A131" s="46">
        <v>40814</v>
      </c>
      <c r="B131">
        <v>0.74532000000000009</v>
      </c>
    </row>
    <row r="132" spans="1:2" x14ac:dyDescent="0.2">
      <c r="A132" s="46">
        <v>40844</v>
      </c>
      <c r="B132">
        <v>0.71695000000000009</v>
      </c>
    </row>
    <row r="133" spans="1:2" x14ac:dyDescent="0.2">
      <c r="A133" s="46">
        <v>40875</v>
      </c>
      <c r="B133">
        <v>0.74286000000000008</v>
      </c>
    </row>
    <row r="134" spans="1:2" x14ac:dyDescent="0.2">
      <c r="A134" s="46">
        <v>40905</v>
      </c>
      <c r="B134">
        <v>0.77033000000000007</v>
      </c>
    </row>
    <row r="135" spans="1:2" x14ac:dyDescent="0.2">
      <c r="A135" s="46">
        <v>40936</v>
      </c>
      <c r="B135">
        <v>0.76391000000000009</v>
      </c>
    </row>
    <row r="136" spans="1:2" x14ac:dyDescent="0.2">
      <c r="A136" s="46">
        <v>40967</v>
      </c>
      <c r="B136">
        <v>0.74755000000000005</v>
      </c>
    </row>
    <row r="137" spans="1:2" x14ac:dyDescent="0.2">
      <c r="A137" s="46">
        <v>40996</v>
      </c>
      <c r="B137">
        <v>0.75092000000000003</v>
      </c>
    </row>
    <row r="138" spans="1:2" x14ac:dyDescent="0.2">
      <c r="A138" s="46">
        <v>41027</v>
      </c>
      <c r="B138">
        <v>0.7555400000000001</v>
      </c>
    </row>
    <row r="139" spans="1:2" x14ac:dyDescent="0.2">
      <c r="A139" s="46">
        <v>41057</v>
      </c>
      <c r="B139">
        <v>0.8087700000000001</v>
      </c>
    </row>
    <row r="140" spans="1:2" x14ac:dyDescent="0.2">
      <c r="A140" s="46">
        <v>41088</v>
      </c>
      <c r="B140">
        <v>0.78799000000000008</v>
      </c>
    </row>
    <row r="141" spans="1:2" x14ac:dyDescent="0.2">
      <c r="A141" s="46">
        <v>41118</v>
      </c>
      <c r="B141">
        <v>0.8119900000000001</v>
      </c>
    </row>
    <row r="142" spans="1:2" x14ac:dyDescent="0.2">
      <c r="A142" s="46">
        <v>41149</v>
      </c>
      <c r="B142">
        <v>0.79334000000000005</v>
      </c>
    </row>
    <row r="143" spans="1:2" x14ac:dyDescent="0.2">
      <c r="A143" s="46">
        <v>41180</v>
      </c>
      <c r="B143">
        <v>0.7773000000000001</v>
      </c>
    </row>
    <row r="144" spans="1:2" x14ac:dyDescent="0.2">
      <c r="A144" s="46">
        <v>41210</v>
      </c>
      <c r="B144">
        <v>0.77172000000000007</v>
      </c>
    </row>
    <row r="145" spans="1:2" x14ac:dyDescent="0.2">
      <c r="A145" s="46">
        <v>41241</v>
      </c>
      <c r="B145">
        <v>0.76888000000000001</v>
      </c>
    </row>
    <row r="146" spans="1:2" x14ac:dyDescent="0.2">
      <c r="A146" s="46">
        <v>41271</v>
      </c>
      <c r="B146">
        <v>0.75850000000000006</v>
      </c>
    </row>
    <row r="147" spans="1:2" x14ac:dyDescent="0.2">
      <c r="A147" s="46">
        <v>41302</v>
      </c>
      <c r="B147">
        <v>0.73670000000000002</v>
      </c>
    </row>
    <row r="148" spans="1:2" x14ac:dyDescent="0.2">
      <c r="A148" s="46">
        <v>41333</v>
      </c>
      <c r="B148">
        <v>0.76491000000000009</v>
      </c>
    </row>
    <row r="149" spans="1:2" x14ac:dyDescent="0.2">
      <c r="A149" s="46">
        <v>41361</v>
      </c>
      <c r="B149">
        <v>0.77876000000000012</v>
      </c>
    </row>
    <row r="150" spans="1:2" x14ac:dyDescent="0.2">
      <c r="A150" s="46">
        <v>41392</v>
      </c>
      <c r="B150">
        <v>0.75850000000000006</v>
      </c>
    </row>
    <row r="151" spans="1:2" x14ac:dyDescent="0.2">
      <c r="A151" s="46">
        <v>41422</v>
      </c>
      <c r="B151">
        <v>0.77161000000000002</v>
      </c>
    </row>
    <row r="152" spans="1:2" x14ac:dyDescent="0.2">
      <c r="A152" s="46">
        <v>41453</v>
      </c>
      <c r="B152">
        <v>0.76932000000000011</v>
      </c>
    </row>
    <row r="153" spans="1:2" x14ac:dyDescent="0.2">
      <c r="A153" s="46">
        <v>41483</v>
      </c>
      <c r="B153">
        <v>0.7531000000000001</v>
      </c>
    </row>
    <row r="154" spans="1:2" x14ac:dyDescent="0.2">
      <c r="A154" s="46">
        <v>41514</v>
      </c>
      <c r="B154">
        <v>0.75838000000000005</v>
      </c>
    </row>
    <row r="155" spans="1:2" x14ac:dyDescent="0.2">
      <c r="A155" s="46">
        <v>41545</v>
      </c>
      <c r="B155">
        <v>0.73874000000000006</v>
      </c>
    </row>
    <row r="156" spans="1:2" x14ac:dyDescent="0.2">
      <c r="A156" s="46">
        <v>41575</v>
      </c>
      <c r="B156">
        <v>0.7355600000000001</v>
      </c>
    </row>
    <row r="157" spans="1:2" x14ac:dyDescent="0.2">
      <c r="A157" s="46">
        <v>41606</v>
      </c>
      <c r="B157">
        <v>0.73446000000000011</v>
      </c>
    </row>
    <row r="158" spans="1:2" x14ac:dyDescent="0.2">
      <c r="A158" s="46">
        <v>41636</v>
      </c>
      <c r="B158">
        <v>0.72572000000000003</v>
      </c>
    </row>
    <row r="159" spans="1:2" x14ac:dyDescent="0.2">
      <c r="A159" s="46">
        <v>41667</v>
      </c>
      <c r="B159">
        <v>0.74154000000000009</v>
      </c>
    </row>
    <row r="160" spans="1:2" x14ac:dyDescent="0.2">
      <c r="A160" s="46">
        <v>41698</v>
      </c>
      <c r="B160">
        <v>0.72403000000000006</v>
      </c>
    </row>
    <row r="161" spans="1:2" x14ac:dyDescent="0.2">
      <c r="A161" s="46">
        <v>41726</v>
      </c>
      <c r="B161">
        <v>0.72556000000000009</v>
      </c>
    </row>
    <row r="162" spans="1:2" x14ac:dyDescent="0.2">
      <c r="A162" s="46">
        <v>41757</v>
      </c>
      <c r="B162">
        <v>0.72121000000000002</v>
      </c>
    </row>
    <row r="163" spans="1:2" x14ac:dyDescent="0.2">
      <c r="A163" s="46">
        <v>41787</v>
      </c>
      <c r="B163">
        <v>0.73284000000000005</v>
      </c>
    </row>
    <row r="164" spans="1:2" x14ac:dyDescent="0.2">
      <c r="A164" s="46">
        <v>41818</v>
      </c>
      <c r="B164">
        <v>0.73038000000000003</v>
      </c>
    </row>
    <row r="165" spans="1:2" x14ac:dyDescent="0.2">
      <c r="A165" s="46">
        <v>41848</v>
      </c>
      <c r="B165">
        <v>0.74738000000000004</v>
      </c>
    </row>
    <row r="166" spans="1:2" x14ac:dyDescent="0.2">
      <c r="A166" s="46">
        <v>41879</v>
      </c>
      <c r="B166">
        <v>0.75919000000000003</v>
      </c>
    </row>
    <row r="167" spans="1:2" x14ac:dyDescent="0.2">
      <c r="A167" s="46">
        <v>41910</v>
      </c>
      <c r="B167">
        <v>0.79161000000000004</v>
      </c>
    </row>
    <row r="168" spans="1:2" x14ac:dyDescent="0.2">
      <c r="A168" s="46">
        <v>41940</v>
      </c>
      <c r="B168">
        <v>0.79815000000000003</v>
      </c>
    </row>
    <row r="169" spans="1:2" x14ac:dyDescent="0.2">
      <c r="A169" s="46">
        <v>41971</v>
      </c>
      <c r="B169">
        <v>0.80215000000000003</v>
      </c>
    </row>
    <row r="170" spans="1:2" x14ac:dyDescent="0.2">
      <c r="A170" s="46">
        <v>42001</v>
      </c>
      <c r="B170">
        <v>0.82641000000000009</v>
      </c>
    </row>
    <row r="171" spans="1:2" x14ac:dyDescent="0.2">
      <c r="A171" s="46">
        <v>42032</v>
      </c>
      <c r="B171">
        <v>0.88617000000000012</v>
      </c>
    </row>
    <row r="172" spans="1:2" x14ac:dyDescent="0.2">
      <c r="A172" s="46">
        <v>42063</v>
      </c>
      <c r="B172">
        <v>0.89154000000000011</v>
      </c>
    </row>
    <row r="173" spans="1:2" x14ac:dyDescent="0.2">
      <c r="A173" s="46">
        <v>42091</v>
      </c>
      <c r="B173">
        <v>0.93110000000000004</v>
      </c>
    </row>
    <row r="174" spans="1:2" x14ac:dyDescent="0.2">
      <c r="A174" s="46">
        <v>42122</v>
      </c>
      <c r="B174">
        <v>0.8924200000000001</v>
      </c>
    </row>
    <row r="175" spans="1:2" x14ac:dyDescent="0.2">
      <c r="A175" s="46">
        <v>42152</v>
      </c>
      <c r="B175">
        <v>0.91212000000000004</v>
      </c>
    </row>
    <row r="176" spans="1:2" x14ac:dyDescent="0.2">
      <c r="A176" s="46">
        <v>42183</v>
      </c>
      <c r="B176">
        <v>0.89751000000000003</v>
      </c>
    </row>
    <row r="177" spans="1:2" x14ac:dyDescent="0.2">
      <c r="A177" s="46">
        <v>42213</v>
      </c>
      <c r="B177">
        <v>0.90510000000000013</v>
      </c>
    </row>
    <row r="178" spans="1:2" x14ac:dyDescent="0.2">
      <c r="A178" s="46">
        <v>42244</v>
      </c>
      <c r="B178">
        <v>0.89246000000000003</v>
      </c>
    </row>
    <row r="179" spans="1:2" x14ac:dyDescent="0.2">
      <c r="A179" s="46">
        <v>42275</v>
      </c>
      <c r="B179">
        <v>0.8958600000000001</v>
      </c>
    </row>
    <row r="180" spans="1:2" x14ac:dyDescent="0.2">
      <c r="A180" s="46">
        <v>42305</v>
      </c>
      <c r="B180">
        <v>0.90526000000000006</v>
      </c>
    </row>
    <row r="181" spans="1:2" x14ac:dyDescent="0.2">
      <c r="A181" s="46">
        <v>42336</v>
      </c>
      <c r="B181">
        <v>0.94684000000000013</v>
      </c>
    </row>
    <row r="182" spans="1:2" x14ac:dyDescent="0.2">
      <c r="A182" s="46">
        <v>42366</v>
      </c>
      <c r="B182">
        <v>0.92056000000000004</v>
      </c>
    </row>
    <row r="183" spans="1:2" x14ac:dyDescent="0.2">
      <c r="A183" s="46">
        <v>42397</v>
      </c>
      <c r="B183">
        <v>0.92417000000000005</v>
      </c>
    </row>
    <row r="184" spans="1:2" x14ac:dyDescent="0.2">
      <c r="A184" s="46">
        <v>42428</v>
      </c>
      <c r="B184">
        <v>0.92034000000000005</v>
      </c>
    </row>
    <row r="185" spans="1:2" x14ac:dyDescent="0.2">
      <c r="A185" s="46">
        <v>42457</v>
      </c>
      <c r="B185">
        <v>0.8775400000000001</v>
      </c>
    </row>
    <row r="186" spans="1:2" x14ac:dyDescent="0.2">
      <c r="A186" s="46">
        <v>42488</v>
      </c>
      <c r="B186">
        <v>0.8731000000000001</v>
      </c>
    </row>
    <row r="187" spans="1:2" x14ac:dyDescent="0.2">
      <c r="A187" s="46">
        <v>42518</v>
      </c>
      <c r="B187">
        <v>0.89827000000000012</v>
      </c>
    </row>
    <row r="188" spans="1:2" x14ac:dyDescent="0.2">
      <c r="A188" s="46">
        <v>42549</v>
      </c>
      <c r="B188">
        <v>0.9001300000000001</v>
      </c>
    </row>
    <row r="189" spans="1:2" x14ac:dyDescent="0.2">
      <c r="A189" s="46">
        <v>42579</v>
      </c>
      <c r="B189">
        <v>0.8942500000000001</v>
      </c>
    </row>
    <row r="190" spans="1:2" x14ac:dyDescent="0.2">
      <c r="A190" s="46">
        <v>42610</v>
      </c>
      <c r="B190">
        <v>0.89787000000000006</v>
      </c>
    </row>
    <row r="191" spans="1:2" x14ac:dyDescent="0.2">
      <c r="A191" s="46">
        <v>42641</v>
      </c>
      <c r="B191">
        <v>0.88984000000000008</v>
      </c>
    </row>
    <row r="192" spans="1:2" x14ac:dyDescent="0.2">
      <c r="A192" s="46">
        <v>42671</v>
      </c>
      <c r="B192">
        <v>0.91224000000000005</v>
      </c>
    </row>
    <row r="193" spans="1:2" x14ac:dyDescent="0.2">
      <c r="A193" s="46">
        <v>42702</v>
      </c>
      <c r="B193">
        <v>0.94269000000000003</v>
      </c>
    </row>
    <row r="194" spans="1:2" x14ac:dyDescent="0.2">
      <c r="A194" s="46">
        <v>42732</v>
      </c>
      <c r="B194">
        <v>0.9480900000000001</v>
      </c>
    </row>
    <row r="195" spans="1:2" x14ac:dyDescent="0.2">
      <c r="A195" s="46">
        <v>42763</v>
      </c>
      <c r="B195">
        <v>0.9253300000000001</v>
      </c>
    </row>
    <row r="196" spans="1:2" x14ac:dyDescent="0.2">
      <c r="A196" s="46">
        <v>42794</v>
      </c>
      <c r="B196">
        <v>0.94109000000000009</v>
      </c>
    </row>
    <row r="197" spans="1:2" x14ac:dyDescent="0.2">
      <c r="A197" s="46">
        <v>42822</v>
      </c>
      <c r="B197">
        <v>0.93497000000000008</v>
      </c>
    </row>
    <row r="198" spans="1:2" x14ac:dyDescent="0.2">
      <c r="A198" s="46">
        <v>42853</v>
      </c>
      <c r="B198">
        <v>0.91832000000000003</v>
      </c>
    </row>
    <row r="199" spans="1:2" x14ac:dyDescent="0.2">
      <c r="A199" s="46">
        <v>42883</v>
      </c>
      <c r="B199">
        <v>0.88928000000000007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9"/>
  <sheetViews>
    <sheetView workbookViewId="0">
      <selection activeCell="U197" sqref="U197"/>
    </sheetView>
  </sheetViews>
  <sheetFormatPr baseColWidth="10" defaultColWidth="8.83203125" defaultRowHeight="15" x14ac:dyDescent="0.2"/>
  <cols>
    <col min="1" max="1" width="10.1640625" bestFit="1" customWidth="1"/>
  </cols>
  <sheetData>
    <row r="1" spans="1:2" x14ac:dyDescent="0.2">
      <c r="A1" t="s">
        <v>889</v>
      </c>
      <c r="B1" t="s">
        <v>891</v>
      </c>
    </row>
    <row r="2" spans="1:2" x14ac:dyDescent="0.2">
      <c r="A2" t="s">
        <v>890</v>
      </c>
      <c r="B2" t="s">
        <v>892</v>
      </c>
    </row>
    <row r="3" spans="1:2" x14ac:dyDescent="0.2">
      <c r="A3" s="46">
        <v>36919</v>
      </c>
      <c r="B3">
        <v>8.8385000000000016</v>
      </c>
    </row>
    <row r="4" spans="1:2" x14ac:dyDescent="0.2">
      <c r="A4" s="46">
        <v>36950</v>
      </c>
      <c r="B4">
        <v>8.9450000000000003</v>
      </c>
    </row>
    <row r="5" spans="1:2" x14ac:dyDescent="0.2">
      <c r="A5" s="46">
        <v>36978</v>
      </c>
      <c r="B5">
        <v>9.1091000000000015</v>
      </c>
    </row>
    <row r="6" spans="1:2" x14ac:dyDescent="0.2">
      <c r="A6" s="46">
        <v>37009</v>
      </c>
      <c r="B6">
        <v>9.1135000000000002</v>
      </c>
    </row>
    <row r="7" spans="1:2" x14ac:dyDescent="0.2">
      <c r="A7" s="46">
        <v>37039</v>
      </c>
      <c r="B7">
        <v>9.3665000000000003</v>
      </c>
    </row>
    <row r="8" spans="1:2" x14ac:dyDescent="0.2">
      <c r="A8" s="46">
        <v>37070</v>
      </c>
      <c r="B8">
        <v>9.3359000000000005</v>
      </c>
    </row>
    <row r="9" spans="1:2" x14ac:dyDescent="0.2">
      <c r="A9" s="46">
        <v>37100</v>
      </c>
      <c r="B9">
        <v>9.138300000000001</v>
      </c>
    </row>
    <row r="10" spans="1:2" x14ac:dyDescent="0.2">
      <c r="A10" s="46">
        <v>37131</v>
      </c>
      <c r="B10">
        <v>8.8667000000000016</v>
      </c>
    </row>
    <row r="11" spans="1:2" x14ac:dyDescent="0.2">
      <c r="A11" s="46">
        <v>37162</v>
      </c>
      <c r="B11">
        <v>8.8696000000000002</v>
      </c>
    </row>
    <row r="12" spans="1:2" x14ac:dyDescent="0.2">
      <c r="A12" s="46">
        <v>37192</v>
      </c>
      <c r="B12">
        <v>8.8815000000000008</v>
      </c>
    </row>
    <row r="13" spans="1:2" x14ac:dyDescent="0.2">
      <c r="A13" s="46">
        <v>37223</v>
      </c>
      <c r="B13">
        <v>8.9328000000000003</v>
      </c>
    </row>
    <row r="14" spans="1:2" x14ac:dyDescent="0.2">
      <c r="A14" s="46">
        <v>37253</v>
      </c>
      <c r="B14">
        <v>8.9693000000000005</v>
      </c>
    </row>
    <row r="15" spans="1:2" x14ac:dyDescent="0.2">
      <c r="A15" s="46">
        <v>37284</v>
      </c>
      <c r="B15">
        <v>9.1039000000000012</v>
      </c>
    </row>
    <row r="16" spans="1:2" x14ac:dyDescent="0.2">
      <c r="A16" s="46">
        <v>37315</v>
      </c>
      <c r="B16">
        <v>8.9107000000000003</v>
      </c>
    </row>
    <row r="17" spans="1:2" x14ac:dyDescent="0.2">
      <c r="A17" s="46">
        <v>37343</v>
      </c>
      <c r="B17">
        <v>8.8317000000000014</v>
      </c>
    </row>
    <row r="18" spans="1:2" x14ac:dyDescent="0.2">
      <c r="A18" s="46">
        <v>37374</v>
      </c>
      <c r="B18">
        <v>8.4059000000000008</v>
      </c>
    </row>
    <row r="19" spans="1:2" x14ac:dyDescent="0.2">
      <c r="A19" s="46">
        <v>37404</v>
      </c>
      <c r="B19">
        <v>8.0123000000000015</v>
      </c>
    </row>
    <row r="20" spans="1:2" x14ac:dyDescent="0.2">
      <c r="A20" s="46">
        <v>37435</v>
      </c>
      <c r="B20">
        <v>7.5043000000000006</v>
      </c>
    </row>
    <row r="21" spans="1:2" x14ac:dyDescent="0.2">
      <c r="A21" s="46">
        <v>37465</v>
      </c>
      <c r="B21">
        <v>7.6186000000000007</v>
      </c>
    </row>
    <row r="22" spans="1:2" x14ac:dyDescent="0.2">
      <c r="A22" s="46">
        <v>37496</v>
      </c>
      <c r="B22">
        <v>7.5324000000000009</v>
      </c>
    </row>
    <row r="23" spans="1:2" x14ac:dyDescent="0.2">
      <c r="A23" s="46">
        <v>37527</v>
      </c>
      <c r="B23">
        <v>7.4108000000000009</v>
      </c>
    </row>
    <row r="24" spans="1:2" x14ac:dyDescent="0.2">
      <c r="A24" s="46">
        <v>37557</v>
      </c>
      <c r="B24">
        <v>7.4366000000000003</v>
      </c>
    </row>
    <row r="25" spans="1:2" x14ac:dyDescent="0.2">
      <c r="A25" s="46">
        <v>37588</v>
      </c>
      <c r="B25">
        <v>7.323500000000001</v>
      </c>
    </row>
    <row r="26" spans="1:2" x14ac:dyDescent="0.2">
      <c r="A26" s="46">
        <v>37618</v>
      </c>
      <c r="B26">
        <v>6.9278000000000004</v>
      </c>
    </row>
    <row r="27" spans="1:2" x14ac:dyDescent="0.2">
      <c r="A27" s="46">
        <v>37649</v>
      </c>
      <c r="B27">
        <v>6.9478000000000009</v>
      </c>
    </row>
    <row r="28" spans="1:2" x14ac:dyDescent="0.2">
      <c r="A28" s="46">
        <v>37680</v>
      </c>
      <c r="B28">
        <v>7.1651000000000007</v>
      </c>
    </row>
    <row r="29" spans="1:2" x14ac:dyDescent="0.2">
      <c r="A29" s="46">
        <v>37708</v>
      </c>
      <c r="B29">
        <v>7.2567000000000004</v>
      </c>
    </row>
    <row r="30" spans="1:2" x14ac:dyDescent="0.2">
      <c r="A30" s="46">
        <v>37739</v>
      </c>
      <c r="B30">
        <v>6.9978000000000007</v>
      </c>
    </row>
    <row r="31" spans="1:2" x14ac:dyDescent="0.2">
      <c r="A31" s="46">
        <v>37769</v>
      </c>
      <c r="B31">
        <v>6.6926000000000005</v>
      </c>
    </row>
    <row r="32" spans="1:2" x14ac:dyDescent="0.2">
      <c r="A32" s="46">
        <v>37800</v>
      </c>
      <c r="B32">
        <v>7.2184000000000008</v>
      </c>
    </row>
    <row r="33" spans="1:2" x14ac:dyDescent="0.2">
      <c r="A33" s="46">
        <v>37830</v>
      </c>
      <c r="B33">
        <v>7.2440500000000005</v>
      </c>
    </row>
    <row r="34" spans="1:2" x14ac:dyDescent="0.2">
      <c r="A34" s="46">
        <v>37861</v>
      </c>
      <c r="B34">
        <v>7.496150000000001</v>
      </c>
    </row>
    <row r="35" spans="1:2" x14ac:dyDescent="0.2">
      <c r="A35" s="46">
        <v>37892</v>
      </c>
      <c r="B35">
        <v>7.0559000000000003</v>
      </c>
    </row>
    <row r="36" spans="1:2" x14ac:dyDescent="0.2">
      <c r="A36" s="46">
        <v>37922</v>
      </c>
      <c r="B36">
        <v>7.0720500000000008</v>
      </c>
    </row>
    <row r="37" spans="1:2" x14ac:dyDescent="0.2">
      <c r="A37" s="46">
        <v>37953</v>
      </c>
      <c r="B37">
        <v>6.8234000000000004</v>
      </c>
    </row>
    <row r="38" spans="1:2" x14ac:dyDescent="0.2">
      <c r="A38" s="46">
        <v>37983</v>
      </c>
      <c r="B38">
        <v>6.6528000000000009</v>
      </c>
    </row>
    <row r="39" spans="1:2" x14ac:dyDescent="0.2">
      <c r="A39" s="46">
        <v>38014</v>
      </c>
      <c r="B39">
        <v>7.0122000000000009</v>
      </c>
    </row>
    <row r="40" spans="1:2" x14ac:dyDescent="0.2">
      <c r="A40" s="46">
        <v>38045</v>
      </c>
      <c r="B40">
        <v>7.0394500000000004</v>
      </c>
    </row>
    <row r="41" spans="1:2" x14ac:dyDescent="0.2">
      <c r="A41" s="46">
        <v>38074</v>
      </c>
      <c r="B41">
        <v>6.8658500000000009</v>
      </c>
    </row>
    <row r="42" spans="1:2" x14ac:dyDescent="0.2">
      <c r="A42" s="46">
        <v>38105</v>
      </c>
      <c r="B42">
        <v>6.8600500000000002</v>
      </c>
    </row>
    <row r="43" spans="1:2" x14ac:dyDescent="0.2">
      <c r="A43" s="46">
        <v>38135</v>
      </c>
      <c r="B43">
        <v>6.7113000000000005</v>
      </c>
    </row>
    <row r="44" spans="1:2" x14ac:dyDescent="0.2">
      <c r="A44" s="46">
        <v>38166</v>
      </c>
      <c r="B44">
        <v>6.9315000000000007</v>
      </c>
    </row>
    <row r="45" spans="1:2" x14ac:dyDescent="0.2">
      <c r="A45" s="46">
        <v>38196</v>
      </c>
      <c r="B45">
        <v>7.0015500000000008</v>
      </c>
    </row>
    <row r="46" spans="1:2" x14ac:dyDescent="0.2">
      <c r="A46" s="46">
        <v>38227</v>
      </c>
      <c r="B46">
        <v>6.9082000000000008</v>
      </c>
    </row>
    <row r="47" spans="1:2" x14ac:dyDescent="0.2">
      <c r="A47" s="46">
        <v>38258</v>
      </c>
      <c r="B47">
        <v>6.7315000000000005</v>
      </c>
    </row>
    <row r="48" spans="1:2" x14ac:dyDescent="0.2">
      <c r="A48" s="46">
        <v>38288</v>
      </c>
      <c r="B48">
        <v>6.3918500000000007</v>
      </c>
    </row>
    <row r="49" spans="1:2" x14ac:dyDescent="0.2">
      <c r="A49" s="46">
        <v>38319</v>
      </c>
      <c r="B49">
        <v>6.1207500000000001</v>
      </c>
    </row>
    <row r="50" spans="1:2" x14ac:dyDescent="0.2">
      <c r="A50" s="46">
        <v>38349</v>
      </c>
      <c r="B50">
        <v>6.0566500000000003</v>
      </c>
    </row>
    <row r="51" spans="1:2" x14ac:dyDescent="0.2">
      <c r="A51" s="46">
        <v>38380</v>
      </c>
      <c r="B51">
        <v>6.353250000000001</v>
      </c>
    </row>
    <row r="52" spans="1:2" x14ac:dyDescent="0.2">
      <c r="A52" s="46">
        <v>38411</v>
      </c>
      <c r="B52">
        <v>6.1920000000000002</v>
      </c>
    </row>
    <row r="53" spans="1:2" x14ac:dyDescent="0.2">
      <c r="A53" s="46">
        <v>38439</v>
      </c>
      <c r="B53">
        <v>6.3144000000000009</v>
      </c>
    </row>
    <row r="54" spans="1:2" x14ac:dyDescent="0.2">
      <c r="A54" s="46">
        <v>38470</v>
      </c>
      <c r="B54">
        <v>6.2936000000000005</v>
      </c>
    </row>
    <row r="55" spans="1:2" x14ac:dyDescent="0.2">
      <c r="A55" s="46">
        <v>38500</v>
      </c>
      <c r="B55">
        <v>6.4091500000000003</v>
      </c>
    </row>
    <row r="56" spans="1:2" x14ac:dyDescent="0.2">
      <c r="A56" s="46">
        <v>38531</v>
      </c>
      <c r="B56">
        <v>6.5378000000000007</v>
      </c>
    </row>
    <row r="57" spans="1:2" x14ac:dyDescent="0.2">
      <c r="A57" s="46">
        <v>38561</v>
      </c>
      <c r="B57">
        <v>6.4782000000000002</v>
      </c>
    </row>
    <row r="58" spans="1:2" x14ac:dyDescent="0.2">
      <c r="A58" s="46">
        <v>38592</v>
      </c>
      <c r="B58">
        <v>6.3887500000000008</v>
      </c>
    </row>
    <row r="59" spans="1:2" x14ac:dyDescent="0.2">
      <c r="A59" s="46">
        <v>38623</v>
      </c>
      <c r="B59">
        <v>6.5243000000000002</v>
      </c>
    </row>
    <row r="60" spans="1:2" x14ac:dyDescent="0.2">
      <c r="A60" s="46">
        <v>38653</v>
      </c>
      <c r="B60">
        <v>6.5004500000000007</v>
      </c>
    </row>
    <row r="61" spans="1:2" x14ac:dyDescent="0.2">
      <c r="A61" s="46">
        <v>38684</v>
      </c>
      <c r="B61">
        <v>6.7329500000000007</v>
      </c>
    </row>
    <row r="62" spans="1:2" x14ac:dyDescent="0.2">
      <c r="A62" s="46">
        <v>38714</v>
      </c>
      <c r="B62">
        <v>6.7712500000000002</v>
      </c>
    </row>
    <row r="63" spans="1:2" x14ac:dyDescent="0.2">
      <c r="A63" s="46">
        <v>38745</v>
      </c>
      <c r="B63">
        <v>6.6575500000000005</v>
      </c>
    </row>
    <row r="64" spans="1:2" x14ac:dyDescent="0.2">
      <c r="A64" s="46">
        <v>38776</v>
      </c>
      <c r="B64">
        <v>6.7488000000000001</v>
      </c>
    </row>
    <row r="65" spans="1:2" x14ac:dyDescent="0.2">
      <c r="A65" s="46">
        <v>38804</v>
      </c>
      <c r="B65">
        <v>6.562850000000001</v>
      </c>
    </row>
    <row r="66" spans="1:2" x14ac:dyDescent="0.2">
      <c r="A66" s="46">
        <v>38835</v>
      </c>
      <c r="B66">
        <v>6.1775000000000002</v>
      </c>
    </row>
    <row r="67" spans="1:2" x14ac:dyDescent="0.2">
      <c r="A67" s="46">
        <v>38865</v>
      </c>
      <c r="B67">
        <v>6.0713000000000008</v>
      </c>
    </row>
    <row r="68" spans="1:2" x14ac:dyDescent="0.2">
      <c r="A68" s="46">
        <v>38896</v>
      </c>
      <c r="B68">
        <v>6.2226000000000008</v>
      </c>
    </row>
    <row r="69" spans="1:2" x14ac:dyDescent="0.2">
      <c r="A69" s="46">
        <v>38926</v>
      </c>
      <c r="B69">
        <v>6.1673500000000008</v>
      </c>
    </row>
    <row r="70" spans="1:2" x14ac:dyDescent="0.2">
      <c r="A70" s="46">
        <v>38957</v>
      </c>
      <c r="B70">
        <v>6.3048000000000002</v>
      </c>
    </row>
    <row r="71" spans="1:2" x14ac:dyDescent="0.2">
      <c r="A71" s="46">
        <v>38988</v>
      </c>
      <c r="B71">
        <v>6.5186500000000009</v>
      </c>
    </row>
    <row r="72" spans="1:2" x14ac:dyDescent="0.2">
      <c r="A72" s="46">
        <v>39018</v>
      </c>
      <c r="B72">
        <v>6.5409500000000005</v>
      </c>
    </row>
    <row r="73" spans="1:2" x14ac:dyDescent="0.2">
      <c r="A73" s="46">
        <v>39049</v>
      </c>
      <c r="B73">
        <v>6.1589500000000008</v>
      </c>
    </row>
    <row r="74" spans="1:2" x14ac:dyDescent="0.2">
      <c r="A74" s="46">
        <v>39079</v>
      </c>
      <c r="B74">
        <v>6.2263500000000009</v>
      </c>
    </row>
    <row r="75" spans="1:2" x14ac:dyDescent="0.2">
      <c r="A75" s="46">
        <v>39110</v>
      </c>
      <c r="B75">
        <v>6.2632000000000003</v>
      </c>
    </row>
    <row r="76" spans="1:2" x14ac:dyDescent="0.2">
      <c r="A76" s="46">
        <v>39141</v>
      </c>
      <c r="B76">
        <v>6.1431500000000003</v>
      </c>
    </row>
    <row r="77" spans="1:2" x14ac:dyDescent="0.2">
      <c r="A77" s="46">
        <v>39169</v>
      </c>
      <c r="B77">
        <v>6.1041000000000007</v>
      </c>
    </row>
    <row r="78" spans="1:2" x14ac:dyDescent="0.2">
      <c r="A78" s="46">
        <v>39200</v>
      </c>
      <c r="B78">
        <v>5.9473500000000001</v>
      </c>
    </row>
    <row r="79" spans="1:2" x14ac:dyDescent="0.2">
      <c r="A79" s="46">
        <v>39230</v>
      </c>
      <c r="B79">
        <v>6.0361500000000001</v>
      </c>
    </row>
    <row r="80" spans="1:2" x14ac:dyDescent="0.2">
      <c r="A80" s="46">
        <v>39261</v>
      </c>
      <c r="B80">
        <v>5.9063500000000007</v>
      </c>
    </row>
    <row r="81" spans="1:2" x14ac:dyDescent="0.2">
      <c r="A81" s="46">
        <v>39291</v>
      </c>
      <c r="B81">
        <v>5.8226000000000004</v>
      </c>
    </row>
    <row r="82" spans="1:2" x14ac:dyDescent="0.2">
      <c r="A82" s="46">
        <v>39322</v>
      </c>
      <c r="B82">
        <v>5.8221000000000007</v>
      </c>
    </row>
    <row r="83" spans="1:2" x14ac:dyDescent="0.2">
      <c r="A83" s="46">
        <v>39353</v>
      </c>
      <c r="B83">
        <v>5.42225</v>
      </c>
    </row>
    <row r="84" spans="1:2" x14ac:dyDescent="0.2">
      <c r="A84" s="46">
        <v>39383</v>
      </c>
      <c r="B84">
        <v>5.3913500000000001</v>
      </c>
    </row>
    <row r="85" spans="1:2" x14ac:dyDescent="0.2">
      <c r="A85" s="46">
        <v>39414</v>
      </c>
      <c r="B85">
        <v>5.5449000000000002</v>
      </c>
    </row>
    <row r="86" spans="1:2" x14ac:dyDescent="0.2">
      <c r="A86" s="46">
        <v>39444</v>
      </c>
      <c r="B86">
        <v>5.4298500000000001</v>
      </c>
    </row>
    <row r="87" spans="1:2" x14ac:dyDescent="0.2">
      <c r="A87" s="46">
        <v>39475</v>
      </c>
      <c r="B87">
        <v>5.4413</v>
      </c>
    </row>
    <row r="88" spans="1:2" x14ac:dyDescent="0.2">
      <c r="A88" s="46">
        <v>39506</v>
      </c>
      <c r="B88">
        <v>5.2162500000000005</v>
      </c>
    </row>
    <row r="89" spans="1:2" x14ac:dyDescent="0.2">
      <c r="A89" s="46">
        <v>39535</v>
      </c>
      <c r="B89">
        <v>5.0817500000000004</v>
      </c>
    </row>
    <row r="90" spans="1:2" x14ac:dyDescent="0.2">
      <c r="A90" s="46">
        <v>39566</v>
      </c>
      <c r="B90">
        <v>5.1100000000000003</v>
      </c>
    </row>
    <row r="91" spans="1:2" x14ac:dyDescent="0.2">
      <c r="A91" s="46">
        <v>39596</v>
      </c>
      <c r="B91">
        <v>5.1023000000000005</v>
      </c>
    </row>
    <row r="92" spans="1:2" x14ac:dyDescent="0.2">
      <c r="A92" s="46">
        <v>39627</v>
      </c>
      <c r="B92">
        <v>5.0934500000000007</v>
      </c>
    </row>
    <row r="93" spans="1:2" x14ac:dyDescent="0.2">
      <c r="A93" s="46">
        <v>39657</v>
      </c>
      <c r="B93">
        <v>5.1331000000000007</v>
      </c>
    </row>
    <row r="94" spans="1:2" x14ac:dyDescent="0.2">
      <c r="A94" s="46">
        <v>39688</v>
      </c>
      <c r="B94">
        <v>5.4088000000000003</v>
      </c>
    </row>
    <row r="95" spans="1:2" x14ac:dyDescent="0.2">
      <c r="A95" s="46">
        <v>39719</v>
      </c>
      <c r="B95">
        <v>5.9123000000000001</v>
      </c>
    </row>
    <row r="96" spans="1:2" x14ac:dyDescent="0.2">
      <c r="A96" s="46">
        <v>39749</v>
      </c>
      <c r="B96">
        <v>6.7322000000000006</v>
      </c>
    </row>
    <row r="97" spans="1:2" x14ac:dyDescent="0.2">
      <c r="A97" s="46">
        <v>39780</v>
      </c>
      <c r="B97">
        <v>7.0070500000000004</v>
      </c>
    </row>
    <row r="98" spans="1:2" x14ac:dyDescent="0.2">
      <c r="A98" s="46">
        <v>39810</v>
      </c>
      <c r="B98">
        <v>7.0021000000000004</v>
      </c>
    </row>
    <row r="99" spans="1:2" x14ac:dyDescent="0.2">
      <c r="A99" s="46">
        <v>39841</v>
      </c>
      <c r="B99">
        <v>6.9113500000000005</v>
      </c>
    </row>
    <row r="100" spans="1:2" x14ac:dyDescent="0.2">
      <c r="A100" s="46">
        <v>39872</v>
      </c>
      <c r="B100">
        <v>7.0507500000000007</v>
      </c>
    </row>
    <row r="101" spans="1:2" x14ac:dyDescent="0.2">
      <c r="A101" s="46">
        <v>39900</v>
      </c>
      <c r="B101">
        <v>6.7521000000000004</v>
      </c>
    </row>
    <row r="102" spans="1:2" x14ac:dyDescent="0.2">
      <c r="A102" s="46">
        <v>39931</v>
      </c>
      <c r="B102">
        <v>6.5764500000000004</v>
      </c>
    </row>
    <row r="103" spans="1:2" x14ac:dyDescent="0.2">
      <c r="A103" s="46">
        <v>39961</v>
      </c>
      <c r="B103">
        <v>6.290750000000001</v>
      </c>
    </row>
    <row r="104" spans="1:2" x14ac:dyDescent="0.2">
      <c r="A104" s="46">
        <v>39992</v>
      </c>
      <c r="B104">
        <v>6.4365500000000004</v>
      </c>
    </row>
    <row r="105" spans="1:2" x14ac:dyDescent="0.2">
      <c r="A105" s="46">
        <v>40022</v>
      </c>
      <c r="B105">
        <v>6.1559000000000008</v>
      </c>
    </row>
    <row r="106" spans="1:2" x14ac:dyDescent="0.2">
      <c r="A106" s="46">
        <v>40053</v>
      </c>
      <c r="B106">
        <v>6.0038000000000009</v>
      </c>
    </row>
    <row r="107" spans="1:2" x14ac:dyDescent="0.2">
      <c r="A107" s="46">
        <v>40084</v>
      </c>
      <c r="B107">
        <v>5.8023000000000007</v>
      </c>
    </row>
    <row r="108" spans="1:2" x14ac:dyDescent="0.2">
      <c r="A108" s="46">
        <v>40114</v>
      </c>
      <c r="B108">
        <v>5.6979000000000006</v>
      </c>
    </row>
    <row r="109" spans="1:2" x14ac:dyDescent="0.2">
      <c r="A109" s="46">
        <v>40145</v>
      </c>
      <c r="B109">
        <v>5.6788000000000007</v>
      </c>
    </row>
    <row r="110" spans="1:2" x14ac:dyDescent="0.2">
      <c r="A110" s="46">
        <v>40175</v>
      </c>
      <c r="B110">
        <v>5.7768000000000006</v>
      </c>
    </row>
    <row r="111" spans="1:2" x14ac:dyDescent="0.2">
      <c r="A111" s="46">
        <v>40206</v>
      </c>
      <c r="B111">
        <v>5.8935500000000003</v>
      </c>
    </row>
    <row r="112" spans="1:2" x14ac:dyDescent="0.2">
      <c r="A112" s="46">
        <v>40237</v>
      </c>
      <c r="B112">
        <v>5.9104500000000009</v>
      </c>
    </row>
    <row r="113" spans="1:2" x14ac:dyDescent="0.2">
      <c r="A113" s="46">
        <v>40265</v>
      </c>
      <c r="B113">
        <v>5.9357000000000006</v>
      </c>
    </row>
    <row r="114" spans="1:2" x14ac:dyDescent="0.2">
      <c r="A114" s="46">
        <v>40296</v>
      </c>
      <c r="B114">
        <v>5.9051000000000009</v>
      </c>
    </row>
    <row r="115" spans="1:2" x14ac:dyDescent="0.2">
      <c r="A115" s="46">
        <v>40326</v>
      </c>
      <c r="B115">
        <v>6.4850500000000002</v>
      </c>
    </row>
    <row r="116" spans="1:2" x14ac:dyDescent="0.2">
      <c r="A116" s="46">
        <v>40357</v>
      </c>
      <c r="B116">
        <v>6.5031500000000007</v>
      </c>
    </row>
    <row r="117" spans="1:2" x14ac:dyDescent="0.2">
      <c r="A117" s="46">
        <v>40387</v>
      </c>
      <c r="B117">
        <v>6.0733000000000006</v>
      </c>
    </row>
    <row r="118" spans="1:2" x14ac:dyDescent="0.2">
      <c r="A118" s="46">
        <v>40418</v>
      </c>
      <c r="B118">
        <v>6.2936500000000004</v>
      </c>
    </row>
    <row r="119" spans="1:2" x14ac:dyDescent="0.2">
      <c r="A119" s="46">
        <v>40449</v>
      </c>
      <c r="B119">
        <v>5.8562000000000003</v>
      </c>
    </row>
    <row r="120" spans="1:2" x14ac:dyDescent="0.2">
      <c r="A120" s="46">
        <v>40479</v>
      </c>
      <c r="B120">
        <v>5.8891000000000009</v>
      </c>
    </row>
    <row r="121" spans="1:2" x14ac:dyDescent="0.2">
      <c r="A121" s="46">
        <v>40510</v>
      </c>
      <c r="B121">
        <v>6.2101000000000006</v>
      </c>
    </row>
    <row r="122" spans="1:2" x14ac:dyDescent="0.2">
      <c r="A122" s="46">
        <v>40540</v>
      </c>
      <c r="B122">
        <v>5.8125000000000009</v>
      </c>
    </row>
    <row r="123" spans="1:2" x14ac:dyDescent="0.2">
      <c r="A123" s="46">
        <v>40571</v>
      </c>
      <c r="B123">
        <v>5.7759500000000008</v>
      </c>
    </row>
    <row r="124" spans="1:2" x14ac:dyDescent="0.2">
      <c r="A124" s="46">
        <v>40602</v>
      </c>
      <c r="B124">
        <v>5.6002500000000008</v>
      </c>
    </row>
    <row r="125" spans="1:2" x14ac:dyDescent="0.2">
      <c r="A125" s="46">
        <v>40630</v>
      </c>
      <c r="B125">
        <v>5.5317500000000006</v>
      </c>
    </row>
    <row r="126" spans="1:2" x14ac:dyDescent="0.2">
      <c r="A126" s="46">
        <v>40661</v>
      </c>
      <c r="B126">
        <v>5.2390500000000007</v>
      </c>
    </row>
    <row r="127" spans="1:2" x14ac:dyDescent="0.2">
      <c r="A127" s="46">
        <v>40691</v>
      </c>
      <c r="B127">
        <v>5.3954000000000004</v>
      </c>
    </row>
    <row r="128" spans="1:2" x14ac:dyDescent="0.2">
      <c r="A128" s="46">
        <v>40722</v>
      </c>
      <c r="B128">
        <v>5.3654500000000001</v>
      </c>
    </row>
    <row r="129" spans="1:2" x14ac:dyDescent="0.2">
      <c r="A129" s="46">
        <v>40752</v>
      </c>
      <c r="B129">
        <v>5.39595</v>
      </c>
    </row>
    <row r="130" spans="1:2" x14ac:dyDescent="0.2">
      <c r="A130" s="46">
        <v>40783</v>
      </c>
      <c r="B130">
        <v>5.3490000000000002</v>
      </c>
    </row>
    <row r="131" spans="1:2" x14ac:dyDescent="0.2">
      <c r="A131" s="46">
        <v>40814</v>
      </c>
      <c r="B131">
        <v>5.8710000000000004</v>
      </c>
    </row>
    <row r="132" spans="1:2" x14ac:dyDescent="0.2">
      <c r="A132" s="46">
        <v>40844</v>
      </c>
      <c r="B132">
        <v>5.5144500000000001</v>
      </c>
    </row>
    <row r="133" spans="1:2" x14ac:dyDescent="0.2">
      <c r="A133" s="46">
        <v>40875</v>
      </c>
      <c r="B133">
        <v>5.7686000000000002</v>
      </c>
    </row>
    <row r="134" spans="1:2" x14ac:dyDescent="0.2">
      <c r="A134" s="46">
        <v>40905</v>
      </c>
      <c r="B134">
        <v>5.9679500000000001</v>
      </c>
    </row>
    <row r="135" spans="1:2" x14ac:dyDescent="0.2">
      <c r="A135" s="46">
        <v>40936</v>
      </c>
      <c r="B135">
        <v>5.8581000000000003</v>
      </c>
    </row>
    <row r="136" spans="1:2" x14ac:dyDescent="0.2">
      <c r="A136" s="46">
        <v>40967</v>
      </c>
      <c r="B136">
        <v>5.5577500000000004</v>
      </c>
    </row>
    <row r="137" spans="1:2" x14ac:dyDescent="0.2">
      <c r="A137" s="46">
        <v>40996</v>
      </c>
      <c r="B137">
        <v>5.7040500000000005</v>
      </c>
    </row>
    <row r="138" spans="1:2" x14ac:dyDescent="0.2">
      <c r="A138" s="46">
        <v>41027</v>
      </c>
      <c r="B138">
        <v>5.7283500000000007</v>
      </c>
    </row>
    <row r="139" spans="1:2" x14ac:dyDescent="0.2">
      <c r="A139" s="46">
        <v>41057</v>
      </c>
      <c r="B139">
        <v>6.1120500000000009</v>
      </c>
    </row>
    <row r="140" spans="1:2" x14ac:dyDescent="0.2">
      <c r="A140" s="46">
        <v>41088</v>
      </c>
      <c r="B140">
        <v>5.9444500000000007</v>
      </c>
    </row>
    <row r="141" spans="1:2" x14ac:dyDescent="0.2">
      <c r="A141" s="46">
        <v>41118</v>
      </c>
      <c r="B141">
        <v>6.0151000000000003</v>
      </c>
    </row>
    <row r="142" spans="1:2" x14ac:dyDescent="0.2">
      <c r="A142" s="46">
        <v>41149</v>
      </c>
      <c r="B142">
        <v>5.7925000000000004</v>
      </c>
    </row>
    <row r="143" spans="1:2" x14ac:dyDescent="0.2">
      <c r="A143" s="46">
        <v>41180</v>
      </c>
      <c r="B143">
        <v>5.7248000000000001</v>
      </c>
    </row>
    <row r="144" spans="1:2" x14ac:dyDescent="0.2">
      <c r="A144" s="46">
        <v>41210</v>
      </c>
      <c r="B144">
        <v>5.7093500000000006</v>
      </c>
    </row>
    <row r="145" spans="1:2" x14ac:dyDescent="0.2">
      <c r="A145" s="46">
        <v>41241</v>
      </c>
      <c r="B145">
        <v>5.6634500000000001</v>
      </c>
    </row>
    <row r="146" spans="1:2" x14ac:dyDescent="0.2">
      <c r="A146" s="46">
        <v>41271</v>
      </c>
      <c r="B146">
        <v>5.5652500000000007</v>
      </c>
    </row>
    <row r="147" spans="1:2" x14ac:dyDescent="0.2">
      <c r="A147" s="46">
        <v>41302</v>
      </c>
      <c r="B147">
        <v>5.47445</v>
      </c>
    </row>
    <row r="148" spans="1:2" x14ac:dyDescent="0.2">
      <c r="A148" s="46">
        <v>41333</v>
      </c>
      <c r="B148">
        <v>5.7217000000000002</v>
      </c>
    </row>
    <row r="149" spans="1:2" x14ac:dyDescent="0.2">
      <c r="A149" s="46">
        <v>41361</v>
      </c>
      <c r="B149">
        <v>5.8325000000000005</v>
      </c>
    </row>
    <row r="150" spans="1:2" x14ac:dyDescent="0.2">
      <c r="A150" s="46">
        <v>41392</v>
      </c>
      <c r="B150">
        <v>5.7570500000000004</v>
      </c>
    </row>
    <row r="151" spans="1:2" x14ac:dyDescent="0.2">
      <c r="A151" s="46">
        <v>41422</v>
      </c>
      <c r="B151">
        <v>5.8854500000000005</v>
      </c>
    </row>
    <row r="152" spans="1:2" x14ac:dyDescent="0.2">
      <c r="A152" s="46">
        <v>41453</v>
      </c>
      <c r="B152">
        <v>6.1060500000000006</v>
      </c>
    </row>
    <row r="153" spans="1:2" x14ac:dyDescent="0.2">
      <c r="A153" s="46">
        <v>41483</v>
      </c>
      <c r="B153">
        <v>5.9140500000000005</v>
      </c>
    </row>
    <row r="154" spans="1:2" x14ac:dyDescent="0.2">
      <c r="A154" s="46">
        <v>41514</v>
      </c>
      <c r="B154">
        <v>6.1285000000000007</v>
      </c>
    </row>
    <row r="155" spans="1:2" x14ac:dyDescent="0.2">
      <c r="A155" s="46">
        <v>41545</v>
      </c>
      <c r="B155">
        <v>6.0142500000000005</v>
      </c>
    </row>
    <row r="156" spans="1:2" x14ac:dyDescent="0.2">
      <c r="A156" s="46">
        <v>41575</v>
      </c>
      <c r="B156">
        <v>5.9477500000000001</v>
      </c>
    </row>
    <row r="157" spans="1:2" x14ac:dyDescent="0.2">
      <c r="A157" s="46">
        <v>41606</v>
      </c>
      <c r="B157">
        <v>6.1159500000000007</v>
      </c>
    </row>
    <row r="158" spans="1:2" x14ac:dyDescent="0.2">
      <c r="A158" s="46">
        <v>41636</v>
      </c>
      <c r="B158">
        <v>6.0668500000000005</v>
      </c>
    </row>
    <row r="159" spans="1:2" x14ac:dyDescent="0.2">
      <c r="A159" s="46">
        <v>41667</v>
      </c>
      <c r="B159">
        <v>6.2897500000000006</v>
      </c>
    </row>
    <row r="160" spans="1:2" x14ac:dyDescent="0.2">
      <c r="A160" s="46">
        <v>41698</v>
      </c>
      <c r="B160">
        <v>5.9910000000000005</v>
      </c>
    </row>
    <row r="161" spans="1:2" x14ac:dyDescent="0.2">
      <c r="A161" s="46">
        <v>41726</v>
      </c>
      <c r="B161">
        <v>5.9870500000000009</v>
      </c>
    </row>
    <row r="162" spans="1:2" x14ac:dyDescent="0.2">
      <c r="A162" s="46">
        <v>41757</v>
      </c>
      <c r="B162">
        <v>5.9561000000000002</v>
      </c>
    </row>
    <row r="163" spans="1:2" x14ac:dyDescent="0.2">
      <c r="A163" s="46">
        <v>41787</v>
      </c>
      <c r="B163">
        <v>5.9735000000000005</v>
      </c>
    </row>
    <row r="164" spans="1:2" x14ac:dyDescent="0.2">
      <c r="A164" s="46">
        <v>41818</v>
      </c>
      <c r="B164">
        <v>6.1363000000000003</v>
      </c>
    </row>
    <row r="165" spans="1:2" x14ac:dyDescent="0.2">
      <c r="A165" s="46">
        <v>41848</v>
      </c>
      <c r="B165">
        <v>6.2980500000000008</v>
      </c>
    </row>
    <row r="166" spans="1:2" x14ac:dyDescent="0.2">
      <c r="A166" s="46">
        <v>41879</v>
      </c>
      <c r="B166">
        <v>6.1772000000000009</v>
      </c>
    </row>
    <row r="167" spans="1:2" x14ac:dyDescent="0.2">
      <c r="A167" s="46">
        <v>41910</v>
      </c>
      <c r="B167">
        <v>6.4227500000000006</v>
      </c>
    </row>
    <row r="168" spans="1:2" x14ac:dyDescent="0.2">
      <c r="A168" s="46">
        <v>41940</v>
      </c>
      <c r="B168">
        <v>6.7510000000000003</v>
      </c>
    </row>
    <row r="169" spans="1:2" x14ac:dyDescent="0.2">
      <c r="A169" s="46">
        <v>41971</v>
      </c>
      <c r="B169">
        <v>7.0058500000000006</v>
      </c>
    </row>
    <row r="170" spans="1:2" x14ac:dyDescent="0.2">
      <c r="A170" s="46">
        <v>42001</v>
      </c>
      <c r="B170">
        <v>7.4975500000000004</v>
      </c>
    </row>
    <row r="171" spans="1:2" x14ac:dyDescent="0.2">
      <c r="A171" s="46">
        <v>42032</v>
      </c>
      <c r="B171">
        <v>7.7505000000000006</v>
      </c>
    </row>
    <row r="172" spans="1:2" x14ac:dyDescent="0.2">
      <c r="A172" s="46">
        <v>42063</v>
      </c>
      <c r="B172">
        <v>7.6302500000000002</v>
      </c>
    </row>
    <row r="173" spans="1:2" x14ac:dyDescent="0.2">
      <c r="A173" s="46">
        <v>42091</v>
      </c>
      <c r="B173">
        <v>8.0591000000000008</v>
      </c>
    </row>
    <row r="174" spans="1:2" x14ac:dyDescent="0.2">
      <c r="A174" s="46">
        <v>42122</v>
      </c>
      <c r="B174">
        <v>7.5355000000000008</v>
      </c>
    </row>
    <row r="175" spans="1:2" x14ac:dyDescent="0.2">
      <c r="A175" s="46">
        <v>42152</v>
      </c>
      <c r="B175">
        <v>7.7977000000000007</v>
      </c>
    </row>
    <row r="176" spans="1:2" x14ac:dyDescent="0.2">
      <c r="A176" s="46">
        <v>42183</v>
      </c>
      <c r="B176">
        <v>7.8675000000000006</v>
      </c>
    </row>
    <row r="177" spans="1:2" x14ac:dyDescent="0.2">
      <c r="A177" s="46">
        <v>42213</v>
      </c>
      <c r="B177">
        <v>8.1288499999999999</v>
      </c>
    </row>
    <row r="178" spans="1:2" x14ac:dyDescent="0.2">
      <c r="A178" s="46">
        <v>42244</v>
      </c>
      <c r="B178">
        <v>8.3854500000000005</v>
      </c>
    </row>
    <row r="179" spans="1:2" x14ac:dyDescent="0.2">
      <c r="A179" s="46">
        <v>42275</v>
      </c>
      <c r="B179">
        <v>8.5300000000000011</v>
      </c>
    </row>
    <row r="180" spans="1:2" x14ac:dyDescent="0.2">
      <c r="A180" s="46">
        <v>42305</v>
      </c>
      <c r="B180">
        <v>8.4618000000000002</v>
      </c>
    </row>
    <row r="181" spans="1:2" x14ac:dyDescent="0.2">
      <c r="A181" s="46">
        <v>42336</v>
      </c>
      <c r="B181">
        <v>8.6820000000000004</v>
      </c>
    </row>
    <row r="182" spans="1:2" x14ac:dyDescent="0.2">
      <c r="A182" s="46">
        <v>42366</v>
      </c>
      <c r="B182">
        <v>8.8513500000000001</v>
      </c>
    </row>
    <row r="183" spans="1:2" x14ac:dyDescent="0.2">
      <c r="A183" s="46">
        <v>42397</v>
      </c>
      <c r="B183">
        <v>8.7276500000000006</v>
      </c>
    </row>
    <row r="184" spans="1:2" x14ac:dyDescent="0.2">
      <c r="A184" s="46">
        <v>42428</v>
      </c>
      <c r="B184">
        <v>8.7177000000000007</v>
      </c>
    </row>
    <row r="185" spans="1:2" x14ac:dyDescent="0.2">
      <c r="A185" s="46">
        <v>42457</v>
      </c>
      <c r="B185">
        <v>8.2712500000000002</v>
      </c>
    </row>
    <row r="186" spans="1:2" x14ac:dyDescent="0.2">
      <c r="A186" s="46">
        <v>42488</v>
      </c>
      <c r="B186">
        <v>8.0523500000000006</v>
      </c>
    </row>
    <row r="187" spans="1:2" x14ac:dyDescent="0.2">
      <c r="A187" s="46">
        <v>42518</v>
      </c>
      <c r="B187">
        <v>8.363150000000001</v>
      </c>
    </row>
    <row r="188" spans="1:2" x14ac:dyDescent="0.2">
      <c r="A188" s="46">
        <v>42549</v>
      </c>
      <c r="B188">
        <v>8.3679500000000004</v>
      </c>
    </row>
    <row r="189" spans="1:2" x14ac:dyDescent="0.2">
      <c r="A189" s="46">
        <v>42579</v>
      </c>
      <c r="B189">
        <v>8.4229000000000003</v>
      </c>
    </row>
    <row r="190" spans="1:2" x14ac:dyDescent="0.2">
      <c r="A190" s="46">
        <v>42610</v>
      </c>
      <c r="B190">
        <v>8.3411000000000008</v>
      </c>
    </row>
    <row r="191" spans="1:2" x14ac:dyDescent="0.2">
      <c r="A191" s="46">
        <v>42641</v>
      </c>
      <c r="B191">
        <v>7.9923000000000011</v>
      </c>
    </row>
    <row r="192" spans="1:2" x14ac:dyDescent="0.2">
      <c r="A192" s="46">
        <v>42671</v>
      </c>
      <c r="B192">
        <v>8.2514500000000002</v>
      </c>
    </row>
    <row r="193" spans="1:2" x14ac:dyDescent="0.2">
      <c r="A193" s="46">
        <v>42702</v>
      </c>
      <c r="B193">
        <v>8.5131500000000013</v>
      </c>
    </row>
    <row r="194" spans="1:2" x14ac:dyDescent="0.2">
      <c r="A194" s="46">
        <v>42732</v>
      </c>
      <c r="B194">
        <v>8.6077000000000012</v>
      </c>
    </row>
    <row r="195" spans="1:2" x14ac:dyDescent="0.2">
      <c r="A195" s="46">
        <v>42763</v>
      </c>
      <c r="B195">
        <v>8.2277500000000003</v>
      </c>
    </row>
    <row r="196" spans="1:2" x14ac:dyDescent="0.2">
      <c r="A196" s="46">
        <v>42794</v>
      </c>
      <c r="B196">
        <v>8.3573500000000003</v>
      </c>
    </row>
    <row r="197" spans="1:2" x14ac:dyDescent="0.2">
      <c r="A197" s="46">
        <v>42822</v>
      </c>
      <c r="B197">
        <v>8.5889000000000006</v>
      </c>
    </row>
    <row r="198" spans="1:2" x14ac:dyDescent="0.2">
      <c r="A198" s="46">
        <v>42853</v>
      </c>
      <c r="B198">
        <v>8.5665000000000013</v>
      </c>
    </row>
    <row r="199" spans="1:2" x14ac:dyDescent="0.2">
      <c r="A199" s="46">
        <v>42883</v>
      </c>
      <c r="B199">
        <v>8.4224000000000014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AC76"/>
  <sheetViews>
    <sheetView topLeftCell="I1" zoomScale="81" zoomScaleNormal="90" workbookViewId="0">
      <selection activeCell="L33" sqref="L33"/>
    </sheetView>
  </sheetViews>
  <sheetFormatPr baseColWidth="10" defaultColWidth="8.83203125" defaultRowHeight="15" x14ac:dyDescent="0.2"/>
  <cols>
    <col min="10" max="10" width="18" bestFit="1" customWidth="1"/>
    <col min="11" max="11" width="17.83203125" customWidth="1"/>
    <col min="12" max="12" width="14.33203125" bestFit="1" customWidth="1"/>
    <col min="13" max="14" width="13.5" bestFit="1" customWidth="1"/>
    <col min="15" max="15" width="13.5" style="45" bestFit="1" customWidth="1"/>
    <col min="16" max="16" width="15.83203125" bestFit="1" customWidth="1"/>
    <col min="17" max="17" width="12.33203125" bestFit="1" customWidth="1"/>
    <col min="18" max="18" width="12.6640625" bestFit="1" customWidth="1"/>
    <col min="19" max="19" width="18" bestFit="1" customWidth="1"/>
    <col min="20" max="20" width="15.6640625" bestFit="1" customWidth="1"/>
    <col min="21" max="21" width="11" bestFit="1" customWidth="1"/>
    <col min="22" max="22" width="12.33203125" bestFit="1" customWidth="1"/>
    <col min="23" max="23" width="13.5" bestFit="1" customWidth="1"/>
    <col min="24" max="24" width="12.33203125" bestFit="1" customWidth="1"/>
    <col min="25" max="25" width="12.6640625" bestFit="1" customWidth="1"/>
    <col min="26" max="26" width="14.33203125" bestFit="1" customWidth="1"/>
    <col min="27" max="27" width="18" bestFit="1" customWidth="1"/>
    <col min="29" max="29" width="16.83203125" bestFit="1" customWidth="1"/>
  </cols>
  <sheetData>
    <row r="3" spans="9:29" x14ac:dyDescent="0.2"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9:29" x14ac:dyDescent="0.2">
      <c r="I4" s="87"/>
      <c r="J4" s="87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7"/>
    </row>
    <row r="5" spans="9:29" x14ac:dyDescent="0.2">
      <c r="I5" s="87"/>
      <c r="J5" s="95"/>
      <c r="K5" s="89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7"/>
    </row>
    <row r="6" spans="9:29" x14ac:dyDescent="0.2">
      <c r="I6" s="87"/>
      <c r="J6" s="95"/>
      <c r="K6" s="89"/>
      <c r="L6" s="96" t="s">
        <v>38</v>
      </c>
      <c r="M6" s="96" t="s">
        <v>26</v>
      </c>
      <c r="N6" s="96" t="s">
        <v>910</v>
      </c>
      <c r="O6" s="96" t="s">
        <v>902</v>
      </c>
      <c r="P6" s="96" t="s">
        <v>901</v>
      </c>
      <c r="Q6" s="96" t="s">
        <v>911</v>
      </c>
      <c r="R6" s="96" t="s">
        <v>69</v>
      </c>
      <c r="S6" s="96" t="s">
        <v>900</v>
      </c>
      <c r="T6" s="96" t="s">
        <v>904</v>
      </c>
      <c r="U6" s="96" t="s">
        <v>948</v>
      </c>
      <c r="V6" s="96" t="s">
        <v>952</v>
      </c>
      <c r="W6" s="96" t="s">
        <v>949</v>
      </c>
      <c r="X6" s="96" t="s">
        <v>950</v>
      </c>
      <c r="Y6" s="96" t="s">
        <v>951</v>
      </c>
      <c r="Z6" s="96" t="s">
        <v>903</v>
      </c>
      <c r="AA6" s="96" t="s">
        <v>905</v>
      </c>
      <c r="AB6" s="87"/>
    </row>
    <row r="7" spans="9:29" x14ac:dyDescent="0.2">
      <c r="I7" s="87"/>
      <c r="J7" s="87"/>
      <c r="K7" s="97" t="s">
        <v>906</v>
      </c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7"/>
    </row>
    <row r="8" spans="9:29" x14ac:dyDescent="0.2">
      <c r="I8" s="87"/>
      <c r="J8" s="87"/>
      <c r="K8" s="89" t="s">
        <v>909</v>
      </c>
      <c r="L8" s="113" t="s">
        <v>912</v>
      </c>
      <c r="M8" s="113" t="s">
        <v>968</v>
      </c>
      <c r="N8" s="113" t="s">
        <v>923</v>
      </c>
      <c r="O8" s="113" t="s">
        <v>913</v>
      </c>
      <c r="P8" s="113" t="s">
        <v>914</v>
      </c>
      <c r="Q8" s="113" t="s">
        <v>915</v>
      </c>
      <c r="R8" s="113" t="s">
        <v>916</v>
      </c>
      <c r="S8" s="113" t="s">
        <v>917</v>
      </c>
      <c r="T8" s="113" t="s">
        <v>918</v>
      </c>
      <c r="U8" s="113"/>
      <c r="V8" s="113"/>
      <c r="W8" s="113"/>
      <c r="X8" s="113"/>
      <c r="Y8" s="113"/>
      <c r="Z8" s="113" t="s">
        <v>919</v>
      </c>
      <c r="AA8" s="113" t="s">
        <v>920</v>
      </c>
      <c r="AB8" s="87"/>
      <c r="AC8" s="111"/>
    </row>
    <row r="9" spans="9:29" x14ac:dyDescent="0.2">
      <c r="I9" s="87"/>
      <c r="J9" s="87"/>
      <c r="K9" s="89"/>
      <c r="L9" s="91"/>
      <c r="M9" s="91"/>
      <c r="N9" s="132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87"/>
    </row>
    <row r="10" spans="9:29" x14ac:dyDescent="0.2">
      <c r="I10" s="87"/>
      <c r="J10" s="87"/>
      <c r="K10" s="89" t="s">
        <v>856</v>
      </c>
      <c r="L10" s="93">
        <v>29</v>
      </c>
      <c r="M10" s="93">
        <v>43</v>
      </c>
      <c r="N10" s="93">
        <v>9</v>
      </c>
      <c r="O10" s="93">
        <v>4</v>
      </c>
      <c r="P10" s="93">
        <v>4</v>
      </c>
      <c r="Q10" s="93">
        <v>1</v>
      </c>
      <c r="R10" s="93">
        <v>5</v>
      </c>
      <c r="S10" s="93">
        <v>13</v>
      </c>
      <c r="T10" s="93">
        <v>19</v>
      </c>
      <c r="U10" s="92"/>
      <c r="V10" s="92"/>
      <c r="W10" s="92"/>
      <c r="X10" s="92"/>
      <c r="Y10" s="92"/>
      <c r="Z10" s="94">
        <v>10</v>
      </c>
      <c r="AA10" s="94">
        <v>21</v>
      </c>
      <c r="AB10" s="87"/>
    </row>
    <row r="11" spans="9:29" x14ac:dyDescent="0.2">
      <c r="I11" s="87"/>
      <c r="J11" s="87"/>
      <c r="K11" s="97" t="s">
        <v>907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89"/>
      <c r="AA11" s="89"/>
      <c r="AB11" s="87"/>
    </row>
    <row r="12" spans="9:29" x14ac:dyDescent="0.2">
      <c r="I12" s="87"/>
      <c r="J12" s="87"/>
      <c r="K12" s="89" t="s">
        <v>909</v>
      </c>
      <c r="L12" s="90" t="s">
        <v>921</v>
      </c>
      <c r="M12" s="90" t="s">
        <v>922</v>
      </c>
      <c r="N12" s="90" t="s">
        <v>923</v>
      </c>
      <c r="O12" s="90" t="s">
        <v>924</v>
      </c>
      <c r="P12" s="90" t="s">
        <v>925</v>
      </c>
      <c r="Q12" s="90"/>
      <c r="R12" s="90"/>
      <c r="S12" s="90"/>
      <c r="T12" s="90" t="s">
        <v>926</v>
      </c>
      <c r="U12" s="90"/>
      <c r="V12" s="90" t="s">
        <v>927</v>
      </c>
      <c r="W12" s="90" t="s">
        <v>928</v>
      </c>
      <c r="X12" s="90"/>
      <c r="Y12" s="90"/>
      <c r="Z12" s="90" t="s">
        <v>929</v>
      </c>
      <c r="AA12" s="90" t="s">
        <v>970</v>
      </c>
      <c r="AB12" s="87"/>
      <c r="AC12" s="112"/>
    </row>
    <row r="13" spans="9:29" x14ac:dyDescent="0.2">
      <c r="I13" s="87"/>
      <c r="J13" s="87"/>
      <c r="K13" s="89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87"/>
      <c r="AC13" s="111"/>
    </row>
    <row r="14" spans="9:29" x14ac:dyDescent="0.2">
      <c r="I14" s="87"/>
      <c r="J14" s="87"/>
      <c r="K14" s="89" t="s">
        <v>856</v>
      </c>
      <c r="L14" s="94">
        <v>3</v>
      </c>
      <c r="M14" s="94">
        <v>2</v>
      </c>
      <c r="N14" s="94">
        <v>9</v>
      </c>
      <c r="O14" s="94">
        <v>11</v>
      </c>
      <c r="P14" s="94">
        <v>1</v>
      </c>
      <c r="Q14" s="94"/>
      <c r="R14" s="94"/>
      <c r="S14" s="94"/>
      <c r="T14" s="94">
        <v>1</v>
      </c>
      <c r="U14" s="94"/>
      <c r="V14" s="94">
        <v>1</v>
      </c>
      <c r="W14" s="94">
        <v>1</v>
      </c>
      <c r="X14" s="92"/>
      <c r="Y14" s="92"/>
      <c r="Z14" s="93">
        <v>7</v>
      </c>
      <c r="AA14" s="93">
        <v>12</v>
      </c>
      <c r="AB14" s="87"/>
    </row>
    <row r="15" spans="9:29" x14ac:dyDescent="0.2">
      <c r="I15" s="87"/>
      <c r="J15" s="87"/>
      <c r="K15" s="97" t="s">
        <v>955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89"/>
      <c r="AA15" s="89"/>
      <c r="AB15" s="87"/>
    </row>
    <row r="16" spans="9:29" x14ac:dyDescent="0.2">
      <c r="I16" s="87"/>
      <c r="J16" s="87"/>
      <c r="K16" s="89" t="s">
        <v>909</v>
      </c>
      <c r="L16" s="90" t="s">
        <v>930</v>
      </c>
      <c r="M16" s="90" t="s">
        <v>969</v>
      </c>
      <c r="N16" s="90" t="s">
        <v>931</v>
      </c>
      <c r="O16" s="90" t="s">
        <v>932</v>
      </c>
      <c r="P16" s="90"/>
      <c r="Q16" s="90" t="s">
        <v>933</v>
      </c>
      <c r="R16" s="90"/>
      <c r="S16" s="90"/>
      <c r="T16" s="90"/>
      <c r="U16" s="90" t="s">
        <v>934</v>
      </c>
      <c r="V16" s="90"/>
      <c r="W16" s="90"/>
      <c r="X16" s="90"/>
      <c r="Y16" s="90"/>
      <c r="Z16" s="90" t="s">
        <v>935</v>
      </c>
      <c r="AA16" s="90" t="s">
        <v>936</v>
      </c>
      <c r="AB16" s="87"/>
    </row>
    <row r="17" spans="9:28" x14ac:dyDescent="0.2">
      <c r="I17" s="87"/>
      <c r="J17" s="87"/>
      <c r="K17" s="89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87"/>
    </row>
    <row r="18" spans="9:28" x14ac:dyDescent="0.2">
      <c r="I18" s="87"/>
      <c r="J18" s="87"/>
      <c r="K18" s="89" t="s">
        <v>856</v>
      </c>
      <c r="L18" s="94">
        <v>4</v>
      </c>
      <c r="M18" s="94">
        <v>2</v>
      </c>
      <c r="N18" s="94">
        <v>4</v>
      </c>
      <c r="O18" s="94">
        <v>4</v>
      </c>
      <c r="P18" s="94"/>
      <c r="Q18" s="94">
        <v>1</v>
      </c>
      <c r="R18" s="94"/>
      <c r="S18" s="94"/>
      <c r="T18" s="94"/>
      <c r="U18" s="94">
        <v>1</v>
      </c>
      <c r="V18" s="92"/>
      <c r="W18" s="92"/>
      <c r="X18" s="92"/>
      <c r="Y18" s="92"/>
      <c r="Z18" s="94">
        <v>8</v>
      </c>
      <c r="AA18" s="94">
        <v>5</v>
      </c>
      <c r="AB18" s="87"/>
    </row>
    <row r="19" spans="9:28" x14ac:dyDescent="0.2">
      <c r="I19" s="87"/>
      <c r="J19" s="87"/>
      <c r="K19" s="97" t="s">
        <v>908</v>
      </c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89"/>
      <c r="AA19" s="89"/>
      <c r="AB19" s="87"/>
    </row>
    <row r="20" spans="9:28" x14ac:dyDescent="0.2">
      <c r="I20" s="87"/>
      <c r="J20" s="87"/>
      <c r="K20" s="89" t="s">
        <v>909</v>
      </c>
      <c r="L20" s="90" t="s">
        <v>937</v>
      </c>
      <c r="M20" s="90" t="s">
        <v>938</v>
      </c>
      <c r="N20" s="90" t="s">
        <v>939</v>
      </c>
      <c r="O20" s="90" t="s">
        <v>940</v>
      </c>
      <c r="P20" s="90" t="s">
        <v>941</v>
      </c>
      <c r="Q20" s="90" t="s">
        <v>956</v>
      </c>
      <c r="R20" s="90" t="s">
        <v>942</v>
      </c>
      <c r="S20" s="90" t="s">
        <v>943</v>
      </c>
      <c r="T20" s="90"/>
      <c r="U20" s="90"/>
      <c r="V20" s="90"/>
      <c r="W20" s="90"/>
      <c r="X20" s="90" t="s">
        <v>944</v>
      </c>
      <c r="Y20" s="90" t="s">
        <v>945</v>
      </c>
      <c r="Z20" s="90" t="s">
        <v>946</v>
      </c>
      <c r="AA20" s="90" t="s">
        <v>947</v>
      </c>
      <c r="AB20" s="87"/>
    </row>
    <row r="21" spans="9:28" x14ac:dyDescent="0.2">
      <c r="I21" s="87"/>
      <c r="J21" s="87"/>
      <c r="K21" s="89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87"/>
    </row>
    <row r="22" spans="9:28" x14ac:dyDescent="0.2">
      <c r="I22" s="87"/>
      <c r="J22" s="87"/>
      <c r="K22" s="89" t="s">
        <v>856</v>
      </c>
      <c r="L22" s="93">
        <v>25</v>
      </c>
      <c r="M22" s="93">
        <v>24</v>
      </c>
      <c r="N22" s="93">
        <v>6</v>
      </c>
      <c r="O22" s="93">
        <v>2</v>
      </c>
      <c r="P22" s="93">
        <v>21</v>
      </c>
      <c r="Q22" s="93">
        <v>26</v>
      </c>
      <c r="R22" s="93">
        <v>3</v>
      </c>
      <c r="S22" s="93">
        <v>38</v>
      </c>
      <c r="T22" s="93"/>
      <c r="U22" s="93"/>
      <c r="V22" s="93"/>
      <c r="W22" s="93"/>
      <c r="X22" s="93">
        <v>9</v>
      </c>
      <c r="Y22" s="93">
        <v>5</v>
      </c>
      <c r="Z22" s="94">
        <v>12</v>
      </c>
      <c r="AA22" s="94">
        <v>14</v>
      </c>
      <c r="AB22" s="87"/>
    </row>
    <row r="23" spans="9:28" x14ac:dyDescent="0.2"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9:28" x14ac:dyDescent="0.2"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9:28" x14ac:dyDescent="0.2"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9:28" x14ac:dyDescent="0.2"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9:28" x14ac:dyDescent="0.2"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9:28" x14ac:dyDescent="0.2"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9:28" x14ac:dyDescent="0.2"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9:28" x14ac:dyDescent="0.2">
      <c r="I30" s="133" t="s">
        <v>851</v>
      </c>
      <c r="J30" s="100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9:28" x14ac:dyDescent="0.2">
      <c r="I31" s="100"/>
      <c r="J31" s="114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9:28" x14ac:dyDescent="0.2">
      <c r="I32" s="100" t="s">
        <v>906</v>
      </c>
      <c r="J32" s="110">
        <f>SUM(Data!AG2:AG85)</f>
        <v>118516564993</v>
      </c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9:28" x14ac:dyDescent="0.2">
      <c r="I33" s="100" t="s">
        <v>907</v>
      </c>
      <c r="J33" s="110">
        <f>SUM(Data!AG86:AG112)</f>
        <v>78274428731.5</v>
      </c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9:28" x14ac:dyDescent="0.2">
      <c r="I34" s="100" t="s">
        <v>955</v>
      </c>
      <c r="J34" s="109">
        <f>SUM(Data!AG113:AG133)</f>
        <v>2684549147.04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9:28" x14ac:dyDescent="0.2">
      <c r="I35" s="100" t="s">
        <v>908</v>
      </c>
      <c r="J35" s="109">
        <f>SUM(Data!AG134:AG220)</f>
        <v>118144193485</v>
      </c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9:28" x14ac:dyDescent="0.2">
      <c r="I36" s="100"/>
      <c r="J36" s="103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9" spans="9:28" x14ac:dyDescent="0.2">
      <c r="P39" s="102"/>
    </row>
    <row r="40" spans="9:28" x14ac:dyDescent="0.2">
      <c r="Q40" s="111"/>
    </row>
    <row r="42" spans="9:28" x14ac:dyDescent="0.2">
      <c r="K42" s="100"/>
      <c r="L42" s="100"/>
      <c r="M42" s="100"/>
      <c r="N42" s="100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9:28" x14ac:dyDescent="0.2">
      <c r="K43" s="115"/>
      <c r="L43" s="115"/>
      <c r="M43" s="115"/>
      <c r="N43" s="115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7"/>
    </row>
    <row r="44" spans="9:28" x14ac:dyDescent="0.2">
      <c r="K44" s="113"/>
      <c r="L44" s="115"/>
      <c r="M44" s="115"/>
      <c r="N44" s="115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7"/>
    </row>
    <row r="45" spans="9:28" x14ac:dyDescent="0.2">
      <c r="K45" s="113"/>
      <c r="L45" s="116"/>
      <c r="M45" s="116"/>
      <c r="N45" s="11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87"/>
    </row>
    <row r="46" spans="9:28" x14ac:dyDescent="0.2">
      <c r="K46" s="117"/>
      <c r="L46" s="113"/>
      <c r="M46" s="113"/>
      <c r="N46" s="113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7"/>
    </row>
    <row r="47" spans="9:28" x14ac:dyDescent="0.2">
      <c r="K47" s="113"/>
      <c r="L47" s="113"/>
      <c r="M47" s="113"/>
      <c r="N47" s="113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87"/>
    </row>
    <row r="48" spans="9:28" x14ac:dyDescent="0.2">
      <c r="K48" s="113"/>
      <c r="L48" s="118"/>
      <c r="M48" s="118"/>
      <c r="N48" s="118"/>
      <c r="O48" s="91"/>
      <c r="P48" s="91"/>
      <c r="Q48" s="91"/>
      <c r="R48" s="91"/>
      <c r="S48" s="91"/>
      <c r="T48" s="91"/>
      <c r="U48" s="92"/>
      <c r="V48" s="92"/>
      <c r="W48" s="92"/>
      <c r="X48" s="92"/>
      <c r="Y48" s="92"/>
      <c r="Z48" s="91"/>
      <c r="AA48" s="91"/>
      <c r="AB48" s="87"/>
    </row>
    <row r="49" spans="9:28" x14ac:dyDescent="0.2">
      <c r="I49" s="100"/>
      <c r="J49" s="103"/>
      <c r="K49" s="113"/>
      <c r="L49" s="113"/>
      <c r="M49" s="113"/>
      <c r="N49" s="113"/>
      <c r="O49" s="93"/>
      <c r="P49" s="93"/>
      <c r="Q49" s="93"/>
      <c r="R49" s="93"/>
      <c r="S49" s="93"/>
      <c r="T49" s="93"/>
      <c r="U49" s="92"/>
      <c r="V49" s="92"/>
      <c r="W49" s="92"/>
      <c r="X49" s="92"/>
      <c r="Y49" s="92"/>
      <c r="Z49" s="94"/>
      <c r="AA49" s="94"/>
      <c r="AB49" s="87"/>
    </row>
    <row r="50" spans="9:28" x14ac:dyDescent="0.2">
      <c r="I50" s="100"/>
      <c r="J50" s="100"/>
      <c r="K50" s="117"/>
      <c r="L50" s="113"/>
      <c r="M50" s="113"/>
      <c r="N50" s="113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89"/>
      <c r="AA50" s="89"/>
      <c r="AB50" s="87"/>
    </row>
    <row r="51" spans="9:28" x14ac:dyDescent="0.2">
      <c r="I51" s="100"/>
      <c r="J51" s="100"/>
      <c r="K51" s="113"/>
      <c r="L51" s="113"/>
      <c r="M51" s="113"/>
      <c r="N51" s="113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87"/>
    </row>
    <row r="52" spans="9:28" x14ac:dyDescent="0.2">
      <c r="I52" s="100"/>
      <c r="J52" s="100"/>
      <c r="K52" s="113"/>
      <c r="L52" s="118"/>
      <c r="M52" s="118"/>
      <c r="N52" s="118"/>
      <c r="O52" s="91"/>
      <c r="P52" s="91"/>
      <c r="Q52" s="91"/>
      <c r="R52" s="91"/>
      <c r="S52" s="91"/>
      <c r="T52" s="91"/>
      <c r="U52" s="91"/>
      <c r="V52" s="91"/>
      <c r="W52" s="91"/>
      <c r="X52" s="92"/>
      <c r="Y52" s="92"/>
      <c r="Z52" s="91"/>
      <c r="AA52" s="91"/>
      <c r="AB52" s="87"/>
    </row>
    <row r="53" spans="9:28" x14ac:dyDescent="0.2">
      <c r="I53" s="100"/>
      <c r="J53" s="100"/>
      <c r="K53" s="113"/>
      <c r="L53" s="113"/>
      <c r="M53" s="113"/>
      <c r="N53" s="113"/>
      <c r="O53" s="94"/>
      <c r="P53" s="94"/>
      <c r="Q53" s="94"/>
      <c r="R53" s="94"/>
      <c r="S53" s="94"/>
      <c r="T53" s="94"/>
      <c r="U53" s="94"/>
      <c r="V53" s="94"/>
      <c r="W53" s="94"/>
      <c r="X53" s="92"/>
      <c r="Y53" s="92"/>
      <c r="Z53" s="93"/>
      <c r="AA53" s="93"/>
      <c r="AB53" s="87"/>
    </row>
    <row r="54" spans="9:28" x14ac:dyDescent="0.2">
      <c r="I54" s="100"/>
      <c r="J54" s="100"/>
      <c r="K54" s="117"/>
      <c r="L54" s="113"/>
      <c r="M54" s="113"/>
      <c r="N54" s="113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89"/>
      <c r="AA54" s="89"/>
      <c r="AB54" s="87"/>
    </row>
    <row r="55" spans="9:28" x14ac:dyDescent="0.2">
      <c r="I55" s="100"/>
      <c r="J55" s="100"/>
      <c r="K55" s="113"/>
      <c r="L55" s="113"/>
      <c r="M55" s="113"/>
      <c r="N55" s="113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87"/>
    </row>
    <row r="56" spans="9:28" x14ac:dyDescent="0.2">
      <c r="I56" s="100"/>
      <c r="J56" s="100"/>
      <c r="K56" s="113"/>
      <c r="L56" s="118"/>
      <c r="M56" s="118"/>
      <c r="N56" s="118"/>
      <c r="O56" s="91"/>
      <c r="P56" s="91"/>
      <c r="Q56" s="91"/>
      <c r="R56" s="91"/>
      <c r="S56" s="91"/>
      <c r="T56" s="91"/>
      <c r="U56" s="91"/>
      <c r="V56" s="92"/>
      <c r="W56" s="92"/>
      <c r="X56" s="92"/>
      <c r="Y56" s="92"/>
      <c r="Z56" s="91"/>
      <c r="AA56" s="91"/>
      <c r="AB56" s="87"/>
    </row>
    <row r="57" spans="9:28" x14ac:dyDescent="0.2">
      <c r="I57" s="100"/>
      <c r="J57" s="100"/>
      <c r="K57" s="113"/>
      <c r="L57" s="113"/>
      <c r="M57" s="113"/>
      <c r="N57" s="113"/>
      <c r="O57" s="94"/>
      <c r="P57" s="94"/>
      <c r="Q57" s="94"/>
      <c r="R57" s="94"/>
      <c r="S57" s="94"/>
      <c r="T57" s="94"/>
      <c r="U57" s="94"/>
      <c r="V57" s="92"/>
      <c r="W57" s="92"/>
      <c r="X57" s="92"/>
      <c r="Y57" s="92"/>
      <c r="Z57" s="94"/>
      <c r="AA57" s="94"/>
      <c r="AB57" s="87"/>
    </row>
    <row r="58" spans="9:28" x14ac:dyDescent="0.2">
      <c r="I58" s="100"/>
      <c r="J58" s="100"/>
      <c r="K58" s="117"/>
      <c r="L58" s="113"/>
      <c r="M58" s="113"/>
      <c r="N58" s="113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89"/>
      <c r="AA58" s="89"/>
      <c r="AB58" s="87"/>
    </row>
    <row r="59" spans="9:28" x14ac:dyDescent="0.2">
      <c r="I59" s="100"/>
      <c r="J59" s="100"/>
      <c r="K59" s="113"/>
      <c r="L59" s="113"/>
      <c r="M59" s="113"/>
      <c r="N59" s="113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87"/>
    </row>
    <row r="60" spans="9:28" x14ac:dyDescent="0.2">
      <c r="I60" s="100"/>
      <c r="J60" s="100"/>
      <c r="K60" s="113"/>
      <c r="L60" s="118"/>
      <c r="M60" s="118"/>
      <c r="N60" s="118"/>
      <c r="O60" s="91"/>
      <c r="P60" s="91"/>
      <c r="Q60" s="91"/>
      <c r="R60" s="91"/>
      <c r="S60" s="91"/>
      <c r="T60" s="92"/>
      <c r="U60" s="92"/>
      <c r="V60" s="92"/>
      <c r="W60" s="92"/>
      <c r="X60" s="91"/>
      <c r="Y60" s="91"/>
      <c r="Z60" s="91"/>
      <c r="AA60" s="91"/>
      <c r="AB60" s="87"/>
    </row>
    <row r="61" spans="9:28" x14ac:dyDescent="0.2">
      <c r="I61" s="87"/>
      <c r="J61" s="87"/>
      <c r="K61" s="89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4"/>
      <c r="AA61" s="94"/>
      <c r="AB61" s="87"/>
    </row>
    <row r="62" spans="9:28" x14ac:dyDescent="0.2"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9:28" x14ac:dyDescent="0.2"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9:28" x14ac:dyDescent="0.2"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9:28" x14ac:dyDescent="0.2"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9:28" x14ac:dyDescent="0.2"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9:28" x14ac:dyDescent="0.2"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9:28" x14ac:dyDescent="0.2"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9:28" x14ac:dyDescent="0.2"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9:28" x14ac:dyDescent="0.2"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9:28" x14ac:dyDescent="0.2"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9:28" x14ac:dyDescent="0.2"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9:28" x14ac:dyDescent="0.2"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9:28" x14ac:dyDescent="0.2"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9:28" x14ac:dyDescent="0.2"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9:28" x14ac:dyDescent="0.2">
      <c r="I76" s="45"/>
      <c r="J76" s="45"/>
      <c r="K76" s="45"/>
      <c r="L76" s="45"/>
      <c r="M76" s="45"/>
      <c r="N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</sheetData>
  <pageMargins left="0.7" right="0.7" top="0.75" bottom="0.75" header="0.3" footer="0.3"/>
  <ignoredErrors>
    <ignoredError sqref="L8 V12 L12:U12 W12:Z12 L16 L20:Q20 Z8:AA8 R20:AA20 O8:T8 N16:AA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5"/>
  <sheetViews>
    <sheetView workbookViewId="0">
      <selection activeCell="G13" sqref="G13"/>
    </sheetView>
  </sheetViews>
  <sheetFormatPr baseColWidth="10" defaultColWidth="8.83203125" defaultRowHeight="15" x14ac:dyDescent="0.2"/>
  <cols>
    <col min="1" max="1" width="10.1640625" bestFit="1" customWidth="1"/>
    <col min="4" max="4" width="8.83203125" style="45"/>
    <col min="5" max="5" width="10.1640625" bestFit="1" customWidth="1"/>
    <col min="12" max="12" width="10.1640625" bestFit="1" customWidth="1"/>
    <col min="18" max="18" width="10.1640625" bestFit="1" customWidth="1"/>
    <col min="29" max="29" width="10.1640625" bestFit="1" customWidth="1"/>
  </cols>
  <sheetData>
    <row r="1" spans="1:29" x14ac:dyDescent="0.2">
      <c r="A1" s="45" t="s">
        <v>889</v>
      </c>
      <c r="B1" s="45" t="s">
        <v>953</v>
      </c>
      <c r="D1"/>
    </row>
    <row r="2" spans="1:29" x14ac:dyDescent="0.2">
      <c r="A2" s="45" t="s">
        <v>890</v>
      </c>
      <c r="B2" s="45" t="s">
        <v>954</v>
      </c>
      <c r="D2"/>
    </row>
    <row r="3" spans="1:29" x14ac:dyDescent="0.2">
      <c r="A3" s="46">
        <v>36906</v>
      </c>
      <c r="B3" s="45">
        <v>0.6</v>
      </c>
      <c r="E3" s="46"/>
    </row>
    <row r="4" spans="1:29" x14ac:dyDescent="0.2">
      <c r="A4" s="46">
        <v>36937</v>
      </c>
      <c r="B4" s="45">
        <v>-0.5</v>
      </c>
      <c r="C4" s="45"/>
      <c r="E4" s="46"/>
    </row>
    <row r="5" spans="1:29" x14ac:dyDescent="0.2">
      <c r="A5" s="46">
        <v>36965</v>
      </c>
      <c r="B5" s="45">
        <v>-0.2</v>
      </c>
      <c r="C5" s="45"/>
      <c r="E5" s="46"/>
    </row>
    <row r="6" spans="1:29" x14ac:dyDescent="0.2">
      <c r="A6" s="46">
        <v>36996</v>
      </c>
      <c r="B6" s="45">
        <v>-0.9</v>
      </c>
      <c r="C6" s="45"/>
      <c r="E6" s="46"/>
    </row>
    <row r="7" spans="1:29" x14ac:dyDescent="0.2">
      <c r="A7" s="46">
        <v>37026</v>
      </c>
      <c r="B7" s="45">
        <v>-2.2000000000000002</v>
      </c>
      <c r="C7" s="45"/>
      <c r="E7" s="46"/>
    </row>
    <row r="8" spans="1:29" x14ac:dyDescent="0.2">
      <c r="A8" s="46">
        <v>37057</v>
      </c>
      <c r="B8" s="45">
        <v>-3</v>
      </c>
      <c r="C8" s="45"/>
      <c r="E8" s="46"/>
    </row>
    <row r="9" spans="1:29" x14ac:dyDescent="0.2">
      <c r="A9" s="46">
        <v>37087</v>
      </c>
      <c r="B9" s="45">
        <v>-5.5</v>
      </c>
      <c r="C9" s="45"/>
      <c r="E9" s="46"/>
    </row>
    <row r="10" spans="1:29" x14ac:dyDescent="0.2">
      <c r="A10" s="46">
        <v>37118</v>
      </c>
      <c r="B10" s="45">
        <v>-8.5</v>
      </c>
      <c r="C10" s="45"/>
      <c r="E10" s="46"/>
    </row>
    <row r="11" spans="1:29" x14ac:dyDescent="0.2">
      <c r="A11" s="46">
        <v>37149</v>
      </c>
      <c r="B11" s="45">
        <v>-9</v>
      </c>
      <c r="C11" s="45"/>
      <c r="E11" s="46"/>
      <c r="AC11" s="46"/>
    </row>
    <row r="12" spans="1:29" x14ac:dyDescent="0.2">
      <c r="A12" s="46">
        <v>37179</v>
      </c>
      <c r="B12" s="45">
        <v>-11.1</v>
      </c>
      <c r="C12" s="45"/>
      <c r="E12" s="46"/>
      <c r="AC12" s="46"/>
    </row>
    <row r="13" spans="1:29" x14ac:dyDescent="0.2">
      <c r="A13" s="46">
        <v>37210</v>
      </c>
      <c r="B13" s="45">
        <v>-12.9</v>
      </c>
      <c r="C13" s="45"/>
      <c r="E13" s="46"/>
      <c r="L13" s="45"/>
      <c r="Z13" s="43"/>
      <c r="AC13" s="46"/>
    </row>
    <row r="14" spans="1:29" x14ac:dyDescent="0.2">
      <c r="A14" s="46">
        <v>37240</v>
      </c>
      <c r="B14" s="45">
        <v>-11.1</v>
      </c>
      <c r="C14" s="45"/>
      <c r="E14" s="46"/>
      <c r="L14" s="45"/>
      <c r="Z14" s="44"/>
      <c r="AC14" s="46"/>
    </row>
    <row r="15" spans="1:29" x14ac:dyDescent="0.2">
      <c r="A15" s="46">
        <v>37271</v>
      </c>
      <c r="B15" s="45">
        <v>-10.1</v>
      </c>
      <c r="C15" s="45"/>
      <c r="E15" s="46"/>
      <c r="Z15" s="44"/>
      <c r="AC15" s="46"/>
    </row>
    <row r="16" spans="1:29" x14ac:dyDescent="0.2">
      <c r="A16" s="46">
        <v>37302</v>
      </c>
      <c r="B16" s="45">
        <v>-9.2000000000000011</v>
      </c>
      <c r="C16" s="45"/>
      <c r="E16" s="46"/>
      <c r="Z16" s="44"/>
      <c r="AC16" s="46"/>
    </row>
    <row r="17" spans="1:29" x14ac:dyDescent="0.2">
      <c r="A17" s="46">
        <v>37330</v>
      </c>
      <c r="B17" s="45">
        <v>-8.4</v>
      </c>
      <c r="C17" s="45"/>
      <c r="E17" s="46"/>
      <c r="Z17" s="44"/>
      <c r="AC17" s="46"/>
    </row>
    <row r="18" spans="1:29" x14ac:dyDescent="0.2">
      <c r="A18" s="46">
        <v>37361</v>
      </c>
      <c r="B18" s="45">
        <v>-8.8000000000000007</v>
      </c>
      <c r="C18" s="45"/>
      <c r="E18" s="46"/>
      <c r="Z18" s="44"/>
      <c r="AC18" s="46"/>
    </row>
    <row r="19" spans="1:29" x14ac:dyDescent="0.2">
      <c r="A19" s="46">
        <v>37391</v>
      </c>
      <c r="B19" s="45">
        <v>-7.2</v>
      </c>
      <c r="C19" s="45"/>
      <c r="E19" s="46"/>
      <c r="L19" s="46"/>
      <c r="Z19" s="44"/>
      <c r="AC19" s="46"/>
    </row>
    <row r="20" spans="1:29" x14ac:dyDescent="0.2">
      <c r="A20" s="46">
        <v>37422</v>
      </c>
      <c r="B20" s="45">
        <v>-7.8</v>
      </c>
      <c r="C20" s="45"/>
      <c r="E20" s="46"/>
      <c r="L20" s="46"/>
      <c r="Z20" s="44"/>
      <c r="AC20" s="46"/>
    </row>
    <row r="21" spans="1:29" x14ac:dyDescent="0.2">
      <c r="A21" s="46">
        <v>37452</v>
      </c>
      <c r="B21" s="45">
        <v>-9.5</v>
      </c>
      <c r="E21" s="46"/>
      <c r="L21" s="46"/>
      <c r="Z21" s="44"/>
      <c r="AC21" s="46"/>
    </row>
    <row r="22" spans="1:29" x14ac:dyDescent="0.2">
      <c r="A22" s="46">
        <v>37483</v>
      </c>
      <c r="B22" s="45">
        <v>-11</v>
      </c>
      <c r="E22" s="46"/>
      <c r="L22" s="46"/>
      <c r="Z22" s="44"/>
      <c r="AC22" s="46"/>
    </row>
    <row r="23" spans="1:29" x14ac:dyDescent="0.2">
      <c r="A23" s="46">
        <v>37514</v>
      </c>
      <c r="B23" s="45">
        <v>-9.8000000000000007</v>
      </c>
      <c r="E23" s="46"/>
      <c r="L23" s="46"/>
      <c r="Z23" s="44"/>
      <c r="AC23" s="46"/>
    </row>
    <row r="24" spans="1:29" x14ac:dyDescent="0.2">
      <c r="A24" s="46">
        <v>37544</v>
      </c>
      <c r="B24" s="45">
        <v>-13.1</v>
      </c>
      <c r="E24" s="46"/>
      <c r="L24" s="46"/>
      <c r="Z24" s="44"/>
      <c r="AC24" s="46"/>
    </row>
    <row r="25" spans="1:29" x14ac:dyDescent="0.2">
      <c r="A25" s="46">
        <v>37575</v>
      </c>
      <c r="B25" s="45">
        <v>-14.8</v>
      </c>
      <c r="C25" s="45"/>
      <c r="E25" s="46"/>
      <c r="L25" s="46"/>
      <c r="Z25" s="44"/>
      <c r="AC25" s="46"/>
    </row>
    <row r="26" spans="1:29" x14ac:dyDescent="0.2">
      <c r="A26" s="46">
        <v>37605</v>
      </c>
      <c r="B26" s="45">
        <v>-17.400000000000002</v>
      </c>
      <c r="C26" s="45"/>
      <c r="E26" s="46"/>
      <c r="L26" s="46"/>
      <c r="Z26" s="44"/>
      <c r="AC26" s="46"/>
    </row>
    <row r="27" spans="1:29" x14ac:dyDescent="0.2">
      <c r="A27" s="46">
        <v>37636</v>
      </c>
      <c r="B27" s="45">
        <v>-17.7</v>
      </c>
      <c r="E27" s="46"/>
      <c r="L27" s="46"/>
      <c r="Z27" s="44"/>
      <c r="AC27" s="46"/>
    </row>
    <row r="28" spans="1:29" x14ac:dyDescent="0.2">
      <c r="A28" s="46">
        <v>37667</v>
      </c>
      <c r="B28" s="45">
        <v>-19.3</v>
      </c>
      <c r="E28" s="46"/>
      <c r="L28" s="46"/>
      <c r="Z28" s="44"/>
      <c r="AC28" s="46"/>
    </row>
    <row r="29" spans="1:29" x14ac:dyDescent="0.2">
      <c r="A29" s="46">
        <v>37695</v>
      </c>
      <c r="B29" s="45">
        <v>-20.7</v>
      </c>
      <c r="E29" s="46"/>
      <c r="L29" s="46"/>
      <c r="Z29" s="44"/>
      <c r="AC29" s="46"/>
    </row>
    <row r="30" spans="1:29" x14ac:dyDescent="0.2">
      <c r="A30" s="46">
        <v>37726</v>
      </c>
      <c r="B30" s="45">
        <v>-18.8</v>
      </c>
      <c r="E30" s="46"/>
      <c r="L30" s="46"/>
      <c r="AC30" s="46"/>
    </row>
    <row r="31" spans="1:29" x14ac:dyDescent="0.2">
      <c r="A31" s="46">
        <v>37756</v>
      </c>
      <c r="B31" s="45">
        <v>-18.600000000000001</v>
      </c>
      <c r="E31" s="46"/>
      <c r="L31" s="46"/>
      <c r="AC31" s="46"/>
    </row>
    <row r="32" spans="1:29" x14ac:dyDescent="0.2">
      <c r="A32" s="46">
        <v>37787</v>
      </c>
      <c r="B32" s="45">
        <v>-17.600000000000001</v>
      </c>
      <c r="E32" s="46"/>
      <c r="L32" s="46"/>
      <c r="AC32" s="46"/>
    </row>
    <row r="33" spans="1:29" x14ac:dyDescent="0.2">
      <c r="A33" s="46">
        <v>37817</v>
      </c>
      <c r="B33" s="45">
        <v>-17.7</v>
      </c>
      <c r="E33" s="46"/>
      <c r="L33" s="46"/>
      <c r="AC33" s="46"/>
    </row>
    <row r="34" spans="1:29" x14ac:dyDescent="0.2">
      <c r="A34" s="46">
        <v>37848</v>
      </c>
      <c r="B34" s="45">
        <v>-16.899999999999999</v>
      </c>
      <c r="E34" s="46"/>
      <c r="L34" s="46"/>
      <c r="AC34" s="46"/>
    </row>
    <row r="35" spans="1:29" x14ac:dyDescent="0.2">
      <c r="A35" s="46">
        <v>37879</v>
      </c>
      <c r="B35" s="45">
        <v>-16.7</v>
      </c>
      <c r="E35" s="46"/>
      <c r="L35" s="46"/>
      <c r="AC35" s="46"/>
    </row>
    <row r="36" spans="1:29" x14ac:dyDescent="0.2">
      <c r="A36" s="46">
        <v>37909</v>
      </c>
      <c r="B36" s="45">
        <v>-17.400000000000002</v>
      </c>
      <c r="E36" s="46"/>
      <c r="L36" s="46"/>
      <c r="AC36" s="46"/>
    </row>
    <row r="37" spans="1:29" x14ac:dyDescent="0.2">
      <c r="A37" s="46">
        <v>37940</v>
      </c>
      <c r="B37" s="45">
        <v>-16.2</v>
      </c>
      <c r="E37" s="46"/>
      <c r="L37" s="46"/>
      <c r="AC37" s="46"/>
    </row>
    <row r="38" spans="1:29" x14ac:dyDescent="0.2">
      <c r="A38" s="46">
        <v>37970</v>
      </c>
      <c r="B38" s="45">
        <v>-16.399999999999999</v>
      </c>
      <c r="E38" s="46"/>
      <c r="L38" s="46"/>
      <c r="AC38" s="46"/>
    </row>
    <row r="39" spans="1:29" x14ac:dyDescent="0.2">
      <c r="A39" s="46">
        <v>38001</v>
      </c>
      <c r="B39" s="45">
        <v>-15</v>
      </c>
      <c r="E39" s="46"/>
      <c r="L39" s="46"/>
      <c r="AC39" s="46"/>
    </row>
    <row r="40" spans="1:29" x14ac:dyDescent="0.2">
      <c r="A40" s="46">
        <v>38032</v>
      </c>
      <c r="B40" s="45">
        <v>-14.8</v>
      </c>
      <c r="E40" s="46"/>
      <c r="L40" s="46"/>
      <c r="AC40" s="46"/>
    </row>
    <row r="41" spans="1:29" x14ac:dyDescent="0.2">
      <c r="A41" s="46">
        <v>38061</v>
      </c>
      <c r="B41" s="45">
        <v>-14.200000000000001</v>
      </c>
      <c r="E41" s="46"/>
      <c r="L41" s="46"/>
      <c r="AC41" s="46"/>
    </row>
    <row r="42" spans="1:29" x14ac:dyDescent="0.2">
      <c r="A42" s="46">
        <v>38092</v>
      </c>
      <c r="B42" s="45">
        <v>-13.6</v>
      </c>
      <c r="E42" s="46"/>
      <c r="L42" s="46"/>
      <c r="AC42" s="46"/>
    </row>
    <row r="43" spans="1:29" x14ac:dyDescent="0.2">
      <c r="A43" s="46">
        <v>38122</v>
      </c>
      <c r="B43" s="45">
        <v>-14.700000000000001</v>
      </c>
      <c r="E43" s="46"/>
      <c r="L43" s="46"/>
      <c r="AC43" s="46"/>
    </row>
    <row r="44" spans="1:29" x14ac:dyDescent="0.2">
      <c r="A44" s="46">
        <v>38153</v>
      </c>
      <c r="B44" s="45">
        <v>-13.5</v>
      </c>
      <c r="E44" s="46"/>
      <c r="L44" s="46"/>
      <c r="AC44" s="46"/>
    </row>
    <row r="45" spans="1:29" x14ac:dyDescent="0.2">
      <c r="A45" s="46">
        <v>38183</v>
      </c>
      <c r="B45" s="45">
        <v>-14.1</v>
      </c>
      <c r="E45" s="46"/>
      <c r="L45" s="46"/>
      <c r="AC45" s="46"/>
    </row>
    <row r="46" spans="1:29" x14ac:dyDescent="0.2">
      <c r="A46" s="46">
        <v>38214</v>
      </c>
      <c r="B46" s="45">
        <v>-14</v>
      </c>
      <c r="E46" s="46"/>
      <c r="L46" s="46"/>
      <c r="AC46" s="46"/>
    </row>
    <row r="47" spans="1:29" x14ac:dyDescent="0.2">
      <c r="A47" s="46">
        <v>38245</v>
      </c>
      <c r="B47" s="45">
        <v>-13.200000000000001</v>
      </c>
      <c r="E47" s="46"/>
      <c r="L47" s="46"/>
      <c r="AC47" s="46"/>
    </row>
    <row r="48" spans="1:29" x14ac:dyDescent="0.2">
      <c r="A48" s="46">
        <v>38275</v>
      </c>
      <c r="B48" s="45">
        <v>-14.4</v>
      </c>
      <c r="E48" s="46"/>
      <c r="L48" s="46"/>
      <c r="AC48" s="46"/>
    </row>
    <row r="49" spans="1:29" x14ac:dyDescent="0.2">
      <c r="A49" s="46">
        <v>38306</v>
      </c>
      <c r="B49" s="45">
        <v>-13.9</v>
      </c>
      <c r="E49" s="46"/>
      <c r="L49" s="46"/>
      <c r="AC49" s="46"/>
    </row>
    <row r="50" spans="1:29" x14ac:dyDescent="0.2">
      <c r="A50" s="46">
        <v>38336</v>
      </c>
      <c r="B50" s="45">
        <v>-14.1</v>
      </c>
      <c r="E50" s="46"/>
      <c r="L50" s="46"/>
      <c r="AC50" s="46"/>
    </row>
    <row r="51" spans="1:29" x14ac:dyDescent="0.2">
      <c r="A51" s="46">
        <v>38367</v>
      </c>
      <c r="B51" s="45">
        <v>-12.9</v>
      </c>
      <c r="E51" s="46"/>
      <c r="L51" s="46"/>
      <c r="AC51" s="46"/>
    </row>
    <row r="52" spans="1:29" x14ac:dyDescent="0.2">
      <c r="A52" s="46">
        <v>38398</v>
      </c>
      <c r="B52" s="45">
        <v>-14.1</v>
      </c>
      <c r="E52" s="46"/>
      <c r="L52" s="46"/>
      <c r="AC52" s="46"/>
    </row>
    <row r="53" spans="1:29" x14ac:dyDescent="0.2">
      <c r="A53" s="46">
        <v>38426</v>
      </c>
      <c r="B53" s="45">
        <v>-14.3</v>
      </c>
      <c r="E53" s="46"/>
      <c r="L53" s="46"/>
      <c r="AC53" s="46"/>
    </row>
    <row r="54" spans="1:29" x14ac:dyDescent="0.2">
      <c r="A54" s="46">
        <v>38457</v>
      </c>
      <c r="B54" s="45">
        <v>-13.200000000000001</v>
      </c>
      <c r="E54" s="46"/>
      <c r="L54" s="46"/>
      <c r="AC54" s="46"/>
    </row>
    <row r="55" spans="1:29" x14ac:dyDescent="0.2">
      <c r="A55" s="46">
        <v>38487</v>
      </c>
      <c r="B55" s="45">
        <v>-14.200000000000001</v>
      </c>
      <c r="E55" s="46"/>
      <c r="L55" s="46"/>
      <c r="AC55" s="46"/>
    </row>
    <row r="56" spans="1:29" x14ac:dyDescent="0.2">
      <c r="A56" s="46">
        <v>38518</v>
      </c>
      <c r="B56" s="45">
        <v>-14.5</v>
      </c>
      <c r="E56" s="46"/>
      <c r="L56" s="46"/>
      <c r="AC56" s="46"/>
    </row>
    <row r="57" spans="1:29" x14ac:dyDescent="0.2">
      <c r="A57" s="46">
        <v>38548</v>
      </c>
      <c r="B57" s="45">
        <v>-14.9</v>
      </c>
      <c r="E57" s="46"/>
      <c r="L57" s="46"/>
      <c r="AC57" s="46"/>
    </row>
    <row r="58" spans="1:29" x14ac:dyDescent="0.2">
      <c r="A58" s="46">
        <v>38579</v>
      </c>
      <c r="B58" s="45">
        <v>-14.6</v>
      </c>
      <c r="E58" s="46"/>
      <c r="L58" s="46"/>
      <c r="AC58" s="46"/>
    </row>
    <row r="59" spans="1:29" x14ac:dyDescent="0.2">
      <c r="A59" s="46">
        <v>38610</v>
      </c>
      <c r="B59" s="45">
        <v>-14.4</v>
      </c>
      <c r="E59" s="46"/>
      <c r="L59" s="46"/>
      <c r="AC59" s="46"/>
    </row>
    <row r="60" spans="1:29" x14ac:dyDescent="0.2">
      <c r="A60" s="46">
        <v>38640</v>
      </c>
      <c r="B60" s="45">
        <v>-13.6</v>
      </c>
      <c r="E60" s="46"/>
      <c r="L60" s="46"/>
      <c r="AC60" s="46"/>
    </row>
    <row r="61" spans="1:29" x14ac:dyDescent="0.2">
      <c r="A61" s="46">
        <v>38671</v>
      </c>
      <c r="B61" s="45">
        <v>-13.8</v>
      </c>
      <c r="E61" s="46"/>
      <c r="L61" s="46"/>
      <c r="AC61" s="46"/>
    </row>
    <row r="62" spans="1:29" x14ac:dyDescent="0.2">
      <c r="A62" s="46">
        <v>38701</v>
      </c>
      <c r="B62" s="45">
        <v>-11.700000000000001</v>
      </c>
      <c r="E62" s="46"/>
      <c r="L62" s="46"/>
      <c r="AC62" s="46"/>
    </row>
    <row r="63" spans="1:29" x14ac:dyDescent="0.2">
      <c r="A63" s="46">
        <v>38732</v>
      </c>
      <c r="B63" s="45">
        <v>-10.8</v>
      </c>
      <c r="E63" s="46"/>
      <c r="L63" s="46"/>
      <c r="AC63" s="46"/>
    </row>
    <row r="64" spans="1:29" x14ac:dyDescent="0.2">
      <c r="A64" s="46">
        <v>38763</v>
      </c>
      <c r="B64" s="45">
        <v>-10.9</v>
      </c>
      <c r="E64" s="46"/>
      <c r="L64" s="46"/>
      <c r="AC64" s="46"/>
    </row>
    <row r="65" spans="1:29" x14ac:dyDescent="0.2">
      <c r="A65" s="46">
        <v>38791</v>
      </c>
      <c r="B65" s="45">
        <v>-11.5</v>
      </c>
      <c r="E65" s="46"/>
      <c r="L65" s="46"/>
      <c r="AC65" s="46"/>
    </row>
    <row r="66" spans="1:29" x14ac:dyDescent="0.2">
      <c r="A66" s="46">
        <v>38822</v>
      </c>
      <c r="B66" s="45">
        <v>-10.5</v>
      </c>
      <c r="E66" s="46"/>
      <c r="L66" s="46"/>
      <c r="AC66" s="46"/>
    </row>
    <row r="67" spans="1:29" x14ac:dyDescent="0.2">
      <c r="A67" s="46">
        <v>38852</v>
      </c>
      <c r="B67" s="45">
        <v>-8.8000000000000007</v>
      </c>
      <c r="E67" s="46"/>
      <c r="L67" s="46"/>
      <c r="AC67" s="46"/>
    </row>
    <row r="68" spans="1:29" x14ac:dyDescent="0.2">
      <c r="A68" s="46">
        <v>38883</v>
      </c>
      <c r="B68" s="45">
        <v>-8.9</v>
      </c>
      <c r="E68" s="46"/>
      <c r="L68" s="46"/>
      <c r="AC68" s="46"/>
    </row>
    <row r="69" spans="1:29" x14ac:dyDescent="0.2">
      <c r="A69" s="46">
        <v>38913</v>
      </c>
      <c r="B69" s="45">
        <v>-8.1</v>
      </c>
      <c r="E69" s="46"/>
      <c r="L69" s="46"/>
      <c r="AC69" s="46"/>
    </row>
    <row r="70" spans="1:29" x14ac:dyDescent="0.2">
      <c r="A70" s="46">
        <v>38944</v>
      </c>
      <c r="B70" s="45">
        <v>-8.7000000000000011</v>
      </c>
      <c r="E70" s="46"/>
      <c r="L70" s="46"/>
      <c r="AC70" s="46"/>
    </row>
    <row r="71" spans="1:29" x14ac:dyDescent="0.2">
      <c r="A71" s="46">
        <v>38975</v>
      </c>
      <c r="B71" s="45">
        <v>-8.1</v>
      </c>
      <c r="E71" s="46"/>
      <c r="L71" s="46"/>
      <c r="AC71" s="46"/>
    </row>
    <row r="72" spans="1:29" x14ac:dyDescent="0.2">
      <c r="A72" s="46">
        <v>39005</v>
      </c>
      <c r="B72" s="45">
        <v>-8.4</v>
      </c>
      <c r="E72" s="46"/>
      <c r="L72" s="46"/>
      <c r="AC72" s="46"/>
    </row>
    <row r="73" spans="1:29" x14ac:dyDescent="0.2">
      <c r="A73" s="46">
        <v>39036</v>
      </c>
      <c r="B73" s="45">
        <v>-7.9</v>
      </c>
      <c r="E73" s="46"/>
      <c r="L73" s="46"/>
      <c r="AC73" s="46"/>
    </row>
    <row r="74" spans="1:29" x14ac:dyDescent="0.2">
      <c r="A74" s="46">
        <v>39066</v>
      </c>
      <c r="B74" s="45">
        <v>-6.8</v>
      </c>
      <c r="E74" s="46"/>
      <c r="L74" s="46"/>
      <c r="AC74" s="46"/>
    </row>
    <row r="75" spans="1:29" x14ac:dyDescent="0.2">
      <c r="A75" s="46">
        <v>39097</v>
      </c>
      <c r="B75" s="45">
        <v>-6.3</v>
      </c>
      <c r="E75" s="46"/>
      <c r="L75" s="46"/>
      <c r="AC75" s="46"/>
    </row>
    <row r="76" spans="1:29" x14ac:dyDescent="0.2">
      <c r="A76" s="46">
        <v>39128</v>
      </c>
      <c r="B76" s="45">
        <v>-5.5</v>
      </c>
      <c r="E76" s="46"/>
      <c r="L76" s="46"/>
      <c r="AC76" s="46"/>
    </row>
    <row r="77" spans="1:29" x14ac:dyDescent="0.2">
      <c r="A77" s="46">
        <v>39156</v>
      </c>
      <c r="B77" s="45">
        <v>-5.3</v>
      </c>
      <c r="E77" s="46"/>
      <c r="L77" s="46"/>
      <c r="AC77" s="46"/>
    </row>
    <row r="78" spans="1:29" x14ac:dyDescent="0.2">
      <c r="A78" s="46">
        <v>39187</v>
      </c>
      <c r="B78" s="45">
        <v>-4.4000000000000004</v>
      </c>
      <c r="E78" s="46"/>
      <c r="L78" s="46"/>
      <c r="AC78" s="46"/>
    </row>
    <row r="79" spans="1:29" x14ac:dyDescent="0.2">
      <c r="A79" s="46">
        <v>39217</v>
      </c>
      <c r="B79" s="45">
        <v>-1.5</v>
      </c>
      <c r="E79" s="46"/>
      <c r="L79" s="46"/>
      <c r="AC79" s="46"/>
    </row>
    <row r="80" spans="1:29" x14ac:dyDescent="0.2">
      <c r="A80" s="46">
        <v>39248</v>
      </c>
      <c r="B80" s="45">
        <v>-1.9000000000000001</v>
      </c>
      <c r="E80" s="46"/>
      <c r="L80" s="46"/>
      <c r="AC80" s="46"/>
    </row>
    <row r="81" spans="1:29" x14ac:dyDescent="0.2">
      <c r="A81" s="46">
        <v>39278</v>
      </c>
      <c r="B81" s="45">
        <v>-2</v>
      </c>
      <c r="E81" s="46"/>
      <c r="L81" s="46"/>
      <c r="AC81" s="46"/>
    </row>
    <row r="82" spans="1:29" x14ac:dyDescent="0.2">
      <c r="A82" s="46">
        <v>39309</v>
      </c>
      <c r="B82" s="45">
        <v>-4.4000000000000004</v>
      </c>
      <c r="E82" s="46"/>
      <c r="L82" s="46"/>
      <c r="AC82" s="46"/>
    </row>
    <row r="83" spans="1:29" x14ac:dyDescent="0.2">
      <c r="A83" s="46">
        <v>39340</v>
      </c>
      <c r="B83" s="45">
        <v>-6.4</v>
      </c>
      <c r="E83" s="46"/>
      <c r="L83" s="46"/>
      <c r="AC83" s="46"/>
    </row>
    <row r="84" spans="1:29" x14ac:dyDescent="0.2">
      <c r="A84" s="46">
        <v>39370</v>
      </c>
      <c r="B84" s="45">
        <v>-7.2</v>
      </c>
      <c r="E84" s="46"/>
      <c r="L84" s="46"/>
      <c r="AC84" s="46"/>
    </row>
    <row r="85" spans="1:29" x14ac:dyDescent="0.2">
      <c r="A85" s="46">
        <v>39401</v>
      </c>
      <c r="B85" s="45">
        <v>-9.3000000000000007</v>
      </c>
      <c r="E85" s="46"/>
      <c r="L85" s="46"/>
      <c r="AC85" s="46"/>
    </row>
    <row r="86" spans="1:29" x14ac:dyDescent="0.2">
      <c r="A86" s="46">
        <v>39431</v>
      </c>
      <c r="B86" s="45">
        <v>-9.6</v>
      </c>
      <c r="E86" s="46"/>
      <c r="L86" s="46"/>
      <c r="AC86" s="46"/>
    </row>
    <row r="87" spans="1:29" x14ac:dyDescent="0.2">
      <c r="A87" s="46">
        <v>39462</v>
      </c>
      <c r="B87" s="45">
        <v>-11.5</v>
      </c>
      <c r="E87" s="46"/>
      <c r="L87" s="46"/>
      <c r="AC87" s="46"/>
    </row>
    <row r="88" spans="1:29" x14ac:dyDescent="0.2">
      <c r="A88" s="46">
        <v>39493</v>
      </c>
      <c r="B88" s="45">
        <v>-12.700000000000001</v>
      </c>
      <c r="E88" s="46"/>
      <c r="L88" s="46"/>
      <c r="AC88" s="46"/>
    </row>
    <row r="89" spans="1:29" x14ac:dyDescent="0.2">
      <c r="A89" s="46">
        <v>39522</v>
      </c>
      <c r="B89" s="45">
        <v>-13.1</v>
      </c>
      <c r="E89" s="46"/>
      <c r="L89" s="46"/>
      <c r="AC89" s="46"/>
    </row>
    <row r="90" spans="1:29" x14ac:dyDescent="0.2">
      <c r="A90" s="46">
        <v>39553</v>
      </c>
      <c r="B90" s="45">
        <v>-12.700000000000001</v>
      </c>
      <c r="E90" s="46"/>
      <c r="L90" s="46"/>
      <c r="AC90" s="46"/>
    </row>
    <row r="91" spans="1:29" x14ac:dyDescent="0.2">
      <c r="A91" s="46">
        <v>39583</v>
      </c>
      <c r="B91" s="45">
        <v>-14.3</v>
      </c>
      <c r="E91" s="46"/>
      <c r="L91" s="46"/>
      <c r="AC91" s="46"/>
    </row>
    <row r="92" spans="1:29" x14ac:dyDescent="0.2">
      <c r="A92" s="46">
        <v>39614</v>
      </c>
      <c r="B92" s="45">
        <v>-16.600000000000001</v>
      </c>
      <c r="E92" s="46"/>
      <c r="L92" s="46"/>
      <c r="AC92" s="46"/>
    </row>
    <row r="93" spans="1:29" x14ac:dyDescent="0.2">
      <c r="A93" s="46">
        <v>39644</v>
      </c>
      <c r="B93" s="45">
        <v>-19.8</v>
      </c>
      <c r="E93" s="46"/>
      <c r="L93" s="46"/>
      <c r="AC93" s="46"/>
    </row>
    <row r="94" spans="1:29" x14ac:dyDescent="0.2">
      <c r="A94" s="46">
        <v>39675</v>
      </c>
      <c r="B94" s="45">
        <v>-19.8</v>
      </c>
      <c r="E94" s="46"/>
      <c r="L94" s="46"/>
      <c r="AC94" s="46"/>
    </row>
    <row r="95" spans="1:29" x14ac:dyDescent="0.2">
      <c r="A95" s="46">
        <v>39706</v>
      </c>
      <c r="B95" s="45">
        <v>-19.600000000000001</v>
      </c>
      <c r="E95" s="46"/>
      <c r="L95" s="46"/>
      <c r="AC95" s="46"/>
    </row>
    <row r="96" spans="1:29" x14ac:dyDescent="0.2">
      <c r="A96" s="46">
        <v>39736</v>
      </c>
      <c r="B96" s="45">
        <v>-24.900000000000002</v>
      </c>
      <c r="E96" s="46"/>
      <c r="L96" s="46"/>
      <c r="AC96" s="46"/>
    </row>
    <row r="97" spans="1:29" x14ac:dyDescent="0.2">
      <c r="A97" s="46">
        <v>39767</v>
      </c>
      <c r="B97" s="45">
        <v>-27</v>
      </c>
      <c r="E97" s="46"/>
      <c r="L97" s="46"/>
      <c r="AC97" s="46"/>
    </row>
    <row r="98" spans="1:29" x14ac:dyDescent="0.2">
      <c r="A98" s="46">
        <v>39797</v>
      </c>
      <c r="B98" s="45">
        <v>-31.3</v>
      </c>
      <c r="E98" s="46"/>
      <c r="L98" s="46"/>
      <c r="AC98" s="46"/>
    </row>
    <row r="99" spans="1:29" x14ac:dyDescent="0.2">
      <c r="A99" s="46">
        <v>39828</v>
      </c>
      <c r="B99" s="45">
        <v>-30.900000000000002</v>
      </c>
      <c r="E99" s="46"/>
      <c r="L99" s="46"/>
      <c r="AC99" s="46"/>
    </row>
    <row r="100" spans="1:29" x14ac:dyDescent="0.2">
      <c r="A100" s="46">
        <v>39859</v>
      </c>
      <c r="B100" s="45">
        <v>-33.299999999999997</v>
      </c>
      <c r="E100" s="46"/>
      <c r="L100" s="46"/>
      <c r="AC100" s="46"/>
    </row>
    <row r="101" spans="1:29" x14ac:dyDescent="0.2">
      <c r="A101" s="46">
        <v>39887</v>
      </c>
      <c r="B101" s="45">
        <v>-34.6</v>
      </c>
      <c r="E101" s="46"/>
      <c r="L101" s="46"/>
      <c r="AC101" s="46"/>
    </row>
    <row r="102" spans="1:29" x14ac:dyDescent="0.2">
      <c r="A102" s="46">
        <v>39918</v>
      </c>
      <c r="B102" s="45">
        <v>-30.8</v>
      </c>
      <c r="E102" s="46"/>
      <c r="L102" s="46"/>
      <c r="AC102" s="46"/>
    </row>
    <row r="103" spans="1:29" x14ac:dyDescent="0.2">
      <c r="A103" s="46">
        <v>39948</v>
      </c>
      <c r="B103" s="45">
        <v>-28.3</v>
      </c>
      <c r="E103" s="46"/>
      <c r="L103" s="46"/>
      <c r="AC103" s="46"/>
    </row>
    <row r="104" spans="1:29" x14ac:dyDescent="0.2">
      <c r="A104" s="46">
        <v>39979</v>
      </c>
      <c r="B104" s="45">
        <v>-25.2</v>
      </c>
      <c r="E104" s="46"/>
      <c r="L104" s="46"/>
      <c r="AC104" s="46"/>
    </row>
    <row r="105" spans="1:29" x14ac:dyDescent="0.2">
      <c r="A105" s="46">
        <v>40009</v>
      </c>
      <c r="B105" s="45">
        <v>-23.1</v>
      </c>
      <c r="E105" s="46"/>
      <c r="L105" s="46"/>
      <c r="AC105" s="46"/>
    </row>
    <row r="106" spans="1:29" x14ac:dyDescent="0.2">
      <c r="A106" s="46">
        <v>40040</v>
      </c>
      <c r="B106" s="45">
        <v>-22.2</v>
      </c>
      <c r="E106" s="46"/>
      <c r="L106" s="46"/>
      <c r="AC106" s="46"/>
    </row>
    <row r="107" spans="1:29" x14ac:dyDescent="0.2">
      <c r="A107" s="46">
        <v>40071</v>
      </c>
      <c r="B107" s="45">
        <v>-19.3</v>
      </c>
      <c r="E107" s="46"/>
      <c r="L107" s="46"/>
      <c r="AC107" s="46"/>
    </row>
    <row r="108" spans="1:29" x14ac:dyDescent="0.2">
      <c r="A108" s="46">
        <v>40101</v>
      </c>
      <c r="B108" s="45">
        <v>-17.900000000000002</v>
      </c>
      <c r="E108" s="46"/>
      <c r="L108" s="46"/>
      <c r="AC108" s="46"/>
    </row>
    <row r="109" spans="1:29" x14ac:dyDescent="0.2">
      <c r="A109" s="46">
        <v>40132</v>
      </c>
      <c r="B109" s="45">
        <v>-17.600000000000001</v>
      </c>
      <c r="E109" s="46"/>
      <c r="L109" s="46"/>
      <c r="AC109" s="46"/>
    </row>
    <row r="110" spans="1:29" x14ac:dyDescent="0.2">
      <c r="A110" s="46">
        <v>40162</v>
      </c>
      <c r="B110" s="45">
        <v>-16.399999999999999</v>
      </c>
      <c r="E110" s="46"/>
      <c r="L110" s="46"/>
      <c r="AC110" s="46"/>
    </row>
    <row r="111" spans="1:29" x14ac:dyDescent="0.2">
      <c r="A111" s="46">
        <v>40193</v>
      </c>
      <c r="B111" s="45">
        <v>-15.9</v>
      </c>
      <c r="E111" s="46"/>
      <c r="L111" s="46"/>
      <c r="AC111" s="46"/>
    </row>
    <row r="112" spans="1:29" x14ac:dyDescent="0.2">
      <c r="A112" s="46">
        <v>40224</v>
      </c>
      <c r="B112" s="45">
        <v>-17.600000000000001</v>
      </c>
      <c r="E112" s="46"/>
      <c r="L112" s="46"/>
      <c r="AC112" s="46"/>
    </row>
    <row r="113" spans="1:29" x14ac:dyDescent="0.2">
      <c r="A113" s="46">
        <v>40252</v>
      </c>
      <c r="B113" s="45">
        <v>-17.600000000000001</v>
      </c>
      <c r="E113" s="46"/>
      <c r="L113" s="46"/>
      <c r="AC113" s="46"/>
    </row>
    <row r="114" spans="1:29" x14ac:dyDescent="0.2">
      <c r="A114" s="46">
        <v>40283</v>
      </c>
      <c r="B114" s="45">
        <v>-15.3</v>
      </c>
      <c r="E114" s="46"/>
      <c r="L114" s="46"/>
      <c r="AC114" s="46"/>
    </row>
    <row r="115" spans="1:29" x14ac:dyDescent="0.2">
      <c r="A115" s="46">
        <v>40313</v>
      </c>
      <c r="B115" s="45">
        <v>-18</v>
      </c>
      <c r="E115" s="46"/>
      <c r="L115" s="46"/>
      <c r="AC115" s="46"/>
    </row>
    <row r="116" spans="1:29" x14ac:dyDescent="0.2">
      <c r="A116" s="46">
        <v>40344</v>
      </c>
      <c r="B116" s="45">
        <v>-17.5</v>
      </c>
      <c r="E116" s="46"/>
      <c r="L116" s="46"/>
      <c r="AC116" s="46"/>
    </row>
    <row r="117" spans="1:29" x14ac:dyDescent="0.2">
      <c r="A117" s="46">
        <v>40374</v>
      </c>
      <c r="B117" s="45">
        <v>-14.4</v>
      </c>
      <c r="E117" s="46"/>
      <c r="L117" s="46"/>
      <c r="AC117" s="46"/>
    </row>
    <row r="118" spans="1:29" x14ac:dyDescent="0.2">
      <c r="A118" s="46">
        <v>40405</v>
      </c>
      <c r="B118" s="45">
        <v>-11.8</v>
      </c>
      <c r="E118" s="46"/>
      <c r="L118" s="46"/>
      <c r="AC118" s="46"/>
    </row>
    <row r="119" spans="1:29" x14ac:dyDescent="0.2">
      <c r="A119" s="46">
        <v>40436</v>
      </c>
      <c r="B119" s="45">
        <v>-11.5</v>
      </c>
      <c r="E119" s="46"/>
      <c r="L119" s="46"/>
      <c r="AC119" s="46"/>
    </row>
    <row r="120" spans="1:29" x14ac:dyDescent="0.2">
      <c r="A120" s="46">
        <v>40466</v>
      </c>
      <c r="B120" s="45">
        <v>-11.4</v>
      </c>
      <c r="E120" s="46"/>
      <c r="L120" s="46"/>
      <c r="AC120" s="46"/>
    </row>
    <row r="121" spans="1:29" x14ac:dyDescent="0.2">
      <c r="A121" s="46">
        <v>40497</v>
      </c>
      <c r="B121" s="45">
        <v>-10</v>
      </c>
      <c r="E121" s="46"/>
      <c r="L121" s="46"/>
      <c r="AC121" s="46"/>
    </row>
    <row r="122" spans="1:29" x14ac:dyDescent="0.2">
      <c r="A122" s="46">
        <v>40527</v>
      </c>
      <c r="B122" s="45">
        <v>-11.6</v>
      </c>
      <c r="E122" s="46"/>
      <c r="L122" s="46"/>
      <c r="AC122" s="46"/>
    </row>
    <row r="123" spans="1:29" x14ac:dyDescent="0.2">
      <c r="A123" s="46">
        <v>40558</v>
      </c>
      <c r="B123" s="45">
        <v>-11.700000000000001</v>
      </c>
      <c r="E123" s="46"/>
      <c r="L123" s="46"/>
      <c r="AC123" s="46"/>
    </row>
    <row r="124" spans="1:29" x14ac:dyDescent="0.2">
      <c r="A124" s="46">
        <v>40589</v>
      </c>
      <c r="B124" s="45">
        <v>-10.3</v>
      </c>
      <c r="E124" s="46"/>
      <c r="L124" s="46"/>
      <c r="AC124" s="46"/>
    </row>
    <row r="125" spans="1:29" x14ac:dyDescent="0.2">
      <c r="A125" s="46">
        <v>40617</v>
      </c>
      <c r="B125" s="45">
        <v>-11</v>
      </c>
      <c r="E125" s="46"/>
      <c r="L125" s="46"/>
      <c r="AC125" s="46"/>
    </row>
    <row r="126" spans="1:29" x14ac:dyDescent="0.2">
      <c r="A126" s="46">
        <v>40648</v>
      </c>
      <c r="B126" s="45">
        <v>-12</v>
      </c>
      <c r="E126" s="46"/>
      <c r="L126" s="46"/>
      <c r="AC126" s="46"/>
    </row>
    <row r="127" spans="1:29" x14ac:dyDescent="0.2">
      <c r="A127" s="46">
        <v>40678</v>
      </c>
      <c r="B127" s="45">
        <v>-10.200000000000001</v>
      </c>
      <c r="E127" s="46"/>
      <c r="L127" s="46"/>
      <c r="AC127" s="46"/>
    </row>
    <row r="128" spans="1:29" x14ac:dyDescent="0.2">
      <c r="A128" s="46">
        <v>40709</v>
      </c>
      <c r="B128" s="45">
        <v>-10</v>
      </c>
      <c r="E128" s="46"/>
      <c r="L128" s="46"/>
      <c r="AC128" s="46"/>
    </row>
    <row r="129" spans="1:29" x14ac:dyDescent="0.2">
      <c r="A129" s="46">
        <v>40739</v>
      </c>
      <c r="B129" s="45">
        <v>-11.5</v>
      </c>
      <c r="E129" s="46"/>
      <c r="L129" s="46"/>
      <c r="AC129" s="46"/>
    </row>
    <row r="130" spans="1:29" x14ac:dyDescent="0.2">
      <c r="A130" s="46">
        <v>40770</v>
      </c>
      <c r="B130" s="45">
        <v>-16.7</v>
      </c>
      <c r="E130" s="46"/>
      <c r="L130" s="46"/>
      <c r="AC130" s="46"/>
    </row>
    <row r="131" spans="1:29" x14ac:dyDescent="0.2">
      <c r="A131" s="46">
        <v>40801</v>
      </c>
      <c r="B131" s="45">
        <v>-19.2</v>
      </c>
      <c r="E131" s="46"/>
      <c r="L131" s="46"/>
      <c r="AC131" s="46"/>
    </row>
    <row r="132" spans="1:29" x14ac:dyDescent="0.2">
      <c r="A132" s="46">
        <v>40831</v>
      </c>
      <c r="B132" s="45">
        <v>-20</v>
      </c>
      <c r="E132" s="46"/>
      <c r="L132" s="46"/>
      <c r="AC132" s="46"/>
    </row>
    <row r="133" spans="1:29" x14ac:dyDescent="0.2">
      <c r="A133" s="46">
        <v>40862</v>
      </c>
      <c r="B133" s="45">
        <v>-20.400000000000002</v>
      </c>
      <c r="E133" s="46"/>
      <c r="L133" s="46"/>
      <c r="AC133" s="46"/>
    </row>
    <row r="134" spans="1:29" x14ac:dyDescent="0.2">
      <c r="A134" s="46">
        <v>40892</v>
      </c>
      <c r="B134" s="45">
        <v>-21.3</v>
      </c>
      <c r="E134" s="46"/>
      <c r="L134" s="46"/>
      <c r="AC134" s="46"/>
    </row>
    <row r="135" spans="1:29" x14ac:dyDescent="0.2">
      <c r="A135" s="46">
        <v>40923</v>
      </c>
      <c r="B135" s="45">
        <v>-20.6</v>
      </c>
      <c r="E135" s="46"/>
      <c r="L135" s="46"/>
      <c r="AC135" s="46"/>
    </row>
    <row r="136" spans="1:29" x14ac:dyDescent="0.2">
      <c r="A136" s="46">
        <v>40954</v>
      </c>
      <c r="B136" s="45">
        <v>-20</v>
      </c>
      <c r="E136" s="46"/>
      <c r="L136" s="46"/>
      <c r="AC136" s="46"/>
    </row>
    <row r="137" spans="1:29" x14ac:dyDescent="0.2">
      <c r="A137" s="46">
        <v>40983</v>
      </c>
      <c r="B137" s="45">
        <v>-18.8</v>
      </c>
      <c r="E137" s="46"/>
      <c r="L137" s="46"/>
      <c r="AC137" s="46"/>
    </row>
    <row r="138" spans="1:29" x14ac:dyDescent="0.2">
      <c r="A138" s="46">
        <v>41014</v>
      </c>
      <c r="B138" s="45">
        <v>-19.7</v>
      </c>
      <c r="E138" s="46"/>
      <c r="L138" s="46"/>
      <c r="AC138" s="46"/>
    </row>
    <row r="139" spans="1:29" x14ac:dyDescent="0.2">
      <c r="A139" s="46">
        <v>41044</v>
      </c>
      <c r="B139" s="45">
        <v>-19.100000000000001</v>
      </c>
      <c r="E139" s="46"/>
      <c r="L139" s="46"/>
      <c r="AC139" s="46"/>
    </row>
    <row r="140" spans="1:29" x14ac:dyDescent="0.2">
      <c r="A140" s="46">
        <v>41075</v>
      </c>
      <c r="B140" s="45">
        <v>-19.600000000000001</v>
      </c>
      <c r="E140" s="46"/>
      <c r="L140" s="46"/>
      <c r="AC140" s="46"/>
    </row>
    <row r="141" spans="1:29" x14ac:dyDescent="0.2">
      <c r="A141" s="46">
        <v>41105</v>
      </c>
      <c r="B141" s="45">
        <v>-21.2</v>
      </c>
      <c r="E141" s="46"/>
      <c r="L141" s="46"/>
      <c r="AC141" s="46"/>
    </row>
    <row r="142" spans="1:29" x14ac:dyDescent="0.2">
      <c r="A142" s="46">
        <v>41136</v>
      </c>
      <c r="B142" s="45">
        <v>-24.3</v>
      </c>
      <c r="E142" s="46"/>
      <c r="L142" s="46"/>
      <c r="AC142" s="46"/>
    </row>
    <row r="143" spans="1:29" x14ac:dyDescent="0.2">
      <c r="A143" s="46">
        <v>41167</v>
      </c>
      <c r="B143" s="45">
        <v>-25.6</v>
      </c>
      <c r="E143" s="46"/>
      <c r="L143" s="46"/>
      <c r="AC143" s="46"/>
    </row>
    <row r="144" spans="1:29" x14ac:dyDescent="0.2">
      <c r="A144" s="46">
        <v>41197</v>
      </c>
      <c r="B144" s="45">
        <v>-25.400000000000002</v>
      </c>
      <c r="E144" s="46"/>
      <c r="L144" s="46"/>
      <c r="AC144" s="46"/>
    </row>
    <row r="145" spans="1:29" x14ac:dyDescent="0.2">
      <c r="A145" s="46">
        <v>41228</v>
      </c>
      <c r="B145" s="45">
        <v>-26.5</v>
      </c>
      <c r="E145" s="46"/>
      <c r="L145" s="46"/>
      <c r="AC145" s="46"/>
    </row>
    <row r="146" spans="1:29" x14ac:dyDescent="0.2">
      <c r="A146" s="46">
        <v>41258</v>
      </c>
      <c r="B146" s="45">
        <v>-26.3</v>
      </c>
      <c r="E146" s="46"/>
      <c r="L146" s="46"/>
      <c r="AC146" s="46"/>
    </row>
    <row r="147" spans="1:29" x14ac:dyDescent="0.2">
      <c r="A147" s="46">
        <v>41289</v>
      </c>
      <c r="B147" s="45">
        <v>-23.900000000000002</v>
      </c>
      <c r="E147" s="46"/>
      <c r="L147" s="46"/>
      <c r="AC147" s="46"/>
    </row>
    <row r="148" spans="1:29" x14ac:dyDescent="0.2">
      <c r="A148" s="46">
        <v>41320</v>
      </c>
      <c r="B148" s="45">
        <v>-23.6</v>
      </c>
      <c r="E148" s="46"/>
      <c r="L148" s="46"/>
      <c r="AC148" s="46"/>
    </row>
    <row r="149" spans="1:29" x14ac:dyDescent="0.2">
      <c r="A149" s="46">
        <v>41348</v>
      </c>
      <c r="B149" s="45">
        <v>-23.5</v>
      </c>
      <c r="E149" s="46"/>
      <c r="L149" s="46"/>
      <c r="AC149" s="46"/>
    </row>
    <row r="150" spans="1:29" x14ac:dyDescent="0.2">
      <c r="A150" s="46">
        <v>41379</v>
      </c>
      <c r="B150" s="45">
        <v>-22.2</v>
      </c>
      <c r="E150" s="46"/>
      <c r="L150" s="46"/>
      <c r="AC150" s="46"/>
    </row>
    <row r="151" spans="1:29" x14ac:dyDescent="0.2">
      <c r="A151" s="46">
        <v>41409</v>
      </c>
      <c r="B151" s="45">
        <v>-22</v>
      </c>
      <c r="E151" s="46"/>
      <c r="L151" s="46"/>
      <c r="AC151" s="46"/>
    </row>
    <row r="152" spans="1:29" x14ac:dyDescent="0.2">
      <c r="A152" s="46">
        <v>41440</v>
      </c>
      <c r="B152" s="45">
        <v>-18.8</v>
      </c>
      <c r="E152" s="46"/>
      <c r="L152" s="46"/>
      <c r="AC152" s="46"/>
    </row>
    <row r="153" spans="1:29" x14ac:dyDescent="0.2">
      <c r="A153" s="46">
        <v>41470</v>
      </c>
      <c r="B153" s="45">
        <v>-17.400000000000002</v>
      </c>
      <c r="E153" s="46"/>
      <c r="L153" s="46"/>
      <c r="AC153" s="46"/>
    </row>
    <row r="154" spans="1:29" x14ac:dyDescent="0.2">
      <c r="A154" s="46">
        <v>41501</v>
      </c>
      <c r="B154" s="45">
        <v>-15.700000000000001</v>
      </c>
      <c r="E154" s="46"/>
      <c r="L154" s="46"/>
      <c r="AC154" s="46"/>
    </row>
    <row r="155" spans="1:29" x14ac:dyDescent="0.2">
      <c r="A155" s="46">
        <v>41532</v>
      </c>
      <c r="B155" s="45">
        <v>-15</v>
      </c>
      <c r="E155" s="46"/>
      <c r="L155" s="46"/>
      <c r="AC155" s="46"/>
    </row>
    <row r="156" spans="1:29" x14ac:dyDescent="0.2">
      <c r="A156" s="46">
        <v>41562</v>
      </c>
      <c r="B156" s="45">
        <v>-14.6</v>
      </c>
      <c r="E156" s="46"/>
      <c r="L156" s="46"/>
      <c r="AC156" s="46"/>
    </row>
    <row r="157" spans="1:29" x14ac:dyDescent="0.2">
      <c r="A157" s="46">
        <v>41593</v>
      </c>
      <c r="B157" s="45">
        <v>-15.5</v>
      </c>
      <c r="E157" s="46"/>
      <c r="L157" s="46"/>
      <c r="AC157" s="46"/>
    </row>
    <row r="158" spans="1:29" x14ac:dyDescent="0.2">
      <c r="A158" s="46">
        <v>41623</v>
      </c>
      <c r="B158" s="45">
        <v>-13.700000000000001</v>
      </c>
      <c r="E158" s="46"/>
      <c r="L158" s="46"/>
      <c r="AC158" s="46"/>
    </row>
    <row r="159" spans="1:29" x14ac:dyDescent="0.2">
      <c r="A159" s="46">
        <v>41654</v>
      </c>
      <c r="B159" s="45">
        <v>-11.8</v>
      </c>
      <c r="E159" s="46"/>
      <c r="L159" s="46"/>
      <c r="AC159" s="46"/>
    </row>
    <row r="160" spans="1:29" x14ac:dyDescent="0.2">
      <c r="A160" s="46">
        <v>41685</v>
      </c>
      <c r="B160" s="45">
        <v>-12.9</v>
      </c>
      <c r="E160" s="46"/>
      <c r="L160" s="46"/>
      <c r="AC160" s="46"/>
    </row>
    <row r="161" spans="1:29" x14ac:dyDescent="0.2">
      <c r="A161" s="46">
        <v>41713</v>
      </c>
      <c r="B161" s="45">
        <v>-9.5</v>
      </c>
      <c r="E161" s="46"/>
      <c r="L161" s="46"/>
      <c r="AC161" s="46"/>
    </row>
    <row r="162" spans="1:29" x14ac:dyDescent="0.2">
      <c r="A162" s="46">
        <v>41744</v>
      </c>
      <c r="B162" s="45">
        <v>-8.8000000000000007</v>
      </c>
      <c r="E162" s="46"/>
      <c r="L162" s="46"/>
      <c r="AC162" s="46"/>
    </row>
    <row r="163" spans="1:29" x14ac:dyDescent="0.2">
      <c r="A163" s="46">
        <v>41774</v>
      </c>
      <c r="B163" s="45">
        <v>-7.4</v>
      </c>
      <c r="E163" s="46"/>
      <c r="L163" s="46"/>
      <c r="AC163" s="46"/>
    </row>
    <row r="164" spans="1:29" x14ac:dyDescent="0.2">
      <c r="A164" s="46">
        <v>41805</v>
      </c>
      <c r="B164" s="45">
        <v>-7.7</v>
      </c>
      <c r="E164" s="46"/>
      <c r="L164" s="46"/>
      <c r="AC164" s="46"/>
    </row>
    <row r="165" spans="1:29" x14ac:dyDescent="0.2">
      <c r="A165" s="46">
        <v>41835</v>
      </c>
      <c r="B165" s="45">
        <v>-8.5</v>
      </c>
      <c r="E165" s="46"/>
      <c r="L165" s="46"/>
      <c r="AC165" s="46"/>
    </row>
    <row r="166" spans="1:29" x14ac:dyDescent="0.2">
      <c r="A166" s="46">
        <v>41866</v>
      </c>
      <c r="B166" s="45">
        <v>-10.3</v>
      </c>
      <c r="E166" s="46"/>
      <c r="L166" s="46"/>
      <c r="AC166" s="46"/>
    </row>
    <row r="167" spans="1:29" x14ac:dyDescent="0.2">
      <c r="A167" s="46">
        <v>41897</v>
      </c>
      <c r="B167" s="45">
        <v>-11.6</v>
      </c>
      <c r="E167" s="46"/>
      <c r="L167" s="46"/>
      <c r="AC167" s="46"/>
    </row>
    <row r="168" spans="1:29" x14ac:dyDescent="0.2">
      <c r="A168" s="46">
        <v>41927</v>
      </c>
      <c r="B168" s="45">
        <v>-11.3</v>
      </c>
      <c r="E168" s="46"/>
      <c r="L168" s="46"/>
      <c r="AC168" s="46"/>
    </row>
    <row r="169" spans="1:29" x14ac:dyDescent="0.2">
      <c r="A169" s="46">
        <v>41958</v>
      </c>
      <c r="B169" s="45">
        <v>-11.8</v>
      </c>
      <c r="E169" s="46"/>
      <c r="L169" s="46"/>
      <c r="AC169" s="46"/>
    </row>
    <row r="170" spans="1:29" x14ac:dyDescent="0.2">
      <c r="A170" s="46">
        <v>41988</v>
      </c>
      <c r="B170" s="45">
        <v>-11.1</v>
      </c>
      <c r="E170" s="46"/>
      <c r="L170" s="46"/>
      <c r="AC170" s="46"/>
    </row>
    <row r="171" spans="1:29" x14ac:dyDescent="0.2">
      <c r="A171" s="46">
        <v>42019</v>
      </c>
      <c r="B171" s="45">
        <v>-8.5</v>
      </c>
      <c r="E171" s="46"/>
      <c r="L171" s="46"/>
      <c r="AC171" s="46"/>
    </row>
    <row r="172" spans="1:29" x14ac:dyDescent="0.2">
      <c r="A172" s="46">
        <v>42050</v>
      </c>
      <c r="B172" s="45">
        <v>-6.7</v>
      </c>
      <c r="E172" s="46"/>
      <c r="L172" s="46"/>
      <c r="AC172" s="46"/>
    </row>
    <row r="173" spans="1:29" x14ac:dyDescent="0.2">
      <c r="A173" s="46">
        <v>42078</v>
      </c>
      <c r="B173" s="45">
        <v>-3.7</v>
      </c>
      <c r="E173" s="46"/>
      <c r="L173" s="46"/>
      <c r="AC173" s="46"/>
    </row>
    <row r="174" spans="1:29" x14ac:dyDescent="0.2">
      <c r="A174" s="46">
        <v>42109</v>
      </c>
      <c r="B174" s="45">
        <v>-4.6000000000000005</v>
      </c>
      <c r="E174" s="46"/>
      <c r="L174" s="46"/>
      <c r="AC174" s="46"/>
    </row>
    <row r="175" spans="1:29" x14ac:dyDescent="0.2">
      <c r="A175" s="46">
        <v>42139</v>
      </c>
      <c r="B175" s="45">
        <v>-5.6000000000000005</v>
      </c>
      <c r="E175" s="46"/>
      <c r="L175" s="46"/>
      <c r="AC175" s="46"/>
    </row>
    <row r="176" spans="1:29" x14ac:dyDescent="0.2">
      <c r="A176" s="46">
        <v>42170</v>
      </c>
      <c r="B176" s="45">
        <v>-5.6000000000000005</v>
      </c>
      <c r="E176" s="46"/>
      <c r="L176" s="46"/>
      <c r="AC176" s="46"/>
    </row>
    <row r="177" spans="1:29" x14ac:dyDescent="0.2">
      <c r="A177" s="46">
        <v>42200</v>
      </c>
      <c r="B177" s="45">
        <v>-7.2</v>
      </c>
      <c r="E177" s="46"/>
      <c r="L177" s="46"/>
      <c r="AC177" s="46"/>
    </row>
    <row r="178" spans="1:29" x14ac:dyDescent="0.2">
      <c r="A178" s="46">
        <v>42231</v>
      </c>
      <c r="B178" s="45">
        <v>-6.9</v>
      </c>
      <c r="E178" s="46"/>
      <c r="L178" s="46"/>
      <c r="AC178" s="46"/>
    </row>
    <row r="179" spans="1:29" x14ac:dyDescent="0.2">
      <c r="A179" s="46">
        <v>42262</v>
      </c>
      <c r="B179" s="45">
        <v>-7.1000000000000005</v>
      </c>
      <c r="E179" s="46"/>
      <c r="L179" s="46"/>
      <c r="AC179" s="46"/>
    </row>
    <row r="180" spans="1:29" x14ac:dyDescent="0.2">
      <c r="A180" s="46">
        <v>42292</v>
      </c>
      <c r="B180" s="45">
        <v>-7.6000000000000005</v>
      </c>
      <c r="E180" s="46"/>
      <c r="L180" s="46"/>
      <c r="AC180" s="46"/>
    </row>
    <row r="181" spans="1:29" x14ac:dyDescent="0.2">
      <c r="A181" s="46">
        <v>42323</v>
      </c>
      <c r="B181" s="45">
        <v>-6</v>
      </c>
      <c r="E181" s="46"/>
      <c r="L181" s="46"/>
      <c r="AC181" s="46"/>
    </row>
    <row r="182" spans="1:29" x14ac:dyDescent="0.2">
      <c r="A182" s="46">
        <v>42353</v>
      </c>
      <c r="B182" s="45">
        <v>-5.8</v>
      </c>
      <c r="E182" s="46"/>
      <c r="L182" s="46"/>
      <c r="AC182" s="46"/>
    </row>
    <row r="183" spans="1:29" x14ac:dyDescent="0.2">
      <c r="A183" s="46">
        <v>42384</v>
      </c>
      <c r="B183" s="45">
        <v>-6.4</v>
      </c>
      <c r="E183" s="46"/>
      <c r="L183" s="46"/>
      <c r="AC183" s="46"/>
    </row>
    <row r="184" spans="1:29" x14ac:dyDescent="0.2">
      <c r="A184" s="46">
        <v>42415</v>
      </c>
      <c r="B184" s="45">
        <v>-8.9</v>
      </c>
      <c r="E184" s="46"/>
      <c r="L184" s="46"/>
      <c r="AC184" s="46"/>
    </row>
    <row r="185" spans="1:29" x14ac:dyDescent="0.2">
      <c r="A185" s="46">
        <v>42444</v>
      </c>
      <c r="B185" s="45">
        <v>-9.8000000000000007</v>
      </c>
      <c r="E185" s="46"/>
      <c r="L185" s="46"/>
      <c r="AC185" s="46"/>
    </row>
    <row r="186" spans="1:29" x14ac:dyDescent="0.2">
      <c r="A186" s="46">
        <v>42475</v>
      </c>
      <c r="B186" s="45">
        <v>-9.4</v>
      </c>
      <c r="E186" s="46"/>
      <c r="L186" s="46"/>
      <c r="AC186" s="46"/>
    </row>
    <row r="187" spans="1:29" x14ac:dyDescent="0.2">
      <c r="A187" s="46">
        <v>42505</v>
      </c>
      <c r="B187" s="45">
        <v>-7.1000000000000005</v>
      </c>
      <c r="E187" s="46"/>
      <c r="L187" s="46"/>
      <c r="AC187" s="46"/>
    </row>
    <row r="188" spans="1:29" x14ac:dyDescent="0.2">
      <c r="A188" s="46">
        <v>42536</v>
      </c>
      <c r="B188" s="45">
        <v>-7.3</v>
      </c>
      <c r="E188" s="46"/>
      <c r="L188" s="46"/>
      <c r="AC188" s="46"/>
    </row>
    <row r="189" spans="1:29" x14ac:dyDescent="0.2">
      <c r="A189" s="46">
        <v>42566</v>
      </c>
      <c r="B189" s="45">
        <v>-8</v>
      </c>
      <c r="E189" s="46"/>
      <c r="L189" s="46"/>
      <c r="AC189" s="46"/>
    </row>
    <row r="190" spans="1:29" x14ac:dyDescent="0.2">
      <c r="A190" s="46">
        <v>42597</v>
      </c>
      <c r="B190" s="45">
        <v>-8.6</v>
      </c>
      <c r="E190" s="46"/>
      <c r="L190" s="46"/>
      <c r="AC190" s="46"/>
    </row>
    <row r="191" spans="1:29" x14ac:dyDescent="0.2">
      <c r="A191" s="46">
        <v>42628</v>
      </c>
      <c r="B191" s="45">
        <v>-8.3000000000000007</v>
      </c>
      <c r="E191" s="46"/>
      <c r="L191" s="46"/>
      <c r="AC191" s="46"/>
    </row>
    <row r="192" spans="1:29" x14ac:dyDescent="0.2">
      <c r="A192" s="46">
        <v>42658</v>
      </c>
      <c r="B192" s="45">
        <v>-8</v>
      </c>
      <c r="E192" s="46"/>
      <c r="L192" s="46"/>
      <c r="AC192" s="46"/>
    </row>
    <row r="193" spans="1:29" x14ac:dyDescent="0.2">
      <c r="A193" s="46">
        <v>42689</v>
      </c>
      <c r="B193" s="45">
        <v>-6.2</v>
      </c>
      <c r="E193" s="46"/>
      <c r="L193" s="46"/>
      <c r="AC193" s="46"/>
    </row>
    <row r="194" spans="1:29" x14ac:dyDescent="0.2">
      <c r="A194" s="46">
        <v>42719</v>
      </c>
      <c r="B194" s="45">
        <v>-5.2</v>
      </c>
      <c r="E194" s="46"/>
      <c r="L194" s="46"/>
      <c r="AC194" s="46"/>
    </row>
    <row r="195" spans="1:29" x14ac:dyDescent="0.2">
      <c r="A195" s="46">
        <v>42750</v>
      </c>
      <c r="B195" s="45">
        <v>-4.9000000000000004</v>
      </c>
      <c r="E195" s="46"/>
      <c r="L195" s="46"/>
      <c r="AC195" s="46"/>
    </row>
    <row r="196" spans="1:29" x14ac:dyDescent="0.2">
      <c r="A196" s="46">
        <v>42781</v>
      </c>
      <c r="B196" s="45">
        <v>-6.4</v>
      </c>
      <c r="E196" s="46"/>
      <c r="L196" s="46"/>
      <c r="AC196" s="46"/>
    </row>
    <row r="197" spans="1:29" x14ac:dyDescent="0.2">
      <c r="A197" s="46">
        <v>42809</v>
      </c>
      <c r="B197" s="45">
        <v>-5.1000000000000005</v>
      </c>
      <c r="E197" s="46"/>
      <c r="L197" s="46"/>
      <c r="AC197" s="46"/>
    </row>
    <row r="198" spans="1:29" x14ac:dyDescent="0.2">
      <c r="A198" s="46">
        <v>42840</v>
      </c>
      <c r="B198" s="45">
        <v>-3.6</v>
      </c>
      <c r="E198" s="46"/>
      <c r="L198" s="46"/>
      <c r="AC198" s="46"/>
    </row>
    <row r="199" spans="1:29" x14ac:dyDescent="0.2">
      <c r="A199" s="46">
        <v>42870</v>
      </c>
      <c r="B199" s="45">
        <v>-3.3000000000000003</v>
      </c>
      <c r="E199" s="46"/>
      <c r="L199" s="46"/>
      <c r="AC199" s="46"/>
    </row>
    <row r="200" spans="1:29" x14ac:dyDescent="0.2">
      <c r="E200" s="46"/>
      <c r="L200" s="46"/>
      <c r="AC200" s="46"/>
    </row>
    <row r="201" spans="1:29" x14ac:dyDescent="0.2">
      <c r="E201" s="46"/>
      <c r="L201" s="46"/>
      <c r="AC201" s="46"/>
    </row>
    <row r="202" spans="1:29" x14ac:dyDescent="0.2">
      <c r="E202" s="46"/>
      <c r="L202" s="46"/>
      <c r="AC202" s="46"/>
    </row>
    <row r="203" spans="1:29" x14ac:dyDescent="0.2">
      <c r="E203" s="46"/>
      <c r="L203" s="46"/>
      <c r="AC203" s="46"/>
    </row>
    <row r="204" spans="1:29" x14ac:dyDescent="0.2">
      <c r="E204" s="46"/>
      <c r="L204" s="46"/>
      <c r="AC204" s="46"/>
    </row>
    <row r="205" spans="1:29" x14ac:dyDescent="0.2">
      <c r="E205" s="46"/>
      <c r="L205" s="46"/>
      <c r="AC205" s="46"/>
    </row>
    <row r="206" spans="1:29" x14ac:dyDescent="0.2">
      <c r="E206" s="46"/>
      <c r="L206" s="46"/>
      <c r="AC206" s="46"/>
    </row>
    <row r="207" spans="1:29" x14ac:dyDescent="0.2">
      <c r="E207" s="46"/>
      <c r="L207" s="46"/>
      <c r="AC207" s="46"/>
    </row>
    <row r="208" spans="1:29" x14ac:dyDescent="0.2">
      <c r="E208" s="46"/>
      <c r="L208" s="46"/>
      <c r="AC208" s="46"/>
    </row>
    <row r="209" spans="5:29" x14ac:dyDescent="0.2">
      <c r="E209" s="46"/>
      <c r="L209" s="46"/>
      <c r="AC209" s="46"/>
    </row>
    <row r="210" spans="5:29" x14ac:dyDescent="0.2">
      <c r="E210" s="46"/>
      <c r="L210" s="46"/>
      <c r="AC210" s="46"/>
    </row>
    <row r="211" spans="5:29" x14ac:dyDescent="0.2">
      <c r="E211" s="46"/>
      <c r="L211" s="46"/>
      <c r="AC211" s="46"/>
    </row>
    <row r="212" spans="5:29" x14ac:dyDescent="0.2">
      <c r="E212" s="46"/>
      <c r="L212" s="46"/>
      <c r="AC212" s="46"/>
    </row>
    <row r="213" spans="5:29" x14ac:dyDescent="0.2">
      <c r="E213" s="46"/>
      <c r="L213" s="46"/>
      <c r="AC213" s="46"/>
    </row>
    <row r="214" spans="5:29" x14ac:dyDescent="0.2">
      <c r="E214" s="46"/>
      <c r="L214" s="46"/>
      <c r="AC214" s="46"/>
    </row>
    <row r="215" spans="5:29" x14ac:dyDescent="0.2">
      <c r="E215" s="46"/>
      <c r="L215" s="46"/>
      <c r="AC215" s="46"/>
    </row>
    <row r="216" spans="5:29" x14ac:dyDescent="0.2">
      <c r="E216" s="46"/>
      <c r="L216" s="46"/>
      <c r="AC216" s="46"/>
    </row>
    <row r="217" spans="5:29" x14ac:dyDescent="0.2">
      <c r="E217" s="46"/>
      <c r="L217" s="46"/>
      <c r="AC217" s="46"/>
    </row>
    <row r="218" spans="5:29" x14ac:dyDescent="0.2">
      <c r="E218" s="46"/>
      <c r="L218" s="46"/>
      <c r="AC218" s="46"/>
    </row>
    <row r="219" spans="5:29" x14ac:dyDescent="0.2">
      <c r="E219" s="46"/>
      <c r="L219" s="46"/>
      <c r="AC219" s="46"/>
    </row>
    <row r="220" spans="5:29" x14ac:dyDescent="0.2">
      <c r="E220" s="46"/>
      <c r="L220" s="46"/>
      <c r="AC220" s="46"/>
    </row>
    <row r="221" spans="5:29" x14ac:dyDescent="0.2">
      <c r="E221" s="46"/>
      <c r="L221" s="46"/>
      <c r="AC221" s="46"/>
    </row>
    <row r="222" spans="5:29" x14ac:dyDescent="0.2">
      <c r="E222" s="46"/>
      <c r="L222" s="46"/>
      <c r="AC222" s="46"/>
    </row>
    <row r="223" spans="5:29" x14ac:dyDescent="0.2">
      <c r="E223" s="46"/>
      <c r="L223" s="46"/>
      <c r="AC223" s="46"/>
    </row>
    <row r="224" spans="5:29" x14ac:dyDescent="0.2">
      <c r="L224" s="46"/>
      <c r="AC224" s="46"/>
    </row>
    <row r="225" spans="12:29" x14ac:dyDescent="0.2">
      <c r="L225" s="46"/>
      <c r="AC225" s="46"/>
    </row>
    <row r="226" spans="12:29" x14ac:dyDescent="0.2">
      <c r="L226" s="46"/>
      <c r="AC226" s="46"/>
    </row>
    <row r="227" spans="12:29" x14ac:dyDescent="0.2">
      <c r="L227" s="46"/>
      <c r="AC227" s="46"/>
    </row>
    <row r="228" spans="12:29" x14ac:dyDescent="0.2">
      <c r="L228" s="46"/>
    </row>
    <row r="229" spans="12:29" x14ac:dyDescent="0.2">
      <c r="L229" s="46"/>
    </row>
    <row r="230" spans="12:29" x14ac:dyDescent="0.2">
      <c r="L230" s="46"/>
    </row>
    <row r="231" spans="12:29" x14ac:dyDescent="0.2">
      <c r="L231" s="46"/>
    </row>
    <row r="232" spans="12:29" x14ac:dyDescent="0.2">
      <c r="L232" s="46"/>
    </row>
    <row r="233" spans="12:29" x14ac:dyDescent="0.2">
      <c r="L233" s="46"/>
    </row>
    <row r="234" spans="12:29" x14ac:dyDescent="0.2">
      <c r="L234" s="46"/>
    </row>
    <row r="235" spans="12:29" x14ac:dyDescent="0.2">
      <c r="L235" s="4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97"/>
  <sheetViews>
    <sheetView tabSelected="1" topLeftCell="A59" zoomScale="75" zoomScaleNormal="90" workbookViewId="0">
      <selection activeCell="P24" sqref="P24"/>
    </sheetView>
  </sheetViews>
  <sheetFormatPr baseColWidth="10" defaultColWidth="8.83203125" defaultRowHeight="15" x14ac:dyDescent="0.2"/>
  <cols>
    <col min="1" max="1" width="37.33203125" customWidth="1"/>
    <col min="2" max="2" width="14.6640625" bestFit="1" customWidth="1"/>
    <col min="3" max="3" width="20.5" customWidth="1"/>
    <col min="4" max="4" width="16.5" bestFit="1" customWidth="1"/>
    <col min="5" max="5" width="13.5" customWidth="1"/>
    <col min="6" max="6" width="12.33203125" customWidth="1"/>
    <col min="7" max="7" width="15.1640625" customWidth="1"/>
    <col min="8" max="8" width="12.5" customWidth="1"/>
    <col min="9" max="9" width="9.83203125" customWidth="1"/>
  </cols>
  <sheetData>
    <row r="2" spans="1:43" x14ac:dyDescent="0.2">
      <c r="G2" s="21"/>
    </row>
    <row r="3" spans="1:43" x14ac:dyDescent="0.2">
      <c r="A3" s="21"/>
      <c r="B3" s="21"/>
      <c r="C3" s="21"/>
      <c r="D3" s="21"/>
      <c r="G3" s="98" t="s">
        <v>854</v>
      </c>
      <c r="H3" s="87">
        <v>2001</v>
      </c>
      <c r="I3" s="87">
        <v>2002</v>
      </c>
      <c r="J3" s="87">
        <v>2003</v>
      </c>
      <c r="K3" s="87">
        <v>2004</v>
      </c>
      <c r="L3" s="87">
        <v>2005</v>
      </c>
      <c r="M3" s="87">
        <v>2006</v>
      </c>
      <c r="N3" s="87">
        <v>2007</v>
      </c>
      <c r="O3" s="87">
        <v>2008</v>
      </c>
      <c r="P3" s="87">
        <v>2009</v>
      </c>
      <c r="Q3" s="87">
        <v>2010</v>
      </c>
      <c r="R3" s="87">
        <v>2011</v>
      </c>
      <c r="S3" s="87">
        <v>2012</v>
      </c>
      <c r="T3" s="87">
        <v>2013</v>
      </c>
      <c r="U3" s="87">
        <v>2014</v>
      </c>
      <c r="V3" s="87">
        <v>2015</v>
      </c>
      <c r="W3" s="87">
        <v>2016</v>
      </c>
      <c r="X3" s="87" t="s">
        <v>851</v>
      </c>
      <c r="Y3" s="87" t="s">
        <v>852</v>
      </c>
    </row>
    <row r="4" spans="1:43" x14ac:dyDescent="0.2">
      <c r="B4" s="22"/>
      <c r="C4" s="22"/>
      <c r="D4" s="22"/>
      <c r="E4" s="23"/>
      <c r="G4" s="87" t="s">
        <v>11</v>
      </c>
      <c r="H4" s="87">
        <v>6</v>
      </c>
      <c r="I4" s="87">
        <v>4</v>
      </c>
      <c r="J4" s="87">
        <v>0</v>
      </c>
      <c r="K4" s="87">
        <v>2</v>
      </c>
      <c r="L4" s="87">
        <v>5</v>
      </c>
      <c r="M4" s="87">
        <v>8</v>
      </c>
      <c r="N4" s="87">
        <v>5</v>
      </c>
      <c r="O4" s="87">
        <v>1</v>
      </c>
      <c r="P4" s="87">
        <v>0</v>
      </c>
      <c r="Q4" s="87">
        <v>3</v>
      </c>
      <c r="R4" s="87">
        <v>5</v>
      </c>
      <c r="S4" s="87">
        <v>0</v>
      </c>
      <c r="T4" s="87">
        <v>1</v>
      </c>
      <c r="U4" s="87">
        <v>13</v>
      </c>
      <c r="V4" s="87">
        <v>19</v>
      </c>
      <c r="W4" s="87">
        <v>12</v>
      </c>
      <c r="X4" s="87">
        <f>SUM(H4:W4)</f>
        <v>84</v>
      </c>
      <c r="Y4" s="87"/>
    </row>
    <row r="5" spans="1:43" x14ac:dyDescent="0.2">
      <c r="B5" s="22"/>
      <c r="C5" s="22"/>
      <c r="D5" s="22"/>
      <c r="G5" s="87" t="s">
        <v>50</v>
      </c>
      <c r="H5" s="87">
        <v>2</v>
      </c>
      <c r="I5" s="87">
        <v>0</v>
      </c>
      <c r="J5" s="87">
        <v>1</v>
      </c>
      <c r="K5" s="87">
        <v>6</v>
      </c>
      <c r="L5" s="87">
        <v>20</v>
      </c>
      <c r="M5" s="87">
        <v>14</v>
      </c>
      <c r="N5" s="87">
        <v>8</v>
      </c>
      <c r="O5" s="87">
        <v>0</v>
      </c>
      <c r="P5" s="87">
        <v>0</v>
      </c>
      <c r="Q5" s="87">
        <v>8</v>
      </c>
      <c r="R5" s="87">
        <v>4</v>
      </c>
      <c r="S5" s="87">
        <v>2</v>
      </c>
      <c r="T5" s="87">
        <v>6</v>
      </c>
      <c r="U5" s="87">
        <v>9</v>
      </c>
      <c r="V5" s="87">
        <v>5</v>
      </c>
      <c r="W5" s="87">
        <v>2</v>
      </c>
      <c r="X5" s="87">
        <f t="shared" ref="X5:X7" si="0">SUM(H5:W5)</f>
        <v>87</v>
      </c>
      <c r="Y5" s="87"/>
    </row>
    <row r="6" spans="1:43" x14ac:dyDescent="0.2">
      <c r="G6" s="87" t="s">
        <v>59</v>
      </c>
      <c r="H6" s="87">
        <v>3</v>
      </c>
      <c r="I6" s="87">
        <v>0</v>
      </c>
      <c r="J6" s="87">
        <v>0</v>
      </c>
      <c r="K6" s="87">
        <v>0</v>
      </c>
      <c r="L6" s="87">
        <v>2</v>
      </c>
      <c r="M6" s="87">
        <v>4</v>
      </c>
      <c r="N6" s="87">
        <v>4</v>
      </c>
      <c r="O6" s="87">
        <v>2</v>
      </c>
      <c r="P6" s="87">
        <v>1</v>
      </c>
      <c r="Q6" s="87">
        <v>3</v>
      </c>
      <c r="R6" s="87">
        <v>1</v>
      </c>
      <c r="S6" s="87">
        <v>0</v>
      </c>
      <c r="T6" s="87">
        <v>1</v>
      </c>
      <c r="U6" s="87">
        <v>2</v>
      </c>
      <c r="V6" s="87">
        <v>1</v>
      </c>
      <c r="W6" s="87">
        <v>3</v>
      </c>
      <c r="X6" s="87">
        <f t="shared" si="0"/>
        <v>27</v>
      </c>
      <c r="Y6" s="87"/>
    </row>
    <row r="7" spans="1:43" x14ac:dyDescent="0.2">
      <c r="G7" s="87" t="s">
        <v>353</v>
      </c>
      <c r="H7" s="87">
        <v>0</v>
      </c>
      <c r="I7" s="87">
        <v>0</v>
      </c>
      <c r="J7" s="87">
        <v>0</v>
      </c>
      <c r="K7" s="87">
        <v>1</v>
      </c>
      <c r="L7" s="87">
        <v>2</v>
      </c>
      <c r="M7" s="87">
        <v>5</v>
      </c>
      <c r="N7" s="87">
        <v>2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2</v>
      </c>
      <c r="U7" s="87">
        <v>0</v>
      </c>
      <c r="V7" s="87">
        <v>6</v>
      </c>
      <c r="W7" s="87">
        <v>3</v>
      </c>
      <c r="X7" s="87">
        <f t="shared" si="0"/>
        <v>21</v>
      </c>
      <c r="Y7" s="87"/>
    </row>
    <row r="8" spans="1:43" x14ac:dyDescent="0.2">
      <c r="G8" s="87" t="s">
        <v>851</v>
      </c>
      <c r="H8" s="99">
        <f>SUM(H4:H7)</f>
        <v>11</v>
      </c>
      <c r="I8" s="99">
        <f t="shared" ref="I8:W8" si="1">SUM(I4:I7)</f>
        <v>4</v>
      </c>
      <c r="J8" s="99">
        <f t="shared" si="1"/>
        <v>1</v>
      </c>
      <c r="K8" s="99">
        <f t="shared" si="1"/>
        <v>9</v>
      </c>
      <c r="L8" s="99">
        <v>29</v>
      </c>
      <c r="M8" s="99">
        <f t="shared" si="1"/>
        <v>31</v>
      </c>
      <c r="N8" s="99">
        <f t="shared" si="1"/>
        <v>19</v>
      </c>
      <c r="O8" s="99">
        <f t="shared" si="1"/>
        <v>3</v>
      </c>
      <c r="P8" s="99">
        <f t="shared" si="1"/>
        <v>1</v>
      </c>
      <c r="Q8" s="99">
        <f t="shared" si="1"/>
        <v>14</v>
      </c>
      <c r="R8" s="99">
        <f t="shared" si="1"/>
        <v>10</v>
      </c>
      <c r="S8" s="99">
        <f t="shared" si="1"/>
        <v>2</v>
      </c>
      <c r="T8" s="99">
        <f t="shared" si="1"/>
        <v>10</v>
      </c>
      <c r="U8" s="99">
        <f t="shared" si="1"/>
        <v>24</v>
      </c>
      <c r="V8" s="99">
        <f t="shared" si="1"/>
        <v>31</v>
      </c>
      <c r="W8" s="99">
        <f t="shared" si="1"/>
        <v>20</v>
      </c>
      <c r="X8" s="99">
        <f>SUM(X4:X7)</f>
        <v>219</v>
      </c>
      <c r="Y8" s="87"/>
    </row>
    <row r="9" spans="1:43" x14ac:dyDescent="0.2">
      <c r="G9" s="87" t="s">
        <v>853</v>
      </c>
      <c r="H9" s="99">
        <f>H8</f>
        <v>11</v>
      </c>
      <c r="I9" s="99">
        <f t="shared" ref="I9:X9" si="2">I8</f>
        <v>4</v>
      </c>
      <c r="J9" s="99">
        <f t="shared" si="2"/>
        <v>1</v>
      </c>
      <c r="K9" s="99">
        <f t="shared" si="2"/>
        <v>9</v>
      </c>
      <c r="L9" s="99">
        <f t="shared" si="2"/>
        <v>29</v>
      </c>
      <c r="M9" s="99">
        <f t="shared" si="2"/>
        <v>31</v>
      </c>
      <c r="N9" s="99">
        <f t="shared" si="2"/>
        <v>19</v>
      </c>
      <c r="O9" s="99">
        <f t="shared" si="2"/>
        <v>3</v>
      </c>
      <c r="P9" s="99">
        <f t="shared" si="2"/>
        <v>1</v>
      </c>
      <c r="Q9" s="99">
        <f t="shared" si="2"/>
        <v>14</v>
      </c>
      <c r="R9" s="99">
        <f t="shared" si="2"/>
        <v>10</v>
      </c>
      <c r="S9" s="99">
        <f t="shared" si="2"/>
        <v>2</v>
      </c>
      <c r="T9" s="99">
        <f t="shared" si="2"/>
        <v>10</v>
      </c>
      <c r="U9" s="99">
        <f t="shared" si="2"/>
        <v>24</v>
      </c>
      <c r="V9" s="99">
        <f t="shared" si="2"/>
        <v>31</v>
      </c>
      <c r="W9" s="99">
        <f t="shared" si="2"/>
        <v>20</v>
      </c>
      <c r="X9" s="99">
        <f t="shared" si="2"/>
        <v>219</v>
      </c>
      <c r="Y9" s="100">
        <f>AVERAGE(H9:W9)</f>
        <v>13.6875</v>
      </c>
    </row>
    <row r="10" spans="1:43" x14ac:dyDescent="0.2">
      <c r="G10" s="87">
        <v>1</v>
      </c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</row>
    <row r="11" spans="1:43" x14ac:dyDescent="0.2">
      <c r="G11" s="87">
        <v>2</v>
      </c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</row>
    <row r="12" spans="1:43" x14ac:dyDescent="0.2">
      <c r="A12" s="21"/>
      <c r="G12" s="87" t="s">
        <v>880</v>
      </c>
      <c r="H12" s="101">
        <v>2E-3</v>
      </c>
      <c r="I12" s="101">
        <v>2.4E-2</v>
      </c>
      <c r="J12" s="101">
        <v>3.4000000000000002E-2</v>
      </c>
      <c r="K12" s="101">
        <v>3.3000000000000002E-2</v>
      </c>
      <c r="L12" s="101">
        <v>3.4000000000000002E-2</v>
      </c>
      <c r="M12" s="101">
        <v>4.9000000000000002E-2</v>
      </c>
      <c r="N12" s="101">
        <v>2.1000000000000001E-2</v>
      </c>
      <c r="O12" s="101">
        <v>1.52E-2</v>
      </c>
      <c r="P12" s="101">
        <v>-0.13500000000000001</v>
      </c>
      <c r="Q12" s="101">
        <v>-2.2100000000000002E-2</v>
      </c>
      <c r="R12" s="101">
        <v>1.6E-2</v>
      </c>
      <c r="S12" s="101">
        <v>-3.2000000000000001E-2</v>
      </c>
      <c r="T12" s="101">
        <v>1.2E-2</v>
      </c>
      <c r="U12" s="101">
        <v>5.2299999999999999E-2</v>
      </c>
      <c r="V12" s="101">
        <v>0.1076</v>
      </c>
      <c r="W12" s="101">
        <v>0.108</v>
      </c>
      <c r="X12" s="101"/>
      <c r="Y12" s="87"/>
    </row>
    <row r="13" spans="1:43" x14ac:dyDescent="0.2">
      <c r="A13" s="21"/>
      <c r="G13" s="87" t="s">
        <v>861</v>
      </c>
      <c r="H13" s="87">
        <f>IF(H9&gt;AVERAGE($H$9:$W$9),1,0)</f>
        <v>0</v>
      </c>
      <c r="I13" s="87">
        <f t="shared" ref="I13:W13" si="3">IF(I9&gt;AVERAGE($H$9:$W$9),1,0)</f>
        <v>0</v>
      </c>
      <c r="J13" s="87">
        <f t="shared" si="3"/>
        <v>0</v>
      </c>
      <c r="K13" s="87">
        <f t="shared" si="3"/>
        <v>0</v>
      </c>
      <c r="L13" s="87">
        <f t="shared" si="3"/>
        <v>1</v>
      </c>
      <c r="M13" s="87">
        <f>IF(M9&gt;AVERAGE($H$9:$W$9),1,0)</f>
        <v>1</v>
      </c>
      <c r="N13" s="87">
        <f t="shared" si="3"/>
        <v>1</v>
      </c>
      <c r="O13" s="87">
        <f>IF(O9&gt;AVERAGE($H$9:$W$9),1,0)</f>
        <v>0</v>
      </c>
      <c r="P13" s="87">
        <f t="shared" si="3"/>
        <v>0</v>
      </c>
      <c r="Q13" s="87">
        <f t="shared" si="3"/>
        <v>1</v>
      </c>
      <c r="R13" s="87">
        <f t="shared" si="3"/>
        <v>0</v>
      </c>
      <c r="S13" s="87">
        <f t="shared" si="3"/>
        <v>0</v>
      </c>
      <c r="T13" s="87">
        <f t="shared" si="3"/>
        <v>0</v>
      </c>
      <c r="U13" s="87">
        <f t="shared" si="3"/>
        <v>1</v>
      </c>
      <c r="V13" s="87">
        <f t="shared" si="3"/>
        <v>1</v>
      </c>
      <c r="W13" s="87">
        <f t="shared" si="3"/>
        <v>1</v>
      </c>
      <c r="X13" s="87"/>
      <c r="Y13" s="87"/>
    </row>
    <row r="14" spans="1:43" s="45" customFormat="1" x14ac:dyDescent="0.2">
      <c r="A14" s="21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AA14" s="21"/>
    </row>
    <row r="15" spans="1:43" x14ac:dyDescent="0.2">
      <c r="H15">
        <v>2001</v>
      </c>
      <c r="I15">
        <v>2002</v>
      </c>
      <c r="J15">
        <v>2003</v>
      </c>
      <c r="K15">
        <v>2004</v>
      </c>
      <c r="L15">
        <v>2005</v>
      </c>
      <c r="M15">
        <v>2006</v>
      </c>
      <c r="N15">
        <v>2007</v>
      </c>
      <c r="O15">
        <v>2008</v>
      </c>
      <c r="P15">
        <v>2009</v>
      </c>
      <c r="Q15">
        <v>2010</v>
      </c>
      <c r="R15">
        <v>2011</v>
      </c>
      <c r="S15">
        <v>2012</v>
      </c>
      <c r="T15">
        <v>2013</v>
      </c>
      <c r="U15">
        <v>2014</v>
      </c>
      <c r="V15">
        <v>2015</v>
      </c>
      <c r="W15">
        <v>2016</v>
      </c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x14ac:dyDescent="0.2">
      <c r="B16" s="22"/>
      <c r="C16" s="22"/>
      <c r="D16" s="22"/>
      <c r="E16" s="22"/>
      <c r="G16" s="95" t="s">
        <v>906</v>
      </c>
      <c r="H16" s="123">
        <v>-2.5000000000000001E-2</v>
      </c>
      <c r="I16" s="123">
        <v>2.4E-2</v>
      </c>
      <c r="J16" s="123"/>
      <c r="K16" s="123">
        <v>-0.05</v>
      </c>
      <c r="L16" s="123">
        <v>7.6300000000000007E-2</v>
      </c>
      <c r="M16" s="123">
        <v>6.8000000000000005E-2</v>
      </c>
      <c r="N16" s="123">
        <v>2.9000000000000001E-2</v>
      </c>
      <c r="O16" s="123">
        <v>3.32E-2</v>
      </c>
      <c r="P16" s="123">
        <v>0</v>
      </c>
      <c r="Q16" s="123">
        <v>4.0000000000000001E-3</v>
      </c>
      <c r="R16" s="123">
        <v>-2.0000000000000001E-4</v>
      </c>
      <c r="S16" s="123"/>
      <c r="T16" s="123">
        <v>5.8500000000000003E-2</v>
      </c>
      <c r="U16" s="123">
        <v>8.7499999999999994E-2</v>
      </c>
      <c r="V16" s="123">
        <v>0.10920000000000001</v>
      </c>
      <c r="W16" s="123">
        <v>0.16209999999999999</v>
      </c>
      <c r="X16" s="123"/>
      <c r="Y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</row>
    <row r="17" spans="1:43" x14ac:dyDescent="0.2">
      <c r="G17" s="95" t="s">
        <v>907</v>
      </c>
      <c r="H17" s="123">
        <v>5.8999999999999997E-2</v>
      </c>
      <c r="I17" s="123"/>
      <c r="J17" s="123"/>
      <c r="K17" s="123"/>
      <c r="L17" s="123">
        <v>0.13500000000000001</v>
      </c>
      <c r="M17" s="123">
        <v>5.7000000000000002E-2</v>
      </c>
      <c r="N17" s="123">
        <v>-0.01</v>
      </c>
      <c r="O17" s="123">
        <v>6.0000000000000001E-3</v>
      </c>
      <c r="P17" s="123">
        <v>-0.13500000000000001</v>
      </c>
      <c r="Q17" s="123">
        <v>9.2999999999999999E-2</v>
      </c>
      <c r="R17" s="123">
        <v>3.5000000000000003E-2</v>
      </c>
      <c r="S17" s="123"/>
      <c r="T17" s="123">
        <v>4.8000000000000001E-2</v>
      </c>
      <c r="U17" s="123">
        <v>0.16900000000000001</v>
      </c>
      <c r="V17" s="123">
        <v>0.25600000000000001</v>
      </c>
      <c r="W17" s="123">
        <v>1.2999999999999999E-2</v>
      </c>
      <c r="X17" s="123"/>
      <c r="Y17" s="123"/>
      <c r="Z17" s="45"/>
      <c r="AA17" s="45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</row>
    <row r="18" spans="1:43" x14ac:dyDescent="0.2">
      <c r="B18" s="24"/>
      <c r="C18" s="24"/>
      <c r="D18" s="24"/>
      <c r="E18" s="24"/>
      <c r="G18" s="95" t="s">
        <v>955</v>
      </c>
      <c r="H18" s="123"/>
      <c r="I18" s="123"/>
      <c r="J18" s="123"/>
      <c r="K18" s="123">
        <v>6.0999999999999999E-2</v>
      </c>
      <c r="L18" s="123">
        <v>4.5999999999999999E-2</v>
      </c>
      <c r="M18" s="123">
        <v>3.5000000000000003E-2</v>
      </c>
      <c r="N18" s="123">
        <v>0.112</v>
      </c>
      <c r="O18" s="123"/>
      <c r="P18" s="123"/>
      <c r="Q18" s="123"/>
      <c r="R18" s="123"/>
      <c r="S18" s="123"/>
      <c r="T18" s="123">
        <v>4.1000000000000002E-2</v>
      </c>
      <c r="U18" s="123"/>
      <c r="V18" s="123">
        <v>0.14799999999999999</v>
      </c>
      <c r="W18" s="123">
        <v>5.1999999999999998E-2</v>
      </c>
      <c r="X18" s="123"/>
      <c r="Y18" s="123"/>
      <c r="AA18" s="45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</row>
    <row r="19" spans="1:43" x14ac:dyDescent="0.2">
      <c r="G19" s="95" t="s">
        <v>908</v>
      </c>
      <c r="H19" s="123">
        <v>-4.0000000000000001E-3</v>
      </c>
      <c r="I19" s="123"/>
      <c r="J19" s="123">
        <v>3.4000000000000002E-2</v>
      </c>
      <c r="K19" s="123">
        <v>5.7000000000000002E-2</v>
      </c>
      <c r="L19" s="123">
        <v>1.0999999999999999E-2</v>
      </c>
      <c r="M19" s="123">
        <v>4.1000000000000002E-2</v>
      </c>
      <c r="N19" s="123">
        <v>8.0000000000000002E-3</v>
      </c>
      <c r="O19" s="123"/>
      <c r="P19" s="123"/>
      <c r="Q19" s="123">
        <v>-7.4999999999999997E-2</v>
      </c>
      <c r="R19" s="123">
        <v>3.2000000000000001E-2</v>
      </c>
      <c r="S19" s="123">
        <v>-3.2000000000000001E-2</v>
      </c>
      <c r="T19" s="123">
        <v>-1.0999999999999999E-2</v>
      </c>
      <c r="U19" s="123">
        <v>-2.4E-2</v>
      </c>
      <c r="V19" s="123">
        <v>2.4E-2</v>
      </c>
      <c r="W19" s="123">
        <v>1.4E-2</v>
      </c>
      <c r="X19" s="123"/>
      <c r="Y19" s="123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</row>
    <row r="20" spans="1:43" x14ac:dyDescent="0.2">
      <c r="A20" s="21"/>
      <c r="G20" s="95" t="s">
        <v>852</v>
      </c>
      <c r="H20" s="124">
        <v>0.01</v>
      </c>
      <c r="I20" s="124">
        <v>2.4E-2</v>
      </c>
      <c r="J20" s="124">
        <v>3.4000000000000002E-2</v>
      </c>
      <c r="K20" s="124">
        <v>2.2700000000000001E-2</v>
      </c>
      <c r="L20" s="124">
        <v>6.7100000000000007E-2</v>
      </c>
      <c r="M20" s="124">
        <v>5.0299999999999997E-2</v>
      </c>
      <c r="N20" s="124">
        <v>3.4799999999999998E-2</v>
      </c>
      <c r="O20" s="124">
        <v>1.9599999999999999E-2</v>
      </c>
      <c r="P20" s="124">
        <v>-0.13500000000000001</v>
      </c>
      <c r="Q20" s="124">
        <v>7.3000000000000001E-3</v>
      </c>
      <c r="R20" s="124">
        <v>2.23E-2</v>
      </c>
      <c r="S20" s="124">
        <v>-3.2000000000000001E-2</v>
      </c>
      <c r="T20" s="124">
        <v>3.4099999999999998E-2</v>
      </c>
      <c r="U20" s="124">
        <v>7.7499999999999999E-2</v>
      </c>
      <c r="V20" s="124">
        <v>0.1343</v>
      </c>
      <c r="W20" s="124">
        <v>6.0299999999999999E-2</v>
      </c>
      <c r="X20" s="125"/>
      <c r="Y20" s="124"/>
    </row>
    <row r="21" spans="1:43" x14ac:dyDescent="0.2">
      <c r="B21" s="25"/>
      <c r="G21" s="95"/>
      <c r="H21" s="95"/>
      <c r="I21" s="95"/>
      <c r="J21" s="95"/>
      <c r="K21" s="122"/>
      <c r="L21" s="122"/>
      <c r="M21" s="122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x14ac:dyDescent="0.2">
      <c r="B22" s="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</row>
    <row r="23" spans="1:43" x14ac:dyDescent="0.2">
      <c r="B23" s="22"/>
      <c r="Z23" s="45"/>
      <c r="AA23" s="45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</row>
    <row r="24" spans="1:43" x14ac:dyDescent="0.2">
      <c r="Z24" s="45"/>
      <c r="AA24" s="45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</row>
    <row r="25" spans="1:43" x14ac:dyDescent="0.2"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</row>
    <row r="27" spans="1:43" x14ac:dyDescent="0.2"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</row>
    <row r="28" spans="1:43" x14ac:dyDescent="0.2"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</row>
    <row r="29" spans="1:43" x14ac:dyDescent="0.2">
      <c r="A29" s="21"/>
      <c r="B29" s="21"/>
      <c r="C29" s="21"/>
      <c r="AA29" s="45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</row>
    <row r="30" spans="1:43" x14ac:dyDescent="0.2">
      <c r="B30" s="22"/>
      <c r="C30" s="22"/>
      <c r="AA30" s="45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</row>
    <row r="31" spans="1:43" x14ac:dyDescent="0.2">
      <c r="B31" s="27"/>
      <c r="C31" s="2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</row>
    <row r="32" spans="1:43" x14ac:dyDescent="0.2">
      <c r="B32" s="22"/>
      <c r="C32" s="22"/>
    </row>
    <row r="33" spans="1:43" x14ac:dyDescent="0.2">
      <c r="B33" s="22"/>
      <c r="C33" s="22"/>
    </row>
    <row r="34" spans="1:43" x14ac:dyDescent="0.2">
      <c r="B34" s="24"/>
      <c r="C34" s="24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</row>
    <row r="35" spans="1:43" x14ac:dyDescent="0.2">
      <c r="B35" s="24"/>
      <c r="C35" s="24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</row>
    <row r="36" spans="1:43" x14ac:dyDescent="0.2">
      <c r="G36" s="22"/>
      <c r="AA36" s="45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</row>
    <row r="37" spans="1:43" x14ac:dyDescent="0.2">
      <c r="G37" s="27"/>
      <c r="AA37" s="45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</row>
    <row r="38" spans="1:43" x14ac:dyDescent="0.2">
      <c r="G38" s="22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</row>
    <row r="39" spans="1:43" x14ac:dyDescent="0.2">
      <c r="G39" s="22"/>
    </row>
    <row r="40" spans="1:43" x14ac:dyDescent="0.2">
      <c r="G40" s="24"/>
    </row>
    <row r="41" spans="1:43" x14ac:dyDescent="0.2">
      <c r="A41" s="21"/>
      <c r="G41" s="24"/>
    </row>
    <row r="42" spans="1:43" x14ac:dyDescent="0.2">
      <c r="C42" s="26"/>
      <c r="D42" s="26"/>
      <c r="E42" s="22"/>
    </row>
    <row r="43" spans="1:43" x14ac:dyDescent="0.2">
      <c r="C43" s="26"/>
      <c r="D43" s="26"/>
      <c r="E43" s="22"/>
    </row>
    <row r="47" spans="1:43" x14ac:dyDescent="0.2">
      <c r="A47" s="21" t="s">
        <v>855</v>
      </c>
    </row>
    <row r="48" spans="1:43" x14ac:dyDescent="0.2">
      <c r="B48" t="s">
        <v>864</v>
      </c>
      <c r="C48" t="s">
        <v>865</v>
      </c>
      <c r="D48" t="s">
        <v>866</v>
      </c>
      <c r="E48" t="s">
        <v>867</v>
      </c>
      <c r="F48" t="s">
        <v>868</v>
      </c>
      <c r="G48" t="s">
        <v>869</v>
      </c>
      <c r="H48" s="28" t="s">
        <v>870</v>
      </c>
      <c r="I48" t="s">
        <v>871</v>
      </c>
      <c r="J48" t="s">
        <v>872</v>
      </c>
      <c r="K48" t="s">
        <v>873</v>
      </c>
      <c r="L48" t="s">
        <v>874</v>
      </c>
      <c r="M48" t="s">
        <v>875</v>
      </c>
      <c r="N48" t="s">
        <v>876</v>
      </c>
      <c r="O48" t="s">
        <v>877</v>
      </c>
      <c r="P48" t="s">
        <v>878</v>
      </c>
      <c r="Q48" t="s">
        <v>879</v>
      </c>
    </row>
    <row r="49" spans="1:18" x14ac:dyDescent="0.2">
      <c r="A49" t="s">
        <v>851</v>
      </c>
      <c r="B49" s="25">
        <v>0</v>
      </c>
      <c r="C49" s="25">
        <v>6</v>
      </c>
      <c r="D49" s="25">
        <v>4</v>
      </c>
      <c r="E49" s="25">
        <v>2</v>
      </c>
      <c r="F49" s="25">
        <v>2</v>
      </c>
      <c r="G49" s="25">
        <v>10</v>
      </c>
      <c r="H49" s="25">
        <v>17</v>
      </c>
      <c r="I49" s="25">
        <v>33</v>
      </c>
      <c r="J49" s="25">
        <v>37</v>
      </c>
      <c r="K49" s="25">
        <v>24</v>
      </c>
      <c r="L49" s="25">
        <v>17</v>
      </c>
      <c r="M49" s="25">
        <v>14</v>
      </c>
      <c r="N49" s="25">
        <v>15</v>
      </c>
      <c r="O49" s="25">
        <v>7</v>
      </c>
      <c r="P49" s="25">
        <v>23</v>
      </c>
      <c r="Q49" s="25">
        <v>8</v>
      </c>
    </row>
    <row r="50" spans="1:18" x14ac:dyDescent="0.2">
      <c r="A50" t="s">
        <v>906</v>
      </c>
      <c r="B50" s="25">
        <v>0</v>
      </c>
      <c r="C50" s="25">
        <v>2</v>
      </c>
      <c r="D50" s="25">
        <v>2</v>
      </c>
      <c r="E50" s="25">
        <v>0</v>
      </c>
      <c r="F50" s="25">
        <v>2</v>
      </c>
      <c r="G50" s="25">
        <v>5</v>
      </c>
      <c r="H50" s="25">
        <v>2</v>
      </c>
      <c r="I50" s="25">
        <v>10</v>
      </c>
      <c r="J50" s="25">
        <v>11</v>
      </c>
      <c r="K50" s="25">
        <v>9</v>
      </c>
      <c r="L50" s="25">
        <v>7</v>
      </c>
      <c r="M50" s="25">
        <v>6</v>
      </c>
      <c r="N50" s="25">
        <v>4</v>
      </c>
      <c r="O50" s="25">
        <v>6</v>
      </c>
      <c r="P50" s="25">
        <v>11</v>
      </c>
      <c r="Q50" s="25">
        <v>7</v>
      </c>
      <c r="R50">
        <f>SUM(B50:Q50)</f>
        <v>84</v>
      </c>
    </row>
    <row r="51" spans="1:18" x14ac:dyDescent="0.2">
      <c r="A51" t="s">
        <v>907</v>
      </c>
      <c r="B51" s="25">
        <v>0</v>
      </c>
      <c r="C51" s="25">
        <v>1</v>
      </c>
      <c r="D51" s="25">
        <v>1</v>
      </c>
      <c r="E51" s="25">
        <v>0</v>
      </c>
      <c r="F51" s="25">
        <v>0</v>
      </c>
      <c r="G51" s="25">
        <v>0</v>
      </c>
      <c r="H51" s="25">
        <v>1</v>
      </c>
      <c r="I51" s="25">
        <v>3</v>
      </c>
      <c r="J51" s="25">
        <v>4</v>
      </c>
      <c r="K51" s="25">
        <v>5</v>
      </c>
      <c r="L51" s="25">
        <v>1</v>
      </c>
      <c r="M51" s="25">
        <v>1</v>
      </c>
      <c r="N51" s="25">
        <v>4</v>
      </c>
      <c r="O51" s="25">
        <v>1</v>
      </c>
      <c r="P51" s="25">
        <v>5</v>
      </c>
      <c r="Q51" s="25">
        <v>0</v>
      </c>
      <c r="R51" s="45">
        <f>SUM(B51:Q51)</f>
        <v>27</v>
      </c>
    </row>
    <row r="52" spans="1:18" x14ac:dyDescent="0.2">
      <c r="A52" s="120" t="s">
        <v>955</v>
      </c>
      <c r="B52" s="25">
        <v>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3</v>
      </c>
      <c r="J52" s="25">
        <v>4</v>
      </c>
      <c r="K52" s="25">
        <v>1</v>
      </c>
      <c r="L52" s="25">
        <v>4</v>
      </c>
      <c r="M52" s="25">
        <v>2</v>
      </c>
      <c r="N52" s="25">
        <v>4</v>
      </c>
      <c r="O52" s="25">
        <v>0</v>
      </c>
      <c r="P52" s="25">
        <v>2</v>
      </c>
      <c r="Q52" s="25">
        <v>1</v>
      </c>
      <c r="R52" s="45">
        <f>SUM(B52:Q52)</f>
        <v>21</v>
      </c>
    </row>
    <row r="53" spans="1:18" x14ac:dyDescent="0.2">
      <c r="A53" t="s">
        <v>908</v>
      </c>
      <c r="B53" s="25">
        <v>0</v>
      </c>
      <c r="C53" s="121">
        <v>3</v>
      </c>
      <c r="D53" s="121">
        <v>1</v>
      </c>
      <c r="E53" s="121">
        <v>2</v>
      </c>
      <c r="F53" s="121">
        <v>0</v>
      </c>
      <c r="G53" s="121">
        <v>5</v>
      </c>
      <c r="H53" s="121">
        <v>14</v>
      </c>
      <c r="I53" s="121">
        <v>17</v>
      </c>
      <c r="J53" s="121">
        <v>18</v>
      </c>
      <c r="K53" s="121">
        <v>9</v>
      </c>
      <c r="L53" s="121">
        <v>5</v>
      </c>
      <c r="M53" s="121">
        <v>5</v>
      </c>
      <c r="N53" s="121">
        <v>3</v>
      </c>
      <c r="O53" s="121">
        <v>0</v>
      </c>
      <c r="P53" s="121">
        <v>5</v>
      </c>
      <c r="Q53" s="121">
        <v>0</v>
      </c>
      <c r="R53" s="26">
        <f>SUM(C53:Q53)</f>
        <v>87</v>
      </c>
    </row>
    <row r="54" spans="1:18" x14ac:dyDescent="0.2">
      <c r="C54" s="22"/>
      <c r="D54" s="22"/>
    </row>
    <row r="56" spans="1:18" x14ac:dyDescent="0.2">
      <c r="B56" s="45" t="s">
        <v>864</v>
      </c>
      <c r="C56" s="45" t="s">
        <v>984</v>
      </c>
      <c r="D56" s="45" t="s">
        <v>985</v>
      </c>
      <c r="E56" s="45" t="s">
        <v>986</v>
      </c>
      <c r="F56" s="45" t="s">
        <v>987</v>
      </c>
      <c r="G56" s="45" t="s">
        <v>988</v>
      </c>
      <c r="H56" s="28" t="s">
        <v>989</v>
      </c>
      <c r="I56" s="45" t="s">
        <v>990</v>
      </c>
      <c r="J56" s="45" t="s">
        <v>989</v>
      </c>
      <c r="K56" s="45" t="s">
        <v>988</v>
      </c>
      <c r="L56" s="45" t="s">
        <v>987</v>
      </c>
      <c r="M56" s="45" t="s">
        <v>986</v>
      </c>
      <c r="N56" s="45" t="s">
        <v>985</v>
      </c>
      <c r="O56" s="45" t="s">
        <v>991</v>
      </c>
      <c r="P56" s="45" t="s">
        <v>992</v>
      </c>
      <c r="Q56" s="45" t="s">
        <v>879</v>
      </c>
    </row>
    <row r="57" spans="1:18" x14ac:dyDescent="0.2">
      <c r="A57" t="s">
        <v>993</v>
      </c>
      <c r="B57" s="25">
        <v>0</v>
      </c>
      <c r="C57" s="25">
        <v>2</v>
      </c>
      <c r="D57" s="25">
        <v>2</v>
      </c>
      <c r="E57" s="25">
        <v>0</v>
      </c>
      <c r="F57" s="25">
        <v>2</v>
      </c>
      <c r="G57" s="25">
        <v>5</v>
      </c>
      <c r="H57" s="25">
        <v>2</v>
      </c>
      <c r="I57" s="25">
        <v>10</v>
      </c>
      <c r="J57" s="25">
        <v>11</v>
      </c>
      <c r="K57" s="25">
        <v>9</v>
      </c>
      <c r="L57" s="25">
        <v>7</v>
      </c>
      <c r="M57" s="25">
        <v>6</v>
      </c>
      <c r="N57" s="25">
        <v>4</v>
      </c>
      <c r="O57" s="25">
        <v>6</v>
      </c>
      <c r="P57" s="25">
        <v>11</v>
      </c>
      <c r="Q57" s="25">
        <v>7</v>
      </c>
    </row>
    <row r="60" spans="1:18" x14ac:dyDescent="0.2">
      <c r="B60" s="45" t="s">
        <v>864</v>
      </c>
      <c r="C60" s="45" t="str">
        <f>C56</f>
        <v>&lt;-15%</v>
      </c>
      <c r="D60" s="45" t="str">
        <f t="shared" ref="D60:Q60" si="4">D56</f>
        <v>&lt;12.5%</v>
      </c>
      <c r="E60" s="45" t="str">
        <f t="shared" si="4"/>
        <v>&lt;10%</v>
      </c>
      <c r="F60" s="45" t="str">
        <f t="shared" si="4"/>
        <v>&lt;7.5%</v>
      </c>
      <c r="G60" s="45" t="str">
        <f t="shared" si="4"/>
        <v>&lt;5%</v>
      </c>
      <c r="H60" s="45" t="str">
        <f t="shared" si="4"/>
        <v>&lt;2.5%</v>
      </c>
      <c r="I60" s="45" t="str">
        <f t="shared" si="4"/>
        <v>&lt;0%</v>
      </c>
      <c r="J60" s="45" t="str">
        <f t="shared" si="4"/>
        <v>&lt;2.5%</v>
      </c>
      <c r="K60" s="45" t="str">
        <f t="shared" si="4"/>
        <v>&lt;5%</v>
      </c>
      <c r="L60" s="45" t="str">
        <f t="shared" si="4"/>
        <v>&lt;7.5%</v>
      </c>
      <c r="M60" s="45" t="str">
        <f t="shared" si="4"/>
        <v>&lt;10%</v>
      </c>
      <c r="N60" s="45" t="str">
        <f t="shared" si="4"/>
        <v>&lt;12.5%</v>
      </c>
      <c r="O60" s="45" t="str">
        <f t="shared" si="4"/>
        <v>&lt;15%</v>
      </c>
      <c r="P60" s="45" t="str">
        <f t="shared" si="4"/>
        <v>&lt;30%</v>
      </c>
      <c r="Q60" s="45" t="str">
        <f t="shared" si="4"/>
        <v>&gt;30%</v>
      </c>
    </row>
    <row r="61" spans="1:18" x14ac:dyDescent="0.2">
      <c r="A61" t="str">
        <f>A57</f>
        <v>Frq.</v>
      </c>
      <c r="B61" s="25">
        <v>0</v>
      </c>
      <c r="C61" s="121">
        <v>3</v>
      </c>
      <c r="D61" s="121">
        <v>1</v>
      </c>
      <c r="E61" s="121">
        <v>2</v>
      </c>
      <c r="F61" s="121">
        <v>0</v>
      </c>
      <c r="G61" s="121">
        <v>5</v>
      </c>
      <c r="H61" s="121">
        <v>14</v>
      </c>
      <c r="I61" s="121">
        <v>17</v>
      </c>
      <c r="J61" s="121">
        <v>18</v>
      </c>
      <c r="K61" s="121">
        <v>9</v>
      </c>
      <c r="L61" s="121">
        <v>5</v>
      </c>
      <c r="M61" s="121">
        <v>5</v>
      </c>
      <c r="N61" s="121">
        <v>3</v>
      </c>
      <c r="O61" s="121">
        <v>0</v>
      </c>
      <c r="P61" s="121">
        <v>5</v>
      </c>
      <c r="Q61" s="121">
        <v>0</v>
      </c>
    </row>
    <row r="82" spans="1:17" x14ac:dyDescent="0.2">
      <c r="B82" s="45" t="str">
        <f>B60</f>
        <v>&lt;-30%</v>
      </c>
      <c r="C82" s="45" t="str">
        <f t="shared" ref="C82:Q82" si="5">C60</f>
        <v>&lt;-15%</v>
      </c>
      <c r="D82" s="45" t="str">
        <f t="shared" si="5"/>
        <v>&lt;12.5%</v>
      </c>
      <c r="E82" s="45" t="str">
        <f t="shared" si="5"/>
        <v>&lt;10%</v>
      </c>
      <c r="F82" s="45" t="str">
        <f t="shared" si="5"/>
        <v>&lt;7.5%</v>
      </c>
      <c r="G82" s="45" t="str">
        <f t="shared" si="5"/>
        <v>&lt;5%</v>
      </c>
      <c r="H82" s="45" t="str">
        <f t="shared" si="5"/>
        <v>&lt;2.5%</v>
      </c>
      <c r="I82" s="45" t="str">
        <f t="shared" si="5"/>
        <v>&lt;0%</v>
      </c>
      <c r="J82" s="45" t="str">
        <f t="shared" si="5"/>
        <v>&lt;2.5%</v>
      </c>
      <c r="K82" s="45" t="str">
        <f t="shared" si="5"/>
        <v>&lt;5%</v>
      </c>
      <c r="L82" s="45" t="str">
        <f t="shared" si="5"/>
        <v>&lt;7.5%</v>
      </c>
      <c r="M82" s="45" t="str">
        <f t="shared" si="5"/>
        <v>&lt;10%</v>
      </c>
      <c r="N82" s="45" t="str">
        <f t="shared" si="5"/>
        <v>&lt;12.5%</v>
      </c>
      <c r="O82" s="45" t="str">
        <f t="shared" si="5"/>
        <v>&lt;15%</v>
      </c>
      <c r="P82" s="45" t="str">
        <f t="shared" si="5"/>
        <v>&lt;30%</v>
      </c>
      <c r="Q82" s="45" t="str">
        <f t="shared" si="5"/>
        <v>&gt;30%</v>
      </c>
    </row>
    <row r="83" spans="1:17" x14ac:dyDescent="0.2">
      <c r="A83" t="str">
        <f>A61</f>
        <v>Frq.</v>
      </c>
      <c r="B83" s="25">
        <v>0</v>
      </c>
      <c r="C83" s="25">
        <v>1</v>
      </c>
      <c r="D83" s="25">
        <v>1</v>
      </c>
      <c r="E83" s="25">
        <v>0</v>
      </c>
      <c r="F83" s="25">
        <v>0</v>
      </c>
      <c r="G83" s="25">
        <v>0</v>
      </c>
      <c r="H83" s="25">
        <v>1</v>
      </c>
      <c r="I83" s="25">
        <v>3</v>
      </c>
      <c r="J83" s="25">
        <v>4</v>
      </c>
      <c r="K83" s="25">
        <v>5</v>
      </c>
      <c r="L83" s="25">
        <v>1</v>
      </c>
      <c r="M83" s="25">
        <v>1</v>
      </c>
      <c r="N83" s="25">
        <v>4</v>
      </c>
      <c r="O83" s="25">
        <v>1</v>
      </c>
      <c r="P83" s="25">
        <v>5</v>
      </c>
      <c r="Q83" s="25">
        <v>0</v>
      </c>
    </row>
    <row r="86" spans="1:17" x14ac:dyDescent="0.2">
      <c r="B86" s="45" t="str">
        <f>B82</f>
        <v>&lt;-30%</v>
      </c>
      <c r="C86" s="45" t="str">
        <f t="shared" ref="C86:Q86" si="6">C82</f>
        <v>&lt;-15%</v>
      </c>
      <c r="D86" s="45" t="str">
        <f t="shared" si="6"/>
        <v>&lt;12.5%</v>
      </c>
      <c r="E86" s="45" t="str">
        <f t="shared" si="6"/>
        <v>&lt;10%</v>
      </c>
      <c r="F86" s="45" t="str">
        <f t="shared" si="6"/>
        <v>&lt;7.5%</v>
      </c>
      <c r="G86" s="45" t="str">
        <f t="shared" si="6"/>
        <v>&lt;5%</v>
      </c>
      <c r="H86" s="45" t="str">
        <f t="shared" si="6"/>
        <v>&lt;2.5%</v>
      </c>
      <c r="I86" s="45" t="str">
        <f t="shared" si="6"/>
        <v>&lt;0%</v>
      </c>
      <c r="J86" s="45" t="str">
        <f t="shared" si="6"/>
        <v>&lt;2.5%</v>
      </c>
      <c r="K86" s="45" t="str">
        <f t="shared" si="6"/>
        <v>&lt;5%</v>
      </c>
      <c r="L86" s="45" t="str">
        <f t="shared" si="6"/>
        <v>&lt;7.5%</v>
      </c>
      <c r="M86" s="45" t="str">
        <f t="shared" si="6"/>
        <v>&lt;10%</v>
      </c>
      <c r="N86" s="45" t="str">
        <f t="shared" si="6"/>
        <v>&lt;12.5%</v>
      </c>
      <c r="O86" s="45" t="str">
        <f t="shared" si="6"/>
        <v>&lt;15%</v>
      </c>
      <c r="P86" s="45" t="str">
        <f t="shared" si="6"/>
        <v>&lt;30%</v>
      </c>
      <c r="Q86" s="45" t="str">
        <f t="shared" si="6"/>
        <v>&gt;30%</v>
      </c>
    </row>
    <row r="87" spans="1:17" x14ac:dyDescent="0.2">
      <c r="A87" t="str">
        <f>A83</f>
        <v>Frq.</v>
      </c>
      <c r="B87" s="25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3</v>
      </c>
      <c r="J87" s="25">
        <v>4</v>
      </c>
      <c r="K87" s="25">
        <v>1</v>
      </c>
      <c r="L87" s="25">
        <v>4</v>
      </c>
      <c r="M87" s="25">
        <v>2</v>
      </c>
      <c r="N87" s="25">
        <v>4</v>
      </c>
      <c r="O87" s="25">
        <v>0</v>
      </c>
      <c r="P87" s="25">
        <v>2</v>
      </c>
      <c r="Q87" s="25">
        <v>1</v>
      </c>
    </row>
    <row r="92" spans="1:17" x14ac:dyDescent="0.2">
      <c r="B92" t="s">
        <v>971</v>
      </c>
      <c r="C92" t="s">
        <v>972</v>
      </c>
      <c r="D92" t="s">
        <v>974</v>
      </c>
      <c r="E92" t="s">
        <v>973</v>
      </c>
      <c r="F92" t="s">
        <v>975</v>
      </c>
      <c r="G92" t="s">
        <v>976</v>
      </c>
      <c r="H92" t="s">
        <v>977</v>
      </c>
      <c r="I92" t="s">
        <v>978</v>
      </c>
    </row>
    <row r="93" spans="1:17" x14ac:dyDescent="0.2">
      <c r="A93" t="s">
        <v>906</v>
      </c>
      <c r="B93">
        <v>7.3499999999999996E-2</v>
      </c>
      <c r="C93">
        <v>0.128</v>
      </c>
      <c r="D93">
        <v>84</v>
      </c>
      <c r="E93">
        <v>5.2628017746758466</v>
      </c>
      <c r="F93">
        <v>29.345238095238095</v>
      </c>
      <c r="G93">
        <v>17</v>
      </c>
      <c r="H93">
        <v>636.15096282517459</v>
      </c>
      <c r="I93">
        <v>291.49444599798494</v>
      </c>
    </row>
    <row r="94" spans="1:17" x14ac:dyDescent="0.2">
      <c r="A94" t="s">
        <v>907</v>
      </c>
      <c r="B94">
        <v>5.5800000000000002E-2</v>
      </c>
      <c r="C94">
        <v>0.109</v>
      </c>
      <c r="D94">
        <v>27</v>
      </c>
      <c r="E94">
        <v>2.6600486714406428</v>
      </c>
      <c r="F94">
        <v>36.037037037037038</v>
      </c>
      <c r="G94">
        <v>12</v>
      </c>
      <c r="H94">
        <v>1883.1184026302481</v>
      </c>
      <c r="I94">
        <v>208.01731977488811</v>
      </c>
    </row>
    <row r="95" spans="1:17" x14ac:dyDescent="0.2">
      <c r="A95" t="s">
        <v>955</v>
      </c>
      <c r="B95">
        <v>7.9699999999999993E-2</v>
      </c>
      <c r="C95">
        <v>9.1999999999999998E-2</v>
      </c>
      <c r="D95">
        <v>21</v>
      </c>
      <c r="E95">
        <v>3.9699052487823958</v>
      </c>
      <c r="F95">
        <v>26.80952380952381</v>
      </c>
      <c r="G95">
        <v>19</v>
      </c>
      <c r="H95">
        <v>655.63419138329743</v>
      </c>
      <c r="I95">
        <v>165.28584171153659</v>
      </c>
    </row>
    <row r="96" spans="1:17" x14ac:dyDescent="0.2">
      <c r="A96" t="s">
        <v>908</v>
      </c>
      <c r="B96">
        <v>6.0000000000000001E-3</v>
      </c>
      <c r="C96">
        <v>7.9100000000000004E-2</v>
      </c>
      <c r="D96">
        <v>87</v>
      </c>
      <c r="E96">
        <v>0.70751294966539691</v>
      </c>
      <c r="F96">
        <v>22.295454545454547</v>
      </c>
      <c r="G96">
        <v>11</v>
      </c>
      <c r="H96">
        <v>2815.9347212268708</v>
      </c>
      <c r="I96">
        <v>248.78162082928628</v>
      </c>
    </row>
    <row r="97" spans="1:5" x14ac:dyDescent="0.2">
      <c r="A97" t="s">
        <v>126</v>
      </c>
      <c r="B97">
        <v>4.53E-2</v>
      </c>
      <c r="C97">
        <v>0.109</v>
      </c>
      <c r="D97">
        <v>219</v>
      </c>
      <c r="E97">
        <v>6.1502640457686057</v>
      </c>
    </row>
  </sheetData>
  <pageMargins left="0.7" right="0.7" top="0.75" bottom="0.75" header="0.3" footer="0.3"/>
  <pageSetup paperSize="9" orientation="portrait" verticalDpi="0" r:id="rId1"/>
  <ignoredErrors>
    <ignoredError sqref="H8:K8 M8:X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workbookViewId="0">
      <selection activeCell="I23" sqref="I23"/>
    </sheetView>
  </sheetViews>
  <sheetFormatPr baseColWidth="10" defaultColWidth="8.83203125" defaultRowHeight="15" x14ac:dyDescent="0.2"/>
  <sheetData>
    <row r="1" spans="1:2" x14ac:dyDescent="0.2">
      <c r="A1" s="21" t="s">
        <v>837</v>
      </c>
      <c r="B1" s="21" t="s">
        <v>838</v>
      </c>
    </row>
    <row r="2" spans="1:2" x14ac:dyDescent="0.2">
      <c r="A2">
        <v>3571</v>
      </c>
      <c r="B2">
        <v>1</v>
      </c>
    </row>
    <row r="3" spans="1:2" x14ac:dyDescent="0.2">
      <c r="A3">
        <v>3572</v>
      </c>
      <c r="B3">
        <v>1</v>
      </c>
    </row>
    <row r="4" spans="1:2" x14ac:dyDescent="0.2">
      <c r="A4">
        <v>3575</v>
      </c>
      <c r="B4">
        <v>1</v>
      </c>
    </row>
    <row r="5" spans="1:2" x14ac:dyDescent="0.2">
      <c r="A5">
        <v>3577</v>
      </c>
      <c r="B5">
        <v>1</v>
      </c>
    </row>
    <row r="6" spans="1:2" x14ac:dyDescent="0.2">
      <c r="A6">
        <v>3578</v>
      </c>
      <c r="B6">
        <v>1</v>
      </c>
    </row>
    <row r="7" spans="1:2" x14ac:dyDescent="0.2">
      <c r="A7">
        <v>3661</v>
      </c>
      <c r="B7">
        <v>1</v>
      </c>
    </row>
    <row r="8" spans="1:2" x14ac:dyDescent="0.2">
      <c r="A8">
        <v>3663</v>
      </c>
      <c r="B8">
        <v>1</v>
      </c>
    </row>
    <row r="9" spans="1:2" x14ac:dyDescent="0.2">
      <c r="A9">
        <v>3669</v>
      </c>
      <c r="B9">
        <v>1</v>
      </c>
    </row>
    <row r="10" spans="1:2" x14ac:dyDescent="0.2">
      <c r="A10">
        <v>3671</v>
      </c>
      <c r="B10">
        <v>1</v>
      </c>
    </row>
    <row r="11" spans="1:2" x14ac:dyDescent="0.2">
      <c r="A11">
        <v>3672</v>
      </c>
      <c r="B11">
        <v>1</v>
      </c>
    </row>
    <row r="12" spans="1:2" x14ac:dyDescent="0.2">
      <c r="A12">
        <v>3674</v>
      </c>
      <c r="B12">
        <v>1</v>
      </c>
    </row>
    <row r="13" spans="1:2" x14ac:dyDescent="0.2">
      <c r="A13">
        <v>3675</v>
      </c>
      <c r="B13">
        <v>1</v>
      </c>
    </row>
    <row r="14" spans="1:2" x14ac:dyDescent="0.2">
      <c r="A14">
        <v>3677</v>
      </c>
      <c r="B14">
        <v>1</v>
      </c>
    </row>
    <row r="15" spans="1:2" x14ac:dyDescent="0.2">
      <c r="A15">
        <v>3678</v>
      </c>
      <c r="B15">
        <v>1</v>
      </c>
    </row>
    <row r="16" spans="1:2" x14ac:dyDescent="0.2">
      <c r="A16">
        <v>3679</v>
      </c>
      <c r="B16">
        <v>1</v>
      </c>
    </row>
    <row r="17" spans="1:2" x14ac:dyDescent="0.2">
      <c r="A17">
        <v>3812</v>
      </c>
      <c r="B17">
        <v>1</v>
      </c>
    </row>
    <row r="18" spans="1:2" x14ac:dyDescent="0.2">
      <c r="A18">
        <v>3823</v>
      </c>
      <c r="B18">
        <v>1</v>
      </c>
    </row>
    <row r="19" spans="1:2" x14ac:dyDescent="0.2">
      <c r="A19">
        <v>3825</v>
      </c>
      <c r="B19">
        <v>1</v>
      </c>
    </row>
    <row r="20" spans="1:2" x14ac:dyDescent="0.2">
      <c r="A20">
        <v>3826</v>
      </c>
      <c r="B20">
        <v>1</v>
      </c>
    </row>
    <row r="21" spans="1:2" x14ac:dyDescent="0.2">
      <c r="A21">
        <v>3827</v>
      </c>
      <c r="B21">
        <v>1</v>
      </c>
    </row>
    <row r="22" spans="1:2" x14ac:dyDescent="0.2">
      <c r="A22">
        <v>3829</v>
      </c>
      <c r="B22">
        <v>1</v>
      </c>
    </row>
    <row r="23" spans="1:2" x14ac:dyDescent="0.2">
      <c r="A23">
        <v>3841</v>
      </c>
      <c r="B23">
        <v>1</v>
      </c>
    </row>
    <row r="24" spans="1:2" x14ac:dyDescent="0.2">
      <c r="A24">
        <v>3845</v>
      </c>
      <c r="B24">
        <v>1</v>
      </c>
    </row>
    <row r="25" spans="1:2" x14ac:dyDescent="0.2">
      <c r="A25">
        <v>4812</v>
      </c>
      <c r="B25">
        <v>1</v>
      </c>
    </row>
    <row r="26" spans="1:2" x14ac:dyDescent="0.2">
      <c r="A26">
        <v>4813</v>
      </c>
      <c r="B26">
        <v>1</v>
      </c>
    </row>
    <row r="27" spans="1:2" x14ac:dyDescent="0.2">
      <c r="A27">
        <v>4899</v>
      </c>
      <c r="B27">
        <v>1</v>
      </c>
    </row>
    <row r="28" spans="1:2" x14ac:dyDescent="0.2">
      <c r="A28">
        <v>7377</v>
      </c>
      <c r="B28">
        <v>1</v>
      </c>
    </row>
    <row r="29" spans="1:2" x14ac:dyDescent="0.2">
      <c r="A29">
        <v>7372</v>
      </c>
      <c r="B29">
        <v>1</v>
      </c>
    </row>
    <row r="30" spans="1:2" x14ac:dyDescent="0.2">
      <c r="A30">
        <v>7373</v>
      </c>
      <c r="B30">
        <v>1</v>
      </c>
    </row>
    <row r="31" spans="1:2" x14ac:dyDescent="0.2">
      <c r="A31">
        <v>7374</v>
      </c>
      <c r="B31">
        <v>1</v>
      </c>
    </row>
    <row r="32" spans="1:2" x14ac:dyDescent="0.2">
      <c r="A32">
        <v>7375</v>
      </c>
      <c r="B32">
        <v>1</v>
      </c>
    </row>
    <row r="33" spans="1:2" x14ac:dyDescent="0.2">
      <c r="A33">
        <v>7378</v>
      </c>
      <c r="B33">
        <v>1</v>
      </c>
    </row>
    <row r="34" spans="1:2" x14ac:dyDescent="0.2">
      <c r="A34">
        <v>7379</v>
      </c>
      <c r="B34">
        <v>1</v>
      </c>
    </row>
    <row r="35" spans="1:2" x14ac:dyDescent="0.2">
      <c r="A35">
        <v>7371</v>
      </c>
      <c r="B35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00"/>
  <sheetViews>
    <sheetView workbookViewId="0">
      <selection activeCell="K19" sqref="K19"/>
    </sheetView>
  </sheetViews>
  <sheetFormatPr baseColWidth="10" defaultColWidth="8.83203125" defaultRowHeight="15" x14ac:dyDescent="0.2"/>
  <cols>
    <col min="1" max="1" width="10.1640625" style="9" bestFit="1" customWidth="1"/>
    <col min="2" max="2" width="9.83203125" style="9" bestFit="1" customWidth="1"/>
    <col min="3" max="3" width="9.5" style="9" bestFit="1" customWidth="1"/>
    <col min="4" max="4" width="12.33203125" style="9" bestFit="1" customWidth="1"/>
    <col min="5" max="5" width="8.83203125" style="9"/>
    <col min="6" max="6" width="10.5" style="9" bestFit="1" customWidth="1"/>
    <col min="7" max="7" width="9.5" style="9" bestFit="1" customWidth="1"/>
    <col min="8" max="16384" width="8.83203125" style="9"/>
  </cols>
  <sheetData>
    <row r="1" spans="1:7" x14ac:dyDescent="0.2">
      <c r="A1" s="17" t="s">
        <v>834</v>
      </c>
      <c r="B1" s="17" t="s">
        <v>793</v>
      </c>
      <c r="C1" s="17" t="s">
        <v>794</v>
      </c>
      <c r="D1" s="17" t="s">
        <v>817</v>
      </c>
      <c r="E1" s="17" t="s">
        <v>835</v>
      </c>
      <c r="F1" s="17" t="s">
        <v>846</v>
      </c>
      <c r="G1" s="17" t="s">
        <v>847</v>
      </c>
    </row>
    <row r="2" spans="1:7" x14ac:dyDescent="0.2">
      <c r="A2" s="12">
        <v>36893</v>
      </c>
      <c r="D2" s="9">
        <v>315.45999999999998</v>
      </c>
      <c r="E2" s="9" t="s">
        <v>836</v>
      </c>
    </row>
    <row r="3" spans="1:7" x14ac:dyDescent="0.2">
      <c r="A3" s="12">
        <v>36894</v>
      </c>
      <c r="D3" s="9">
        <v>318.05</v>
      </c>
      <c r="E3" s="9">
        <f>LN(D3/D2)</f>
        <v>8.1767120654854149E-3</v>
      </c>
    </row>
    <row r="4" spans="1:7" x14ac:dyDescent="0.2">
      <c r="A4" s="12">
        <v>36895</v>
      </c>
      <c r="D4" s="9">
        <v>321.79000000000002</v>
      </c>
      <c r="E4" s="9">
        <f t="shared" ref="E4:E67" si="0">LN(D4/D3)</f>
        <v>1.1690555748636819E-2</v>
      </c>
    </row>
    <row r="5" spans="1:7" x14ac:dyDescent="0.2">
      <c r="A5" s="12">
        <v>36896</v>
      </c>
      <c r="D5" s="9">
        <v>322.67</v>
      </c>
      <c r="E5" s="9">
        <f t="shared" si="0"/>
        <v>2.7309702601698129E-3</v>
      </c>
    </row>
    <row r="6" spans="1:7" x14ac:dyDescent="0.2">
      <c r="A6" s="12">
        <v>36899</v>
      </c>
      <c r="D6" s="9">
        <v>322.06</v>
      </c>
      <c r="E6" s="9">
        <f t="shared" si="0"/>
        <v>-1.8922655437697486E-3</v>
      </c>
    </row>
    <row r="7" spans="1:7" x14ac:dyDescent="0.2">
      <c r="A7" s="12">
        <v>36900</v>
      </c>
      <c r="D7" s="9">
        <v>322.08999999999997</v>
      </c>
      <c r="E7" s="9">
        <f t="shared" si="0"/>
        <v>9.314600643222661E-5</v>
      </c>
    </row>
    <row r="8" spans="1:7" x14ac:dyDescent="0.2">
      <c r="A8" s="12">
        <v>36901</v>
      </c>
      <c r="D8" s="9">
        <v>320.68</v>
      </c>
      <c r="E8" s="9">
        <f>LN(D8/D7)</f>
        <v>-4.3872684215313165E-3</v>
      </c>
    </row>
    <row r="9" spans="1:7" x14ac:dyDescent="0.2">
      <c r="A9" s="12">
        <v>36902</v>
      </c>
      <c r="D9" s="9">
        <v>319.55</v>
      </c>
      <c r="E9" s="9">
        <f t="shared" si="0"/>
        <v>-3.5299850784600716E-3</v>
      </c>
    </row>
    <row r="10" spans="1:7" x14ac:dyDescent="0.2">
      <c r="A10" s="12">
        <v>36903</v>
      </c>
      <c r="D10" s="9">
        <v>324.57</v>
      </c>
      <c r="E10" s="9">
        <f t="shared" si="0"/>
        <v>1.5587473271300837E-2</v>
      </c>
    </row>
    <row r="11" spans="1:7" x14ac:dyDescent="0.2">
      <c r="A11" s="12">
        <v>36906</v>
      </c>
      <c r="D11" s="9">
        <v>326.29000000000002</v>
      </c>
      <c r="E11" s="9">
        <f>LN(D11/D10)</f>
        <v>5.285327117872737E-3</v>
      </c>
    </row>
    <row r="12" spans="1:7" x14ac:dyDescent="0.2">
      <c r="A12" s="12">
        <v>36907</v>
      </c>
      <c r="D12" s="9">
        <v>325.62</v>
      </c>
      <c r="E12" s="9">
        <f t="shared" si="0"/>
        <v>-2.0554991820961105E-3</v>
      </c>
    </row>
    <row r="13" spans="1:7" x14ac:dyDescent="0.2">
      <c r="A13" s="12">
        <v>36908</v>
      </c>
      <c r="D13" s="9">
        <v>334.2</v>
      </c>
      <c r="E13" s="9">
        <f t="shared" si="0"/>
        <v>2.6008558857924871E-2</v>
      </c>
    </row>
    <row r="14" spans="1:7" x14ac:dyDescent="0.2">
      <c r="A14" s="12">
        <v>36909</v>
      </c>
      <c r="D14" s="9">
        <v>336.25</v>
      </c>
      <c r="E14" s="9">
        <f t="shared" si="0"/>
        <v>6.1153147547554519E-3</v>
      </c>
    </row>
    <row r="15" spans="1:7" x14ac:dyDescent="0.2">
      <c r="A15" s="12">
        <v>36910</v>
      </c>
      <c r="D15" s="9">
        <v>336.19</v>
      </c>
      <c r="E15" s="9">
        <f t="shared" si="0"/>
        <v>-1.7845458378217869E-4</v>
      </c>
    </row>
    <row r="16" spans="1:7" x14ac:dyDescent="0.2">
      <c r="A16" s="12">
        <v>36913</v>
      </c>
      <c r="D16" s="9">
        <v>339.84</v>
      </c>
      <c r="E16" s="9">
        <f t="shared" si="0"/>
        <v>1.0798442281252462E-2</v>
      </c>
    </row>
    <row r="17" spans="1:7" x14ac:dyDescent="0.2">
      <c r="A17" s="12">
        <v>36914</v>
      </c>
      <c r="D17" s="9">
        <v>339.45</v>
      </c>
      <c r="E17" s="9">
        <f t="shared" si="0"/>
        <v>-1.1482578658631949E-3</v>
      </c>
    </row>
    <row r="18" spans="1:7" x14ac:dyDescent="0.2">
      <c r="A18" s="12">
        <v>36915</v>
      </c>
      <c r="D18" s="9">
        <v>345.25</v>
      </c>
      <c r="E18" s="9">
        <f t="shared" si="0"/>
        <v>1.694213154174553E-2</v>
      </c>
    </row>
    <row r="19" spans="1:7" x14ac:dyDescent="0.2">
      <c r="A19" s="12">
        <v>36916</v>
      </c>
      <c r="D19" s="9">
        <v>344.46</v>
      </c>
      <c r="E19" s="9">
        <f t="shared" si="0"/>
        <v>-2.2908188818011157E-3</v>
      </c>
    </row>
    <row r="20" spans="1:7" x14ac:dyDescent="0.2">
      <c r="A20" s="12">
        <v>36917</v>
      </c>
      <c r="D20" s="9">
        <v>344.17</v>
      </c>
      <c r="E20" s="9">
        <f t="shared" si="0"/>
        <v>-8.4225205739954382E-4</v>
      </c>
    </row>
    <row r="21" spans="1:7" x14ac:dyDescent="0.2">
      <c r="A21" s="12">
        <v>36920</v>
      </c>
      <c r="D21" s="9">
        <v>345.04</v>
      </c>
      <c r="E21" s="9">
        <f t="shared" si="0"/>
        <v>2.5246309893869902E-3</v>
      </c>
    </row>
    <row r="22" spans="1:7" x14ac:dyDescent="0.2">
      <c r="A22" s="12">
        <v>36921</v>
      </c>
      <c r="D22" s="9">
        <v>344.57</v>
      </c>
      <c r="E22" s="9">
        <f t="shared" si="0"/>
        <v>-1.3630894934011822E-3</v>
      </c>
    </row>
    <row r="23" spans="1:7" x14ac:dyDescent="0.2">
      <c r="A23" s="12">
        <v>36922</v>
      </c>
      <c r="D23" s="9">
        <v>347.56</v>
      </c>
      <c r="E23" s="9">
        <f t="shared" si="0"/>
        <v>8.6400491248186835E-3</v>
      </c>
    </row>
    <row r="24" spans="1:7" x14ac:dyDescent="0.2">
      <c r="A24" s="12">
        <v>36923</v>
      </c>
      <c r="D24" s="9">
        <v>342.01</v>
      </c>
      <c r="E24" s="9">
        <f t="shared" si="0"/>
        <v>-1.6097335569791846E-2</v>
      </c>
    </row>
    <row r="25" spans="1:7" x14ac:dyDescent="0.2">
      <c r="A25" s="12">
        <v>36924</v>
      </c>
      <c r="D25" s="9">
        <v>334.97</v>
      </c>
      <c r="E25" s="9">
        <f t="shared" si="0"/>
        <v>-2.0799000824993977E-2</v>
      </c>
    </row>
    <row r="26" spans="1:7" x14ac:dyDescent="0.2">
      <c r="A26" s="12">
        <v>36927</v>
      </c>
      <c r="D26" s="9">
        <v>332.47</v>
      </c>
      <c r="E26" s="9">
        <f t="shared" si="0"/>
        <v>-7.4913451147912554E-3</v>
      </c>
    </row>
    <row r="27" spans="1:7" x14ac:dyDescent="0.2">
      <c r="A27" s="12">
        <v>36928</v>
      </c>
      <c r="D27" s="9">
        <v>336.25</v>
      </c>
      <c r="E27" s="9">
        <f t="shared" si="0"/>
        <v>1.1305300454620706E-2</v>
      </c>
    </row>
    <row r="28" spans="1:7" x14ac:dyDescent="0.2">
      <c r="A28" s="12">
        <v>36929</v>
      </c>
      <c r="D28" s="9">
        <v>335.08</v>
      </c>
      <c r="E28" s="9">
        <f t="shared" si="0"/>
        <v>-3.4856216304401419E-3</v>
      </c>
    </row>
    <row r="29" spans="1:7" x14ac:dyDescent="0.2">
      <c r="A29" s="12">
        <v>36930</v>
      </c>
      <c r="D29" s="9">
        <v>333.37</v>
      </c>
      <c r="E29" s="9">
        <f t="shared" si="0"/>
        <v>-5.1163250211376981E-3</v>
      </c>
    </row>
    <row r="30" spans="1:7" x14ac:dyDescent="0.2">
      <c r="A30" s="12">
        <v>36931</v>
      </c>
      <c r="D30" s="9">
        <v>332.31</v>
      </c>
      <c r="E30" s="9">
        <f t="shared" si="0"/>
        <v>-3.1847160675198358E-3</v>
      </c>
    </row>
    <row r="31" spans="1:7" x14ac:dyDescent="0.2">
      <c r="A31" s="12">
        <v>36934</v>
      </c>
      <c r="D31" s="9">
        <v>331.9</v>
      </c>
      <c r="E31" s="9">
        <f t="shared" si="0"/>
        <v>-1.2345494710223252E-3</v>
      </c>
    </row>
    <row r="32" spans="1:7" x14ac:dyDescent="0.2">
      <c r="A32" s="12">
        <v>36935</v>
      </c>
      <c r="D32" s="9">
        <v>328.63</v>
      </c>
      <c r="E32" s="9">
        <f t="shared" si="0"/>
        <v>-9.9012208810167392E-3</v>
      </c>
      <c r="F32" s="9">
        <f>LN(D32/D2)</f>
        <v>4.0900606785584215E-2</v>
      </c>
      <c r="G32" s="9">
        <f>STDEV(E3:E32)</f>
        <v>9.6436600992374222E-3</v>
      </c>
    </row>
    <row r="33" spans="1:7" x14ac:dyDescent="0.2">
      <c r="A33" s="12">
        <v>36936</v>
      </c>
      <c r="D33" s="9">
        <v>326.97000000000003</v>
      </c>
      <c r="E33" s="9">
        <f t="shared" si="0"/>
        <v>-5.0640742755820251E-3</v>
      </c>
      <c r="F33" s="9">
        <f>LN(D33/D3)</f>
        <v>2.7659820444516672E-2</v>
      </c>
      <c r="G33" s="9">
        <f t="shared" ref="G33:G37" si="1">STDEV(E4:E33)</f>
        <v>9.6240561564860608E-3</v>
      </c>
    </row>
    <row r="34" spans="1:7" x14ac:dyDescent="0.2">
      <c r="A34" s="12">
        <v>36937</v>
      </c>
      <c r="D34" s="9">
        <v>335.19</v>
      </c>
      <c r="E34" s="9">
        <f t="shared" si="0"/>
        <v>2.4829111658026211E-2</v>
      </c>
      <c r="F34" s="9">
        <f t="shared" ref="F34:F96" si="2">LN(D34/D4)</f>
        <v>4.0798376353906263E-2</v>
      </c>
      <c r="G34" s="9">
        <f t="shared" si="1"/>
        <v>1.0398749174345745E-2</v>
      </c>
    </row>
    <row r="35" spans="1:7" x14ac:dyDescent="0.2">
      <c r="A35" s="12">
        <v>36938</v>
      </c>
      <c r="D35" s="9">
        <v>335.75</v>
      </c>
      <c r="E35" s="9">
        <f t="shared" si="0"/>
        <v>1.6693001759906939E-3</v>
      </c>
      <c r="F35" s="9">
        <f t="shared" si="2"/>
        <v>3.9736706269727223E-2</v>
      </c>
      <c r="G35" s="9">
        <f t="shared" si="1"/>
        <v>1.0395728512924168E-2</v>
      </c>
    </row>
    <row r="36" spans="1:7" x14ac:dyDescent="0.2">
      <c r="A36" s="12">
        <v>36941</v>
      </c>
      <c r="D36" s="9">
        <v>333.27</v>
      </c>
      <c r="E36" s="9">
        <f t="shared" si="0"/>
        <v>-7.4138631416062993E-3</v>
      </c>
      <c r="F36" s="9">
        <f t="shared" si="2"/>
        <v>3.4215108671890614E-2</v>
      </c>
      <c r="G36" s="9">
        <f t="shared" si="1"/>
        <v>1.0502971234841311E-2</v>
      </c>
    </row>
    <row r="37" spans="1:7" x14ac:dyDescent="0.2">
      <c r="A37" s="12">
        <v>36942</v>
      </c>
      <c r="D37" s="9">
        <v>334.74</v>
      </c>
      <c r="E37" s="9">
        <f t="shared" si="0"/>
        <v>4.4011388237513915E-3</v>
      </c>
      <c r="F37" s="9">
        <f t="shared" si="2"/>
        <v>3.8523101489209712E-2</v>
      </c>
      <c r="G37" s="9">
        <f t="shared" si="1"/>
        <v>1.05175975610676E-2</v>
      </c>
    </row>
    <row r="38" spans="1:7" x14ac:dyDescent="0.2">
      <c r="A38" s="12">
        <v>36943</v>
      </c>
      <c r="D38" s="9">
        <v>333.63</v>
      </c>
      <c r="E38" s="9">
        <f t="shared" si="0"/>
        <v>-3.3215165866316847E-3</v>
      </c>
      <c r="F38" s="9">
        <f t="shared" si="2"/>
        <v>3.9588853324109288E-2</v>
      </c>
      <c r="G38" s="9">
        <f>STDEV(E9:E38)</f>
        <v>1.0499565362927227E-2</v>
      </c>
    </row>
    <row r="39" spans="1:7" x14ac:dyDescent="0.2">
      <c r="A39" s="12">
        <v>36944</v>
      </c>
      <c r="D39" s="9">
        <v>324.91000000000003</v>
      </c>
      <c r="E39" s="9">
        <f t="shared" si="0"/>
        <v>-2.6484373596321244E-2</v>
      </c>
      <c r="F39" s="9">
        <f t="shared" si="2"/>
        <v>1.6634464806248098E-2</v>
      </c>
      <c r="G39" s="9">
        <f t="shared" ref="G39:G102" si="3">STDEV(E10:E39)</f>
        <v>1.1639655203706535E-2</v>
      </c>
    </row>
    <row r="40" spans="1:7" x14ac:dyDescent="0.2">
      <c r="A40" s="12">
        <v>36945</v>
      </c>
      <c r="D40" s="9">
        <v>319.32</v>
      </c>
      <c r="E40" s="9">
        <f t="shared" si="0"/>
        <v>-1.7354486124940928E-2</v>
      </c>
      <c r="F40" s="9">
        <f t="shared" si="2"/>
        <v>-1.6307494589993553E-2</v>
      </c>
      <c r="G40" s="9">
        <f t="shared" si="3"/>
        <v>1.1726088692790041E-2</v>
      </c>
    </row>
    <row r="41" spans="1:7" x14ac:dyDescent="0.2">
      <c r="A41" s="12">
        <v>36948</v>
      </c>
      <c r="D41" s="9">
        <v>317.76</v>
      </c>
      <c r="E41" s="9">
        <f t="shared" si="0"/>
        <v>-4.8973539207903139E-3</v>
      </c>
      <c r="F41" s="9">
        <f t="shared" si="2"/>
        <v>-2.6490175628656836E-2</v>
      </c>
      <c r="G41" s="9">
        <f t="shared" si="3"/>
        <v>1.1698889450318238E-2</v>
      </c>
    </row>
    <row r="42" spans="1:7" x14ac:dyDescent="0.2">
      <c r="A42" s="12">
        <v>36949</v>
      </c>
      <c r="D42" s="9">
        <v>320.07</v>
      </c>
      <c r="E42" s="9">
        <f t="shared" si="0"/>
        <v>7.2433410146717989E-3</v>
      </c>
      <c r="F42" s="9">
        <f t="shared" si="2"/>
        <v>-1.7191335431888964E-2</v>
      </c>
      <c r="G42" s="9">
        <f t="shared" si="3"/>
        <v>1.1789587616162991E-2</v>
      </c>
    </row>
    <row r="43" spans="1:7" x14ac:dyDescent="0.2">
      <c r="A43" s="12">
        <v>36950</v>
      </c>
      <c r="D43" s="9">
        <v>316.8</v>
      </c>
      <c r="E43" s="9">
        <f t="shared" si="0"/>
        <v>-1.026906193120878E-2</v>
      </c>
      <c r="F43" s="9">
        <f t="shared" si="2"/>
        <v>-5.3468956221022428E-2</v>
      </c>
      <c r="G43" s="9">
        <f t="shared" si="3"/>
        <v>1.0786963980395355E-2</v>
      </c>
    </row>
    <row r="44" spans="1:7" x14ac:dyDescent="0.2">
      <c r="A44" s="12">
        <v>36951</v>
      </c>
      <c r="D44" s="9">
        <v>313.06</v>
      </c>
      <c r="E44" s="9">
        <f t="shared" si="0"/>
        <v>-1.1875794480194005E-2</v>
      </c>
      <c r="F44" s="9">
        <f t="shared" si="2"/>
        <v>-7.1460065455972041E-2</v>
      </c>
      <c r="G44" s="9">
        <f t="shared" si="3"/>
        <v>1.0832766699033941E-2</v>
      </c>
    </row>
    <row r="45" spans="1:7" x14ac:dyDescent="0.2">
      <c r="A45" s="12">
        <v>36952</v>
      </c>
      <c r="D45" s="9">
        <v>310.43</v>
      </c>
      <c r="E45" s="9">
        <f t="shared" si="0"/>
        <v>-8.4364323367375777E-3</v>
      </c>
      <c r="F45" s="9">
        <f t="shared" si="2"/>
        <v>-7.9718043208927475E-2</v>
      </c>
      <c r="G45" s="9">
        <f t="shared" si="3"/>
        <v>1.0879660806884423E-2</v>
      </c>
    </row>
    <row r="46" spans="1:7" x14ac:dyDescent="0.2">
      <c r="A46" s="12">
        <v>36955</v>
      </c>
      <c r="D46" s="9">
        <v>311.77999999999997</v>
      </c>
      <c r="E46" s="9">
        <f t="shared" si="0"/>
        <v>4.3393777611955694E-3</v>
      </c>
      <c r="F46" s="9">
        <f t="shared" si="2"/>
        <v>-8.6177107728984487E-2</v>
      </c>
      <c r="G46" s="9">
        <f t="shared" si="3"/>
        <v>1.06660108235965E-2</v>
      </c>
    </row>
    <row r="47" spans="1:7" x14ac:dyDescent="0.2">
      <c r="A47" s="12">
        <v>36956</v>
      </c>
      <c r="D47" s="9">
        <v>313.81</v>
      </c>
      <c r="E47" s="9">
        <f t="shared" si="0"/>
        <v>6.4898963381267508E-3</v>
      </c>
      <c r="F47" s="9">
        <f t="shared" si="2"/>
        <v>-7.8538953524994654E-2</v>
      </c>
      <c r="G47" s="9">
        <f t="shared" si="3"/>
        <v>1.0798926565419061E-2</v>
      </c>
    </row>
    <row r="48" spans="1:7" x14ac:dyDescent="0.2">
      <c r="A48" s="12">
        <v>36957</v>
      </c>
      <c r="D48" s="9">
        <v>313.8</v>
      </c>
      <c r="E48" s="9">
        <f t="shared" si="0"/>
        <v>-3.1866923729203591E-5</v>
      </c>
      <c r="F48" s="9">
        <f t="shared" si="2"/>
        <v>-9.5512951990469275E-2</v>
      </c>
      <c r="G48" s="9">
        <f t="shared" si="3"/>
        <v>1.0164804506625253E-2</v>
      </c>
    </row>
    <row r="49" spans="1:7" x14ac:dyDescent="0.2">
      <c r="A49" s="12">
        <v>36958</v>
      </c>
      <c r="D49" s="9">
        <v>314.62</v>
      </c>
      <c r="E49" s="9">
        <f t="shared" si="0"/>
        <v>2.6097210954264096E-3</v>
      </c>
      <c r="F49" s="9">
        <f t="shared" si="2"/>
        <v>-9.0612412013241633E-2</v>
      </c>
      <c r="G49" s="9">
        <f t="shared" si="3"/>
        <v>1.0218881928789931E-2</v>
      </c>
    </row>
    <row r="50" spans="1:7" x14ac:dyDescent="0.2">
      <c r="A50" s="12">
        <v>36959</v>
      </c>
      <c r="D50" s="9">
        <v>313.26</v>
      </c>
      <c r="E50" s="9">
        <f t="shared" si="0"/>
        <v>-4.3320447438427905E-3</v>
      </c>
      <c r="F50" s="9">
        <f t="shared" si="2"/>
        <v>-9.410220469968486E-2</v>
      </c>
      <c r="G50" s="9">
        <f t="shared" si="3"/>
        <v>1.0213093220655641E-2</v>
      </c>
    </row>
    <row r="51" spans="1:7" x14ac:dyDescent="0.2">
      <c r="A51" s="12">
        <v>36962</v>
      </c>
      <c r="D51" s="9">
        <v>307.57</v>
      </c>
      <c r="E51" s="9">
        <f t="shared" si="0"/>
        <v>-1.8330813034092116E-2</v>
      </c>
      <c r="F51" s="9">
        <f t="shared" si="2"/>
        <v>-0.11495764872316389</v>
      </c>
      <c r="G51" s="9">
        <f t="shared" si="3"/>
        <v>1.051963899021861E-2</v>
      </c>
    </row>
    <row r="52" spans="1:7" x14ac:dyDescent="0.2">
      <c r="A52" s="12">
        <v>36963</v>
      </c>
      <c r="D52" s="9">
        <v>302.14999999999998</v>
      </c>
      <c r="E52" s="9">
        <f t="shared" si="0"/>
        <v>-1.7779120808856356E-2</v>
      </c>
      <c r="F52" s="9">
        <f t="shared" si="2"/>
        <v>-0.1313736800386191</v>
      </c>
      <c r="G52" s="9">
        <f t="shared" si="3"/>
        <v>1.0809746071197225E-2</v>
      </c>
    </row>
    <row r="53" spans="1:7" x14ac:dyDescent="0.2">
      <c r="A53" s="12">
        <v>36964</v>
      </c>
      <c r="D53" s="9">
        <v>294.29000000000002</v>
      </c>
      <c r="E53" s="9">
        <f t="shared" si="0"/>
        <v>-2.6357907078498846E-2</v>
      </c>
      <c r="F53" s="9">
        <f t="shared" si="2"/>
        <v>-0.16637163624193668</v>
      </c>
      <c r="G53" s="9">
        <f t="shared" si="3"/>
        <v>1.1236343832543468E-2</v>
      </c>
    </row>
    <row r="54" spans="1:7" x14ac:dyDescent="0.2">
      <c r="A54" s="12">
        <v>36965</v>
      </c>
      <c r="D54" s="9">
        <v>296.43</v>
      </c>
      <c r="E54" s="9">
        <f t="shared" si="0"/>
        <v>7.2454271459124432E-3</v>
      </c>
      <c r="F54" s="9">
        <f t="shared" si="2"/>
        <v>-0.14302887352623228</v>
      </c>
      <c r="G54" s="9">
        <f t="shared" si="3"/>
        <v>1.1288568142465883E-2</v>
      </c>
    </row>
    <row r="55" spans="1:7" x14ac:dyDescent="0.2">
      <c r="A55" s="12">
        <v>36966</v>
      </c>
      <c r="D55" s="9">
        <v>292.93</v>
      </c>
      <c r="E55" s="9">
        <f t="shared" si="0"/>
        <v>-1.1877430250769663E-2</v>
      </c>
      <c r="F55" s="9">
        <f t="shared" si="2"/>
        <v>-0.13410730295200796</v>
      </c>
      <c r="G55" s="9">
        <f t="shared" si="3"/>
        <v>1.0964539389123553E-2</v>
      </c>
    </row>
    <row r="56" spans="1:7" x14ac:dyDescent="0.2">
      <c r="A56" s="12">
        <v>36969</v>
      </c>
      <c r="D56" s="9">
        <v>288.05</v>
      </c>
      <c r="E56" s="9">
        <f t="shared" si="0"/>
        <v>-1.6799596445819274E-2</v>
      </c>
      <c r="F56" s="9">
        <f t="shared" si="2"/>
        <v>-0.14341555428303596</v>
      </c>
      <c r="G56" s="9">
        <f t="shared" si="3"/>
        <v>1.1182514627950477E-2</v>
      </c>
    </row>
    <row r="57" spans="1:7" x14ac:dyDescent="0.2">
      <c r="A57" s="12">
        <v>36970</v>
      </c>
      <c r="D57" s="9">
        <v>291.01</v>
      </c>
      <c r="E57" s="9">
        <f t="shared" si="0"/>
        <v>1.0223554663830988E-2</v>
      </c>
      <c r="F57" s="9">
        <f t="shared" si="2"/>
        <v>-0.14449730007382572</v>
      </c>
      <c r="G57" s="9">
        <f t="shared" si="3"/>
        <v>1.1130480057564516E-2</v>
      </c>
    </row>
    <row r="58" spans="1:7" x14ac:dyDescent="0.2">
      <c r="A58" s="12">
        <v>36971</v>
      </c>
      <c r="D58" s="9">
        <v>290.48</v>
      </c>
      <c r="E58" s="9">
        <f t="shared" si="0"/>
        <v>-1.8229037361428087E-3</v>
      </c>
      <c r="F58" s="9">
        <f t="shared" si="2"/>
        <v>-0.14283458217952827</v>
      </c>
      <c r="G58" s="9">
        <f t="shared" si="3"/>
        <v>1.1141470349629014E-2</v>
      </c>
    </row>
    <row r="59" spans="1:7" x14ac:dyDescent="0.2">
      <c r="A59" s="12">
        <v>36972</v>
      </c>
      <c r="D59" s="9">
        <v>284.87</v>
      </c>
      <c r="E59" s="9">
        <f t="shared" si="0"/>
        <v>-1.9501791251963156E-2</v>
      </c>
      <c r="F59" s="9">
        <f t="shared" si="2"/>
        <v>-0.15722004841035384</v>
      </c>
      <c r="G59" s="9">
        <f t="shared" si="3"/>
        <v>1.1462232897329895E-2</v>
      </c>
    </row>
    <row r="60" spans="1:7" x14ac:dyDescent="0.2">
      <c r="A60" s="12">
        <v>36973</v>
      </c>
      <c r="D60" s="9">
        <v>288.66000000000003</v>
      </c>
      <c r="E60" s="9">
        <f t="shared" si="0"/>
        <v>1.3216589085300195E-2</v>
      </c>
      <c r="F60" s="9">
        <f t="shared" si="2"/>
        <v>-0.14081874325753377</v>
      </c>
      <c r="G60" s="9">
        <f t="shared" si="3"/>
        <v>1.1944667481968924E-2</v>
      </c>
    </row>
    <row r="61" spans="1:7" x14ac:dyDescent="0.2">
      <c r="A61" s="12">
        <v>36976</v>
      </c>
      <c r="D61" s="9">
        <v>298.17</v>
      </c>
      <c r="E61" s="9">
        <f t="shared" si="0"/>
        <v>3.2414268708606461E-2</v>
      </c>
      <c r="F61" s="9">
        <f t="shared" si="2"/>
        <v>-0.10716992507790497</v>
      </c>
      <c r="G61" s="9">
        <f t="shared" si="3"/>
        <v>1.372750688571215E-2</v>
      </c>
    </row>
    <row r="62" spans="1:7" x14ac:dyDescent="0.2">
      <c r="A62" s="12">
        <v>36977</v>
      </c>
      <c r="D62" s="9">
        <v>297.76</v>
      </c>
      <c r="E62" s="9">
        <f t="shared" si="0"/>
        <v>-1.3760007540833546E-3</v>
      </c>
      <c r="F62" s="9">
        <f t="shared" si="2"/>
        <v>-9.8644704950971523E-2</v>
      </c>
      <c r="G62" s="9">
        <f t="shared" si="3"/>
        <v>1.3680133196954609E-2</v>
      </c>
    </row>
    <row r="63" spans="1:7" x14ac:dyDescent="0.2">
      <c r="A63" s="12">
        <v>36978</v>
      </c>
      <c r="D63" s="9">
        <v>293.23</v>
      </c>
      <c r="E63" s="9">
        <f t="shared" si="0"/>
        <v>-1.5330508879683733E-2</v>
      </c>
      <c r="F63" s="9">
        <f t="shared" si="2"/>
        <v>-0.10891113955507321</v>
      </c>
      <c r="G63" s="9">
        <f t="shared" si="3"/>
        <v>1.38534028207898E-2</v>
      </c>
    </row>
    <row r="64" spans="1:7" x14ac:dyDescent="0.2">
      <c r="A64" s="12">
        <v>36979</v>
      </c>
      <c r="D64" s="9">
        <v>291.04000000000002</v>
      </c>
      <c r="E64" s="9">
        <f t="shared" si="0"/>
        <v>-7.4965692444447125E-3</v>
      </c>
      <c r="F64" s="9">
        <f t="shared" si="2"/>
        <v>-0.14123682045754407</v>
      </c>
      <c r="G64" s="9">
        <f t="shared" si="3"/>
        <v>1.2778969768506775E-2</v>
      </c>
    </row>
    <row r="65" spans="1:7" x14ac:dyDescent="0.2">
      <c r="A65" s="12">
        <v>36980</v>
      </c>
      <c r="D65" s="9">
        <v>294.47000000000003</v>
      </c>
      <c r="E65" s="9">
        <f t="shared" si="0"/>
        <v>1.1716415560819612E-2</v>
      </c>
      <c r="F65" s="9">
        <f t="shared" si="2"/>
        <v>-0.13118970507271516</v>
      </c>
      <c r="G65" s="9">
        <f t="shared" si="3"/>
        <v>1.3079972191919849E-2</v>
      </c>
    </row>
    <row r="66" spans="1:7" x14ac:dyDescent="0.2">
      <c r="A66" s="12">
        <v>36983</v>
      </c>
      <c r="D66" s="9">
        <v>286.89999999999998</v>
      </c>
      <c r="E66" s="9">
        <f t="shared" si="0"/>
        <v>-2.6043407343312744E-2</v>
      </c>
      <c r="F66" s="9">
        <f t="shared" si="2"/>
        <v>-0.14981924927442158</v>
      </c>
      <c r="G66" s="9">
        <f t="shared" si="3"/>
        <v>1.3658742194659401E-2</v>
      </c>
    </row>
    <row r="67" spans="1:7" x14ac:dyDescent="0.2">
      <c r="A67" s="12">
        <v>36984</v>
      </c>
      <c r="D67" s="9">
        <v>280.01</v>
      </c>
      <c r="E67" s="9">
        <f t="shared" si="0"/>
        <v>-2.4308406170095102E-2</v>
      </c>
      <c r="F67" s="9">
        <f t="shared" si="2"/>
        <v>-0.17852879426826809</v>
      </c>
      <c r="G67" s="9">
        <f t="shared" si="3"/>
        <v>1.3979764195376524E-2</v>
      </c>
    </row>
    <row r="68" spans="1:7" x14ac:dyDescent="0.2">
      <c r="A68" s="12">
        <v>36985</v>
      </c>
      <c r="D68" s="9">
        <v>275.14</v>
      </c>
      <c r="E68" s="9">
        <f t="shared" ref="E68:E131" si="4">LN(D68/D67)</f>
        <v>-1.7545257784374414E-2</v>
      </c>
      <c r="F68" s="9">
        <f t="shared" si="2"/>
        <v>-0.19275253546601082</v>
      </c>
      <c r="G68" s="9">
        <f t="shared" si="3"/>
        <v>1.4127925816663611E-2</v>
      </c>
    </row>
    <row r="69" spans="1:7" x14ac:dyDescent="0.2">
      <c r="A69" s="12">
        <v>36986</v>
      </c>
      <c r="D69" s="9">
        <v>282.33999999999997</v>
      </c>
      <c r="E69" s="9">
        <f t="shared" si="4"/>
        <v>2.5831959423203925E-2</v>
      </c>
      <c r="F69" s="9">
        <f t="shared" si="2"/>
        <v>-0.14043620244648553</v>
      </c>
      <c r="G69" s="9">
        <f t="shared" si="3"/>
        <v>1.4780297770986788E-2</v>
      </c>
    </row>
    <row r="70" spans="1:7" x14ac:dyDescent="0.2">
      <c r="A70" s="12">
        <v>36987</v>
      </c>
      <c r="D70" s="9">
        <v>284.52</v>
      </c>
      <c r="E70" s="9">
        <f t="shared" si="4"/>
        <v>7.6915314092608393E-3</v>
      </c>
      <c r="F70" s="9">
        <f t="shared" si="2"/>
        <v>-0.11539018491228377</v>
      </c>
      <c r="G70" s="9">
        <f t="shared" si="3"/>
        <v>1.4747087851989112E-2</v>
      </c>
    </row>
    <row r="71" spans="1:7" x14ac:dyDescent="0.2">
      <c r="A71" s="12">
        <v>36990</v>
      </c>
      <c r="D71" s="9">
        <v>285.74</v>
      </c>
      <c r="E71" s="9">
        <f t="shared" si="4"/>
        <v>4.2787565716977411E-3</v>
      </c>
      <c r="F71" s="9">
        <f t="shared" si="2"/>
        <v>-0.1062140744197957</v>
      </c>
      <c r="G71" s="9">
        <f t="shared" si="3"/>
        <v>1.4819520279355377E-2</v>
      </c>
    </row>
    <row r="72" spans="1:7" x14ac:dyDescent="0.2">
      <c r="A72" s="12">
        <v>36991</v>
      </c>
      <c r="D72" s="9">
        <v>289.07</v>
      </c>
      <c r="E72" s="9">
        <f t="shared" si="4"/>
        <v>1.1586566879087934E-2</v>
      </c>
      <c r="F72" s="9">
        <f t="shared" si="2"/>
        <v>-0.10187084855537953</v>
      </c>
      <c r="G72" s="9">
        <f t="shared" si="3"/>
        <v>1.4949149587507557E-2</v>
      </c>
    </row>
    <row r="73" spans="1:7" x14ac:dyDescent="0.2">
      <c r="A73" s="12">
        <v>36992</v>
      </c>
      <c r="D73" s="9">
        <v>290.94</v>
      </c>
      <c r="E73" s="9">
        <f t="shared" si="4"/>
        <v>6.4481870292158443E-3</v>
      </c>
      <c r="F73" s="9">
        <f t="shared" si="2"/>
        <v>-8.5153599594954915E-2</v>
      </c>
      <c r="G73" s="9">
        <f t="shared" si="3"/>
        <v>1.4995606735987281E-2</v>
      </c>
    </row>
    <row r="74" spans="1:7" x14ac:dyDescent="0.2">
      <c r="A74" s="12">
        <v>36998</v>
      </c>
      <c r="D74" s="9">
        <v>292.51</v>
      </c>
      <c r="E74" s="9">
        <f t="shared" si="4"/>
        <v>5.3817937763857024E-3</v>
      </c>
      <c r="F74" s="9">
        <f t="shared" si="2"/>
        <v>-6.7896011338375223E-2</v>
      </c>
      <c r="G74" s="9">
        <f t="shared" si="3"/>
        <v>1.496795412354383E-2</v>
      </c>
    </row>
    <row r="75" spans="1:7" x14ac:dyDescent="0.2">
      <c r="A75" s="12">
        <v>36999</v>
      </c>
      <c r="D75" s="9">
        <v>300</v>
      </c>
      <c r="E75" s="9">
        <f t="shared" si="4"/>
        <v>2.5283620534499479E-2</v>
      </c>
      <c r="F75" s="9">
        <f t="shared" si="2"/>
        <v>-3.4175958467138251E-2</v>
      </c>
      <c r="G75" s="9">
        <f t="shared" si="3"/>
        <v>1.5734836180733985E-2</v>
      </c>
    </row>
    <row r="76" spans="1:7" x14ac:dyDescent="0.2">
      <c r="A76" s="12">
        <v>37000</v>
      </c>
      <c r="D76" s="9">
        <v>298.95999999999998</v>
      </c>
      <c r="E76" s="9">
        <f t="shared" si="4"/>
        <v>-3.4726894789726664E-3</v>
      </c>
      <c r="F76" s="9">
        <f t="shared" si="2"/>
        <v>-4.1988025707306406E-2</v>
      </c>
      <c r="G76" s="9">
        <f t="shared" si="3"/>
        <v>1.5705658018552778E-2</v>
      </c>
    </row>
    <row r="77" spans="1:7" x14ac:dyDescent="0.2">
      <c r="A77" s="12">
        <v>37001</v>
      </c>
      <c r="D77" s="9">
        <v>294.52999999999997</v>
      </c>
      <c r="E77" s="9">
        <f t="shared" si="4"/>
        <v>-1.4928919701579696E-2</v>
      </c>
      <c r="F77" s="9">
        <f t="shared" si="2"/>
        <v>-6.3406841747012679E-2</v>
      </c>
      <c r="G77" s="9">
        <f t="shared" si="3"/>
        <v>1.5821056716456873E-2</v>
      </c>
    </row>
    <row r="78" spans="1:7" x14ac:dyDescent="0.2">
      <c r="A78" s="12">
        <v>37004</v>
      </c>
      <c r="D78" s="9">
        <v>293.39999999999998</v>
      </c>
      <c r="E78" s="9">
        <f t="shared" si="4"/>
        <v>-3.8439997667674263E-3</v>
      </c>
      <c r="F78" s="9">
        <f t="shared" si="2"/>
        <v>-6.7218974590050967E-2</v>
      </c>
      <c r="G78" s="9">
        <f t="shared" si="3"/>
        <v>1.5819069446403735E-2</v>
      </c>
    </row>
    <row r="79" spans="1:7" x14ac:dyDescent="0.2">
      <c r="A79" s="12">
        <v>37005</v>
      </c>
      <c r="D79" s="9">
        <v>293.92</v>
      </c>
      <c r="E79" s="9">
        <f t="shared" si="4"/>
        <v>1.7707557579343656E-3</v>
      </c>
      <c r="F79" s="9">
        <f t="shared" si="2"/>
        <v>-6.8057939927543165E-2</v>
      </c>
      <c r="G79" s="9">
        <f t="shared" si="3"/>
        <v>1.5810938629509934E-2</v>
      </c>
    </row>
    <row r="80" spans="1:7" x14ac:dyDescent="0.2">
      <c r="A80" s="12">
        <v>37006</v>
      </c>
      <c r="D80" s="9">
        <v>292.39999999999998</v>
      </c>
      <c r="E80" s="9">
        <f t="shared" si="4"/>
        <v>-5.18489359119225E-3</v>
      </c>
      <c r="F80" s="9">
        <f t="shared" si="2"/>
        <v>-6.8910788774892623E-2</v>
      </c>
      <c r="G80" s="9">
        <f t="shared" si="3"/>
        <v>1.5815542718035164E-2</v>
      </c>
    </row>
    <row r="81" spans="1:7" x14ac:dyDescent="0.2">
      <c r="A81" s="12">
        <v>37007</v>
      </c>
      <c r="D81" s="9">
        <v>292.27</v>
      </c>
      <c r="E81" s="9">
        <f t="shared" si="4"/>
        <v>-4.4469530553077684E-4</v>
      </c>
      <c r="F81" s="9">
        <f t="shared" si="2"/>
        <v>-5.1024671046331252E-2</v>
      </c>
      <c r="G81" s="9">
        <f t="shared" si="3"/>
        <v>1.5524724875949868E-2</v>
      </c>
    </row>
    <row r="82" spans="1:7" x14ac:dyDescent="0.2">
      <c r="A82" s="12">
        <v>37008</v>
      </c>
      <c r="D82" s="9">
        <v>294.02999999999997</v>
      </c>
      <c r="E82" s="9">
        <f t="shared" si="4"/>
        <v>6.003770379105532E-3</v>
      </c>
      <c r="F82" s="9">
        <f t="shared" si="2"/>
        <v>-2.7241779858369362E-2</v>
      </c>
      <c r="G82" s="9">
        <f t="shared" si="3"/>
        <v>1.5280695803902945E-2</v>
      </c>
    </row>
    <row r="83" spans="1:7" x14ac:dyDescent="0.2">
      <c r="A83" s="12">
        <v>37011</v>
      </c>
      <c r="D83" s="9">
        <v>298.3</v>
      </c>
      <c r="E83" s="9">
        <f t="shared" si="4"/>
        <v>1.4417888571504681E-2</v>
      </c>
      <c r="F83" s="9">
        <f t="shared" si="2"/>
        <v>1.3534015791634244E-2</v>
      </c>
      <c r="G83" s="9">
        <f t="shared" si="3"/>
        <v>1.474292116300569E-2</v>
      </c>
    </row>
    <row r="84" spans="1:7" x14ac:dyDescent="0.2">
      <c r="A84" s="12">
        <v>37012</v>
      </c>
      <c r="D84" s="9">
        <v>297.36</v>
      </c>
      <c r="E84" s="9">
        <f t="shared" si="4"/>
        <v>-3.156165531706175E-3</v>
      </c>
      <c r="F84" s="9">
        <f t="shared" si="2"/>
        <v>3.1324231140155596E-3</v>
      </c>
      <c r="G84" s="9">
        <f t="shared" si="3"/>
        <v>1.4699873044379842E-2</v>
      </c>
    </row>
    <row r="85" spans="1:7" x14ac:dyDescent="0.2">
      <c r="A85" s="12">
        <v>37013</v>
      </c>
      <c r="D85" s="9">
        <v>294.60000000000002</v>
      </c>
      <c r="E85" s="9">
        <f t="shared" si="4"/>
        <v>-9.3250219604667887E-3</v>
      </c>
      <c r="F85" s="9">
        <f t="shared" si="2"/>
        <v>5.6848314043184793E-3</v>
      </c>
      <c r="G85" s="9">
        <f t="shared" si="3"/>
        <v>1.4635377860956093E-2</v>
      </c>
    </row>
    <row r="86" spans="1:7" x14ac:dyDescent="0.2">
      <c r="A86" s="12">
        <v>37014</v>
      </c>
      <c r="D86" s="9">
        <v>296.3</v>
      </c>
      <c r="E86" s="9">
        <f t="shared" si="4"/>
        <v>5.7539505509895134E-3</v>
      </c>
      <c r="F86" s="9">
        <f t="shared" si="2"/>
        <v>2.8238378401127476E-2</v>
      </c>
      <c r="G86" s="9">
        <f t="shared" si="3"/>
        <v>1.4308199744792036E-2</v>
      </c>
    </row>
    <row r="87" spans="1:7" x14ac:dyDescent="0.2">
      <c r="A87" s="12">
        <v>37015</v>
      </c>
      <c r="D87" s="9">
        <v>295.39999999999998</v>
      </c>
      <c r="E87" s="9">
        <f t="shared" si="4"/>
        <v>-3.0420844822402525E-3</v>
      </c>
      <c r="F87" s="9">
        <f t="shared" si="2"/>
        <v>1.497273925505626E-2</v>
      </c>
      <c r="G87" s="9">
        <f t="shared" si="3"/>
        <v>1.4216131515442135E-2</v>
      </c>
    </row>
    <row r="88" spans="1:7" x14ac:dyDescent="0.2">
      <c r="A88" s="12">
        <v>37018</v>
      </c>
      <c r="D88" s="9">
        <v>299.2</v>
      </c>
      <c r="E88" s="9">
        <f t="shared" si="4"/>
        <v>1.2781876003042742E-2</v>
      </c>
      <c r="F88" s="9">
        <f t="shared" si="2"/>
        <v>2.957751899424171E-2</v>
      </c>
      <c r="G88" s="9">
        <f t="shared" si="3"/>
        <v>1.4382962400673957E-2</v>
      </c>
    </row>
    <row r="89" spans="1:7" x14ac:dyDescent="0.2">
      <c r="A89" s="12">
        <v>37019</v>
      </c>
      <c r="D89" s="9">
        <v>302.85000000000002</v>
      </c>
      <c r="E89" s="9">
        <f t="shared" si="4"/>
        <v>1.2125387326634023E-2</v>
      </c>
      <c r="F89" s="9">
        <f t="shared" si="2"/>
        <v>6.120469757283907E-2</v>
      </c>
      <c r="G89" s="9">
        <f t="shared" si="3"/>
        <v>1.3983016289193462E-2</v>
      </c>
    </row>
    <row r="90" spans="1:7" x14ac:dyDescent="0.2">
      <c r="A90" s="12">
        <v>37020</v>
      </c>
      <c r="D90" s="9">
        <v>300.41000000000003</v>
      </c>
      <c r="E90" s="9">
        <f t="shared" si="4"/>
        <v>-8.0894251429719805E-3</v>
      </c>
      <c r="F90" s="9">
        <f t="shared" si="2"/>
        <v>3.9898683344566872E-2</v>
      </c>
      <c r="G90" s="9">
        <f t="shared" si="3"/>
        <v>1.3936780701023402E-2</v>
      </c>
    </row>
    <row r="91" spans="1:7" x14ac:dyDescent="0.2">
      <c r="A91" s="12">
        <v>37021</v>
      </c>
      <c r="D91" s="9">
        <v>303.41000000000003</v>
      </c>
      <c r="E91" s="9">
        <f t="shared" si="4"/>
        <v>9.9368178763430647E-3</v>
      </c>
      <c r="F91" s="9">
        <f t="shared" si="2"/>
        <v>1.7421232512303358E-2</v>
      </c>
      <c r="G91" s="9">
        <f t="shared" si="3"/>
        <v>1.276280184830083E-2</v>
      </c>
    </row>
    <row r="92" spans="1:7" x14ac:dyDescent="0.2">
      <c r="A92" s="12">
        <v>37025</v>
      </c>
      <c r="D92" s="9">
        <v>303.14999999999998</v>
      </c>
      <c r="E92" s="9">
        <f t="shared" si="4"/>
        <v>-8.5729364258776389E-4</v>
      </c>
      <c r="F92" s="9">
        <f t="shared" si="2"/>
        <v>1.7939939623798928E-2</v>
      </c>
      <c r="G92" s="9">
        <f t="shared" si="3"/>
        <v>1.2760410747383853E-2</v>
      </c>
    </row>
    <row r="93" spans="1:7" x14ac:dyDescent="0.2">
      <c r="A93" s="12">
        <v>37026</v>
      </c>
      <c r="D93" s="9">
        <v>303.94</v>
      </c>
      <c r="E93" s="9">
        <f t="shared" si="4"/>
        <v>2.6025809877194342E-3</v>
      </c>
      <c r="F93" s="9">
        <f t="shared" si="2"/>
        <v>3.5873029491202274E-2</v>
      </c>
      <c r="G93" s="9">
        <f t="shared" si="3"/>
        <v>1.2403552822132829E-2</v>
      </c>
    </row>
    <row r="94" spans="1:7" x14ac:dyDescent="0.2">
      <c r="A94" s="12">
        <v>37027</v>
      </c>
      <c r="D94" s="9">
        <v>303.05</v>
      </c>
      <c r="E94" s="9">
        <f t="shared" si="4"/>
        <v>-2.9325051081649962E-3</v>
      </c>
      <c r="F94" s="9">
        <f t="shared" si="2"/>
        <v>4.0437093627481949E-2</v>
      </c>
      <c r="G94" s="9">
        <f t="shared" si="3"/>
        <v>1.2320976107443614E-2</v>
      </c>
    </row>
    <row r="95" spans="1:7" x14ac:dyDescent="0.2">
      <c r="A95" s="12">
        <v>37028</v>
      </c>
      <c r="D95" s="9">
        <v>307.12</v>
      </c>
      <c r="E95" s="9">
        <f t="shared" si="4"/>
        <v>1.3340742295248233E-2</v>
      </c>
      <c r="F95" s="9">
        <f t="shared" si="2"/>
        <v>4.2061420361910462E-2</v>
      </c>
      <c r="G95" s="9">
        <f t="shared" si="3"/>
        <v>1.2371576584362037E-2</v>
      </c>
    </row>
    <row r="96" spans="1:7" x14ac:dyDescent="0.2">
      <c r="A96" s="12">
        <v>37029</v>
      </c>
      <c r="D96" s="9">
        <v>309.70999999999998</v>
      </c>
      <c r="E96" s="9">
        <f t="shared" si="4"/>
        <v>8.397825077563691E-3</v>
      </c>
      <c r="F96" s="9">
        <f t="shared" si="2"/>
        <v>7.6502652782786965E-2</v>
      </c>
      <c r="G96" s="9">
        <f t="shared" si="3"/>
        <v>1.1287419425944084E-2</v>
      </c>
    </row>
    <row r="97" spans="1:7" x14ac:dyDescent="0.2">
      <c r="A97" s="12">
        <v>37032</v>
      </c>
      <c r="D97" s="9">
        <v>310.07</v>
      </c>
      <c r="E97" s="9">
        <f t="shared" si="4"/>
        <v>1.1617026702590986E-3</v>
      </c>
      <c r="F97" s="9">
        <f t="shared" ref="F97:F160" si="5">LN(D97/D67)</f>
        <v>0.10197276162314135</v>
      </c>
      <c r="G97" s="9">
        <f t="shared" si="3"/>
        <v>1.0092151183555439E-2</v>
      </c>
    </row>
    <row r="98" spans="1:7" x14ac:dyDescent="0.2">
      <c r="A98" s="12">
        <v>37033</v>
      </c>
      <c r="D98" s="9">
        <v>313.11</v>
      </c>
      <c r="E98" s="9">
        <f t="shared" si="4"/>
        <v>9.7564880597049257E-3</v>
      </c>
      <c r="F98" s="9">
        <f t="shared" si="5"/>
        <v>0.12927450746722063</v>
      </c>
      <c r="G98" s="9">
        <f t="shared" si="3"/>
        <v>9.341414029633623E-3</v>
      </c>
    </row>
    <row r="99" spans="1:7" x14ac:dyDescent="0.2">
      <c r="A99" s="12">
        <v>37034</v>
      </c>
      <c r="D99" s="9">
        <v>312.75</v>
      </c>
      <c r="E99" s="9">
        <f t="shared" si="4"/>
        <v>-1.1504171530495326E-3</v>
      </c>
      <c r="F99" s="9">
        <f t="shared" si="5"/>
        <v>0.1022921308909671</v>
      </c>
      <c r="G99" s="9">
        <f t="shared" si="3"/>
        <v>8.4545554735226333E-3</v>
      </c>
    </row>
    <row r="100" spans="1:7" x14ac:dyDescent="0.2">
      <c r="A100" s="12">
        <v>37036</v>
      </c>
      <c r="D100" s="9">
        <v>316.73</v>
      </c>
      <c r="E100" s="9">
        <f t="shared" si="4"/>
        <v>1.2645526582122738E-2</v>
      </c>
      <c r="F100" s="9">
        <f t="shared" si="5"/>
        <v>0.10724612606382876</v>
      </c>
      <c r="G100" s="9">
        <f t="shared" si="3"/>
        <v>8.5883917433793866E-3</v>
      </c>
    </row>
    <row r="101" spans="1:7" x14ac:dyDescent="0.2">
      <c r="A101" s="12">
        <v>37039</v>
      </c>
      <c r="D101" s="9">
        <v>315.95999999999998</v>
      </c>
      <c r="E101" s="9">
        <f t="shared" si="4"/>
        <v>-2.4340526329248969E-3</v>
      </c>
      <c r="F101" s="9">
        <f t="shared" si="5"/>
        <v>0.10053331685920616</v>
      </c>
      <c r="G101" s="9">
        <f t="shared" si="3"/>
        <v>8.656596758450737E-3</v>
      </c>
    </row>
    <row r="102" spans="1:7" x14ac:dyDescent="0.2">
      <c r="A102" s="12">
        <v>37040</v>
      </c>
      <c r="D102" s="9">
        <v>315.25</v>
      </c>
      <c r="E102" s="9">
        <f t="shared" si="4"/>
        <v>-2.2496484511892972E-3</v>
      </c>
      <c r="F102" s="9">
        <f t="shared" si="5"/>
        <v>8.669710152892901E-2</v>
      </c>
      <c r="G102" s="9">
        <f t="shared" si="3"/>
        <v>8.5708563018550548E-3</v>
      </c>
    </row>
    <row r="103" spans="1:7" x14ac:dyDescent="0.2">
      <c r="A103" s="12">
        <v>37041</v>
      </c>
      <c r="D103" s="9">
        <v>314.63</v>
      </c>
      <c r="E103" s="9">
        <f t="shared" si="4"/>
        <v>-1.9686295809814057E-3</v>
      </c>
      <c r="F103" s="9">
        <f t="shared" si="5"/>
        <v>7.8280284918731582E-2</v>
      </c>
      <c r="G103" s="9">
        <f t="shared" ref="G103:G166" si="6">STDEV(E74:E103)</f>
        <v>8.5881038170754157E-3</v>
      </c>
    </row>
    <row r="104" spans="1:7" x14ac:dyDescent="0.2">
      <c r="A104" s="12">
        <v>37042</v>
      </c>
      <c r="D104" s="9">
        <v>317.3</v>
      </c>
      <c r="E104" s="9">
        <f t="shared" si="4"/>
        <v>8.4503533251024006E-3</v>
      </c>
      <c r="F104" s="9">
        <f t="shared" si="5"/>
        <v>8.1348844467448334E-2</v>
      </c>
      <c r="G104" s="9">
        <f t="shared" si="6"/>
        <v>8.6403770247657791E-3</v>
      </c>
    </row>
    <row r="105" spans="1:7" x14ac:dyDescent="0.2">
      <c r="A105" s="12">
        <v>37043</v>
      </c>
      <c r="D105" s="9">
        <v>316.22000000000003</v>
      </c>
      <c r="E105" s="9">
        <f t="shared" si="4"/>
        <v>-3.409524707150747E-3</v>
      </c>
      <c r="F105" s="9">
        <f t="shared" si="5"/>
        <v>5.2655699225798075E-2</v>
      </c>
      <c r="G105" s="9">
        <f t="shared" si="6"/>
        <v>7.5784581075376625E-3</v>
      </c>
    </row>
    <row r="106" spans="1:7" x14ac:dyDescent="0.2">
      <c r="A106" s="12">
        <v>37048</v>
      </c>
      <c r="D106" s="9">
        <v>315.67</v>
      </c>
      <c r="E106" s="9">
        <f t="shared" si="4"/>
        <v>-1.7408097576926448E-3</v>
      </c>
      <c r="F106" s="9">
        <f t="shared" si="5"/>
        <v>5.4387578947078088E-2</v>
      </c>
      <c r="G106" s="9">
        <f t="shared" si="6"/>
        <v>7.543778212006272E-3</v>
      </c>
    </row>
    <row r="107" spans="1:7" x14ac:dyDescent="0.2">
      <c r="A107" s="12">
        <v>37049</v>
      </c>
      <c r="D107" s="9">
        <v>314.02999999999997</v>
      </c>
      <c r="E107" s="9">
        <f t="shared" si="4"/>
        <v>-5.2088413785684037E-3</v>
      </c>
      <c r="F107" s="9">
        <f t="shared" si="5"/>
        <v>6.4107657270089394E-2</v>
      </c>
      <c r="G107" s="9">
        <f t="shared" si="6"/>
        <v>6.9882061256912875E-3</v>
      </c>
    </row>
    <row r="108" spans="1:7" x14ac:dyDescent="0.2">
      <c r="A108" s="12">
        <v>37050</v>
      </c>
      <c r="D108" s="9">
        <v>311.68</v>
      </c>
      <c r="E108" s="9">
        <f t="shared" si="4"/>
        <v>-7.5115022915678738E-3</v>
      </c>
      <c r="F108" s="9">
        <f t="shared" si="5"/>
        <v>6.0440154745289132E-2</v>
      </c>
      <c r="G108" s="9">
        <f t="shared" si="6"/>
        <v>7.1271410183536528E-3</v>
      </c>
    </row>
    <row r="109" spans="1:7" x14ac:dyDescent="0.2">
      <c r="A109" s="12">
        <v>37053</v>
      </c>
      <c r="D109" s="9">
        <v>310.7</v>
      </c>
      <c r="E109" s="9">
        <f t="shared" si="4"/>
        <v>-3.1492040551686401E-3</v>
      </c>
      <c r="F109" s="9">
        <f t="shared" si="5"/>
        <v>5.5520194932186046E-2</v>
      </c>
      <c r="G109" s="9">
        <f t="shared" si="6"/>
        <v>7.189281499774971E-3</v>
      </c>
    </row>
    <row r="110" spans="1:7" x14ac:dyDescent="0.2">
      <c r="A110" s="12">
        <v>37054</v>
      </c>
      <c r="D110" s="9">
        <v>309.85000000000002</v>
      </c>
      <c r="E110" s="9">
        <f t="shared" si="4"/>
        <v>-2.7395069908851739E-3</v>
      </c>
      <c r="F110" s="9">
        <f t="shared" si="5"/>
        <v>5.7965581532493114E-2</v>
      </c>
      <c r="G110" s="9">
        <f t="shared" si="6"/>
        <v>7.120292782075723E-3</v>
      </c>
    </row>
    <row r="111" spans="1:7" x14ac:dyDescent="0.2">
      <c r="A111" s="12">
        <v>37055</v>
      </c>
      <c r="D111" s="9">
        <v>314.05</v>
      </c>
      <c r="E111" s="9">
        <f t="shared" si="4"/>
        <v>1.3463899492273322E-2</v>
      </c>
      <c r="F111" s="9">
        <f t="shared" si="5"/>
        <v>7.187417633029719E-2</v>
      </c>
      <c r="G111" s="9">
        <f t="shared" si="6"/>
        <v>7.407221684391575E-3</v>
      </c>
    </row>
    <row r="112" spans="1:7" x14ac:dyDescent="0.2">
      <c r="A112" s="12">
        <v>37056</v>
      </c>
      <c r="D112" s="9">
        <v>310.39</v>
      </c>
      <c r="E112" s="9">
        <f t="shared" si="4"/>
        <v>-1.1722637605133944E-2</v>
      </c>
      <c r="F112" s="9">
        <f t="shared" si="5"/>
        <v>5.4147768346057779E-2</v>
      </c>
      <c r="G112" s="9">
        <f t="shared" si="6"/>
        <v>7.8057889950811903E-3</v>
      </c>
    </row>
    <row r="113" spans="1:7" x14ac:dyDescent="0.2">
      <c r="A113" s="12">
        <v>37057</v>
      </c>
      <c r="D113" s="9">
        <v>307.86</v>
      </c>
      <c r="E113" s="9">
        <f t="shared" si="4"/>
        <v>-8.1844371133273745E-3</v>
      </c>
      <c r="F113" s="9">
        <f t="shared" si="5"/>
        <v>3.1545442661225567E-2</v>
      </c>
      <c r="G113" s="9">
        <f t="shared" si="6"/>
        <v>7.6353343957438887E-3</v>
      </c>
    </row>
    <row r="114" spans="1:7" x14ac:dyDescent="0.2">
      <c r="A114" s="12">
        <v>37060</v>
      </c>
      <c r="D114" s="9">
        <v>308.64999999999998</v>
      </c>
      <c r="E114" s="9">
        <f t="shared" si="4"/>
        <v>2.5628146579764434E-3</v>
      </c>
      <c r="F114" s="9">
        <f t="shared" si="5"/>
        <v>3.7264422850908072E-2</v>
      </c>
      <c r="G114" s="9">
        <f t="shared" si="6"/>
        <v>7.5979598854970538E-3</v>
      </c>
    </row>
    <row r="115" spans="1:7" x14ac:dyDescent="0.2">
      <c r="A115" s="12">
        <v>37061</v>
      </c>
      <c r="D115" s="9">
        <v>309.10000000000002</v>
      </c>
      <c r="E115" s="9">
        <f t="shared" si="4"/>
        <v>1.4569002981659133E-3</v>
      </c>
      <c r="F115" s="9">
        <f t="shared" si="5"/>
        <v>4.8046345109540749E-2</v>
      </c>
      <c r="G115" s="9">
        <f t="shared" si="6"/>
        <v>7.3311966685838592E-3</v>
      </c>
    </row>
    <row r="116" spans="1:7" x14ac:dyDescent="0.2">
      <c r="A116" s="12">
        <v>37062</v>
      </c>
      <c r="D116" s="9">
        <v>310.74</v>
      </c>
      <c r="E116" s="9">
        <f t="shared" si="4"/>
        <v>5.2917005257845208E-3</v>
      </c>
      <c r="F116" s="9">
        <f t="shared" si="5"/>
        <v>4.7584095084335559E-2</v>
      </c>
      <c r="G116" s="9">
        <f t="shared" si="6"/>
        <v>7.3226491967499519E-3</v>
      </c>
    </row>
    <row r="117" spans="1:7" x14ac:dyDescent="0.2">
      <c r="A117" s="12">
        <v>37063</v>
      </c>
      <c r="D117" s="9">
        <v>309.13</v>
      </c>
      <c r="E117" s="9">
        <f t="shared" si="4"/>
        <v>-5.1946492664682823E-3</v>
      </c>
      <c r="F117" s="9">
        <f t="shared" si="5"/>
        <v>4.5431530300107562E-2</v>
      </c>
      <c r="G117" s="9">
        <f t="shared" si="6"/>
        <v>7.3798858076669889E-3</v>
      </c>
    </row>
    <row r="118" spans="1:7" x14ac:dyDescent="0.2">
      <c r="A118" s="12">
        <v>37064</v>
      </c>
      <c r="D118" s="9">
        <v>308.67</v>
      </c>
      <c r="E118" s="9">
        <f t="shared" si="4"/>
        <v>-1.4891553415582964E-3</v>
      </c>
      <c r="F118" s="9">
        <f t="shared" si="5"/>
        <v>3.1160498955506457E-2</v>
      </c>
      <c r="G118" s="9">
        <f t="shared" si="6"/>
        <v>7.0825060324909463E-3</v>
      </c>
    </row>
    <row r="119" spans="1:7" x14ac:dyDescent="0.2">
      <c r="A119" s="12">
        <v>37067</v>
      </c>
      <c r="D119" s="9">
        <v>310.39</v>
      </c>
      <c r="E119" s="9">
        <f t="shared" si="4"/>
        <v>5.5568262394272688E-3</v>
      </c>
      <c r="F119" s="9">
        <f t="shared" si="5"/>
        <v>2.4591937868299628E-2</v>
      </c>
      <c r="G119" s="9">
        <f t="shared" si="6"/>
        <v>6.8247906849551463E-3</v>
      </c>
    </row>
    <row r="120" spans="1:7" x14ac:dyDescent="0.2">
      <c r="A120" s="12">
        <v>37068</v>
      </c>
      <c r="D120" s="9">
        <v>305.89999999999998</v>
      </c>
      <c r="E120" s="9">
        <f t="shared" si="4"/>
        <v>-1.4571320138398212E-2</v>
      </c>
      <c r="F120" s="9">
        <f t="shared" si="5"/>
        <v>1.8110042872873384E-2</v>
      </c>
      <c r="G120" s="9">
        <f t="shared" si="6"/>
        <v>7.2083911006007298E-3</v>
      </c>
    </row>
    <row r="121" spans="1:7" x14ac:dyDescent="0.2">
      <c r="A121" s="12">
        <v>37069</v>
      </c>
      <c r="D121" s="9">
        <v>309.18</v>
      </c>
      <c r="E121" s="9">
        <f t="shared" si="4"/>
        <v>1.066538041133033E-2</v>
      </c>
      <c r="F121" s="9">
        <f t="shared" si="5"/>
        <v>1.88386054078605E-2</v>
      </c>
      <c r="G121" s="9">
        <f t="shared" si="6"/>
        <v>7.2420678175987661E-3</v>
      </c>
    </row>
    <row r="122" spans="1:7" x14ac:dyDescent="0.2">
      <c r="A122" s="12">
        <v>37070</v>
      </c>
      <c r="D122" s="9">
        <v>314.45999999999998</v>
      </c>
      <c r="E122" s="9">
        <f t="shared" si="4"/>
        <v>1.6933250473941876E-2</v>
      </c>
      <c r="F122" s="9">
        <f t="shared" si="5"/>
        <v>3.6629149524390177E-2</v>
      </c>
      <c r="G122" s="9">
        <f t="shared" si="6"/>
        <v>7.8214679733462581E-3</v>
      </c>
    </row>
    <row r="123" spans="1:7" x14ac:dyDescent="0.2">
      <c r="A123" s="12">
        <v>37071</v>
      </c>
      <c r="D123" s="9">
        <v>314.62</v>
      </c>
      <c r="E123" s="9">
        <f t="shared" si="4"/>
        <v>5.0867935222892707E-4</v>
      </c>
      <c r="F123" s="9">
        <f t="shared" si="5"/>
        <v>3.4535247888899646E-2</v>
      </c>
      <c r="G123" s="9">
        <f t="shared" si="6"/>
        <v>7.8180556824758909E-3</v>
      </c>
    </row>
    <row r="124" spans="1:7" x14ac:dyDescent="0.2">
      <c r="A124" s="12">
        <v>37074</v>
      </c>
      <c r="D124" s="9">
        <v>313.47000000000003</v>
      </c>
      <c r="E124" s="9">
        <f t="shared" si="4"/>
        <v>-3.6618996802295013E-3</v>
      </c>
      <c r="F124" s="9">
        <f t="shared" si="5"/>
        <v>3.3805853316835166E-2</v>
      </c>
      <c r="G124" s="9">
        <f t="shared" si="6"/>
        <v>7.8323144851669187E-3</v>
      </c>
    </row>
    <row r="125" spans="1:7" x14ac:dyDescent="0.2">
      <c r="A125" s="12">
        <v>37075</v>
      </c>
      <c r="D125" s="9">
        <v>314.01</v>
      </c>
      <c r="E125" s="9">
        <f t="shared" si="4"/>
        <v>1.7211708207728316E-3</v>
      </c>
      <c r="F125" s="9">
        <f t="shared" si="5"/>
        <v>2.2186281842359774E-2</v>
      </c>
      <c r="G125" s="9">
        <f t="shared" si="6"/>
        <v>7.487191822448053E-3</v>
      </c>
    </row>
    <row r="126" spans="1:7" x14ac:dyDescent="0.2">
      <c r="A126" s="12">
        <v>37076</v>
      </c>
      <c r="D126" s="9">
        <v>312.73</v>
      </c>
      <c r="E126" s="9">
        <f t="shared" si="4"/>
        <v>-4.0846340736230375E-3</v>
      </c>
      <c r="F126" s="9">
        <f t="shared" si="5"/>
        <v>9.7038226911730068E-3</v>
      </c>
      <c r="G126" s="9">
        <f t="shared" si="6"/>
        <v>7.3931768806112406E-3</v>
      </c>
    </row>
    <row r="127" spans="1:7" x14ac:dyDescent="0.2">
      <c r="A127" s="12">
        <v>37077</v>
      </c>
      <c r="D127" s="9">
        <v>312.86</v>
      </c>
      <c r="E127" s="9">
        <f t="shared" si="4"/>
        <v>4.1560767234520449E-4</v>
      </c>
      <c r="F127" s="9">
        <f t="shared" si="5"/>
        <v>8.9577276932589697E-3</v>
      </c>
      <c r="G127" s="9">
        <f t="shared" si="6"/>
        <v>7.3915145980487417E-3</v>
      </c>
    </row>
    <row r="128" spans="1:7" x14ac:dyDescent="0.2">
      <c r="A128" s="12">
        <v>37078</v>
      </c>
      <c r="D128" s="9">
        <v>310.08</v>
      </c>
      <c r="E128" s="9">
        <f t="shared" si="4"/>
        <v>-8.9254774312229543E-3</v>
      </c>
      <c r="F128" s="9">
        <f t="shared" si="5"/>
        <v>-9.7242377976687749E-3</v>
      </c>
      <c r="G128" s="9">
        <f t="shared" si="6"/>
        <v>7.354093186198239E-3</v>
      </c>
    </row>
    <row r="129" spans="1:7" x14ac:dyDescent="0.2">
      <c r="A129" s="12">
        <v>37081</v>
      </c>
      <c r="D129" s="9">
        <v>312.87</v>
      </c>
      <c r="E129" s="9">
        <f t="shared" si="4"/>
        <v>8.9574400988297991E-3</v>
      </c>
      <c r="F129" s="9">
        <f t="shared" si="5"/>
        <v>3.8361945421074489E-4</v>
      </c>
      <c r="G129" s="9">
        <f t="shared" si="6"/>
        <v>7.5440255097799121E-3</v>
      </c>
    </row>
    <row r="130" spans="1:7" x14ac:dyDescent="0.2">
      <c r="A130" s="12">
        <v>37082</v>
      </c>
      <c r="D130" s="9">
        <v>312.89</v>
      </c>
      <c r="E130" s="9">
        <f t="shared" si="4"/>
        <v>6.392227054081645E-5</v>
      </c>
      <c r="F130" s="9">
        <f t="shared" si="5"/>
        <v>-1.2197984857371199E-2</v>
      </c>
      <c r="G130" s="9">
        <f t="shared" si="6"/>
        <v>7.1573383137058843E-3</v>
      </c>
    </row>
    <row r="131" spans="1:7" x14ac:dyDescent="0.2">
      <c r="A131" s="12">
        <v>37083</v>
      </c>
      <c r="D131" s="9">
        <v>311.27999999999997</v>
      </c>
      <c r="E131" s="9">
        <f t="shared" si="4"/>
        <v>-5.1588623954739602E-3</v>
      </c>
      <c r="F131" s="9">
        <f t="shared" si="5"/>
        <v>-1.4922794619920287E-2</v>
      </c>
      <c r="G131" s="9">
        <f t="shared" si="6"/>
        <v>7.2011091352151375E-3</v>
      </c>
    </row>
    <row r="132" spans="1:7" x14ac:dyDescent="0.2">
      <c r="A132" s="12">
        <v>37084</v>
      </c>
      <c r="D132" s="9">
        <v>308.97000000000003</v>
      </c>
      <c r="E132" s="9">
        <f t="shared" ref="E132:E195" si="7">LN(D132/D131)</f>
        <v>-7.4486438704779081E-3</v>
      </c>
      <c r="F132" s="9">
        <f t="shared" si="5"/>
        <v>-2.0121790039208776E-2</v>
      </c>
      <c r="G132" s="9">
        <f t="shared" si="6"/>
        <v>7.3065189757005686E-3</v>
      </c>
    </row>
    <row r="133" spans="1:7" x14ac:dyDescent="0.2">
      <c r="A133" s="12">
        <v>37085</v>
      </c>
      <c r="D133" s="9">
        <v>308.31</v>
      </c>
      <c r="E133" s="9">
        <f t="shared" si="7"/>
        <v>-2.138414500728747E-3</v>
      </c>
      <c r="F133" s="9">
        <f t="shared" si="5"/>
        <v>-2.0291574958956102E-2</v>
      </c>
      <c r="G133" s="9">
        <f t="shared" si="6"/>
        <v>7.3076246471953593E-3</v>
      </c>
    </row>
    <row r="134" spans="1:7" x14ac:dyDescent="0.2">
      <c r="A134" s="12">
        <v>37088</v>
      </c>
      <c r="D134" s="9">
        <v>305.36</v>
      </c>
      <c r="E134" s="9">
        <f t="shared" si="7"/>
        <v>-9.6143618681171026E-3</v>
      </c>
      <c r="F134" s="9">
        <f t="shared" si="5"/>
        <v>-3.8356290152175627E-2</v>
      </c>
      <c r="G134" s="9">
        <f t="shared" si="6"/>
        <v>7.2738364674300735E-3</v>
      </c>
    </row>
    <row r="135" spans="1:7" x14ac:dyDescent="0.2">
      <c r="A135" s="12">
        <v>37089</v>
      </c>
      <c r="D135" s="9">
        <v>304.8</v>
      </c>
      <c r="E135" s="9">
        <f t="shared" si="7"/>
        <v>-1.8355846244830899E-3</v>
      </c>
      <c r="F135" s="9">
        <f t="shared" si="5"/>
        <v>-3.6782350069507939E-2</v>
      </c>
      <c r="G135" s="9">
        <f t="shared" si="6"/>
        <v>7.2636051839897221E-3</v>
      </c>
    </row>
    <row r="136" spans="1:7" x14ac:dyDescent="0.2">
      <c r="A136" s="12">
        <v>37090</v>
      </c>
      <c r="D136" s="9">
        <v>304.51</v>
      </c>
      <c r="E136" s="9">
        <f t="shared" si="7"/>
        <v>-9.5189647928841509E-4</v>
      </c>
      <c r="F136" s="9">
        <f t="shared" si="5"/>
        <v>-3.5993436791103756E-2</v>
      </c>
      <c r="G136" s="9">
        <f t="shared" si="6"/>
        <v>7.2631054650872176E-3</v>
      </c>
    </row>
    <row r="137" spans="1:7" x14ac:dyDescent="0.2">
      <c r="A137" s="12">
        <v>37091</v>
      </c>
      <c r="D137" s="9">
        <v>308.83999999999997</v>
      </c>
      <c r="E137" s="9">
        <f t="shared" si="7"/>
        <v>1.4119416107412085E-2</v>
      </c>
      <c r="F137" s="9">
        <f t="shared" si="5"/>
        <v>-1.6665179305123276E-2</v>
      </c>
      <c r="G137" s="9">
        <f t="shared" si="6"/>
        <v>7.7370154957103893E-3</v>
      </c>
    </row>
    <row r="138" spans="1:7" x14ac:dyDescent="0.2">
      <c r="A138" s="12">
        <v>37092</v>
      </c>
      <c r="D138" s="9">
        <v>305.61</v>
      </c>
      <c r="E138" s="9">
        <f t="shared" si="7"/>
        <v>-1.0513564170530228E-2</v>
      </c>
      <c r="F138" s="9">
        <f t="shared" si="5"/>
        <v>-1.9667241184085523E-2</v>
      </c>
      <c r="G138" s="9">
        <f t="shared" si="6"/>
        <v>7.8486930174567204E-3</v>
      </c>
    </row>
    <row r="139" spans="1:7" x14ac:dyDescent="0.2">
      <c r="A139" s="12">
        <v>37095</v>
      </c>
      <c r="D139" s="9">
        <v>304.52999999999997</v>
      </c>
      <c r="E139" s="9">
        <f t="shared" si="7"/>
        <v>-3.5401748056354144E-3</v>
      </c>
      <c r="F139" s="9">
        <f t="shared" si="5"/>
        <v>-2.0058211934552397E-2</v>
      </c>
      <c r="G139" s="9">
        <f t="shared" si="6"/>
        <v>7.8532995822285304E-3</v>
      </c>
    </row>
    <row r="140" spans="1:7" x14ac:dyDescent="0.2">
      <c r="A140" s="12">
        <v>37096</v>
      </c>
      <c r="D140" s="9">
        <v>303.08999999999997</v>
      </c>
      <c r="E140" s="9">
        <f t="shared" si="7"/>
        <v>-4.7398133566988535E-3</v>
      </c>
      <c r="F140" s="9">
        <f t="shared" si="5"/>
        <v>-2.2058518300366019E-2</v>
      </c>
      <c r="G140" s="9">
        <f t="shared" si="6"/>
        <v>7.8799348752386176E-3</v>
      </c>
    </row>
    <row r="141" spans="1:7" x14ac:dyDescent="0.2">
      <c r="A141" s="12">
        <v>37097</v>
      </c>
      <c r="D141" s="9">
        <v>299.75</v>
      </c>
      <c r="E141" s="9">
        <f t="shared" si="7"/>
        <v>-1.1080997200126907E-2</v>
      </c>
      <c r="F141" s="9">
        <f t="shared" si="5"/>
        <v>-4.6603414992766157E-2</v>
      </c>
      <c r="G141" s="9">
        <f t="shared" si="6"/>
        <v>7.6249207486378283E-3</v>
      </c>
    </row>
    <row r="142" spans="1:7" x14ac:dyDescent="0.2">
      <c r="A142" s="12">
        <v>37098</v>
      </c>
      <c r="D142" s="9">
        <v>301.14</v>
      </c>
      <c r="E142" s="9">
        <f t="shared" si="7"/>
        <v>4.6264789872736637E-3</v>
      </c>
      <c r="F142" s="9">
        <f t="shared" si="5"/>
        <v>-3.0254298400358624E-2</v>
      </c>
      <c r="G142" s="9">
        <f t="shared" si="6"/>
        <v>7.4554130814623119E-3</v>
      </c>
    </row>
    <row r="143" spans="1:7" x14ac:dyDescent="0.2">
      <c r="A143" s="12">
        <v>37099</v>
      </c>
      <c r="D143" s="9">
        <v>305.8</v>
      </c>
      <c r="E143" s="9">
        <f t="shared" si="7"/>
        <v>1.5356020600064715E-2</v>
      </c>
      <c r="F143" s="9">
        <f t="shared" si="5"/>
        <v>-6.7138406869664555E-3</v>
      </c>
      <c r="G143" s="9">
        <f t="shared" si="6"/>
        <v>7.8996790212993214E-3</v>
      </c>
    </row>
    <row r="144" spans="1:7" x14ac:dyDescent="0.2">
      <c r="A144" s="12">
        <v>37102</v>
      </c>
      <c r="D144" s="9">
        <v>309.33</v>
      </c>
      <c r="E144" s="9">
        <f t="shared" si="7"/>
        <v>1.1477374702999785E-2</v>
      </c>
      <c r="F144" s="9">
        <f t="shared" si="5"/>
        <v>2.2007193580570435E-3</v>
      </c>
      <c r="G144" s="9">
        <f t="shared" si="6"/>
        <v>8.1711142292686979E-3</v>
      </c>
    </row>
    <row r="145" spans="1:7" x14ac:dyDescent="0.2">
      <c r="A145" s="12">
        <v>37103</v>
      </c>
      <c r="D145" s="9">
        <v>311.45</v>
      </c>
      <c r="E145" s="9">
        <f t="shared" si="7"/>
        <v>6.8301435021925448E-3</v>
      </c>
      <c r="F145" s="9">
        <f t="shared" si="5"/>
        <v>7.5739625620837971E-3</v>
      </c>
      <c r="G145" s="9">
        <f t="shared" si="6"/>
        <v>8.2608835247882373E-3</v>
      </c>
    </row>
    <row r="146" spans="1:7" x14ac:dyDescent="0.2">
      <c r="A146" s="12">
        <v>37104</v>
      </c>
      <c r="D146" s="9">
        <v>315.27</v>
      </c>
      <c r="E146" s="9">
        <f t="shared" si="7"/>
        <v>1.2190602845460282E-2</v>
      </c>
      <c r="F146" s="9">
        <f t="shared" si="5"/>
        <v>1.4472864881759575E-2</v>
      </c>
      <c r="G146" s="9">
        <f t="shared" si="6"/>
        <v>8.4986052432584145E-3</v>
      </c>
    </row>
    <row r="147" spans="1:7" x14ac:dyDescent="0.2">
      <c r="A147" s="12">
        <v>37105</v>
      </c>
      <c r="D147" s="9">
        <v>315.54000000000002</v>
      </c>
      <c r="E147" s="9">
        <f t="shared" si="7"/>
        <v>8.5604228369301624E-4</v>
      </c>
      <c r="F147" s="9">
        <f t="shared" si="5"/>
        <v>2.0523556431921015E-2</v>
      </c>
      <c r="G147" s="9">
        <f t="shared" si="6"/>
        <v>8.4307574216401521E-3</v>
      </c>
    </row>
    <row r="148" spans="1:7" x14ac:dyDescent="0.2">
      <c r="A148" s="12">
        <v>37106</v>
      </c>
      <c r="D148" s="9">
        <v>313.89</v>
      </c>
      <c r="E148" s="9">
        <f t="shared" si="7"/>
        <v>-5.242850768242286E-3</v>
      </c>
      <c r="F148" s="9">
        <f t="shared" si="5"/>
        <v>1.6769861005236943E-2</v>
      </c>
      <c r="G148" s="9">
        <f t="shared" si="6"/>
        <v>8.4917579146232217E-3</v>
      </c>
    </row>
    <row r="149" spans="1:7" x14ac:dyDescent="0.2">
      <c r="A149" s="12">
        <v>37109</v>
      </c>
      <c r="D149" s="9">
        <v>313.57</v>
      </c>
      <c r="E149" s="9">
        <f t="shared" si="7"/>
        <v>-1.0199854261409376E-3</v>
      </c>
      <c r="F149" s="9">
        <f t="shared" si="5"/>
        <v>1.0193049339668876E-2</v>
      </c>
      <c r="G149" s="9">
        <f t="shared" si="6"/>
        <v>8.443037682211189E-3</v>
      </c>
    </row>
    <row r="150" spans="1:7" x14ac:dyDescent="0.2">
      <c r="A150" s="12">
        <v>37110</v>
      </c>
      <c r="D150" s="9">
        <v>308.92</v>
      </c>
      <c r="E150" s="9">
        <f t="shared" si="7"/>
        <v>-1.4940276933861475E-2</v>
      </c>
      <c r="F150" s="9">
        <f t="shared" si="5"/>
        <v>9.8240925442054147E-3</v>
      </c>
      <c r="G150" s="9">
        <f t="shared" si="6"/>
        <v>8.4657450943975091E-3</v>
      </c>
    </row>
    <row r="151" spans="1:7" x14ac:dyDescent="0.2">
      <c r="A151" s="12">
        <v>37111</v>
      </c>
      <c r="D151" s="9">
        <v>305.66000000000003</v>
      </c>
      <c r="E151" s="9">
        <f t="shared" si="7"/>
        <v>-1.0608970601372777E-2</v>
      </c>
      <c r="F151" s="9">
        <f t="shared" si="5"/>
        <v>-1.1450258468497572E-2</v>
      </c>
      <c r="G151" s="9">
        <f t="shared" si="6"/>
        <v>8.4609510562455043E-3</v>
      </c>
    </row>
    <row r="152" spans="1:7" x14ac:dyDescent="0.2">
      <c r="A152" s="12">
        <v>37112</v>
      </c>
      <c r="D152" s="9">
        <v>300.93</v>
      </c>
      <c r="E152" s="9">
        <f t="shared" si="7"/>
        <v>-1.5595693536186932E-2</v>
      </c>
      <c r="F152" s="9">
        <f t="shared" si="5"/>
        <v>-4.3979202478626363E-2</v>
      </c>
      <c r="G152" s="9">
        <f t="shared" si="6"/>
        <v>8.2471138414794386E-3</v>
      </c>
    </row>
    <row r="153" spans="1:7" x14ac:dyDescent="0.2">
      <c r="A153" s="12">
        <v>37113</v>
      </c>
      <c r="D153" s="9">
        <v>299.51</v>
      </c>
      <c r="E153" s="9">
        <f t="shared" si="7"/>
        <v>-4.729873583763082E-3</v>
      </c>
      <c r="F153" s="9">
        <f t="shared" si="5"/>
        <v>-4.9217755414618321E-2</v>
      </c>
      <c r="G153" s="9">
        <f t="shared" si="6"/>
        <v>8.259311897468799E-3</v>
      </c>
    </row>
    <row r="154" spans="1:7" x14ac:dyDescent="0.2">
      <c r="A154" s="12">
        <v>37116</v>
      </c>
      <c r="D154" s="9">
        <v>301.08</v>
      </c>
      <c r="E154" s="9">
        <f t="shared" si="7"/>
        <v>5.2282041865907682E-3</v>
      </c>
      <c r="F154" s="9">
        <f t="shared" si="5"/>
        <v>-4.0327651547798167E-2</v>
      </c>
      <c r="G154" s="9">
        <f t="shared" si="6"/>
        <v>8.3433454099772399E-3</v>
      </c>
    </row>
    <row r="155" spans="1:7" x14ac:dyDescent="0.2">
      <c r="A155" s="12">
        <v>37117</v>
      </c>
      <c r="D155" s="9">
        <v>302.13</v>
      </c>
      <c r="E155" s="9">
        <f t="shared" si="7"/>
        <v>3.4813781618316703E-3</v>
      </c>
      <c r="F155" s="9">
        <f t="shared" si="5"/>
        <v>-3.856744420673916E-2</v>
      </c>
      <c r="G155" s="9">
        <f t="shared" si="6"/>
        <v>8.3717867510450187E-3</v>
      </c>
    </row>
    <row r="156" spans="1:7" x14ac:dyDescent="0.2">
      <c r="A156" s="12">
        <v>37118</v>
      </c>
      <c r="D156" s="9">
        <v>303.12</v>
      </c>
      <c r="E156" s="9">
        <f t="shared" si="7"/>
        <v>3.2713783821825223E-3</v>
      </c>
      <c r="F156" s="9">
        <f t="shared" si="5"/>
        <v>-3.1211431750933646E-2</v>
      </c>
      <c r="G156" s="9">
        <f t="shared" si="6"/>
        <v>8.3946721180240512E-3</v>
      </c>
    </row>
    <row r="157" spans="1:7" x14ac:dyDescent="0.2">
      <c r="A157" s="12">
        <v>37119</v>
      </c>
      <c r="D157" s="9">
        <v>301.87</v>
      </c>
      <c r="E157" s="9">
        <f t="shared" si="7"/>
        <v>-4.1323055876765699E-3</v>
      </c>
      <c r="F157" s="9">
        <f t="shared" si="5"/>
        <v>-3.5759345010955443E-2</v>
      </c>
      <c r="G157" s="9">
        <f t="shared" si="6"/>
        <v>8.4085254821091755E-3</v>
      </c>
    </row>
    <row r="158" spans="1:7" x14ac:dyDescent="0.2">
      <c r="A158" s="12">
        <v>37120</v>
      </c>
      <c r="D158" s="9">
        <v>301.36</v>
      </c>
      <c r="E158" s="9">
        <f t="shared" si="7"/>
        <v>-1.6908977388831615E-3</v>
      </c>
      <c r="F158" s="9">
        <f t="shared" si="5"/>
        <v>-2.8524765318615697E-2</v>
      </c>
      <c r="G158" s="9">
        <f t="shared" si="6"/>
        <v>8.2818725903360049E-3</v>
      </c>
    </row>
    <row r="159" spans="1:7" x14ac:dyDescent="0.2">
      <c r="A159" s="12">
        <v>37123</v>
      </c>
      <c r="D159" s="9">
        <v>299.74</v>
      </c>
      <c r="E159" s="9">
        <f t="shared" si="7"/>
        <v>-5.3901311669355923E-3</v>
      </c>
      <c r="F159" s="9">
        <f t="shared" si="5"/>
        <v>-4.2872336584381089E-2</v>
      </c>
      <c r="G159" s="9">
        <f t="shared" si="6"/>
        <v>8.1022877606949442E-3</v>
      </c>
    </row>
    <row r="160" spans="1:7" x14ac:dyDescent="0.2">
      <c r="A160" s="12">
        <v>37124</v>
      </c>
      <c r="D160" s="9">
        <v>299.14</v>
      </c>
      <c r="E160" s="9">
        <f t="shared" si="7"/>
        <v>-2.0037409856696435E-3</v>
      </c>
      <c r="F160" s="9">
        <f t="shared" si="5"/>
        <v>-4.4939999840591487E-2</v>
      </c>
      <c r="G160" s="9">
        <f t="shared" si="6"/>
        <v>8.0979427405654496E-3</v>
      </c>
    </row>
    <row r="161" spans="1:7" x14ac:dyDescent="0.2">
      <c r="A161" s="12">
        <v>37125</v>
      </c>
      <c r="D161" s="9">
        <v>297.5</v>
      </c>
      <c r="E161" s="9">
        <f t="shared" si="7"/>
        <v>-5.4974662454959971E-3</v>
      </c>
      <c r="F161" s="9">
        <f t="shared" ref="F161:F224" si="8">LN(D161/D131)</f>
        <v>-4.5278603690613567E-2</v>
      </c>
      <c r="G161" s="9">
        <f t="shared" si="6"/>
        <v>8.1034552385162283E-3</v>
      </c>
    </row>
    <row r="162" spans="1:7" x14ac:dyDescent="0.2">
      <c r="A162" s="12">
        <v>37126</v>
      </c>
      <c r="D162" s="9">
        <v>298.63</v>
      </c>
      <c r="E162" s="9">
        <f t="shared" si="7"/>
        <v>3.79112392740328E-3</v>
      </c>
      <c r="F162" s="9">
        <f t="shared" si="8"/>
        <v>-3.4038835892732482E-2</v>
      </c>
      <c r="G162" s="9">
        <f t="shared" si="6"/>
        <v>8.0791791345895172E-3</v>
      </c>
    </row>
    <row r="163" spans="1:7" x14ac:dyDescent="0.2">
      <c r="A163" s="12">
        <v>37127</v>
      </c>
      <c r="D163" s="9">
        <v>301.39999999999998</v>
      </c>
      <c r="E163" s="9">
        <f t="shared" si="7"/>
        <v>9.232937279307421E-3</v>
      </c>
      <c r="F163" s="9">
        <f t="shared" si="8"/>
        <v>-2.2667484112696437E-2</v>
      </c>
      <c r="G163" s="9">
        <f t="shared" si="6"/>
        <v>8.2943468364003094E-3</v>
      </c>
    </row>
    <row r="164" spans="1:7" x14ac:dyDescent="0.2">
      <c r="A164" s="12">
        <v>37130</v>
      </c>
      <c r="D164" s="9">
        <v>299.49</v>
      </c>
      <c r="E164" s="9">
        <f t="shared" si="7"/>
        <v>-6.3572581759514905E-3</v>
      </c>
      <c r="F164" s="9">
        <f t="shared" si="8"/>
        <v>-1.9410380420530737E-2</v>
      </c>
      <c r="G164" s="9">
        <f t="shared" si="6"/>
        <v>8.1951134938769449E-3</v>
      </c>
    </row>
    <row r="165" spans="1:7" x14ac:dyDescent="0.2">
      <c r="A165" s="12">
        <v>37131</v>
      </c>
      <c r="D165" s="9">
        <v>296.14</v>
      </c>
      <c r="E165" s="9">
        <f t="shared" si="7"/>
        <v>-1.1248712535870765E-2</v>
      </c>
      <c r="F165" s="9">
        <f t="shared" si="8"/>
        <v>-2.8823508331918508E-2</v>
      </c>
      <c r="G165" s="9">
        <f t="shared" si="6"/>
        <v>8.41932596368275E-3</v>
      </c>
    </row>
    <row r="166" spans="1:7" x14ac:dyDescent="0.2">
      <c r="A166" s="12">
        <v>37132</v>
      </c>
      <c r="D166" s="9">
        <v>292.08999999999997</v>
      </c>
      <c r="E166" s="9">
        <f t="shared" si="7"/>
        <v>-1.3770341523981889E-2</v>
      </c>
      <c r="F166" s="9">
        <f t="shared" si="8"/>
        <v>-4.1641953376611911E-2</v>
      </c>
      <c r="G166" s="9">
        <f t="shared" si="6"/>
        <v>8.7380934780387515E-3</v>
      </c>
    </row>
    <row r="167" spans="1:7" x14ac:dyDescent="0.2">
      <c r="A167" s="12">
        <v>37133</v>
      </c>
      <c r="D167" s="9">
        <v>287.06</v>
      </c>
      <c r="E167" s="9">
        <f t="shared" si="7"/>
        <v>-1.7370720813356669E-2</v>
      </c>
      <c r="F167" s="9">
        <f t="shared" si="8"/>
        <v>-7.3132090297380672E-2</v>
      </c>
      <c r="G167" s="9">
        <f t="shared" ref="G167:G230" si="9">STDEV(E138:E167)</f>
        <v>8.7023244417281619E-3</v>
      </c>
    </row>
    <row r="168" spans="1:7" x14ac:dyDescent="0.2">
      <c r="A168" s="12">
        <v>37134</v>
      </c>
      <c r="D168" s="9">
        <v>286.36</v>
      </c>
      <c r="E168" s="9">
        <f t="shared" si="7"/>
        <v>-2.4414926152500041E-3</v>
      </c>
      <c r="F168" s="9">
        <f t="shared" si="8"/>
        <v>-6.5060018742100434E-2</v>
      </c>
      <c r="G168" s="9">
        <f t="shared" si="9"/>
        <v>8.5677666674290453E-3</v>
      </c>
    </row>
    <row r="169" spans="1:7" x14ac:dyDescent="0.2">
      <c r="A169" s="12">
        <v>37137</v>
      </c>
      <c r="D169" s="9">
        <v>282.52999999999997</v>
      </c>
      <c r="E169" s="9">
        <f t="shared" si="7"/>
        <v>-1.3465020889480298E-2</v>
      </c>
      <c r="F169" s="9">
        <f t="shared" si="8"/>
        <v>-7.4984864825945199E-2</v>
      </c>
      <c r="G169" s="9">
        <f t="shared" si="9"/>
        <v>8.8107209324111164E-3</v>
      </c>
    </row>
    <row r="170" spans="1:7" x14ac:dyDescent="0.2">
      <c r="A170" s="12">
        <v>37138</v>
      </c>
      <c r="D170" s="9">
        <v>281.77</v>
      </c>
      <c r="E170" s="9">
        <f t="shared" si="7"/>
        <v>-2.6936043222229563E-3</v>
      </c>
      <c r="F170" s="9">
        <f t="shared" si="8"/>
        <v>-7.293865579146934E-2</v>
      </c>
      <c r="G170" s="9">
        <f t="shared" si="9"/>
        <v>8.8006943015962527E-3</v>
      </c>
    </row>
    <row r="171" spans="1:7" x14ac:dyDescent="0.2">
      <c r="A171" s="12">
        <v>37139</v>
      </c>
      <c r="D171" s="9">
        <v>279.69</v>
      </c>
      <c r="E171" s="9">
        <f t="shared" si="7"/>
        <v>-7.4092883395691627E-3</v>
      </c>
      <c r="F171" s="9">
        <f t="shared" si="8"/>
        <v>-6.9266946930911608E-2</v>
      </c>
      <c r="G171" s="9">
        <f t="shared" si="9"/>
        <v>8.7012246977511039E-3</v>
      </c>
    </row>
    <row r="172" spans="1:7" x14ac:dyDescent="0.2">
      <c r="A172" s="12">
        <v>37140</v>
      </c>
      <c r="D172" s="9">
        <v>279.19</v>
      </c>
      <c r="E172" s="9">
        <f t="shared" si="7"/>
        <v>-1.789293348836101E-3</v>
      </c>
      <c r="F172" s="9">
        <f t="shared" si="8"/>
        <v>-7.5682719267021442E-2</v>
      </c>
      <c r="G172" s="9">
        <f t="shared" si="9"/>
        <v>8.6031800193193658E-3</v>
      </c>
    </row>
    <row r="173" spans="1:7" x14ac:dyDescent="0.2">
      <c r="A173" s="12">
        <v>37141</v>
      </c>
      <c r="D173" s="9">
        <v>279.79000000000002</v>
      </c>
      <c r="E173" s="9">
        <f t="shared" si="7"/>
        <v>2.1467681506698076E-3</v>
      </c>
      <c r="F173" s="9">
        <f t="shared" si="8"/>
        <v>-8.889197171641644E-2</v>
      </c>
      <c r="G173" s="9">
        <f t="shared" si="9"/>
        <v>7.9714233367354538E-3</v>
      </c>
    </row>
    <row r="174" spans="1:7" x14ac:dyDescent="0.2">
      <c r="A174" s="12">
        <v>37144</v>
      </c>
      <c r="D174" s="9">
        <v>273.04000000000002</v>
      </c>
      <c r="E174" s="9">
        <f t="shared" si="7"/>
        <v>-2.4421017180093894E-2</v>
      </c>
      <c r="F174" s="9">
        <f t="shared" si="8"/>
        <v>-0.12479036359951012</v>
      </c>
      <c r="G174" s="9">
        <f t="shared" si="9"/>
        <v>8.4112506485418109E-3</v>
      </c>
    </row>
    <row r="175" spans="1:7" x14ac:dyDescent="0.2">
      <c r="A175" s="12">
        <v>37145</v>
      </c>
      <c r="D175" s="9">
        <v>265.20999999999998</v>
      </c>
      <c r="E175" s="9">
        <f t="shared" si="7"/>
        <v>-2.9096339607001517E-2</v>
      </c>
      <c r="F175" s="9">
        <f t="shared" si="8"/>
        <v>-0.16071684670870431</v>
      </c>
      <c r="G175" s="9">
        <f t="shared" si="9"/>
        <v>9.3028770225691473E-3</v>
      </c>
    </row>
    <row r="176" spans="1:7" x14ac:dyDescent="0.2">
      <c r="A176" s="12">
        <v>37146</v>
      </c>
      <c r="D176" s="9">
        <v>268.89</v>
      </c>
      <c r="E176" s="9">
        <f t="shared" si="7"/>
        <v>1.3780409045929783E-2</v>
      </c>
      <c r="F176" s="9">
        <f t="shared" si="8"/>
        <v>-0.15912704050823481</v>
      </c>
      <c r="G176" s="9">
        <f t="shared" si="9"/>
        <v>9.4101937419823999E-3</v>
      </c>
    </row>
    <row r="177" spans="1:7" x14ac:dyDescent="0.2">
      <c r="A177" s="12">
        <v>37147</v>
      </c>
      <c r="D177" s="9">
        <v>274.02</v>
      </c>
      <c r="E177" s="9">
        <f t="shared" si="7"/>
        <v>1.8898722387582584E-2</v>
      </c>
      <c r="F177" s="9">
        <f t="shared" si="8"/>
        <v>-0.14108436040434533</v>
      </c>
      <c r="G177" s="9">
        <f t="shared" si="9"/>
        <v>1.0347385949116692E-2</v>
      </c>
    </row>
    <row r="178" spans="1:7" x14ac:dyDescent="0.2">
      <c r="A178" s="12">
        <v>37148</v>
      </c>
      <c r="D178" s="9">
        <v>269</v>
      </c>
      <c r="E178" s="9">
        <f t="shared" si="7"/>
        <v>-1.8489716823123378E-2</v>
      </c>
      <c r="F178" s="9">
        <f t="shared" si="8"/>
        <v>-0.15433122645922648</v>
      </c>
      <c r="G178" s="9">
        <f t="shared" si="9"/>
        <v>1.0649463756048597E-2</v>
      </c>
    </row>
    <row r="179" spans="1:7" x14ac:dyDescent="0.2">
      <c r="A179" s="12">
        <v>37151</v>
      </c>
      <c r="D179" s="9">
        <v>259.52</v>
      </c>
      <c r="E179" s="9">
        <f t="shared" si="7"/>
        <v>-3.5877608674791089E-2</v>
      </c>
      <c r="F179" s="9">
        <f t="shared" si="8"/>
        <v>-0.18918884970787667</v>
      </c>
      <c r="G179" s="9">
        <f t="shared" si="9"/>
        <v>1.1999914642353905E-2</v>
      </c>
    </row>
    <row r="180" spans="1:7" x14ac:dyDescent="0.2">
      <c r="A180" s="12">
        <v>37152</v>
      </c>
      <c r="D180" s="9">
        <v>250.38</v>
      </c>
      <c r="E180" s="9">
        <f t="shared" si="7"/>
        <v>-3.5854007095531853E-2</v>
      </c>
      <c r="F180" s="9">
        <f t="shared" si="8"/>
        <v>-0.21010257986954697</v>
      </c>
      <c r="G180" s="9">
        <f t="shared" si="9"/>
        <v>1.3077860691120019E-2</v>
      </c>
    </row>
    <row r="181" spans="1:7" x14ac:dyDescent="0.2">
      <c r="A181" s="12">
        <v>37153</v>
      </c>
      <c r="D181" s="9">
        <v>253.67</v>
      </c>
      <c r="E181" s="9">
        <f t="shared" si="7"/>
        <v>1.3054445880190741E-2</v>
      </c>
      <c r="F181" s="9">
        <f t="shared" si="8"/>
        <v>-0.18643916338798347</v>
      </c>
      <c r="G181" s="9">
        <f t="shared" si="9"/>
        <v>1.355771250356823E-2</v>
      </c>
    </row>
    <row r="182" spans="1:7" x14ac:dyDescent="0.2">
      <c r="A182" s="12">
        <v>37154</v>
      </c>
      <c r="D182" s="9">
        <v>245.08</v>
      </c>
      <c r="E182" s="9">
        <f t="shared" si="7"/>
        <v>-3.4449521854253033E-2</v>
      </c>
      <c r="F182" s="9">
        <f t="shared" si="8"/>
        <v>-0.20529299170604956</v>
      </c>
      <c r="G182" s="9">
        <f t="shared" si="9"/>
        <v>1.4417292084811876E-2</v>
      </c>
    </row>
    <row r="183" spans="1:7" x14ac:dyDescent="0.2">
      <c r="A183" s="12">
        <v>37155</v>
      </c>
      <c r="D183" s="9">
        <v>235.6</v>
      </c>
      <c r="E183" s="9">
        <f t="shared" si="7"/>
        <v>-3.9449236080022224E-2</v>
      </c>
      <c r="F183" s="9">
        <f t="shared" si="8"/>
        <v>-0.24001235420230882</v>
      </c>
      <c r="G183" s="9">
        <f t="shared" si="9"/>
        <v>1.5587798374044868E-2</v>
      </c>
    </row>
    <row r="184" spans="1:7" x14ac:dyDescent="0.2">
      <c r="A184" s="12">
        <v>37158</v>
      </c>
      <c r="D184" s="9">
        <v>240.67</v>
      </c>
      <c r="E184" s="9">
        <f t="shared" si="7"/>
        <v>2.1291248766881304E-2</v>
      </c>
      <c r="F184" s="9">
        <f t="shared" si="8"/>
        <v>-0.22394930962201828</v>
      </c>
      <c r="G184" s="9">
        <f t="shared" si="9"/>
        <v>1.6316702539417111E-2</v>
      </c>
    </row>
    <row r="185" spans="1:7" x14ac:dyDescent="0.2">
      <c r="A185" s="12">
        <v>37159</v>
      </c>
      <c r="D185" s="9">
        <v>238.5</v>
      </c>
      <c r="E185" s="9">
        <f t="shared" si="7"/>
        <v>-9.0573902159169339E-3</v>
      </c>
      <c r="F185" s="9">
        <f t="shared" si="8"/>
        <v>-0.23648807799976695</v>
      </c>
      <c r="G185" s="9">
        <f t="shared" si="9"/>
        <v>1.6186713441902423E-2</v>
      </c>
    </row>
    <row r="186" spans="1:7" x14ac:dyDescent="0.2">
      <c r="A186" s="12">
        <v>37160</v>
      </c>
      <c r="D186" s="9">
        <v>244.92</v>
      </c>
      <c r="E186" s="9">
        <f t="shared" si="7"/>
        <v>2.6562316281357735E-2</v>
      </c>
      <c r="F186" s="9">
        <f t="shared" si="8"/>
        <v>-0.21319714010059163</v>
      </c>
      <c r="G186" s="9">
        <f t="shared" si="9"/>
        <v>1.7262931666688783E-2</v>
      </c>
    </row>
    <row r="187" spans="1:7" x14ac:dyDescent="0.2">
      <c r="A187" s="12">
        <v>37161</v>
      </c>
      <c r="D187" s="9">
        <v>248.07</v>
      </c>
      <c r="E187" s="9">
        <f t="shared" si="7"/>
        <v>1.277933779243122E-2</v>
      </c>
      <c r="F187" s="9">
        <f t="shared" si="8"/>
        <v>-0.19628549672048376</v>
      </c>
      <c r="G187" s="9">
        <f t="shared" si="9"/>
        <v>1.7635509975926885E-2</v>
      </c>
    </row>
    <row r="188" spans="1:7" x14ac:dyDescent="0.2">
      <c r="A188" s="12">
        <v>37162</v>
      </c>
      <c r="D188" s="9">
        <v>255.45</v>
      </c>
      <c r="E188" s="9">
        <f t="shared" si="7"/>
        <v>2.9315731374621897E-2</v>
      </c>
      <c r="F188" s="9">
        <f t="shared" si="8"/>
        <v>-0.16527886760697877</v>
      </c>
      <c r="G188" s="9">
        <f t="shared" si="9"/>
        <v>1.879982990287184E-2</v>
      </c>
    </row>
    <row r="189" spans="1:7" x14ac:dyDescent="0.2">
      <c r="A189" s="12">
        <v>37165</v>
      </c>
      <c r="D189" s="9">
        <v>247.01</v>
      </c>
      <c r="E189" s="9">
        <f t="shared" si="7"/>
        <v>-3.3597874138399333E-2</v>
      </c>
      <c r="F189" s="9">
        <f t="shared" si="8"/>
        <v>-0.19348661057844249</v>
      </c>
      <c r="G189" s="9">
        <f t="shared" si="9"/>
        <v>1.9486517012460538E-2</v>
      </c>
    </row>
    <row r="190" spans="1:7" x14ac:dyDescent="0.2">
      <c r="A190" s="12">
        <v>37166</v>
      </c>
      <c r="D190" s="9">
        <v>252.61</v>
      </c>
      <c r="E190" s="9">
        <f t="shared" si="7"/>
        <v>2.2417975776256486E-2</v>
      </c>
      <c r="F190" s="9">
        <f t="shared" si="8"/>
        <v>-0.16906489381651646</v>
      </c>
      <c r="G190" s="9">
        <f t="shared" si="9"/>
        <v>2.0176543520606691E-2</v>
      </c>
    </row>
    <row r="191" spans="1:7" x14ac:dyDescent="0.2">
      <c r="A191" s="12">
        <v>37167</v>
      </c>
      <c r="D191" s="9">
        <v>251.22</v>
      </c>
      <c r="E191" s="9">
        <f t="shared" si="7"/>
        <v>-5.5177481555570606E-3</v>
      </c>
      <c r="F191" s="9">
        <f t="shared" si="8"/>
        <v>-0.16908517572657747</v>
      </c>
      <c r="G191" s="9">
        <f t="shared" si="9"/>
        <v>2.0176539075884681E-2</v>
      </c>
    </row>
    <row r="192" spans="1:7" x14ac:dyDescent="0.2">
      <c r="A192" s="12">
        <v>37168</v>
      </c>
      <c r="D192" s="9">
        <v>256.35000000000002</v>
      </c>
      <c r="E192" s="9">
        <f t="shared" si="7"/>
        <v>2.0214648970602659E-2</v>
      </c>
      <c r="F192" s="9">
        <f t="shared" si="8"/>
        <v>-0.15266165068337809</v>
      </c>
      <c r="G192" s="9">
        <f t="shared" si="9"/>
        <v>2.0658211295883668E-2</v>
      </c>
    </row>
    <row r="193" spans="1:7" x14ac:dyDescent="0.2">
      <c r="A193" s="12">
        <v>37169</v>
      </c>
      <c r="D193" s="9">
        <v>255.63</v>
      </c>
      <c r="E193" s="9">
        <f t="shared" si="7"/>
        <v>-2.8126117217354284E-3</v>
      </c>
      <c r="F193" s="9">
        <f t="shared" si="8"/>
        <v>-0.1647071996844208</v>
      </c>
      <c r="G193" s="9">
        <f t="shared" si="9"/>
        <v>2.0486600647846374E-2</v>
      </c>
    </row>
    <row r="194" spans="1:7" x14ac:dyDescent="0.2">
      <c r="A194" s="12">
        <v>37172</v>
      </c>
      <c r="D194" s="9">
        <v>253.99</v>
      </c>
      <c r="E194" s="9">
        <f t="shared" si="7"/>
        <v>-6.4361903431997027E-3</v>
      </c>
      <c r="F194" s="9">
        <f t="shared" si="8"/>
        <v>-0.16478613185166902</v>
      </c>
      <c r="G194" s="9">
        <f t="shared" si="9"/>
        <v>2.0486720905962846E-2</v>
      </c>
    </row>
    <row r="195" spans="1:7" x14ac:dyDescent="0.2">
      <c r="A195" s="12">
        <v>37173</v>
      </c>
      <c r="D195" s="9">
        <v>259.33999999999997</v>
      </c>
      <c r="E195" s="9">
        <f t="shared" si="7"/>
        <v>2.0845045955963547E-2</v>
      </c>
      <c r="F195" s="9">
        <f t="shared" si="8"/>
        <v>-0.13269237335983469</v>
      </c>
      <c r="G195" s="9">
        <f t="shared" si="9"/>
        <v>2.100713244079631E-2</v>
      </c>
    </row>
    <row r="196" spans="1:7" x14ac:dyDescent="0.2">
      <c r="A196" s="12">
        <v>37174</v>
      </c>
      <c r="D196" s="9">
        <v>263.7</v>
      </c>
      <c r="E196" s="9">
        <f t="shared" ref="E196:E259" si="10">LN(D196/D195)</f>
        <v>1.667215123850288E-2</v>
      </c>
      <c r="F196" s="9">
        <f t="shared" si="8"/>
        <v>-0.10224988059734995</v>
      </c>
      <c r="G196" s="9">
        <f t="shared" si="9"/>
        <v>2.1273615441737535E-2</v>
      </c>
    </row>
    <row r="197" spans="1:7" x14ac:dyDescent="0.2">
      <c r="A197" s="12">
        <v>37175</v>
      </c>
      <c r="D197" s="9">
        <v>272.58999999999997</v>
      </c>
      <c r="E197" s="9">
        <f t="shared" si="10"/>
        <v>3.3156741444558026E-2</v>
      </c>
      <c r="F197" s="9">
        <f t="shared" si="8"/>
        <v>-5.1722418339435326E-2</v>
      </c>
      <c r="G197" s="9">
        <f t="shared" si="9"/>
        <v>2.2113648396991512E-2</v>
      </c>
    </row>
    <row r="198" spans="1:7" x14ac:dyDescent="0.2">
      <c r="A198" s="12">
        <v>37176</v>
      </c>
      <c r="D198" s="9">
        <v>265.88</v>
      </c>
      <c r="E198" s="9">
        <f t="shared" si="10"/>
        <v>-2.4923755630417793E-2</v>
      </c>
      <c r="F198" s="9">
        <f t="shared" si="8"/>
        <v>-7.4204681354603216E-2</v>
      </c>
      <c r="G198" s="9">
        <f t="shared" si="9"/>
        <v>2.2516087546269086E-2</v>
      </c>
    </row>
    <row r="199" spans="1:7" x14ac:dyDescent="0.2">
      <c r="A199" s="12">
        <v>37179</v>
      </c>
      <c r="D199" s="9">
        <v>265.55</v>
      </c>
      <c r="E199" s="9">
        <f t="shared" si="10"/>
        <v>-1.2419323049728552E-3</v>
      </c>
      <c r="F199" s="9">
        <f t="shared" si="8"/>
        <v>-6.1981592770095836E-2</v>
      </c>
      <c r="G199" s="9">
        <f t="shared" si="9"/>
        <v>2.2420722089479362E-2</v>
      </c>
    </row>
    <row r="200" spans="1:7" x14ac:dyDescent="0.2">
      <c r="A200" s="12">
        <v>37180</v>
      </c>
      <c r="D200" s="9">
        <v>264.25</v>
      </c>
      <c r="E200" s="9">
        <f t="shared" si="10"/>
        <v>-4.9075221180611807E-3</v>
      </c>
      <c r="F200" s="9">
        <f t="shared" si="8"/>
        <v>-6.4195510565934144E-2</v>
      </c>
      <c r="G200" s="9">
        <f t="shared" si="9"/>
        <v>2.2426501668867276E-2</v>
      </c>
    </row>
    <row r="201" spans="1:7" x14ac:dyDescent="0.2">
      <c r="A201" s="12">
        <v>37181</v>
      </c>
      <c r="D201" s="9">
        <v>266.35000000000002</v>
      </c>
      <c r="E201" s="9">
        <f t="shared" si="10"/>
        <v>7.915608612661218E-3</v>
      </c>
      <c r="F201" s="9">
        <f t="shared" si="8"/>
        <v>-4.8870613613703685E-2</v>
      </c>
      <c r="G201" s="9">
        <f t="shared" si="9"/>
        <v>2.2476814259745213E-2</v>
      </c>
    </row>
    <row r="202" spans="1:7" x14ac:dyDescent="0.2">
      <c r="A202" s="12">
        <v>37182</v>
      </c>
      <c r="D202" s="9">
        <v>263.61</v>
      </c>
      <c r="E202" s="9">
        <f t="shared" si="10"/>
        <v>-1.0340495187146737E-2</v>
      </c>
      <c r="F202" s="9">
        <f t="shared" si="8"/>
        <v>-5.7421815452014226E-2</v>
      </c>
      <c r="G202" s="9">
        <f t="shared" si="9"/>
        <v>2.2533067553906522E-2</v>
      </c>
    </row>
    <row r="203" spans="1:7" x14ac:dyDescent="0.2">
      <c r="A203" s="12">
        <v>37183</v>
      </c>
      <c r="D203" s="9">
        <v>263.60000000000002</v>
      </c>
      <c r="E203" s="9">
        <f t="shared" si="10"/>
        <v>-3.7935547509330328E-5</v>
      </c>
      <c r="F203" s="9">
        <f t="shared" si="8"/>
        <v>-5.9606519150193264E-2</v>
      </c>
      <c r="G203" s="9">
        <f t="shared" si="9"/>
        <v>2.2523019095449109E-2</v>
      </c>
    </row>
    <row r="204" spans="1:7" x14ac:dyDescent="0.2">
      <c r="A204" s="12">
        <v>37186</v>
      </c>
      <c r="D204" s="9">
        <v>267.33</v>
      </c>
      <c r="E204" s="9">
        <f t="shared" si="10"/>
        <v>1.4051047664385776E-2</v>
      </c>
      <c r="F204" s="9">
        <f t="shared" si="8"/>
        <v>-2.1134454305713563E-2</v>
      </c>
      <c r="G204" s="9">
        <f t="shared" si="9"/>
        <v>2.2295734511863442E-2</v>
      </c>
    </row>
    <row r="205" spans="1:7" x14ac:dyDescent="0.2">
      <c r="A205" s="12">
        <v>37187</v>
      </c>
      <c r="D205" s="9">
        <v>269.08999999999997</v>
      </c>
      <c r="E205" s="9">
        <f t="shared" si="10"/>
        <v>6.562045842912193E-3</v>
      </c>
      <c r="F205" s="9">
        <f t="shared" si="8"/>
        <v>1.4523931144200239E-2</v>
      </c>
      <c r="G205" s="9">
        <f t="shared" si="9"/>
        <v>2.1671699617611853E-2</v>
      </c>
    </row>
    <row r="206" spans="1:7" x14ac:dyDescent="0.2">
      <c r="A206" s="12">
        <v>37188</v>
      </c>
      <c r="D206" s="9">
        <v>268.58999999999997</v>
      </c>
      <c r="E206" s="9">
        <f t="shared" si="10"/>
        <v>-1.8598428214760352E-3</v>
      </c>
      <c r="F206" s="9">
        <f t="shared" si="8"/>
        <v>-1.1163207232057313E-3</v>
      </c>
      <c r="G206" s="9">
        <f t="shared" si="9"/>
        <v>2.1528460436176806E-2</v>
      </c>
    </row>
    <row r="207" spans="1:7" x14ac:dyDescent="0.2">
      <c r="A207" s="12">
        <v>37189</v>
      </c>
      <c r="D207" s="9">
        <v>264.02</v>
      </c>
      <c r="E207" s="9">
        <f t="shared" si="10"/>
        <v>-1.7161195461560808E-2</v>
      </c>
      <c r="F207" s="9">
        <f t="shared" si="8"/>
        <v>-3.717623857234905E-2</v>
      </c>
      <c r="G207" s="9">
        <f t="shared" si="9"/>
        <v>2.1441243710856112E-2</v>
      </c>
    </row>
    <row r="208" spans="1:7" x14ac:dyDescent="0.2">
      <c r="A208" s="12">
        <v>37190</v>
      </c>
      <c r="D208" s="9">
        <v>271.27</v>
      </c>
      <c r="E208" s="9">
        <f t="shared" si="10"/>
        <v>2.7089777002826484E-2</v>
      </c>
      <c r="F208" s="9">
        <f t="shared" si="8"/>
        <v>8.40325525360088E-3</v>
      </c>
      <c r="G208" s="9">
        <f t="shared" si="9"/>
        <v>2.1788784430044405E-2</v>
      </c>
    </row>
    <row r="209" spans="1:7" x14ac:dyDescent="0.2">
      <c r="A209" s="12">
        <v>37193</v>
      </c>
      <c r="D209" s="9">
        <v>265.17</v>
      </c>
      <c r="E209" s="9">
        <f t="shared" si="10"/>
        <v>-2.2743505114473608E-2</v>
      </c>
      <c r="F209" s="9">
        <f t="shared" si="8"/>
        <v>2.1537358813918384E-2</v>
      </c>
      <c r="G209" s="9">
        <f t="shared" si="9"/>
        <v>2.1160094841800675E-2</v>
      </c>
    </row>
    <row r="210" spans="1:7" x14ac:dyDescent="0.2">
      <c r="A210" s="12">
        <v>37194</v>
      </c>
      <c r="D210" s="9">
        <v>257.94</v>
      </c>
      <c r="E210" s="9">
        <f t="shared" si="10"/>
        <v>-2.7644130004721167E-2</v>
      </c>
      <c r="F210" s="9">
        <f t="shared" si="8"/>
        <v>2.9747235904728993E-2</v>
      </c>
      <c r="G210" s="9">
        <f t="shared" si="9"/>
        <v>2.0719299867216139E-2</v>
      </c>
    </row>
    <row r="211" spans="1:7" x14ac:dyDescent="0.2">
      <c r="A211" s="12">
        <v>37195</v>
      </c>
      <c r="D211" s="9">
        <v>262.05</v>
      </c>
      <c r="E211" s="9">
        <f t="shared" si="10"/>
        <v>1.5808325511930246E-2</v>
      </c>
      <c r="F211" s="9">
        <f t="shared" si="8"/>
        <v>3.2501115536468325E-2</v>
      </c>
      <c r="G211" s="9">
        <f t="shared" si="9"/>
        <v>2.0780596612845693E-2</v>
      </c>
    </row>
    <row r="212" spans="1:7" x14ac:dyDescent="0.2">
      <c r="A212" s="12">
        <v>37196</v>
      </c>
      <c r="D212" s="9">
        <v>261.45999999999998</v>
      </c>
      <c r="E212" s="9">
        <f t="shared" si="10"/>
        <v>-2.2540171144613754E-3</v>
      </c>
      <c r="F212" s="9">
        <f t="shared" si="8"/>
        <v>6.4696620276260081E-2</v>
      </c>
      <c r="G212" s="9">
        <f t="shared" si="9"/>
        <v>1.968472425746956E-2</v>
      </c>
    </row>
    <row r="213" spans="1:7" x14ac:dyDescent="0.2">
      <c r="A213" s="12">
        <v>37197</v>
      </c>
      <c r="D213" s="9">
        <v>260.98</v>
      </c>
      <c r="E213" s="9">
        <f t="shared" si="10"/>
        <v>-1.8375320996130286E-3</v>
      </c>
      <c r="F213" s="9">
        <f t="shared" si="8"/>
        <v>0.10230832425666929</v>
      </c>
      <c r="G213" s="9">
        <f t="shared" si="9"/>
        <v>1.8075434828274006E-2</v>
      </c>
    </row>
    <row r="214" spans="1:7" x14ac:dyDescent="0.2">
      <c r="A214" s="12">
        <v>37200</v>
      </c>
      <c r="D214" s="9">
        <v>264.08999999999997</v>
      </c>
      <c r="E214" s="9">
        <f t="shared" si="10"/>
        <v>1.1846178106823445E-2</v>
      </c>
      <c r="F214" s="9">
        <f t="shared" si="8"/>
        <v>9.2863253596611572E-2</v>
      </c>
      <c r="G214" s="9">
        <f t="shared" si="9"/>
        <v>1.7833889303032386E-2</v>
      </c>
    </row>
    <row r="215" spans="1:7" x14ac:dyDescent="0.2">
      <c r="A215" s="12">
        <v>37201</v>
      </c>
      <c r="D215" s="9">
        <v>263.3</v>
      </c>
      <c r="E215" s="9">
        <f t="shared" si="10"/>
        <v>-2.9958876386606257E-3</v>
      </c>
      <c r="F215" s="9">
        <f t="shared" si="8"/>
        <v>9.8924756173867923E-2</v>
      </c>
      <c r="G215" s="9">
        <f t="shared" si="9"/>
        <v>1.772546275246463E-2</v>
      </c>
    </row>
    <row r="216" spans="1:7" x14ac:dyDescent="0.2">
      <c r="A216" s="12">
        <v>37202</v>
      </c>
      <c r="D216" s="9">
        <v>264.76</v>
      </c>
      <c r="E216" s="9">
        <f t="shared" si="10"/>
        <v>5.529688748458177E-3</v>
      </c>
      <c r="F216" s="9">
        <f t="shared" si="8"/>
        <v>7.7892128640968339E-2</v>
      </c>
      <c r="G216" s="9">
        <f t="shared" si="9"/>
        <v>1.7181138212432483E-2</v>
      </c>
    </row>
    <row r="217" spans="1:7" x14ac:dyDescent="0.2">
      <c r="A217" s="12">
        <v>37203</v>
      </c>
      <c r="D217" s="9">
        <v>267.67</v>
      </c>
      <c r="E217" s="9">
        <f t="shared" si="10"/>
        <v>1.0931123250512768E-2</v>
      </c>
      <c r="F217" s="9">
        <f t="shared" si="8"/>
        <v>7.6043914099049953E-2</v>
      </c>
      <c r="G217" s="9">
        <f t="shared" si="9"/>
        <v>1.7146644730757846E-2</v>
      </c>
    </row>
    <row r="218" spans="1:7" x14ac:dyDescent="0.2">
      <c r="A218" s="12">
        <v>37204</v>
      </c>
      <c r="D218" s="9">
        <v>263.20999999999998</v>
      </c>
      <c r="E218" s="9">
        <f t="shared" si="10"/>
        <v>-1.6802685850850915E-2</v>
      </c>
      <c r="F218" s="9">
        <f t="shared" si="8"/>
        <v>2.9925496873576932E-2</v>
      </c>
      <c r="G218" s="9">
        <f t="shared" si="9"/>
        <v>1.672499492591142E-2</v>
      </c>
    </row>
    <row r="219" spans="1:7" x14ac:dyDescent="0.2">
      <c r="A219" s="12">
        <v>37207</v>
      </c>
      <c r="D219" s="9">
        <v>260.22000000000003</v>
      </c>
      <c r="E219" s="9">
        <f t="shared" si="10"/>
        <v>-1.1424765575053984E-2</v>
      </c>
      <c r="F219" s="9">
        <f t="shared" si="8"/>
        <v>5.209860543692249E-2</v>
      </c>
      <c r="G219" s="9">
        <f t="shared" si="9"/>
        <v>1.5595226959754783E-2</v>
      </c>
    </row>
    <row r="220" spans="1:7" x14ac:dyDescent="0.2">
      <c r="A220" s="12">
        <v>37208</v>
      </c>
      <c r="D220" s="9">
        <v>262.02999999999997</v>
      </c>
      <c r="E220" s="9">
        <f t="shared" si="10"/>
        <v>6.931573947498923E-3</v>
      </c>
      <c r="F220" s="9">
        <f t="shared" si="8"/>
        <v>3.6612203608165014E-2</v>
      </c>
      <c r="G220" s="9">
        <f t="shared" si="9"/>
        <v>1.5136615575340956E-2</v>
      </c>
    </row>
    <row r="221" spans="1:7" x14ac:dyDescent="0.2">
      <c r="A221" s="12">
        <v>37209</v>
      </c>
      <c r="D221" s="9">
        <v>264.29000000000002</v>
      </c>
      <c r="E221" s="9">
        <f t="shared" si="10"/>
        <v>8.5879840789629992E-3</v>
      </c>
      <c r="F221" s="9">
        <f t="shared" si="8"/>
        <v>5.0717935842685198E-2</v>
      </c>
      <c r="G221" s="9">
        <f t="shared" si="9"/>
        <v>1.5139173752021624E-2</v>
      </c>
    </row>
    <row r="222" spans="1:7" x14ac:dyDescent="0.2">
      <c r="A222" s="12">
        <v>37210</v>
      </c>
      <c r="D222" s="9">
        <v>264.44</v>
      </c>
      <c r="E222" s="9">
        <f t="shared" si="10"/>
        <v>5.6739736358536882E-4</v>
      </c>
      <c r="F222" s="9">
        <f t="shared" si="8"/>
        <v>3.1070684235667775E-2</v>
      </c>
      <c r="G222" s="9">
        <f t="shared" si="9"/>
        <v>1.4729628638398757E-2</v>
      </c>
    </row>
    <row r="223" spans="1:7" x14ac:dyDescent="0.2">
      <c r="A223" s="12">
        <v>37211</v>
      </c>
      <c r="D223" s="9">
        <v>265.14999999999998</v>
      </c>
      <c r="E223" s="9">
        <f t="shared" si="10"/>
        <v>2.6813211177616225E-3</v>
      </c>
      <c r="F223" s="9">
        <f t="shared" si="8"/>
        <v>3.6564617075164632E-2</v>
      </c>
      <c r="G223" s="9">
        <f t="shared" si="9"/>
        <v>1.4714278083926242E-2</v>
      </c>
    </row>
    <row r="224" spans="1:7" x14ac:dyDescent="0.2">
      <c r="A224" s="12">
        <v>37214</v>
      </c>
      <c r="D224" s="9">
        <v>266.52999999999997</v>
      </c>
      <c r="E224" s="9">
        <f t="shared" si="10"/>
        <v>5.1911040436659296E-3</v>
      </c>
      <c r="F224" s="9">
        <f t="shared" si="8"/>
        <v>4.8191911462030307E-2</v>
      </c>
      <c r="G224" s="9">
        <f t="shared" si="9"/>
        <v>1.465871846554379E-2</v>
      </c>
    </row>
    <row r="225" spans="1:7" x14ac:dyDescent="0.2">
      <c r="A225" s="12">
        <v>37215</v>
      </c>
      <c r="D225" s="9">
        <v>267.33</v>
      </c>
      <c r="E225" s="9">
        <f t="shared" si="10"/>
        <v>2.9970426659332449E-3</v>
      </c>
      <c r="F225" s="9">
        <f t="shared" ref="F225:F288" si="11">LN(D225/D195)</f>
        <v>3.0343908172000035E-2</v>
      </c>
      <c r="G225" s="9">
        <f t="shared" si="9"/>
        <v>1.4206182109741608E-2</v>
      </c>
    </row>
    <row r="226" spans="1:7" x14ac:dyDescent="0.2">
      <c r="A226" s="12">
        <v>37216</v>
      </c>
      <c r="D226" s="9">
        <v>268.17</v>
      </c>
      <c r="E226" s="9">
        <f t="shared" si="10"/>
        <v>3.1372574751328736E-3</v>
      </c>
      <c r="F226" s="9">
        <f t="shared" si="11"/>
        <v>1.6809014408629953E-2</v>
      </c>
      <c r="G226" s="9">
        <f t="shared" si="9"/>
        <v>1.3903371101246448E-2</v>
      </c>
    </row>
    <row r="227" spans="1:7" x14ac:dyDescent="0.2">
      <c r="A227" s="12">
        <v>37217</v>
      </c>
      <c r="D227" s="9">
        <v>269.60000000000002</v>
      </c>
      <c r="E227" s="9">
        <f t="shared" si="10"/>
        <v>5.3182712702810261E-3</v>
      </c>
      <c r="F227" s="9">
        <f t="shared" si="11"/>
        <v>-1.1029455765646907E-2</v>
      </c>
      <c r="G227" s="9">
        <f t="shared" si="9"/>
        <v>1.2512181310378918E-2</v>
      </c>
    </row>
    <row r="228" spans="1:7" x14ac:dyDescent="0.2">
      <c r="A228" s="12">
        <v>37218</v>
      </c>
      <c r="D228" s="9">
        <v>269.45999999999998</v>
      </c>
      <c r="E228" s="9">
        <f t="shared" si="10"/>
        <v>-5.194227104504364E-4</v>
      </c>
      <c r="F228" s="9">
        <f t="shared" si="11"/>
        <v>1.3374877154320501E-2</v>
      </c>
      <c r="G228" s="9">
        <f t="shared" si="9"/>
        <v>1.1622294286903832E-2</v>
      </c>
    </row>
    <row r="229" spans="1:7" x14ac:dyDescent="0.2">
      <c r="A229" s="12">
        <v>37221</v>
      </c>
      <c r="D229" s="9">
        <v>269.11</v>
      </c>
      <c r="E229" s="9">
        <f t="shared" si="10"/>
        <v>-1.2997383785647455E-3</v>
      </c>
      <c r="F229" s="9">
        <f t="shared" si="11"/>
        <v>1.3317071080728634E-2</v>
      </c>
      <c r="G229" s="9">
        <f t="shared" si="9"/>
        <v>1.1622588539124569E-2</v>
      </c>
    </row>
    <row r="230" spans="1:7" x14ac:dyDescent="0.2">
      <c r="A230" s="12">
        <v>37222</v>
      </c>
      <c r="D230" s="9">
        <v>269.83</v>
      </c>
      <c r="E230" s="9">
        <f t="shared" si="10"/>
        <v>2.6719131196314442E-3</v>
      </c>
      <c r="F230" s="9">
        <f t="shared" si="11"/>
        <v>2.0896506318421382E-2</v>
      </c>
      <c r="G230" s="9">
        <f t="shared" si="9"/>
        <v>1.1584567210304715E-2</v>
      </c>
    </row>
    <row r="231" spans="1:7" x14ac:dyDescent="0.2">
      <c r="A231" s="12">
        <v>37223</v>
      </c>
      <c r="D231" s="9">
        <v>266.66000000000003</v>
      </c>
      <c r="E231" s="9">
        <f t="shared" si="10"/>
        <v>-1.181769238145592E-2</v>
      </c>
      <c r="F231" s="9">
        <f t="shared" si="11"/>
        <v>1.1632053243043484E-3</v>
      </c>
      <c r="G231" s="9">
        <f t="shared" ref="G231:G294" si="12">STDEV(E202:E231)</f>
        <v>1.1719972760779237E-2</v>
      </c>
    </row>
    <row r="232" spans="1:7" x14ac:dyDescent="0.2">
      <c r="A232" s="12">
        <v>37224</v>
      </c>
      <c r="D232" s="9">
        <v>267.16000000000003</v>
      </c>
      <c r="E232" s="9">
        <f t="shared" si="10"/>
        <v>1.8732911701228258E-3</v>
      </c>
      <c r="F232" s="9">
        <f t="shared" si="11"/>
        <v>1.3376991681573828E-2</v>
      </c>
      <c r="G232" s="9">
        <f t="shared" si="12"/>
        <v>1.1558007774361839E-2</v>
      </c>
    </row>
    <row r="233" spans="1:7" x14ac:dyDescent="0.2">
      <c r="A233" s="12">
        <v>37225</v>
      </c>
      <c r="D233" s="9">
        <v>270.72000000000003</v>
      </c>
      <c r="E233" s="9">
        <f t="shared" si="10"/>
        <v>1.3237346560423175E-2</v>
      </c>
      <c r="F233" s="9">
        <f t="shared" si="11"/>
        <v>2.6652273789506232E-2</v>
      </c>
      <c r="G233" s="9">
        <f t="shared" si="12"/>
        <v>1.1790632380628996E-2</v>
      </c>
    </row>
    <row r="234" spans="1:7" x14ac:dyDescent="0.2">
      <c r="A234" s="12">
        <v>37228</v>
      </c>
      <c r="D234" s="9">
        <v>266.3</v>
      </c>
      <c r="E234" s="9">
        <f t="shared" si="10"/>
        <v>-1.6461583597971938E-2</v>
      </c>
      <c r="F234" s="9">
        <f t="shared" si="11"/>
        <v>-3.8603574728514624E-3</v>
      </c>
      <c r="G234" s="9">
        <f t="shared" si="12"/>
        <v>1.1931246311969328E-2</v>
      </c>
    </row>
    <row r="235" spans="1:7" x14ac:dyDescent="0.2">
      <c r="A235" s="12">
        <v>37229</v>
      </c>
      <c r="D235" s="9">
        <v>267.99</v>
      </c>
      <c r="E235" s="9">
        <f t="shared" si="10"/>
        <v>6.3261735619707833E-3</v>
      </c>
      <c r="F235" s="9">
        <f t="shared" si="11"/>
        <v>-4.0962297537928249E-3</v>
      </c>
      <c r="G235" s="9">
        <f t="shared" si="12"/>
        <v>1.1926762121663031E-2</v>
      </c>
    </row>
    <row r="236" spans="1:7" x14ac:dyDescent="0.2">
      <c r="A236" s="12">
        <v>37230</v>
      </c>
      <c r="D236" s="9">
        <v>272.01</v>
      </c>
      <c r="E236" s="9">
        <f t="shared" si="10"/>
        <v>1.4889163944217012E-2</v>
      </c>
      <c r="F236" s="9">
        <f t="shared" si="11"/>
        <v>1.2652777011900191E-2</v>
      </c>
      <c r="G236" s="9">
        <f t="shared" si="12"/>
        <v>1.2231436394444104E-2</v>
      </c>
    </row>
    <row r="237" spans="1:7" x14ac:dyDescent="0.2">
      <c r="A237" s="12">
        <v>37231</v>
      </c>
      <c r="D237" s="9">
        <v>268.94</v>
      </c>
      <c r="E237" s="9">
        <f t="shared" si="10"/>
        <v>-1.1350523930350466E-2</v>
      </c>
      <c r="F237" s="9">
        <f t="shared" si="11"/>
        <v>1.8463448543110543E-2</v>
      </c>
      <c r="G237" s="9">
        <f t="shared" si="12"/>
        <v>1.1986966979257494E-2</v>
      </c>
    </row>
    <row r="238" spans="1:7" x14ac:dyDescent="0.2">
      <c r="A238" s="12">
        <v>37232</v>
      </c>
      <c r="D238" s="9">
        <v>267.68</v>
      </c>
      <c r="E238" s="9">
        <f t="shared" si="10"/>
        <v>-4.6960691572100676E-3</v>
      </c>
      <c r="F238" s="9">
        <f t="shared" si="11"/>
        <v>-1.33223976169261E-2</v>
      </c>
      <c r="G238" s="9">
        <f t="shared" si="12"/>
        <v>1.0923839920133337E-2</v>
      </c>
    </row>
    <row r="239" spans="1:7" x14ac:dyDescent="0.2">
      <c r="A239" s="12">
        <v>37235</v>
      </c>
      <c r="D239" s="9">
        <v>265.99</v>
      </c>
      <c r="E239" s="9">
        <f t="shared" si="10"/>
        <v>-6.3335231484487331E-3</v>
      </c>
      <c r="F239" s="9">
        <f t="shared" si="11"/>
        <v>3.08758434909871E-3</v>
      </c>
      <c r="G239" s="9">
        <f t="shared" si="12"/>
        <v>1.0152327755342671E-2</v>
      </c>
    </row>
    <row r="240" spans="1:7" x14ac:dyDescent="0.2">
      <c r="A240" s="12">
        <v>37236</v>
      </c>
      <c r="D240" s="9">
        <v>265.06</v>
      </c>
      <c r="E240" s="9">
        <f t="shared" si="10"/>
        <v>-3.5024986375324653E-3</v>
      </c>
      <c r="F240" s="9">
        <f t="shared" si="11"/>
        <v>2.7229215716287405E-2</v>
      </c>
      <c r="G240" s="9">
        <f t="shared" si="12"/>
        <v>8.7349792504067981E-3</v>
      </c>
    </row>
    <row r="241" spans="1:7" x14ac:dyDescent="0.2">
      <c r="A241" s="12">
        <v>37237</v>
      </c>
      <c r="D241" s="9">
        <v>261.87</v>
      </c>
      <c r="E241" s="9">
        <f t="shared" si="10"/>
        <v>-1.2108018037164629E-2</v>
      </c>
      <c r="F241" s="9">
        <f t="shared" si="11"/>
        <v>-6.8712783280715467E-4</v>
      </c>
      <c r="G241" s="9">
        <f t="shared" si="12"/>
        <v>8.578432377099144E-3</v>
      </c>
    </row>
    <row r="242" spans="1:7" x14ac:dyDescent="0.2">
      <c r="A242" s="12">
        <v>37238</v>
      </c>
      <c r="D242" s="9">
        <v>259.95</v>
      </c>
      <c r="E242" s="9">
        <f t="shared" si="10"/>
        <v>-7.3588925856433651E-3</v>
      </c>
      <c r="F242" s="9">
        <f t="shared" si="11"/>
        <v>-5.7920033039892283E-3</v>
      </c>
      <c r="G242" s="9">
        <f t="shared" si="12"/>
        <v>8.674309594083671E-3</v>
      </c>
    </row>
    <row r="243" spans="1:7" x14ac:dyDescent="0.2">
      <c r="A243" s="12">
        <v>37239</v>
      </c>
      <c r="D243" s="9">
        <v>255.84</v>
      </c>
      <c r="E243" s="9">
        <f t="shared" si="10"/>
        <v>-1.5937055744080598E-2</v>
      </c>
      <c r="F243" s="9">
        <f t="shared" si="11"/>
        <v>-1.9891526948456743E-2</v>
      </c>
      <c r="G243" s="9">
        <f t="shared" si="12"/>
        <v>9.1361504970863313E-3</v>
      </c>
    </row>
    <row r="244" spans="1:7" x14ac:dyDescent="0.2">
      <c r="A244" s="12">
        <v>37242</v>
      </c>
      <c r="D244" s="9">
        <v>252.26</v>
      </c>
      <c r="E244" s="9">
        <f t="shared" si="10"/>
        <v>-1.4091947426597006E-2</v>
      </c>
      <c r="F244" s="9">
        <f t="shared" si="11"/>
        <v>-4.5829652481877335E-2</v>
      </c>
      <c r="G244" s="9">
        <f t="shared" si="12"/>
        <v>9.1388454168701769E-3</v>
      </c>
    </row>
    <row r="245" spans="1:7" x14ac:dyDescent="0.2">
      <c r="A245" s="12">
        <v>37243</v>
      </c>
      <c r="D245" s="9">
        <v>258.32</v>
      </c>
      <c r="E245" s="9">
        <f t="shared" si="10"/>
        <v>2.3738824790972664E-2</v>
      </c>
      <c r="F245" s="9">
        <f t="shared" si="11"/>
        <v>-1.9094940052243999E-2</v>
      </c>
      <c r="G245" s="9">
        <f t="shared" si="12"/>
        <v>1.0229185495484815E-2</v>
      </c>
    </row>
    <row r="246" spans="1:7" x14ac:dyDescent="0.2">
      <c r="A246" s="12">
        <v>37244</v>
      </c>
      <c r="D246" s="9">
        <v>260.22000000000003</v>
      </c>
      <c r="E246" s="9">
        <f t="shared" si="10"/>
        <v>7.32830062531027E-3</v>
      </c>
      <c r="F246" s="9">
        <f t="shared" si="11"/>
        <v>-1.7296328175392048E-2</v>
      </c>
      <c r="G246" s="9">
        <f t="shared" si="12"/>
        <v>1.0271754317094551E-2</v>
      </c>
    </row>
    <row r="247" spans="1:7" x14ac:dyDescent="0.2">
      <c r="A247" s="12">
        <v>37245</v>
      </c>
      <c r="D247" s="9">
        <v>262.67</v>
      </c>
      <c r="E247" s="9">
        <f t="shared" si="10"/>
        <v>9.3710643892474833E-3</v>
      </c>
      <c r="F247" s="9">
        <f t="shared" si="11"/>
        <v>-1.8856387036657367E-2</v>
      </c>
      <c r="G247" s="9">
        <f t="shared" si="12"/>
        <v>1.02152802144244E-2</v>
      </c>
    </row>
    <row r="248" spans="1:7" x14ac:dyDescent="0.2">
      <c r="A248" s="12">
        <v>37246</v>
      </c>
      <c r="D248" s="9">
        <v>261.92</v>
      </c>
      <c r="E248" s="9">
        <f t="shared" si="10"/>
        <v>-2.859377841752699E-3</v>
      </c>
      <c r="F248" s="9">
        <f t="shared" si="11"/>
        <v>-4.9130790275591137E-3</v>
      </c>
      <c r="G248" s="9">
        <f t="shared" si="12"/>
        <v>9.7611118560232569E-3</v>
      </c>
    </row>
    <row r="249" spans="1:7" x14ac:dyDescent="0.2">
      <c r="A249" s="12">
        <v>37252</v>
      </c>
      <c r="D249" s="9">
        <v>267.05</v>
      </c>
      <c r="E249" s="9">
        <f t="shared" si="10"/>
        <v>1.9396793162954496E-2</v>
      </c>
      <c r="F249" s="9">
        <f t="shared" si="11"/>
        <v>2.5908479710449388E-2</v>
      </c>
      <c r="G249" s="9">
        <f t="shared" si="12"/>
        <v>1.0149298915865006E-2</v>
      </c>
    </row>
    <row r="250" spans="1:7" x14ac:dyDescent="0.2">
      <c r="A250" s="12">
        <v>37253</v>
      </c>
      <c r="D250" s="9">
        <v>270.74</v>
      </c>
      <c r="E250" s="9">
        <f t="shared" si="10"/>
        <v>1.3723043971860737E-2</v>
      </c>
      <c r="F250" s="9">
        <f t="shared" si="11"/>
        <v>3.2699949734811086E-2</v>
      </c>
      <c r="G250" s="9">
        <f t="shared" si="12"/>
        <v>1.0362809982767359E-2</v>
      </c>
    </row>
    <row r="251" spans="1:7" x14ac:dyDescent="0.2">
      <c r="A251" s="12">
        <v>37258</v>
      </c>
      <c r="D251" s="9">
        <v>270.58999999999997</v>
      </c>
      <c r="E251" s="9">
        <f t="shared" si="10"/>
        <v>-5.5419061880602951E-4</v>
      </c>
      <c r="F251" s="9">
        <f t="shared" si="11"/>
        <v>2.3557775037042109E-2</v>
      </c>
      <c r="G251" s="9">
        <f t="shared" si="12"/>
        <v>1.0268708208267332E-2</v>
      </c>
    </row>
    <row r="252" spans="1:7" x14ac:dyDescent="0.2">
      <c r="A252" s="12">
        <v>37259</v>
      </c>
      <c r="D252" s="9">
        <v>272.94</v>
      </c>
      <c r="E252" s="9">
        <f t="shared" si="10"/>
        <v>8.6472306711334462E-3</v>
      </c>
      <c r="F252" s="9">
        <f t="shared" si="11"/>
        <v>3.1637608344590319E-2</v>
      </c>
      <c r="G252" s="9">
        <f t="shared" si="12"/>
        <v>1.0368273371267705E-2</v>
      </c>
    </row>
    <row r="253" spans="1:7" x14ac:dyDescent="0.2">
      <c r="A253" s="12">
        <v>37260</v>
      </c>
      <c r="D253" s="9">
        <v>270.91000000000003</v>
      </c>
      <c r="E253" s="9">
        <f t="shared" si="10"/>
        <v>-7.4653284098204244E-3</v>
      </c>
      <c r="F253" s="9">
        <f t="shared" si="11"/>
        <v>2.1490958817008306E-2</v>
      </c>
      <c r="G253" s="9">
        <f t="shared" si="12"/>
        <v>1.0478290472185198E-2</v>
      </c>
    </row>
    <row r="254" spans="1:7" x14ac:dyDescent="0.2">
      <c r="A254" s="12">
        <v>37263</v>
      </c>
      <c r="D254" s="9">
        <v>268.94</v>
      </c>
      <c r="E254" s="9">
        <f t="shared" si="10"/>
        <v>-7.2983560044234371E-3</v>
      </c>
      <c r="F254" s="9">
        <f t="shared" si="11"/>
        <v>9.0014987689191837E-3</v>
      </c>
      <c r="G254" s="9">
        <f t="shared" si="12"/>
        <v>1.0542288376578269E-2</v>
      </c>
    </row>
    <row r="255" spans="1:7" x14ac:dyDescent="0.2">
      <c r="A255" s="12">
        <v>37264</v>
      </c>
      <c r="D255" s="9">
        <v>264.85000000000002</v>
      </c>
      <c r="E255" s="9">
        <f t="shared" si="10"/>
        <v>-1.5324678405188122E-2</v>
      </c>
      <c r="F255" s="9">
        <f t="shared" si="11"/>
        <v>-9.320222302202346E-3</v>
      </c>
      <c r="G255" s="9">
        <f t="shared" si="12"/>
        <v>1.090511479740312E-2</v>
      </c>
    </row>
    <row r="256" spans="1:7" x14ac:dyDescent="0.2">
      <c r="A256" s="12">
        <v>37265</v>
      </c>
      <c r="D256" s="9">
        <v>265.37</v>
      </c>
      <c r="E256" s="9">
        <f t="shared" si="10"/>
        <v>1.9614505930210325E-3</v>
      </c>
      <c r="F256" s="9">
        <f t="shared" si="11"/>
        <v>-1.049602918431421E-2</v>
      </c>
      <c r="G256" s="9">
        <f t="shared" si="12"/>
        <v>1.0894403131344805E-2</v>
      </c>
    </row>
    <row r="257" spans="1:7" x14ac:dyDescent="0.2">
      <c r="A257" s="12">
        <v>37266</v>
      </c>
      <c r="D257" s="9">
        <v>265.3</v>
      </c>
      <c r="E257" s="9">
        <f t="shared" si="10"/>
        <v>-2.6381743986272942E-4</v>
      </c>
      <c r="F257" s="9">
        <f t="shared" si="11"/>
        <v>-1.6078117894458038E-2</v>
      </c>
      <c r="G257" s="9">
        <f t="shared" si="12"/>
        <v>1.0841798929574485E-2</v>
      </c>
    </row>
    <row r="258" spans="1:7" x14ac:dyDescent="0.2">
      <c r="A258" s="12">
        <v>37267</v>
      </c>
      <c r="D258" s="9">
        <v>265.22000000000003</v>
      </c>
      <c r="E258" s="9">
        <f t="shared" si="10"/>
        <v>-3.015908942409446E-4</v>
      </c>
      <c r="F258" s="9">
        <f t="shared" si="11"/>
        <v>-1.5860286078248572E-2</v>
      </c>
      <c r="G258" s="9">
        <f t="shared" si="12"/>
        <v>1.0841883314975079E-2</v>
      </c>
    </row>
    <row r="259" spans="1:7" x14ac:dyDescent="0.2">
      <c r="A259" s="12">
        <v>37270</v>
      </c>
      <c r="D259" s="9">
        <v>262.35000000000002</v>
      </c>
      <c r="E259" s="9">
        <f t="shared" si="10"/>
        <v>-1.0880180116732183E-2</v>
      </c>
      <c r="F259" s="9">
        <f t="shared" si="11"/>
        <v>-2.5440727816416021E-2</v>
      </c>
      <c r="G259" s="9">
        <f t="shared" si="12"/>
        <v>1.1005243548969902E-2</v>
      </c>
    </row>
    <row r="260" spans="1:7" x14ac:dyDescent="0.2">
      <c r="A260" s="12">
        <v>37271</v>
      </c>
      <c r="D260" s="9">
        <v>261.27999999999997</v>
      </c>
      <c r="E260" s="9">
        <f t="shared" ref="E260:E323" si="13">LN(D260/D259)</f>
        <v>-4.086860910565991E-3</v>
      </c>
      <c r="F260" s="9">
        <f t="shared" si="11"/>
        <v>-3.2199501846613569E-2</v>
      </c>
      <c r="G260" s="9">
        <f t="shared" si="12"/>
        <v>1.0999880225676415E-2</v>
      </c>
    </row>
    <row r="261" spans="1:7" x14ac:dyDescent="0.2">
      <c r="A261" s="12">
        <v>37272</v>
      </c>
      <c r="D261" s="9">
        <v>260.37</v>
      </c>
      <c r="E261" s="9">
        <f t="shared" si="13"/>
        <v>-3.488932897891706E-3</v>
      </c>
      <c r="F261" s="9">
        <f t="shared" si="11"/>
        <v>-2.3870742363049306E-2</v>
      </c>
      <c r="G261" s="9">
        <f t="shared" si="12"/>
        <v>1.0823035623652083E-2</v>
      </c>
    </row>
    <row r="262" spans="1:7" x14ac:dyDescent="0.2">
      <c r="A262" s="12">
        <v>37273</v>
      </c>
      <c r="D262" s="9">
        <v>263.47000000000003</v>
      </c>
      <c r="E262" s="9">
        <f t="shared" si="13"/>
        <v>1.1835813183114101E-2</v>
      </c>
      <c r="F262" s="9">
        <f t="shared" si="11"/>
        <v>-1.3908220350058072E-2</v>
      </c>
      <c r="G262" s="9">
        <f t="shared" si="12"/>
        <v>1.1058041150815146E-2</v>
      </c>
    </row>
    <row r="263" spans="1:7" x14ac:dyDescent="0.2">
      <c r="A263" s="12">
        <v>37274</v>
      </c>
      <c r="D263" s="9">
        <v>262.44</v>
      </c>
      <c r="E263" s="9">
        <f t="shared" si="13"/>
        <v>-3.9170250307003808E-3</v>
      </c>
      <c r="F263" s="9">
        <f t="shared" si="11"/>
        <v>-3.10625919411818E-2</v>
      </c>
      <c r="G263" s="9">
        <f t="shared" si="12"/>
        <v>1.0764771442930797E-2</v>
      </c>
    </row>
    <row r="264" spans="1:7" x14ac:dyDescent="0.2">
      <c r="A264" s="12">
        <v>37277</v>
      </c>
      <c r="D264" s="9">
        <v>261.83</v>
      </c>
      <c r="E264" s="9">
        <f t="shared" si="13"/>
        <v>-2.3270462748958254E-3</v>
      </c>
      <c r="F264" s="9">
        <f t="shared" si="11"/>
        <v>-1.6928054618105634E-2</v>
      </c>
      <c r="G264" s="9">
        <f t="shared" si="12"/>
        <v>1.0368338883652904E-2</v>
      </c>
    </row>
    <row r="265" spans="1:7" x14ac:dyDescent="0.2">
      <c r="A265" s="12">
        <v>37278</v>
      </c>
      <c r="D265" s="9">
        <v>262.70999999999998</v>
      </c>
      <c r="E265" s="9">
        <f t="shared" si="13"/>
        <v>3.355324000461775E-3</v>
      </c>
      <c r="F265" s="9">
        <f t="shared" si="11"/>
        <v>-1.9898904179614749E-2</v>
      </c>
      <c r="G265" s="9">
        <f t="shared" si="12"/>
        <v>1.0314305265822258E-2</v>
      </c>
    </row>
    <row r="266" spans="1:7" x14ac:dyDescent="0.2">
      <c r="A266" s="12">
        <v>37279</v>
      </c>
      <c r="D266" s="9">
        <v>260.92</v>
      </c>
      <c r="E266" s="9">
        <f t="shared" si="13"/>
        <v>-6.8369152743473841E-3</v>
      </c>
      <c r="F266" s="9">
        <f t="shared" si="11"/>
        <v>-4.1624983398179112E-2</v>
      </c>
      <c r="G266" s="9">
        <f t="shared" si="12"/>
        <v>9.9406208542080314E-3</v>
      </c>
    </row>
    <row r="267" spans="1:7" x14ac:dyDescent="0.2">
      <c r="A267" s="12">
        <v>37280</v>
      </c>
      <c r="D267" s="9">
        <v>263.41000000000003</v>
      </c>
      <c r="E267" s="9">
        <f t="shared" si="13"/>
        <v>9.4979067327640148E-3</v>
      </c>
      <c r="F267" s="9">
        <f t="shared" si="11"/>
        <v>-2.0776552735064582E-2</v>
      </c>
      <c r="G267" s="9">
        <f t="shared" si="12"/>
        <v>9.9488415339619492E-3</v>
      </c>
    </row>
    <row r="268" spans="1:7" x14ac:dyDescent="0.2">
      <c r="A268" s="12">
        <v>37281</v>
      </c>
      <c r="D268" s="9">
        <v>260.44</v>
      </c>
      <c r="E268" s="9">
        <f t="shared" si="13"/>
        <v>-1.1339245291997986E-2</v>
      </c>
      <c r="F268" s="9">
        <f t="shared" si="11"/>
        <v>-2.7419728869852535E-2</v>
      </c>
      <c r="G268" s="9">
        <f t="shared" si="12"/>
        <v>1.0113590822073231E-2</v>
      </c>
    </row>
    <row r="269" spans="1:7" x14ac:dyDescent="0.2">
      <c r="A269" s="12">
        <v>37284</v>
      </c>
      <c r="D269" s="9">
        <v>259.82</v>
      </c>
      <c r="E269" s="9">
        <f t="shared" si="13"/>
        <v>-2.3834248010745525E-3</v>
      </c>
      <c r="F269" s="9">
        <f t="shared" si="11"/>
        <v>-2.346963052247841E-2</v>
      </c>
      <c r="G269" s="9">
        <f t="shared" si="12"/>
        <v>1.0066202683736158E-2</v>
      </c>
    </row>
    <row r="270" spans="1:7" x14ac:dyDescent="0.2">
      <c r="A270" s="12">
        <v>37285</v>
      </c>
      <c r="D270" s="9">
        <v>257.95</v>
      </c>
      <c r="E270" s="9">
        <f t="shared" si="13"/>
        <v>-7.2233158769279271E-3</v>
      </c>
      <c r="F270" s="9">
        <f t="shared" si="11"/>
        <v>-2.7190447761873827E-2</v>
      </c>
      <c r="G270" s="9">
        <f t="shared" si="12"/>
        <v>1.0123632684908184E-2</v>
      </c>
    </row>
    <row r="271" spans="1:7" x14ac:dyDescent="0.2">
      <c r="A271" s="12">
        <v>37286</v>
      </c>
      <c r="D271" s="9">
        <v>256.83999999999997</v>
      </c>
      <c r="E271" s="9">
        <f t="shared" si="13"/>
        <v>-4.3124447648113596E-3</v>
      </c>
      <c r="F271" s="9">
        <f t="shared" si="11"/>
        <v>-1.9394874489520545E-2</v>
      </c>
      <c r="G271" s="9">
        <f t="shared" si="12"/>
        <v>9.9242798961524711E-3</v>
      </c>
    </row>
    <row r="272" spans="1:7" x14ac:dyDescent="0.2">
      <c r="A272" s="12">
        <v>37287</v>
      </c>
      <c r="D272" s="9">
        <v>263.06</v>
      </c>
      <c r="E272" s="9">
        <f t="shared" si="13"/>
        <v>2.3928820114785102E-2</v>
      </c>
      <c r="F272" s="9">
        <f t="shared" si="11"/>
        <v>1.1892838210907886E-2</v>
      </c>
      <c r="G272" s="9">
        <f t="shared" si="12"/>
        <v>1.0799916660143426E-2</v>
      </c>
    </row>
    <row r="273" spans="1:7" x14ac:dyDescent="0.2">
      <c r="A273" s="12">
        <v>37288</v>
      </c>
      <c r="D273" s="9">
        <v>265.51</v>
      </c>
      <c r="E273" s="9">
        <f t="shared" si="13"/>
        <v>9.270361715488248E-3</v>
      </c>
      <c r="F273" s="9">
        <f t="shared" si="11"/>
        <v>3.7100255670476777E-2</v>
      </c>
      <c r="G273" s="9">
        <f t="shared" si="12"/>
        <v>1.0460585043842735E-2</v>
      </c>
    </row>
    <row r="274" spans="1:7" x14ac:dyDescent="0.2">
      <c r="A274" s="12">
        <v>37291</v>
      </c>
      <c r="D274" s="9">
        <v>263.94</v>
      </c>
      <c r="E274" s="9">
        <f t="shared" si="13"/>
        <v>-5.9307001674374464E-3</v>
      </c>
      <c r="F274" s="9">
        <f t="shared" si="11"/>
        <v>4.526150292963628E-2</v>
      </c>
      <c r="G274" s="9">
        <f t="shared" si="12"/>
        <v>1.014969974750757E-2</v>
      </c>
    </row>
    <row r="275" spans="1:7" x14ac:dyDescent="0.2">
      <c r="A275" s="12">
        <v>37292</v>
      </c>
      <c r="D275" s="9">
        <v>261.43</v>
      </c>
      <c r="E275" s="9">
        <f t="shared" si="13"/>
        <v>-9.5552433425859194E-3</v>
      </c>
      <c r="F275" s="9">
        <f t="shared" si="11"/>
        <v>1.196743479607768E-2</v>
      </c>
      <c r="G275" s="9">
        <f t="shared" si="12"/>
        <v>9.42988540156596E-3</v>
      </c>
    </row>
    <row r="276" spans="1:7" x14ac:dyDescent="0.2">
      <c r="A276" s="12">
        <v>37293</v>
      </c>
      <c r="D276" s="9">
        <v>258.83</v>
      </c>
      <c r="E276" s="9">
        <f t="shared" si="13"/>
        <v>-9.9950857084557983E-3</v>
      </c>
      <c r="F276" s="9">
        <f t="shared" si="11"/>
        <v>-5.3559515376883976E-3</v>
      </c>
      <c r="G276" s="9">
        <f t="shared" si="12"/>
        <v>9.5208934420934963E-3</v>
      </c>
    </row>
    <row r="277" spans="1:7" x14ac:dyDescent="0.2">
      <c r="A277" s="12">
        <v>37294</v>
      </c>
      <c r="D277" s="9">
        <v>259.41000000000003</v>
      </c>
      <c r="E277" s="9">
        <f t="shared" si="13"/>
        <v>2.2383461028070875E-3</v>
      </c>
      <c r="F277" s="9">
        <f t="shared" si="11"/>
        <v>-1.2488669824128948E-2</v>
      </c>
      <c r="G277" s="9">
        <f t="shared" si="12"/>
        <v>9.3619287783089141E-3</v>
      </c>
    </row>
    <row r="278" spans="1:7" x14ac:dyDescent="0.2">
      <c r="A278" s="12">
        <v>37295</v>
      </c>
      <c r="D278" s="9">
        <v>261.17</v>
      </c>
      <c r="E278" s="9">
        <f t="shared" si="13"/>
        <v>6.7617146479311066E-3</v>
      </c>
      <c r="F278" s="9">
        <f t="shared" si="11"/>
        <v>-2.8675773344450047E-3</v>
      </c>
      <c r="G278" s="9">
        <f t="shared" si="12"/>
        <v>9.4398187120939506E-3</v>
      </c>
    </row>
    <row r="279" spans="1:7" x14ac:dyDescent="0.2">
      <c r="A279" s="12">
        <v>37298</v>
      </c>
      <c r="D279" s="9">
        <v>263.06</v>
      </c>
      <c r="E279" s="9">
        <f t="shared" si="13"/>
        <v>7.2106067522526357E-3</v>
      </c>
      <c r="F279" s="9">
        <f t="shared" si="11"/>
        <v>-1.5053763745146829E-2</v>
      </c>
      <c r="G279" s="9">
        <f t="shared" si="12"/>
        <v>8.8135331809583821E-3</v>
      </c>
    </row>
    <row r="280" spans="1:7" x14ac:dyDescent="0.2">
      <c r="A280" s="12">
        <v>37299</v>
      </c>
      <c r="D280" s="9">
        <v>262.01</v>
      </c>
      <c r="E280" s="9">
        <f t="shared" si="13"/>
        <v>-3.9994720689816932E-3</v>
      </c>
      <c r="F280" s="9">
        <f t="shared" si="11"/>
        <v>-3.2776279785989348E-2</v>
      </c>
      <c r="G280" s="9">
        <f t="shared" si="12"/>
        <v>8.4120005903106747E-3</v>
      </c>
    </row>
    <row r="281" spans="1:7" x14ac:dyDescent="0.2">
      <c r="A281" s="12">
        <v>37300</v>
      </c>
      <c r="D281" s="9">
        <v>264.08</v>
      </c>
      <c r="E281" s="9">
        <f t="shared" si="13"/>
        <v>7.8694165732865959E-3</v>
      </c>
      <c r="F281" s="9">
        <f t="shared" si="11"/>
        <v>-2.4352672593896629E-2</v>
      </c>
      <c r="G281" s="9">
        <f t="shared" si="12"/>
        <v>8.5696990567547798E-3</v>
      </c>
    </row>
    <row r="282" spans="1:7" x14ac:dyDescent="0.2">
      <c r="A282" s="12">
        <v>37301</v>
      </c>
      <c r="D282" s="9">
        <v>268.07</v>
      </c>
      <c r="E282" s="9">
        <f t="shared" si="13"/>
        <v>1.4996052890547932E-2</v>
      </c>
      <c r="F282" s="9">
        <f t="shared" si="11"/>
        <v>-1.800385037448228E-2</v>
      </c>
      <c r="G282" s="9">
        <f t="shared" si="12"/>
        <v>8.8839710772323274E-3</v>
      </c>
    </row>
    <row r="283" spans="1:7" x14ac:dyDescent="0.2">
      <c r="A283" s="12">
        <v>37302</v>
      </c>
      <c r="D283" s="9">
        <v>268.75</v>
      </c>
      <c r="E283" s="9">
        <f t="shared" si="13"/>
        <v>2.5334390063871445E-3</v>
      </c>
      <c r="F283" s="9">
        <f t="shared" si="11"/>
        <v>-8.0050829582747757E-3</v>
      </c>
      <c r="G283" s="9">
        <f t="shared" si="12"/>
        <v>8.8047383044829626E-3</v>
      </c>
    </row>
    <row r="284" spans="1:7" x14ac:dyDescent="0.2">
      <c r="A284" s="12">
        <v>37305</v>
      </c>
      <c r="D284" s="9">
        <v>264.39</v>
      </c>
      <c r="E284" s="9">
        <f t="shared" si="13"/>
        <v>-1.6356293662193835E-2</v>
      </c>
      <c r="F284" s="9">
        <f t="shared" si="11"/>
        <v>-1.7063020616045105E-2</v>
      </c>
      <c r="G284" s="9">
        <f t="shared" si="12"/>
        <v>9.2005857754292823E-3</v>
      </c>
    </row>
    <row r="285" spans="1:7" x14ac:dyDescent="0.2">
      <c r="A285" s="12">
        <v>37306</v>
      </c>
      <c r="D285" s="9">
        <v>263.44</v>
      </c>
      <c r="E285" s="9">
        <f t="shared" si="13"/>
        <v>-3.599647711569909E-3</v>
      </c>
      <c r="F285" s="9">
        <f t="shared" si="11"/>
        <v>-5.3379899224269165E-3</v>
      </c>
      <c r="G285" s="9">
        <f t="shared" si="12"/>
        <v>8.7921190409613343E-3</v>
      </c>
    </row>
    <row r="286" spans="1:7" x14ac:dyDescent="0.2">
      <c r="A286" s="12">
        <v>37307</v>
      </c>
      <c r="D286" s="9">
        <v>265.08</v>
      </c>
      <c r="E286" s="9">
        <f t="shared" si="13"/>
        <v>6.2060291519173087E-3</v>
      </c>
      <c r="F286" s="9">
        <f t="shared" si="11"/>
        <v>-1.0934113635307828E-3</v>
      </c>
      <c r="G286" s="9">
        <f t="shared" si="12"/>
        <v>8.8616119457244798E-3</v>
      </c>
    </row>
    <row r="287" spans="1:7" x14ac:dyDescent="0.2">
      <c r="A287" s="12">
        <v>37308</v>
      </c>
      <c r="D287" s="9">
        <v>263.55</v>
      </c>
      <c r="E287" s="9">
        <f t="shared" si="13"/>
        <v>-5.7885639188101634E-3</v>
      </c>
      <c r="F287" s="9">
        <f t="shared" si="11"/>
        <v>-6.6181578424781172E-3</v>
      </c>
      <c r="G287" s="9">
        <f t="shared" si="12"/>
        <v>8.9236890195179726E-3</v>
      </c>
    </row>
    <row r="288" spans="1:7" x14ac:dyDescent="0.2">
      <c r="A288" s="12">
        <v>37309</v>
      </c>
      <c r="D288" s="9">
        <v>263.54000000000002</v>
      </c>
      <c r="E288" s="9">
        <f t="shared" si="13"/>
        <v>-3.7944184109692553E-5</v>
      </c>
      <c r="F288" s="9">
        <f t="shared" si="11"/>
        <v>-6.3545111323468177E-3</v>
      </c>
      <c r="G288" s="9">
        <f t="shared" si="12"/>
        <v>8.9237363351617263E-3</v>
      </c>
    </row>
    <row r="289" spans="1:7" x14ac:dyDescent="0.2">
      <c r="A289" s="12">
        <v>37312</v>
      </c>
      <c r="D289" s="9">
        <v>267.94</v>
      </c>
      <c r="E289" s="9">
        <f t="shared" si="13"/>
        <v>1.6557915731733621E-2</v>
      </c>
      <c r="F289" s="9">
        <f t="shared" ref="F289:F352" si="14">LN(D289/D259)</f>
        <v>2.1083584716118875E-2</v>
      </c>
      <c r="G289" s="9">
        <f t="shared" si="12"/>
        <v>9.1945899225153154E-3</v>
      </c>
    </row>
    <row r="290" spans="1:7" x14ac:dyDescent="0.2">
      <c r="A290" s="12">
        <v>37313</v>
      </c>
      <c r="D290" s="9">
        <v>270.02999999999997</v>
      </c>
      <c r="E290" s="9">
        <f t="shared" si="13"/>
        <v>7.7699890882636704E-3</v>
      </c>
      <c r="F290" s="9">
        <f t="shared" si="14"/>
        <v>3.2940434714948646E-2</v>
      </c>
      <c r="G290" s="9">
        <f t="shared" si="12"/>
        <v>9.2363459460628686E-3</v>
      </c>
    </row>
    <row r="291" spans="1:7" x14ac:dyDescent="0.2">
      <c r="A291" s="12">
        <v>37314</v>
      </c>
      <c r="D291" s="9">
        <v>275.48</v>
      </c>
      <c r="E291" s="9">
        <f t="shared" si="13"/>
        <v>1.998196673939413E-2</v>
      </c>
      <c r="F291" s="9">
        <f t="shared" si="14"/>
        <v>5.641133435223436E-2</v>
      </c>
      <c r="G291" s="9">
        <f t="shared" si="12"/>
        <v>9.810608793066368E-3</v>
      </c>
    </row>
    <row r="292" spans="1:7" x14ac:dyDescent="0.2">
      <c r="A292" s="12">
        <v>37315</v>
      </c>
      <c r="D292" s="9">
        <v>272.81</v>
      </c>
      <c r="E292" s="9">
        <f t="shared" si="13"/>
        <v>-9.739448487542355E-3</v>
      </c>
      <c r="F292" s="9">
        <f t="shared" si="14"/>
        <v>3.4836072681578047E-2</v>
      </c>
      <c r="G292" s="9">
        <f t="shared" si="12"/>
        <v>9.8463831525430721E-3</v>
      </c>
    </row>
    <row r="293" spans="1:7" x14ac:dyDescent="0.2">
      <c r="A293" s="12">
        <v>37316</v>
      </c>
      <c r="D293" s="9">
        <v>272.08</v>
      </c>
      <c r="E293" s="9">
        <f t="shared" si="13"/>
        <v>-2.6794414900152817E-3</v>
      </c>
      <c r="F293" s="9">
        <f t="shared" si="14"/>
        <v>3.6073656222263092E-2</v>
      </c>
      <c r="G293" s="9">
        <f t="shared" si="12"/>
        <v>9.8269468936050038E-3</v>
      </c>
    </row>
    <row r="294" spans="1:7" x14ac:dyDescent="0.2">
      <c r="A294" s="12">
        <v>37319</v>
      </c>
      <c r="D294" s="9">
        <v>273.95</v>
      </c>
      <c r="E294" s="9">
        <f t="shared" si="13"/>
        <v>6.8494672854848117E-3</v>
      </c>
      <c r="F294" s="9">
        <f t="shared" si="14"/>
        <v>4.5250169782643887E-2</v>
      </c>
      <c r="G294" s="9">
        <f t="shared" si="12"/>
        <v>9.8560712782816331E-3</v>
      </c>
    </row>
    <row r="295" spans="1:7" x14ac:dyDescent="0.2">
      <c r="A295" s="12">
        <v>37320</v>
      </c>
      <c r="D295" s="9">
        <v>273.63</v>
      </c>
      <c r="E295" s="9">
        <f t="shared" si="13"/>
        <v>-1.168779124247975E-3</v>
      </c>
      <c r="F295" s="9">
        <f t="shared" si="14"/>
        <v>4.0726066657934011E-2</v>
      </c>
      <c r="G295" s="9">
        <f t="shared" ref="G295:G358" si="15">STDEV(E266:E295)</f>
        <v>9.8614460849858494E-3</v>
      </c>
    </row>
    <row r="296" spans="1:7" x14ac:dyDescent="0.2">
      <c r="A296" s="12">
        <v>37321</v>
      </c>
      <c r="D296" s="9">
        <v>270.55</v>
      </c>
      <c r="E296" s="9">
        <f t="shared" si="13"/>
        <v>-1.1319904771432408E-2</v>
      </c>
      <c r="F296" s="9">
        <f t="shared" si="14"/>
        <v>3.6243077160849048E-2</v>
      </c>
      <c r="G296" s="9">
        <f t="shared" si="15"/>
        <v>1.0022550453282264E-2</v>
      </c>
    </row>
    <row r="297" spans="1:7" x14ac:dyDescent="0.2">
      <c r="A297" s="12">
        <v>37322</v>
      </c>
      <c r="D297" s="9">
        <v>269.13</v>
      </c>
      <c r="E297" s="9">
        <f t="shared" si="13"/>
        <v>-5.2623898494424575E-3</v>
      </c>
      <c r="F297" s="9">
        <f t="shared" si="14"/>
        <v>2.1482780578642512E-2</v>
      </c>
      <c r="G297" s="9">
        <f t="shared" si="15"/>
        <v>9.9636896250442242E-3</v>
      </c>
    </row>
    <row r="298" spans="1:7" x14ac:dyDescent="0.2">
      <c r="A298" s="12">
        <v>37323</v>
      </c>
      <c r="D298" s="9">
        <v>275.39</v>
      </c>
      <c r="E298" s="9">
        <f t="shared" si="13"/>
        <v>2.2993740575374157E-2</v>
      </c>
      <c r="F298" s="9">
        <f t="shared" si="14"/>
        <v>5.58157664460147E-2</v>
      </c>
      <c r="G298" s="9">
        <f t="shared" si="15"/>
        <v>1.0489155059194344E-2</v>
      </c>
    </row>
    <row r="299" spans="1:7" x14ac:dyDescent="0.2">
      <c r="A299" s="12">
        <v>37326</v>
      </c>
      <c r="D299" s="9">
        <v>274.29000000000002</v>
      </c>
      <c r="E299" s="9">
        <f t="shared" si="13"/>
        <v>-4.0023339702311232E-3</v>
      </c>
      <c r="F299" s="9">
        <f t="shared" si="14"/>
        <v>5.4196857276858287E-2</v>
      </c>
      <c r="G299" s="9">
        <f t="shared" si="15"/>
        <v>1.0515872218165341E-2</v>
      </c>
    </row>
    <row r="300" spans="1:7" x14ac:dyDescent="0.2">
      <c r="A300" s="12">
        <v>37327</v>
      </c>
      <c r="D300" s="9">
        <v>271.98</v>
      </c>
      <c r="E300" s="9">
        <f t="shared" si="13"/>
        <v>-8.4574066636320302E-3</v>
      </c>
      <c r="F300" s="9">
        <f t="shared" si="14"/>
        <v>5.2962766490154044E-2</v>
      </c>
      <c r="G300" s="9">
        <f t="shared" si="15"/>
        <v>1.0554755553098242E-2</v>
      </c>
    </row>
    <row r="301" spans="1:7" x14ac:dyDescent="0.2">
      <c r="A301" s="12">
        <v>37328</v>
      </c>
      <c r="D301" s="9">
        <v>272.18</v>
      </c>
      <c r="E301" s="9">
        <f t="shared" si="13"/>
        <v>7.3507795135857254E-4</v>
      </c>
      <c r="F301" s="9">
        <f t="shared" si="14"/>
        <v>5.8010289206324117E-2</v>
      </c>
      <c r="G301" s="9">
        <f t="shared" si="15"/>
        <v>1.0494587994210771E-2</v>
      </c>
    </row>
    <row r="302" spans="1:7" x14ac:dyDescent="0.2">
      <c r="A302" s="12">
        <v>37329</v>
      </c>
      <c r="D302" s="9">
        <v>272.35000000000002</v>
      </c>
      <c r="E302" s="9">
        <f t="shared" si="13"/>
        <v>6.2439169751191961E-4</v>
      </c>
      <c r="F302" s="9">
        <f t="shared" si="14"/>
        <v>3.4705860789051024E-2</v>
      </c>
      <c r="G302" s="9">
        <f t="shared" si="15"/>
        <v>9.6378914565900687E-3</v>
      </c>
    </row>
    <row r="303" spans="1:7" x14ac:dyDescent="0.2">
      <c r="A303" s="12">
        <v>37330</v>
      </c>
      <c r="D303" s="9">
        <v>271.68</v>
      </c>
      <c r="E303" s="9">
        <f t="shared" si="13"/>
        <v>-2.4631007067010689E-3</v>
      </c>
      <c r="F303" s="9">
        <f t="shared" si="14"/>
        <v>2.2972398366861654E-2</v>
      </c>
      <c r="G303" s="9">
        <f t="shared" si="15"/>
        <v>9.5348104787585635E-3</v>
      </c>
    </row>
    <row r="304" spans="1:7" x14ac:dyDescent="0.2">
      <c r="A304" s="12">
        <v>37333</v>
      </c>
      <c r="D304" s="9">
        <v>276.13</v>
      </c>
      <c r="E304" s="9">
        <f t="shared" si="13"/>
        <v>1.6246866194414785E-2</v>
      </c>
      <c r="F304" s="9">
        <f t="shared" si="14"/>
        <v>4.5149964728713909E-2</v>
      </c>
      <c r="G304" s="9">
        <f t="shared" si="15"/>
        <v>9.8521721115690276E-3</v>
      </c>
    </row>
    <row r="305" spans="1:7" x14ac:dyDescent="0.2">
      <c r="A305" s="12">
        <v>37334</v>
      </c>
      <c r="D305" s="9">
        <v>277.44</v>
      </c>
      <c r="E305" s="9">
        <f t="shared" si="13"/>
        <v>4.7329242747796907E-3</v>
      </c>
      <c r="F305" s="9">
        <f t="shared" si="14"/>
        <v>5.943813234607967E-2</v>
      </c>
      <c r="G305" s="9">
        <f t="shared" si="15"/>
        <v>9.6421829197720025E-3</v>
      </c>
    </row>
    <row r="306" spans="1:7" x14ac:dyDescent="0.2">
      <c r="A306" s="12">
        <v>37335</v>
      </c>
      <c r="D306" s="9">
        <v>274.45</v>
      </c>
      <c r="E306" s="9">
        <f t="shared" si="13"/>
        <v>-1.0835598596278816E-2</v>
      </c>
      <c r="F306" s="9">
        <f t="shared" si="14"/>
        <v>5.8597619458256651E-2</v>
      </c>
      <c r="G306" s="9">
        <f t="shared" si="15"/>
        <v>9.6793319268121784E-3</v>
      </c>
    </row>
    <row r="307" spans="1:7" x14ac:dyDescent="0.2">
      <c r="A307" s="12">
        <v>37336</v>
      </c>
      <c r="D307" s="9">
        <v>275.07</v>
      </c>
      <c r="E307" s="9">
        <f t="shared" si="13"/>
        <v>2.2565157340208144E-3</v>
      </c>
      <c r="F307" s="9">
        <f t="shared" si="14"/>
        <v>5.8615789089470433E-2</v>
      </c>
      <c r="G307" s="9">
        <f t="shared" si="15"/>
        <v>9.6793509491386372E-3</v>
      </c>
    </row>
    <row r="308" spans="1:7" x14ac:dyDescent="0.2">
      <c r="A308" s="12">
        <v>37337</v>
      </c>
      <c r="D308" s="9">
        <v>276.85000000000002</v>
      </c>
      <c r="E308" s="9">
        <f t="shared" si="13"/>
        <v>6.4502325390572808E-3</v>
      </c>
      <c r="F308" s="9">
        <f t="shared" si="14"/>
        <v>5.8304306980596327E-2</v>
      </c>
      <c r="G308" s="9">
        <f t="shared" si="15"/>
        <v>9.6741815559234744E-3</v>
      </c>
    </row>
    <row r="309" spans="1:7" x14ac:dyDescent="0.2">
      <c r="A309" s="12">
        <v>37340</v>
      </c>
      <c r="D309" s="9">
        <v>278.39999999999998</v>
      </c>
      <c r="E309" s="9">
        <f t="shared" si="13"/>
        <v>5.5830851912882836E-3</v>
      </c>
      <c r="F309" s="9">
        <f t="shared" si="14"/>
        <v>5.6676785419632003E-2</v>
      </c>
      <c r="G309" s="9">
        <f t="shared" si="15"/>
        <v>9.6481544991581895E-3</v>
      </c>
    </row>
    <row r="310" spans="1:7" x14ac:dyDescent="0.2">
      <c r="A310" s="12">
        <v>37341</v>
      </c>
      <c r="D310" s="9">
        <v>279.01</v>
      </c>
      <c r="E310" s="9">
        <f t="shared" si="13"/>
        <v>2.1886950126883166E-3</v>
      </c>
      <c r="F310" s="9">
        <f t="shared" si="14"/>
        <v>6.2864952501301904E-2</v>
      </c>
      <c r="G310" s="9">
        <f t="shared" si="15"/>
        <v>9.5838516110825465E-3</v>
      </c>
    </row>
    <row r="311" spans="1:7" x14ac:dyDescent="0.2">
      <c r="A311" s="12">
        <v>37342</v>
      </c>
      <c r="D311" s="9">
        <v>278.64</v>
      </c>
      <c r="E311" s="9">
        <f t="shared" si="13"/>
        <v>-1.3269974152070685E-3</v>
      </c>
      <c r="F311" s="9">
        <f t="shared" si="14"/>
        <v>5.3668538512808207E-2</v>
      </c>
      <c r="G311" s="9">
        <f t="shared" si="15"/>
        <v>9.5397758086382192E-3</v>
      </c>
    </row>
    <row r="312" spans="1:7" x14ac:dyDescent="0.2">
      <c r="A312" s="12">
        <v>37348</v>
      </c>
      <c r="D312" s="9">
        <v>277.85000000000002</v>
      </c>
      <c r="E312" s="9">
        <f t="shared" si="13"/>
        <v>-2.8392263318153138E-3</v>
      </c>
      <c r="F312" s="9">
        <f t="shared" si="14"/>
        <v>3.5833259290444897E-2</v>
      </c>
      <c r="G312" s="9">
        <f t="shared" si="15"/>
        <v>9.2393491478204859E-3</v>
      </c>
    </row>
    <row r="313" spans="1:7" x14ac:dyDescent="0.2">
      <c r="A313" s="12">
        <v>37349</v>
      </c>
      <c r="D313" s="9">
        <v>276.17</v>
      </c>
      <c r="E313" s="9">
        <f t="shared" si="13"/>
        <v>-6.0647815942293046E-3</v>
      </c>
      <c r="F313" s="9">
        <f t="shared" si="14"/>
        <v>2.7235038689828479E-2</v>
      </c>
      <c r="G313" s="9">
        <f t="shared" si="15"/>
        <v>9.3293025724029439E-3</v>
      </c>
    </row>
    <row r="314" spans="1:7" x14ac:dyDescent="0.2">
      <c r="A314" s="12">
        <v>37350</v>
      </c>
      <c r="D314" s="9">
        <v>274.63</v>
      </c>
      <c r="E314" s="9">
        <f t="shared" si="13"/>
        <v>-5.5918809472401392E-3</v>
      </c>
      <c r="F314" s="9">
        <f t="shared" si="14"/>
        <v>3.7999451404782073E-2</v>
      </c>
      <c r="G314" s="9">
        <f t="shared" si="15"/>
        <v>8.8363950868815527E-3</v>
      </c>
    </row>
    <row r="315" spans="1:7" x14ac:dyDescent="0.2">
      <c r="A315" s="12">
        <v>37351</v>
      </c>
      <c r="D315" s="9">
        <v>275.94</v>
      </c>
      <c r="E315" s="9">
        <f t="shared" si="13"/>
        <v>4.7587135954264472E-3</v>
      </c>
      <c r="F315" s="9">
        <f t="shared" si="14"/>
        <v>4.6357812711778711E-2</v>
      </c>
      <c r="G315" s="9">
        <f t="shared" si="15"/>
        <v>8.8093982093247272E-3</v>
      </c>
    </row>
    <row r="316" spans="1:7" x14ac:dyDescent="0.2">
      <c r="A316" s="12">
        <v>37354</v>
      </c>
      <c r="D316" s="9">
        <v>275.14999999999998</v>
      </c>
      <c r="E316" s="9">
        <f t="shared" si="13"/>
        <v>-2.8670472741197271E-3</v>
      </c>
      <c r="F316" s="9">
        <f t="shared" si="14"/>
        <v>3.7284736285741769E-2</v>
      </c>
      <c r="G316" s="9">
        <f t="shared" si="15"/>
        <v>8.7996102533692746E-3</v>
      </c>
    </row>
    <row r="317" spans="1:7" x14ac:dyDescent="0.2">
      <c r="A317" s="12">
        <v>37355</v>
      </c>
      <c r="D317" s="9">
        <v>275.52</v>
      </c>
      <c r="E317" s="9">
        <f t="shared" si="13"/>
        <v>1.3438177335982451E-3</v>
      </c>
      <c r="F317" s="9">
        <f t="shared" si="14"/>
        <v>4.4417117938149883E-2</v>
      </c>
      <c r="G317" s="9">
        <f t="shared" si="15"/>
        <v>8.698860722173388E-3</v>
      </c>
    </row>
    <row r="318" spans="1:7" x14ac:dyDescent="0.2">
      <c r="A318" s="12">
        <v>37356</v>
      </c>
      <c r="D318" s="9">
        <v>263.18</v>
      </c>
      <c r="E318" s="9">
        <f t="shared" si="13"/>
        <v>-4.5822012517371322E-2</v>
      </c>
      <c r="F318" s="9">
        <f t="shared" si="14"/>
        <v>-1.3669503951116552E-3</v>
      </c>
      <c r="G318" s="9">
        <f t="shared" si="15"/>
        <v>1.2261224193791343E-2</v>
      </c>
    </row>
    <row r="319" spans="1:7" x14ac:dyDescent="0.2">
      <c r="A319" s="12">
        <v>37357</v>
      </c>
      <c r="D319" s="9">
        <v>259.37</v>
      </c>
      <c r="E319" s="9">
        <f t="shared" si="13"/>
        <v>-1.4582595031271343E-2</v>
      </c>
      <c r="F319" s="9">
        <f t="shared" si="14"/>
        <v>-3.2507461158116639E-2</v>
      </c>
      <c r="G319" s="9">
        <f t="shared" si="15"/>
        <v>1.2124520938605887E-2</v>
      </c>
    </row>
    <row r="320" spans="1:7" x14ac:dyDescent="0.2">
      <c r="A320" s="12">
        <v>37358</v>
      </c>
      <c r="D320" s="9">
        <v>261.98</v>
      </c>
      <c r="E320" s="9">
        <f t="shared" si="13"/>
        <v>1.0012551278779817E-2</v>
      </c>
      <c r="F320" s="9">
        <f t="shared" si="14"/>
        <v>-3.0264898967600529E-2</v>
      </c>
      <c r="G320" s="9">
        <f t="shared" si="15"/>
        <v>1.2187736980480977E-2</v>
      </c>
    </row>
    <row r="321" spans="1:7" x14ac:dyDescent="0.2">
      <c r="A321" s="12">
        <v>37361</v>
      </c>
      <c r="D321" s="9">
        <v>261.20999999999998</v>
      </c>
      <c r="E321" s="9">
        <f t="shared" si="13"/>
        <v>-2.9434834608691291E-3</v>
      </c>
      <c r="F321" s="9">
        <f t="shared" si="14"/>
        <v>-5.3190349167863755E-2</v>
      </c>
      <c r="G321" s="9">
        <f t="shared" si="15"/>
        <v>1.1527025481969036E-2</v>
      </c>
    </row>
    <row r="322" spans="1:7" x14ac:dyDescent="0.2">
      <c r="A322" s="12">
        <v>37362</v>
      </c>
      <c r="D322" s="9">
        <v>260.35000000000002</v>
      </c>
      <c r="E322" s="9">
        <f t="shared" si="13"/>
        <v>-3.2978018997256698E-3</v>
      </c>
      <c r="F322" s="9">
        <f t="shared" si="14"/>
        <v>-4.6748702580047076E-2</v>
      </c>
      <c r="G322" s="9">
        <f t="shared" si="15"/>
        <v>1.1433126229958323E-2</v>
      </c>
    </row>
    <row r="323" spans="1:7" x14ac:dyDescent="0.2">
      <c r="A323" s="12">
        <v>37363</v>
      </c>
      <c r="D323" s="9">
        <v>262.85000000000002</v>
      </c>
      <c r="E323" s="9">
        <f t="shared" si="13"/>
        <v>9.5566476565488809E-3</v>
      </c>
      <c r="F323" s="9">
        <f t="shared" si="14"/>
        <v>-3.4512613433482796E-2</v>
      </c>
      <c r="G323" s="9">
        <f t="shared" si="15"/>
        <v>1.1608660586272914E-2</v>
      </c>
    </row>
    <row r="324" spans="1:7" x14ac:dyDescent="0.2">
      <c r="A324" s="12">
        <v>37364</v>
      </c>
      <c r="D324" s="9">
        <v>260.10000000000002</v>
      </c>
      <c r="E324" s="9">
        <f t="shared" ref="E324:E387" si="16">LN(D324/D323)</f>
        <v>-1.051735481085124E-2</v>
      </c>
      <c r="F324" s="9">
        <f t="shared" si="14"/>
        <v>-5.1879435529818732E-2</v>
      </c>
      <c r="G324" s="9">
        <f t="shared" si="15"/>
        <v>1.1628972028729548E-2</v>
      </c>
    </row>
    <row r="325" spans="1:7" x14ac:dyDescent="0.2">
      <c r="A325" s="12">
        <v>37365</v>
      </c>
      <c r="D325" s="9">
        <v>262.07</v>
      </c>
      <c r="E325" s="9">
        <f t="shared" si="16"/>
        <v>7.5454711939726572E-3</v>
      </c>
      <c r="F325" s="9">
        <f t="shared" si="14"/>
        <v>-4.3165185211598095E-2</v>
      </c>
      <c r="G325" s="9">
        <f t="shared" si="15"/>
        <v>1.1751643907042702E-2</v>
      </c>
    </row>
    <row r="326" spans="1:7" x14ac:dyDescent="0.2">
      <c r="A326" s="12">
        <v>37368</v>
      </c>
      <c r="D326" s="9">
        <v>261.05</v>
      </c>
      <c r="E326" s="9">
        <f t="shared" si="16"/>
        <v>-3.8996837920171968E-3</v>
      </c>
      <c r="F326" s="9">
        <f t="shared" si="14"/>
        <v>-3.574496423218286E-2</v>
      </c>
      <c r="G326" s="9">
        <f t="shared" si="15"/>
        <v>1.1613781768776046E-2</v>
      </c>
    </row>
    <row r="327" spans="1:7" x14ac:dyDescent="0.2">
      <c r="A327" s="12">
        <v>37369</v>
      </c>
      <c r="D327" s="9">
        <v>256.77</v>
      </c>
      <c r="E327" s="9">
        <f t="shared" si="16"/>
        <v>-1.6531217294933492E-2</v>
      </c>
      <c r="F327" s="9">
        <f t="shared" si="14"/>
        <v>-4.7013791677673958E-2</v>
      </c>
      <c r="G327" s="9">
        <f t="shared" si="15"/>
        <v>1.1927973220330838E-2</v>
      </c>
    </row>
    <row r="328" spans="1:7" x14ac:dyDescent="0.2">
      <c r="A328" s="12">
        <v>37370</v>
      </c>
      <c r="D328" s="9">
        <v>253.98</v>
      </c>
      <c r="E328" s="9">
        <f t="shared" si="16"/>
        <v>-1.0925218800740653E-2</v>
      </c>
      <c r="F328" s="9">
        <f t="shared" si="14"/>
        <v>-8.0932751053788748E-2</v>
      </c>
      <c r="G328" s="9">
        <f t="shared" si="15"/>
        <v>1.1098318693043877E-2</v>
      </c>
    </row>
    <row r="329" spans="1:7" x14ac:dyDescent="0.2">
      <c r="A329" s="12">
        <v>37371</v>
      </c>
      <c r="D329" s="9">
        <v>250.93</v>
      </c>
      <c r="E329" s="9">
        <f t="shared" si="16"/>
        <v>-1.2081507986758087E-2</v>
      </c>
      <c r="F329" s="9">
        <f t="shared" si="14"/>
        <v>-8.9011925070315773E-2</v>
      </c>
      <c r="G329" s="9">
        <f t="shared" si="15"/>
        <v>1.1228327365733811E-2</v>
      </c>
    </row>
    <row r="330" spans="1:7" x14ac:dyDescent="0.2">
      <c r="A330" s="12">
        <v>37375</v>
      </c>
      <c r="D330" s="9">
        <v>250.54</v>
      </c>
      <c r="E330" s="9">
        <f t="shared" si="16"/>
        <v>-1.555427358083351E-3</v>
      </c>
      <c r="F330" s="9">
        <f t="shared" si="14"/>
        <v>-8.2109945764767184E-2</v>
      </c>
      <c r="G330" s="9">
        <f t="shared" si="15"/>
        <v>1.1182569063127841E-2</v>
      </c>
    </row>
    <row r="331" spans="1:7" x14ac:dyDescent="0.2">
      <c r="A331" s="12">
        <v>37376</v>
      </c>
      <c r="D331" s="9">
        <v>256.87</v>
      </c>
      <c r="E331" s="9">
        <f t="shared" si="16"/>
        <v>2.4951531924818433E-2</v>
      </c>
      <c r="F331" s="9">
        <f t="shared" si="14"/>
        <v>-5.7893491791307233E-2</v>
      </c>
      <c r="G331" s="9">
        <f t="shared" si="15"/>
        <v>1.2263623211432857E-2</v>
      </c>
    </row>
    <row r="332" spans="1:7" x14ac:dyDescent="0.2">
      <c r="A332" s="12">
        <v>37377</v>
      </c>
      <c r="D332" s="9">
        <v>257.33</v>
      </c>
      <c r="E332" s="9">
        <f t="shared" si="16"/>
        <v>1.7891875640309025E-3</v>
      </c>
      <c r="F332" s="9">
        <f t="shared" si="14"/>
        <v>-5.672869592478836E-2</v>
      </c>
      <c r="G332" s="9">
        <f t="shared" si="15"/>
        <v>1.2273828173179501E-2</v>
      </c>
    </row>
    <row r="333" spans="1:7" x14ac:dyDescent="0.2">
      <c r="A333" s="12">
        <v>37378</v>
      </c>
      <c r="D333" s="9">
        <v>262.70999999999998</v>
      </c>
      <c r="E333" s="9">
        <f t="shared" si="16"/>
        <v>2.0691454297347547E-2</v>
      </c>
      <c r="F333" s="9">
        <f t="shared" si="14"/>
        <v>-3.3574140920739855E-2</v>
      </c>
      <c r="G333" s="9">
        <f t="shared" si="15"/>
        <v>1.2946209268988982E-2</v>
      </c>
    </row>
    <row r="334" spans="1:7" x14ac:dyDescent="0.2">
      <c r="A334" s="12">
        <v>37379</v>
      </c>
      <c r="D334" s="9">
        <v>261.32</v>
      </c>
      <c r="E334" s="9">
        <f t="shared" si="16"/>
        <v>-5.3050522296931172E-3</v>
      </c>
      <c r="F334" s="9">
        <f t="shared" si="14"/>
        <v>-5.5126059344847766E-2</v>
      </c>
      <c r="G334" s="9">
        <f t="shared" si="15"/>
        <v>1.2540948974157516E-2</v>
      </c>
    </row>
    <row r="335" spans="1:7" x14ac:dyDescent="0.2">
      <c r="A335" s="12">
        <v>37382</v>
      </c>
      <c r="D335" s="9">
        <v>261.27999999999997</v>
      </c>
      <c r="E335" s="9">
        <f t="shared" si="16"/>
        <v>-1.5308075039469714E-4</v>
      </c>
      <c r="F335" s="9">
        <f t="shared" si="14"/>
        <v>-6.0012064370022093E-2</v>
      </c>
      <c r="G335" s="9">
        <f t="shared" si="15"/>
        <v>1.248427606041046E-2</v>
      </c>
    </row>
    <row r="336" spans="1:7" x14ac:dyDescent="0.2">
      <c r="A336" s="12">
        <v>37383</v>
      </c>
      <c r="D336" s="9">
        <v>263.74</v>
      </c>
      <c r="E336" s="9">
        <f t="shared" si="16"/>
        <v>9.3711401573982073E-3</v>
      </c>
      <c r="F336" s="9">
        <f t="shared" si="14"/>
        <v>-3.9805325616345151E-2</v>
      </c>
      <c r="G336" s="9">
        <f t="shared" si="15"/>
        <v>1.2536152110171176E-2</v>
      </c>
    </row>
    <row r="337" spans="1:7" x14ac:dyDescent="0.2">
      <c r="A337" s="12">
        <v>37384</v>
      </c>
      <c r="D337" s="9">
        <v>267.38</v>
      </c>
      <c r="E337" s="9">
        <f t="shared" si="16"/>
        <v>1.3707098175423447E-2</v>
      </c>
      <c r="F337" s="9">
        <f t="shared" si="14"/>
        <v>-2.8354743174942649E-2</v>
      </c>
      <c r="G337" s="9">
        <f t="shared" si="15"/>
        <v>1.2820117016044968E-2</v>
      </c>
    </row>
    <row r="338" spans="1:7" x14ac:dyDescent="0.2">
      <c r="A338" s="12">
        <v>37386</v>
      </c>
      <c r="D338" s="9">
        <v>264.24</v>
      </c>
      <c r="E338" s="9">
        <f t="shared" si="16"/>
        <v>-1.1813086472442225E-2</v>
      </c>
      <c r="F338" s="9">
        <f t="shared" si="14"/>
        <v>-4.6618062186441982E-2</v>
      </c>
      <c r="G338" s="9">
        <f t="shared" si="15"/>
        <v>1.2890264140835668E-2</v>
      </c>
    </row>
    <row r="339" spans="1:7" x14ac:dyDescent="0.2">
      <c r="A339" s="12">
        <v>37389</v>
      </c>
      <c r="D339" s="9">
        <v>262.92</v>
      </c>
      <c r="E339" s="9">
        <f t="shared" si="16"/>
        <v>-5.0079776871587694E-3</v>
      </c>
      <c r="F339" s="9">
        <f t="shared" si="14"/>
        <v>-5.7209125064888983E-2</v>
      </c>
      <c r="G339" s="9">
        <f t="shared" si="15"/>
        <v>1.283296227747048E-2</v>
      </c>
    </row>
    <row r="340" spans="1:7" x14ac:dyDescent="0.2">
      <c r="A340" s="12">
        <v>37390</v>
      </c>
      <c r="D340" s="9">
        <v>263.45</v>
      </c>
      <c r="E340" s="9">
        <f t="shared" si="16"/>
        <v>2.0137932599192518E-3</v>
      </c>
      <c r="F340" s="9">
        <f t="shared" si="14"/>
        <v>-5.7384026817657988E-2</v>
      </c>
      <c r="G340" s="9">
        <f t="shared" si="15"/>
        <v>1.2831077032089338E-2</v>
      </c>
    </row>
    <row r="341" spans="1:7" x14ac:dyDescent="0.2">
      <c r="A341" s="12">
        <v>37391</v>
      </c>
      <c r="D341" s="9">
        <v>260.45999999999998</v>
      </c>
      <c r="E341" s="9">
        <f t="shared" si="16"/>
        <v>-1.1414298115737673E-2</v>
      </c>
      <c r="F341" s="9">
        <f t="shared" si="14"/>
        <v>-6.7471327518188615E-2</v>
      </c>
      <c r="G341" s="9">
        <f t="shared" si="15"/>
        <v>1.2946845031994544E-2</v>
      </c>
    </row>
    <row r="342" spans="1:7" x14ac:dyDescent="0.2">
      <c r="A342" s="12">
        <v>37392</v>
      </c>
      <c r="D342" s="9">
        <v>259.18</v>
      </c>
      <c r="E342" s="9">
        <f t="shared" si="16"/>
        <v>-4.9264975322887072E-3</v>
      </c>
      <c r="F342" s="9">
        <f t="shared" si="14"/>
        <v>-6.9558598718661921E-2</v>
      </c>
      <c r="G342" s="9">
        <f t="shared" si="15"/>
        <v>1.2955731403793209E-2</v>
      </c>
    </row>
    <row r="343" spans="1:7" x14ac:dyDescent="0.2">
      <c r="A343" s="12">
        <v>37393</v>
      </c>
      <c r="D343" s="9">
        <v>260.29000000000002</v>
      </c>
      <c r="E343" s="9">
        <f t="shared" si="16"/>
        <v>4.2735930443808757E-3</v>
      </c>
      <c r="F343" s="9">
        <f t="shared" si="14"/>
        <v>-5.9220224080051641E-2</v>
      </c>
      <c r="G343" s="9">
        <f t="shared" si="15"/>
        <v>1.2990101167949681E-2</v>
      </c>
    </row>
    <row r="344" spans="1:7" x14ac:dyDescent="0.2">
      <c r="A344" s="12">
        <v>37397</v>
      </c>
      <c r="D344" s="9">
        <v>260.60000000000002</v>
      </c>
      <c r="E344" s="9">
        <f t="shared" si="16"/>
        <v>1.1902706390953975E-3</v>
      </c>
      <c r="F344" s="9">
        <f t="shared" si="14"/>
        <v>-5.2438072493716049E-2</v>
      </c>
      <c r="G344" s="9">
        <f t="shared" si="15"/>
        <v>1.2983981532997643E-2</v>
      </c>
    </row>
    <row r="345" spans="1:7" x14ac:dyDescent="0.2">
      <c r="A345" s="12">
        <v>37398</v>
      </c>
      <c r="D345" s="9">
        <v>257.12</v>
      </c>
      <c r="E345" s="9">
        <f t="shared" si="16"/>
        <v>-1.3443762701542317E-2</v>
      </c>
      <c r="F345" s="9">
        <f t="shared" si="14"/>
        <v>-7.0640548790684932E-2</v>
      </c>
      <c r="G345" s="9">
        <f t="shared" si="15"/>
        <v>1.3094274954977277E-2</v>
      </c>
    </row>
    <row r="346" spans="1:7" x14ac:dyDescent="0.2">
      <c r="A346" s="12">
        <v>37399</v>
      </c>
      <c r="D346" s="9">
        <v>258.22000000000003</v>
      </c>
      <c r="E346" s="9">
        <f t="shared" si="16"/>
        <v>4.2690327573700927E-3</v>
      </c>
      <c r="F346" s="9">
        <f t="shared" si="14"/>
        <v>-6.3504468759195076E-2</v>
      </c>
      <c r="G346" s="9">
        <f t="shared" si="15"/>
        <v>1.314934733918138E-2</v>
      </c>
    </row>
    <row r="347" spans="1:7" x14ac:dyDescent="0.2">
      <c r="A347" s="12">
        <v>37400</v>
      </c>
      <c r="D347" s="9">
        <v>256.62</v>
      </c>
      <c r="E347" s="9">
        <f t="shared" si="16"/>
        <v>-6.2155432797003866E-3</v>
      </c>
      <c r="F347" s="9">
        <f t="shared" si="14"/>
        <v>-7.1063829772493606E-2</v>
      </c>
      <c r="G347" s="9">
        <f t="shared" si="15"/>
        <v>1.3153173886179917E-2</v>
      </c>
    </row>
    <row r="348" spans="1:7" x14ac:dyDescent="0.2">
      <c r="A348" s="12">
        <v>37403</v>
      </c>
      <c r="D348" s="9">
        <v>255.65</v>
      </c>
      <c r="E348" s="9">
        <f t="shared" si="16"/>
        <v>-3.7870699408640383E-3</v>
      </c>
      <c r="F348" s="9">
        <f t="shared" si="14"/>
        <v>-2.9028887195986265E-2</v>
      </c>
      <c r="G348" s="9">
        <f t="shared" si="15"/>
        <v>1.0292456175680084E-2</v>
      </c>
    </row>
    <row r="349" spans="1:7" x14ac:dyDescent="0.2">
      <c r="A349" s="12">
        <v>37404</v>
      </c>
      <c r="D349" s="9">
        <v>253.14</v>
      </c>
      <c r="E349" s="9">
        <f t="shared" si="16"/>
        <v>-9.8666261617059697E-3</v>
      </c>
      <c r="F349" s="9">
        <f t="shared" si="14"/>
        <v>-2.4312918326420886E-2</v>
      </c>
      <c r="G349" s="9">
        <f t="shared" si="15"/>
        <v>1.0111769312360883E-2</v>
      </c>
    </row>
    <row r="350" spans="1:7" x14ac:dyDescent="0.2">
      <c r="A350" s="12">
        <v>37405</v>
      </c>
      <c r="D350" s="9">
        <v>251.57</v>
      </c>
      <c r="E350" s="9">
        <f t="shared" si="16"/>
        <v>-6.2214145312420076E-3</v>
      </c>
      <c r="F350" s="9">
        <f t="shared" si="14"/>
        <v>-4.0546884136442612E-2</v>
      </c>
      <c r="G350" s="9">
        <f t="shared" si="15"/>
        <v>9.9456203645511901E-3</v>
      </c>
    </row>
    <row r="351" spans="1:7" x14ac:dyDescent="0.2">
      <c r="A351" s="12">
        <v>37406</v>
      </c>
      <c r="D351" s="9">
        <v>252.79</v>
      </c>
      <c r="E351" s="9">
        <f t="shared" si="16"/>
        <v>4.8378236952194538E-3</v>
      </c>
      <c r="F351" s="9">
        <f t="shared" si="14"/>
        <v>-3.2765576980354129E-2</v>
      </c>
      <c r="G351" s="9">
        <f t="shared" si="15"/>
        <v>1.0003967439068584E-2</v>
      </c>
    </row>
    <row r="352" spans="1:7" x14ac:dyDescent="0.2">
      <c r="A352" s="12">
        <v>37407</v>
      </c>
      <c r="D352" s="9">
        <v>254.33</v>
      </c>
      <c r="E352" s="9">
        <f t="shared" si="16"/>
        <v>6.073531842285998E-3</v>
      </c>
      <c r="F352" s="9">
        <f t="shared" si="14"/>
        <v>-2.3394243238342459E-2</v>
      </c>
      <c r="G352" s="9">
        <f t="shared" si="15"/>
        <v>1.0078753589146339E-2</v>
      </c>
    </row>
    <row r="353" spans="1:7" x14ac:dyDescent="0.2">
      <c r="A353" s="12">
        <v>37410</v>
      </c>
      <c r="D353" s="9">
        <v>254.69</v>
      </c>
      <c r="E353" s="9">
        <f t="shared" si="16"/>
        <v>1.4144829673603042E-3</v>
      </c>
      <c r="F353" s="9">
        <f t="shared" ref="F353:F416" si="17">LN(D353/D323)</f>
        <v>-3.1536407927531152E-2</v>
      </c>
      <c r="G353" s="9">
        <f t="shared" si="15"/>
        <v>9.8988325866353963E-3</v>
      </c>
    </row>
    <row r="354" spans="1:7" x14ac:dyDescent="0.2">
      <c r="A354" s="12">
        <v>37411</v>
      </c>
      <c r="D354" s="9">
        <v>251.19</v>
      </c>
      <c r="E354" s="9">
        <f t="shared" si="16"/>
        <v>-1.3837494453475818E-2</v>
      </c>
      <c r="F354" s="9">
        <f t="shared" si="17"/>
        <v>-3.4856547570155758E-2</v>
      </c>
      <c r="G354" s="9">
        <f t="shared" si="15"/>
        <v>1.0026058143801022E-2</v>
      </c>
    </row>
    <row r="355" spans="1:7" x14ac:dyDescent="0.2">
      <c r="A355" s="12">
        <v>37413</v>
      </c>
      <c r="D355" s="9">
        <v>256.33</v>
      </c>
      <c r="E355" s="9">
        <f t="shared" si="16"/>
        <v>2.0256051967362347E-2</v>
      </c>
      <c r="F355" s="9">
        <f t="shared" si="17"/>
        <v>-2.2145966796766191E-2</v>
      </c>
      <c r="G355" s="9">
        <f t="shared" si="15"/>
        <v>1.0655511913009716E-2</v>
      </c>
    </row>
    <row r="356" spans="1:7" x14ac:dyDescent="0.2">
      <c r="A356" s="12">
        <v>37414</v>
      </c>
      <c r="D356" s="9">
        <v>249.86</v>
      </c>
      <c r="E356" s="9">
        <f t="shared" si="16"/>
        <v>-2.5564915848129227E-2</v>
      </c>
      <c r="F356" s="9">
        <f t="shared" si="17"/>
        <v>-4.3811198852878167E-2</v>
      </c>
      <c r="G356" s="9">
        <f t="shared" si="15"/>
        <v>1.1571938265972045E-2</v>
      </c>
    </row>
    <row r="357" spans="1:7" x14ac:dyDescent="0.2">
      <c r="A357" s="12">
        <v>37417</v>
      </c>
      <c r="D357" s="9">
        <v>250.72</v>
      </c>
      <c r="E357" s="9">
        <f t="shared" si="16"/>
        <v>3.4360176040274999E-3</v>
      </c>
      <c r="F357" s="9">
        <f t="shared" si="17"/>
        <v>-2.384396395391726E-2</v>
      </c>
      <c r="G357" s="9">
        <f t="shared" si="15"/>
        <v>1.1244826433957645E-2</v>
      </c>
    </row>
    <row r="358" spans="1:7" x14ac:dyDescent="0.2">
      <c r="A358" s="12">
        <v>37418</v>
      </c>
      <c r="D358" s="9">
        <v>251.7</v>
      </c>
      <c r="E358" s="9">
        <f t="shared" si="16"/>
        <v>3.901123533559361E-3</v>
      </c>
      <c r="F358" s="9">
        <f t="shared" si="17"/>
        <v>-9.0176216196171041E-3</v>
      </c>
      <c r="G358" s="9">
        <f t="shared" si="15"/>
        <v>1.1109232652857097E-2</v>
      </c>
    </row>
    <row r="359" spans="1:7" x14ac:dyDescent="0.2">
      <c r="A359" s="12">
        <v>37419</v>
      </c>
      <c r="D359" s="9">
        <v>251.38</v>
      </c>
      <c r="E359" s="9">
        <f t="shared" si="16"/>
        <v>-1.2721636445787215E-3</v>
      </c>
      <c r="F359" s="9">
        <f t="shared" si="17"/>
        <v>1.7917227225622836E-3</v>
      </c>
      <c r="G359" s="9">
        <f t="shared" ref="G359:G422" si="18">STDEV(E330:E359)</f>
        <v>1.0887030552594049E-2</v>
      </c>
    </row>
    <row r="360" spans="1:7" x14ac:dyDescent="0.2">
      <c r="A360" s="12">
        <v>37420</v>
      </c>
      <c r="D360" s="9">
        <v>250</v>
      </c>
      <c r="E360" s="9">
        <f t="shared" si="16"/>
        <v>-5.5048206344450049E-3</v>
      </c>
      <c r="F360" s="9">
        <f t="shared" si="17"/>
        <v>-2.1576705537994316E-3</v>
      </c>
      <c r="G360" s="9">
        <f t="shared" si="18"/>
        <v>1.0931023729641167E-2</v>
      </c>
    </row>
    <row r="361" spans="1:7" x14ac:dyDescent="0.2">
      <c r="A361" s="12">
        <v>37421</v>
      </c>
      <c r="D361" s="9">
        <v>244.83</v>
      </c>
      <c r="E361" s="9">
        <f t="shared" si="16"/>
        <v>-2.0896825712985161E-2</v>
      </c>
      <c r="F361" s="9">
        <f t="shared" si="17"/>
        <v>-4.8006028191603017E-2</v>
      </c>
      <c r="G361" s="9">
        <f t="shared" si="18"/>
        <v>1.0508724431864659E-2</v>
      </c>
    </row>
    <row r="362" spans="1:7" x14ac:dyDescent="0.2">
      <c r="A362" s="12">
        <v>37424</v>
      </c>
      <c r="D362" s="9">
        <v>248.74</v>
      </c>
      <c r="E362" s="9">
        <f t="shared" si="16"/>
        <v>1.5844082076333803E-2</v>
      </c>
      <c r="F362" s="9">
        <f t="shared" si="17"/>
        <v>-3.3951133679300138E-2</v>
      </c>
      <c r="G362" s="9">
        <f t="shared" si="18"/>
        <v>1.0968286216394337E-2</v>
      </c>
    </row>
    <row r="363" spans="1:7" x14ac:dyDescent="0.2">
      <c r="A363" s="12">
        <v>37425</v>
      </c>
      <c r="D363" s="9">
        <v>247.73</v>
      </c>
      <c r="E363" s="9">
        <f t="shared" si="16"/>
        <v>-4.0687308129097122E-3</v>
      </c>
      <c r="F363" s="9">
        <f t="shared" si="17"/>
        <v>-5.8711318789557453E-2</v>
      </c>
      <c r="G363" s="9">
        <f t="shared" si="18"/>
        <v>1.017220025054146E-2</v>
      </c>
    </row>
    <row r="364" spans="1:7" x14ac:dyDescent="0.2">
      <c r="A364" s="12">
        <v>37426</v>
      </c>
      <c r="D364" s="9">
        <v>240.93</v>
      </c>
      <c r="E364" s="9">
        <f t="shared" si="16"/>
        <v>-2.7833008544204771E-2</v>
      </c>
      <c r="F364" s="9">
        <f t="shared" si="17"/>
        <v>-8.1239275104068961E-2</v>
      </c>
      <c r="G364" s="9">
        <f t="shared" si="18"/>
        <v>1.120679520379997E-2</v>
      </c>
    </row>
    <row r="365" spans="1:7" x14ac:dyDescent="0.2">
      <c r="A365" s="12">
        <v>37427</v>
      </c>
      <c r="D365" s="9">
        <v>237.25</v>
      </c>
      <c r="E365" s="9">
        <f t="shared" si="16"/>
        <v>-1.5391997378443351E-2</v>
      </c>
      <c r="F365" s="9">
        <f t="shared" si="17"/>
        <v>-9.6478191732117594E-2</v>
      </c>
      <c r="G365" s="9">
        <f t="shared" si="18"/>
        <v>1.1430135000395244E-2</v>
      </c>
    </row>
    <row r="366" spans="1:7" x14ac:dyDescent="0.2">
      <c r="A366" s="12">
        <v>37428</v>
      </c>
      <c r="D366" s="9">
        <v>237.07</v>
      </c>
      <c r="E366" s="9">
        <f t="shared" si="16"/>
        <v>-7.5898131489622329E-4</v>
      </c>
      <c r="F366" s="9">
        <f t="shared" si="17"/>
        <v>-0.10660831320441203</v>
      </c>
      <c r="G366" s="9">
        <f t="shared" si="18"/>
        <v>1.1192628450038336E-2</v>
      </c>
    </row>
    <row r="367" spans="1:7" x14ac:dyDescent="0.2">
      <c r="A367" s="12">
        <v>37431</v>
      </c>
      <c r="D367" s="9">
        <v>231.78</v>
      </c>
      <c r="E367" s="9">
        <f t="shared" si="16"/>
        <v>-2.2566810268896079E-2</v>
      </c>
      <c r="F367" s="9">
        <f t="shared" si="17"/>
        <v>-0.14288222164873149</v>
      </c>
      <c r="G367" s="9">
        <f t="shared" si="18"/>
        <v>1.1222948843677661E-2</v>
      </c>
    </row>
    <row r="368" spans="1:7" x14ac:dyDescent="0.2">
      <c r="A368" s="12">
        <v>37432</v>
      </c>
      <c r="D368" s="9">
        <v>238.74</v>
      </c>
      <c r="E368" s="9">
        <f t="shared" si="16"/>
        <v>2.9586447760647325E-2</v>
      </c>
      <c r="F368" s="9">
        <f t="shared" si="17"/>
        <v>-0.1014826874156419</v>
      </c>
      <c r="G368" s="9">
        <f t="shared" si="18"/>
        <v>1.276540516447151E-2</v>
      </c>
    </row>
    <row r="369" spans="1:7" x14ac:dyDescent="0.2">
      <c r="A369" s="12">
        <v>37433</v>
      </c>
      <c r="D369" s="9">
        <v>234.91</v>
      </c>
      <c r="E369" s="9">
        <f t="shared" si="16"/>
        <v>-1.6172631601218429E-2</v>
      </c>
      <c r="F369" s="9">
        <f t="shared" si="17"/>
        <v>-0.11264734132970164</v>
      </c>
      <c r="G369" s="9">
        <f t="shared" si="18"/>
        <v>1.2975435790952804E-2</v>
      </c>
    </row>
    <row r="370" spans="1:7" x14ac:dyDescent="0.2">
      <c r="A370" s="12">
        <v>37434</v>
      </c>
      <c r="D370" s="9">
        <v>241.96</v>
      </c>
      <c r="E370" s="9">
        <f t="shared" si="16"/>
        <v>2.9569961173039755E-2</v>
      </c>
      <c r="F370" s="9">
        <f t="shared" si="17"/>
        <v>-8.5091173416581178E-2</v>
      </c>
      <c r="G370" s="9">
        <f t="shared" si="18"/>
        <v>1.4305115855226029E-2</v>
      </c>
    </row>
    <row r="371" spans="1:7" x14ac:dyDescent="0.2">
      <c r="A371" s="12">
        <v>37435</v>
      </c>
      <c r="D371" s="9">
        <v>245.99</v>
      </c>
      <c r="E371" s="9">
        <f t="shared" si="16"/>
        <v>1.6518461460895164E-2</v>
      </c>
      <c r="F371" s="9">
        <f t="shared" si="17"/>
        <v>-5.7158413839948519E-2</v>
      </c>
      <c r="G371" s="9">
        <f t="shared" si="18"/>
        <v>1.4632833496040236E-2</v>
      </c>
    </row>
    <row r="372" spans="1:7" x14ac:dyDescent="0.2">
      <c r="A372" s="12">
        <v>37438</v>
      </c>
      <c r="D372" s="9">
        <v>245.52</v>
      </c>
      <c r="E372" s="9">
        <f t="shared" si="16"/>
        <v>-1.9124743881278414E-3</v>
      </c>
      <c r="F372" s="9">
        <f t="shared" si="17"/>
        <v>-5.4144390695787713E-2</v>
      </c>
      <c r="G372" s="9">
        <f t="shared" si="18"/>
        <v>1.4621717616379613E-2</v>
      </c>
    </row>
    <row r="373" spans="1:7" x14ac:dyDescent="0.2">
      <c r="A373" s="12">
        <v>37439</v>
      </c>
      <c r="D373" s="9">
        <v>244</v>
      </c>
      <c r="E373" s="9">
        <f t="shared" si="16"/>
        <v>-6.2101850182789339E-3</v>
      </c>
      <c r="F373" s="9">
        <f t="shared" si="17"/>
        <v>-6.4628168758447513E-2</v>
      </c>
      <c r="G373" s="9">
        <f t="shared" si="18"/>
        <v>1.459669398589547E-2</v>
      </c>
    </row>
    <row r="374" spans="1:7" x14ac:dyDescent="0.2">
      <c r="A374" s="12">
        <v>37440</v>
      </c>
      <c r="D374" s="9">
        <v>238.61</v>
      </c>
      <c r="E374" s="9">
        <f t="shared" si="16"/>
        <v>-2.2337805359268274E-2</v>
      </c>
      <c r="F374" s="9">
        <f t="shared" si="17"/>
        <v>-8.8156244756811206E-2</v>
      </c>
      <c r="G374" s="9">
        <f t="shared" si="18"/>
        <v>1.5036252145078489E-2</v>
      </c>
    </row>
    <row r="375" spans="1:7" x14ac:dyDescent="0.2">
      <c r="A375" s="12">
        <v>37441</v>
      </c>
      <c r="D375" s="9">
        <v>241.46</v>
      </c>
      <c r="E375" s="9">
        <f t="shared" si="16"/>
        <v>1.1873407970307691E-2</v>
      </c>
      <c r="F375" s="9">
        <f t="shared" si="17"/>
        <v>-6.2839074084961088E-2</v>
      </c>
      <c r="G375" s="9">
        <f t="shared" si="18"/>
        <v>1.5136444200928894E-2</v>
      </c>
    </row>
    <row r="376" spans="1:7" x14ac:dyDescent="0.2">
      <c r="A376" s="12">
        <v>37442</v>
      </c>
      <c r="D376" s="9">
        <v>247.12</v>
      </c>
      <c r="E376" s="9">
        <f t="shared" si="16"/>
        <v>2.3170220706084859E-2</v>
      </c>
      <c r="F376" s="9">
        <f t="shared" si="17"/>
        <v>-4.3937886136246357E-2</v>
      </c>
      <c r="G376" s="9">
        <f t="shared" si="18"/>
        <v>1.5789733185923343E-2</v>
      </c>
    </row>
    <row r="377" spans="1:7" x14ac:dyDescent="0.2">
      <c r="A377" s="12">
        <v>37445</v>
      </c>
      <c r="D377" s="9">
        <v>246.62</v>
      </c>
      <c r="E377" s="9">
        <f t="shared" si="16"/>
        <v>-2.0253581679419213E-3</v>
      </c>
      <c r="F377" s="9">
        <f t="shared" si="17"/>
        <v>-3.9747701024487811E-2</v>
      </c>
      <c r="G377" s="9">
        <f t="shared" si="18"/>
        <v>1.5764771124056949E-2</v>
      </c>
    </row>
    <row r="378" spans="1:7" x14ac:dyDescent="0.2">
      <c r="A378" s="12">
        <v>37446</v>
      </c>
      <c r="D378" s="9">
        <v>241.94</v>
      </c>
      <c r="E378" s="9">
        <f t="shared" si="16"/>
        <v>-1.9158928910682296E-2</v>
      </c>
      <c r="F378" s="9">
        <f t="shared" si="17"/>
        <v>-5.5119559994306101E-2</v>
      </c>
      <c r="G378" s="9">
        <f t="shared" si="18"/>
        <v>1.6093932642261884E-2</v>
      </c>
    </row>
    <row r="379" spans="1:7" x14ac:dyDescent="0.2">
      <c r="A379" s="12">
        <v>37447</v>
      </c>
      <c r="D379" s="9">
        <v>240.25</v>
      </c>
      <c r="E379" s="9">
        <f t="shared" si="16"/>
        <v>-7.0097136813003129E-3</v>
      </c>
      <c r="F379" s="9">
        <f t="shared" si="17"/>
        <v>-5.2262647513900383E-2</v>
      </c>
      <c r="G379" s="9">
        <f t="shared" si="18"/>
        <v>1.6053184446458636E-2</v>
      </c>
    </row>
    <row r="380" spans="1:7" x14ac:dyDescent="0.2">
      <c r="A380" s="12">
        <v>37448</v>
      </c>
      <c r="D380" s="9">
        <v>233.31</v>
      </c>
      <c r="E380" s="9">
        <f t="shared" si="16"/>
        <v>-2.9312006475440192E-2</v>
      </c>
      <c r="F380" s="9">
        <f t="shared" si="17"/>
        <v>-7.5353239458098617E-2</v>
      </c>
      <c r="G380" s="9">
        <f t="shared" si="18"/>
        <v>1.6811019280003062E-2</v>
      </c>
    </row>
    <row r="381" spans="1:7" x14ac:dyDescent="0.2">
      <c r="A381" s="12">
        <v>37449</v>
      </c>
      <c r="D381" s="9">
        <v>235.45</v>
      </c>
      <c r="E381" s="9">
        <f t="shared" si="16"/>
        <v>9.1305353146019109E-3</v>
      </c>
      <c r="F381" s="9">
        <f t="shared" si="17"/>
        <v>-7.1060527838716261E-2</v>
      </c>
      <c r="G381" s="9">
        <f t="shared" si="18"/>
        <v>1.6893799359775304E-2</v>
      </c>
    </row>
    <row r="382" spans="1:7" x14ac:dyDescent="0.2">
      <c r="A382" s="12">
        <v>37452</v>
      </c>
      <c r="D382" s="9">
        <v>231.56</v>
      </c>
      <c r="E382" s="9">
        <f t="shared" si="16"/>
        <v>-1.6659557478759655E-2</v>
      </c>
      <c r="F382" s="9">
        <f t="shared" si="17"/>
        <v>-9.3793617159761866E-2</v>
      </c>
      <c r="G382" s="9">
        <f t="shared" si="18"/>
        <v>1.7011502038952901E-2</v>
      </c>
    </row>
    <row r="383" spans="1:7" x14ac:dyDescent="0.2">
      <c r="A383" s="12">
        <v>37453</v>
      </c>
      <c r="D383" s="9">
        <v>228.04</v>
      </c>
      <c r="E383" s="9">
        <f t="shared" si="16"/>
        <v>-1.5317967047422764E-2</v>
      </c>
      <c r="F383" s="9">
        <f t="shared" si="17"/>
        <v>-0.11052606717454487</v>
      </c>
      <c r="G383" s="9">
        <f t="shared" si="18"/>
        <v>1.713136389271434E-2</v>
      </c>
    </row>
    <row r="384" spans="1:7" x14ac:dyDescent="0.2">
      <c r="A384" s="12">
        <v>37454</v>
      </c>
      <c r="D384" s="9">
        <v>232.11</v>
      </c>
      <c r="E384" s="9">
        <f t="shared" si="16"/>
        <v>1.7690345066091795E-2</v>
      </c>
      <c r="F384" s="9">
        <f t="shared" si="17"/>
        <v>-7.899822765497734E-2</v>
      </c>
      <c r="G384" s="9">
        <f t="shared" si="18"/>
        <v>1.7451087977941926E-2</v>
      </c>
    </row>
    <row r="385" spans="1:7" x14ac:dyDescent="0.2">
      <c r="A385" s="12">
        <v>37455</v>
      </c>
      <c r="D385" s="9">
        <v>235.06</v>
      </c>
      <c r="E385" s="9">
        <f t="shared" si="16"/>
        <v>1.2629403475235312E-2</v>
      </c>
      <c r="F385" s="9">
        <f t="shared" si="17"/>
        <v>-8.6624876147104402E-2</v>
      </c>
      <c r="G385" s="9">
        <f t="shared" si="18"/>
        <v>1.7159256971369767E-2</v>
      </c>
    </row>
    <row r="386" spans="1:7" x14ac:dyDescent="0.2">
      <c r="A386" s="12">
        <v>37456</v>
      </c>
      <c r="D386" s="9">
        <v>230.18</v>
      </c>
      <c r="E386" s="9">
        <f t="shared" si="16"/>
        <v>-2.0979189164363064E-2</v>
      </c>
      <c r="F386" s="9">
        <f t="shared" si="17"/>
        <v>-8.2039149463338124E-2</v>
      </c>
      <c r="G386" s="9">
        <f t="shared" si="18"/>
        <v>1.6969654377344063E-2</v>
      </c>
    </row>
    <row r="387" spans="1:7" x14ac:dyDescent="0.2">
      <c r="A387" s="12">
        <v>37459</v>
      </c>
      <c r="D387" s="9">
        <v>218.69</v>
      </c>
      <c r="E387" s="9">
        <f t="shared" si="16"/>
        <v>-5.1206409640113359E-2</v>
      </c>
      <c r="F387" s="9">
        <f t="shared" si="17"/>
        <v>-0.13668157670747894</v>
      </c>
      <c r="G387" s="9">
        <f t="shared" si="18"/>
        <v>1.9085122429763041E-2</v>
      </c>
    </row>
    <row r="388" spans="1:7" x14ac:dyDescent="0.2">
      <c r="A388" s="12">
        <v>37460</v>
      </c>
      <c r="D388" s="9">
        <v>211.63</v>
      </c>
      <c r="E388" s="9">
        <f t="shared" ref="E388:E451" si="19">LN(D388/D387)</f>
        <v>-3.2815735027869421E-2</v>
      </c>
      <c r="F388" s="9">
        <f t="shared" si="17"/>
        <v>-0.17339843526890791</v>
      </c>
      <c r="G388" s="9">
        <f t="shared" si="18"/>
        <v>1.9691730526270858E-2</v>
      </c>
    </row>
    <row r="389" spans="1:7" x14ac:dyDescent="0.2">
      <c r="A389" s="12">
        <v>37461</v>
      </c>
      <c r="D389" s="9">
        <v>200.12</v>
      </c>
      <c r="E389" s="9">
        <f t="shared" si="19"/>
        <v>-5.5922280252357917E-2</v>
      </c>
      <c r="F389" s="9">
        <f t="shared" si="17"/>
        <v>-0.22804855187668713</v>
      </c>
      <c r="G389" s="9">
        <f t="shared" si="18"/>
        <v>2.1687070799037766E-2</v>
      </c>
    </row>
    <row r="390" spans="1:7" x14ac:dyDescent="0.2">
      <c r="A390" s="12">
        <v>37462</v>
      </c>
      <c r="D390" s="9">
        <v>210.18</v>
      </c>
      <c r="E390" s="9">
        <f t="shared" si="19"/>
        <v>4.9047119817446243E-2</v>
      </c>
      <c r="F390" s="9">
        <f t="shared" si="17"/>
        <v>-0.17349661142479597</v>
      </c>
      <c r="G390" s="9">
        <f t="shared" si="18"/>
        <v>2.4029456058466153E-2</v>
      </c>
    </row>
    <row r="391" spans="1:7" x14ac:dyDescent="0.2">
      <c r="A391" s="12">
        <v>37463</v>
      </c>
      <c r="D391" s="9">
        <v>208.03</v>
      </c>
      <c r="E391" s="9">
        <f t="shared" si="19"/>
        <v>-1.0282006367159102E-2</v>
      </c>
      <c r="F391" s="9">
        <f t="shared" si="17"/>
        <v>-0.16288179207896986</v>
      </c>
      <c r="G391" s="9">
        <f t="shared" si="18"/>
        <v>2.3876904287103831E-2</v>
      </c>
    </row>
    <row r="392" spans="1:7" x14ac:dyDescent="0.2">
      <c r="A392" s="12">
        <v>37466</v>
      </c>
      <c r="D392" s="9">
        <v>218.63</v>
      </c>
      <c r="E392" s="9">
        <f t="shared" si="19"/>
        <v>4.9698503218504844E-2</v>
      </c>
      <c r="F392" s="9">
        <f t="shared" si="17"/>
        <v>-0.12902737093679872</v>
      </c>
      <c r="G392" s="9">
        <f t="shared" si="18"/>
        <v>2.5651114336920949E-2</v>
      </c>
    </row>
    <row r="393" spans="1:7" x14ac:dyDescent="0.2">
      <c r="A393" s="12">
        <v>37467</v>
      </c>
      <c r="D393" s="9">
        <v>217.98</v>
      </c>
      <c r="E393" s="9">
        <f t="shared" si="19"/>
        <v>-2.977487827630704E-3</v>
      </c>
      <c r="F393" s="9">
        <f t="shared" si="17"/>
        <v>-0.12793612795151973</v>
      </c>
      <c r="G393" s="9">
        <f t="shared" si="18"/>
        <v>2.565222863583641E-2</v>
      </c>
    </row>
    <row r="394" spans="1:7" x14ac:dyDescent="0.2">
      <c r="A394" s="12">
        <v>37468</v>
      </c>
      <c r="D394" s="9">
        <v>217.65</v>
      </c>
      <c r="E394" s="9">
        <f t="shared" si="19"/>
        <v>-1.5150474628589819E-3</v>
      </c>
      <c r="F394" s="9">
        <f t="shared" si="17"/>
        <v>-0.10161816687017398</v>
      </c>
      <c r="G394" s="9">
        <f t="shared" si="18"/>
        <v>2.5265532759489024E-2</v>
      </c>
    </row>
    <row r="395" spans="1:7" x14ac:dyDescent="0.2">
      <c r="A395" s="12">
        <v>37469</v>
      </c>
      <c r="D395" s="9">
        <v>217.47</v>
      </c>
      <c r="E395" s="9">
        <f t="shared" si="19"/>
        <v>-8.2735801741051394E-4</v>
      </c>
      <c r="F395" s="9">
        <f t="shared" si="17"/>
        <v>-8.7053527509141124E-2</v>
      </c>
      <c r="G395" s="9">
        <f t="shared" si="18"/>
        <v>2.5166641851615375E-2</v>
      </c>
    </row>
    <row r="396" spans="1:7" x14ac:dyDescent="0.2">
      <c r="A396" s="12">
        <v>37470</v>
      </c>
      <c r="D396" s="9">
        <v>215.52</v>
      </c>
      <c r="E396" s="9">
        <f t="shared" si="19"/>
        <v>-9.0071973188421313E-3</v>
      </c>
      <c r="F396" s="9">
        <f t="shared" si="17"/>
        <v>-9.5301743513087039E-2</v>
      </c>
      <c r="G396" s="9">
        <f t="shared" si="18"/>
        <v>2.5187471362828652E-2</v>
      </c>
    </row>
    <row r="397" spans="1:7" x14ac:dyDescent="0.2">
      <c r="A397" s="12">
        <v>37473</v>
      </c>
      <c r="D397" s="9">
        <v>207.18</v>
      </c>
      <c r="E397" s="9">
        <f t="shared" si="19"/>
        <v>-3.9465732032097862E-2</v>
      </c>
      <c r="F397" s="9">
        <f t="shared" si="17"/>
        <v>-0.11220066527628896</v>
      </c>
      <c r="G397" s="9">
        <f t="shared" si="18"/>
        <v>2.5817162301218437E-2</v>
      </c>
    </row>
    <row r="398" spans="1:7" x14ac:dyDescent="0.2">
      <c r="A398" s="12">
        <v>37474</v>
      </c>
      <c r="D398" s="9">
        <v>211.45</v>
      </c>
      <c r="E398" s="9">
        <f t="shared" si="19"/>
        <v>2.0400583288541465E-2</v>
      </c>
      <c r="F398" s="9">
        <f t="shared" si="17"/>
        <v>-0.12138652974839471</v>
      </c>
      <c r="G398" s="9">
        <f t="shared" si="18"/>
        <v>2.5460281963990777E-2</v>
      </c>
    </row>
    <row r="399" spans="1:7" x14ac:dyDescent="0.2">
      <c r="A399" s="12">
        <v>37475</v>
      </c>
      <c r="D399" s="9">
        <v>212.35</v>
      </c>
      <c r="E399" s="9">
        <f t="shared" si="19"/>
        <v>4.2472928407827036E-3</v>
      </c>
      <c r="F399" s="9">
        <f t="shared" si="17"/>
        <v>-0.10096660530639368</v>
      </c>
      <c r="G399" s="9">
        <f t="shared" si="18"/>
        <v>2.5397791150019441E-2</v>
      </c>
    </row>
    <row r="400" spans="1:7" x14ac:dyDescent="0.2">
      <c r="A400" s="12">
        <v>37476</v>
      </c>
      <c r="D400" s="9">
        <v>210.86</v>
      </c>
      <c r="E400" s="9">
        <f t="shared" si="19"/>
        <v>-7.0414506104764943E-3</v>
      </c>
      <c r="F400" s="9">
        <f t="shared" si="17"/>
        <v>-0.13757801708990983</v>
      </c>
      <c r="G400" s="9">
        <f t="shared" si="18"/>
        <v>2.4628600074071715E-2</v>
      </c>
    </row>
    <row r="401" spans="1:7" x14ac:dyDescent="0.2">
      <c r="A401" s="12">
        <v>37477</v>
      </c>
      <c r="D401" s="9">
        <v>211.49</v>
      </c>
      <c r="E401" s="9">
        <f t="shared" si="19"/>
        <v>2.9833098958549605E-3</v>
      </c>
      <c r="F401" s="9">
        <f t="shared" si="17"/>
        <v>-0.15111316865494998</v>
      </c>
      <c r="G401" s="9">
        <f t="shared" si="18"/>
        <v>2.435106850099409E-2</v>
      </c>
    </row>
    <row r="402" spans="1:7" x14ac:dyDescent="0.2">
      <c r="A402" s="12">
        <v>37480</v>
      </c>
      <c r="D402" s="9">
        <v>212.98</v>
      </c>
      <c r="E402" s="9">
        <f t="shared" si="19"/>
        <v>7.0205485425790986E-3</v>
      </c>
      <c r="F402" s="9">
        <f t="shared" si="17"/>
        <v>-0.14218014572424312</v>
      </c>
      <c r="G402" s="9">
        <f t="shared" si="18"/>
        <v>2.4445030040943051E-2</v>
      </c>
    </row>
    <row r="403" spans="1:7" x14ac:dyDescent="0.2">
      <c r="A403" s="12">
        <v>37481</v>
      </c>
      <c r="D403" s="9">
        <v>214.41</v>
      </c>
      <c r="E403" s="9">
        <f t="shared" si="19"/>
        <v>6.6918053127594281E-3</v>
      </c>
      <c r="F403" s="9">
        <f t="shared" si="17"/>
        <v>-0.12927815539320475</v>
      </c>
      <c r="G403" s="9">
        <f t="shared" si="18"/>
        <v>2.4531601193905652E-2</v>
      </c>
    </row>
    <row r="404" spans="1:7" x14ac:dyDescent="0.2">
      <c r="A404" s="12">
        <v>37482</v>
      </c>
      <c r="D404" s="9">
        <v>212.03</v>
      </c>
      <c r="E404" s="9">
        <f t="shared" si="19"/>
        <v>-1.1162295805537919E-2</v>
      </c>
      <c r="F404" s="9">
        <f t="shared" si="17"/>
        <v>-0.1181026458394744</v>
      </c>
      <c r="G404" s="9">
        <f t="shared" si="18"/>
        <v>2.4332436919358873E-2</v>
      </c>
    </row>
    <row r="405" spans="1:7" x14ac:dyDescent="0.2">
      <c r="A405" s="12">
        <v>37483</v>
      </c>
      <c r="D405" s="9">
        <v>216.69</v>
      </c>
      <c r="E405" s="9">
        <f t="shared" si="19"/>
        <v>2.173998663640582E-2</v>
      </c>
      <c r="F405" s="9">
        <f t="shared" si="17"/>
        <v>-0.10823606717337626</v>
      </c>
      <c r="G405" s="9">
        <f t="shared" si="18"/>
        <v>2.4618500145236082E-2</v>
      </c>
    </row>
    <row r="406" spans="1:7" x14ac:dyDescent="0.2">
      <c r="A406" s="12">
        <v>37484</v>
      </c>
      <c r="D406" s="9">
        <v>214.55</v>
      </c>
      <c r="E406" s="9">
        <f t="shared" si="19"/>
        <v>-9.9249492933313546E-3</v>
      </c>
      <c r="F406" s="9">
        <f t="shared" si="17"/>
        <v>-0.14133123717279247</v>
      </c>
      <c r="G406" s="9">
        <f t="shared" si="18"/>
        <v>2.4113507216467857E-2</v>
      </c>
    </row>
    <row r="407" spans="1:7" x14ac:dyDescent="0.2">
      <c r="A407" s="12">
        <v>37487</v>
      </c>
      <c r="D407" s="9">
        <v>220.12</v>
      </c>
      <c r="E407" s="9">
        <f t="shared" si="19"/>
        <v>2.5630040754024256E-2</v>
      </c>
      <c r="F407" s="9">
        <f t="shared" si="17"/>
        <v>-0.11367583825082637</v>
      </c>
      <c r="G407" s="9">
        <f t="shared" si="18"/>
        <v>2.4740201825562493E-2</v>
      </c>
    </row>
    <row r="408" spans="1:7" x14ac:dyDescent="0.2">
      <c r="A408" s="12">
        <v>37488</v>
      </c>
      <c r="D408" s="9">
        <v>220.98</v>
      </c>
      <c r="E408" s="9">
        <f t="shared" si="19"/>
        <v>3.899347493470812E-3</v>
      </c>
      <c r="F408" s="9">
        <f t="shared" si="17"/>
        <v>-9.0617561846673259E-2</v>
      </c>
      <c r="G408" s="9">
        <f t="shared" si="18"/>
        <v>2.4604045187560517E-2</v>
      </c>
    </row>
    <row r="409" spans="1:7" x14ac:dyDescent="0.2">
      <c r="A409" s="12">
        <v>37489</v>
      </c>
      <c r="D409" s="9">
        <v>224.98</v>
      </c>
      <c r="E409" s="9">
        <f t="shared" si="19"/>
        <v>1.793930967965101E-2</v>
      </c>
      <c r="F409" s="9">
        <f t="shared" si="17"/>
        <v>-6.5668538485722128E-2</v>
      </c>
      <c r="G409" s="9">
        <f t="shared" si="18"/>
        <v>2.4884608001537623E-2</v>
      </c>
    </row>
    <row r="410" spans="1:7" x14ac:dyDescent="0.2">
      <c r="A410" s="12">
        <v>37490</v>
      </c>
      <c r="D410" s="9">
        <v>223.37</v>
      </c>
      <c r="E410" s="9">
        <f t="shared" si="19"/>
        <v>-7.1819200192143251E-3</v>
      </c>
      <c r="F410" s="9">
        <f t="shared" si="17"/>
        <v>-4.3538452029496168E-2</v>
      </c>
      <c r="G410" s="9">
        <f t="shared" si="18"/>
        <v>2.4375661030295776E-2</v>
      </c>
    </row>
    <row r="411" spans="1:7" x14ac:dyDescent="0.2">
      <c r="A411" s="12">
        <v>37491</v>
      </c>
      <c r="D411" s="9">
        <v>222.27</v>
      </c>
      <c r="E411" s="9">
        <f t="shared" si="19"/>
        <v>-4.9367302487902023E-3</v>
      </c>
      <c r="F411" s="9">
        <f t="shared" si="17"/>
        <v>-5.7605717592888302E-2</v>
      </c>
      <c r="G411" s="9">
        <f t="shared" si="18"/>
        <v>2.4300269548097105E-2</v>
      </c>
    </row>
    <row r="412" spans="1:7" x14ac:dyDescent="0.2">
      <c r="A412" s="12">
        <v>37494</v>
      </c>
      <c r="D412" s="9">
        <v>221.13</v>
      </c>
      <c r="E412" s="9">
        <f t="shared" si="19"/>
        <v>-5.1420952273681523E-3</v>
      </c>
      <c r="F412" s="9">
        <f t="shared" si="17"/>
        <v>-4.6088255341496728E-2</v>
      </c>
      <c r="G412" s="9">
        <f t="shared" si="18"/>
        <v>2.4149891057868033E-2</v>
      </c>
    </row>
    <row r="413" spans="1:7" x14ac:dyDescent="0.2">
      <c r="A413" s="12">
        <v>37495</v>
      </c>
      <c r="D413" s="9">
        <v>222.05</v>
      </c>
      <c r="E413" s="9">
        <f t="shared" si="19"/>
        <v>4.1518178688042711E-3</v>
      </c>
      <c r="F413" s="9">
        <f t="shared" si="17"/>
        <v>-2.6618470425269786E-2</v>
      </c>
      <c r="G413" s="9">
        <f t="shared" si="18"/>
        <v>2.4028060841300894E-2</v>
      </c>
    </row>
    <row r="414" spans="1:7" x14ac:dyDescent="0.2">
      <c r="A414" s="12">
        <v>37496</v>
      </c>
      <c r="D414" s="9">
        <v>225.83</v>
      </c>
      <c r="E414" s="9">
        <f t="shared" si="19"/>
        <v>1.6879922091101427E-2</v>
      </c>
      <c r="F414" s="9">
        <f t="shared" si="17"/>
        <v>-2.7428893400260054E-2</v>
      </c>
      <c r="G414" s="9">
        <f t="shared" si="18"/>
        <v>2.4006900549922824E-2</v>
      </c>
    </row>
    <row r="415" spans="1:7" x14ac:dyDescent="0.2">
      <c r="A415" s="12">
        <v>37497</v>
      </c>
      <c r="D415" s="9">
        <v>224.73</v>
      </c>
      <c r="E415" s="9">
        <f t="shared" si="19"/>
        <v>-4.8828222013116594E-3</v>
      </c>
      <c r="F415" s="9">
        <f t="shared" si="17"/>
        <v>-4.4941119076806903E-2</v>
      </c>
      <c r="G415" s="9">
        <f t="shared" si="18"/>
        <v>2.3878789992656396E-2</v>
      </c>
    </row>
    <row r="416" spans="1:7" x14ac:dyDescent="0.2">
      <c r="A416" s="12">
        <v>37498</v>
      </c>
      <c r="D416" s="9">
        <v>224.34</v>
      </c>
      <c r="E416" s="9">
        <f t="shared" si="19"/>
        <v>-1.7369234108238051E-3</v>
      </c>
      <c r="F416" s="9">
        <f t="shared" si="17"/>
        <v>-2.5698853323267656E-2</v>
      </c>
      <c r="G416" s="9">
        <f t="shared" si="18"/>
        <v>2.3594199581521445E-2</v>
      </c>
    </row>
    <row r="417" spans="1:7" x14ac:dyDescent="0.2">
      <c r="A417" s="12">
        <v>37501</v>
      </c>
      <c r="D417" s="9">
        <v>224.88</v>
      </c>
      <c r="E417" s="9">
        <f t="shared" si="19"/>
        <v>2.4041683811990835E-3</v>
      </c>
      <c r="F417" s="9">
        <f t="shared" ref="F417:F480" si="20">LN(D417/D387)</f>
        <v>2.7911724698044746E-2</v>
      </c>
      <c r="G417" s="9">
        <f t="shared" si="18"/>
        <v>2.1594723618384867E-2</v>
      </c>
    </row>
    <row r="418" spans="1:7" x14ac:dyDescent="0.2">
      <c r="A418" s="12">
        <v>37502</v>
      </c>
      <c r="D418" s="9">
        <v>217.63</v>
      </c>
      <c r="E418" s="9">
        <f t="shared" si="19"/>
        <v>-3.2770553472300672E-2</v>
      </c>
      <c r="F418" s="9">
        <f t="shared" si="20"/>
        <v>2.7956906253613394E-2</v>
      </c>
      <c r="G418" s="9">
        <f t="shared" si="18"/>
        <v>2.159229039046983E-2</v>
      </c>
    </row>
    <row r="419" spans="1:7" x14ac:dyDescent="0.2">
      <c r="A419" s="12">
        <v>37503</v>
      </c>
      <c r="D419" s="9">
        <v>215.81</v>
      </c>
      <c r="E419" s="9">
        <f t="shared" si="19"/>
        <v>-8.3979821726034264E-3</v>
      </c>
      <c r="F419" s="9">
        <f t="shared" si="20"/>
        <v>7.5481204333367982E-2</v>
      </c>
      <c r="G419" s="9">
        <f t="shared" si="18"/>
        <v>1.8845970038578474E-2</v>
      </c>
    </row>
    <row r="420" spans="1:7" x14ac:dyDescent="0.2">
      <c r="A420" s="12">
        <v>37504</v>
      </c>
      <c r="D420" s="9">
        <v>215.34</v>
      </c>
      <c r="E420" s="9">
        <f t="shared" si="19"/>
        <v>-2.1802165658014266E-3</v>
      </c>
      <c r="F420" s="9">
        <f t="shared" si="20"/>
        <v>2.4253867950120439E-2</v>
      </c>
      <c r="G420" s="9">
        <f t="shared" si="18"/>
        <v>1.6680967679775349E-2</v>
      </c>
    </row>
    <row r="421" spans="1:7" x14ac:dyDescent="0.2">
      <c r="A421" s="12">
        <v>37505</v>
      </c>
      <c r="D421" s="9">
        <v>220.35</v>
      </c>
      <c r="E421" s="9">
        <f t="shared" si="19"/>
        <v>2.2999016900425159E-2</v>
      </c>
      <c r="F421" s="9">
        <f t="shared" si="20"/>
        <v>5.7534891217704713E-2</v>
      </c>
      <c r="G421" s="9">
        <f t="shared" si="18"/>
        <v>1.7021170525986146E-2</v>
      </c>
    </row>
    <row r="422" spans="1:7" x14ac:dyDescent="0.2">
      <c r="A422" s="12">
        <v>37508</v>
      </c>
      <c r="D422" s="9">
        <v>216.55</v>
      </c>
      <c r="E422" s="9">
        <f t="shared" si="19"/>
        <v>-1.7395723627360287E-2</v>
      </c>
      <c r="F422" s="9">
        <f t="shared" si="20"/>
        <v>-9.5593356281605431E-3</v>
      </c>
      <c r="G422" s="9">
        <f t="shared" si="18"/>
        <v>1.4787988145305781E-2</v>
      </c>
    </row>
    <row r="423" spans="1:7" x14ac:dyDescent="0.2">
      <c r="A423" s="12">
        <v>37509</v>
      </c>
      <c r="D423" s="9">
        <v>219.05</v>
      </c>
      <c r="E423" s="9">
        <f t="shared" si="19"/>
        <v>1.1478546599271753E-2</v>
      </c>
      <c r="F423" s="9">
        <f t="shared" si="20"/>
        <v>4.896698798741962E-3</v>
      </c>
      <c r="G423" s="9">
        <f t="shared" ref="G423:G486" si="21">STDEV(E394:E423)</f>
        <v>1.4933174802837509E-2</v>
      </c>
    </row>
    <row r="424" spans="1:7" x14ac:dyDescent="0.2">
      <c r="A424" s="12">
        <v>37510</v>
      </c>
      <c r="D424" s="9">
        <v>222.98</v>
      </c>
      <c r="E424" s="9">
        <f t="shared" si="19"/>
        <v>1.7782067079517846E-2</v>
      </c>
      <c r="F424" s="9">
        <f t="shared" si="20"/>
        <v>2.4193813341118895E-2</v>
      </c>
      <c r="G424" s="9">
        <f t="shared" si="21"/>
        <v>1.5270194118083618E-2</v>
      </c>
    </row>
    <row r="425" spans="1:7" x14ac:dyDescent="0.2">
      <c r="A425" s="12">
        <v>37511</v>
      </c>
      <c r="D425" s="9">
        <v>217.21</v>
      </c>
      <c r="E425" s="9">
        <f t="shared" si="19"/>
        <v>-2.6217453823823258E-2</v>
      </c>
      <c r="F425" s="9">
        <f t="shared" si="20"/>
        <v>-1.1962824652938838E-3</v>
      </c>
      <c r="G425" s="9">
        <f t="shared" si="21"/>
        <v>1.6047687595626928E-2</v>
      </c>
    </row>
    <row r="426" spans="1:7" x14ac:dyDescent="0.2">
      <c r="A426" s="12">
        <v>37512</v>
      </c>
      <c r="D426" s="9">
        <v>215.6</v>
      </c>
      <c r="E426" s="9">
        <f t="shared" si="19"/>
        <v>-7.4397884807601306E-3</v>
      </c>
      <c r="F426" s="9">
        <f t="shared" si="20"/>
        <v>3.7112637278808024E-4</v>
      </c>
      <c r="G426" s="9">
        <f t="shared" si="21"/>
        <v>1.6020013344127438E-2</v>
      </c>
    </row>
    <row r="427" spans="1:7" x14ac:dyDescent="0.2">
      <c r="A427" s="12">
        <v>37515</v>
      </c>
      <c r="D427" s="9">
        <v>213.35</v>
      </c>
      <c r="E427" s="9">
        <f t="shared" si="19"/>
        <v>-1.0490829400833146E-2</v>
      </c>
      <c r="F427" s="9">
        <f t="shared" si="20"/>
        <v>2.9346029004052875E-2</v>
      </c>
      <c r="G427" s="9">
        <f t="shared" si="21"/>
        <v>1.4343562502629787E-2</v>
      </c>
    </row>
    <row r="428" spans="1:7" x14ac:dyDescent="0.2">
      <c r="A428" s="12">
        <v>37516</v>
      </c>
      <c r="D428" s="9">
        <v>213.2</v>
      </c>
      <c r="E428" s="9">
        <f t="shared" si="19"/>
        <v>-7.0331734231950419E-4</v>
      </c>
      <c r="F428" s="9">
        <f t="shared" si="20"/>
        <v>8.2421283731918434E-3</v>
      </c>
      <c r="G428" s="9">
        <f t="shared" si="21"/>
        <v>1.3867785195693212E-2</v>
      </c>
    </row>
    <row r="429" spans="1:7" x14ac:dyDescent="0.2">
      <c r="A429" s="12">
        <v>37517</v>
      </c>
      <c r="D429" s="9">
        <v>204.46</v>
      </c>
      <c r="E429" s="9">
        <f t="shared" si="19"/>
        <v>-4.185833496282132E-2</v>
      </c>
      <c r="F429" s="9">
        <f t="shared" si="20"/>
        <v>-3.7863499430412124E-2</v>
      </c>
      <c r="G429" s="9">
        <f t="shared" si="21"/>
        <v>1.5828504950276871E-2</v>
      </c>
    </row>
    <row r="430" spans="1:7" x14ac:dyDescent="0.2">
      <c r="A430" s="12">
        <v>37518</v>
      </c>
      <c r="D430" s="9">
        <v>202.64</v>
      </c>
      <c r="E430" s="9">
        <f t="shared" si="19"/>
        <v>-8.9413516354483035E-3</v>
      </c>
      <c r="F430" s="9">
        <f t="shared" si="20"/>
        <v>-3.9763400455383985E-2</v>
      </c>
      <c r="G430" s="9">
        <f t="shared" si="21"/>
        <v>1.5856202015152275E-2</v>
      </c>
    </row>
    <row r="431" spans="1:7" x14ac:dyDescent="0.2">
      <c r="A431" s="12">
        <v>37519</v>
      </c>
      <c r="D431" s="9">
        <v>204.05</v>
      </c>
      <c r="E431" s="9">
        <f t="shared" si="19"/>
        <v>6.9340561583950454E-3</v>
      </c>
      <c r="F431" s="9">
        <f t="shared" si="20"/>
        <v>-3.5812654192843893E-2</v>
      </c>
      <c r="G431" s="9">
        <f t="shared" si="21"/>
        <v>1.5909538292861344E-2</v>
      </c>
    </row>
    <row r="432" spans="1:7" x14ac:dyDescent="0.2">
      <c r="A432" s="12">
        <v>37522</v>
      </c>
      <c r="D432" s="9">
        <v>201.23</v>
      </c>
      <c r="E432" s="9">
        <f t="shared" si="19"/>
        <v>-1.3916529373537857E-2</v>
      </c>
      <c r="F432" s="9">
        <f t="shared" si="20"/>
        <v>-5.6749732108960796E-2</v>
      </c>
      <c r="G432" s="9">
        <f t="shared" si="21"/>
        <v>1.5995765614504786E-2</v>
      </c>
    </row>
    <row r="433" spans="1:7" x14ac:dyDescent="0.2">
      <c r="A433" s="12">
        <v>37523</v>
      </c>
      <c r="D433" s="9">
        <v>194.58</v>
      </c>
      <c r="E433" s="9">
        <f t="shared" si="19"/>
        <v>-3.3605142930995209E-2</v>
      </c>
      <c r="F433" s="9">
        <f t="shared" si="20"/>
        <v>-9.7046680352715561E-2</v>
      </c>
      <c r="G433" s="9">
        <f t="shared" si="21"/>
        <v>1.6915624465691781E-2</v>
      </c>
    </row>
    <row r="434" spans="1:7" x14ac:dyDescent="0.2">
      <c r="A434" s="12">
        <v>37524</v>
      </c>
      <c r="D434" s="9">
        <v>193.12</v>
      </c>
      <c r="E434" s="9">
        <f t="shared" si="19"/>
        <v>-7.5316321980602998E-3</v>
      </c>
      <c r="F434" s="9">
        <f t="shared" si="20"/>
        <v>-9.3416016745237876E-2</v>
      </c>
      <c r="G434" s="9">
        <f t="shared" si="21"/>
        <v>1.6869878294241115E-2</v>
      </c>
    </row>
    <row r="435" spans="1:7" x14ac:dyDescent="0.2">
      <c r="A435" s="12">
        <v>37525</v>
      </c>
      <c r="D435" s="9">
        <v>194.67</v>
      </c>
      <c r="E435" s="9">
        <f t="shared" si="19"/>
        <v>7.9940599519653863E-3</v>
      </c>
      <c r="F435" s="9">
        <f t="shared" si="20"/>
        <v>-0.10716194342967836</v>
      </c>
      <c r="G435" s="9">
        <f t="shared" si="21"/>
        <v>1.635022372577917E-2</v>
      </c>
    </row>
    <row r="436" spans="1:7" x14ac:dyDescent="0.2">
      <c r="A436" s="12">
        <v>37526</v>
      </c>
      <c r="D436" s="9">
        <v>198.73</v>
      </c>
      <c r="E436" s="9">
        <f t="shared" si="19"/>
        <v>2.0641302239006367E-2</v>
      </c>
      <c r="F436" s="9">
        <f t="shared" si="20"/>
        <v>-7.6595691897340737E-2</v>
      </c>
      <c r="G436" s="9">
        <f t="shared" si="21"/>
        <v>1.6884342338937326E-2</v>
      </c>
    </row>
    <row r="437" spans="1:7" x14ac:dyDescent="0.2">
      <c r="A437" s="12">
        <v>37529</v>
      </c>
      <c r="D437" s="9">
        <v>192.07</v>
      </c>
      <c r="E437" s="9">
        <f t="shared" si="19"/>
        <v>-3.4087230623432566E-2</v>
      </c>
      <c r="F437" s="9">
        <f t="shared" si="20"/>
        <v>-0.13631296327479756</v>
      </c>
      <c r="G437" s="9">
        <f t="shared" si="21"/>
        <v>1.6967086774584896E-2</v>
      </c>
    </row>
    <row r="438" spans="1:7" x14ac:dyDescent="0.2">
      <c r="A438" s="12">
        <v>37530</v>
      </c>
      <c r="D438" s="9">
        <v>188.91</v>
      </c>
      <c r="E438" s="9">
        <f t="shared" si="19"/>
        <v>-1.6589177747999586E-2</v>
      </c>
      <c r="F438" s="9">
        <f t="shared" si="20"/>
        <v>-0.15680148851626791</v>
      </c>
      <c r="G438" s="9">
        <f t="shared" si="21"/>
        <v>1.702775839306004E-2</v>
      </c>
    </row>
    <row r="439" spans="1:7" x14ac:dyDescent="0.2">
      <c r="A439" s="12">
        <v>37531</v>
      </c>
      <c r="D439" s="9">
        <v>194.52</v>
      </c>
      <c r="E439" s="9">
        <f t="shared" si="19"/>
        <v>2.9264274366824109E-2</v>
      </c>
      <c r="F439" s="9">
        <f t="shared" si="20"/>
        <v>-0.14547652382909468</v>
      </c>
      <c r="G439" s="9">
        <f t="shared" si="21"/>
        <v>1.7672383127905977E-2</v>
      </c>
    </row>
    <row r="440" spans="1:7" x14ac:dyDescent="0.2">
      <c r="A440" s="12">
        <v>37532</v>
      </c>
      <c r="D440" s="9">
        <v>190.94</v>
      </c>
      <c r="E440" s="9">
        <f t="shared" si="19"/>
        <v>-1.8575742965698038E-2</v>
      </c>
      <c r="F440" s="9">
        <f t="shared" si="20"/>
        <v>-0.15687034677557835</v>
      </c>
      <c r="G440" s="9">
        <f t="shared" si="21"/>
        <v>1.7845823747579884E-2</v>
      </c>
    </row>
    <row r="441" spans="1:7" x14ac:dyDescent="0.2">
      <c r="A441" s="12">
        <v>37533</v>
      </c>
      <c r="D441" s="9">
        <v>193.09</v>
      </c>
      <c r="E441" s="9">
        <f t="shared" si="19"/>
        <v>1.1197158884560261E-2</v>
      </c>
      <c r="F441" s="9">
        <f t="shared" si="20"/>
        <v>-0.14073645764222797</v>
      </c>
      <c r="G441" s="9">
        <f t="shared" si="21"/>
        <v>1.809628103610323E-2</v>
      </c>
    </row>
    <row r="442" spans="1:7" x14ac:dyDescent="0.2">
      <c r="A442" s="12">
        <v>37536</v>
      </c>
      <c r="D442" s="9">
        <v>193.28</v>
      </c>
      <c r="E442" s="9">
        <f t="shared" si="19"/>
        <v>9.8351329200277904E-4</v>
      </c>
      <c r="F442" s="9">
        <f t="shared" si="20"/>
        <v>-0.13461084912285703</v>
      </c>
      <c r="G442" s="9">
        <f t="shared" si="21"/>
        <v>1.8125553227986271E-2</v>
      </c>
    </row>
    <row r="443" spans="1:7" x14ac:dyDescent="0.2">
      <c r="A443" s="12">
        <v>37537</v>
      </c>
      <c r="D443" s="9">
        <v>192.49</v>
      </c>
      <c r="E443" s="9">
        <f t="shared" si="19"/>
        <v>-4.0957104199060403E-3</v>
      </c>
      <c r="F443" s="9">
        <f t="shared" si="20"/>
        <v>-0.14285837741156726</v>
      </c>
      <c r="G443" s="9">
        <f t="shared" si="21"/>
        <v>1.8052405313536069E-2</v>
      </c>
    </row>
    <row r="444" spans="1:7" x14ac:dyDescent="0.2">
      <c r="A444" s="12">
        <v>37538</v>
      </c>
      <c r="D444" s="9">
        <v>188.22</v>
      </c>
      <c r="E444" s="9">
        <f t="shared" si="19"/>
        <v>-2.2432712895902315E-2</v>
      </c>
      <c r="F444" s="9">
        <f t="shared" si="20"/>
        <v>-0.182171012398571</v>
      </c>
      <c r="G444" s="9">
        <f t="shared" si="21"/>
        <v>1.785300152155871E-2</v>
      </c>
    </row>
    <row r="445" spans="1:7" x14ac:dyDescent="0.2">
      <c r="A445" s="12">
        <v>37539</v>
      </c>
      <c r="D445" s="9">
        <v>187.28</v>
      </c>
      <c r="E445" s="9">
        <f t="shared" si="19"/>
        <v>-5.006668247986441E-3</v>
      </c>
      <c r="F445" s="9">
        <f t="shared" si="20"/>
        <v>-0.18229485844524579</v>
      </c>
      <c r="G445" s="9">
        <f t="shared" si="21"/>
        <v>1.7852731291332604E-2</v>
      </c>
    </row>
    <row r="446" spans="1:7" x14ac:dyDescent="0.2">
      <c r="A446" s="12">
        <v>37540</v>
      </c>
      <c r="D446" s="9">
        <v>196.4</v>
      </c>
      <c r="E446" s="9">
        <f t="shared" si="19"/>
        <v>4.7548572737710265E-2</v>
      </c>
      <c r="F446" s="9">
        <f t="shared" si="20"/>
        <v>-0.1330093622967119</v>
      </c>
      <c r="G446" s="9">
        <f t="shared" si="21"/>
        <v>2.035777220661808E-2</v>
      </c>
    </row>
    <row r="447" spans="1:7" x14ac:dyDescent="0.2">
      <c r="A447" s="12">
        <v>37543</v>
      </c>
      <c r="D447" s="9">
        <v>195.13</v>
      </c>
      <c r="E447" s="9">
        <f t="shared" si="19"/>
        <v>-6.4873928134581973E-3</v>
      </c>
      <c r="F447" s="9">
        <f t="shared" si="20"/>
        <v>-0.14190092349136907</v>
      </c>
      <c r="G447" s="9">
        <f t="shared" si="21"/>
        <v>2.0319478203619297E-2</v>
      </c>
    </row>
    <row r="448" spans="1:7" x14ac:dyDescent="0.2">
      <c r="A448" s="12">
        <v>37544</v>
      </c>
      <c r="D448" s="9">
        <v>204.4</v>
      </c>
      <c r="E448" s="9">
        <f t="shared" si="19"/>
        <v>4.6412855222642019E-2</v>
      </c>
      <c r="F448" s="9">
        <f t="shared" si="20"/>
        <v>-6.271751479642633E-2</v>
      </c>
      <c r="G448" s="9">
        <f t="shared" si="21"/>
        <v>2.1650737113176569E-2</v>
      </c>
    </row>
    <row r="449" spans="1:7" x14ac:dyDescent="0.2">
      <c r="A449" s="12">
        <v>37545</v>
      </c>
      <c r="D449" s="9">
        <v>202.81</v>
      </c>
      <c r="E449" s="9">
        <f t="shared" si="19"/>
        <v>-7.8092781635085897E-3</v>
      </c>
      <c r="F449" s="9">
        <f t="shared" si="20"/>
        <v>-6.2128810787331519E-2</v>
      </c>
      <c r="G449" s="9">
        <f t="shared" si="21"/>
        <v>2.1645089231527338E-2</v>
      </c>
    </row>
    <row r="450" spans="1:7" x14ac:dyDescent="0.2">
      <c r="A450" s="12">
        <v>37546</v>
      </c>
      <c r="D450" s="9">
        <v>204.14</v>
      </c>
      <c r="E450" s="9">
        <f t="shared" si="19"/>
        <v>6.536452809311327E-3</v>
      </c>
      <c r="F450" s="9">
        <f t="shared" si="20"/>
        <v>-5.3412141412218672E-2</v>
      </c>
      <c r="G450" s="9">
        <f t="shared" si="21"/>
        <v>2.1702001889563706E-2</v>
      </c>
    </row>
    <row r="451" spans="1:7" x14ac:dyDescent="0.2">
      <c r="A451" s="12">
        <v>37547</v>
      </c>
      <c r="D451" s="9">
        <v>206.14</v>
      </c>
      <c r="E451" s="9">
        <f t="shared" si="19"/>
        <v>9.7495166332943039E-3</v>
      </c>
      <c r="F451" s="9">
        <f t="shared" si="20"/>
        <v>-6.6661641679349376E-2</v>
      </c>
      <c r="G451" s="9">
        <f t="shared" si="21"/>
        <v>2.1311642765245224E-2</v>
      </c>
    </row>
    <row r="452" spans="1:7" x14ac:dyDescent="0.2">
      <c r="A452" s="12">
        <v>37550</v>
      </c>
      <c r="D452" s="9">
        <v>204.71</v>
      </c>
      <c r="E452" s="9">
        <f t="shared" ref="E452:E515" si="22">LN(D452/D451)</f>
        <v>-6.9612061561165894E-3</v>
      </c>
      <c r="F452" s="9">
        <f t="shared" si="20"/>
        <v>-5.6227124208105807E-2</v>
      </c>
      <c r="G452" s="9">
        <f t="shared" si="21"/>
        <v>2.1139917647677468E-2</v>
      </c>
    </row>
    <row r="453" spans="1:7" x14ac:dyDescent="0.2">
      <c r="A453" s="12">
        <v>37551</v>
      </c>
      <c r="D453" s="9">
        <v>205.85</v>
      </c>
      <c r="E453" s="9">
        <f t="shared" si="22"/>
        <v>5.5534047633837864E-3</v>
      </c>
      <c r="F453" s="9">
        <f t="shared" si="20"/>
        <v>-6.2152266043993806E-2</v>
      </c>
      <c r="G453" s="9">
        <f t="shared" si="21"/>
        <v>2.1038298582007262E-2</v>
      </c>
    </row>
    <row r="454" spans="1:7" x14ac:dyDescent="0.2">
      <c r="A454" s="12">
        <v>37552</v>
      </c>
      <c r="D454" s="9">
        <v>199.46</v>
      </c>
      <c r="E454" s="9">
        <f t="shared" si="22"/>
        <v>-3.1534033242191728E-2</v>
      </c>
      <c r="F454" s="9">
        <f t="shared" si="20"/>
        <v>-0.11146836636570347</v>
      </c>
      <c r="G454" s="9">
        <f t="shared" si="21"/>
        <v>2.1357768352992846E-2</v>
      </c>
    </row>
    <row r="455" spans="1:7" x14ac:dyDescent="0.2">
      <c r="A455" s="12">
        <v>37553</v>
      </c>
      <c r="D455" s="9">
        <v>198.98</v>
      </c>
      <c r="E455" s="9">
        <f t="shared" si="22"/>
        <v>-2.4093978125083347E-3</v>
      </c>
      <c r="F455" s="9">
        <f t="shared" si="20"/>
        <v>-8.7660310354388551E-2</v>
      </c>
      <c r="G455" s="9">
        <f t="shared" si="21"/>
        <v>2.0930882153530634E-2</v>
      </c>
    </row>
    <row r="456" spans="1:7" x14ac:dyDescent="0.2">
      <c r="A456" s="12">
        <v>37554</v>
      </c>
      <c r="D456" s="9">
        <v>199.42</v>
      </c>
      <c r="E456" s="9">
        <f t="shared" si="22"/>
        <v>2.2088362394332701E-3</v>
      </c>
      <c r="F456" s="9">
        <f t="shared" si="20"/>
        <v>-7.8011685634195208E-2</v>
      </c>
      <c r="G456" s="9">
        <f t="shared" si="21"/>
        <v>2.093319840858588E-2</v>
      </c>
    </row>
    <row r="457" spans="1:7" x14ac:dyDescent="0.2">
      <c r="A457" s="12">
        <v>37557</v>
      </c>
      <c r="D457" s="9">
        <v>205.8</v>
      </c>
      <c r="E457" s="9">
        <f t="shared" si="22"/>
        <v>3.1491669999302481E-2</v>
      </c>
      <c r="F457" s="9">
        <f t="shared" si="20"/>
        <v>-3.6029186234059631E-2</v>
      </c>
      <c r="G457" s="9">
        <f t="shared" si="21"/>
        <v>2.1773935339667299E-2</v>
      </c>
    </row>
    <row r="458" spans="1:7" x14ac:dyDescent="0.2">
      <c r="A458" s="12">
        <v>37558</v>
      </c>
      <c r="D458" s="9">
        <v>196.92</v>
      </c>
      <c r="E458" s="9">
        <f t="shared" si="22"/>
        <v>-4.4107268509949567E-2</v>
      </c>
      <c r="F458" s="9">
        <f t="shared" si="20"/>
        <v>-7.9433137401689641E-2</v>
      </c>
      <c r="G458" s="9">
        <f t="shared" si="21"/>
        <v>2.3138957538685959E-2</v>
      </c>
    </row>
    <row r="459" spans="1:7" x14ac:dyDescent="0.2">
      <c r="A459" s="12">
        <v>37559</v>
      </c>
      <c r="D459" s="9">
        <v>201.02</v>
      </c>
      <c r="E459" s="9">
        <f t="shared" si="22"/>
        <v>2.0606850706593981E-2</v>
      </c>
      <c r="F459" s="9">
        <f t="shared" si="20"/>
        <v>-1.6967951732274243E-2</v>
      </c>
      <c r="G459" s="9">
        <f t="shared" si="21"/>
        <v>2.228357609554308E-2</v>
      </c>
    </row>
    <row r="460" spans="1:7" x14ac:dyDescent="0.2">
      <c r="A460" s="12">
        <v>37560</v>
      </c>
      <c r="D460" s="9">
        <v>200.23</v>
      </c>
      <c r="E460" s="9">
        <f t="shared" si="22"/>
        <v>-3.9376997920357185E-3</v>
      </c>
      <c r="F460" s="9">
        <f t="shared" si="20"/>
        <v>-1.1964299888861597E-2</v>
      </c>
      <c r="G460" s="9">
        <f t="shared" si="21"/>
        <v>2.2237401252098901E-2</v>
      </c>
    </row>
    <row r="461" spans="1:7" x14ac:dyDescent="0.2">
      <c r="A461" s="12">
        <v>37561</v>
      </c>
      <c r="D461" s="9">
        <v>201.23</v>
      </c>
      <c r="E461" s="9">
        <f t="shared" si="22"/>
        <v>4.9818266737187544E-3</v>
      </c>
      <c r="F461" s="9">
        <f t="shared" si="20"/>
        <v>-1.3916529373537857E-2</v>
      </c>
      <c r="G461" s="9">
        <f t="shared" si="21"/>
        <v>2.2218050834689106E-2</v>
      </c>
    </row>
    <row r="462" spans="1:7" x14ac:dyDescent="0.2">
      <c r="A462" s="12">
        <v>37564</v>
      </c>
      <c r="D462" s="9">
        <v>204.89</v>
      </c>
      <c r="E462" s="9">
        <f t="shared" si="22"/>
        <v>1.8024717280830806E-2</v>
      </c>
      <c r="F462" s="9">
        <f t="shared" si="20"/>
        <v>1.8024717280830806E-2</v>
      </c>
      <c r="G462" s="9">
        <f t="shared" si="21"/>
        <v>2.2316267706193028E-2</v>
      </c>
    </row>
    <row r="463" spans="1:7" x14ac:dyDescent="0.2">
      <c r="A463" s="12">
        <v>37565</v>
      </c>
      <c r="D463" s="9">
        <v>205.39</v>
      </c>
      <c r="E463" s="9">
        <f t="shared" si="22"/>
        <v>2.4373610584496521E-3</v>
      </c>
      <c r="F463" s="9">
        <f t="shared" si="20"/>
        <v>5.4067221270275578E-2</v>
      </c>
      <c r="G463" s="9">
        <f t="shared" si="21"/>
        <v>2.1361002944555427E-2</v>
      </c>
    </row>
    <row r="464" spans="1:7" x14ac:dyDescent="0.2">
      <c r="A464" s="12">
        <v>37566</v>
      </c>
      <c r="D464" s="9">
        <v>205.96</v>
      </c>
      <c r="E464" s="9">
        <f t="shared" si="22"/>
        <v>2.7713643603834138E-3</v>
      </c>
      <c r="F464" s="9">
        <f t="shared" si="20"/>
        <v>6.4370217828719212E-2</v>
      </c>
      <c r="G464" s="9">
        <f t="shared" si="21"/>
        <v>2.128846262169087E-2</v>
      </c>
    </row>
    <row r="465" spans="1:7" x14ac:dyDescent="0.2">
      <c r="A465" s="12">
        <v>37567</v>
      </c>
      <c r="D465" s="9">
        <v>202.45</v>
      </c>
      <c r="E465" s="9">
        <f t="shared" si="22"/>
        <v>-1.7189032699770537E-2</v>
      </c>
      <c r="F465" s="9">
        <f t="shared" si="20"/>
        <v>3.9187125176983383E-2</v>
      </c>
      <c r="G465" s="9">
        <f t="shared" si="21"/>
        <v>2.1544859567049719E-2</v>
      </c>
    </row>
    <row r="466" spans="1:7" x14ac:dyDescent="0.2">
      <c r="A466" s="12">
        <v>37568</v>
      </c>
      <c r="D466" s="9">
        <v>203.68</v>
      </c>
      <c r="E466" s="9">
        <f t="shared" si="22"/>
        <v>6.0571923309262988E-3</v>
      </c>
      <c r="F466" s="9">
        <f t="shared" si="20"/>
        <v>2.4603015268903392E-2</v>
      </c>
      <c r="G466" s="9">
        <f t="shared" si="21"/>
        <v>2.1256143296399677E-2</v>
      </c>
    </row>
    <row r="467" spans="1:7" x14ac:dyDescent="0.2">
      <c r="A467" s="12">
        <v>37571</v>
      </c>
      <c r="D467" s="9">
        <v>203.81</v>
      </c>
      <c r="E467" s="9">
        <f t="shared" si="22"/>
        <v>6.3805248919176409E-4</v>
      </c>
      <c r="F467" s="9">
        <f t="shared" si="20"/>
        <v>5.9328298381527617E-2</v>
      </c>
      <c r="G467" s="9">
        <f t="shared" si="21"/>
        <v>2.0209422298096833E-2</v>
      </c>
    </row>
    <row r="468" spans="1:7" x14ac:dyDescent="0.2">
      <c r="A468" s="12">
        <v>37572</v>
      </c>
      <c r="D468" s="9">
        <v>203.33</v>
      </c>
      <c r="E468" s="9">
        <f t="shared" si="22"/>
        <v>-2.3579123760377576E-3</v>
      </c>
      <c r="F468" s="9">
        <f t="shared" si="20"/>
        <v>7.355956375348939E-2</v>
      </c>
      <c r="G468" s="9">
        <f t="shared" si="21"/>
        <v>1.9923579795176394E-2</v>
      </c>
    </row>
    <row r="469" spans="1:7" x14ac:dyDescent="0.2">
      <c r="A469" s="12">
        <v>37573</v>
      </c>
      <c r="D469" s="9">
        <v>202.07</v>
      </c>
      <c r="E469" s="9">
        <f t="shared" si="22"/>
        <v>-6.2161028968456015E-3</v>
      </c>
      <c r="F469" s="9">
        <f t="shared" si="20"/>
        <v>3.807918648981979E-2</v>
      </c>
      <c r="G469" s="9">
        <f t="shared" si="21"/>
        <v>1.9321059563760207E-2</v>
      </c>
    </row>
    <row r="470" spans="1:7" x14ac:dyDescent="0.2">
      <c r="A470" s="12">
        <v>37574</v>
      </c>
      <c r="D470" s="9">
        <v>203.31</v>
      </c>
      <c r="E470" s="9">
        <f t="shared" si="22"/>
        <v>6.1177357907265919E-3</v>
      </c>
      <c r="F470" s="9">
        <f t="shared" si="20"/>
        <v>6.2772665246244155E-2</v>
      </c>
      <c r="G470" s="9">
        <f t="shared" si="21"/>
        <v>1.896926064506247E-2</v>
      </c>
    </row>
    <row r="471" spans="1:7" x14ac:dyDescent="0.2">
      <c r="A471" s="12">
        <v>37575</v>
      </c>
      <c r="D471" s="9">
        <v>201.68</v>
      </c>
      <c r="E471" s="9">
        <f t="shared" si="22"/>
        <v>-8.0496249364669006E-3</v>
      </c>
      <c r="F471" s="9">
        <f t="shared" si="20"/>
        <v>4.3525881425217051E-2</v>
      </c>
      <c r="G471" s="9">
        <f t="shared" si="21"/>
        <v>1.8976182500064342E-2</v>
      </c>
    </row>
    <row r="472" spans="1:7" x14ac:dyDescent="0.2">
      <c r="A472" s="12">
        <v>37578</v>
      </c>
      <c r="D472" s="9">
        <v>204.77</v>
      </c>
      <c r="E472" s="9">
        <f t="shared" si="22"/>
        <v>1.5205115180804453E-2</v>
      </c>
      <c r="F472" s="9">
        <f t="shared" si="20"/>
        <v>5.7747483314018765E-2</v>
      </c>
      <c r="G472" s="9">
        <f t="shared" si="21"/>
        <v>1.9141027260252352E-2</v>
      </c>
    </row>
    <row r="473" spans="1:7" x14ac:dyDescent="0.2">
      <c r="A473" s="12">
        <v>37579</v>
      </c>
      <c r="D473" s="9">
        <v>203.7</v>
      </c>
      <c r="E473" s="9">
        <f t="shared" si="22"/>
        <v>-5.2390748277087278E-3</v>
      </c>
      <c r="F473" s="9">
        <f t="shared" si="20"/>
        <v>5.6604118906215875E-2</v>
      </c>
      <c r="G473" s="9">
        <f t="shared" si="21"/>
        <v>1.9154561947867143E-2</v>
      </c>
    </row>
    <row r="474" spans="1:7" x14ac:dyDescent="0.2">
      <c r="A474" s="12">
        <v>37580</v>
      </c>
      <c r="D474" s="9">
        <v>202.29</v>
      </c>
      <c r="E474" s="9">
        <f t="shared" si="22"/>
        <v>-6.946011818159843E-3</v>
      </c>
      <c r="F474" s="9">
        <f t="shared" si="20"/>
        <v>7.2090819983958415E-2</v>
      </c>
      <c r="G474" s="9">
        <f t="shared" si="21"/>
        <v>1.8679331373595794E-2</v>
      </c>
    </row>
    <row r="475" spans="1:7" x14ac:dyDescent="0.2">
      <c r="A475" s="12">
        <v>37581</v>
      </c>
      <c r="D475" s="9">
        <v>205.51</v>
      </c>
      <c r="E475" s="9">
        <f t="shared" si="22"/>
        <v>1.5792383138228675E-2</v>
      </c>
      <c r="F475" s="9">
        <f t="shared" si="20"/>
        <v>9.2889871370173432E-2</v>
      </c>
      <c r="G475" s="9">
        <f t="shared" si="21"/>
        <v>1.8780544260324012E-2</v>
      </c>
    </row>
    <row r="476" spans="1:7" x14ac:dyDescent="0.2">
      <c r="A476" s="12">
        <v>37582</v>
      </c>
      <c r="D476" s="9">
        <v>207.55</v>
      </c>
      <c r="E476" s="9">
        <f t="shared" si="22"/>
        <v>9.8775799462189288E-3</v>
      </c>
      <c r="F476" s="9">
        <f t="shared" si="20"/>
        <v>5.5218878578682226E-2</v>
      </c>
      <c r="G476" s="9">
        <f t="shared" si="21"/>
        <v>1.6867880492152865E-2</v>
      </c>
    </row>
    <row r="477" spans="1:7" x14ac:dyDescent="0.2">
      <c r="A477" s="12">
        <v>37585</v>
      </c>
      <c r="D477" s="9">
        <v>208.21</v>
      </c>
      <c r="E477" s="9">
        <f t="shared" si="22"/>
        <v>3.17491126805517E-3</v>
      </c>
      <c r="F477" s="9">
        <f t="shared" si="20"/>
        <v>6.4881182660195616E-2</v>
      </c>
      <c r="G477" s="9">
        <f t="shared" si="21"/>
        <v>1.6795472223338329E-2</v>
      </c>
    </row>
    <row r="478" spans="1:7" x14ac:dyDescent="0.2">
      <c r="A478" s="12">
        <v>37586</v>
      </c>
      <c r="D478" s="9">
        <v>207.32</v>
      </c>
      <c r="E478" s="9">
        <f t="shared" si="22"/>
        <v>-4.2836924455971551E-3</v>
      </c>
      <c r="F478" s="9">
        <f t="shared" si="20"/>
        <v>1.4184634991956381E-2</v>
      </c>
      <c r="G478" s="9">
        <f t="shared" si="21"/>
        <v>1.4596123426197764E-2</v>
      </c>
    </row>
    <row r="479" spans="1:7" x14ac:dyDescent="0.2">
      <c r="A479" s="12">
        <v>37587</v>
      </c>
      <c r="D479" s="9">
        <v>207</v>
      </c>
      <c r="E479" s="9">
        <f t="shared" si="22"/>
        <v>-1.5447000561366554E-3</v>
      </c>
      <c r="F479" s="9">
        <f t="shared" si="20"/>
        <v>2.0449213099328279E-2</v>
      </c>
      <c r="G479" s="9">
        <f t="shared" si="21"/>
        <v>1.4518153690745762E-2</v>
      </c>
    </row>
    <row r="480" spans="1:7" x14ac:dyDescent="0.2">
      <c r="A480" s="12">
        <v>37588</v>
      </c>
      <c r="D480" s="9">
        <v>206.38</v>
      </c>
      <c r="E480" s="9">
        <f t="shared" si="22"/>
        <v>-2.9996635778007899E-3</v>
      </c>
      <c r="F480" s="9">
        <f t="shared" si="20"/>
        <v>1.0913096712216077E-2</v>
      </c>
      <c r="G480" s="9">
        <f t="shared" si="21"/>
        <v>1.4489911748449763E-2</v>
      </c>
    </row>
    <row r="481" spans="1:7" x14ac:dyDescent="0.2">
      <c r="A481" s="12">
        <v>37589</v>
      </c>
      <c r="D481" s="9">
        <v>208.53</v>
      </c>
      <c r="E481" s="9">
        <f t="shared" si="22"/>
        <v>1.0363786092935949E-2</v>
      </c>
      <c r="F481" s="9">
        <f t="shared" ref="F481:F544" si="23">LN(D481/D451)</f>
        <v>1.1527366171857666E-2</v>
      </c>
      <c r="G481" s="9">
        <f t="shared" si="21"/>
        <v>1.4504059165985222E-2</v>
      </c>
    </row>
    <row r="482" spans="1:7" x14ac:dyDescent="0.2">
      <c r="A482" s="12">
        <v>37592</v>
      </c>
      <c r="D482" s="9">
        <v>207.14</v>
      </c>
      <c r="E482" s="9">
        <f t="shared" si="22"/>
        <v>-6.6880226197715527E-3</v>
      </c>
      <c r="F482" s="9">
        <f t="shared" si="23"/>
        <v>1.1800549708202815E-2</v>
      </c>
      <c r="G482" s="9">
        <f t="shared" si="21"/>
        <v>1.449937342889324E-2</v>
      </c>
    </row>
    <row r="483" spans="1:7" x14ac:dyDescent="0.2">
      <c r="A483" s="12">
        <v>37593</v>
      </c>
      <c r="D483" s="9">
        <v>203.47</v>
      </c>
      <c r="E483" s="9">
        <f t="shared" si="22"/>
        <v>-1.7876319292921234E-2</v>
      </c>
      <c r="F483" s="9">
        <f t="shared" si="23"/>
        <v>-1.162917434810219E-2</v>
      </c>
      <c r="G483" s="9">
        <f t="shared" si="21"/>
        <v>1.4838881120870829E-2</v>
      </c>
    </row>
    <row r="484" spans="1:7" x14ac:dyDescent="0.2">
      <c r="A484" s="12">
        <v>37594</v>
      </c>
      <c r="D484" s="9">
        <v>202.24</v>
      </c>
      <c r="E484" s="9">
        <f t="shared" si="22"/>
        <v>-6.063462909318881E-3</v>
      </c>
      <c r="F484" s="9">
        <f t="shared" si="23"/>
        <v>1.3841395984770653E-2</v>
      </c>
      <c r="G484" s="9">
        <f t="shared" si="21"/>
        <v>1.3678666382826679E-2</v>
      </c>
    </row>
    <row r="485" spans="1:7" x14ac:dyDescent="0.2">
      <c r="A485" s="12">
        <v>37595</v>
      </c>
      <c r="D485" s="9">
        <v>201.07</v>
      </c>
      <c r="E485" s="9">
        <f t="shared" si="22"/>
        <v>-5.8020048209367868E-3</v>
      </c>
      <c r="F485" s="9">
        <f t="shared" si="23"/>
        <v>1.0448788976342091E-2</v>
      </c>
      <c r="G485" s="9">
        <f t="shared" si="21"/>
        <v>1.3717188399727905E-2</v>
      </c>
    </row>
    <row r="486" spans="1:7" x14ac:dyDescent="0.2">
      <c r="A486" s="12">
        <v>37596</v>
      </c>
      <c r="D486" s="9">
        <v>198.17</v>
      </c>
      <c r="E486" s="9">
        <f t="shared" si="22"/>
        <v>-1.452785795843437E-2</v>
      </c>
      <c r="F486" s="9">
        <f t="shared" si="23"/>
        <v>-6.2879052215253188E-3</v>
      </c>
      <c r="G486" s="9">
        <f t="shared" si="21"/>
        <v>1.3976800339498946E-2</v>
      </c>
    </row>
    <row r="487" spans="1:7" x14ac:dyDescent="0.2">
      <c r="A487" s="12">
        <v>37599</v>
      </c>
      <c r="D487" s="9">
        <v>197.5</v>
      </c>
      <c r="E487" s="9">
        <f t="shared" si="22"/>
        <v>-3.3866638379449654E-3</v>
      </c>
      <c r="F487" s="9">
        <f t="shared" si="23"/>
        <v>-4.1166239058772702E-2</v>
      </c>
      <c r="G487" s="9">
        <f t="shared" ref="G487:G550" si="24">STDEV(E458:E487)</f>
        <v>1.2635132984544975E-2</v>
      </c>
    </row>
    <row r="488" spans="1:7" x14ac:dyDescent="0.2">
      <c r="A488" s="12">
        <v>37600</v>
      </c>
      <c r="D488" s="9">
        <v>198.36</v>
      </c>
      <c r="E488" s="9">
        <f t="shared" si="22"/>
        <v>4.3449772797566465E-3</v>
      </c>
      <c r="F488" s="9">
        <f t="shared" si="23"/>
        <v>7.2860067309333133E-3</v>
      </c>
      <c r="G488" s="9">
        <f t="shared" si="24"/>
        <v>9.7519189697805285E-3</v>
      </c>
    </row>
    <row r="489" spans="1:7" x14ac:dyDescent="0.2">
      <c r="A489" s="12">
        <v>37601</v>
      </c>
      <c r="D489" s="9">
        <v>201.01</v>
      </c>
      <c r="E489" s="9">
        <f t="shared" si="22"/>
        <v>1.3271096444371586E-2</v>
      </c>
      <c r="F489" s="9">
        <f t="shared" si="23"/>
        <v>-4.974753128911393E-5</v>
      </c>
      <c r="G489" s="9">
        <f t="shared" si="24"/>
        <v>9.3054432277892059E-3</v>
      </c>
    </row>
    <row r="490" spans="1:7" x14ac:dyDescent="0.2">
      <c r="A490" s="12">
        <v>37602</v>
      </c>
      <c r="D490" s="9">
        <v>202.43</v>
      </c>
      <c r="E490" s="9">
        <f t="shared" si="22"/>
        <v>7.0394897081813568E-3</v>
      </c>
      <c r="F490" s="9">
        <f t="shared" si="23"/>
        <v>1.0927441968927819E-2</v>
      </c>
      <c r="G490" s="9">
        <f t="shared" si="24"/>
        <v>9.3609895860914116E-3</v>
      </c>
    </row>
    <row r="491" spans="1:7" x14ac:dyDescent="0.2">
      <c r="A491" s="12">
        <v>37603</v>
      </c>
      <c r="D491" s="9">
        <v>200.53</v>
      </c>
      <c r="E491" s="9">
        <f t="shared" si="22"/>
        <v>-9.4302862845437267E-3</v>
      </c>
      <c r="F491" s="9">
        <f t="shared" si="23"/>
        <v>-3.4846709893346798E-3</v>
      </c>
      <c r="G491" s="9">
        <f t="shared" si="24"/>
        <v>9.4848388867137482E-3</v>
      </c>
    </row>
    <row r="492" spans="1:7" x14ac:dyDescent="0.2">
      <c r="A492" s="12">
        <v>37606</v>
      </c>
      <c r="D492" s="9">
        <v>202.97</v>
      </c>
      <c r="E492" s="9">
        <f t="shared" si="22"/>
        <v>1.20943233805929E-2</v>
      </c>
      <c r="F492" s="9">
        <f t="shared" si="23"/>
        <v>-9.4150648895726177E-3</v>
      </c>
      <c r="G492" s="9">
        <f t="shared" si="24"/>
        <v>9.1495903437886755E-3</v>
      </c>
    </row>
    <row r="493" spans="1:7" x14ac:dyDescent="0.2">
      <c r="A493" s="12">
        <v>37607</v>
      </c>
      <c r="D493" s="9">
        <v>207.76</v>
      </c>
      <c r="E493" s="9">
        <f t="shared" si="22"/>
        <v>2.3325382484957771E-2</v>
      </c>
      <c r="F493" s="9">
        <f t="shared" si="23"/>
        <v>1.1472956536935723E-2</v>
      </c>
      <c r="G493" s="9">
        <f t="shared" si="24"/>
        <v>1.0110484480748538E-2</v>
      </c>
    </row>
    <row r="494" spans="1:7" x14ac:dyDescent="0.2">
      <c r="A494" s="12">
        <v>37608</v>
      </c>
      <c r="D494" s="9">
        <v>204.57</v>
      </c>
      <c r="E494" s="9">
        <f t="shared" si="22"/>
        <v>-1.5473352153821732E-2</v>
      </c>
      <c r="F494" s="9">
        <f t="shared" si="23"/>
        <v>-6.771759977269508E-3</v>
      </c>
      <c r="G494" s="9">
        <f t="shared" si="24"/>
        <v>1.0502935927311954E-2</v>
      </c>
    </row>
    <row r="495" spans="1:7" x14ac:dyDescent="0.2">
      <c r="A495" s="12">
        <v>37609</v>
      </c>
      <c r="D495" s="9">
        <v>203.03</v>
      </c>
      <c r="E495" s="9">
        <f t="shared" si="22"/>
        <v>-7.556463826521251E-3</v>
      </c>
      <c r="F495" s="9">
        <f t="shared" si="23"/>
        <v>2.8608088959797616E-3</v>
      </c>
      <c r="G495" s="9">
        <f t="shared" si="24"/>
        <v>1.0106213998804753E-2</v>
      </c>
    </row>
    <row r="496" spans="1:7" x14ac:dyDescent="0.2">
      <c r="A496" s="12">
        <v>37610</v>
      </c>
      <c r="D496" s="9">
        <v>199.66</v>
      </c>
      <c r="E496" s="9">
        <f t="shared" si="22"/>
        <v>-1.6737831465870844E-2</v>
      </c>
      <c r="F496" s="9">
        <f t="shared" si="23"/>
        <v>-1.9934214900817253E-2</v>
      </c>
      <c r="G496" s="9">
        <f t="shared" si="24"/>
        <v>1.0492072125323059E-2</v>
      </c>
    </row>
    <row r="497" spans="1:7" x14ac:dyDescent="0.2">
      <c r="A497" s="12">
        <v>37613</v>
      </c>
      <c r="D497" s="9">
        <v>200.14</v>
      </c>
      <c r="E497" s="9">
        <f t="shared" si="22"/>
        <v>2.4012017540308442E-3</v>
      </c>
      <c r="F497" s="9">
        <f t="shared" si="23"/>
        <v>-1.8171065635978128E-2</v>
      </c>
      <c r="G497" s="9">
        <f t="shared" si="24"/>
        <v>1.050455059979051E-2</v>
      </c>
    </row>
    <row r="498" spans="1:7" x14ac:dyDescent="0.2">
      <c r="A498" s="12">
        <v>37617</v>
      </c>
      <c r="D498" s="9">
        <v>199.61</v>
      </c>
      <c r="E498" s="9">
        <f t="shared" si="22"/>
        <v>-2.6516588395186359E-3</v>
      </c>
      <c r="F498" s="9">
        <f t="shared" si="23"/>
        <v>-1.8464812099459015E-2</v>
      </c>
      <c r="G498" s="9">
        <f t="shared" si="24"/>
        <v>1.0506376943104433E-2</v>
      </c>
    </row>
    <row r="499" spans="1:7" x14ac:dyDescent="0.2">
      <c r="A499" s="12">
        <v>37620</v>
      </c>
      <c r="D499" s="9">
        <v>199.49</v>
      </c>
      <c r="E499" s="9">
        <f t="shared" si="22"/>
        <v>-6.013530624719046E-4</v>
      </c>
      <c r="F499" s="9">
        <f t="shared" si="23"/>
        <v>-1.2850062265085289E-2</v>
      </c>
      <c r="G499" s="9">
        <f t="shared" si="24"/>
        <v>1.0453043225334437E-2</v>
      </c>
    </row>
    <row r="500" spans="1:7" x14ac:dyDescent="0.2">
      <c r="A500" s="12">
        <v>37623</v>
      </c>
      <c r="D500" s="9">
        <v>204.51</v>
      </c>
      <c r="E500" s="9">
        <f t="shared" si="22"/>
        <v>2.4852764282484004E-2</v>
      </c>
      <c r="F500" s="9">
        <f t="shared" si="23"/>
        <v>5.8849662266721777E-3</v>
      </c>
      <c r="G500" s="9">
        <f t="shared" si="24"/>
        <v>1.13764732699839E-2</v>
      </c>
    </row>
    <row r="501" spans="1:7" x14ac:dyDescent="0.2">
      <c r="A501" s="12">
        <v>37624</v>
      </c>
      <c r="D501" s="9">
        <v>206.63</v>
      </c>
      <c r="E501" s="9">
        <f t="shared" si="22"/>
        <v>1.0312880232709752E-2</v>
      </c>
      <c r="F501" s="9">
        <f t="shared" si="23"/>
        <v>2.4247471395848826E-2</v>
      </c>
      <c r="G501" s="9">
        <f t="shared" si="24"/>
        <v>1.1411451669326805E-2</v>
      </c>
    </row>
    <row r="502" spans="1:7" x14ac:dyDescent="0.2">
      <c r="A502" s="12">
        <v>37627</v>
      </c>
      <c r="D502" s="9">
        <v>208.36</v>
      </c>
      <c r="E502" s="9">
        <f t="shared" si="22"/>
        <v>8.3375986014776384E-3</v>
      </c>
      <c r="F502" s="9">
        <f t="shared" si="23"/>
        <v>1.7379954816521988E-2</v>
      </c>
      <c r="G502" s="9">
        <f t="shared" si="24"/>
        <v>1.1179206227255139E-2</v>
      </c>
    </row>
    <row r="503" spans="1:7" x14ac:dyDescent="0.2">
      <c r="A503" s="12">
        <v>37628</v>
      </c>
      <c r="D503" s="9">
        <v>205.67</v>
      </c>
      <c r="E503" s="9">
        <f t="shared" si="22"/>
        <v>-1.2994410315622646E-2</v>
      </c>
      <c r="F503" s="9">
        <f t="shared" si="23"/>
        <v>9.6246193286080653E-3</v>
      </c>
      <c r="G503" s="9">
        <f t="shared" si="24"/>
        <v>1.1405764850739722E-2</v>
      </c>
    </row>
    <row r="504" spans="1:7" x14ac:dyDescent="0.2">
      <c r="A504" s="12">
        <v>37629</v>
      </c>
      <c r="D504" s="9">
        <v>204.02</v>
      </c>
      <c r="E504" s="9">
        <f t="shared" si="22"/>
        <v>-8.0549143069952693E-3</v>
      </c>
      <c r="F504" s="9">
        <f t="shared" si="23"/>
        <v>8.5157168397726885E-3</v>
      </c>
      <c r="G504" s="9">
        <f t="shared" si="24"/>
        <v>1.1431893945408949E-2</v>
      </c>
    </row>
    <row r="505" spans="1:7" x14ac:dyDescent="0.2">
      <c r="A505" s="12">
        <v>37630</v>
      </c>
      <c r="D505" s="9">
        <v>205.46</v>
      </c>
      <c r="E505" s="9">
        <f t="shared" si="22"/>
        <v>7.0333395337448196E-3</v>
      </c>
      <c r="F505" s="9">
        <f t="shared" si="23"/>
        <v>-2.4332676471117861E-4</v>
      </c>
      <c r="G505" s="9">
        <f t="shared" si="24"/>
        <v>1.1130017737360691E-2</v>
      </c>
    </row>
    <row r="506" spans="1:7" x14ac:dyDescent="0.2">
      <c r="A506" s="12">
        <v>37631</v>
      </c>
      <c r="D506" s="9">
        <v>206.17</v>
      </c>
      <c r="E506" s="9">
        <f t="shared" si="22"/>
        <v>3.4497033943589367E-3</v>
      </c>
      <c r="F506" s="9">
        <f t="shared" si="23"/>
        <v>-6.6712033165710668E-3</v>
      </c>
      <c r="G506" s="9">
        <f t="shared" si="24"/>
        <v>1.0994189520615016E-2</v>
      </c>
    </row>
    <row r="507" spans="1:7" x14ac:dyDescent="0.2">
      <c r="A507" s="12">
        <v>37634</v>
      </c>
      <c r="D507" s="9">
        <v>206.11</v>
      </c>
      <c r="E507" s="9">
        <f t="shared" si="22"/>
        <v>-2.9106432727065134E-4</v>
      </c>
      <c r="F507" s="9">
        <f t="shared" si="23"/>
        <v>-1.0137178911896846E-2</v>
      </c>
      <c r="G507" s="9">
        <f t="shared" si="24"/>
        <v>1.0975453231345403E-2</v>
      </c>
    </row>
    <row r="508" spans="1:7" x14ac:dyDescent="0.2">
      <c r="A508" s="12">
        <v>37635</v>
      </c>
      <c r="D508" s="9">
        <v>204.62</v>
      </c>
      <c r="E508" s="9">
        <f t="shared" si="22"/>
        <v>-7.2554064044121607E-3</v>
      </c>
      <c r="F508" s="9">
        <f t="shared" si="23"/>
        <v>-1.3108892870711857E-2</v>
      </c>
      <c r="G508" s="9">
        <f t="shared" si="24"/>
        <v>1.1025589119133416E-2</v>
      </c>
    </row>
    <row r="509" spans="1:7" x14ac:dyDescent="0.2">
      <c r="A509" s="12">
        <v>37636</v>
      </c>
      <c r="D509" s="9">
        <v>202.21</v>
      </c>
      <c r="E509" s="9">
        <f t="shared" si="22"/>
        <v>-1.1847839103155582E-2</v>
      </c>
      <c r="F509" s="9">
        <f t="shared" si="23"/>
        <v>-2.3412031917730801E-2</v>
      </c>
      <c r="G509" s="9">
        <f t="shared" si="24"/>
        <v>1.1220036523755949E-2</v>
      </c>
    </row>
    <row r="510" spans="1:7" x14ac:dyDescent="0.2">
      <c r="A510" s="12">
        <v>37637</v>
      </c>
      <c r="D510" s="9">
        <v>203.54</v>
      </c>
      <c r="E510" s="9">
        <f t="shared" si="22"/>
        <v>6.5557844161472202E-3</v>
      </c>
      <c r="F510" s="9">
        <f t="shared" si="23"/>
        <v>-1.3856583923782842E-2</v>
      </c>
      <c r="G510" s="9">
        <f t="shared" si="24"/>
        <v>1.1290273975252708E-2</v>
      </c>
    </row>
    <row r="511" spans="1:7" x14ac:dyDescent="0.2">
      <c r="A511" s="12">
        <v>37638</v>
      </c>
      <c r="D511" s="9">
        <v>201.52</v>
      </c>
      <c r="E511" s="9">
        <f t="shared" si="22"/>
        <v>-9.9739137194306601E-3</v>
      </c>
      <c r="F511" s="9">
        <f t="shared" si="23"/>
        <v>-3.419428373614939E-2</v>
      </c>
      <c r="G511" s="9">
        <f t="shared" si="24"/>
        <v>1.1228250079032113E-2</v>
      </c>
    </row>
    <row r="512" spans="1:7" x14ac:dyDescent="0.2">
      <c r="A512" s="12">
        <v>37641</v>
      </c>
      <c r="D512" s="9">
        <v>201.32</v>
      </c>
      <c r="E512" s="9">
        <f t="shared" si="22"/>
        <v>-9.9295013619562686E-4</v>
      </c>
      <c r="F512" s="9">
        <f t="shared" si="23"/>
        <v>-2.8499211252573538E-2</v>
      </c>
      <c r="G512" s="9">
        <f t="shared" si="24"/>
        <v>1.1179248271098077E-2</v>
      </c>
    </row>
    <row r="513" spans="1:7" x14ac:dyDescent="0.2">
      <c r="A513" s="12">
        <v>37642</v>
      </c>
      <c r="D513" s="9">
        <v>201.52</v>
      </c>
      <c r="E513" s="9">
        <f t="shared" si="22"/>
        <v>9.9295013619569213E-4</v>
      </c>
      <c r="F513" s="9">
        <f t="shared" si="23"/>
        <v>-9.6299418234567519E-3</v>
      </c>
      <c r="G513" s="9">
        <f t="shared" si="24"/>
        <v>1.0715276932651504E-2</v>
      </c>
    </row>
    <row r="514" spans="1:7" x14ac:dyDescent="0.2">
      <c r="A514" s="12">
        <v>37643</v>
      </c>
      <c r="D514" s="9">
        <v>198.75</v>
      </c>
      <c r="E514" s="9">
        <f t="shared" si="22"/>
        <v>-1.3840878509913569E-2</v>
      </c>
      <c r="F514" s="9">
        <f t="shared" si="23"/>
        <v>-1.7407357424051351E-2</v>
      </c>
      <c r="G514" s="9">
        <f t="shared" si="24"/>
        <v>1.0950504041724594E-2</v>
      </c>
    </row>
    <row r="515" spans="1:7" x14ac:dyDescent="0.2">
      <c r="A515" s="12">
        <v>37644</v>
      </c>
      <c r="D515" s="9">
        <v>194.77</v>
      </c>
      <c r="E515" s="9">
        <f t="shared" si="22"/>
        <v>-2.0228378292632816E-2</v>
      </c>
      <c r="F515" s="9">
        <f t="shared" si="23"/>
        <v>-3.18337308957473E-2</v>
      </c>
      <c r="G515" s="9">
        <f t="shared" si="24"/>
        <v>1.1491132475726492E-2</v>
      </c>
    </row>
    <row r="516" spans="1:7" x14ac:dyDescent="0.2">
      <c r="A516" s="12">
        <v>37645</v>
      </c>
      <c r="D516" s="9">
        <v>193.73</v>
      </c>
      <c r="E516" s="9">
        <f t="shared" ref="E516:E579" si="25">LN(D516/D515)</f>
        <v>-5.35393814295406E-3</v>
      </c>
      <c r="F516" s="9">
        <f t="shared" si="23"/>
        <v>-2.2659811080267E-2</v>
      </c>
      <c r="G516" s="9">
        <f t="shared" si="24"/>
        <v>1.1239719621501949E-2</v>
      </c>
    </row>
    <row r="517" spans="1:7" x14ac:dyDescent="0.2">
      <c r="A517" s="12">
        <v>37648</v>
      </c>
      <c r="D517" s="9">
        <v>188.93</v>
      </c>
      <c r="E517" s="9">
        <f t="shared" si="25"/>
        <v>-2.5088861013627815E-2</v>
      </c>
      <c r="F517" s="9">
        <f t="shared" si="23"/>
        <v>-4.4362008255949943E-2</v>
      </c>
      <c r="G517" s="9">
        <f t="shared" si="24"/>
        <v>1.2081768893566438E-2</v>
      </c>
    </row>
    <row r="518" spans="1:7" x14ac:dyDescent="0.2">
      <c r="A518" s="12">
        <v>37649</v>
      </c>
      <c r="D518" s="9">
        <v>186.65</v>
      </c>
      <c r="E518" s="9">
        <f t="shared" si="25"/>
        <v>-1.2141370724633803E-2</v>
      </c>
      <c r="F518" s="9">
        <f t="shared" si="23"/>
        <v>-6.0848356260340367E-2</v>
      </c>
      <c r="G518" s="9">
        <f t="shared" si="24"/>
        <v>1.2182267046069612E-2</v>
      </c>
    </row>
    <row r="519" spans="1:7" x14ac:dyDescent="0.2">
      <c r="A519" s="12">
        <v>37650</v>
      </c>
      <c r="D519" s="9">
        <v>185.67</v>
      </c>
      <c r="E519" s="9">
        <f t="shared" si="25"/>
        <v>-5.2643009412131278E-3</v>
      </c>
      <c r="F519" s="9">
        <f t="shared" si="23"/>
        <v>-7.9383753645924912E-2</v>
      </c>
      <c r="G519" s="9">
        <f t="shared" si="24"/>
        <v>1.1844932300923422E-2</v>
      </c>
    </row>
    <row r="520" spans="1:7" x14ac:dyDescent="0.2">
      <c r="A520" s="12">
        <v>37651</v>
      </c>
      <c r="D520" s="9">
        <v>187.91</v>
      </c>
      <c r="E520" s="9">
        <f t="shared" si="25"/>
        <v>1.1992220381681382E-2</v>
      </c>
      <c r="F520" s="9">
        <f t="shared" si="23"/>
        <v>-7.4431022972424737E-2</v>
      </c>
      <c r="G520" s="9">
        <f t="shared" si="24"/>
        <v>1.2017835292283768E-2</v>
      </c>
    </row>
    <row r="521" spans="1:7" x14ac:dyDescent="0.2">
      <c r="A521" s="12">
        <v>37652</v>
      </c>
      <c r="D521" s="9">
        <v>186.82</v>
      </c>
      <c r="E521" s="9">
        <f t="shared" si="25"/>
        <v>-5.8175383563586012E-3</v>
      </c>
      <c r="F521" s="9">
        <f t="shared" si="23"/>
        <v>-7.0818275044239543E-2</v>
      </c>
      <c r="G521" s="9">
        <f t="shared" si="24"/>
        <v>1.196377820334088E-2</v>
      </c>
    </row>
    <row r="522" spans="1:7" x14ac:dyDescent="0.2">
      <c r="A522" s="12">
        <v>37655</v>
      </c>
      <c r="D522" s="9">
        <v>187.31</v>
      </c>
      <c r="E522" s="9">
        <f t="shared" si="25"/>
        <v>2.6194118630982859E-3</v>
      </c>
      <c r="F522" s="9">
        <f t="shared" si="23"/>
        <v>-8.02931865617343E-2</v>
      </c>
      <c r="G522" s="9">
        <f t="shared" si="24"/>
        <v>1.1690979056379303E-2</v>
      </c>
    </row>
    <row r="523" spans="1:7" x14ac:dyDescent="0.2">
      <c r="A523" s="12">
        <v>37656</v>
      </c>
      <c r="D523" s="9">
        <v>181.29</v>
      </c>
      <c r="E523" s="9">
        <f t="shared" si="25"/>
        <v>-3.2667039266224142E-2</v>
      </c>
      <c r="F523" s="9">
        <f t="shared" si="23"/>
        <v>-0.13628560831291617</v>
      </c>
      <c r="G523" s="9">
        <f t="shared" si="24"/>
        <v>1.1864939697096372E-2</v>
      </c>
    </row>
    <row r="524" spans="1:7" x14ac:dyDescent="0.2">
      <c r="A524" s="12">
        <v>37657</v>
      </c>
      <c r="D524" s="9">
        <v>182.67</v>
      </c>
      <c r="E524" s="9">
        <f t="shared" si="25"/>
        <v>7.5832872470154387E-3</v>
      </c>
      <c r="F524" s="9">
        <f t="shared" si="23"/>
        <v>-0.11322896891207887</v>
      </c>
      <c r="G524" s="9">
        <f t="shared" si="24"/>
        <v>1.1879240415742275E-2</v>
      </c>
    </row>
    <row r="525" spans="1:7" x14ac:dyDescent="0.2">
      <c r="A525" s="12">
        <v>37658</v>
      </c>
      <c r="D525" s="9">
        <v>186.37</v>
      </c>
      <c r="E525" s="9">
        <f t="shared" si="25"/>
        <v>2.0052698803981396E-2</v>
      </c>
      <c r="F525" s="9">
        <f t="shared" si="23"/>
        <v>-8.56198062815762E-2</v>
      </c>
      <c r="G525" s="9">
        <f t="shared" si="24"/>
        <v>1.262234802782429E-2</v>
      </c>
    </row>
    <row r="526" spans="1:7" x14ac:dyDescent="0.2">
      <c r="A526" s="12">
        <v>37659</v>
      </c>
      <c r="D526" s="9">
        <v>184.85</v>
      </c>
      <c r="E526" s="9">
        <f t="shared" si="25"/>
        <v>-8.1892597099328616E-3</v>
      </c>
      <c r="F526" s="9">
        <f t="shared" si="23"/>
        <v>-7.7071234525638271E-2</v>
      </c>
      <c r="G526" s="9">
        <f t="shared" si="24"/>
        <v>1.2392509689825104E-2</v>
      </c>
    </row>
    <row r="527" spans="1:7" x14ac:dyDescent="0.2">
      <c r="A527" s="12">
        <v>37662</v>
      </c>
      <c r="D527" s="9">
        <v>182.1</v>
      </c>
      <c r="E527" s="9">
        <f t="shared" si="25"/>
        <v>-1.4988698649078688E-2</v>
      </c>
      <c r="F527" s="9">
        <f t="shared" si="23"/>
        <v>-9.4461134928747678E-2</v>
      </c>
      <c r="G527" s="9">
        <f t="shared" si="24"/>
        <v>1.2557617396915081E-2</v>
      </c>
    </row>
    <row r="528" spans="1:7" x14ac:dyDescent="0.2">
      <c r="A528" s="12">
        <v>37663</v>
      </c>
      <c r="D528" s="9">
        <v>182.64</v>
      </c>
      <c r="E528" s="9">
        <f t="shared" si="25"/>
        <v>2.9610154879778565E-3</v>
      </c>
      <c r="F528" s="9">
        <f t="shared" si="23"/>
        <v>-8.8848460601251303E-2</v>
      </c>
      <c r="G528" s="9">
        <f t="shared" si="24"/>
        <v>1.2606990998991832E-2</v>
      </c>
    </row>
    <row r="529" spans="1:7" x14ac:dyDescent="0.2">
      <c r="A529" s="12">
        <v>37664</v>
      </c>
      <c r="B529" s="9">
        <v>182.86</v>
      </c>
      <c r="C529" s="9">
        <v>179.65</v>
      </c>
      <c r="D529" s="9">
        <v>181.34</v>
      </c>
      <c r="E529" s="9">
        <f t="shared" si="25"/>
        <v>-7.1432800036299957E-3</v>
      </c>
      <c r="F529" s="9">
        <f t="shared" si="23"/>
        <v>-9.5390387542409402E-2</v>
      </c>
      <c r="G529" s="9">
        <f t="shared" si="24"/>
        <v>1.2621327544124759E-2</v>
      </c>
    </row>
    <row r="530" spans="1:7" x14ac:dyDescent="0.2">
      <c r="A530" s="12">
        <v>37665</v>
      </c>
      <c r="B530" s="9">
        <v>183.98</v>
      </c>
      <c r="C530" s="9">
        <v>179.41</v>
      </c>
      <c r="D530" s="9">
        <v>180.7</v>
      </c>
      <c r="E530" s="9">
        <f t="shared" si="25"/>
        <v>-3.5355246197272794E-3</v>
      </c>
      <c r="F530" s="9">
        <f t="shared" si="23"/>
        <v>-0.12377867644462076</v>
      </c>
      <c r="G530" s="9">
        <f t="shared" si="24"/>
        <v>1.1457695670013401E-2</v>
      </c>
    </row>
    <row r="531" spans="1:7" x14ac:dyDescent="0.2">
      <c r="A531" s="12">
        <v>37666</v>
      </c>
      <c r="B531" s="9">
        <v>184.31</v>
      </c>
      <c r="C531" s="9">
        <v>180.36</v>
      </c>
      <c r="D531" s="9">
        <v>184.31</v>
      </c>
      <c r="E531" s="9">
        <f t="shared" si="25"/>
        <v>1.9780924965348706E-2</v>
      </c>
      <c r="F531" s="9">
        <f t="shared" si="23"/>
        <v>-0.11431063171198186</v>
      </c>
      <c r="G531" s="9">
        <f t="shared" si="24"/>
        <v>1.1987286003827983E-2</v>
      </c>
    </row>
    <row r="532" spans="1:7" x14ac:dyDescent="0.2">
      <c r="A532" s="12">
        <v>37669</v>
      </c>
      <c r="B532" s="9">
        <v>185.92</v>
      </c>
      <c r="C532" s="9">
        <v>184.26</v>
      </c>
      <c r="D532" s="9">
        <v>185.12</v>
      </c>
      <c r="E532" s="9">
        <f t="shared" si="25"/>
        <v>4.38514088183502E-3</v>
      </c>
      <c r="F532" s="9">
        <f t="shared" si="23"/>
        <v>-0.11826308943162436</v>
      </c>
      <c r="G532" s="9">
        <f t="shared" si="24"/>
        <v>1.1870317075217369E-2</v>
      </c>
    </row>
    <row r="533" spans="1:7" x14ac:dyDescent="0.2">
      <c r="A533" s="12">
        <v>37670</v>
      </c>
      <c r="B533" s="9">
        <v>186.6</v>
      </c>
      <c r="C533" s="9">
        <v>184.96</v>
      </c>
      <c r="D533" s="9">
        <v>186.12</v>
      </c>
      <c r="E533" s="9">
        <f t="shared" si="25"/>
        <v>5.387363531081304E-3</v>
      </c>
      <c r="F533" s="9">
        <f t="shared" si="23"/>
        <v>-9.9881315584920388E-2</v>
      </c>
      <c r="G533" s="9">
        <f t="shared" si="24"/>
        <v>1.1861354354910068E-2</v>
      </c>
    </row>
    <row r="534" spans="1:7" x14ac:dyDescent="0.2">
      <c r="A534" s="12">
        <v>37671</v>
      </c>
      <c r="B534" s="9">
        <v>186.94</v>
      </c>
      <c r="C534" s="9">
        <v>185.25</v>
      </c>
      <c r="D534" s="9">
        <v>185.87</v>
      </c>
      <c r="E534" s="9">
        <f t="shared" si="25"/>
        <v>-1.3441223561862085E-3</v>
      </c>
      <c r="F534" s="9">
        <f t="shared" si="23"/>
        <v>-9.3170523634111296E-2</v>
      </c>
      <c r="G534" s="9">
        <f t="shared" si="24"/>
        <v>1.1832406501505089E-2</v>
      </c>
    </row>
    <row r="535" spans="1:7" x14ac:dyDescent="0.2">
      <c r="A535" s="12">
        <v>37672</v>
      </c>
      <c r="B535" s="9">
        <v>186.14</v>
      </c>
      <c r="C535" s="9">
        <v>179.92</v>
      </c>
      <c r="D535" s="9">
        <v>180.19</v>
      </c>
      <c r="E535" s="9">
        <f t="shared" si="25"/>
        <v>-3.1035654881538696E-2</v>
      </c>
      <c r="F535" s="9">
        <f t="shared" si="23"/>
        <v>-0.13123951804939485</v>
      </c>
      <c r="G535" s="9">
        <f t="shared" si="24"/>
        <v>1.2715920855683075E-2</v>
      </c>
    </row>
    <row r="536" spans="1:7" x14ac:dyDescent="0.2">
      <c r="A536" s="12">
        <v>37673</v>
      </c>
      <c r="B536" s="9">
        <v>180.19</v>
      </c>
      <c r="C536" s="9">
        <v>176.59</v>
      </c>
      <c r="D536" s="9">
        <v>178.09</v>
      </c>
      <c r="E536" s="9">
        <f t="shared" si="25"/>
        <v>-1.1722809250808533E-2</v>
      </c>
      <c r="F536" s="9">
        <f t="shared" si="23"/>
        <v>-0.14641203069456235</v>
      </c>
      <c r="G536" s="9">
        <f t="shared" si="24"/>
        <v>1.2695703954956077E-2</v>
      </c>
    </row>
    <row r="537" spans="1:7" x14ac:dyDescent="0.2">
      <c r="A537" s="12">
        <v>37676</v>
      </c>
      <c r="B537" s="9">
        <v>181.02</v>
      </c>
      <c r="C537" s="9">
        <v>177.46</v>
      </c>
      <c r="D537" s="9">
        <v>180.69</v>
      </c>
      <c r="E537" s="9">
        <f t="shared" si="25"/>
        <v>1.4493815235825089E-2</v>
      </c>
      <c r="F537" s="9">
        <f t="shared" si="23"/>
        <v>-0.13162715113146667</v>
      </c>
      <c r="G537" s="9">
        <f t="shared" si="24"/>
        <v>1.3158526658253417E-2</v>
      </c>
    </row>
    <row r="538" spans="1:7" x14ac:dyDescent="0.2">
      <c r="A538" s="12">
        <v>37677</v>
      </c>
      <c r="B538" s="9">
        <v>180.69</v>
      </c>
      <c r="C538" s="9">
        <v>176.32</v>
      </c>
      <c r="D538" s="9">
        <v>178.5</v>
      </c>
      <c r="E538" s="9">
        <f t="shared" si="25"/>
        <v>-1.2194254504045578E-2</v>
      </c>
      <c r="F538" s="9">
        <f t="shared" si="23"/>
        <v>-0.13656599923110022</v>
      </c>
      <c r="G538" s="9">
        <f t="shared" si="24"/>
        <v>1.3226364263264827E-2</v>
      </c>
    </row>
    <row r="539" spans="1:7" x14ac:dyDescent="0.2">
      <c r="A539" s="12">
        <v>37678</v>
      </c>
      <c r="B539" s="9">
        <v>179.93</v>
      </c>
      <c r="C539" s="9">
        <v>174.24</v>
      </c>
      <c r="D539" s="9">
        <v>175.4</v>
      </c>
      <c r="E539" s="9">
        <f t="shared" si="25"/>
        <v>-1.751952128161104E-2</v>
      </c>
      <c r="F539" s="9">
        <f t="shared" si="23"/>
        <v>-0.14223768140955559</v>
      </c>
      <c r="G539" s="9">
        <f t="shared" si="24"/>
        <v>1.3373954928868118E-2</v>
      </c>
    </row>
    <row r="540" spans="1:7" x14ac:dyDescent="0.2">
      <c r="A540" s="12">
        <v>37679</v>
      </c>
      <c r="B540" s="9">
        <v>176.62</v>
      </c>
      <c r="C540" s="9">
        <v>172.9</v>
      </c>
      <c r="D540" s="9">
        <v>176.6</v>
      </c>
      <c r="E540" s="9">
        <f t="shared" si="25"/>
        <v>6.818208231776925E-3</v>
      </c>
      <c r="F540" s="9">
        <f t="shared" si="23"/>
        <v>-0.14197525759392587</v>
      </c>
      <c r="G540" s="9">
        <f t="shared" si="24"/>
        <v>1.3381682331207062E-2</v>
      </c>
    </row>
    <row r="541" spans="1:7" x14ac:dyDescent="0.2">
      <c r="A541" s="12">
        <v>37680</v>
      </c>
      <c r="B541" s="9">
        <v>178.59</v>
      </c>
      <c r="C541" s="9">
        <v>175.11</v>
      </c>
      <c r="D541" s="9">
        <v>178.03</v>
      </c>
      <c r="E541" s="9">
        <f t="shared" si="25"/>
        <v>8.0647872469117136E-3</v>
      </c>
      <c r="F541" s="9">
        <f t="shared" si="23"/>
        <v>-0.12393655662758346</v>
      </c>
      <c r="G541" s="9">
        <f t="shared" si="24"/>
        <v>1.3542353995165391E-2</v>
      </c>
    </row>
    <row r="542" spans="1:7" x14ac:dyDescent="0.2">
      <c r="A542" s="12">
        <v>37683</v>
      </c>
      <c r="B542" s="9">
        <v>181.05</v>
      </c>
      <c r="C542" s="9">
        <v>178.03</v>
      </c>
      <c r="D542" s="9">
        <v>178.36</v>
      </c>
      <c r="E542" s="9">
        <f t="shared" si="25"/>
        <v>1.851904342504658E-3</v>
      </c>
      <c r="F542" s="9">
        <f t="shared" si="23"/>
        <v>-0.12109170214888326</v>
      </c>
      <c r="G542" s="9">
        <f t="shared" si="24"/>
        <v>1.35750080432836E-2</v>
      </c>
    </row>
    <row r="543" spans="1:7" x14ac:dyDescent="0.2">
      <c r="A543" s="12">
        <v>37684</v>
      </c>
      <c r="B543" s="9">
        <v>178.42</v>
      </c>
      <c r="C543" s="9">
        <v>173.49</v>
      </c>
      <c r="D543" s="9">
        <v>175.4</v>
      </c>
      <c r="E543" s="9">
        <f t="shared" si="25"/>
        <v>-1.673489982119325E-2</v>
      </c>
      <c r="F543" s="9">
        <f t="shared" si="23"/>
        <v>-0.13881955210627206</v>
      </c>
      <c r="G543" s="9">
        <f t="shared" si="24"/>
        <v>1.3733455822478657E-2</v>
      </c>
    </row>
    <row r="544" spans="1:7" x14ac:dyDescent="0.2">
      <c r="A544" s="12">
        <v>37685</v>
      </c>
      <c r="B544" s="9">
        <v>176.39</v>
      </c>
      <c r="C544" s="9">
        <v>173.54</v>
      </c>
      <c r="D544" s="9">
        <v>175.81</v>
      </c>
      <c r="E544" s="9">
        <f t="shared" si="25"/>
        <v>2.3347865166155361E-3</v>
      </c>
      <c r="F544" s="9">
        <f t="shared" si="23"/>
        <v>-0.12264388707974307</v>
      </c>
      <c r="G544" s="9">
        <f t="shared" si="24"/>
        <v>1.3676667688928999E-2</v>
      </c>
    </row>
    <row r="545" spans="1:7" x14ac:dyDescent="0.2">
      <c r="A545" s="12">
        <v>37686</v>
      </c>
      <c r="B545" s="9">
        <v>176.56</v>
      </c>
      <c r="C545" s="9">
        <v>171.64</v>
      </c>
      <c r="D545" s="9">
        <v>173.2</v>
      </c>
      <c r="E545" s="9">
        <f t="shared" si="25"/>
        <v>-1.4956870326363579E-2</v>
      </c>
      <c r="F545" s="9">
        <f t="shared" ref="F545:F608" si="26">LN(D545/D515)</f>
        <v>-0.11737237911347372</v>
      </c>
      <c r="G545" s="9">
        <f t="shared" si="24"/>
        <v>1.3494803005696318E-2</v>
      </c>
    </row>
    <row r="546" spans="1:7" x14ac:dyDescent="0.2">
      <c r="A546" s="12">
        <v>37687</v>
      </c>
      <c r="B546" s="9">
        <v>173.9</v>
      </c>
      <c r="C546" s="9">
        <v>170.45</v>
      </c>
      <c r="D546" s="9">
        <v>173.78</v>
      </c>
      <c r="E546" s="9">
        <f t="shared" si="25"/>
        <v>3.3431352827252955E-3</v>
      </c>
      <c r="F546" s="9">
        <f t="shared" si="26"/>
        <v>-0.10867530568779457</v>
      </c>
      <c r="G546" s="9">
        <f t="shared" si="24"/>
        <v>1.3556046129990779E-2</v>
      </c>
    </row>
    <row r="547" spans="1:7" x14ac:dyDescent="0.2">
      <c r="A547" s="12">
        <v>37690</v>
      </c>
      <c r="B547" s="9">
        <v>175.06</v>
      </c>
      <c r="C547" s="9">
        <v>169.52</v>
      </c>
      <c r="D547" s="9">
        <v>170.19</v>
      </c>
      <c r="E547" s="9">
        <f t="shared" si="25"/>
        <v>-2.0874671404474431E-2</v>
      </c>
      <c r="F547" s="9">
        <f t="shared" si="26"/>
        <v>-0.10446111607864109</v>
      </c>
      <c r="G547" s="9">
        <f t="shared" si="24"/>
        <v>1.3346142517411045E-2</v>
      </c>
    </row>
    <row r="548" spans="1:7" x14ac:dyDescent="0.2">
      <c r="A548" s="12">
        <v>37691</v>
      </c>
      <c r="B548" s="9">
        <v>171.91</v>
      </c>
      <c r="C548" s="9">
        <v>169.48</v>
      </c>
      <c r="D548" s="9">
        <v>169.77</v>
      </c>
      <c r="E548" s="9">
        <f t="shared" si="25"/>
        <v>-2.4708801840433239E-3</v>
      </c>
      <c r="F548" s="9">
        <f t="shared" si="26"/>
        <v>-9.4790625538050635E-2</v>
      </c>
      <c r="G548" s="9">
        <f t="shared" si="24"/>
        <v>1.3246192926909886E-2</v>
      </c>
    </row>
    <row r="549" spans="1:7" x14ac:dyDescent="0.2">
      <c r="A549" s="12">
        <v>37692</v>
      </c>
      <c r="B549" s="9">
        <v>170.65</v>
      </c>
      <c r="C549" s="9">
        <v>166.75</v>
      </c>
      <c r="D549" s="9">
        <v>169.04</v>
      </c>
      <c r="E549" s="9">
        <f t="shared" si="25"/>
        <v>-4.3092065147409889E-3</v>
      </c>
      <c r="F549" s="9">
        <f t="shared" si="26"/>
        <v>-9.3835531111578538E-2</v>
      </c>
      <c r="G549" s="9">
        <f t="shared" si="24"/>
        <v>1.3242107309727391E-2</v>
      </c>
    </row>
    <row r="550" spans="1:7" x14ac:dyDescent="0.2">
      <c r="A550" s="12">
        <v>37693</v>
      </c>
      <c r="B550" s="9">
        <v>172.8</v>
      </c>
      <c r="C550" s="9">
        <v>168.39</v>
      </c>
      <c r="D550" s="9">
        <v>172.75</v>
      </c>
      <c r="E550" s="9">
        <f t="shared" si="25"/>
        <v>2.17100893399781E-2</v>
      </c>
      <c r="F550" s="9">
        <f t="shared" si="26"/>
        <v>-8.4117662153281883E-2</v>
      </c>
      <c r="G550" s="9">
        <f t="shared" si="24"/>
        <v>1.3734436454924852E-2</v>
      </c>
    </row>
    <row r="551" spans="1:7" x14ac:dyDescent="0.2">
      <c r="A551" s="12">
        <v>37694</v>
      </c>
      <c r="B551" s="9">
        <v>179.48</v>
      </c>
      <c r="C551" s="9">
        <v>172.75</v>
      </c>
      <c r="D551" s="9">
        <v>179.16</v>
      </c>
      <c r="E551" s="9">
        <f t="shared" si="25"/>
        <v>3.6433798691319998E-2</v>
      </c>
      <c r="F551" s="9">
        <f t="shared" si="26"/>
        <v>-4.1866325105603279E-2</v>
      </c>
      <c r="G551" s="9">
        <f t="shared" ref="G551:G614" si="27">STDEV(E522:E551)</f>
        <v>1.5471239831130202E-2</v>
      </c>
    </row>
    <row r="552" spans="1:7" x14ac:dyDescent="0.2">
      <c r="A552" s="12">
        <v>37697</v>
      </c>
      <c r="B552" s="9">
        <v>182.15</v>
      </c>
      <c r="C552" s="9">
        <v>175.13</v>
      </c>
      <c r="D552" s="9">
        <v>181.06</v>
      </c>
      <c r="E552" s="9">
        <f t="shared" si="25"/>
        <v>1.0549206708194965E-2</v>
      </c>
      <c r="F552" s="9">
        <f t="shared" si="26"/>
        <v>-3.3936530260506637E-2</v>
      </c>
      <c r="G552" s="9">
        <f t="shared" si="27"/>
        <v>1.560932495633272E-2</v>
      </c>
    </row>
    <row r="553" spans="1:7" x14ac:dyDescent="0.2">
      <c r="A553" s="12">
        <v>37698</v>
      </c>
      <c r="B553" s="9">
        <v>187.32</v>
      </c>
      <c r="C553" s="9">
        <v>181.06</v>
      </c>
      <c r="D553" s="9">
        <v>185.06</v>
      </c>
      <c r="E553" s="9">
        <f t="shared" si="25"/>
        <v>2.1851628773589996E-2</v>
      </c>
      <c r="F553" s="9">
        <f t="shared" si="26"/>
        <v>2.0582137779307452E-2</v>
      </c>
      <c r="G553" s="9">
        <f t="shared" si="27"/>
        <v>1.4971820378000596E-2</v>
      </c>
    </row>
    <row r="554" spans="1:7" x14ac:dyDescent="0.2">
      <c r="A554" s="12">
        <v>37699</v>
      </c>
      <c r="B554" s="9">
        <v>188.82</v>
      </c>
      <c r="C554" s="9">
        <v>183.3</v>
      </c>
      <c r="D554" s="9">
        <v>188.1</v>
      </c>
      <c r="E554" s="9">
        <f t="shared" si="25"/>
        <v>1.6293639486100533E-2</v>
      </c>
      <c r="F554" s="9">
        <f t="shared" si="26"/>
        <v>2.9292490018392264E-2</v>
      </c>
      <c r="G554" s="9">
        <f t="shared" si="27"/>
        <v>1.5193013761099945E-2</v>
      </c>
    </row>
    <row r="555" spans="1:7" x14ac:dyDescent="0.2">
      <c r="A555" s="12">
        <v>37700</v>
      </c>
      <c r="B555" s="9">
        <v>190.52</v>
      </c>
      <c r="C555" s="9">
        <v>185.43</v>
      </c>
      <c r="D555" s="9">
        <v>187.7</v>
      </c>
      <c r="E555" s="9">
        <f t="shared" si="25"/>
        <v>-2.1287927145216285E-3</v>
      </c>
      <c r="F555" s="9">
        <f t="shared" si="26"/>
        <v>7.1109984998894062E-3</v>
      </c>
      <c r="G555" s="9">
        <f t="shared" si="27"/>
        <v>1.4766387154961494E-2</v>
      </c>
    </row>
    <row r="556" spans="1:7" x14ac:dyDescent="0.2">
      <c r="A556" s="12">
        <v>37701</v>
      </c>
      <c r="B556" s="9">
        <v>191.57</v>
      </c>
      <c r="C556" s="9">
        <v>187.59</v>
      </c>
      <c r="D556" s="9">
        <v>191.38</v>
      </c>
      <c r="E556" s="9">
        <f t="shared" si="25"/>
        <v>1.9416036758653759E-2</v>
      </c>
      <c r="F556" s="9">
        <f t="shared" si="26"/>
        <v>3.4716294968475954E-2</v>
      </c>
      <c r="G556" s="9">
        <f t="shared" si="27"/>
        <v>1.5079981607229528E-2</v>
      </c>
    </row>
    <row r="557" spans="1:7" x14ac:dyDescent="0.2">
      <c r="A557" s="12">
        <v>37704</v>
      </c>
      <c r="B557" s="9">
        <v>191.38</v>
      </c>
      <c r="C557" s="9">
        <v>188.42</v>
      </c>
      <c r="D557" s="9">
        <v>189.55</v>
      </c>
      <c r="E557" s="9">
        <f t="shared" si="25"/>
        <v>-9.608138388772839E-3</v>
      </c>
      <c r="F557" s="9">
        <f t="shared" si="26"/>
        <v>4.0096855228781723E-2</v>
      </c>
      <c r="G557" s="9">
        <f t="shared" si="27"/>
        <v>1.4912395746721908E-2</v>
      </c>
    </row>
    <row r="558" spans="1:7" x14ac:dyDescent="0.2">
      <c r="A558" s="12">
        <v>37705</v>
      </c>
      <c r="B558" s="9">
        <v>191.15</v>
      </c>
      <c r="C558" s="9">
        <v>187.61</v>
      </c>
      <c r="D558" s="9">
        <v>191.03</v>
      </c>
      <c r="E558" s="9">
        <f t="shared" si="25"/>
        <v>7.7776418132165749E-3</v>
      </c>
      <c r="F558" s="9">
        <f t="shared" si="26"/>
        <v>4.4913481554020307E-2</v>
      </c>
      <c r="G558" s="9">
        <f t="shared" si="27"/>
        <v>1.4956352810321767E-2</v>
      </c>
    </row>
    <row r="559" spans="1:7" x14ac:dyDescent="0.2">
      <c r="A559" s="12">
        <v>37706</v>
      </c>
      <c r="B559" s="9">
        <v>191.42</v>
      </c>
      <c r="C559" s="9">
        <v>189.52</v>
      </c>
      <c r="D559" s="9">
        <v>190.14</v>
      </c>
      <c r="E559" s="9">
        <f t="shared" si="25"/>
        <v>-4.6698408446761612E-3</v>
      </c>
      <c r="F559" s="9">
        <f t="shared" si="26"/>
        <v>4.7386920712974151E-2</v>
      </c>
      <c r="G559" s="9">
        <f t="shared" si="27"/>
        <v>1.4913836638994284E-2</v>
      </c>
    </row>
    <row r="560" spans="1:7" x14ac:dyDescent="0.2">
      <c r="A560" s="12">
        <v>37707</v>
      </c>
      <c r="B560" s="9">
        <v>190.84</v>
      </c>
      <c r="C560" s="9">
        <v>187.15</v>
      </c>
      <c r="D560" s="9">
        <v>188.89</v>
      </c>
      <c r="E560" s="9">
        <f t="shared" si="25"/>
        <v>-6.595807887156073E-3</v>
      </c>
      <c r="F560" s="9">
        <f t="shared" si="26"/>
        <v>4.4326637445545491E-2</v>
      </c>
      <c r="G560" s="9">
        <f t="shared" si="27"/>
        <v>1.4960423159013308E-2</v>
      </c>
    </row>
    <row r="561" spans="1:7" x14ac:dyDescent="0.2">
      <c r="A561" s="12">
        <v>37708</v>
      </c>
      <c r="B561" s="9">
        <v>190.86</v>
      </c>
      <c r="C561" s="9">
        <v>188.79</v>
      </c>
      <c r="D561" s="9">
        <v>190.44</v>
      </c>
      <c r="E561" s="9">
        <f t="shared" si="25"/>
        <v>8.1723492825899087E-3</v>
      </c>
      <c r="F561" s="9">
        <f t="shared" si="26"/>
        <v>3.2718061762786646E-2</v>
      </c>
      <c r="G561" s="9">
        <f t="shared" si="27"/>
        <v>1.4616863799712759E-2</v>
      </c>
    </row>
    <row r="562" spans="1:7" x14ac:dyDescent="0.2">
      <c r="A562" s="12">
        <v>37711</v>
      </c>
      <c r="B562" s="9">
        <v>190.44</v>
      </c>
      <c r="C562" s="9">
        <v>185.5</v>
      </c>
      <c r="D562" s="9">
        <v>186.65</v>
      </c>
      <c r="E562" s="9">
        <f t="shared" si="25"/>
        <v>-2.010197896572518E-2</v>
      </c>
      <c r="F562" s="9">
        <f t="shared" si="26"/>
        <v>8.2309419152264297E-3</v>
      </c>
      <c r="G562" s="9">
        <f t="shared" si="27"/>
        <v>1.5102195222918224E-2</v>
      </c>
    </row>
    <row r="563" spans="1:7" x14ac:dyDescent="0.2">
      <c r="A563" s="12">
        <v>37712</v>
      </c>
      <c r="B563" s="9">
        <v>189.24</v>
      </c>
      <c r="C563" s="9">
        <v>185.86</v>
      </c>
      <c r="D563" s="9">
        <v>187.22</v>
      </c>
      <c r="E563" s="9">
        <f t="shared" si="25"/>
        <v>3.0491905830057875E-3</v>
      </c>
      <c r="F563" s="9">
        <f t="shared" si="26"/>
        <v>5.8927689671509197E-3</v>
      </c>
      <c r="G563" s="9">
        <f t="shared" si="27"/>
        <v>1.508091667234563E-2</v>
      </c>
    </row>
    <row r="564" spans="1:7" x14ac:dyDescent="0.2">
      <c r="A564" s="12">
        <v>37713</v>
      </c>
      <c r="B564" s="9">
        <v>192.34</v>
      </c>
      <c r="C564" s="9">
        <v>0</v>
      </c>
      <c r="D564" s="9">
        <v>192.32</v>
      </c>
      <c r="E564" s="9">
        <f t="shared" si="25"/>
        <v>2.6876255403244197E-2</v>
      </c>
      <c r="F564" s="9">
        <f t="shared" si="26"/>
        <v>3.4113146726581181E-2</v>
      </c>
      <c r="G564" s="9">
        <f t="shared" si="27"/>
        <v>1.584241479236221E-2</v>
      </c>
    </row>
    <row r="565" spans="1:7" x14ac:dyDescent="0.2">
      <c r="A565" s="12">
        <v>37714</v>
      </c>
      <c r="B565" s="9">
        <v>196.62</v>
      </c>
      <c r="C565" s="9">
        <v>189.19</v>
      </c>
      <c r="D565" s="9">
        <v>194.3</v>
      </c>
      <c r="E565" s="9">
        <f t="shared" si="25"/>
        <v>1.0242705036551801E-2</v>
      </c>
      <c r="F565" s="9">
        <f t="shared" si="26"/>
        <v>7.5391506644671619E-2</v>
      </c>
      <c r="G565" s="9">
        <f t="shared" si="27"/>
        <v>1.4703400736351837E-2</v>
      </c>
    </row>
    <row r="566" spans="1:7" x14ac:dyDescent="0.2">
      <c r="A566" s="12">
        <v>37715</v>
      </c>
      <c r="B566" s="9">
        <v>197.06</v>
      </c>
      <c r="C566" s="9">
        <v>193.82</v>
      </c>
      <c r="D566" s="9">
        <v>196.58</v>
      </c>
      <c r="E566" s="9">
        <f t="shared" si="25"/>
        <v>1.1666116755088947E-2</v>
      </c>
      <c r="F566" s="9">
        <f t="shared" si="26"/>
        <v>9.8780432650569086E-2</v>
      </c>
      <c r="G566" s="9">
        <f t="shared" si="27"/>
        <v>1.4541728311875122E-2</v>
      </c>
    </row>
    <row r="567" spans="1:7" x14ac:dyDescent="0.2">
      <c r="A567" s="12">
        <v>37718</v>
      </c>
      <c r="B567" s="9">
        <v>204.69</v>
      </c>
      <c r="C567" s="9">
        <v>196.58</v>
      </c>
      <c r="D567" s="9">
        <v>202.19</v>
      </c>
      <c r="E567" s="9">
        <f t="shared" si="25"/>
        <v>2.8138376240726154E-2</v>
      </c>
      <c r="F567" s="9">
        <f t="shared" si="26"/>
        <v>0.11242499365547011</v>
      </c>
      <c r="G567" s="9">
        <f t="shared" si="27"/>
        <v>1.510655414565181E-2</v>
      </c>
    </row>
    <row r="568" spans="1:7" x14ac:dyDescent="0.2">
      <c r="A568" s="12">
        <v>37719</v>
      </c>
      <c r="B568" s="9">
        <v>202.41</v>
      </c>
      <c r="C568" s="9">
        <v>197.2</v>
      </c>
      <c r="D568" s="9">
        <v>198.15</v>
      </c>
      <c r="E568" s="9">
        <f t="shared" si="25"/>
        <v>-2.0183529742765369E-2</v>
      </c>
      <c r="F568" s="9">
        <f t="shared" si="26"/>
        <v>0.1044357184167503</v>
      </c>
      <c r="G568" s="9">
        <f t="shared" si="27"/>
        <v>1.5463481333638462E-2</v>
      </c>
    </row>
    <row r="569" spans="1:7" x14ac:dyDescent="0.2">
      <c r="A569" s="12">
        <v>37720</v>
      </c>
      <c r="B569" s="9">
        <v>199.22</v>
      </c>
      <c r="C569" s="9">
        <v>194.63</v>
      </c>
      <c r="D569" s="9">
        <v>198.82</v>
      </c>
      <c r="E569" s="9">
        <f t="shared" si="25"/>
        <v>3.3755731475550036E-3</v>
      </c>
      <c r="F569" s="9">
        <f t="shared" si="26"/>
        <v>0.12533081284591638</v>
      </c>
      <c r="G569" s="9">
        <f t="shared" si="27"/>
        <v>1.4946901592901924E-2</v>
      </c>
    </row>
    <row r="570" spans="1:7" x14ac:dyDescent="0.2">
      <c r="A570" s="12">
        <v>37721</v>
      </c>
      <c r="B570" s="9">
        <v>198.82</v>
      </c>
      <c r="C570" s="9">
        <v>195.05</v>
      </c>
      <c r="D570" s="9">
        <v>196.73</v>
      </c>
      <c r="E570" s="9">
        <f t="shared" si="25"/>
        <v>-1.0567662495824835E-2</v>
      </c>
      <c r="F570" s="9">
        <f t="shared" si="26"/>
        <v>0.10794494211831455</v>
      </c>
      <c r="G570" s="9">
        <f t="shared" si="27"/>
        <v>1.5176278844482487E-2</v>
      </c>
    </row>
    <row r="571" spans="1:7" x14ac:dyDescent="0.2">
      <c r="A571" s="12">
        <v>37722</v>
      </c>
      <c r="B571" s="9">
        <v>199.81</v>
      </c>
      <c r="C571" s="9">
        <v>196.73</v>
      </c>
      <c r="D571" s="9">
        <v>198.32</v>
      </c>
      <c r="E571" s="9">
        <f t="shared" si="25"/>
        <v>8.0496574387607083E-3</v>
      </c>
      <c r="F571" s="9">
        <f t="shared" si="26"/>
        <v>0.10792981231016364</v>
      </c>
      <c r="G571" s="9">
        <f t="shared" si="27"/>
        <v>1.5176125545256854E-2</v>
      </c>
    </row>
    <row r="572" spans="1:7" x14ac:dyDescent="0.2">
      <c r="A572" s="12">
        <v>37725</v>
      </c>
      <c r="B572" s="9">
        <v>200.83</v>
      </c>
      <c r="C572" s="9">
        <v>198.05</v>
      </c>
      <c r="D572" s="9">
        <v>200.5</v>
      </c>
      <c r="E572" s="9">
        <f t="shared" si="25"/>
        <v>1.0932359019688953E-2</v>
      </c>
      <c r="F572" s="9">
        <f t="shared" si="26"/>
        <v>0.11701026698734787</v>
      </c>
      <c r="G572" s="9">
        <f t="shared" si="27"/>
        <v>1.5230561903808653E-2</v>
      </c>
    </row>
    <row r="573" spans="1:7" x14ac:dyDescent="0.2">
      <c r="A573" s="12">
        <v>37726</v>
      </c>
      <c r="B573" s="9">
        <v>204.26</v>
      </c>
      <c r="C573" s="9">
        <v>200.5</v>
      </c>
      <c r="D573" s="9">
        <v>203.54</v>
      </c>
      <c r="E573" s="9">
        <f t="shared" si="25"/>
        <v>1.5048299017161509E-2</v>
      </c>
      <c r="F573" s="9">
        <f t="shared" si="26"/>
        <v>0.14879346582570277</v>
      </c>
      <c r="G573" s="9">
        <f t="shared" si="27"/>
        <v>1.4846248563830421E-2</v>
      </c>
    </row>
    <row r="574" spans="1:7" x14ac:dyDescent="0.2">
      <c r="A574" s="12">
        <v>37727</v>
      </c>
      <c r="B574" s="9">
        <v>205.39</v>
      </c>
      <c r="C574" s="9">
        <v>202.16</v>
      </c>
      <c r="D574" s="9">
        <v>202.83</v>
      </c>
      <c r="E574" s="9">
        <f t="shared" si="25"/>
        <v>-3.4943559930892139E-3</v>
      </c>
      <c r="F574" s="9">
        <f t="shared" si="26"/>
        <v>0.14296432331599798</v>
      </c>
      <c r="G574" s="9">
        <f t="shared" si="27"/>
        <v>1.4919752027446645E-2</v>
      </c>
    </row>
    <row r="575" spans="1:7" x14ac:dyDescent="0.2">
      <c r="A575" s="12">
        <v>37733</v>
      </c>
      <c r="B575" s="9">
        <v>204.15</v>
      </c>
      <c r="C575" s="9">
        <v>200.08</v>
      </c>
      <c r="D575" s="9">
        <v>200.1</v>
      </c>
      <c r="E575" s="9">
        <f t="shared" si="25"/>
        <v>-1.3550948181008627E-2</v>
      </c>
      <c r="F575" s="9">
        <f t="shared" si="26"/>
        <v>0.14437024546135305</v>
      </c>
      <c r="G575" s="9">
        <f t="shared" si="27"/>
        <v>1.4857745658027216E-2</v>
      </c>
    </row>
    <row r="576" spans="1:7" x14ac:dyDescent="0.2">
      <c r="A576" s="12">
        <v>37734</v>
      </c>
      <c r="B576" s="9">
        <v>204.66</v>
      </c>
      <c r="C576" s="9">
        <v>200.1</v>
      </c>
      <c r="D576" s="9">
        <v>203.97</v>
      </c>
      <c r="E576" s="9">
        <f t="shared" si="25"/>
        <v>1.9155682616790268E-2</v>
      </c>
      <c r="F576" s="9">
        <f t="shared" si="26"/>
        <v>0.160182792795418</v>
      </c>
      <c r="G576" s="9">
        <f t="shared" si="27"/>
        <v>1.508260460335264E-2</v>
      </c>
    </row>
    <row r="577" spans="1:7" x14ac:dyDescent="0.2">
      <c r="A577" s="12">
        <v>37735</v>
      </c>
      <c r="B577" s="9">
        <v>203.99</v>
      </c>
      <c r="C577" s="9">
        <v>202.2</v>
      </c>
      <c r="D577" s="9">
        <v>203.66</v>
      </c>
      <c r="E577" s="9">
        <f t="shared" si="25"/>
        <v>-1.520987462958619E-3</v>
      </c>
      <c r="F577" s="9">
        <f t="shared" si="26"/>
        <v>0.1795364767369339</v>
      </c>
      <c r="G577" s="9">
        <f t="shared" si="27"/>
        <v>1.4317176491430644E-2</v>
      </c>
    </row>
    <row r="578" spans="1:7" x14ac:dyDescent="0.2">
      <c r="A578" s="12">
        <v>37736</v>
      </c>
      <c r="B578" s="9">
        <v>203.66</v>
      </c>
      <c r="C578" s="9">
        <v>201.31</v>
      </c>
      <c r="D578" s="9">
        <v>201.81</v>
      </c>
      <c r="E578" s="9">
        <f t="shared" si="25"/>
        <v>-9.1252760378952077E-3</v>
      </c>
      <c r="F578" s="9">
        <f t="shared" si="26"/>
        <v>0.17288208088308199</v>
      </c>
      <c r="G578" s="9">
        <f t="shared" si="27"/>
        <v>1.450303325953548E-2</v>
      </c>
    </row>
    <row r="579" spans="1:7" x14ac:dyDescent="0.2">
      <c r="A579" s="12">
        <v>37739</v>
      </c>
      <c r="B579" s="9">
        <v>204.42</v>
      </c>
      <c r="C579" s="9">
        <v>200.87</v>
      </c>
      <c r="D579" s="9">
        <v>204.39</v>
      </c>
      <c r="E579" s="9">
        <f t="shared" si="25"/>
        <v>1.2703272748062258E-2</v>
      </c>
      <c r="F579" s="9">
        <f t="shared" si="26"/>
        <v>0.18989456014588513</v>
      </c>
      <c r="G579" s="9">
        <f t="shared" si="27"/>
        <v>1.4428038770022694E-2</v>
      </c>
    </row>
    <row r="580" spans="1:7" x14ac:dyDescent="0.2">
      <c r="A580" s="12">
        <v>37740</v>
      </c>
      <c r="B580" s="9">
        <v>206.78</v>
      </c>
      <c r="C580" s="9">
        <v>204.39</v>
      </c>
      <c r="D580" s="9">
        <v>205.73</v>
      </c>
      <c r="E580" s="9">
        <f t="shared" ref="E580:E643" si="28">LN(D580/D579)</f>
        <v>6.534696032452725E-3</v>
      </c>
      <c r="F580" s="9">
        <f t="shared" si="26"/>
        <v>0.17471916683835986</v>
      </c>
      <c r="G580" s="9">
        <f t="shared" si="27"/>
        <v>1.4133225233949352E-2</v>
      </c>
    </row>
    <row r="581" spans="1:7" x14ac:dyDescent="0.2">
      <c r="A581" s="12">
        <v>37741</v>
      </c>
      <c r="B581" s="9">
        <v>207.77</v>
      </c>
      <c r="C581" s="9">
        <v>204.95</v>
      </c>
      <c r="D581" s="9">
        <v>205.63</v>
      </c>
      <c r="E581" s="9">
        <f t="shared" si="28"/>
        <v>-4.8619215271217432E-4</v>
      </c>
      <c r="F581" s="9">
        <f t="shared" si="26"/>
        <v>0.1377991759943277</v>
      </c>
      <c r="G581" s="9">
        <f t="shared" si="27"/>
        <v>1.2932335999197834E-2</v>
      </c>
    </row>
    <row r="582" spans="1:7" x14ac:dyDescent="0.2">
      <c r="A582" s="12">
        <v>37742</v>
      </c>
      <c r="B582" s="9">
        <v>0</v>
      </c>
      <c r="C582" s="9">
        <v>204.13</v>
      </c>
      <c r="D582" s="9">
        <v>204.53</v>
      </c>
      <c r="E582" s="9">
        <f t="shared" si="28"/>
        <v>-5.3637733433520183E-3</v>
      </c>
      <c r="F582" s="9">
        <f t="shared" si="26"/>
        <v>0.12188619594278058</v>
      </c>
      <c r="G582" s="9">
        <f t="shared" si="27"/>
        <v>1.3005760029723768E-2</v>
      </c>
    </row>
    <row r="583" spans="1:7" x14ac:dyDescent="0.2">
      <c r="A583" s="12">
        <v>37743</v>
      </c>
      <c r="B583" s="9">
        <v>205.88</v>
      </c>
      <c r="C583" s="9">
        <v>203.31</v>
      </c>
      <c r="D583" s="9">
        <v>204.46</v>
      </c>
      <c r="E583" s="9">
        <f t="shared" si="28"/>
        <v>-3.4230666120688375E-4</v>
      </c>
      <c r="F583" s="9">
        <f t="shared" si="26"/>
        <v>9.9692260507983868E-2</v>
      </c>
      <c r="G583" s="9">
        <f t="shared" si="27"/>
        <v>1.2583364474671859E-2</v>
      </c>
    </row>
    <row r="584" spans="1:7" x14ac:dyDescent="0.2">
      <c r="A584" s="12">
        <v>37746</v>
      </c>
      <c r="B584" s="9">
        <v>208.12</v>
      </c>
      <c r="C584" s="9">
        <v>204.46</v>
      </c>
      <c r="D584" s="9">
        <v>207.61</v>
      </c>
      <c r="E584" s="9">
        <f t="shared" si="28"/>
        <v>1.5288962359589748E-2</v>
      </c>
      <c r="F584" s="9">
        <f t="shared" si="26"/>
        <v>9.8687583381473279E-2</v>
      </c>
      <c r="G584" s="9">
        <f t="shared" si="27"/>
        <v>1.2548944255109787E-2</v>
      </c>
    </row>
    <row r="585" spans="1:7" x14ac:dyDescent="0.2">
      <c r="A585" s="12">
        <v>37747</v>
      </c>
      <c r="B585" s="9">
        <v>208.11</v>
      </c>
      <c r="C585" s="9">
        <v>204.32</v>
      </c>
      <c r="D585" s="9">
        <v>204.43</v>
      </c>
      <c r="E585" s="9">
        <f t="shared" si="28"/>
        <v>-1.5435701091541328E-2</v>
      </c>
      <c r="F585" s="9">
        <f t="shared" si="26"/>
        <v>8.5380675004453399E-2</v>
      </c>
      <c r="G585" s="9">
        <f t="shared" si="27"/>
        <v>1.2975014646237674E-2</v>
      </c>
    </row>
    <row r="586" spans="1:7" x14ac:dyDescent="0.2">
      <c r="A586" s="12">
        <v>37748</v>
      </c>
      <c r="B586" s="9">
        <v>206.18</v>
      </c>
      <c r="C586" s="9">
        <v>202.81</v>
      </c>
      <c r="D586" s="9">
        <v>203.6</v>
      </c>
      <c r="E586" s="9">
        <f t="shared" si="28"/>
        <v>-4.0683339205489048E-3</v>
      </c>
      <c r="F586" s="9">
        <f t="shared" si="26"/>
        <v>6.1896304325250819E-2</v>
      </c>
      <c r="G586" s="9">
        <f t="shared" si="27"/>
        <v>1.2645072972175713E-2</v>
      </c>
    </row>
    <row r="587" spans="1:7" x14ac:dyDescent="0.2">
      <c r="A587" s="12">
        <v>37749</v>
      </c>
      <c r="B587" s="9">
        <v>203.81</v>
      </c>
      <c r="C587" s="9">
        <v>200.57</v>
      </c>
      <c r="D587" s="9">
        <v>201.78</v>
      </c>
      <c r="E587" s="9">
        <f t="shared" si="28"/>
        <v>-8.9792896961344553E-3</v>
      </c>
      <c r="F587" s="9">
        <f t="shared" si="26"/>
        <v>6.2525153017889371E-2</v>
      </c>
      <c r="G587" s="9">
        <f t="shared" si="27"/>
        <v>1.2625564498317702E-2</v>
      </c>
    </row>
    <row r="588" spans="1:7" x14ac:dyDescent="0.2">
      <c r="A588" s="12">
        <v>37750</v>
      </c>
      <c r="B588" s="9">
        <v>203.04</v>
      </c>
      <c r="C588" s="9">
        <v>200.72</v>
      </c>
      <c r="D588" s="9">
        <v>201.28</v>
      </c>
      <c r="E588" s="9">
        <f t="shared" si="28"/>
        <v>-2.4810214681575396E-3</v>
      </c>
      <c r="F588" s="9">
        <f t="shared" si="26"/>
        <v>5.2266489736515397E-2</v>
      </c>
      <c r="G588" s="9">
        <f t="shared" si="27"/>
        <v>1.2604950957382835E-2</v>
      </c>
    </row>
    <row r="589" spans="1:7" x14ac:dyDescent="0.2">
      <c r="A589" s="12">
        <v>37753</v>
      </c>
      <c r="D589" s="9">
        <v>201.15</v>
      </c>
      <c r="E589" s="9">
        <f t="shared" si="28"/>
        <v>-6.4607511627850069E-4</v>
      </c>
      <c r="F589" s="9">
        <f t="shared" si="26"/>
        <v>5.6290255464912863E-2</v>
      </c>
      <c r="G589" s="9">
        <f t="shared" si="27"/>
        <v>1.2555681005274029E-2</v>
      </c>
    </row>
    <row r="590" spans="1:7" x14ac:dyDescent="0.2">
      <c r="A590" s="12">
        <v>37754</v>
      </c>
      <c r="D590" s="9">
        <v>203.26</v>
      </c>
      <c r="E590" s="9">
        <f t="shared" si="28"/>
        <v>1.0435049313823089E-2</v>
      </c>
      <c r="F590" s="9">
        <f t="shared" si="26"/>
        <v>7.3321112665892224E-2</v>
      </c>
      <c r="G590" s="9">
        <f t="shared" si="27"/>
        <v>1.2544423758340136E-2</v>
      </c>
    </row>
    <row r="591" spans="1:7" x14ac:dyDescent="0.2">
      <c r="A591" s="12">
        <v>37755</v>
      </c>
      <c r="D591" s="9">
        <v>205.35</v>
      </c>
      <c r="E591" s="9">
        <f t="shared" si="28"/>
        <v>1.0229892692947155E-2</v>
      </c>
      <c r="F591" s="9">
        <f t="shared" si="26"/>
        <v>7.5378656076249523E-2</v>
      </c>
      <c r="G591" s="9">
        <f t="shared" si="27"/>
        <v>1.2582389617583395E-2</v>
      </c>
    </row>
    <row r="592" spans="1:7" x14ac:dyDescent="0.2">
      <c r="A592" s="12">
        <v>37756</v>
      </c>
      <c r="D592" s="9">
        <v>208.27</v>
      </c>
      <c r="E592" s="9">
        <f t="shared" si="28"/>
        <v>1.4119474448357256E-2</v>
      </c>
      <c r="F592" s="9">
        <f t="shared" si="26"/>
        <v>0.10960010949033196</v>
      </c>
      <c r="G592" s="9">
        <f t="shared" si="27"/>
        <v>1.1999197175610833E-2</v>
      </c>
    </row>
    <row r="593" spans="1:7" x14ac:dyDescent="0.2">
      <c r="A593" s="12">
        <v>37760</v>
      </c>
      <c r="D593" s="9">
        <v>205.33</v>
      </c>
      <c r="E593" s="9">
        <f t="shared" si="28"/>
        <v>-1.4216873883517556E-2</v>
      </c>
      <c r="F593" s="9">
        <f t="shared" si="26"/>
        <v>9.2334045023808833E-2</v>
      </c>
      <c r="G593" s="9">
        <f t="shared" si="27"/>
        <v>1.2435327129509097E-2</v>
      </c>
    </row>
    <row r="594" spans="1:7" x14ac:dyDescent="0.2">
      <c r="A594" s="12">
        <v>37761</v>
      </c>
      <c r="D594" s="9">
        <v>207.58</v>
      </c>
      <c r="E594" s="9">
        <f t="shared" si="28"/>
        <v>1.0898366569735593E-2</v>
      </c>
      <c r="F594" s="9">
        <f t="shared" si="26"/>
        <v>7.635615619030027E-2</v>
      </c>
      <c r="G594" s="9">
        <f t="shared" si="27"/>
        <v>1.1701412424595515E-2</v>
      </c>
    </row>
    <row r="595" spans="1:7" x14ac:dyDescent="0.2">
      <c r="A595" s="12">
        <v>37762</v>
      </c>
      <c r="D595" s="9">
        <v>207.36</v>
      </c>
      <c r="E595" s="9">
        <f t="shared" si="28"/>
        <v>-1.0603943732330114E-3</v>
      </c>
      <c r="F595" s="9">
        <f t="shared" si="26"/>
        <v>6.50530567805154E-2</v>
      </c>
      <c r="G595" s="9">
        <f t="shared" si="27"/>
        <v>1.1626750821561577E-2</v>
      </c>
    </row>
    <row r="596" spans="1:7" x14ac:dyDescent="0.2">
      <c r="A596" s="12">
        <v>37763</v>
      </c>
      <c r="D596" s="9">
        <v>208.85</v>
      </c>
      <c r="E596" s="9">
        <f t="shared" si="28"/>
        <v>7.1598777792744152E-3</v>
      </c>
      <c r="F596" s="9">
        <f t="shared" si="26"/>
        <v>6.0546817804700968E-2</v>
      </c>
      <c r="G596" s="9">
        <f t="shared" si="27"/>
        <v>1.152851094951325E-2</v>
      </c>
    </row>
    <row r="597" spans="1:7" x14ac:dyDescent="0.2">
      <c r="A597" s="12">
        <v>37764</v>
      </c>
      <c r="D597" s="9">
        <v>207.36</v>
      </c>
      <c r="E597" s="9">
        <f t="shared" si="28"/>
        <v>-7.1598777792743996E-3</v>
      </c>
      <c r="F597" s="9">
        <f t="shared" si="26"/>
        <v>2.5248563784700404E-2</v>
      </c>
      <c r="G597" s="9">
        <f t="shared" si="27"/>
        <v>1.052866953225569E-2</v>
      </c>
    </row>
    <row r="598" spans="1:7" x14ac:dyDescent="0.2">
      <c r="A598" s="12">
        <v>37767</v>
      </c>
      <c r="D598" s="9">
        <v>206.54</v>
      </c>
      <c r="E598" s="9">
        <f t="shared" si="28"/>
        <v>-3.9623149206520977E-3</v>
      </c>
      <c r="F598" s="9">
        <f t="shared" si="26"/>
        <v>4.1469778606813938E-2</v>
      </c>
      <c r="G598" s="9">
        <f t="shared" si="27"/>
        <v>9.8032077133012683E-3</v>
      </c>
    </row>
    <row r="599" spans="1:7" x14ac:dyDescent="0.2">
      <c r="A599" s="12">
        <v>37768</v>
      </c>
      <c r="D599" s="9">
        <v>204.58</v>
      </c>
      <c r="E599" s="9">
        <f t="shared" si="28"/>
        <v>-9.5350012143964671E-3</v>
      </c>
      <c r="F599" s="9">
        <f t="shared" si="26"/>
        <v>2.855920424486234E-2</v>
      </c>
      <c r="G599" s="9">
        <f t="shared" si="27"/>
        <v>9.9942094667122162E-3</v>
      </c>
    </row>
    <row r="600" spans="1:7" x14ac:dyDescent="0.2">
      <c r="A600" s="12">
        <v>37769</v>
      </c>
      <c r="D600" s="9">
        <v>206.72</v>
      </c>
      <c r="E600" s="9">
        <f t="shared" si="28"/>
        <v>1.0406123565375626E-2</v>
      </c>
      <c r="F600" s="9">
        <f t="shared" si="26"/>
        <v>4.9532990306062862E-2</v>
      </c>
      <c r="G600" s="9">
        <f t="shared" si="27"/>
        <v>9.8936727964930426E-3</v>
      </c>
    </row>
    <row r="601" spans="1:7" x14ac:dyDescent="0.2">
      <c r="A601" s="12">
        <v>37771</v>
      </c>
      <c r="D601" s="9">
        <v>207.63</v>
      </c>
      <c r="E601" s="9">
        <f t="shared" si="28"/>
        <v>4.3924289276446333E-3</v>
      </c>
      <c r="F601" s="9">
        <f t="shared" si="26"/>
        <v>4.5875761794946533E-2</v>
      </c>
      <c r="G601" s="9">
        <f t="shared" si="27"/>
        <v>9.8344671530252933E-3</v>
      </c>
    </row>
    <row r="602" spans="1:7" x14ac:dyDescent="0.2">
      <c r="A602" s="12">
        <v>37774</v>
      </c>
      <c r="D602" s="9">
        <v>210.9</v>
      </c>
      <c r="E602" s="9">
        <f t="shared" si="28"/>
        <v>1.5626437962847198E-2</v>
      </c>
      <c r="F602" s="9">
        <f t="shared" si="26"/>
        <v>5.0569840738105047E-2</v>
      </c>
      <c r="G602" s="9">
        <f t="shared" si="27"/>
        <v>1.0024734746291673E-2</v>
      </c>
    </row>
    <row r="603" spans="1:7" x14ac:dyDescent="0.2">
      <c r="A603" s="12">
        <v>37775</v>
      </c>
      <c r="D603" s="9">
        <v>208.26</v>
      </c>
      <c r="E603" s="9">
        <f t="shared" si="28"/>
        <v>-1.2596788382979044E-2</v>
      </c>
      <c r="F603" s="9">
        <f t="shared" si="26"/>
        <v>2.2924753337964315E-2</v>
      </c>
      <c r="G603" s="9">
        <f t="shared" si="27"/>
        <v>1.0024654353114426E-2</v>
      </c>
    </row>
    <row r="604" spans="1:7" x14ac:dyDescent="0.2">
      <c r="A604" s="12">
        <v>37776</v>
      </c>
      <c r="D604" s="9">
        <v>209.46</v>
      </c>
      <c r="E604" s="9">
        <f t="shared" si="28"/>
        <v>5.7454912432497642E-3</v>
      </c>
      <c r="F604" s="9">
        <f t="shared" si="26"/>
        <v>3.2164600574303363E-2</v>
      </c>
      <c r="G604" s="9">
        <f t="shared" si="27"/>
        <v>1.0031244391846526E-2</v>
      </c>
    </row>
    <row r="605" spans="1:7" x14ac:dyDescent="0.2">
      <c r="A605" s="12">
        <v>37778</v>
      </c>
      <c r="D605" s="9">
        <v>213.65</v>
      </c>
      <c r="E605" s="9">
        <f t="shared" si="28"/>
        <v>1.9806371745034253E-2</v>
      </c>
      <c r="F605" s="9">
        <f t="shared" si="26"/>
        <v>6.5521920500346276E-2</v>
      </c>
      <c r="G605" s="9">
        <f t="shared" si="27"/>
        <v>1.0201750252109532E-2</v>
      </c>
    </row>
    <row r="606" spans="1:7" x14ac:dyDescent="0.2">
      <c r="A606" s="12">
        <v>37782</v>
      </c>
      <c r="D606" s="9">
        <v>213.84</v>
      </c>
      <c r="E606" s="9">
        <f t="shared" si="28"/>
        <v>8.8890974062970482E-4</v>
      </c>
      <c r="F606" s="9">
        <f t="shared" si="26"/>
        <v>4.7255147624185714E-2</v>
      </c>
      <c r="G606" s="9">
        <f t="shared" si="27"/>
        <v>9.6859561060595907E-3</v>
      </c>
    </row>
    <row r="607" spans="1:7" x14ac:dyDescent="0.2">
      <c r="A607" s="12">
        <v>37783</v>
      </c>
      <c r="D607" s="9">
        <v>215.91</v>
      </c>
      <c r="E607" s="9">
        <f t="shared" si="28"/>
        <v>9.63358235715908E-3</v>
      </c>
      <c r="F607" s="9">
        <f t="shared" si="26"/>
        <v>5.840971744430315E-2</v>
      </c>
      <c r="G607" s="9">
        <f t="shared" si="27"/>
        <v>9.7766769040603819E-3</v>
      </c>
    </row>
    <row r="608" spans="1:7" x14ac:dyDescent="0.2">
      <c r="A608" s="12">
        <v>37784</v>
      </c>
      <c r="D608" s="9">
        <v>217.03</v>
      </c>
      <c r="E608" s="9">
        <f t="shared" si="28"/>
        <v>5.1739386450718843E-3</v>
      </c>
      <c r="F608" s="9">
        <f t="shared" si="26"/>
        <v>7.2708932127270448E-2</v>
      </c>
      <c r="G608" s="9">
        <f t="shared" si="27"/>
        <v>9.5645203718003596E-3</v>
      </c>
    </row>
    <row r="609" spans="1:7" x14ac:dyDescent="0.2">
      <c r="A609" s="12">
        <v>37785</v>
      </c>
      <c r="D609" s="9">
        <v>216.09</v>
      </c>
      <c r="E609" s="9">
        <f t="shared" si="28"/>
        <v>-4.3406052635132962E-3</v>
      </c>
      <c r="F609" s="9">
        <f t="shared" ref="F609:F672" si="29">LN(D609/D579)</f>
        <v>5.5665054115694897E-2</v>
      </c>
      <c r="G609" s="9">
        <f t="shared" si="27"/>
        <v>9.4382241582680829E-3</v>
      </c>
    </row>
    <row r="610" spans="1:7" x14ac:dyDescent="0.2">
      <c r="A610" s="12">
        <v>37788</v>
      </c>
      <c r="D610" s="9">
        <v>217.39</v>
      </c>
      <c r="E610" s="9">
        <f t="shared" si="28"/>
        <v>5.9979878997062624E-3</v>
      </c>
      <c r="F610" s="9">
        <f t="shared" si="29"/>
        <v>5.5128345982948274E-2</v>
      </c>
      <c r="G610" s="9">
        <f t="shared" si="27"/>
        <v>9.4295535294189256E-3</v>
      </c>
    </row>
    <row r="611" spans="1:7" x14ac:dyDescent="0.2">
      <c r="A611" s="12">
        <v>37789</v>
      </c>
      <c r="D611" s="9">
        <v>216.7</v>
      </c>
      <c r="E611" s="9">
        <f t="shared" si="28"/>
        <v>-3.1790669267743282E-3</v>
      </c>
      <c r="F611" s="9">
        <f t="shared" si="29"/>
        <v>5.2435471208886204E-2</v>
      </c>
      <c r="G611" s="9">
        <f t="shared" si="27"/>
        <v>9.4651870178570387E-3</v>
      </c>
    </row>
    <row r="612" spans="1:7" x14ac:dyDescent="0.2">
      <c r="A612" s="12">
        <v>37790</v>
      </c>
      <c r="D612" s="9">
        <v>217.45</v>
      </c>
      <c r="E612" s="9">
        <f t="shared" si="28"/>
        <v>3.4550305013341465E-3</v>
      </c>
      <c r="F612" s="9">
        <f t="shared" si="29"/>
        <v>6.1254275053572435E-2</v>
      </c>
      <c r="G612" s="9">
        <f t="shared" si="27"/>
        <v>9.3732011830357301E-3</v>
      </c>
    </row>
    <row r="613" spans="1:7" x14ac:dyDescent="0.2">
      <c r="A613" s="12">
        <v>37791</v>
      </c>
      <c r="D613" s="9">
        <v>214</v>
      </c>
      <c r="E613" s="9">
        <f t="shared" si="28"/>
        <v>-1.5992924021795918E-2</v>
      </c>
      <c r="F613" s="9">
        <f t="shared" si="29"/>
        <v>4.5603657692983482E-2</v>
      </c>
      <c r="G613" s="9">
        <f t="shared" si="27"/>
        <v>9.929497986420446E-3</v>
      </c>
    </row>
    <row r="614" spans="1:7" x14ac:dyDescent="0.2">
      <c r="A614" s="12">
        <v>37792</v>
      </c>
      <c r="D614" s="9">
        <v>215.95</v>
      </c>
      <c r="E614" s="9">
        <f t="shared" si="28"/>
        <v>9.0708843848585855E-3</v>
      </c>
      <c r="F614" s="9">
        <f t="shared" si="29"/>
        <v>3.9385579718252121E-2</v>
      </c>
      <c r="G614" s="9">
        <f t="shared" si="27"/>
        <v>9.6942877029140076E-3</v>
      </c>
    </row>
    <row r="615" spans="1:7" x14ac:dyDescent="0.2">
      <c r="A615" s="12">
        <v>37795</v>
      </c>
      <c r="D615" s="9">
        <v>215.57</v>
      </c>
      <c r="E615" s="9">
        <f t="shared" si="28"/>
        <v>-1.7612166213678542E-3</v>
      </c>
      <c r="F615" s="9">
        <f t="shared" si="29"/>
        <v>5.30600641884258E-2</v>
      </c>
      <c r="G615" s="9">
        <f t="shared" ref="G615:G678" si="30">STDEV(E586:E615)</f>
        <v>9.1878855890773718E-3</v>
      </c>
    </row>
    <row r="616" spans="1:7" x14ac:dyDescent="0.2">
      <c r="A616" s="12">
        <v>37796</v>
      </c>
      <c r="D616" s="9">
        <v>213.94</v>
      </c>
      <c r="E616" s="9">
        <f t="shared" si="28"/>
        <v>-7.590080907357446E-3</v>
      </c>
      <c r="F616" s="9">
        <f t="shared" si="29"/>
        <v>4.9538317201617221E-2</v>
      </c>
      <c r="G616" s="9">
        <f t="shared" si="30"/>
        <v>9.2869990296338151E-3</v>
      </c>
    </row>
    <row r="617" spans="1:7" x14ac:dyDescent="0.2">
      <c r="A617" s="12">
        <v>37797</v>
      </c>
      <c r="D617" s="9">
        <v>214.65</v>
      </c>
      <c r="E617" s="9">
        <f t="shared" si="28"/>
        <v>3.3131927925848731E-3</v>
      </c>
      <c r="F617" s="9">
        <f t="shared" si="29"/>
        <v>6.1830799690336301E-2</v>
      </c>
      <c r="G617" s="9">
        <f t="shared" si="30"/>
        <v>9.0704490834923913E-3</v>
      </c>
    </row>
    <row r="618" spans="1:7" x14ac:dyDescent="0.2">
      <c r="A618" s="12">
        <v>37798</v>
      </c>
      <c r="D618" s="9">
        <v>213.91</v>
      </c>
      <c r="E618" s="9">
        <f t="shared" si="28"/>
        <v>-3.4534288568557753E-3</v>
      </c>
      <c r="F618" s="9">
        <f t="shared" si="29"/>
        <v>6.0858392301638108E-2</v>
      </c>
      <c r="G618" s="9">
        <f t="shared" si="30"/>
        <v>9.0889585343750124E-3</v>
      </c>
    </row>
    <row r="619" spans="1:7" x14ac:dyDescent="0.2">
      <c r="A619" s="12">
        <v>37799</v>
      </c>
      <c r="D619" s="9">
        <v>217.65</v>
      </c>
      <c r="E619" s="9">
        <f t="shared" si="28"/>
        <v>1.7332902184592852E-2</v>
      </c>
      <c r="F619" s="9">
        <f t="shared" si="29"/>
        <v>7.8837369602509366E-2</v>
      </c>
      <c r="G619" s="9">
        <f t="shared" si="30"/>
        <v>9.490391457757404E-3</v>
      </c>
    </row>
    <row r="620" spans="1:7" x14ac:dyDescent="0.2">
      <c r="A620" s="12">
        <v>37802</v>
      </c>
      <c r="D620" s="9">
        <v>214.9</v>
      </c>
      <c r="E620" s="9">
        <f t="shared" si="28"/>
        <v>-1.2715464349841799E-2</v>
      </c>
      <c r="F620" s="9">
        <f t="shared" si="29"/>
        <v>5.5686855938844378E-2</v>
      </c>
      <c r="G620" s="9">
        <f t="shared" si="30"/>
        <v>9.7707538870584719E-3</v>
      </c>
    </row>
    <row r="621" spans="1:7" x14ac:dyDescent="0.2">
      <c r="A621" s="12">
        <v>37803</v>
      </c>
      <c r="D621" s="9">
        <v>212.83</v>
      </c>
      <c r="E621" s="9">
        <f t="shared" si="28"/>
        <v>-9.6790786737523879E-3</v>
      </c>
      <c r="F621" s="9">
        <f t="shared" si="29"/>
        <v>3.5777884572144827E-2</v>
      </c>
      <c r="G621" s="9">
        <f t="shared" si="30"/>
        <v>9.8581213446262885E-3</v>
      </c>
    </row>
    <row r="622" spans="1:7" x14ac:dyDescent="0.2">
      <c r="A622" s="12">
        <v>37804</v>
      </c>
      <c r="D622" s="9">
        <v>215.16</v>
      </c>
      <c r="E622" s="9">
        <f t="shared" si="28"/>
        <v>1.0888212430329457E-2</v>
      </c>
      <c r="F622" s="9">
        <f t="shared" si="29"/>
        <v>3.2546622554117006E-2</v>
      </c>
      <c r="G622" s="9">
        <f t="shared" si="30"/>
        <v>9.7288176520623788E-3</v>
      </c>
    </row>
    <row r="623" spans="1:7" x14ac:dyDescent="0.2">
      <c r="A623" s="12">
        <v>37805</v>
      </c>
      <c r="D623" s="9">
        <v>214.56</v>
      </c>
      <c r="E623" s="9">
        <f t="shared" si="28"/>
        <v>-2.792517871673411E-3</v>
      </c>
      <c r="F623" s="9">
        <f t="shared" si="29"/>
        <v>4.3970978565961098E-2</v>
      </c>
      <c r="G623" s="9">
        <f t="shared" si="30"/>
        <v>9.3243965077962915E-3</v>
      </c>
    </row>
    <row r="624" spans="1:7" x14ac:dyDescent="0.2">
      <c r="A624" s="12">
        <v>37806</v>
      </c>
      <c r="D624" s="9">
        <v>214.49</v>
      </c>
      <c r="E624" s="9">
        <f t="shared" si="28"/>
        <v>-3.2630229866495111E-4</v>
      </c>
      <c r="F624" s="9">
        <f t="shared" si="29"/>
        <v>3.2746309697560608E-2</v>
      </c>
      <c r="G624" s="9">
        <f t="shared" si="30"/>
        <v>9.1565371811555014E-3</v>
      </c>
    </row>
    <row r="625" spans="1:7" x14ac:dyDescent="0.2">
      <c r="A625" s="12">
        <v>37809</v>
      </c>
      <c r="D625" s="9">
        <v>215.17</v>
      </c>
      <c r="E625" s="9">
        <f t="shared" si="28"/>
        <v>3.1652961306562165E-3</v>
      </c>
      <c r="F625" s="9">
        <f t="shared" si="29"/>
        <v>3.6972000201449626E-2</v>
      </c>
      <c r="G625" s="9">
        <f t="shared" si="30"/>
        <v>9.1547941426694535E-3</v>
      </c>
    </row>
    <row r="626" spans="1:7" x14ac:dyDescent="0.2">
      <c r="A626" s="12">
        <v>37810</v>
      </c>
      <c r="D626" s="9">
        <v>213.35</v>
      </c>
      <c r="E626" s="9">
        <f t="shared" si="28"/>
        <v>-8.4944037313507501E-3</v>
      </c>
      <c r="F626" s="9">
        <f t="shared" si="29"/>
        <v>2.1317718690824581E-2</v>
      </c>
      <c r="G626" s="9">
        <f t="shared" si="30"/>
        <v>9.2509171684581268E-3</v>
      </c>
    </row>
    <row r="627" spans="1:7" x14ac:dyDescent="0.2">
      <c r="A627" s="12">
        <v>37811</v>
      </c>
      <c r="D627" s="9">
        <v>212.98</v>
      </c>
      <c r="E627" s="9">
        <f t="shared" si="28"/>
        <v>-1.7357450467713332E-3</v>
      </c>
      <c r="F627" s="9">
        <f t="shared" si="29"/>
        <v>2.6741851423327648E-2</v>
      </c>
      <c r="G627" s="9">
        <f t="shared" si="30"/>
        <v>9.1441787840653294E-3</v>
      </c>
    </row>
    <row r="628" spans="1:7" x14ac:dyDescent="0.2">
      <c r="A628" s="12">
        <v>37812</v>
      </c>
      <c r="D628" s="9">
        <v>212.64</v>
      </c>
      <c r="E628" s="9">
        <f t="shared" si="28"/>
        <v>-1.597669622302531E-3</v>
      </c>
      <c r="F628" s="9">
        <f t="shared" si="29"/>
        <v>2.9106496721677234E-2</v>
      </c>
      <c r="G628" s="9">
        <f t="shared" si="30"/>
        <v>9.111029165108829E-3</v>
      </c>
    </row>
    <row r="629" spans="1:7" x14ac:dyDescent="0.2">
      <c r="A629" s="12">
        <v>37813</v>
      </c>
      <c r="D629" s="9">
        <v>212.46</v>
      </c>
      <c r="E629" s="9">
        <f t="shared" si="28"/>
        <v>-8.4685961306768163E-4</v>
      </c>
      <c r="F629" s="9">
        <f t="shared" si="29"/>
        <v>3.7794638323006016E-2</v>
      </c>
      <c r="G629" s="9">
        <f t="shared" si="30"/>
        <v>8.9012605839864437E-3</v>
      </c>
    </row>
    <row r="630" spans="1:7" x14ac:dyDescent="0.2">
      <c r="A630" s="12">
        <v>37816</v>
      </c>
      <c r="D630" s="9">
        <v>214.6</v>
      </c>
      <c r="E630" s="9">
        <f t="shared" si="28"/>
        <v>1.0022094844730741E-2</v>
      </c>
      <c r="F630" s="9">
        <f t="shared" si="29"/>
        <v>3.7410609602361117E-2</v>
      </c>
      <c r="G630" s="9">
        <f t="shared" si="30"/>
        <v>8.8879198065211062E-3</v>
      </c>
    </row>
    <row r="631" spans="1:7" x14ac:dyDescent="0.2">
      <c r="A631" s="12">
        <v>37817</v>
      </c>
      <c r="D631" s="9">
        <v>215.96</v>
      </c>
      <c r="E631" s="9">
        <f t="shared" si="28"/>
        <v>6.3173751534882604E-3</v>
      </c>
      <c r="F631" s="9">
        <f t="shared" si="29"/>
        <v>3.9335555828204555E-2</v>
      </c>
      <c r="G631" s="9">
        <f t="shared" si="30"/>
        <v>8.9183070626024374E-3</v>
      </c>
    </row>
    <row r="632" spans="1:7" x14ac:dyDescent="0.2">
      <c r="A632" s="12">
        <v>37818</v>
      </c>
      <c r="D632" s="9">
        <v>216.21</v>
      </c>
      <c r="E632" s="9">
        <f t="shared" si="28"/>
        <v>1.1569522543731332E-3</v>
      </c>
      <c r="F632" s="9">
        <f t="shared" si="29"/>
        <v>2.4866070119730441E-2</v>
      </c>
      <c r="G632" s="9">
        <f t="shared" si="30"/>
        <v>8.4988199663093324E-3</v>
      </c>
    </row>
    <row r="633" spans="1:7" x14ac:dyDescent="0.2">
      <c r="A633" s="12">
        <v>37819</v>
      </c>
      <c r="D633" s="9">
        <v>215.3</v>
      </c>
      <c r="E633" s="9">
        <f t="shared" si="28"/>
        <v>-4.2177532341420377E-3</v>
      </c>
      <c r="F633" s="9">
        <f t="shared" si="29"/>
        <v>3.3245105268567443E-2</v>
      </c>
      <c r="G633" s="9">
        <f t="shared" si="30"/>
        <v>8.1738610493752879E-3</v>
      </c>
    </row>
    <row r="634" spans="1:7" x14ac:dyDescent="0.2">
      <c r="A634" s="12">
        <v>37820</v>
      </c>
      <c r="D634" s="9">
        <v>216.07</v>
      </c>
      <c r="E634" s="9">
        <f t="shared" si="28"/>
        <v>3.5700248872613635E-3</v>
      </c>
      <c r="F634" s="9">
        <f t="shared" si="29"/>
        <v>3.106963891257903E-2</v>
      </c>
      <c r="G634" s="9">
        <f t="shared" si="30"/>
        <v>8.1408852267712637E-3</v>
      </c>
    </row>
    <row r="635" spans="1:7" x14ac:dyDescent="0.2">
      <c r="A635" s="12">
        <v>37823</v>
      </c>
      <c r="D635" s="9">
        <v>214.94</v>
      </c>
      <c r="E635" s="9">
        <f t="shared" si="28"/>
        <v>-5.2435098445715537E-3</v>
      </c>
      <c r="F635" s="9">
        <f t="shared" si="29"/>
        <v>6.0197573229731792E-3</v>
      </c>
      <c r="G635" s="9">
        <f t="shared" si="30"/>
        <v>7.4001814731718372E-3</v>
      </c>
    </row>
    <row r="636" spans="1:7" x14ac:dyDescent="0.2">
      <c r="A636" s="12">
        <v>37824</v>
      </c>
      <c r="D636" s="9">
        <v>212.77</v>
      </c>
      <c r="E636" s="9">
        <f t="shared" si="28"/>
        <v>-1.0147149327380763E-2</v>
      </c>
      <c r="F636" s="9">
        <f t="shared" si="29"/>
        <v>-5.0163017450371447E-3</v>
      </c>
      <c r="G636" s="9">
        <f t="shared" si="30"/>
        <v>7.6353567493825623E-3</v>
      </c>
    </row>
    <row r="637" spans="1:7" x14ac:dyDescent="0.2">
      <c r="A637" s="12">
        <v>37825</v>
      </c>
      <c r="D637" s="9">
        <v>214.68</v>
      </c>
      <c r="E637" s="9">
        <f t="shared" si="28"/>
        <v>8.9367772230016171E-3</v>
      </c>
      <c r="F637" s="9">
        <f t="shared" si="29"/>
        <v>-5.7131068791944515E-3</v>
      </c>
      <c r="G637" s="9">
        <f t="shared" si="30"/>
        <v>7.6055160923241497E-3</v>
      </c>
    </row>
    <row r="638" spans="1:7" x14ac:dyDescent="0.2">
      <c r="A638" s="12">
        <v>37826</v>
      </c>
      <c r="D638" s="9">
        <v>217.29</v>
      </c>
      <c r="E638" s="9">
        <f t="shared" si="28"/>
        <v>1.2084319566716167E-2</v>
      </c>
      <c r="F638" s="9">
        <f t="shared" si="29"/>
        <v>1.1972740424497227E-3</v>
      </c>
      <c r="G638" s="9">
        <f t="shared" si="30"/>
        <v>7.8735123791283702E-3</v>
      </c>
    </row>
    <row r="639" spans="1:7" x14ac:dyDescent="0.2">
      <c r="A639" s="12">
        <v>37827</v>
      </c>
      <c r="D639" s="9">
        <v>215.8</v>
      </c>
      <c r="E639" s="9">
        <f t="shared" si="28"/>
        <v>-6.8808140513100108E-3</v>
      </c>
      <c r="F639" s="9">
        <f t="shared" si="29"/>
        <v>-1.3429347453469214E-3</v>
      </c>
      <c r="G639" s="9">
        <f t="shared" si="30"/>
        <v>7.9356596594314256E-3</v>
      </c>
    </row>
    <row r="640" spans="1:7" x14ac:dyDescent="0.2">
      <c r="A640" s="12">
        <v>37830</v>
      </c>
      <c r="D640" s="9">
        <v>215.19</v>
      </c>
      <c r="E640" s="9">
        <f t="shared" si="28"/>
        <v>-2.8306940175815884E-3</v>
      </c>
      <c r="F640" s="9">
        <f t="shared" si="29"/>
        <v>-1.0171616662634907E-2</v>
      </c>
      <c r="G640" s="9">
        <f t="shared" si="30"/>
        <v>7.8672487678070023E-3</v>
      </c>
    </row>
    <row r="641" spans="1:7" x14ac:dyDescent="0.2">
      <c r="A641" s="12">
        <v>37831</v>
      </c>
      <c r="D641" s="9">
        <v>214.29</v>
      </c>
      <c r="E641" s="9">
        <f t="shared" si="28"/>
        <v>-4.1911209714620206E-3</v>
      </c>
      <c r="F641" s="9">
        <f t="shared" si="29"/>
        <v>-1.1183670707322547E-2</v>
      </c>
      <c r="G641" s="9">
        <f t="shared" si="30"/>
        <v>7.8820028459342956E-3</v>
      </c>
    </row>
    <row r="642" spans="1:7" x14ac:dyDescent="0.2">
      <c r="A642" s="12">
        <v>37832</v>
      </c>
      <c r="D642" s="9">
        <v>214.56</v>
      </c>
      <c r="E642" s="9">
        <f t="shared" si="28"/>
        <v>1.2591816983776015E-3</v>
      </c>
      <c r="F642" s="9">
        <f t="shared" si="29"/>
        <v>-1.3379519510278907E-2</v>
      </c>
      <c r="G642" s="9">
        <f t="shared" si="30"/>
        <v>7.8553814150307023E-3</v>
      </c>
    </row>
    <row r="643" spans="1:7" x14ac:dyDescent="0.2">
      <c r="A643" s="12">
        <v>37833</v>
      </c>
      <c r="D643" s="9">
        <v>214.52</v>
      </c>
      <c r="E643" s="9">
        <f t="shared" si="28"/>
        <v>-1.8644541864391555E-4</v>
      </c>
      <c r="F643" s="9">
        <f t="shared" si="29"/>
        <v>2.4269590928729899E-3</v>
      </c>
      <c r="G643" s="9">
        <f t="shared" si="30"/>
        <v>7.2861118597465999E-3</v>
      </c>
    </row>
    <row r="644" spans="1:7" x14ac:dyDescent="0.2">
      <c r="A644" s="12">
        <v>37834</v>
      </c>
      <c r="D644" s="9">
        <v>213.66</v>
      </c>
      <c r="E644" s="9">
        <f t="shared" ref="E644:E707" si="31">LN(D644/D643)</f>
        <v>-4.017007596983123E-3</v>
      </c>
      <c r="F644" s="9">
        <f t="shared" si="29"/>
        <v>-1.066093288896878E-2</v>
      </c>
      <c r="G644" s="9">
        <f t="shared" si="30"/>
        <v>7.1191790082798861E-3</v>
      </c>
    </row>
    <row r="645" spans="1:7" x14ac:dyDescent="0.2">
      <c r="A645" s="12">
        <v>37837</v>
      </c>
      <c r="D645" s="9">
        <v>212.6</v>
      </c>
      <c r="E645" s="9">
        <f t="shared" si="31"/>
        <v>-4.9735006098938217E-3</v>
      </c>
      <c r="F645" s="9">
        <f t="shared" si="29"/>
        <v>-1.3873216877494762E-2</v>
      </c>
      <c r="G645" s="9">
        <f t="shared" si="30"/>
        <v>7.1650622281222423E-3</v>
      </c>
    </row>
    <row r="646" spans="1:7" x14ac:dyDescent="0.2">
      <c r="A646" s="12">
        <v>37838</v>
      </c>
      <c r="D646" s="9">
        <v>214.26</v>
      </c>
      <c r="E646" s="9">
        <f t="shared" si="31"/>
        <v>7.7777649265644297E-3</v>
      </c>
      <c r="F646" s="9">
        <f t="shared" si="29"/>
        <v>1.4946289564271823E-3</v>
      </c>
      <c r="G646" s="9">
        <f t="shared" si="30"/>
        <v>7.1872270771238915E-3</v>
      </c>
    </row>
    <row r="647" spans="1:7" x14ac:dyDescent="0.2">
      <c r="A647" s="12">
        <v>37839</v>
      </c>
      <c r="D647" s="9">
        <v>216.79</v>
      </c>
      <c r="E647" s="9">
        <f t="shared" si="31"/>
        <v>1.1738912206012742E-2</v>
      </c>
      <c r="F647" s="9">
        <f t="shared" si="29"/>
        <v>9.920348369855057E-3</v>
      </c>
      <c r="G647" s="9">
        <f t="shared" si="30"/>
        <v>7.477897528872143E-3</v>
      </c>
    </row>
    <row r="648" spans="1:7" x14ac:dyDescent="0.2">
      <c r="A648" s="12">
        <v>37840</v>
      </c>
      <c r="D648" s="9">
        <v>220.52</v>
      </c>
      <c r="E648" s="9">
        <f t="shared" si="31"/>
        <v>1.7059250681058128E-2</v>
      </c>
      <c r="F648" s="9">
        <f t="shared" si="29"/>
        <v>3.0433027907769142E-2</v>
      </c>
      <c r="G648" s="9">
        <f t="shared" si="30"/>
        <v>8.0368753417763821E-3</v>
      </c>
    </row>
    <row r="649" spans="1:7" x14ac:dyDescent="0.2">
      <c r="A649" s="12">
        <v>37841</v>
      </c>
      <c r="D649" s="9">
        <v>222.5</v>
      </c>
      <c r="E649" s="9">
        <f t="shared" si="31"/>
        <v>8.9387078848120888E-3</v>
      </c>
      <c r="F649" s="9">
        <f t="shared" si="29"/>
        <v>2.2038833607988303E-2</v>
      </c>
      <c r="G649" s="9">
        <f t="shared" si="30"/>
        <v>7.5824265057142081E-3</v>
      </c>
    </row>
    <row r="650" spans="1:7" x14ac:dyDescent="0.2">
      <c r="A650" s="12">
        <v>37844</v>
      </c>
      <c r="D650" s="9">
        <v>223.41</v>
      </c>
      <c r="E650" s="9">
        <f t="shared" si="31"/>
        <v>4.0815467843688938E-3</v>
      </c>
      <c r="F650" s="9">
        <f t="shared" si="29"/>
        <v>3.8835844742198936E-2</v>
      </c>
      <c r="G650" s="9">
        <f t="shared" si="30"/>
        <v>7.1635928070269E-3</v>
      </c>
    </row>
    <row r="651" spans="1:7" x14ac:dyDescent="0.2">
      <c r="A651" s="12">
        <v>37845</v>
      </c>
      <c r="D651" s="9">
        <v>225.07</v>
      </c>
      <c r="E651" s="9">
        <f t="shared" si="31"/>
        <v>7.4028165398408088E-3</v>
      </c>
      <c r="F651" s="9">
        <f t="shared" si="29"/>
        <v>5.591773995579221E-2</v>
      </c>
      <c r="G651" s="9">
        <f t="shared" si="30"/>
        <v>6.9365587309943317E-3</v>
      </c>
    </row>
    <row r="652" spans="1:7" x14ac:dyDescent="0.2">
      <c r="A652" s="12">
        <v>37846</v>
      </c>
      <c r="D652" s="9">
        <v>228.76</v>
      </c>
      <c r="E652" s="9">
        <f t="shared" si="31"/>
        <v>1.6261954116610772E-2</v>
      </c>
      <c r="F652" s="9">
        <f t="shared" si="29"/>
        <v>6.1291481642073625E-2</v>
      </c>
      <c r="G652" s="9">
        <f t="shared" si="30"/>
        <v>7.2403621462413534E-3</v>
      </c>
    </row>
    <row r="653" spans="1:7" x14ac:dyDescent="0.2">
      <c r="A653" s="12">
        <v>37847</v>
      </c>
      <c r="D653" s="9">
        <v>229.3</v>
      </c>
      <c r="E653" s="9">
        <f t="shared" si="31"/>
        <v>2.3577708167434814E-3</v>
      </c>
      <c r="F653" s="9">
        <f t="shared" si="29"/>
        <v>6.6441770330490466E-2</v>
      </c>
      <c r="G653" s="9">
        <f t="shared" si="30"/>
        <v>7.1825810187941576E-3</v>
      </c>
    </row>
    <row r="654" spans="1:7" x14ac:dyDescent="0.2">
      <c r="A654" s="12">
        <v>37848</v>
      </c>
      <c r="D654" s="9">
        <v>232.72</v>
      </c>
      <c r="E654" s="9">
        <f t="shared" si="31"/>
        <v>1.4804824323087287E-2</v>
      </c>
      <c r="F654" s="9">
        <f t="shared" si="29"/>
        <v>8.1572896952242638E-2</v>
      </c>
      <c r="G654" s="9">
        <f t="shared" si="30"/>
        <v>7.5212725757833688E-3</v>
      </c>
    </row>
    <row r="655" spans="1:7" x14ac:dyDescent="0.2">
      <c r="A655" s="12">
        <v>37851</v>
      </c>
      <c r="D655" s="9">
        <v>233.1</v>
      </c>
      <c r="E655" s="9">
        <f t="shared" si="31"/>
        <v>1.6315318547651442E-3</v>
      </c>
      <c r="F655" s="9">
        <f t="shared" si="29"/>
        <v>8.0039132676351793E-2</v>
      </c>
      <c r="G655" s="9">
        <f t="shared" si="30"/>
        <v>7.5233475265130655E-3</v>
      </c>
    </row>
    <row r="656" spans="1:7" x14ac:dyDescent="0.2">
      <c r="A656" s="12">
        <v>37852</v>
      </c>
      <c r="D656" s="9">
        <v>239.38</v>
      </c>
      <c r="E656" s="9">
        <f t="shared" si="31"/>
        <v>2.6584701403513038E-2</v>
      </c>
      <c r="F656" s="9">
        <f t="shared" si="29"/>
        <v>0.11511823781121551</v>
      </c>
      <c r="G656" s="9">
        <f t="shared" si="30"/>
        <v>8.4032326268742418E-3</v>
      </c>
    </row>
    <row r="657" spans="1:7" x14ac:dyDescent="0.2">
      <c r="A657" s="12">
        <v>37853</v>
      </c>
      <c r="D657" s="9">
        <v>245.08</v>
      </c>
      <c r="E657" s="9">
        <f t="shared" si="31"/>
        <v>2.3532440412229554E-2</v>
      </c>
      <c r="F657" s="9">
        <f t="shared" si="29"/>
        <v>0.14038642327021628</v>
      </c>
      <c r="G657" s="9">
        <f t="shared" si="30"/>
        <v>9.0656105430302475E-3</v>
      </c>
    </row>
    <row r="658" spans="1:7" x14ac:dyDescent="0.2">
      <c r="A658" s="12">
        <v>37854</v>
      </c>
      <c r="D658" s="9">
        <v>242.38</v>
      </c>
      <c r="E658" s="9">
        <f t="shared" si="31"/>
        <v>-1.1077945317112536E-2</v>
      </c>
      <c r="F658" s="9">
        <f t="shared" si="29"/>
        <v>0.1309061475754062</v>
      </c>
      <c r="G658" s="9">
        <f t="shared" si="30"/>
        <v>9.4490882807139586E-3</v>
      </c>
    </row>
    <row r="659" spans="1:7" x14ac:dyDescent="0.2">
      <c r="A659" s="12">
        <v>37855</v>
      </c>
      <c r="D659" s="9">
        <v>238.5</v>
      </c>
      <c r="E659" s="9">
        <f t="shared" si="31"/>
        <v>-1.6137432211945361E-2</v>
      </c>
      <c r="F659" s="9">
        <f t="shared" si="29"/>
        <v>0.1156155749765285</v>
      </c>
      <c r="G659" s="9">
        <f t="shared" si="30"/>
        <v>1.0127839691727552E-2</v>
      </c>
    </row>
    <row r="660" spans="1:7" x14ac:dyDescent="0.2">
      <c r="A660" s="12">
        <v>37858</v>
      </c>
      <c r="D660" s="9">
        <v>237.31</v>
      </c>
      <c r="E660" s="9">
        <f t="shared" si="31"/>
        <v>-5.0020070244691092E-3</v>
      </c>
      <c r="F660" s="9">
        <f t="shared" si="29"/>
        <v>0.10059147310732862</v>
      </c>
      <c r="G660" s="9">
        <f t="shared" si="30"/>
        <v>1.0183617474017604E-2</v>
      </c>
    </row>
    <row r="661" spans="1:7" x14ac:dyDescent="0.2">
      <c r="A661" s="12">
        <v>37859</v>
      </c>
      <c r="D661" s="9">
        <v>240.69</v>
      </c>
      <c r="E661" s="9">
        <f t="shared" si="31"/>
        <v>1.4142495129747497E-2</v>
      </c>
      <c r="F661" s="9">
        <f t="shared" si="29"/>
        <v>0.1084165930835881</v>
      </c>
      <c r="G661" s="9">
        <f t="shared" si="30"/>
        <v>1.0360834266196921E-2</v>
      </c>
    </row>
    <row r="662" spans="1:7" x14ac:dyDescent="0.2">
      <c r="A662" s="12">
        <v>37860</v>
      </c>
      <c r="D662" s="9">
        <v>242.74</v>
      </c>
      <c r="E662" s="9">
        <f t="shared" si="31"/>
        <v>8.4811132445410664E-3</v>
      </c>
      <c r="F662" s="9">
        <f t="shared" si="29"/>
        <v>0.11574075407375606</v>
      </c>
      <c r="G662" s="9">
        <f t="shared" si="30"/>
        <v>1.0387201963270361E-2</v>
      </c>
    </row>
    <row r="663" spans="1:7" x14ac:dyDescent="0.2">
      <c r="A663" s="12">
        <v>37861</v>
      </c>
      <c r="D663" s="9">
        <v>242.36</v>
      </c>
      <c r="E663" s="9">
        <f t="shared" si="31"/>
        <v>-1.5666876014271095E-3</v>
      </c>
      <c r="F663" s="9">
        <f t="shared" si="29"/>
        <v>0.11839181970647093</v>
      </c>
      <c r="G663" s="9">
        <f t="shared" si="30"/>
        <v>1.0327232186721684E-2</v>
      </c>
    </row>
    <row r="664" spans="1:7" x14ac:dyDescent="0.2">
      <c r="A664" s="12">
        <v>37862</v>
      </c>
      <c r="D664" s="9">
        <v>242.16</v>
      </c>
      <c r="E664" s="9">
        <f t="shared" si="31"/>
        <v>-8.2555936332515882E-4</v>
      </c>
      <c r="F664" s="9">
        <f t="shared" si="29"/>
        <v>0.11399623545588453</v>
      </c>
      <c r="G664" s="9">
        <f t="shared" si="30"/>
        <v>1.0363872696694264E-2</v>
      </c>
    </row>
    <row r="665" spans="1:7" x14ac:dyDescent="0.2">
      <c r="A665" s="12">
        <v>37865</v>
      </c>
      <c r="D665" s="9">
        <v>244.46</v>
      </c>
      <c r="E665" s="9">
        <f t="shared" si="31"/>
        <v>9.4530316356534888E-3</v>
      </c>
      <c r="F665" s="9">
        <f t="shared" si="29"/>
        <v>0.12869277693610962</v>
      </c>
      <c r="G665" s="9">
        <f t="shared" si="30"/>
        <v>1.0268568772826931E-2</v>
      </c>
    </row>
    <row r="666" spans="1:7" x14ac:dyDescent="0.2">
      <c r="A666" s="12">
        <v>37866</v>
      </c>
      <c r="D666" s="9">
        <v>249.13</v>
      </c>
      <c r="E666" s="9">
        <f t="shared" si="31"/>
        <v>1.8923152228297761E-2</v>
      </c>
      <c r="F666" s="9">
        <f t="shared" si="29"/>
        <v>0.15776307849178803</v>
      </c>
      <c r="G666" s="9">
        <f t="shared" si="30"/>
        <v>1.0230792065077205E-2</v>
      </c>
    </row>
    <row r="667" spans="1:7" x14ac:dyDescent="0.2">
      <c r="A667" s="12">
        <v>37867</v>
      </c>
      <c r="D667" s="9">
        <v>256.05</v>
      </c>
      <c r="E667" s="9">
        <f t="shared" si="31"/>
        <v>2.7397889331144728E-2</v>
      </c>
      <c r="F667" s="9">
        <f t="shared" si="29"/>
        <v>0.17622419059993116</v>
      </c>
      <c r="G667" s="9">
        <f t="shared" si="30"/>
        <v>1.0986914715767369E-2</v>
      </c>
    </row>
    <row r="668" spans="1:7" x14ac:dyDescent="0.2">
      <c r="A668" s="12">
        <v>37868</v>
      </c>
      <c r="D668" s="9">
        <v>254.59</v>
      </c>
      <c r="E668" s="9">
        <f t="shared" si="31"/>
        <v>-5.7183298543484013E-3</v>
      </c>
      <c r="F668" s="9">
        <f t="shared" si="29"/>
        <v>0.15842154117886662</v>
      </c>
      <c r="G668" s="9">
        <f t="shared" si="30"/>
        <v>1.1119896880792884E-2</v>
      </c>
    </row>
    <row r="669" spans="1:7" x14ac:dyDescent="0.2">
      <c r="A669" s="12">
        <v>37869</v>
      </c>
      <c r="D669" s="9">
        <v>252.2</v>
      </c>
      <c r="E669" s="9">
        <f t="shared" si="31"/>
        <v>-9.4319845233917978E-3</v>
      </c>
      <c r="F669" s="9">
        <f t="shared" si="29"/>
        <v>0.15587037070678481</v>
      </c>
      <c r="G669" s="9">
        <f t="shared" si="30"/>
        <v>1.122536367189993E-2</v>
      </c>
    </row>
    <row r="670" spans="1:7" x14ac:dyDescent="0.2">
      <c r="A670" s="12">
        <v>37872</v>
      </c>
      <c r="D670" s="9">
        <v>250.64</v>
      </c>
      <c r="E670" s="9">
        <f t="shared" si="31"/>
        <v>-6.2047768868828696E-3</v>
      </c>
      <c r="F670" s="9">
        <f t="shared" si="29"/>
        <v>0.15249628783748348</v>
      </c>
      <c r="G670" s="9">
        <f t="shared" si="30"/>
        <v>1.1325015257693402E-2</v>
      </c>
    </row>
    <row r="671" spans="1:7" x14ac:dyDescent="0.2">
      <c r="A671" s="12">
        <v>37873</v>
      </c>
      <c r="D671" s="9">
        <v>248.95</v>
      </c>
      <c r="E671" s="9">
        <f t="shared" si="31"/>
        <v>-6.765573555744535E-3</v>
      </c>
      <c r="F671" s="9">
        <f t="shared" si="29"/>
        <v>0.14992183525320088</v>
      </c>
      <c r="G671" s="9">
        <f t="shared" si="30"/>
        <v>1.140717057433549E-2</v>
      </c>
    </row>
    <row r="672" spans="1:7" x14ac:dyDescent="0.2">
      <c r="A672" s="12">
        <v>37874</v>
      </c>
      <c r="D672" s="9">
        <v>246.82</v>
      </c>
      <c r="E672" s="9">
        <f t="shared" si="31"/>
        <v>-8.592747063154195E-3</v>
      </c>
      <c r="F672" s="9">
        <f t="shared" si="29"/>
        <v>0.14006990649166909</v>
      </c>
      <c r="G672" s="9">
        <f t="shared" si="30"/>
        <v>1.1657563828068873E-2</v>
      </c>
    </row>
    <row r="673" spans="1:7" x14ac:dyDescent="0.2">
      <c r="A673" s="12">
        <v>37875</v>
      </c>
      <c r="D673" s="9">
        <v>250.55</v>
      </c>
      <c r="E673" s="9">
        <f t="shared" si="31"/>
        <v>1.4999175380696173E-2</v>
      </c>
      <c r="F673" s="9">
        <f t="shared" ref="F673:F736" si="32">LN(D673/D643)</f>
        <v>0.15525552729100922</v>
      </c>
      <c r="G673" s="9">
        <f t="shared" si="30"/>
        <v>1.1768625057102893E-2</v>
      </c>
    </row>
    <row r="674" spans="1:7" x14ac:dyDescent="0.2">
      <c r="A674" s="12">
        <v>37876</v>
      </c>
      <c r="D674" s="9">
        <v>251.93</v>
      </c>
      <c r="E674" s="9">
        <f t="shared" si="31"/>
        <v>5.4927697405189688E-3</v>
      </c>
      <c r="F674" s="9">
        <f t="shared" si="32"/>
        <v>0.16476530462851127</v>
      </c>
      <c r="G674" s="9">
        <f t="shared" si="30"/>
        <v>1.1639862360242547E-2</v>
      </c>
    </row>
    <row r="675" spans="1:7" x14ac:dyDescent="0.2">
      <c r="A675" s="12">
        <v>37879</v>
      </c>
      <c r="D675" s="9">
        <v>252.62</v>
      </c>
      <c r="E675" s="9">
        <f t="shared" si="31"/>
        <v>2.7351121995764444E-3</v>
      </c>
      <c r="F675" s="9">
        <f t="shared" si="32"/>
        <v>0.17247391743798168</v>
      </c>
      <c r="G675" s="9">
        <f t="shared" si="30"/>
        <v>1.1484916226839451E-2</v>
      </c>
    </row>
    <row r="676" spans="1:7" x14ac:dyDescent="0.2">
      <c r="A676" s="12">
        <v>37880</v>
      </c>
      <c r="D676" s="9">
        <v>251.19</v>
      </c>
      <c r="E676" s="9">
        <f t="shared" si="31"/>
        <v>-5.6767584613790674E-3</v>
      </c>
      <c r="F676" s="9">
        <f t="shared" si="32"/>
        <v>0.1590193940500382</v>
      </c>
      <c r="G676" s="9">
        <f t="shared" si="30"/>
        <v>1.1664264856314631E-2</v>
      </c>
    </row>
    <row r="677" spans="1:7" x14ac:dyDescent="0.2">
      <c r="A677" s="12">
        <v>37881</v>
      </c>
      <c r="D677" s="9">
        <v>251.74</v>
      </c>
      <c r="E677" s="9">
        <f t="shared" si="31"/>
        <v>2.187183978908856E-3</v>
      </c>
      <c r="F677" s="9">
        <f t="shared" si="32"/>
        <v>0.14946766582293416</v>
      </c>
      <c r="G677" s="9">
        <f t="shared" si="30"/>
        <v>1.1612713549851239E-2</v>
      </c>
    </row>
    <row r="678" spans="1:7" x14ac:dyDescent="0.2">
      <c r="A678" s="12">
        <v>37882</v>
      </c>
      <c r="D678" s="9">
        <v>252.55</v>
      </c>
      <c r="E678" s="9">
        <f t="shared" si="31"/>
        <v>3.2124400507026955E-3</v>
      </c>
      <c r="F678" s="9">
        <f t="shared" si="32"/>
        <v>0.1356208551925788</v>
      </c>
      <c r="G678" s="9">
        <f t="shared" si="30"/>
        <v>1.1389174623898421E-2</v>
      </c>
    </row>
    <row r="679" spans="1:7" x14ac:dyDescent="0.2">
      <c r="A679" s="12">
        <v>37883</v>
      </c>
      <c r="D679" s="9">
        <v>250.5</v>
      </c>
      <c r="E679" s="9">
        <f t="shared" si="31"/>
        <v>-8.1503283891421596E-3</v>
      </c>
      <c r="F679" s="9">
        <f t="shared" si="32"/>
        <v>0.11853181891862455</v>
      </c>
      <c r="G679" s="9">
        <f t="shared" ref="G679:G742" si="33">STDEV(E650:E679)</f>
        <v>1.1586239097383468E-2</v>
      </c>
    </row>
    <row r="680" spans="1:7" x14ac:dyDescent="0.2">
      <c r="A680" s="12">
        <v>37886</v>
      </c>
      <c r="D680" s="9">
        <v>245.87</v>
      </c>
      <c r="E680" s="9">
        <f t="shared" si="31"/>
        <v>-1.8655979558815896E-2</v>
      </c>
      <c r="F680" s="9">
        <f t="shared" si="32"/>
        <v>9.5794292575439685E-2</v>
      </c>
      <c r="G680" s="9">
        <f t="shared" si="33"/>
        <v>1.2299166253745138E-2</v>
      </c>
    </row>
    <row r="681" spans="1:7" x14ac:dyDescent="0.2">
      <c r="A681" s="12">
        <v>37887</v>
      </c>
      <c r="D681" s="9">
        <v>247.01</v>
      </c>
      <c r="E681" s="9">
        <f t="shared" si="31"/>
        <v>4.6258806723040629E-3</v>
      </c>
      <c r="F681" s="9">
        <f t="shared" si="32"/>
        <v>9.3017356707902857E-2</v>
      </c>
      <c r="G681" s="9">
        <f t="shared" si="33"/>
        <v>1.2276820837242238E-2</v>
      </c>
    </row>
    <row r="682" spans="1:7" x14ac:dyDescent="0.2">
      <c r="A682" s="12">
        <v>37888</v>
      </c>
      <c r="D682" s="9">
        <v>248.28</v>
      </c>
      <c r="E682" s="9">
        <f t="shared" si="31"/>
        <v>5.1283199070443651E-3</v>
      </c>
      <c r="F682" s="9">
        <f t="shared" si="32"/>
        <v>8.1883722498336517E-2</v>
      </c>
      <c r="G682" s="9">
        <f t="shared" si="33"/>
        <v>1.2031062623345351E-2</v>
      </c>
    </row>
    <row r="683" spans="1:7" x14ac:dyDescent="0.2">
      <c r="A683" s="12">
        <v>37889</v>
      </c>
      <c r="D683" s="9">
        <v>246.23</v>
      </c>
      <c r="E683" s="9">
        <f t="shared" si="31"/>
        <v>-8.2910830657480193E-3</v>
      </c>
      <c r="F683" s="9">
        <f t="shared" si="32"/>
        <v>7.1234868615845159E-2</v>
      </c>
      <c r="G683" s="9">
        <f t="shared" si="33"/>
        <v>1.2198334811250081E-2</v>
      </c>
    </row>
    <row r="684" spans="1:7" x14ac:dyDescent="0.2">
      <c r="A684" s="12">
        <v>37890</v>
      </c>
      <c r="D684" s="9">
        <v>245.53</v>
      </c>
      <c r="E684" s="9">
        <f t="shared" si="31"/>
        <v>-2.8469191182226889E-3</v>
      </c>
      <c r="F684" s="9">
        <f t="shared" si="32"/>
        <v>5.3583125174534986E-2</v>
      </c>
      <c r="G684" s="9">
        <f t="shared" si="33"/>
        <v>1.2002220711457673E-2</v>
      </c>
    </row>
    <row r="685" spans="1:7" x14ac:dyDescent="0.2">
      <c r="A685" s="12">
        <v>37893</v>
      </c>
      <c r="D685" s="9">
        <v>242.2</v>
      </c>
      <c r="E685" s="9">
        <f t="shared" si="31"/>
        <v>-1.3655308242489415E-2</v>
      </c>
      <c r="F685" s="9">
        <f t="shared" si="32"/>
        <v>3.8296285077280327E-2</v>
      </c>
      <c r="G685" s="9">
        <f t="shared" si="33"/>
        <v>1.232906504311815E-2</v>
      </c>
    </row>
    <row r="686" spans="1:7" x14ac:dyDescent="0.2">
      <c r="A686" s="12">
        <v>37894</v>
      </c>
      <c r="D686" s="9">
        <v>238.19</v>
      </c>
      <c r="E686" s="9">
        <f t="shared" si="31"/>
        <v>-1.6695156607168717E-2</v>
      </c>
      <c r="F686" s="9">
        <f t="shared" si="32"/>
        <v>-4.9835729334012794E-3</v>
      </c>
      <c r="G686" s="9">
        <f t="shared" si="33"/>
        <v>1.178574590185193E-2</v>
      </c>
    </row>
    <row r="687" spans="1:7" x14ac:dyDescent="0.2">
      <c r="A687" s="12">
        <v>37895</v>
      </c>
      <c r="D687" s="9">
        <v>243.14</v>
      </c>
      <c r="E687" s="9">
        <f t="shared" si="31"/>
        <v>2.0568734615824813E-2</v>
      </c>
      <c r="F687" s="9">
        <f t="shared" si="32"/>
        <v>-7.9472787298059764E-3</v>
      </c>
      <c r="G687" s="9">
        <f t="shared" si="33"/>
        <v>1.1591063796400314E-2</v>
      </c>
    </row>
    <row r="688" spans="1:7" x14ac:dyDescent="0.2">
      <c r="A688" s="12">
        <v>37896</v>
      </c>
      <c r="D688" s="9">
        <v>246</v>
      </c>
      <c r="E688" s="9">
        <f t="shared" si="31"/>
        <v>1.1694126804714969E-2</v>
      </c>
      <c r="F688" s="9">
        <f t="shared" si="32"/>
        <v>1.4824793392021434E-2</v>
      </c>
      <c r="G688" s="9">
        <f t="shared" si="33"/>
        <v>1.1604162836057934E-2</v>
      </c>
    </row>
    <row r="689" spans="1:7" x14ac:dyDescent="0.2">
      <c r="A689" s="12">
        <v>37897</v>
      </c>
      <c r="D689" s="9">
        <v>248.49</v>
      </c>
      <c r="E689" s="9">
        <f t="shared" si="31"/>
        <v>1.0071067345919759E-2</v>
      </c>
      <c r="F689" s="9">
        <f t="shared" si="32"/>
        <v>4.1033292949886675E-2</v>
      </c>
      <c r="G689" s="9">
        <f t="shared" si="33"/>
        <v>1.1291211692963944E-2</v>
      </c>
    </row>
    <row r="690" spans="1:7" x14ac:dyDescent="0.2">
      <c r="A690" s="12">
        <v>37900</v>
      </c>
      <c r="D690" s="9">
        <v>250.09</v>
      </c>
      <c r="E690" s="9">
        <f t="shared" si="31"/>
        <v>6.4182497995117112E-3</v>
      </c>
      <c r="F690" s="9">
        <f t="shared" si="32"/>
        <v>5.2453549773867542E-2</v>
      </c>
      <c r="G690" s="9">
        <f t="shared" si="33"/>
        <v>1.1261527602725639E-2</v>
      </c>
    </row>
    <row r="691" spans="1:7" x14ac:dyDescent="0.2">
      <c r="A691" s="12">
        <v>37901</v>
      </c>
      <c r="D691" s="9">
        <v>248.61</v>
      </c>
      <c r="E691" s="9">
        <f t="shared" si="31"/>
        <v>-5.9354495487333719E-3</v>
      </c>
      <c r="F691" s="9">
        <f t="shared" si="32"/>
        <v>3.2375605095386659E-2</v>
      </c>
      <c r="G691" s="9">
        <f t="shared" si="33"/>
        <v>1.1094936211528119E-2</v>
      </c>
    </row>
    <row r="692" spans="1:7" x14ac:dyDescent="0.2">
      <c r="A692" s="12">
        <v>37902</v>
      </c>
      <c r="D692" s="9">
        <v>249.93</v>
      </c>
      <c r="E692" s="9">
        <f t="shared" si="31"/>
        <v>5.2954751258668048E-3</v>
      </c>
      <c r="F692" s="9">
        <f t="shared" si="32"/>
        <v>2.9189966976712074E-2</v>
      </c>
      <c r="G692" s="9">
        <f t="shared" si="33"/>
        <v>1.1036742667651422E-2</v>
      </c>
    </row>
    <row r="693" spans="1:7" x14ac:dyDescent="0.2">
      <c r="A693" s="12">
        <v>37903</v>
      </c>
      <c r="D693" s="9">
        <v>251</v>
      </c>
      <c r="E693" s="9">
        <f t="shared" si="31"/>
        <v>4.2720604768562622E-3</v>
      </c>
      <c r="F693" s="9">
        <f t="shared" si="32"/>
        <v>3.5028715054995441E-2</v>
      </c>
      <c r="G693" s="9">
        <f t="shared" si="33"/>
        <v>1.1041892651433211E-2</v>
      </c>
    </row>
    <row r="694" spans="1:7" x14ac:dyDescent="0.2">
      <c r="A694" s="12">
        <v>37904</v>
      </c>
      <c r="D694" s="9">
        <v>249.42</v>
      </c>
      <c r="E694" s="9">
        <f t="shared" si="31"/>
        <v>-6.3147166391828375E-3</v>
      </c>
      <c r="F694" s="9">
        <f t="shared" si="32"/>
        <v>2.9539557779137911E-2</v>
      </c>
      <c r="G694" s="9">
        <f t="shared" si="33"/>
        <v>1.1121254401730308E-2</v>
      </c>
    </row>
    <row r="695" spans="1:7" x14ac:dyDescent="0.2">
      <c r="A695" s="12">
        <v>37907</v>
      </c>
      <c r="D695" s="9">
        <v>254.02</v>
      </c>
      <c r="E695" s="9">
        <f t="shared" si="31"/>
        <v>1.8274781583572475E-2</v>
      </c>
      <c r="F695" s="9">
        <f t="shared" si="32"/>
        <v>3.8361307727056614E-2</v>
      </c>
      <c r="G695" s="9">
        <f t="shared" si="33"/>
        <v>1.1464228780127516E-2</v>
      </c>
    </row>
    <row r="696" spans="1:7" x14ac:dyDescent="0.2">
      <c r="A696" s="12">
        <v>37908</v>
      </c>
      <c r="D696" s="9">
        <v>256.05</v>
      </c>
      <c r="E696" s="9">
        <f t="shared" si="31"/>
        <v>7.9597338323858843E-3</v>
      </c>
      <c r="F696" s="9">
        <f t="shared" si="32"/>
        <v>2.7397889331144728E-2</v>
      </c>
      <c r="G696" s="9">
        <f t="shared" si="33"/>
        <v>1.104962301789157E-2</v>
      </c>
    </row>
    <row r="697" spans="1:7" x14ac:dyDescent="0.2">
      <c r="A697" s="12">
        <v>37909</v>
      </c>
      <c r="D697" s="9">
        <v>259.56</v>
      </c>
      <c r="E697" s="9">
        <f t="shared" si="31"/>
        <v>1.3615151844408367E-2</v>
      </c>
      <c r="F697" s="9">
        <f t="shared" si="32"/>
        <v>1.3615151844408367E-2</v>
      </c>
      <c r="G697" s="9">
        <f t="shared" si="33"/>
        <v>1.0161287787595659E-2</v>
      </c>
    </row>
    <row r="698" spans="1:7" x14ac:dyDescent="0.2">
      <c r="A698" s="12">
        <v>37910</v>
      </c>
      <c r="D698" s="9">
        <v>260.2</v>
      </c>
      <c r="E698" s="9">
        <f t="shared" si="31"/>
        <v>2.4626763254372141E-3</v>
      </c>
      <c r="F698" s="9">
        <f t="shared" si="32"/>
        <v>2.1796158024193928E-2</v>
      </c>
      <c r="G698" s="9">
        <f t="shared" si="33"/>
        <v>1.0099522218868217E-2</v>
      </c>
    </row>
    <row r="699" spans="1:7" x14ac:dyDescent="0.2">
      <c r="A699" s="12">
        <v>37911</v>
      </c>
      <c r="D699" s="9">
        <v>260.52999999999997</v>
      </c>
      <c r="E699" s="9">
        <f t="shared" si="31"/>
        <v>1.2674516320430309E-3</v>
      </c>
      <c r="F699" s="9">
        <f t="shared" si="32"/>
        <v>3.2495594179628787E-2</v>
      </c>
      <c r="G699" s="9">
        <f t="shared" si="33"/>
        <v>9.9156636554992156E-3</v>
      </c>
    </row>
    <row r="700" spans="1:7" x14ac:dyDescent="0.2">
      <c r="A700" s="12">
        <v>37914</v>
      </c>
      <c r="D700" s="9">
        <v>258.87</v>
      </c>
      <c r="E700" s="9">
        <f t="shared" si="31"/>
        <v>-6.3920125221221579E-3</v>
      </c>
      <c r="F700" s="9">
        <f t="shared" si="32"/>
        <v>3.230835854438964E-2</v>
      </c>
      <c r="G700" s="9">
        <f t="shared" si="33"/>
        <v>9.9204668404636633E-3</v>
      </c>
    </row>
    <row r="701" spans="1:7" x14ac:dyDescent="0.2">
      <c r="A701" s="12">
        <v>37915</v>
      </c>
      <c r="D701" s="9">
        <v>259.73</v>
      </c>
      <c r="E701" s="9">
        <f t="shared" si="31"/>
        <v>3.3166247139727752E-3</v>
      </c>
      <c r="F701" s="9">
        <f t="shared" si="32"/>
        <v>4.2390556814106958E-2</v>
      </c>
      <c r="G701" s="9">
        <f t="shared" si="33"/>
        <v>9.8158508553714673E-3</v>
      </c>
    </row>
    <row r="702" spans="1:7" x14ac:dyDescent="0.2">
      <c r="A702" s="12">
        <v>37916</v>
      </c>
      <c r="D702" s="9">
        <v>253.12</v>
      </c>
      <c r="E702" s="9">
        <f t="shared" si="31"/>
        <v>-2.5778945323009648E-2</v>
      </c>
      <c r="F702" s="9">
        <f t="shared" si="32"/>
        <v>2.5204358554251582E-2</v>
      </c>
      <c r="G702" s="9">
        <f t="shared" si="33"/>
        <v>1.0865349785489408E-2</v>
      </c>
    </row>
    <row r="703" spans="1:7" x14ac:dyDescent="0.2">
      <c r="A703" s="12">
        <v>37917</v>
      </c>
      <c r="D703" s="9">
        <v>252.22</v>
      </c>
      <c r="E703" s="9">
        <f t="shared" si="31"/>
        <v>-3.5619620515606881E-3</v>
      </c>
      <c r="F703" s="9">
        <f t="shared" si="32"/>
        <v>6.6432211219946361E-3</v>
      </c>
      <c r="G703" s="9">
        <f t="shared" si="33"/>
        <v>1.0555331236521217E-2</v>
      </c>
    </row>
    <row r="704" spans="1:7" x14ac:dyDescent="0.2">
      <c r="A704" s="12">
        <v>37918</v>
      </c>
      <c r="D704" s="9">
        <v>254.25</v>
      </c>
      <c r="E704" s="9">
        <f t="shared" si="31"/>
        <v>8.0163124009409413E-3</v>
      </c>
      <c r="F704" s="9">
        <f t="shared" si="32"/>
        <v>9.1667637824166606E-3</v>
      </c>
      <c r="G704" s="9">
        <f t="shared" si="33"/>
        <v>1.060870876351387E-2</v>
      </c>
    </row>
    <row r="705" spans="1:7" x14ac:dyDescent="0.2">
      <c r="A705" s="12">
        <v>37921</v>
      </c>
      <c r="D705" s="9">
        <v>256.72000000000003</v>
      </c>
      <c r="E705" s="9">
        <f t="shared" si="31"/>
        <v>9.6679618729321789E-3</v>
      </c>
      <c r="F705" s="9">
        <f t="shared" si="32"/>
        <v>1.6099613455772439E-2</v>
      </c>
      <c r="G705" s="9">
        <f t="shared" si="33"/>
        <v>1.0738178844667807E-2</v>
      </c>
    </row>
    <row r="706" spans="1:7" x14ac:dyDescent="0.2">
      <c r="A706" s="12">
        <v>37922</v>
      </c>
      <c r="D706" s="9">
        <v>258.19</v>
      </c>
      <c r="E706" s="9">
        <f t="shared" si="31"/>
        <v>5.7097511940028918E-3</v>
      </c>
      <c r="F706" s="9">
        <f t="shared" si="32"/>
        <v>2.7486123111154257E-2</v>
      </c>
      <c r="G706" s="9">
        <f t="shared" si="33"/>
        <v>1.0712188922500242E-2</v>
      </c>
    </row>
    <row r="707" spans="1:7" x14ac:dyDescent="0.2">
      <c r="A707" s="12">
        <v>37923</v>
      </c>
      <c r="D707" s="9">
        <v>260.23</v>
      </c>
      <c r="E707" s="9">
        <f t="shared" si="31"/>
        <v>7.8701073629466947E-3</v>
      </c>
      <c r="F707" s="9">
        <f t="shared" si="32"/>
        <v>3.3169046495192284E-2</v>
      </c>
      <c r="G707" s="9">
        <f t="shared" si="33"/>
        <v>1.078543656322024E-2</v>
      </c>
    </row>
    <row r="708" spans="1:7" x14ac:dyDescent="0.2">
      <c r="A708" s="12">
        <v>37924</v>
      </c>
      <c r="D708" s="9">
        <v>260.82</v>
      </c>
      <c r="E708" s="9">
        <f t="shared" ref="E708:E771" si="34">LN(D708/D707)</f>
        <v>2.2646588702045956E-3</v>
      </c>
      <c r="F708" s="9">
        <f t="shared" si="32"/>
        <v>3.2221265314694054E-2</v>
      </c>
      <c r="G708" s="9">
        <f t="shared" si="33"/>
        <v>1.0780439469537623E-2</v>
      </c>
    </row>
    <row r="709" spans="1:7" x14ac:dyDescent="0.2">
      <c r="A709" s="12">
        <v>37925</v>
      </c>
      <c r="D709" s="9">
        <v>258.01</v>
      </c>
      <c r="E709" s="9">
        <f t="shared" si="34"/>
        <v>-1.0832170368353202E-2</v>
      </c>
      <c r="F709" s="9">
        <f t="shared" si="32"/>
        <v>2.9539423335483102E-2</v>
      </c>
      <c r="G709" s="9">
        <f t="shared" si="33"/>
        <v>1.0870313134820236E-2</v>
      </c>
    </row>
    <row r="710" spans="1:7" x14ac:dyDescent="0.2">
      <c r="A710" s="12">
        <v>37928</v>
      </c>
      <c r="D710" s="9">
        <v>262.85000000000002</v>
      </c>
      <c r="E710" s="9">
        <f t="shared" si="34"/>
        <v>1.8585183405054669E-2</v>
      </c>
      <c r="F710" s="9">
        <f t="shared" si="32"/>
        <v>6.67805862993536E-2</v>
      </c>
      <c r="G710" s="9">
        <f t="shared" si="33"/>
        <v>1.0674723638846112E-2</v>
      </c>
    </row>
    <row r="711" spans="1:7" x14ac:dyDescent="0.2">
      <c r="A711" s="12">
        <v>37929</v>
      </c>
      <c r="D711" s="9">
        <v>263.01</v>
      </c>
      <c r="E711" s="9">
        <f t="shared" si="34"/>
        <v>6.0852700314681049E-4</v>
      </c>
      <c r="F711" s="9">
        <f t="shared" si="32"/>
        <v>6.2763232630196231E-2</v>
      </c>
      <c r="G711" s="9">
        <f t="shared" si="33"/>
        <v>1.0668776544711709E-2</v>
      </c>
    </row>
    <row r="712" spans="1:7" x14ac:dyDescent="0.2">
      <c r="A712" s="12">
        <v>37930</v>
      </c>
      <c r="D712" s="9">
        <v>257.83999999999997</v>
      </c>
      <c r="E712" s="9">
        <f t="shared" si="34"/>
        <v>-1.9852816761421564E-2</v>
      </c>
      <c r="F712" s="9">
        <f t="shared" si="32"/>
        <v>3.7782095961730287E-2</v>
      </c>
      <c r="G712" s="9">
        <f t="shared" si="33"/>
        <v>1.1375139585845609E-2</v>
      </c>
    </row>
    <row r="713" spans="1:7" x14ac:dyDescent="0.2">
      <c r="A713" s="12">
        <v>37931</v>
      </c>
      <c r="D713" s="9">
        <v>255.8</v>
      </c>
      <c r="E713" s="9">
        <f t="shared" si="34"/>
        <v>-7.9433483624399386E-3</v>
      </c>
      <c r="F713" s="9">
        <f t="shared" si="32"/>
        <v>3.8129830665038396E-2</v>
      </c>
      <c r="G713" s="9">
        <f t="shared" si="33"/>
        <v>1.1365245017744861E-2</v>
      </c>
    </row>
    <row r="714" spans="1:7" x14ac:dyDescent="0.2">
      <c r="A714" s="12">
        <v>37932</v>
      </c>
      <c r="D714" s="9">
        <v>258.14999999999998</v>
      </c>
      <c r="E714" s="9">
        <f t="shared" si="34"/>
        <v>9.1449221809155757E-3</v>
      </c>
      <c r="F714" s="9">
        <f t="shared" si="32"/>
        <v>5.0121671964176717E-2</v>
      </c>
      <c r="G714" s="9">
        <f t="shared" si="33"/>
        <v>1.1426139251812484E-2</v>
      </c>
    </row>
    <row r="715" spans="1:7" x14ac:dyDescent="0.2">
      <c r="A715" s="12">
        <v>37935</v>
      </c>
      <c r="D715" s="9">
        <v>255.63</v>
      </c>
      <c r="E715" s="9">
        <f t="shared" si="34"/>
        <v>-9.8097248176837824E-3</v>
      </c>
      <c r="F715" s="9">
        <f t="shared" si="32"/>
        <v>5.3967255388982366E-2</v>
      </c>
      <c r="G715" s="9">
        <f t="shared" si="33"/>
        <v>1.126875997603822E-2</v>
      </c>
    </row>
    <row r="716" spans="1:7" x14ac:dyDescent="0.2">
      <c r="A716" s="12">
        <v>37936</v>
      </c>
      <c r="D716" s="9">
        <v>250.61</v>
      </c>
      <c r="E716" s="9">
        <f t="shared" si="34"/>
        <v>-1.9833140612310493E-2</v>
      </c>
      <c r="F716" s="9">
        <f t="shared" si="32"/>
        <v>5.0829271383840711E-2</v>
      </c>
      <c r="G716" s="9">
        <f t="shared" si="33"/>
        <v>1.1459298985248159E-2</v>
      </c>
    </row>
    <row r="717" spans="1:7" x14ac:dyDescent="0.2">
      <c r="A717" s="12">
        <v>37937</v>
      </c>
      <c r="D717" s="9">
        <v>251.22</v>
      </c>
      <c r="E717" s="9">
        <f t="shared" si="34"/>
        <v>2.4311033634431861E-3</v>
      </c>
      <c r="F717" s="9">
        <f t="shared" si="32"/>
        <v>3.2691640131459122E-2</v>
      </c>
      <c r="G717" s="9">
        <f t="shared" si="33"/>
        <v>1.0893660921856415E-2</v>
      </c>
    </row>
    <row r="718" spans="1:7" x14ac:dyDescent="0.2">
      <c r="A718" s="12">
        <v>37938</v>
      </c>
      <c r="D718" s="9">
        <v>253.33</v>
      </c>
      <c r="E718" s="9">
        <f t="shared" si="34"/>
        <v>8.3639373718574946E-3</v>
      </c>
      <c r="F718" s="9">
        <f t="shared" si="32"/>
        <v>2.9361450698601559E-2</v>
      </c>
      <c r="G718" s="9">
        <f t="shared" si="33"/>
        <v>1.0798426979439972E-2</v>
      </c>
    </row>
    <row r="719" spans="1:7" x14ac:dyDescent="0.2">
      <c r="A719" s="12">
        <v>37939</v>
      </c>
      <c r="D719" s="9">
        <v>252.99</v>
      </c>
      <c r="E719" s="9">
        <f t="shared" si="34"/>
        <v>-1.3430243763044411E-3</v>
      </c>
      <c r="F719" s="9">
        <f t="shared" si="32"/>
        <v>1.7947358976377434E-2</v>
      </c>
      <c r="G719" s="9">
        <f t="shared" si="33"/>
        <v>1.0667306835294378E-2</v>
      </c>
    </row>
    <row r="720" spans="1:7" x14ac:dyDescent="0.2">
      <c r="A720" s="12">
        <v>37942</v>
      </c>
      <c r="D720" s="9">
        <v>248.81</v>
      </c>
      <c r="E720" s="9">
        <f t="shared" si="34"/>
        <v>-1.6660409271304556E-2</v>
      </c>
      <c r="F720" s="9">
        <f t="shared" si="32"/>
        <v>-5.1313000944388761E-3</v>
      </c>
      <c r="G720" s="9">
        <f t="shared" si="33"/>
        <v>1.105813193284491E-2</v>
      </c>
    </row>
    <row r="721" spans="1:7" x14ac:dyDescent="0.2">
      <c r="A721" s="12">
        <v>37943</v>
      </c>
      <c r="D721" s="9">
        <v>249.83</v>
      </c>
      <c r="E721" s="9">
        <f t="shared" si="34"/>
        <v>4.0911335740270128E-3</v>
      </c>
      <c r="F721" s="9">
        <f t="shared" si="32"/>
        <v>4.895283028321395E-3</v>
      </c>
      <c r="G721" s="9">
        <f t="shared" si="33"/>
        <v>1.1029385307453647E-2</v>
      </c>
    </row>
    <row r="722" spans="1:7" x14ac:dyDescent="0.2">
      <c r="A722" s="12">
        <v>37944</v>
      </c>
      <c r="D722" s="9">
        <v>248.04</v>
      </c>
      <c r="E722" s="9">
        <f t="shared" si="34"/>
        <v>-7.1906630757051729E-3</v>
      </c>
      <c r="F722" s="9">
        <f t="shared" si="32"/>
        <v>-7.590855173250405E-3</v>
      </c>
      <c r="G722" s="9">
        <f t="shared" si="33"/>
        <v>1.1064566832699792E-2</v>
      </c>
    </row>
    <row r="723" spans="1:7" x14ac:dyDescent="0.2">
      <c r="A723" s="12">
        <v>37945</v>
      </c>
      <c r="D723" s="9">
        <v>247.18</v>
      </c>
      <c r="E723" s="9">
        <f t="shared" si="34"/>
        <v>-3.4732073200877955E-3</v>
      </c>
      <c r="F723" s="9">
        <f t="shared" si="32"/>
        <v>-1.5336122970194498E-2</v>
      </c>
      <c r="G723" s="9">
        <f t="shared" si="33"/>
        <v>1.1045685721756014E-2</v>
      </c>
    </row>
    <row r="724" spans="1:7" x14ac:dyDescent="0.2">
      <c r="A724" s="12">
        <v>37946</v>
      </c>
      <c r="D724" s="9">
        <v>246.43</v>
      </c>
      <c r="E724" s="9">
        <f t="shared" si="34"/>
        <v>-3.0388386667964421E-3</v>
      </c>
      <c r="F724" s="9">
        <f t="shared" si="32"/>
        <v>-1.206024499780802E-2</v>
      </c>
      <c r="G724" s="9">
        <f t="shared" si="33"/>
        <v>1.1002442495293507E-2</v>
      </c>
    </row>
    <row r="725" spans="1:7" x14ac:dyDescent="0.2">
      <c r="A725" s="12">
        <v>37949</v>
      </c>
      <c r="D725" s="9">
        <v>247.05</v>
      </c>
      <c r="E725" s="9">
        <f t="shared" si="34"/>
        <v>2.5127677969660066E-3</v>
      </c>
      <c r="F725" s="9">
        <f t="shared" si="32"/>
        <v>-2.7822258784414446E-2</v>
      </c>
      <c r="G725" s="9">
        <f t="shared" si="33"/>
        <v>1.0441876167894803E-2</v>
      </c>
    </row>
    <row r="726" spans="1:7" x14ac:dyDescent="0.2">
      <c r="A726" s="12">
        <v>37950</v>
      </c>
      <c r="D726" s="9">
        <v>245.74</v>
      </c>
      <c r="E726" s="9">
        <f t="shared" si="34"/>
        <v>-5.3166788523338789E-3</v>
      </c>
      <c r="F726" s="9">
        <f t="shared" si="32"/>
        <v>-4.1098671469134151E-2</v>
      </c>
      <c r="G726" s="9">
        <f t="shared" si="33"/>
        <v>1.0333006227971378E-2</v>
      </c>
    </row>
    <row r="727" spans="1:7" x14ac:dyDescent="0.2">
      <c r="A727" s="12">
        <v>37951</v>
      </c>
      <c r="D727" s="9">
        <v>244.39</v>
      </c>
      <c r="E727" s="9">
        <f t="shared" si="34"/>
        <v>-5.5087565093673765E-3</v>
      </c>
      <c r="F727" s="9">
        <f t="shared" si="32"/>
        <v>-6.022257982290985E-2</v>
      </c>
      <c r="G727" s="9">
        <f t="shared" si="33"/>
        <v>9.9598243670375279E-3</v>
      </c>
    </row>
    <row r="728" spans="1:7" x14ac:dyDescent="0.2">
      <c r="A728" s="12">
        <v>37952</v>
      </c>
      <c r="D728" s="9">
        <v>245.28</v>
      </c>
      <c r="E728" s="9">
        <f t="shared" si="34"/>
        <v>3.6351051934461623E-3</v>
      </c>
      <c r="F728" s="9">
        <f t="shared" si="32"/>
        <v>-5.9050150954900869E-2</v>
      </c>
      <c r="G728" s="9">
        <f t="shared" si="33"/>
        <v>9.9802485101727501E-3</v>
      </c>
    </row>
    <row r="729" spans="1:7" x14ac:dyDescent="0.2">
      <c r="A729" s="12">
        <v>37953</v>
      </c>
      <c r="D729" s="9">
        <v>242.72</v>
      </c>
      <c r="E729" s="9">
        <f t="shared" si="34"/>
        <v>-1.0491899523281877E-2</v>
      </c>
      <c r="F729" s="9">
        <f t="shared" si="32"/>
        <v>-7.0809502110225825E-2</v>
      </c>
      <c r="G729" s="9">
        <f t="shared" si="33"/>
        <v>1.0079215206192829E-2</v>
      </c>
    </row>
    <row r="730" spans="1:7" x14ac:dyDescent="0.2">
      <c r="A730" s="12">
        <v>37956</v>
      </c>
      <c r="D730" s="9">
        <v>247.22</v>
      </c>
      <c r="E730" s="9">
        <f t="shared" si="34"/>
        <v>1.8370112859455046E-2</v>
      </c>
      <c r="F730" s="9">
        <f t="shared" si="32"/>
        <v>-4.6047376728648802E-2</v>
      </c>
      <c r="G730" s="9">
        <f t="shared" si="33"/>
        <v>1.0730530363502563E-2</v>
      </c>
    </row>
    <row r="731" spans="1:7" x14ac:dyDescent="0.2">
      <c r="A731" s="12">
        <v>37957</v>
      </c>
      <c r="D731" s="9">
        <v>248.08</v>
      </c>
      <c r="E731" s="9">
        <f t="shared" si="34"/>
        <v>3.4726463325164278E-3</v>
      </c>
      <c r="F731" s="9">
        <f t="shared" si="32"/>
        <v>-4.5891355110105184E-2</v>
      </c>
      <c r="G731" s="9">
        <f t="shared" si="33"/>
        <v>1.0733000344241482E-2</v>
      </c>
    </row>
    <row r="732" spans="1:7" x14ac:dyDescent="0.2">
      <c r="A732" s="12">
        <v>37958</v>
      </c>
      <c r="D732" s="9">
        <v>246.72</v>
      </c>
      <c r="E732" s="9">
        <f t="shared" si="34"/>
        <v>-5.4971844172288483E-3</v>
      </c>
      <c r="F732" s="9">
        <f t="shared" si="32"/>
        <v>-2.5609594204324376E-2</v>
      </c>
      <c r="G732" s="9">
        <f t="shared" si="33"/>
        <v>9.7463086707546102E-3</v>
      </c>
    </row>
    <row r="733" spans="1:7" x14ac:dyDescent="0.2">
      <c r="A733" s="12">
        <v>37959</v>
      </c>
      <c r="D733" s="9">
        <v>244.91</v>
      </c>
      <c r="E733" s="9">
        <f t="shared" si="34"/>
        <v>-7.3632942574281633E-3</v>
      </c>
      <c r="F733" s="9">
        <f t="shared" si="32"/>
        <v>-2.9410926410191923E-2</v>
      </c>
      <c r="G733" s="9">
        <f t="shared" si="33"/>
        <v>9.8072532410609231E-3</v>
      </c>
    </row>
    <row r="734" spans="1:7" x14ac:dyDescent="0.2">
      <c r="A734" s="12">
        <v>37960</v>
      </c>
      <c r="D734" s="9">
        <v>243.36</v>
      </c>
      <c r="E734" s="9">
        <f t="shared" si="34"/>
        <v>-6.3489676065536715E-3</v>
      </c>
      <c r="F734" s="9">
        <f t="shared" si="32"/>
        <v>-4.377620641768655E-2</v>
      </c>
      <c r="G734" s="9">
        <f t="shared" si="33"/>
        <v>9.7029808274304713E-3</v>
      </c>
    </row>
    <row r="735" spans="1:7" x14ac:dyDescent="0.2">
      <c r="A735" s="12">
        <v>37963</v>
      </c>
      <c r="D735" s="9">
        <v>239.97</v>
      </c>
      <c r="E735" s="9">
        <f t="shared" si="34"/>
        <v>-1.4027912982142638E-2</v>
      </c>
      <c r="F735" s="9">
        <f t="shared" si="32"/>
        <v>-6.74720812727614E-2</v>
      </c>
      <c r="G735" s="9">
        <f t="shared" si="33"/>
        <v>9.7303812820830216E-3</v>
      </c>
    </row>
    <row r="736" spans="1:7" x14ac:dyDescent="0.2">
      <c r="A736" s="12">
        <v>37964</v>
      </c>
      <c r="D736" s="9">
        <v>243.89</v>
      </c>
      <c r="E736" s="9">
        <f t="shared" si="34"/>
        <v>1.6203388442490477E-2</v>
      </c>
      <c r="F736" s="9">
        <f t="shared" si="32"/>
        <v>-5.6978444024273711E-2</v>
      </c>
      <c r="G736" s="9">
        <f t="shared" si="33"/>
        <v>1.0203463077081865E-2</v>
      </c>
    </row>
    <row r="737" spans="1:7" x14ac:dyDescent="0.2">
      <c r="A737" s="12">
        <v>37965</v>
      </c>
      <c r="D737" s="9">
        <v>241.8</v>
      </c>
      <c r="E737" s="9">
        <f t="shared" si="34"/>
        <v>-8.6063657906382939E-3</v>
      </c>
      <c r="F737" s="9">
        <f t="shared" ref="F737:F800" si="35">LN(D737/D707)</f>
        <v>-7.3454917177858736E-2</v>
      </c>
      <c r="G737" s="9">
        <f t="shared" si="33"/>
        <v>1.0102413483018735E-2</v>
      </c>
    </row>
    <row r="738" spans="1:7" x14ac:dyDescent="0.2">
      <c r="A738" s="12">
        <v>37966</v>
      </c>
      <c r="D738" s="9">
        <v>243.38</v>
      </c>
      <c r="E738" s="9">
        <f t="shared" si="34"/>
        <v>6.5130697279616751E-3</v>
      </c>
      <c r="F738" s="9">
        <f t="shared" si="35"/>
        <v>-6.9206506320101654E-2</v>
      </c>
      <c r="G738" s="9">
        <f t="shared" si="33"/>
        <v>1.0200064563875734E-2</v>
      </c>
    </row>
    <row r="739" spans="1:7" x14ac:dyDescent="0.2">
      <c r="A739" s="12">
        <v>37967</v>
      </c>
      <c r="D739" s="9">
        <v>244.08</v>
      </c>
      <c r="E739" s="9">
        <f t="shared" si="34"/>
        <v>2.8720324997603265E-3</v>
      </c>
      <c r="F739" s="9">
        <f t="shared" si="35"/>
        <v>-5.5502303451988255E-2</v>
      </c>
      <c r="G739" s="9">
        <f t="shared" si="33"/>
        <v>1.0111582091700946E-2</v>
      </c>
    </row>
    <row r="740" spans="1:7" x14ac:dyDescent="0.2">
      <c r="A740" s="12">
        <v>37970</v>
      </c>
      <c r="D740" s="9">
        <v>244.99</v>
      </c>
      <c r="E740" s="9">
        <f t="shared" si="34"/>
        <v>3.7213529767731409E-3</v>
      </c>
      <c r="F740" s="9">
        <f t="shared" si="35"/>
        <v>-7.0366133880269632E-2</v>
      </c>
      <c r="G740" s="9">
        <f t="shared" si="33"/>
        <v>9.415971760554526E-3</v>
      </c>
    </row>
    <row r="741" spans="1:7" x14ac:dyDescent="0.2">
      <c r="A741" s="12">
        <v>37971</v>
      </c>
      <c r="D741" s="9">
        <v>242.17</v>
      </c>
      <c r="E741" s="9">
        <f t="shared" si="34"/>
        <v>-1.1577434512777252E-2</v>
      </c>
      <c r="F741" s="9">
        <f t="shared" si="35"/>
        <v>-8.2552095396193584E-2</v>
      </c>
      <c r="G741" s="9">
        <f t="shared" si="33"/>
        <v>9.5460891033198325E-3</v>
      </c>
    </row>
    <row r="742" spans="1:7" x14ac:dyDescent="0.2">
      <c r="A742" s="12">
        <v>37972</v>
      </c>
      <c r="D742" s="9">
        <v>239.78</v>
      </c>
      <c r="E742" s="9">
        <f t="shared" si="34"/>
        <v>-9.9181225929026642E-3</v>
      </c>
      <c r="F742" s="9">
        <f t="shared" si="35"/>
        <v>-7.2617401227674738E-2</v>
      </c>
      <c r="G742" s="9">
        <f t="shared" si="33"/>
        <v>9.0940050419748026E-3</v>
      </c>
    </row>
    <row r="743" spans="1:7" x14ac:dyDescent="0.2">
      <c r="A743" s="12">
        <v>37973</v>
      </c>
      <c r="D743" s="9">
        <v>239.22</v>
      </c>
      <c r="E743" s="9">
        <f t="shared" si="34"/>
        <v>-2.3382056581889086E-3</v>
      </c>
      <c r="F743" s="9">
        <f t="shared" si="35"/>
        <v>-6.7012258523423754E-2</v>
      </c>
      <c r="G743" s="9">
        <f t="shared" ref="G743:G806" si="36">STDEV(E714:E743)</f>
        <v>9.0340075211017574E-3</v>
      </c>
    </row>
    <row r="744" spans="1:7" x14ac:dyDescent="0.2">
      <c r="A744" s="12">
        <v>37974</v>
      </c>
      <c r="D744" s="9">
        <v>244.57</v>
      </c>
      <c r="E744" s="9">
        <f t="shared" si="34"/>
        <v>2.2117935886500757E-2</v>
      </c>
      <c r="F744" s="9">
        <f t="shared" si="35"/>
        <v>-5.40392448178387E-2</v>
      </c>
      <c r="G744" s="9">
        <f t="shared" si="36"/>
        <v>9.8693285091608594E-3</v>
      </c>
    </row>
    <row r="745" spans="1:7" x14ac:dyDescent="0.2">
      <c r="A745" s="12">
        <v>37977</v>
      </c>
      <c r="D745" s="9">
        <v>243.14</v>
      </c>
      <c r="E745" s="9">
        <f t="shared" si="34"/>
        <v>-5.864157380171541E-3</v>
      </c>
      <c r="F745" s="9">
        <f t="shared" si="35"/>
        <v>-5.0093677380326412E-2</v>
      </c>
      <c r="G745" s="9">
        <f t="shared" si="36"/>
        <v>9.784855999699844E-3</v>
      </c>
    </row>
    <row r="746" spans="1:7" x14ac:dyDescent="0.2">
      <c r="A746" s="12">
        <v>37978</v>
      </c>
      <c r="D746" s="9">
        <v>244.35</v>
      </c>
      <c r="E746" s="9">
        <f t="shared" si="34"/>
        <v>4.9642145885159502E-3</v>
      </c>
      <c r="F746" s="9">
        <f t="shared" si="35"/>
        <v>-2.5296322179499904E-2</v>
      </c>
      <c r="G746" s="9">
        <f t="shared" si="36"/>
        <v>9.2291975111598815E-3</v>
      </c>
    </row>
    <row r="747" spans="1:7" x14ac:dyDescent="0.2">
      <c r="A747" s="12">
        <v>37984</v>
      </c>
      <c r="D747" s="9">
        <v>244.73</v>
      </c>
      <c r="E747" s="9">
        <f t="shared" si="34"/>
        <v>1.5539383187464996E-3</v>
      </c>
      <c r="F747" s="9">
        <f t="shared" si="35"/>
        <v>-2.6173487224196681E-2</v>
      </c>
      <c r="G747" s="9">
        <f t="shared" si="36"/>
        <v>9.2198512550257152E-3</v>
      </c>
    </row>
    <row r="748" spans="1:7" x14ac:dyDescent="0.2">
      <c r="A748" s="12">
        <v>37985</v>
      </c>
      <c r="D748" s="9">
        <v>244.35</v>
      </c>
      <c r="E748" s="9">
        <f t="shared" si="34"/>
        <v>-1.5539383187464153E-3</v>
      </c>
      <c r="F748" s="9">
        <f t="shared" si="35"/>
        <v>-3.6091362914800633E-2</v>
      </c>
      <c r="G748" s="9">
        <f t="shared" si="36"/>
        <v>9.0535548976628834E-3</v>
      </c>
    </row>
    <row r="749" spans="1:7" x14ac:dyDescent="0.2">
      <c r="A749" s="12">
        <v>37988</v>
      </c>
      <c r="D749" s="9">
        <v>252.41</v>
      </c>
      <c r="E749" s="9">
        <f t="shared" si="34"/>
        <v>3.2453125817403693E-2</v>
      </c>
      <c r="F749" s="9">
        <f t="shared" si="35"/>
        <v>-2.2952127210924154E-3</v>
      </c>
      <c r="G749" s="9">
        <f t="shared" si="36"/>
        <v>1.0941355337933497E-2</v>
      </c>
    </row>
    <row r="750" spans="1:7" x14ac:dyDescent="0.2">
      <c r="A750" s="12">
        <v>37991</v>
      </c>
      <c r="D750" s="9">
        <v>253.56</v>
      </c>
      <c r="E750" s="9">
        <f t="shared" si="34"/>
        <v>4.5457318823981848E-3</v>
      </c>
      <c r="F750" s="9">
        <f t="shared" si="35"/>
        <v>1.8910928432610354E-2</v>
      </c>
      <c r="G750" s="9">
        <f t="shared" si="36"/>
        <v>1.0509492769343891E-2</v>
      </c>
    </row>
    <row r="751" spans="1:7" x14ac:dyDescent="0.2">
      <c r="A751" s="12">
        <v>37992</v>
      </c>
      <c r="D751" s="9">
        <v>253.65</v>
      </c>
      <c r="E751" s="9">
        <f t="shared" si="34"/>
        <v>3.5488259673333456E-4</v>
      </c>
      <c r="F751" s="9">
        <f t="shared" si="35"/>
        <v>1.5174677455316747E-2</v>
      </c>
      <c r="G751" s="9">
        <f t="shared" si="36"/>
        <v>1.048918549287099E-2</v>
      </c>
    </row>
    <row r="752" spans="1:7" x14ac:dyDescent="0.2">
      <c r="A752" s="12">
        <v>37993</v>
      </c>
      <c r="D752" s="9">
        <v>255.93</v>
      </c>
      <c r="E752" s="9">
        <f t="shared" si="34"/>
        <v>8.9486055760140144E-3</v>
      </c>
      <c r="F752" s="9">
        <f t="shared" si="35"/>
        <v>3.1313946107036021E-2</v>
      </c>
      <c r="G752" s="9">
        <f t="shared" si="36"/>
        <v>1.0494710518152027E-2</v>
      </c>
    </row>
    <row r="753" spans="1:7" x14ac:dyDescent="0.2">
      <c r="A753" s="12">
        <v>37994</v>
      </c>
      <c r="D753" s="9">
        <v>256.87</v>
      </c>
      <c r="E753" s="9">
        <f t="shared" si="34"/>
        <v>3.6661507521511707E-3</v>
      </c>
      <c r="F753" s="9">
        <f t="shared" si="35"/>
        <v>3.8453304179274859E-2</v>
      </c>
      <c r="G753" s="9">
        <f t="shared" si="36"/>
        <v>1.0469667017836314E-2</v>
      </c>
    </row>
    <row r="754" spans="1:7" x14ac:dyDescent="0.2">
      <c r="A754" s="12">
        <v>37995</v>
      </c>
      <c r="D754" s="9">
        <v>257.33999999999997</v>
      </c>
      <c r="E754" s="9">
        <f t="shared" si="34"/>
        <v>1.8280474159797556E-3</v>
      </c>
      <c r="F754" s="9">
        <f t="shared" si="35"/>
        <v>4.3320190262051021E-2</v>
      </c>
      <c r="G754" s="9">
        <f t="shared" si="36"/>
        <v>1.0438068650313534E-2</v>
      </c>
    </row>
    <row r="755" spans="1:7" x14ac:dyDescent="0.2">
      <c r="A755" s="12">
        <v>37998</v>
      </c>
      <c r="D755" s="9">
        <v>257.49</v>
      </c>
      <c r="E755" s="9">
        <f t="shared" si="34"/>
        <v>5.8271664139432301E-4</v>
      </c>
      <c r="F755" s="9">
        <f t="shared" si="35"/>
        <v>4.1390139106479269E-2</v>
      </c>
      <c r="G755" s="9">
        <f t="shared" si="36"/>
        <v>1.04372020895691E-2</v>
      </c>
    </row>
    <row r="756" spans="1:7" x14ac:dyDescent="0.2">
      <c r="A756" s="12">
        <v>37999</v>
      </c>
      <c r="D756" s="9">
        <v>259.04000000000002</v>
      </c>
      <c r="E756" s="9">
        <f t="shared" si="34"/>
        <v>6.0016055310867086E-3</v>
      </c>
      <c r="F756" s="9">
        <f t="shared" si="35"/>
        <v>5.2708423489899875E-2</v>
      </c>
      <c r="G756" s="9">
        <f t="shared" si="36"/>
        <v>1.0391262058986351E-2</v>
      </c>
    </row>
    <row r="757" spans="1:7" x14ac:dyDescent="0.2">
      <c r="A757" s="12">
        <v>38000</v>
      </c>
      <c r="D757" s="9">
        <v>261.10000000000002</v>
      </c>
      <c r="E757" s="9">
        <f t="shared" si="34"/>
        <v>7.9209857757581298E-3</v>
      </c>
      <c r="F757" s="9">
        <f t="shared" si="35"/>
        <v>6.6138165775025251E-2</v>
      </c>
      <c r="G757" s="9">
        <f t="shared" si="36"/>
        <v>1.0356681118715206E-2</v>
      </c>
    </row>
    <row r="758" spans="1:7" x14ac:dyDescent="0.2">
      <c r="A758" s="12">
        <v>38001</v>
      </c>
      <c r="D758" s="9">
        <v>262.31</v>
      </c>
      <c r="E758" s="9">
        <f t="shared" si="34"/>
        <v>4.6235347262022879E-3</v>
      </c>
      <c r="F758" s="9">
        <f t="shared" si="35"/>
        <v>6.7126595307781506E-2</v>
      </c>
      <c r="G758" s="9">
        <f t="shared" si="36"/>
        <v>1.0362959224538185E-2</v>
      </c>
    </row>
    <row r="759" spans="1:7" x14ac:dyDescent="0.2">
      <c r="A759" s="12">
        <v>38002</v>
      </c>
      <c r="D759" s="9">
        <v>263.26</v>
      </c>
      <c r="E759" s="9">
        <f t="shared" si="34"/>
        <v>3.6151265659760301E-3</v>
      </c>
      <c r="F759" s="9">
        <f t="shared" si="35"/>
        <v>8.1233621397039421E-2</v>
      </c>
      <c r="G759" s="9">
        <f t="shared" si="36"/>
        <v>1.0081669827857001E-2</v>
      </c>
    </row>
    <row r="760" spans="1:7" x14ac:dyDescent="0.2">
      <c r="A760" s="12">
        <v>38005</v>
      </c>
      <c r="D760" s="9">
        <v>264.74</v>
      </c>
      <c r="E760" s="9">
        <f t="shared" si="34"/>
        <v>5.6060752883630985E-3</v>
      </c>
      <c r="F760" s="9">
        <f t="shared" si="35"/>
        <v>6.846958382594763E-2</v>
      </c>
      <c r="G760" s="9">
        <f t="shared" si="36"/>
        <v>9.6583408189747262E-3</v>
      </c>
    </row>
    <row r="761" spans="1:7" x14ac:dyDescent="0.2">
      <c r="A761" s="12">
        <v>38006</v>
      </c>
      <c r="D761" s="9">
        <v>261.04000000000002</v>
      </c>
      <c r="E761" s="9">
        <f t="shared" si="34"/>
        <v>-1.4074560000559549E-2</v>
      </c>
      <c r="F761" s="9">
        <f t="shared" si="35"/>
        <v>5.0922377492871602E-2</v>
      </c>
      <c r="G761" s="9">
        <f t="shared" si="36"/>
        <v>1.010477869175848E-2</v>
      </c>
    </row>
    <row r="762" spans="1:7" x14ac:dyDescent="0.2">
      <c r="A762" s="12">
        <v>38007</v>
      </c>
      <c r="D762" s="9">
        <v>258.54000000000002</v>
      </c>
      <c r="E762" s="9">
        <f t="shared" si="34"/>
        <v>-9.623231429263546E-3</v>
      </c>
      <c r="F762" s="9">
        <f t="shared" si="35"/>
        <v>4.6796330480837013E-2</v>
      </c>
      <c r="G762" s="9">
        <f t="shared" si="36"/>
        <v>1.0233341887261273E-2</v>
      </c>
    </row>
    <row r="763" spans="1:7" x14ac:dyDescent="0.2">
      <c r="A763" s="12">
        <v>38008</v>
      </c>
      <c r="D763" s="9">
        <v>264.04000000000002</v>
      </c>
      <c r="E763" s="9">
        <f t="shared" si="34"/>
        <v>2.1050185964768518E-2</v>
      </c>
      <c r="F763" s="9">
        <f t="shared" si="35"/>
        <v>7.5209810703033564E-2</v>
      </c>
      <c r="G763" s="9">
        <f t="shared" si="36"/>
        <v>1.0683947928419856E-2</v>
      </c>
    </row>
    <row r="764" spans="1:7" x14ac:dyDescent="0.2">
      <c r="A764" s="12">
        <v>38009</v>
      </c>
      <c r="D764" s="9">
        <v>265.19</v>
      </c>
      <c r="E764" s="9">
        <f t="shared" si="34"/>
        <v>4.3459433895472075E-3</v>
      </c>
      <c r="F764" s="9">
        <f t="shared" si="35"/>
        <v>8.590472169913449E-2</v>
      </c>
      <c r="G764" s="9">
        <f t="shared" si="36"/>
        <v>1.0555920937374898E-2</v>
      </c>
    </row>
    <row r="765" spans="1:7" x14ac:dyDescent="0.2">
      <c r="A765" s="12">
        <v>38012</v>
      </c>
      <c r="D765" s="9">
        <v>264.72000000000003</v>
      </c>
      <c r="E765" s="9">
        <f t="shared" si="34"/>
        <v>-1.7738865967605049E-3</v>
      </c>
      <c r="F765" s="9">
        <f t="shared" si="35"/>
        <v>9.8158748084516537E-2</v>
      </c>
      <c r="G765" s="9">
        <f t="shared" si="36"/>
        <v>1.0107315403701229E-2</v>
      </c>
    </row>
    <row r="766" spans="1:7" x14ac:dyDescent="0.2">
      <c r="A766" s="12">
        <v>38013</v>
      </c>
      <c r="D766" s="9">
        <v>267.49</v>
      </c>
      <c r="E766" s="9">
        <f t="shared" si="34"/>
        <v>1.0409518846366001E-2</v>
      </c>
      <c r="F766" s="9">
        <f t="shared" si="35"/>
        <v>9.236487848839213E-2</v>
      </c>
      <c r="G766" s="9">
        <f t="shared" si="36"/>
        <v>9.9050332658549029E-3</v>
      </c>
    </row>
    <row r="767" spans="1:7" x14ac:dyDescent="0.2">
      <c r="A767" s="12">
        <v>38014</v>
      </c>
      <c r="D767" s="9">
        <v>266.02999999999997</v>
      </c>
      <c r="E767" s="9">
        <f t="shared" si="34"/>
        <v>-5.4730980825431156E-3</v>
      </c>
      <c r="F767" s="9">
        <f t="shared" si="35"/>
        <v>9.5498146196487221E-2</v>
      </c>
      <c r="G767" s="9">
        <f t="shared" si="36"/>
        <v>9.7934624009026732E-3</v>
      </c>
    </row>
    <row r="768" spans="1:7" x14ac:dyDescent="0.2">
      <c r="A768" s="12">
        <v>38015</v>
      </c>
      <c r="D768" s="9">
        <v>264.35000000000002</v>
      </c>
      <c r="E768" s="9">
        <f t="shared" si="34"/>
        <v>-6.3351016957203191E-3</v>
      </c>
      <c r="F768" s="9">
        <f t="shared" si="35"/>
        <v>8.2649974772805293E-2</v>
      </c>
      <c r="G768" s="9">
        <f t="shared" si="36"/>
        <v>9.9229004106895797E-3</v>
      </c>
    </row>
    <row r="769" spans="1:7" x14ac:dyDescent="0.2">
      <c r="A769" s="12">
        <v>38016</v>
      </c>
      <c r="D769" s="9">
        <v>261.83</v>
      </c>
      <c r="E769" s="9">
        <f t="shared" si="34"/>
        <v>-9.5785444796783869E-3</v>
      </c>
      <c r="F769" s="9">
        <f t="shared" si="35"/>
        <v>7.0199397793366744E-2</v>
      </c>
      <c r="G769" s="9">
        <f t="shared" si="36"/>
        <v>1.0175003172474422E-2</v>
      </c>
    </row>
    <row r="770" spans="1:7" x14ac:dyDescent="0.2">
      <c r="A770" s="12">
        <v>38019</v>
      </c>
      <c r="D770" s="9">
        <v>263.37</v>
      </c>
      <c r="E770" s="9">
        <f t="shared" si="34"/>
        <v>5.864449404446111E-3</v>
      </c>
      <c r="F770" s="9">
        <f t="shared" si="35"/>
        <v>7.2342494221039638E-2</v>
      </c>
      <c r="G770" s="9">
        <f t="shared" si="36"/>
        <v>1.0192543920254708E-2</v>
      </c>
    </row>
    <row r="771" spans="1:7" x14ac:dyDescent="0.2">
      <c r="A771" s="12">
        <v>38020</v>
      </c>
      <c r="D771" s="9">
        <v>263.19</v>
      </c>
      <c r="E771" s="9">
        <f t="shared" si="34"/>
        <v>-6.8368279782489352E-4</v>
      </c>
      <c r="F771" s="9">
        <f t="shared" si="35"/>
        <v>8.3236245935991979E-2</v>
      </c>
      <c r="G771" s="9">
        <f t="shared" si="36"/>
        <v>9.8658003656318018E-3</v>
      </c>
    </row>
    <row r="772" spans="1:7" x14ac:dyDescent="0.2">
      <c r="A772" s="12">
        <v>38021</v>
      </c>
      <c r="D772" s="9">
        <v>263.81</v>
      </c>
      <c r="E772" s="9">
        <f t="shared" ref="E772:E835" si="37">LN(D772/D771)</f>
        <v>2.3529422620268358E-3</v>
      </c>
      <c r="F772" s="9">
        <f t="shared" si="35"/>
        <v>9.5507310790921521E-2</v>
      </c>
      <c r="G772" s="9">
        <f t="shared" si="36"/>
        <v>9.5714035490565546E-3</v>
      </c>
    </row>
    <row r="773" spans="1:7" x14ac:dyDescent="0.2">
      <c r="A773" s="12">
        <v>38022</v>
      </c>
      <c r="D773" s="9">
        <v>268.58999999999997</v>
      </c>
      <c r="E773" s="9">
        <f t="shared" si="37"/>
        <v>1.7956906243745133E-2</v>
      </c>
      <c r="F773" s="9">
        <f t="shared" si="35"/>
        <v>0.11580242269285565</v>
      </c>
      <c r="G773" s="9">
        <f t="shared" si="36"/>
        <v>9.879921583372045E-3</v>
      </c>
    </row>
    <row r="774" spans="1:7" x14ac:dyDescent="0.2">
      <c r="A774" s="12">
        <v>38023</v>
      </c>
      <c r="D774" s="9">
        <v>271.06</v>
      </c>
      <c r="E774" s="9">
        <f t="shared" si="37"/>
        <v>9.1541452736957317E-3</v>
      </c>
      <c r="F774" s="9">
        <f t="shared" si="35"/>
        <v>0.10283863208005062</v>
      </c>
      <c r="G774" s="9">
        <f t="shared" si="36"/>
        <v>9.321551805669636E-3</v>
      </c>
    </row>
    <row r="775" spans="1:7" x14ac:dyDescent="0.2">
      <c r="A775" s="12">
        <v>38026</v>
      </c>
      <c r="D775" s="9">
        <v>273.08</v>
      </c>
      <c r="E775" s="9">
        <f t="shared" si="37"/>
        <v>7.4245939622095535E-3</v>
      </c>
      <c r="F775" s="9">
        <f t="shared" si="35"/>
        <v>0.11612738342243169</v>
      </c>
      <c r="G775" s="9">
        <f t="shared" si="36"/>
        <v>9.1794221449682661E-3</v>
      </c>
    </row>
    <row r="776" spans="1:7" x14ac:dyDescent="0.2">
      <c r="A776" s="12">
        <v>38027</v>
      </c>
      <c r="D776" s="9">
        <v>273.35000000000002</v>
      </c>
      <c r="E776" s="9">
        <f t="shared" si="37"/>
        <v>9.882327909287766E-4</v>
      </c>
      <c r="F776" s="9">
        <f t="shared" si="35"/>
        <v>0.11215140162484451</v>
      </c>
      <c r="G776" s="9">
        <f t="shared" si="36"/>
        <v>9.1917870460964755E-3</v>
      </c>
    </row>
    <row r="777" spans="1:7" x14ac:dyDescent="0.2">
      <c r="A777" s="12">
        <v>38028</v>
      </c>
      <c r="D777" s="9">
        <v>275.14999999999998</v>
      </c>
      <c r="E777" s="9">
        <f t="shared" si="37"/>
        <v>6.5633781647593909E-3</v>
      </c>
      <c r="F777" s="9">
        <f t="shared" si="35"/>
        <v>0.11716084147085745</v>
      </c>
      <c r="G777" s="9">
        <f t="shared" si="36"/>
        <v>9.196235867205917E-3</v>
      </c>
    </row>
    <row r="778" spans="1:7" x14ac:dyDescent="0.2">
      <c r="A778" s="12">
        <v>38029</v>
      </c>
      <c r="D778" s="9">
        <v>277.39</v>
      </c>
      <c r="E778" s="9">
        <f t="shared" si="37"/>
        <v>8.1080546985054357E-3</v>
      </c>
      <c r="F778" s="9">
        <f t="shared" si="35"/>
        <v>0.12682283448810933</v>
      </c>
      <c r="G778" s="9">
        <f t="shared" si="36"/>
        <v>9.1675942466794887E-3</v>
      </c>
    </row>
    <row r="779" spans="1:7" x14ac:dyDescent="0.2">
      <c r="A779" s="12">
        <v>38030</v>
      </c>
      <c r="D779" s="9">
        <v>276.3</v>
      </c>
      <c r="E779" s="9">
        <f t="shared" si="37"/>
        <v>-3.9372262749022176E-3</v>
      </c>
      <c r="F779" s="9">
        <f t="shared" si="35"/>
        <v>9.0432482395803357E-2</v>
      </c>
      <c r="G779" s="9">
        <f t="shared" si="36"/>
        <v>7.5729290294739397E-3</v>
      </c>
    </row>
    <row r="780" spans="1:7" x14ac:dyDescent="0.2">
      <c r="A780" s="12">
        <v>38033</v>
      </c>
      <c r="D780" s="9">
        <v>275.51</v>
      </c>
      <c r="E780" s="9">
        <f t="shared" si="37"/>
        <v>-2.8633063544917588E-3</v>
      </c>
      <c r="F780" s="9">
        <f t="shared" si="35"/>
        <v>8.302344415891344E-2</v>
      </c>
      <c r="G780" s="9">
        <f t="shared" si="36"/>
        <v>7.64176651017819E-3</v>
      </c>
    </row>
    <row r="781" spans="1:7" x14ac:dyDescent="0.2">
      <c r="A781" s="12">
        <v>38034</v>
      </c>
      <c r="D781" s="9">
        <v>273.35000000000002</v>
      </c>
      <c r="E781" s="9">
        <f t="shared" si="37"/>
        <v>-7.870900233870751E-3</v>
      </c>
      <c r="F781" s="9">
        <f t="shared" si="35"/>
        <v>7.4797661328309298E-2</v>
      </c>
      <c r="G781" s="9">
        <f t="shared" si="36"/>
        <v>7.8753211209431438E-3</v>
      </c>
    </row>
    <row r="782" spans="1:7" x14ac:dyDescent="0.2">
      <c r="A782" s="12">
        <v>38035</v>
      </c>
      <c r="D782" s="9">
        <v>273.12</v>
      </c>
      <c r="E782" s="9">
        <f t="shared" si="37"/>
        <v>-8.4176629487783285E-4</v>
      </c>
      <c r="F782" s="9">
        <f t="shared" si="35"/>
        <v>6.5007289457417475E-2</v>
      </c>
      <c r="G782" s="9">
        <f t="shared" si="36"/>
        <v>7.8010953636442407E-3</v>
      </c>
    </row>
    <row r="783" spans="1:7" x14ac:dyDescent="0.2">
      <c r="A783" s="12">
        <v>38036</v>
      </c>
      <c r="D783" s="9">
        <v>273.83999999999997</v>
      </c>
      <c r="E783" s="9">
        <f t="shared" si="37"/>
        <v>2.6327351757993345E-3</v>
      </c>
      <c r="F783" s="9">
        <f t="shared" si="35"/>
        <v>6.3973873881065416E-2</v>
      </c>
      <c r="G783" s="9">
        <f t="shared" si="36"/>
        <v>7.79652718574597E-3</v>
      </c>
    </row>
    <row r="784" spans="1:7" x14ac:dyDescent="0.2">
      <c r="A784" s="12">
        <v>38037</v>
      </c>
      <c r="D784" s="9">
        <v>271.64</v>
      </c>
      <c r="E784" s="9">
        <f t="shared" si="37"/>
        <v>-8.0663339763391659E-3</v>
      </c>
      <c r="F784" s="9">
        <f t="shared" si="35"/>
        <v>5.4079492488746689E-2</v>
      </c>
      <c r="G784" s="9">
        <f t="shared" si="36"/>
        <v>8.0160372359959035E-3</v>
      </c>
    </row>
    <row r="785" spans="1:7" x14ac:dyDescent="0.2">
      <c r="A785" s="12">
        <v>38040</v>
      </c>
      <c r="D785" s="9">
        <v>271.7</v>
      </c>
      <c r="E785" s="9">
        <f t="shared" si="37"/>
        <v>2.2085618671140173E-4</v>
      </c>
      <c r="F785" s="9">
        <f t="shared" si="35"/>
        <v>5.3717632034063753E-2</v>
      </c>
      <c r="G785" s="9">
        <f t="shared" si="36"/>
        <v>8.0182081698966859E-3</v>
      </c>
    </row>
    <row r="786" spans="1:7" x14ac:dyDescent="0.2">
      <c r="A786" s="12">
        <v>38041</v>
      </c>
      <c r="D786" s="9">
        <v>270.73</v>
      </c>
      <c r="E786" s="9">
        <f t="shared" si="37"/>
        <v>-3.5765021623754313E-3</v>
      </c>
      <c r="F786" s="9">
        <f t="shared" si="35"/>
        <v>4.4139524340601484E-2</v>
      </c>
      <c r="G786" s="9">
        <f t="shared" si="36"/>
        <v>8.0354241215789442E-3</v>
      </c>
    </row>
    <row r="787" spans="1:7" x14ac:dyDescent="0.2">
      <c r="A787" s="12">
        <v>38042</v>
      </c>
      <c r="D787" s="9">
        <v>274.13</v>
      </c>
      <c r="E787" s="9">
        <f t="shared" si="37"/>
        <v>1.2480432155862631E-2</v>
      </c>
      <c r="F787" s="9">
        <f t="shared" si="35"/>
        <v>4.8698970720705982E-2</v>
      </c>
      <c r="G787" s="9">
        <f t="shared" si="36"/>
        <v>8.2029906588478394E-3</v>
      </c>
    </row>
    <row r="788" spans="1:7" x14ac:dyDescent="0.2">
      <c r="A788" s="12">
        <v>38043</v>
      </c>
      <c r="D788" s="9">
        <v>275.45</v>
      </c>
      <c r="E788" s="9">
        <f t="shared" si="37"/>
        <v>4.80367749293612E-3</v>
      </c>
      <c r="F788" s="9">
        <f t="shared" si="35"/>
        <v>4.8879113487439882E-2</v>
      </c>
      <c r="G788" s="9">
        <f t="shared" si="36"/>
        <v>8.2053282267414047E-3</v>
      </c>
    </row>
    <row r="789" spans="1:7" x14ac:dyDescent="0.2">
      <c r="A789" s="12">
        <v>38044</v>
      </c>
      <c r="D789" s="9">
        <v>275.94</v>
      </c>
      <c r="E789" s="9">
        <f t="shared" si="37"/>
        <v>1.7773268611620536E-3</v>
      </c>
      <c r="F789" s="9">
        <f t="shared" si="35"/>
        <v>4.7041313782625722E-2</v>
      </c>
      <c r="G789" s="9">
        <f t="shared" si="36"/>
        <v>8.196847087421107E-3</v>
      </c>
    </row>
    <row r="790" spans="1:7" x14ac:dyDescent="0.2">
      <c r="A790" s="12">
        <v>38047</v>
      </c>
      <c r="D790" s="9">
        <v>278.61</v>
      </c>
      <c r="E790" s="9">
        <f t="shared" si="37"/>
        <v>9.629503676139177E-3</v>
      </c>
      <c r="F790" s="9">
        <f t="shared" si="35"/>
        <v>5.106474217040198E-2</v>
      </c>
      <c r="G790" s="9">
        <f t="shared" si="36"/>
        <v>8.2974915215477136E-3</v>
      </c>
    </row>
    <row r="791" spans="1:7" x14ac:dyDescent="0.2">
      <c r="A791" s="12">
        <v>38048</v>
      </c>
      <c r="D791" s="9">
        <v>280.37</v>
      </c>
      <c r="E791" s="9">
        <f t="shared" si="37"/>
        <v>6.2972049663032595E-3</v>
      </c>
      <c r="F791" s="9">
        <f t="shared" si="35"/>
        <v>7.1436507137264627E-2</v>
      </c>
      <c r="G791" s="9">
        <f t="shared" si="36"/>
        <v>7.7792353955265583E-3</v>
      </c>
    </row>
    <row r="792" spans="1:7" x14ac:dyDescent="0.2">
      <c r="A792" s="12">
        <v>38049</v>
      </c>
      <c r="D792" s="9">
        <v>278.44</v>
      </c>
      <c r="E792" s="9">
        <f t="shared" si="37"/>
        <v>-6.907563121864131E-3</v>
      </c>
      <c r="F792" s="9">
        <f t="shared" si="35"/>
        <v>7.4152175444663945E-2</v>
      </c>
      <c r="G792" s="9">
        <f t="shared" si="36"/>
        <v>7.6494476314726417E-3</v>
      </c>
    </row>
    <row r="793" spans="1:7" x14ac:dyDescent="0.2">
      <c r="A793" s="12">
        <v>38050</v>
      </c>
      <c r="D793" s="9">
        <v>279.99</v>
      </c>
      <c r="E793" s="9">
        <f t="shared" si="37"/>
        <v>5.5512919452992658E-3</v>
      </c>
      <c r="F793" s="9">
        <f t="shared" si="35"/>
        <v>5.8653281425194902E-2</v>
      </c>
      <c r="G793" s="9">
        <f t="shared" si="36"/>
        <v>6.8310275713884547E-3</v>
      </c>
    </row>
    <row r="794" spans="1:7" x14ac:dyDescent="0.2">
      <c r="A794" s="12">
        <v>38051</v>
      </c>
      <c r="D794" s="9">
        <v>279.35000000000002</v>
      </c>
      <c r="E794" s="9">
        <f t="shared" si="37"/>
        <v>-2.2884123406072153E-3</v>
      </c>
      <c r="F794" s="9">
        <f t="shared" si="35"/>
        <v>5.2018925695040581E-2</v>
      </c>
      <c r="G794" s="9">
        <f t="shared" si="36"/>
        <v>6.8582933089324184E-3</v>
      </c>
    </row>
    <row r="795" spans="1:7" x14ac:dyDescent="0.2">
      <c r="A795" s="12">
        <v>38054</v>
      </c>
      <c r="D795" s="9">
        <v>279.64999999999998</v>
      </c>
      <c r="E795" s="9">
        <f t="shared" si="37"/>
        <v>1.0733453624390426E-3</v>
      </c>
      <c r="F795" s="9">
        <f t="shared" si="35"/>
        <v>5.4866157654239994E-2</v>
      </c>
      <c r="G795" s="9">
        <f t="shared" si="36"/>
        <v>6.8277087639531369E-3</v>
      </c>
    </row>
    <row r="796" spans="1:7" x14ac:dyDescent="0.2">
      <c r="A796" s="12">
        <v>38055</v>
      </c>
      <c r="D796" s="9">
        <v>278.75</v>
      </c>
      <c r="E796" s="9">
        <f t="shared" si="37"/>
        <v>-3.2234984932683962E-3</v>
      </c>
      <c r="F796" s="9">
        <f t="shared" si="35"/>
        <v>4.123314031460576E-2</v>
      </c>
      <c r="G796" s="9">
        <f t="shared" si="36"/>
        <v>6.6891941728225331E-3</v>
      </c>
    </row>
    <row r="797" spans="1:7" x14ac:dyDescent="0.2">
      <c r="A797" s="12">
        <v>38056</v>
      </c>
      <c r="D797" s="9">
        <v>275.38</v>
      </c>
      <c r="E797" s="9">
        <f t="shared" si="37"/>
        <v>-1.2163360758102173E-2</v>
      </c>
      <c r="F797" s="9">
        <f t="shared" si="35"/>
        <v>3.4542877639046725E-2</v>
      </c>
      <c r="G797" s="9">
        <f t="shared" si="36"/>
        <v>7.02828153707632E-3</v>
      </c>
    </row>
    <row r="798" spans="1:7" x14ac:dyDescent="0.2">
      <c r="A798" s="12">
        <v>38057</v>
      </c>
      <c r="D798" s="9">
        <v>269.79000000000002</v>
      </c>
      <c r="E798" s="9">
        <f t="shared" si="37"/>
        <v>-2.0508083421692452E-2</v>
      </c>
      <c r="F798" s="9">
        <f t="shared" si="35"/>
        <v>2.0369895913074493E-2</v>
      </c>
      <c r="G798" s="9">
        <f t="shared" si="36"/>
        <v>7.9630527478936515E-3</v>
      </c>
    </row>
    <row r="799" spans="1:7" x14ac:dyDescent="0.2">
      <c r="A799" s="12">
        <v>38058</v>
      </c>
      <c r="D799" s="9">
        <v>269.08</v>
      </c>
      <c r="E799" s="9">
        <f t="shared" si="37"/>
        <v>-2.6351454371288958E-3</v>
      </c>
      <c r="F799" s="9">
        <f t="shared" si="35"/>
        <v>2.7313294955624179E-2</v>
      </c>
      <c r="G799" s="9">
        <f t="shared" si="36"/>
        <v>7.7527646369697787E-3</v>
      </c>
    </row>
    <row r="800" spans="1:7" x14ac:dyDescent="0.2">
      <c r="A800" s="12">
        <v>38061</v>
      </c>
      <c r="D800" s="9">
        <v>267.19</v>
      </c>
      <c r="E800" s="9">
        <f t="shared" si="37"/>
        <v>-7.0487173449533215E-3</v>
      </c>
      <c r="F800" s="9">
        <f t="shared" si="35"/>
        <v>1.4400128206224581E-2</v>
      </c>
      <c r="G800" s="9">
        <f t="shared" si="36"/>
        <v>7.8263550220316839E-3</v>
      </c>
    </row>
    <row r="801" spans="1:7" x14ac:dyDescent="0.2">
      <c r="A801" s="12">
        <v>38062</v>
      </c>
      <c r="D801" s="9">
        <v>269.77</v>
      </c>
      <c r="E801" s="9">
        <f t="shared" si="37"/>
        <v>9.6097283021014061E-3</v>
      </c>
      <c r="F801" s="9">
        <f t="shared" ref="F801:F864" si="38">LN(D801/D771)</f>
        <v>2.4693539306151042E-2</v>
      </c>
      <c r="G801" s="9">
        <f t="shared" si="36"/>
        <v>7.997346624265227E-3</v>
      </c>
    </row>
    <row r="802" spans="1:7" x14ac:dyDescent="0.2">
      <c r="A802" s="12">
        <v>38063</v>
      </c>
      <c r="D802" s="9">
        <v>270.64999999999998</v>
      </c>
      <c r="E802" s="9">
        <f t="shared" si="37"/>
        <v>3.2567291284337184E-3</v>
      </c>
      <c r="F802" s="9">
        <f t="shared" si="38"/>
        <v>2.5597326172557829E-2</v>
      </c>
      <c r="G802" s="9">
        <f t="shared" si="36"/>
        <v>8.0050068621614536E-3</v>
      </c>
    </row>
    <row r="803" spans="1:7" x14ac:dyDescent="0.2">
      <c r="A803" s="12">
        <v>38064</v>
      </c>
      <c r="D803" s="9">
        <v>269.27</v>
      </c>
      <c r="E803" s="9">
        <f t="shared" si="37"/>
        <v>-5.1118795565996333E-3</v>
      </c>
      <c r="F803" s="9">
        <f t="shared" si="38"/>
        <v>2.5285403722130322E-3</v>
      </c>
      <c r="G803" s="9">
        <f t="shared" si="36"/>
        <v>7.3897235140628651E-3</v>
      </c>
    </row>
    <row r="804" spans="1:7" x14ac:dyDescent="0.2">
      <c r="A804" s="12">
        <v>38065</v>
      </c>
      <c r="D804" s="9">
        <v>268.72000000000003</v>
      </c>
      <c r="E804" s="9">
        <f t="shared" si="37"/>
        <v>-2.0446483823497947E-3</v>
      </c>
      <c r="F804" s="9">
        <f t="shared" si="38"/>
        <v>-8.6702532838324967E-3</v>
      </c>
      <c r="G804" s="9">
        <f t="shared" si="36"/>
        <v>7.1960763900788035E-3</v>
      </c>
    </row>
    <row r="805" spans="1:7" x14ac:dyDescent="0.2">
      <c r="A805" s="12">
        <v>38068</v>
      </c>
      <c r="D805" s="9">
        <v>264.38</v>
      </c>
      <c r="E805" s="9">
        <f t="shared" si="37"/>
        <v>-1.628248315278381E-2</v>
      </c>
      <c r="F805" s="9">
        <f t="shared" si="38"/>
        <v>-3.237733039882592E-2</v>
      </c>
      <c r="G805" s="9">
        <f t="shared" si="36"/>
        <v>7.6096112879768061E-3</v>
      </c>
    </row>
    <row r="806" spans="1:7" x14ac:dyDescent="0.2">
      <c r="A806" s="12">
        <v>38069</v>
      </c>
      <c r="D806" s="9">
        <v>266.04000000000002</v>
      </c>
      <c r="E806" s="9">
        <f t="shared" si="37"/>
        <v>6.2592112649669657E-3</v>
      </c>
      <c r="F806" s="9">
        <f t="shared" si="38"/>
        <v>-2.7106351924787917E-2</v>
      </c>
      <c r="G806" s="9">
        <f t="shared" si="36"/>
        <v>7.7190576890112991E-3</v>
      </c>
    </row>
    <row r="807" spans="1:7" x14ac:dyDescent="0.2">
      <c r="A807" s="12">
        <v>38070</v>
      </c>
      <c r="D807" s="9">
        <v>264.89999999999998</v>
      </c>
      <c r="E807" s="9">
        <f t="shared" si="37"/>
        <v>-4.2942771381965636E-3</v>
      </c>
      <c r="F807" s="9">
        <f t="shared" si="38"/>
        <v>-3.7964007227743797E-2</v>
      </c>
      <c r="G807" s="9">
        <f t="shared" ref="G807:G870" si="39">STDEV(E778:E807)</f>
        <v>7.610664467458869E-3</v>
      </c>
    </row>
    <row r="808" spans="1:7" x14ac:dyDescent="0.2">
      <c r="A808" s="12">
        <v>38071</v>
      </c>
      <c r="D808" s="9">
        <v>269.14</v>
      </c>
      <c r="E808" s="9">
        <f t="shared" si="37"/>
        <v>1.5879294035371375E-2</v>
      </c>
      <c r="F808" s="9">
        <f t="shared" si="38"/>
        <v>-3.0192767890877815E-2</v>
      </c>
      <c r="G808" s="9">
        <f t="shared" si="39"/>
        <v>8.0597147290893019E-3</v>
      </c>
    </row>
    <row r="809" spans="1:7" x14ac:dyDescent="0.2">
      <c r="A809" s="12">
        <v>38072</v>
      </c>
      <c r="D809" s="9">
        <v>260.01</v>
      </c>
      <c r="E809" s="9">
        <f t="shared" si="37"/>
        <v>-3.4511598499032042E-2</v>
      </c>
      <c r="F809" s="9">
        <f t="shared" si="38"/>
        <v>-6.076714011500764E-2</v>
      </c>
      <c r="G809" s="9">
        <f t="shared" si="39"/>
        <v>1.0114275199124513E-2</v>
      </c>
    </row>
    <row r="810" spans="1:7" x14ac:dyDescent="0.2">
      <c r="A810" s="12">
        <v>38075</v>
      </c>
      <c r="D810" s="9">
        <v>261.55</v>
      </c>
      <c r="E810" s="9">
        <f t="shared" si="37"/>
        <v>5.9053780022569561E-3</v>
      </c>
      <c r="F810" s="9">
        <f t="shared" si="38"/>
        <v>-5.1998455758258989E-2</v>
      </c>
      <c r="G810" s="9">
        <f t="shared" si="39"/>
        <v>1.0215426948716119E-2</v>
      </c>
    </row>
    <row r="811" spans="1:7" x14ac:dyDescent="0.2">
      <c r="A811" s="12">
        <v>38076</v>
      </c>
      <c r="D811" s="9">
        <v>260.2</v>
      </c>
      <c r="E811" s="9">
        <f t="shared" si="37"/>
        <v>-5.1749037382152552E-3</v>
      </c>
      <c r="F811" s="9">
        <f t="shared" si="38"/>
        <v>-4.9302459262603536E-2</v>
      </c>
      <c r="G811" s="9">
        <f t="shared" si="39"/>
        <v>1.0171334986008569E-2</v>
      </c>
    </row>
    <row r="812" spans="1:7" x14ac:dyDescent="0.2">
      <c r="A812" s="12">
        <v>38077</v>
      </c>
      <c r="D812" s="9">
        <v>258.75</v>
      </c>
      <c r="E812" s="9">
        <f t="shared" si="37"/>
        <v>-5.5882214988260785E-3</v>
      </c>
      <c r="F812" s="9">
        <f t="shared" si="38"/>
        <v>-5.4048914466551655E-2</v>
      </c>
      <c r="G812" s="9">
        <f t="shared" si="39"/>
        <v>1.0195322626057849E-2</v>
      </c>
    </row>
    <row r="813" spans="1:7" x14ac:dyDescent="0.2">
      <c r="A813" s="12">
        <v>38078</v>
      </c>
      <c r="D813" s="9">
        <v>258.27</v>
      </c>
      <c r="E813" s="9">
        <f t="shared" si="37"/>
        <v>-1.8567952416059076E-3</v>
      </c>
      <c r="F813" s="9">
        <f t="shared" si="38"/>
        <v>-5.853844488395693E-2</v>
      </c>
      <c r="G813" s="9">
        <f t="shared" si="39"/>
        <v>1.0160880157395269E-2</v>
      </c>
    </row>
    <row r="814" spans="1:7" x14ac:dyDescent="0.2">
      <c r="A814" s="12">
        <v>38079</v>
      </c>
      <c r="D814" s="9">
        <v>263.58</v>
      </c>
      <c r="E814" s="9">
        <f t="shared" si="37"/>
        <v>2.0351377877770277E-2</v>
      </c>
      <c r="F814" s="9">
        <f t="shared" si="38"/>
        <v>-3.0120733029847521E-2</v>
      </c>
      <c r="G814" s="9">
        <f t="shared" si="39"/>
        <v>1.0870962511226124E-2</v>
      </c>
    </row>
    <row r="815" spans="1:7" x14ac:dyDescent="0.2">
      <c r="A815" s="12">
        <v>38082</v>
      </c>
      <c r="D815" s="9">
        <v>264.61</v>
      </c>
      <c r="E815" s="9">
        <f t="shared" si="37"/>
        <v>3.9001166459145258E-3</v>
      </c>
      <c r="F815" s="9">
        <f t="shared" si="38"/>
        <v>-2.6441472570644317E-2</v>
      </c>
      <c r="G815" s="9">
        <f t="shared" si="39"/>
        <v>1.0905955328161228E-2</v>
      </c>
    </row>
    <row r="816" spans="1:7" x14ac:dyDescent="0.2">
      <c r="A816" s="12">
        <v>38083</v>
      </c>
      <c r="D816" s="9">
        <v>262.38</v>
      </c>
      <c r="E816" s="9">
        <f t="shared" si="37"/>
        <v>-8.4632092087734562E-3</v>
      </c>
      <c r="F816" s="9">
        <f t="shared" si="38"/>
        <v>-3.1328179617042456E-2</v>
      </c>
      <c r="G816" s="9">
        <f t="shared" si="39"/>
        <v>1.0983813195594576E-2</v>
      </c>
    </row>
    <row r="817" spans="1:7" x14ac:dyDescent="0.2">
      <c r="A817" s="12">
        <v>38084</v>
      </c>
      <c r="D817" s="9">
        <v>264.3</v>
      </c>
      <c r="E817" s="9">
        <f t="shared" si="37"/>
        <v>7.2909869573593309E-3</v>
      </c>
      <c r="F817" s="9">
        <f t="shared" si="38"/>
        <v>-3.6517624815545713E-2</v>
      </c>
      <c r="G817" s="9">
        <f t="shared" si="39"/>
        <v>1.0802843897123165E-2</v>
      </c>
    </row>
    <row r="818" spans="1:7" x14ac:dyDescent="0.2">
      <c r="A818" s="12">
        <v>38090</v>
      </c>
      <c r="D818" s="9">
        <v>265.27</v>
      </c>
      <c r="E818" s="9">
        <f t="shared" si="37"/>
        <v>3.6633536068732642E-3</v>
      </c>
      <c r="F818" s="9">
        <f t="shared" si="38"/>
        <v>-3.7657948701608608E-2</v>
      </c>
      <c r="G818" s="9">
        <f t="shared" si="39"/>
        <v>1.0782915959800424E-2</v>
      </c>
    </row>
    <row r="819" spans="1:7" x14ac:dyDescent="0.2">
      <c r="A819" s="12">
        <v>38091</v>
      </c>
      <c r="D819" s="9">
        <v>262.7</v>
      </c>
      <c r="E819" s="9">
        <f t="shared" si="37"/>
        <v>-9.7354785256227802E-3</v>
      </c>
      <c r="F819" s="9">
        <f t="shared" si="38"/>
        <v>-4.9170754088393262E-2</v>
      </c>
      <c r="G819" s="9">
        <f t="shared" si="39"/>
        <v>1.0875734258312111E-2</v>
      </c>
    </row>
    <row r="820" spans="1:7" x14ac:dyDescent="0.2">
      <c r="A820" s="12">
        <v>38092</v>
      </c>
      <c r="D820" s="9">
        <v>261.88</v>
      </c>
      <c r="E820" s="9">
        <f t="shared" si="37"/>
        <v>-3.1263131186035856E-3</v>
      </c>
      <c r="F820" s="9">
        <f t="shared" si="38"/>
        <v>-6.1926570883136065E-2</v>
      </c>
      <c r="G820" s="9">
        <f t="shared" si="39"/>
        <v>1.0667344404379848E-2</v>
      </c>
    </row>
    <row r="821" spans="1:7" x14ac:dyDescent="0.2">
      <c r="A821" s="12">
        <v>38093</v>
      </c>
      <c r="D821" s="9">
        <v>262</v>
      </c>
      <c r="E821" s="9">
        <f t="shared" si="37"/>
        <v>4.5812018820627745E-4</v>
      </c>
      <c r="F821" s="9">
        <f t="shared" si="38"/>
        <v>-6.7765655661232965E-2</v>
      </c>
      <c r="G821" s="9">
        <f t="shared" si="39"/>
        <v>1.0562273706150352E-2</v>
      </c>
    </row>
    <row r="822" spans="1:7" x14ac:dyDescent="0.2">
      <c r="A822" s="12">
        <v>38096</v>
      </c>
      <c r="D822" s="9">
        <v>261.39</v>
      </c>
      <c r="E822" s="9">
        <f t="shared" si="37"/>
        <v>-2.3309588497918122E-3</v>
      </c>
      <c r="F822" s="9">
        <f t="shared" si="38"/>
        <v>-6.3189051389160603E-2</v>
      </c>
      <c r="G822" s="9">
        <f t="shared" si="39"/>
        <v>1.0525803574970181E-2</v>
      </c>
    </row>
    <row r="823" spans="1:7" x14ac:dyDescent="0.2">
      <c r="A823" s="12">
        <v>38097</v>
      </c>
      <c r="D823" s="9">
        <v>264.02999999999997</v>
      </c>
      <c r="E823" s="9">
        <f t="shared" si="37"/>
        <v>1.0049188142524862E-2</v>
      </c>
      <c r="F823" s="9">
        <f t="shared" si="38"/>
        <v>-5.8691155191935074E-2</v>
      </c>
      <c r="G823" s="9">
        <f t="shared" si="39"/>
        <v>1.0669690410225993E-2</v>
      </c>
    </row>
    <row r="824" spans="1:7" x14ac:dyDescent="0.2">
      <c r="A824" s="12">
        <v>38098</v>
      </c>
      <c r="D824" s="9">
        <v>263.08</v>
      </c>
      <c r="E824" s="9">
        <f t="shared" si="37"/>
        <v>-3.604564620679714E-3</v>
      </c>
      <c r="F824" s="9">
        <f t="shared" si="38"/>
        <v>-6.0007307472007596E-2</v>
      </c>
      <c r="G824" s="9">
        <f t="shared" si="39"/>
        <v>1.0673807866417669E-2</v>
      </c>
    </row>
    <row r="825" spans="1:7" x14ac:dyDescent="0.2">
      <c r="A825" s="12">
        <v>38099</v>
      </c>
      <c r="D825" s="9">
        <v>262.63</v>
      </c>
      <c r="E825" s="9">
        <f t="shared" si="37"/>
        <v>-1.711970896146731E-3</v>
      </c>
      <c r="F825" s="9">
        <f t="shared" si="38"/>
        <v>-6.2792623730593397E-2</v>
      </c>
      <c r="G825" s="9">
        <f t="shared" si="39"/>
        <v>1.0658253414027517E-2</v>
      </c>
    </row>
    <row r="826" spans="1:7" x14ac:dyDescent="0.2">
      <c r="A826" s="12">
        <v>38100</v>
      </c>
      <c r="D826" s="9">
        <v>264.85000000000002</v>
      </c>
      <c r="E826" s="9">
        <f t="shared" si="37"/>
        <v>8.4174304535322639E-3</v>
      </c>
      <c r="F826" s="9">
        <f t="shared" si="38"/>
        <v>-5.1151694783792757E-2</v>
      </c>
      <c r="G826" s="9">
        <f t="shared" si="39"/>
        <v>1.0826259146411417E-2</v>
      </c>
    </row>
    <row r="827" spans="1:7" x14ac:dyDescent="0.2">
      <c r="A827" s="12">
        <v>38103</v>
      </c>
      <c r="D827" s="9">
        <v>262.8</v>
      </c>
      <c r="E827" s="9">
        <f t="shared" si="37"/>
        <v>-7.7703413800803015E-3</v>
      </c>
      <c r="F827" s="9">
        <f t="shared" si="38"/>
        <v>-4.6758675405770771E-2</v>
      </c>
      <c r="G827" s="9">
        <f t="shared" si="39"/>
        <v>1.0708998780275142E-2</v>
      </c>
    </row>
    <row r="828" spans="1:7" x14ac:dyDescent="0.2">
      <c r="A828" s="12">
        <v>38104</v>
      </c>
      <c r="D828" s="9">
        <v>261.95999999999998</v>
      </c>
      <c r="E828" s="9">
        <f t="shared" si="37"/>
        <v>-3.2014662606027265E-3</v>
      </c>
      <c r="F828" s="9">
        <f t="shared" si="38"/>
        <v>-2.945205824468114E-2</v>
      </c>
      <c r="G828" s="9">
        <f t="shared" si="39"/>
        <v>1.010194568436152E-2</v>
      </c>
    </row>
    <row r="829" spans="1:7" x14ac:dyDescent="0.2">
      <c r="A829" s="12">
        <v>38105</v>
      </c>
      <c r="D829" s="9">
        <v>256.44</v>
      </c>
      <c r="E829" s="9">
        <f t="shared" si="37"/>
        <v>-2.1297101230796183E-2</v>
      </c>
      <c r="F829" s="9">
        <f t="shared" si="38"/>
        <v>-4.8114014038348432E-2</v>
      </c>
      <c r="G829" s="9">
        <f t="shared" si="39"/>
        <v>1.0760401971900303E-2</v>
      </c>
    </row>
    <row r="830" spans="1:7" x14ac:dyDescent="0.2">
      <c r="A830" s="12">
        <v>38106</v>
      </c>
      <c r="D830" s="9">
        <v>255.88</v>
      </c>
      <c r="E830" s="9">
        <f t="shared" si="37"/>
        <v>-2.1861345371196488E-3</v>
      </c>
      <c r="F830" s="9">
        <f t="shared" si="38"/>
        <v>-4.3251431230514836E-2</v>
      </c>
      <c r="G830" s="9">
        <f t="shared" si="39"/>
        <v>1.0712070380759319E-2</v>
      </c>
    </row>
    <row r="831" spans="1:7" x14ac:dyDescent="0.2">
      <c r="A831" s="12">
        <v>38107</v>
      </c>
      <c r="D831" s="9">
        <v>254.99</v>
      </c>
      <c r="E831" s="9">
        <f t="shared" si="37"/>
        <v>-3.4842558787402935E-3</v>
      </c>
      <c r="F831" s="9">
        <f t="shared" si="38"/>
        <v>-5.6345415411356563E-2</v>
      </c>
      <c r="G831" s="9">
        <f t="shared" si="39"/>
        <v>1.0511123194141025E-2</v>
      </c>
    </row>
    <row r="832" spans="1:7" x14ac:dyDescent="0.2">
      <c r="A832" s="12">
        <v>38110</v>
      </c>
      <c r="D832" s="9">
        <v>255.2</v>
      </c>
      <c r="E832" s="9">
        <f t="shared" si="37"/>
        <v>8.2322276743813309E-4</v>
      </c>
      <c r="F832" s="9">
        <f t="shared" si="38"/>
        <v>-5.8778921772352076E-2</v>
      </c>
      <c r="G832" s="9">
        <f t="shared" si="39"/>
        <v>1.0479471718528926E-2</v>
      </c>
    </row>
    <row r="833" spans="1:7" x14ac:dyDescent="0.2">
      <c r="A833" s="12">
        <v>38111</v>
      </c>
      <c r="D833" s="9">
        <v>256.81</v>
      </c>
      <c r="E833" s="9">
        <f t="shared" si="37"/>
        <v>6.2889603969666242E-3</v>
      </c>
      <c r="F833" s="9">
        <f t="shared" si="38"/>
        <v>-4.737808181878593E-2</v>
      </c>
      <c r="G833" s="9">
        <f t="shared" si="39"/>
        <v>1.0567554183726452E-2</v>
      </c>
    </row>
    <row r="834" spans="1:7" x14ac:dyDescent="0.2">
      <c r="A834" s="12">
        <v>38112</v>
      </c>
      <c r="D834" s="9">
        <v>258.36</v>
      </c>
      <c r="E834" s="9">
        <f t="shared" si="37"/>
        <v>6.0174492966706726E-3</v>
      </c>
      <c r="F834" s="9">
        <f t="shared" si="38"/>
        <v>-3.9315984139765406E-2</v>
      </c>
      <c r="G834" s="9">
        <f t="shared" si="39"/>
        <v>1.0657440040004924E-2</v>
      </c>
    </row>
    <row r="835" spans="1:7" x14ac:dyDescent="0.2">
      <c r="A835" s="12">
        <v>38113</v>
      </c>
      <c r="D835" s="9">
        <v>253.12</v>
      </c>
      <c r="E835" s="9">
        <f t="shared" si="37"/>
        <v>-2.049027658498296E-2</v>
      </c>
      <c r="F835" s="9">
        <f t="shared" si="38"/>
        <v>-4.352377757196451E-2</v>
      </c>
      <c r="G835" s="9">
        <f t="shared" si="39"/>
        <v>1.0886503678708165E-2</v>
      </c>
    </row>
    <row r="836" spans="1:7" x14ac:dyDescent="0.2">
      <c r="A836" s="12">
        <v>38117</v>
      </c>
      <c r="D836" s="9">
        <v>249.42</v>
      </c>
      <c r="E836" s="9">
        <f t="shared" ref="E836:E899" si="40">LN(D836/D835)</f>
        <v>-1.4725462086688004E-2</v>
      </c>
      <c r="F836" s="9">
        <f t="shared" si="38"/>
        <v>-6.4508450923619426E-2</v>
      </c>
      <c r="G836" s="9">
        <f t="shared" si="39"/>
        <v>1.1047010905605682E-2</v>
      </c>
    </row>
    <row r="837" spans="1:7" x14ac:dyDescent="0.2">
      <c r="A837" s="12">
        <v>38118</v>
      </c>
      <c r="D837" s="9">
        <v>252.27</v>
      </c>
      <c r="E837" s="9">
        <f t="shared" si="40"/>
        <v>1.1361720020315408E-2</v>
      </c>
      <c r="F837" s="9">
        <f t="shared" si="38"/>
        <v>-4.8852453765107565E-2</v>
      </c>
      <c r="G837" s="9">
        <f t="shared" si="39"/>
        <v>1.1308928698480341E-2</v>
      </c>
    </row>
    <row r="838" spans="1:7" x14ac:dyDescent="0.2">
      <c r="A838" s="12">
        <v>38119</v>
      </c>
      <c r="D838" s="9">
        <v>250.31</v>
      </c>
      <c r="E838" s="9">
        <f t="shared" si="40"/>
        <v>-7.7997928157190095E-3</v>
      </c>
      <c r="F838" s="9">
        <f t="shared" si="38"/>
        <v>-7.2531540616197987E-2</v>
      </c>
      <c r="G838" s="9">
        <f t="shared" si="39"/>
        <v>1.0862368179656768E-2</v>
      </c>
    </row>
    <row r="839" spans="1:7" x14ac:dyDescent="0.2">
      <c r="A839" s="12">
        <v>38120</v>
      </c>
      <c r="D839" s="9">
        <v>254.25</v>
      </c>
      <c r="E839" s="9">
        <f t="shared" si="40"/>
        <v>1.5617885231472034E-2</v>
      </c>
      <c r="F839" s="9">
        <f t="shared" si="38"/>
        <v>-2.2402056885693883E-2</v>
      </c>
      <c r="G839" s="9">
        <f t="shared" si="39"/>
        <v>9.5289767650955509E-3</v>
      </c>
    </row>
    <row r="840" spans="1:7" x14ac:dyDescent="0.2">
      <c r="A840" s="12">
        <v>38121</v>
      </c>
      <c r="D840" s="9">
        <v>252.53</v>
      </c>
      <c r="E840" s="9">
        <f t="shared" si="40"/>
        <v>-6.7879813896392837E-3</v>
      </c>
      <c r="F840" s="9">
        <f t="shared" si="38"/>
        <v>-3.5095416277590011E-2</v>
      </c>
      <c r="G840" s="9">
        <f t="shared" si="39"/>
        <v>9.5051998107010035E-3</v>
      </c>
    </row>
    <row r="841" spans="1:7" x14ac:dyDescent="0.2">
      <c r="A841" s="12">
        <v>38124</v>
      </c>
      <c r="D841" s="9">
        <v>248.84</v>
      </c>
      <c r="E841" s="9">
        <f t="shared" si="40"/>
        <v>-1.4719933892211027E-2</v>
      </c>
      <c r="F841" s="9">
        <f t="shared" si="38"/>
        <v>-4.4640446431585795E-2</v>
      </c>
      <c r="G841" s="9">
        <f t="shared" si="39"/>
        <v>9.7990909696156724E-3</v>
      </c>
    </row>
    <row r="842" spans="1:7" x14ac:dyDescent="0.2">
      <c r="A842" s="12">
        <v>38125</v>
      </c>
      <c r="D842" s="9">
        <v>250.8</v>
      </c>
      <c r="E842" s="9">
        <f t="shared" si="40"/>
        <v>7.8456891119466354E-3</v>
      </c>
      <c r="F842" s="9">
        <f t="shared" si="38"/>
        <v>-3.1206535820813185E-2</v>
      </c>
      <c r="G842" s="9">
        <f t="shared" si="39"/>
        <v>9.9115641304880226E-3</v>
      </c>
    </row>
    <row r="843" spans="1:7" x14ac:dyDescent="0.2">
      <c r="A843" s="12">
        <v>38126</v>
      </c>
      <c r="D843" s="9">
        <v>253.64</v>
      </c>
      <c r="E843" s="9">
        <f t="shared" si="40"/>
        <v>1.1260130073065077E-2</v>
      </c>
      <c r="F843" s="9">
        <f t="shared" si="38"/>
        <v>-1.8089610506142086E-2</v>
      </c>
      <c r="G843" s="9">
        <f t="shared" si="39"/>
        <v>1.0160489124493121E-2</v>
      </c>
    </row>
    <row r="844" spans="1:7" x14ac:dyDescent="0.2">
      <c r="A844" s="12">
        <v>38128</v>
      </c>
      <c r="D844" s="9">
        <v>252.97</v>
      </c>
      <c r="E844" s="9">
        <f t="shared" si="40"/>
        <v>-2.645034210226562E-3</v>
      </c>
      <c r="F844" s="9">
        <f t="shared" si="38"/>
        <v>-4.1086022594138939E-2</v>
      </c>
      <c r="G844" s="9">
        <f t="shared" si="39"/>
        <v>9.3611216438984918E-3</v>
      </c>
    </row>
    <row r="845" spans="1:7" x14ac:dyDescent="0.2">
      <c r="A845" s="12">
        <v>38131</v>
      </c>
      <c r="D845" s="9">
        <v>252.44</v>
      </c>
      <c r="E845" s="9">
        <f t="shared" si="40"/>
        <v>-2.097307905565522E-3</v>
      </c>
      <c r="F845" s="9">
        <f t="shared" si="38"/>
        <v>-4.7083447145618851E-2</v>
      </c>
      <c r="G845" s="9">
        <f t="shared" si="39"/>
        <v>9.3085959909752491E-3</v>
      </c>
    </row>
    <row r="846" spans="1:7" x14ac:dyDescent="0.2">
      <c r="A846" s="12">
        <v>38132</v>
      </c>
      <c r="D846" s="9">
        <v>249.87</v>
      </c>
      <c r="E846" s="9">
        <f t="shared" si="40"/>
        <v>-1.0232814100679988E-2</v>
      </c>
      <c r="F846" s="9">
        <f t="shared" si="38"/>
        <v>-4.8853052037525428E-2</v>
      </c>
      <c r="G846" s="9">
        <f t="shared" si="39"/>
        <v>9.3592557999502904E-3</v>
      </c>
    </row>
    <row r="847" spans="1:7" x14ac:dyDescent="0.2">
      <c r="A847" s="12">
        <v>38133</v>
      </c>
      <c r="D847" s="9">
        <v>249.88</v>
      </c>
      <c r="E847" s="9">
        <f t="shared" si="40"/>
        <v>4.002001001026711E-5</v>
      </c>
      <c r="F847" s="9">
        <f t="shared" si="38"/>
        <v>-5.6104018984874382E-2</v>
      </c>
      <c r="G847" s="9">
        <f t="shared" si="39"/>
        <v>9.2134637372628652E-3</v>
      </c>
    </row>
    <row r="848" spans="1:7" x14ac:dyDescent="0.2">
      <c r="A848" s="12">
        <v>38134</v>
      </c>
      <c r="D848" s="9">
        <v>251.55</v>
      </c>
      <c r="E848" s="9">
        <f t="shared" si="40"/>
        <v>6.6609743119584244E-3</v>
      </c>
      <c r="F848" s="9">
        <f t="shared" si="38"/>
        <v>-5.3106398279789344E-2</v>
      </c>
      <c r="G848" s="9">
        <f t="shared" si="39"/>
        <v>9.2914686610523853E-3</v>
      </c>
    </row>
    <row r="849" spans="1:7" x14ac:dyDescent="0.2">
      <c r="A849" s="12">
        <v>38135</v>
      </c>
      <c r="D849" s="9">
        <v>253.14</v>
      </c>
      <c r="E849" s="9">
        <f t="shared" si="40"/>
        <v>6.3009184269746717E-3</v>
      </c>
      <c r="F849" s="9">
        <f t="shared" si="38"/>
        <v>-3.707000132719189E-2</v>
      </c>
      <c r="G849" s="9">
        <f t="shared" si="39"/>
        <v>9.2787035027428345E-3</v>
      </c>
    </row>
    <row r="850" spans="1:7" x14ac:dyDescent="0.2">
      <c r="A850" s="12">
        <v>38139</v>
      </c>
      <c r="D850" s="9">
        <v>252.79</v>
      </c>
      <c r="E850" s="9">
        <f t="shared" si="40"/>
        <v>-1.3835908360225219E-3</v>
      </c>
      <c r="F850" s="9">
        <f t="shared" si="38"/>
        <v>-3.5327279044610874E-2</v>
      </c>
      <c r="G850" s="9">
        <f t="shared" si="39"/>
        <v>9.2719114640877967E-3</v>
      </c>
    </row>
    <row r="851" spans="1:7" x14ac:dyDescent="0.2">
      <c r="A851" s="12">
        <v>38140</v>
      </c>
      <c r="D851" s="9">
        <v>256.87</v>
      </c>
      <c r="E851" s="9">
        <f t="shared" si="40"/>
        <v>1.6011015812584586E-2</v>
      </c>
      <c r="F851" s="9">
        <f t="shared" si="38"/>
        <v>-1.9774383420232571E-2</v>
      </c>
      <c r="G851" s="9">
        <f t="shared" si="39"/>
        <v>9.7870269935775248E-3</v>
      </c>
    </row>
    <row r="852" spans="1:7" x14ac:dyDescent="0.2">
      <c r="A852" s="12">
        <v>38141</v>
      </c>
      <c r="D852" s="9">
        <v>255.76</v>
      </c>
      <c r="E852" s="9">
        <f t="shared" si="40"/>
        <v>-4.330615589278366E-3</v>
      </c>
      <c r="F852" s="9">
        <f t="shared" si="38"/>
        <v>-2.1774040159719097E-2</v>
      </c>
      <c r="G852" s="9">
        <f t="shared" si="39"/>
        <v>9.8055973925743386E-3</v>
      </c>
    </row>
    <row r="853" spans="1:7" x14ac:dyDescent="0.2">
      <c r="A853" s="12">
        <v>38142</v>
      </c>
      <c r="D853" s="9">
        <v>258.77</v>
      </c>
      <c r="E853" s="9">
        <f t="shared" si="40"/>
        <v>1.1700131526902774E-2</v>
      </c>
      <c r="F853" s="9">
        <f t="shared" si="38"/>
        <v>-2.0123096775341132E-2</v>
      </c>
      <c r="G853" s="9">
        <f t="shared" si="39"/>
        <v>9.8725586628489684E-3</v>
      </c>
    </row>
    <row r="854" spans="1:7" x14ac:dyDescent="0.2">
      <c r="A854" s="12">
        <v>38145</v>
      </c>
      <c r="D854" s="9">
        <v>260.56</v>
      </c>
      <c r="E854" s="9">
        <f t="shared" si="40"/>
        <v>6.8935246894891783E-3</v>
      </c>
      <c r="F854" s="9">
        <f t="shared" si="38"/>
        <v>-9.6250074651721418E-3</v>
      </c>
      <c r="G854" s="9">
        <f t="shared" si="39"/>
        <v>9.9507282013339797E-3</v>
      </c>
    </row>
    <row r="855" spans="1:7" x14ac:dyDescent="0.2">
      <c r="A855" s="12">
        <v>38146</v>
      </c>
      <c r="D855" s="9">
        <v>261.39999999999998</v>
      </c>
      <c r="E855" s="9">
        <f t="shared" si="40"/>
        <v>3.2186402221433988E-3</v>
      </c>
      <c r="F855" s="9">
        <f t="shared" si="38"/>
        <v>-4.6943963468819745E-3</v>
      </c>
      <c r="G855" s="9">
        <f t="shared" si="39"/>
        <v>9.9676632476758866E-3</v>
      </c>
    </row>
    <row r="856" spans="1:7" x14ac:dyDescent="0.2">
      <c r="A856" s="12">
        <v>38147</v>
      </c>
      <c r="D856" s="9">
        <v>258.01</v>
      </c>
      <c r="E856" s="9">
        <f t="shared" si="40"/>
        <v>-1.305345732971897E-2</v>
      </c>
      <c r="F856" s="9">
        <f t="shared" si="38"/>
        <v>-2.6165284130133248E-2</v>
      </c>
      <c r="G856" s="9">
        <f t="shared" si="39"/>
        <v>1.0100748457905902E-2</v>
      </c>
    </row>
    <row r="857" spans="1:7" x14ac:dyDescent="0.2">
      <c r="A857" s="12">
        <v>38148</v>
      </c>
      <c r="D857" s="9">
        <v>259.92</v>
      </c>
      <c r="E857" s="9">
        <f t="shared" si="40"/>
        <v>7.3755475004423452E-3</v>
      </c>
      <c r="F857" s="9">
        <f t="shared" si="38"/>
        <v>-1.1019395249610538E-2</v>
      </c>
      <c r="G857" s="9">
        <f t="shared" si="39"/>
        <v>1.0122562926884187E-2</v>
      </c>
    </row>
    <row r="858" spans="1:7" x14ac:dyDescent="0.2">
      <c r="A858" s="12">
        <v>38149</v>
      </c>
      <c r="D858" s="9">
        <v>260.67</v>
      </c>
      <c r="E858" s="9">
        <f t="shared" si="40"/>
        <v>2.8813481583794499E-3</v>
      </c>
      <c r="F858" s="9">
        <f t="shared" si="38"/>
        <v>-4.9365808306283754E-3</v>
      </c>
      <c r="G858" s="9">
        <f t="shared" si="39"/>
        <v>1.0124756529084927E-2</v>
      </c>
    </row>
    <row r="859" spans="1:7" x14ac:dyDescent="0.2">
      <c r="A859" s="12">
        <v>38152</v>
      </c>
      <c r="D859" s="9">
        <v>256.92</v>
      </c>
      <c r="E859" s="9">
        <f t="shared" si="40"/>
        <v>-1.4490487129632612E-2</v>
      </c>
      <c r="F859" s="9">
        <f t="shared" si="38"/>
        <v>1.8700332705351445E-3</v>
      </c>
      <c r="G859" s="9">
        <f t="shared" si="39"/>
        <v>9.7023168314529073E-3</v>
      </c>
    </row>
    <row r="860" spans="1:7" x14ac:dyDescent="0.2">
      <c r="A860" s="12">
        <v>38153</v>
      </c>
      <c r="D860" s="9">
        <v>259.64999999999998</v>
      </c>
      <c r="E860" s="9">
        <f t="shared" si="40"/>
        <v>1.0569817900736076E-2</v>
      </c>
      <c r="F860" s="9">
        <f t="shared" si="38"/>
        <v>1.462598570839109E-2</v>
      </c>
      <c r="G860" s="9">
        <f t="shared" si="39"/>
        <v>9.8782962899380284E-3</v>
      </c>
    </row>
    <row r="861" spans="1:7" x14ac:dyDescent="0.2">
      <c r="A861" s="12">
        <v>38154</v>
      </c>
      <c r="D861" s="9">
        <v>260.62</v>
      </c>
      <c r="E861" s="9">
        <f t="shared" si="40"/>
        <v>3.7288374264321219E-3</v>
      </c>
      <c r="F861" s="9">
        <f t="shared" si="38"/>
        <v>2.1839079013563419E-2</v>
      </c>
      <c r="G861" s="9">
        <f t="shared" si="39"/>
        <v>9.866065227652588E-3</v>
      </c>
    </row>
    <row r="862" spans="1:7" x14ac:dyDescent="0.2">
      <c r="A862" s="12">
        <v>38155</v>
      </c>
      <c r="D862" s="9">
        <v>260.24</v>
      </c>
      <c r="E862" s="9">
        <f t="shared" si="40"/>
        <v>-1.4591255516638432E-3</v>
      </c>
      <c r="F862" s="9">
        <f t="shared" si="38"/>
        <v>1.9556730694461268E-2</v>
      </c>
      <c r="G862" s="9">
        <f t="shared" si="39"/>
        <v>9.8741018321413642E-3</v>
      </c>
    </row>
    <row r="863" spans="1:7" x14ac:dyDescent="0.2">
      <c r="A863" s="12">
        <v>38156</v>
      </c>
      <c r="D863" s="9">
        <v>261.73</v>
      </c>
      <c r="E863" s="9">
        <f t="shared" si="40"/>
        <v>5.7091558792397275E-3</v>
      </c>
      <c r="F863" s="9">
        <f t="shared" si="38"/>
        <v>1.8976926176734518E-2</v>
      </c>
      <c r="G863" s="9">
        <f t="shared" si="39"/>
        <v>9.8632492612149916E-3</v>
      </c>
    </row>
    <row r="864" spans="1:7" x14ac:dyDescent="0.2">
      <c r="A864" s="12">
        <v>38159</v>
      </c>
      <c r="D864" s="9">
        <v>262.05</v>
      </c>
      <c r="E864" s="9">
        <f t="shared" si="40"/>
        <v>1.2218872038396295E-3</v>
      </c>
      <c r="F864" s="9">
        <f t="shared" si="38"/>
        <v>1.4181364083903194E-2</v>
      </c>
      <c r="G864" s="9">
        <f t="shared" si="39"/>
        <v>9.811693634437341E-3</v>
      </c>
    </row>
    <row r="865" spans="1:7" x14ac:dyDescent="0.2">
      <c r="A865" s="12">
        <v>38160</v>
      </c>
      <c r="D865" s="9">
        <v>263.51</v>
      </c>
      <c r="E865" s="9">
        <f t="shared" si="40"/>
        <v>5.5559926772701653E-3</v>
      </c>
      <c r="F865" s="9">
        <f t="shared" ref="F865:F928" si="41">LN(D865/D835)</f>
        <v>4.0227633346156269E-2</v>
      </c>
      <c r="G865" s="9">
        <f t="shared" si="39"/>
        <v>9.0126154256221641E-3</v>
      </c>
    </row>
    <row r="866" spans="1:7" x14ac:dyDescent="0.2">
      <c r="A866" s="12">
        <v>38161</v>
      </c>
      <c r="D866" s="9">
        <v>262.67</v>
      </c>
      <c r="E866" s="9">
        <f t="shared" si="40"/>
        <v>-3.1928264608677968E-3</v>
      </c>
      <c r="F866" s="9">
        <f t="shared" si="41"/>
        <v>5.1760268971976588E-2</v>
      </c>
      <c r="G866" s="9">
        <f t="shared" si="39"/>
        <v>8.5371049683742335E-3</v>
      </c>
    </row>
    <row r="867" spans="1:7" x14ac:dyDescent="0.2">
      <c r="A867" s="12">
        <v>38162</v>
      </c>
      <c r="D867" s="9">
        <v>263.55</v>
      </c>
      <c r="E867" s="9">
        <f t="shared" si="40"/>
        <v>3.3446118366384685E-3</v>
      </c>
      <c r="F867" s="9">
        <f t="shared" si="41"/>
        <v>4.3743160788299672E-2</v>
      </c>
      <c r="G867" s="9">
        <f t="shared" si="39"/>
        <v>8.3484511608845936E-3</v>
      </c>
    </row>
    <row r="868" spans="1:7" x14ac:dyDescent="0.2">
      <c r="A868" s="12">
        <v>38163</v>
      </c>
      <c r="D868" s="9">
        <v>263.04000000000002</v>
      </c>
      <c r="E868" s="9">
        <f t="shared" si="40"/>
        <v>-1.9369914334007986E-3</v>
      </c>
      <c r="F868" s="9">
        <f t="shared" si="41"/>
        <v>4.9605962170617933E-2</v>
      </c>
      <c r="G868" s="9">
        <f t="shared" si="39"/>
        <v>8.1914057620379767E-3</v>
      </c>
    </row>
    <row r="869" spans="1:7" x14ac:dyDescent="0.2">
      <c r="A869" s="12">
        <v>38166</v>
      </c>
      <c r="D869" s="9">
        <v>263.42</v>
      </c>
      <c r="E869" s="9">
        <f t="shared" si="40"/>
        <v>1.443604703085364E-3</v>
      </c>
      <c r="F869" s="9">
        <f t="shared" si="41"/>
        <v>3.543168164223124E-2</v>
      </c>
      <c r="G869" s="9">
        <f t="shared" si="39"/>
        <v>7.7553510450423298E-3</v>
      </c>
    </row>
    <row r="870" spans="1:7" x14ac:dyDescent="0.2">
      <c r="A870" s="12">
        <v>38167</v>
      </c>
      <c r="D870" s="9">
        <v>264.37</v>
      </c>
      <c r="E870" s="9">
        <f t="shared" si="40"/>
        <v>3.5999205212469002E-3</v>
      </c>
      <c r="F870" s="9">
        <f t="shared" si="41"/>
        <v>4.5819583553117348E-2</v>
      </c>
      <c r="G870" s="9">
        <f t="shared" si="39"/>
        <v>7.6179620372693923E-3</v>
      </c>
    </row>
    <row r="871" spans="1:7" x14ac:dyDescent="0.2">
      <c r="A871" s="12">
        <v>38168</v>
      </c>
      <c r="D871" s="9">
        <v>267.43</v>
      </c>
      <c r="E871" s="9">
        <f t="shared" si="40"/>
        <v>1.1508212756150693E-2</v>
      </c>
      <c r="F871" s="9">
        <f t="shared" si="41"/>
        <v>7.2047730201479032E-2</v>
      </c>
      <c r="G871" s="9">
        <f t="shared" ref="G871:G934" si="42">STDEV(E842:E871)</f>
        <v>7.1815892243059457E-3</v>
      </c>
    </row>
    <row r="872" spans="1:7" x14ac:dyDescent="0.2">
      <c r="A872" s="12">
        <v>38169</v>
      </c>
      <c r="D872" s="9">
        <v>269.33999999999997</v>
      </c>
      <c r="E872" s="9">
        <f t="shared" si="40"/>
        <v>7.1166721735975167E-3</v>
      </c>
      <c r="F872" s="9">
        <f t="shared" si="41"/>
        <v>7.1318713263129968E-2</v>
      </c>
      <c r="G872" s="9">
        <f t="shared" si="42"/>
        <v>7.1637438692951283E-3</v>
      </c>
    </row>
    <row r="873" spans="1:7" x14ac:dyDescent="0.2">
      <c r="A873" s="12">
        <v>38170</v>
      </c>
      <c r="D873" s="9">
        <v>269.87</v>
      </c>
      <c r="E873" s="9">
        <f t="shared" si="40"/>
        <v>1.9658395455692092E-3</v>
      </c>
      <c r="F873" s="9">
        <f t="shared" si="41"/>
        <v>6.2024422735634105E-2</v>
      </c>
      <c r="G873" s="9">
        <f t="shared" si="42"/>
        <v>6.9645470462867051E-3</v>
      </c>
    </row>
    <row r="874" spans="1:7" x14ac:dyDescent="0.2">
      <c r="A874" s="12">
        <v>38173</v>
      </c>
      <c r="D874" s="9">
        <v>269.48</v>
      </c>
      <c r="E874" s="9">
        <f t="shared" si="40"/>
        <v>-1.4461854750058261E-3</v>
      </c>
      <c r="F874" s="9">
        <f t="shared" si="41"/>
        <v>6.322327147085495E-2</v>
      </c>
      <c r="G874" s="9">
        <f t="shared" si="42"/>
        <v>6.939970924034396E-3</v>
      </c>
    </row>
    <row r="875" spans="1:7" x14ac:dyDescent="0.2">
      <c r="A875" s="12">
        <v>38174</v>
      </c>
      <c r="D875" s="9">
        <v>268.8</v>
      </c>
      <c r="E875" s="9">
        <f t="shared" si="40"/>
        <v>-2.5265674434646196E-3</v>
      </c>
      <c r="F875" s="9">
        <f t="shared" si="41"/>
        <v>6.2794011932955654E-2</v>
      </c>
      <c r="G875" s="9">
        <f t="shared" si="42"/>
        <v>6.9493752542915772E-3</v>
      </c>
    </row>
    <row r="876" spans="1:7" x14ac:dyDescent="0.2">
      <c r="A876" s="12">
        <v>38175</v>
      </c>
      <c r="D876" s="9">
        <v>267.61</v>
      </c>
      <c r="E876" s="9">
        <f t="shared" si="40"/>
        <v>-4.4369118853597187E-3</v>
      </c>
      <c r="F876" s="9">
        <f t="shared" si="41"/>
        <v>6.8589914148275907E-2</v>
      </c>
      <c r="G876" s="9">
        <f t="shared" si="42"/>
        <v>6.6698328384906152E-3</v>
      </c>
    </row>
    <row r="877" spans="1:7" x14ac:dyDescent="0.2">
      <c r="A877" s="12">
        <v>38176</v>
      </c>
      <c r="D877" s="9">
        <v>267.08</v>
      </c>
      <c r="E877" s="9">
        <f t="shared" si="40"/>
        <v>-1.982457773966757E-3</v>
      </c>
      <c r="F877" s="9">
        <f t="shared" si="41"/>
        <v>6.6567436364298876E-2</v>
      </c>
      <c r="G877" s="9">
        <f t="shared" si="42"/>
        <v>6.703456977152791E-3</v>
      </c>
    </row>
    <row r="878" spans="1:7" x14ac:dyDescent="0.2">
      <c r="A878" s="12">
        <v>38177</v>
      </c>
      <c r="D878" s="9">
        <v>266.44</v>
      </c>
      <c r="E878" s="9">
        <f t="shared" si="40"/>
        <v>-2.3991614446893551E-3</v>
      </c>
      <c r="F878" s="9">
        <f t="shared" si="41"/>
        <v>5.750730060765101E-2</v>
      </c>
      <c r="G878" s="9">
        <f t="shared" si="42"/>
        <v>6.7005204552768888E-3</v>
      </c>
    </row>
    <row r="879" spans="1:7" x14ac:dyDescent="0.2">
      <c r="A879" s="12">
        <v>38180</v>
      </c>
      <c r="D879" s="9">
        <v>267.13</v>
      </c>
      <c r="E879" s="9">
        <f t="shared" si="40"/>
        <v>2.5863537478885298E-3</v>
      </c>
      <c r="F879" s="9">
        <f t="shared" si="41"/>
        <v>5.3792735928564997E-2</v>
      </c>
      <c r="G879" s="9">
        <f t="shared" si="42"/>
        <v>6.6508515113247874E-3</v>
      </c>
    </row>
    <row r="880" spans="1:7" x14ac:dyDescent="0.2">
      <c r="A880" s="12">
        <v>38181</v>
      </c>
      <c r="D880" s="9">
        <v>268.16000000000003</v>
      </c>
      <c r="E880" s="9">
        <f t="shared" si="40"/>
        <v>3.8483860008512089E-3</v>
      </c>
      <c r="F880" s="9">
        <f t="shared" si="41"/>
        <v>5.9024712765438622E-2</v>
      </c>
      <c r="G880" s="9">
        <f t="shared" si="42"/>
        <v>6.6332532825664012E-3</v>
      </c>
    </row>
    <row r="881" spans="1:7" x14ac:dyDescent="0.2">
      <c r="A881" s="12">
        <v>38182</v>
      </c>
      <c r="D881" s="9">
        <v>267.67</v>
      </c>
      <c r="E881" s="9">
        <f t="shared" si="40"/>
        <v>-1.8289387924834532E-3</v>
      </c>
      <c r="F881" s="9">
        <f t="shared" si="41"/>
        <v>4.1184758160370608E-2</v>
      </c>
      <c r="G881" s="9">
        <f t="shared" si="42"/>
        <v>6.1098701785857008E-3</v>
      </c>
    </row>
    <row r="882" spans="1:7" x14ac:dyDescent="0.2">
      <c r="A882" s="12">
        <v>38183</v>
      </c>
      <c r="D882" s="9">
        <v>268.64</v>
      </c>
      <c r="E882" s="9">
        <f t="shared" si="40"/>
        <v>3.6173148279956564E-3</v>
      </c>
      <c r="F882" s="9">
        <f t="shared" si="41"/>
        <v>4.9132688577644593E-2</v>
      </c>
      <c r="G882" s="9">
        <f t="shared" si="42"/>
        <v>6.0257714825020254E-3</v>
      </c>
    </row>
    <row r="883" spans="1:7" x14ac:dyDescent="0.2">
      <c r="A883" s="12">
        <v>38184</v>
      </c>
      <c r="D883" s="9">
        <v>269.32</v>
      </c>
      <c r="E883" s="9">
        <f t="shared" si="40"/>
        <v>2.5280703478493915E-3</v>
      </c>
      <c r="F883" s="9">
        <f t="shared" si="41"/>
        <v>3.9960627398591325E-2</v>
      </c>
      <c r="G883" s="9">
        <f t="shared" si="42"/>
        <v>5.7226855792112171E-3</v>
      </c>
    </row>
    <row r="884" spans="1:7" x14ac:dyDescent="0.2">
      <c r="A884" s="12">
        <v>38187</v>
      </c>
      <c r="D884" s="9">
        <v>269.33</v>
      </c>
      <c r="E884" s="9">
        <f t="shared" si="40"/>
        <v>3.7129861695548496E-5</v>
      </c>
      <c r="F884" s="9">
        <f t="shared" si="41"/>
        <v>3.3104232570797559E-2</v>
      </c>
      <c r="G884" s="9">
        <f t="shared" si="42"/>
        <v>5.6290631011296074E-3</v>
      </c>
    </row>
    <row r="885" spans="1:7" x14ac:dyDescent="0.2">
      <c r="A885" s="12">
        <v>38188</v>
      </c>
      <c r="D885" s="9">
        <v>267.94</v>
      </c>
      <c r="E885" s="9">
        <f t="shared" si="40"/>
        <v>-5.1743186899358314E-3</v>
      </c>
      <c r="F885" s="9">
        <f t="shared" si="41"/>
        <v>2.4711273658718259E-2</v>
      </c>
      <c r="G885" s="9">
        <f t="shared" si="42"/>
        <v>5.72801010100547E-3</v>
      </c>
    </row>
    <row r="886" spans="1:7" x14ac:dyDescent="0.2">
      <c r="A886" s="12">
        <v>38189</v>
      </c>
      <c r="D886" s="9">
        <v>268.11</v>
      </c>
      <c r="E886" s="9">
        <f t="shared" si="40"/>
        <v>6.3426921257068709E-4</v>
      </c>
      <c r="F886" s="9">
        <f t="shared" si="41"/>
        <v>3.8399000201007845E-2</v>
      </c>
      <c r="G886" s="9">
        <f t="shared" si="42"/>
        <v>5.094648652751812E-3</v>
      </c>
    </row>
    <row r="887" spans="1:7" x14ac:dyDescent="0.2">
      <c r="A887" s="12">
        <v>38190</v>
      </c>
      <c r="D887" s="9">
        <v>264.33</v>
      </c>
      <c r="E887" s="9">
        <f t="shared" si="40"/>
        <v>-1.4199021514662279E-2</v>
      </c>
      <c r="F887" s="9">
        <f t="shared" si="41"/>
        <v>1.6824431185903148E-2</v>
      </c>
      <c r="G887" s="9">
        <f t="shared" si="42"/>
        <v>5.692207228158646E-3</v>
      </c>
    </row>
    <row r="888" spans="1:7" x14ac:dyDescent="0.2">
      <c r="A888" s="12">
        <v>38191</v>
      </c>
      <c r="D888" s="9">
        <v>263.25</v>
      </c>
      <c r="E888" s="9">
        <f t="shared" si="40"/>
        <v>-4.0941715326631148E-3</v>
      </c>
      <c r="F888" s="9">
        <f t="shared" si="41"/>
        <v>9.8489114948604097E-3</v>
      </c>
      <c r="G888" s="9">
        <f t="shared" si="42"/>
        <v>5.7364459689516183E-3</v>
      </c>
    </row>
    <row r="889" spans="1:7" x14ac:dyDescent="0.2">
      <c r="A889" s="12">
        <v>38194</v>
      </c>
      <c r="D889" s="9">
        <v>262.36</v>
      </c>
      <c r="E889" s="9">
        <f t="shared" si="40"/>
        <v>-3.3865445885501171E-3</v>
      </c>
      <c r="F889" s="9">
        <f t="shared" si="41"/>
        <v>2.095285403594295E-2</v>
      </c>
      <c r="G889" s="9">
        <f t="shared" si="42"/>
        <v>5.066425401529356E-3</v>
      </c>
    </row>
    <row r="890" spans="1:7" x14ac:dyDescent="0.2">
      <c r="A890" s="12">
        <v>38195</v>
      </c>
      <c r="D890" s="9">
        <v>262.42</v>
      </c>
      <c r="E890" s="9">
        <f t="shared" si="40"/>
        <v>2.2866725203496242E-4</v>
      </c>
      <c r="F890" s="9">
        <f t="shared" si="41"/>
        <v>1.0611703387241808E-2</v>
      </c>
      <c r="G890" s="9">
        <f t="shared" si="42"/>
        <v>4.7109667498776049E-3</v>
      </c>
    </row>
    <row r="891" spans="1:7" x14ac:dyDescent="0.2">
      <c r="A891" s="12">
        <v>38196</v>
      </c>
      <c r="D891" s="9">
        <v>261.92</v>
      </c>
      <c r="E891" s="9">
        <f t="shared" si="40"/>
        <v>-1.9071600547448397E-3</v>
      </c>
      <c r="F891" s="9">
        <f t="shared" si="41"/>
        <v>4.9757059060649318E-3</v>
      </c>
      <c r="G891" s="9">
        <f t="shared" si="42"/>
        <v>4.6840315970913121E-3</v>
      </c>
    </row>
    <row r="892" spans="1:7" x14ac:dyDescent="0.2">
      <c r="A892" s="12">
        <v>38197</v>
      </c>
      <c r="D892" s="9">
        <v>264.33999999999997</v>
      </c>
      <c r="E892" s="9">
        <f t="shared" si="40"/>
        <v>9.1970397068357572E-3</v>
      </c>
      <c r="F892" s="9">
        <f t="shared" si="41"/>
        <v>1.563187116456443E-2</v>
      </c>
      <c r="G892" s="9">
        <f t="shared" si="42"/>
        <v>4.9528848269879246E-3</v>
      </c>
    </row>
    <row r="893" spans="1:7" x14ac:dyDescent="0.2">
      <c r="A893" s="12">
        <v>38198</v>
      </c>
      <c r="D893" s="9">
        <v>266.31</v>
      </c>
      <c r="E893" s="9">
        <f t="shared" si="40"/>
        <v>7.4248904186772153E-3</v>
      </c>
      <c r="F893" s="9">
        <f t="shared" si="41"/>
        <v>1.7347605704001928E-2</v>
      </c>
      <c r="G893" s="9">
        <f t="shared" si="42"/>
        <v>5.0242493959789481E-3</v>
      </c>
    </row>
    <row r="894" spans="1:7" x14ac:dyDescent="0.2">
      <c r="A894" s="12">
        <v>38201</v>
      </c>
      <c r="D894" s="9">
        <v>265.86</v>
      </c>
      <c r="E894" s="9">
        <f t="shared" si="40"/>
        <v>-1.6911893088845051E-3</v>
      </c>
      <c r="F894" s="9">
        <f t="shared" si="41"/>
        <v>1.443452919127786E-2</v>
      </c>
      <c r="G894" s="9">
        <f t="shared" si="42"/>
        <v>5.0395081078130274E-3</v>
      </c>
    </row>
    <row r="895" spans="1:7" x14ac:dyDescent="0.2">
      <c r="A895" s="12">
        <v>38202</v>
      </c>
      <c r="D895" s="9">
        <v>269.14999999999998</v>
      </c>
      <c r="E895" s="9">
        <f t="shared" si="40"/>
        <v>1.2298990567512989E-2</v>
      </c>
      <c r="F895" s="9">
        <f t="shared" si="41"/>
        <v>2.1177527081520792E-2</v>
      </c>
      <c r="G895" s="9">
        <f t="shared" si="42"/>
        <v>5.410380606043895E-3</v>
      </c>
    </row>
    <row r="896" spans="1:7" x14ac:dyDescent="0.2">
      <c r="A896" s="12">
        <v>38203</v>
      </c>
      <c r="D896" s="9">
        <v>267.73</v>
      </c>
      <c r="E896" s="9">
        <f t="shared" si="40"/>
        <v>-5.2898350143185972E-3</v>
      </c>
      <c r="F896" s="9">
        <f t="shared" si="41"/>
        <v>1.9080518528069926E-2</v>
      </c>
      <c r="G896" s="9">
        <f t="shared" si="42"/>
        <v>5.4756407066495153E-3</v>
      </c>
    </row>
    <row r="897" spans="1:7" x14ac:dyDescent="0.2">
      <c r="A897" s="12">
        <v>38204</v>
      </c>
      <c r="D897" s="9">
        <v>269.11</v>
      </c>
      <c r="E897" s="9">
        <f t="shared" si="40"/>
        <v>5.1412079564893349E-3</v>
      </c>
      <c r="F897" s="9">
        <f t="shared" si="41"/>
        <v>2.0877114647920896E-2</v>
      </c>
      <c r="G897" s="9">
        <f t="shared" si="42"/>
        <v>5.5159619785783544E-3</v>
      </c>
    </row>
    <row r="898" spans="1:7" x14ac:dyDescent="0.2">
      <c r="A898" s="12">
        <v>38205</v>
      </c>
      <c r="D898" s="9">
        <v>266.37</v>
      </c>
      <c r="E898" s="9">
        <f t="shared" si="40"/>
        <v>-1.0233898236791734E-2</v>
      </c>
      <c r="F898" s="9">
        <f t="shared" si="41"/>
        <v>1.2580207844529952E-2</v>
      </c>
      <c r="G898" s="9">
        <f t="shared" si="42"/>
        <v>5.8503848192111791E-3</v>
      </c>
    </row>
    <row r="899" spans="1:7" x14ac:dyDescent="0.2">
      <c r="A899" s="12">
        <v>38208</v>
      </c>
      <c r="D899" s="9">
        <v>263.44</v>
      </c>
      <c r="E899" s="9">
        <f t="shared" si="40"/>
        <v>-1.1060681644236356E-2</v>
      </c>
      <c r="F899" s="9">
        <f t="shared" si="41"/>
        <v>7.5921497208219685E-5</v>
      </c>
      <c r="G899" s="9">
        <f t="shared" si="42"/>
        <v>6.2093171173772804E-3</v>
      </c>
    </row>
    <row r="900" spans="1:7" x14ac:dyDescent="0.2">
      <c r="A900" s="12">
        <v>38209</v>
      </c>
      <c r="D900" s="9">
        <v>266.23</v>
      </c>
      <c r="E900" s="9">
        <f t="shared" ref="E900:E963" si="43">LN(D900/D899)</f>
        <v>1.0534958763183059E-2</v>
      </c>
      <c r="F900" s="9">
        <f t="shared" si="41"/>
        <v>7.0109597391444381E-3</v>
      </c>
      <c r="G900" s="9">
        <f t="shared" si="42"/>
        <v>6.4714242463117981E-3</v>
      </c>
    </row>
    <row r="901" spans="1:7" x14ac:dyDescent="0.2">
      <c r="A901" s="12">
        <v>38210</v>
      </c>
      <c r="D901" s="9">
        <v>265.24</v>
      </c>
      <c r="E901" s="9">
        <f t="shared" si="43"/>
        <v>-3.7255203306249644E-3</v>
      </c>
      <c r="F901" s="9">
        <f t="shared" si="41"/>
        <v>-8.2227733476312615E-3</v>
      </c>
      <c r="G901" s="9">
        <f t="shared" si="42"/>
        <v>6.1457184822279022E-3</v>
      </c>
    </row>
    <row r="902" spans="1:7" x14ac:dyDescent="0.2">
      <c r="A902" s="12">
        <v>38211</v>
      </c>
      <c r="D902" s="9">
        <v>266.82</v>
      </c>
      <c r="E902" s="9">
        <f t="shared" si="43"/>
        <v>5.9391972499931896E-3</v>
      </c>
      <c r="F902" s="9">
        <f t="shared" si="41"/>
        <v>-9.4002482712355791E-3</v>
      </c>
      <c r="G902" s="9">
        <f t="shared" si="42"/>
        <v>6.100483775336547E-3</v>
      </c>
    </row>
    <row r="903" spans="1:7" x14ac:dyDescent="0.2">
      <c r="A903" s="12">
        <v>38212</v>
      </c>
      <c r="D903" s="9">
        <v>265.51</v>
      </c>
      <c r="E903" s="9">
        <f t="shared" si="43"/>
        <v>-4.9217689945392114E-3</v>
      </c>
      <c r="F903" s="9">
        <f t="shared" si="41"/>
        <v>-1.6287856811344145E-2</v>
      </c>
      <c r="G903" s="9">
        <f t="shared" si="42"/>
        <v>6.1412196859063316E-3</v>
      </c>
    </row>
    <row r="904" spans="1:7" x14ac:dyDescent="0.2">
      <c r="A904" s="12">
        <v>38215</v>
      </c>
      <c r="D904" s="9">
        <v>266.68</v>
      </c>
      <c r="E904" s="9">
        <f t="shared" si="43"/>
        <v>4.3969329937384007E-3</v>
      </c>
      <c r="F904" s="9">
        <f t="shared" si="41"/>
        <v>-1.0444738342599911E-2</v>
      </c>
      <c r="G904" s="9">
        <f t="shared" si="42"/>
        <v>6.2039228107901552E-3</v>
      </c>
    </row>
    <row r="905" spans="1:7" x14ac:dyDescent="0.2">
      <c r="A905" s="12">
        <v>38216</v>
      </c>
      <c r="D905" s="9">
        <v>267.01</v>
      </c>
      <c r="E905" s="9">
        <f t="shared" si="43"/>
        <v>1.236673132557813E-3</v>
      </c>
      <c r="F905" s="9">
        <f t="shared" si="41"/>
        <v>-6.6814977665774454E-3</v>
      </c>
      <c r="G905" s="9">
        <f t="shared" si="42"/>
        <v>6.1963984106364464E-3</v>
      </c>
    </row>
    <row r="906" spans="1:7" x14ac:dyDescent="0.2">
      <c r="A906" s="12">
        <v>38217</v>
      </c>
      <c r="D906" s="9">
        <v>268.14999999999998</v>
      </c>
      <c r="E906" s="9">
        <f t="shared" si="43"/>
        <v>4.2604145465169607E-3</v>
      </c>
      <c r="F906" s="9">
        <f t="shared" si="41"/>
        <v>2.01582866529925E-3</v>
      </c>
      <c r="G906" s="9">
        <f t="shared" si="42"/>
        <v>6.1958907903890918E-3</v>
      </c>
    </row>
    <row r="907" spans="1:7" x14ac:dyDescent="0.2">
      <c r="A907" s="12">
        <v>38218</v>
      </c>
      <c r="D907" s="9">
        <v>268.3</v>
      </c>
      <c r="E907" s="9">
        <f t="shared" si="43"/>
        <v>5.5923200264431771E-4</v>
      </c>
      <c r="F907" s="9">
        <f t="shared" si="41"/>
        <v>4.5575184419105307E-3</v>
      </c>
      <c r="G907" s="9">
        <f t="shared" si="42"/>
        <v>6.1842639733652198E-3</v>
      </c>
    </row>
    <row r="908" spans="1:7" x14ac:dyDescent="0.2">
      <c r="A908" s="12">
        <v>38219</v>
      </c>
      <c r="D908" s="9">
        <v>267.45999999999998</v>
      </c>
      <c r="E908" s="9">
        <f t="shared" si="43"/>
        <v>-3.135734986928122E-3</v>
      </c>
      <c r="F908" s="9">
        <f t="shared" si="41"/>
        <v>3.820944899671649E-3</v>
      </c>
      <c r="G908" s="9">
        <f t="shared" si="42"/>
        <v>6.196192034045379E-3</v>
      </c>
    </row>
    <row r="909" spans="1:7" x14ac:dyDescent="0.2">
      <c r="A909" s="12">
        <v>38222</v>
      </c>
      <c r="D909" s="9">
        <v>268.64</v>
      </c>
      <c r="E909" s="9">
        <f t="shared" si="43"/>
        <v>4.4021708845802289E-3</v>
      </c>
      <c r="F909" s="9">
        <f t="shared" si="41"/>
        <v>5.6367620363634938E-3</v>
      </c>
      <c r="G909" s="9">
        <f t="shared" si="42"/>
        <v>6.2298184782059018E-3</v>
      </c>
    </row>
    <row r="910" spans="1:7" x14ac:dyDescent="0.2">
      <c r="A910" s="12">
        <v>38223</v>
      </c>
      <c r="D910" s="9">
        <v>266.69</v>
      </c>
      <c r="E910" s="9">
        <f t="shared" si="43"/>
        <v>-7.2852581573147057E-3</v>
      </c>
      <c r="F910" s="9">
        <f t="shared" si="41"/>
        <v>-5.4968821218024733E-3</v>
      </c>
      <c r="G910" s="9">
        <f t="shared" si="42"/>
        <v>6.3349749854374679E-3</v>
      </c>
    </row>
    <row r="911" spans="1:7" x14ac:dyDescent="0.2">
      <c r="A911" s="12">
        <v>38224</v>
      </c>
      <c r="D911" s="9">
        <v>266.94</v>
      </c>
      <c r="E911" s="9">
        <f t="shared" si="43"/>
        <v>9.3697887408958379E-4</v>
      </c>
      <c r="F911" s="9">
        <f t="shared" si="41"/>
        <v>-2.730964455229442E-3</v>
      </c>
      <c r="G911" s="9">
        <f t="shared" si="42"/>
        <v>6.3303233863430848E-3</v>
      </c>
    </row>
    <row r="912" spans="1:7" x14ac:dyDescent="0.2">
      <c r="A912" s="12">
        <v>38225</v>
      </c>
      <c r="D912" s="9">
        <v>268.16000000000003</v>
      </c>
      <c r="E912" s="9">
        <f t="shared" si="43"/>
        <v>4.5599032477129974E-3</v>
      </c>
      <c r="F912" s="9">
        <f t="shared" si="41"/>
        <v>-1.7883760355123805E-3</v>
      </c>
      <c r="G912" s="9">
        <f t="shared" si="42"/>
        <v>6.3516671123907478E-3</v>
      </c>
    </row>
    <row r="913" spans="1:7" x14ac:dyDescent="0.2">
      <c r="A913" s="12">
        <v>38226</v>
      </c>
      <c r="D913" s="9">
        <v>270.17</v>
      </c>
      <c r="E913" s="9">
        <f t="shared" si="43"/>
        <v>7.4675732007136357E-3</v>
      </c>
      <c r="F913" s="9">
        <f t="shared" si="41"/>
        <v>3.1511268173519806E-3</v>
      </c>
      <c r="G913" s="9">
        <f t="shared" si="42"/>
        <v>6.4837082590631836E-3</v>
      </c>
    </row>
    <row r="914" spans="1:7" x14ac:dyDescent="0.2">
      <c r="A914" s="12">
        <v>38229</v>
      </c>
      <c r="D914" s="9">
        <v>269.70999999999998</v>
      </c>
      <c r="E914" s="9">
        <f t="shared" si="43"/>
        <v>-1.7040828010525956E-3</v>
      </c>
      <c r="F914" s="9">
        <f t="shared" si="41"/>
        <v>1.409914154603924E-3</v>
      </c>
      <c r="G914" s="9">
        <f t="shared" si="42"/>
        <v>6.4921250842584705E-3</v>
      </c>
    </row>
    <row r="915" spans="1:7" x14ac:dyDescent="0.2">
      <c r="A915" s="12">
        <v>38230</v>
      </c>
      <c r="D915" s="9">
        <v>267.18</v>
      </c>
      <c r="E915" s="9">
        <f t="shared" si="43"/>
        <v>-9.4247191317134212E-3</v>
      </c>
      <c r="F915" s="9">
        <f t="shared" si="41"/>
        <v>-2.8404862871737125E-3</v>
      </c>
      <c r="G915" s="9">
        <f t="shared" si="42"/>
        <v>6.65435306968806E-3</v>
      </c>
    </row>
    <row r="916" spans="1:7" x14ac:dyDescent="0.2">
      <c r="A916" s="12">
        <v>38231</v>
      </c>
      <c r="D916" s="9">
        <v>269.67</v>
      </c>
      <c r="E916" s="9">
        <f t="shared" si="43"/>
        <v>9.2764006917515768E-3</v>
      </c>
      <c r="F916" s="9">
        <f t="shared" si="41"/>
        <v>5.8016451920072576E-3</v>
      </c>
      <c r="G916" s="9">
        <f t="shared" si="42"/>
        <v>6.8705476284092954E-3</v>
      </c>
    </row>
    <row r="917" spans="1:7" x14ac:dyDescent="0.2">
      <c r="A917" s="12">
        <v>38232</v>
      </c>
      <c r="D917" s="9">
        <v>272.3</v>
      </c>
      <c r="E917" s="9">
        <f t="shared" si="43"/>
        <v>9.7054104262962841E-3</v>
      </c>
      <c r="F917" s="9">
        <f t="shared" si="41"/>
        <v>2.9706077132965962E-2</v>
      </c>
      <c r="G917" s="9">
        <f t="shared" si="42"/>
        <v>6.5211011125743531E-3</v>
      </c>
    </row>
    <row r="918" spans="1:7" x14ac:dyDescent="0.2">
      <c r="A918" s="12">
        <v>38233</v>
      </c>
      <c r="D918" s="9">
        <v>272.43</v>
      </c>
      <c r="E918" s="9">
        <f t="shared" si="43"/>
        <v>4.7730069013272647E-4</v>
      </c>
      <c r="F918" s="9">
        <f t="shared" si="41"/>
        <v>3.4277549355761834E-2</v>
      </c>
      <c r="G918" s="9">
        <f t="shared" si="42"/>
        <v>6.4512325159263991E-3</v>
      </c>
    </row>
    <row r="919" spans="1:7" x14ac:dyDescent="0.2">
      <c r="A919" s="12">
        <v>38236</v>
      </c>
      <c r="D919" s="9">
        <v>274.58</v>
      </c>
      <c r="E919" s="9">
        <f t="shared" si="43"/>
        <v>7.8609570996120096E-3</v>
      </c>
      <c r="F919" s="9">
        <f t="shared" si="41"/>
        <v>4.5525051043924063E-2</v>
      </c>
      <c r="G919" s="9">
        <f t="shared" si="42"/>
        <v>6.5055420964974112E-3</v>
      </c>
    </row>
    <row r="920" spans="1:7" x14ac:dyDescent="0.2">
      <c r="A920" s="12">
        <v>38237</v>
      </c>
      <c r="D920" s="9">
        <v>272.99</v>
      </c>
      <c r="E920" s="9">
        <f t="shared" si="43"/>
        <v>-5.8074929920252693E-3</v>
      </c>
      <c r="F920" s="9">
        <f t="shared" si="41"/>
        <v>3.9488890799863834E-2</v>
      </c>
      <c r="G920" s="9">
        <f t="shared" si="42"/>
        <v>6.6387582097242291E-3</v>
      </c>
    </row>
    <row r="921" spans="1:7" x14ac:dyDescent="0.2">
      <c r="A921" s="12">
        <v>38238</v>
      </c>
      <c r="D921" s="9">
        <v>273.69</v>
      </c>
      <c r="E921" s="9">
        <f t="shared" si="43"/>
        <v>2.5609145480591268E-3</v>
      </c>
      <c r="F921" s="9">
        <f t="shared" si="41"/>
        <v>4.3956965402667761E-2</v>
      </c>
      <c r="G921" s="9">
        <f t="shared" si="42"/>
        <v>6.6140215563013933E-3</v>
      </c>
    </row>
    <row r="922" spans="1:7" x14ac:dyDescent="0.2">
      <c r="A922" s="12">
        <v>38239</v>
      </c>
      <c r="D922" s="9">
        <v>274.35000000000002</v>
      </c>
      <c r="E922" s="9">
        <f t="shared" si="43"/>
        <v>2.4085844794917493E-3</v>
      </c>
      <c r="F922" s="9">
        <f t="shared" si="41"/>
        <v>3.7168510175323986E-2</v>
      </c>
      <c r="G922" s="9">
        <f t="shared" si="42"/>
        <v>6.4545790082906071E-3</v>
      </c>
    </row>
    <row r="923" spans="1:7" x14ac:dyDescent="0.2">
      <c r="A923" s="12">
        <v>38240</v>
      </c>
      <c r="D923" s="9">
        <v>275.75</v>
      </c>
      <c r="E923" s="9">
        <f t="shared" si="43"/>
        <v>5.0899946286273893E-3</v>
      </c>
      <c r="F923" s="9">
        <f t="shared" si="41"/>
        <v>3.4833614385274277E-2</v>
      </c>
      <c r="G923" s="9">
        <f t="shared" si="42"/>
        <v>6.3911821741018792E-3</v>
      </c>
    </row>
    <row r="924" spans="1:7" x14ac:dyDescent="0.2">
      <c r="A924" s="12">
        <v>38243</v>
      </c>
      <c r="B924" s="9">
        <v>277.38</v>
      </c>
      <c r="C924" s="9">
        <v>275.75</v>
      </c>
      <c r="D924" s="9">
        <v>276.66000000000003</v>
      </c>
      <c r="E924" s="9">
        <f t="shared" si="43"/>
        <v>3.2946573130574206E-3</v>
      </c>
      <c r="F924" s="9">
        <f t="shared" si="41"/>
        <v>3.9819461007216096E-2</v>
      </c>
      <c r="G924" s="9">
        <f t="shared" si="42"/>
        <v>6.3792680478611235E-3</v>
      </c>
    </row>
    <row r="925" spans="1:7" x14ac:dyDescent="0.2">
      <c r="A925" s="12">
        <v>38244</v>
      </c>
      <c r="B925" s="9">
        <v>276.74</v>
      </c>
      <c r="C925" s="9">
        <v>274.44</v>
      </c>
      <c r="D925" s="9">
        <v>275.27999999999997</v>
      </c>
      <c r="E925" s="9">
        <f t="shared" si="43"/>
        <v>-5.0005539574443847E-3</v>
      </c>
      <c r="F925" s="9">
        <f t="shared" si="41"/>
        <v>2.2519916482258578E-2</v>
      </c>
      <c r="G925" s="9">
        <f t="shared" si="42"/>
        <v>6.1303238071088945E-3</v>
      </c>
    </row>
    <row r="926" spans="1:7" x14ac:dyDescent="0.2">
      <c r="A926" s="12">
        <v>38245</v>
      </c>
      <c r="B926" s="9">
        <v>275.27999999999997</v>
      </c>
      <c r="C926" s="9">
        <v>273.68</v>
      </c>
      <c r="D926" s="9">
        <v>273.89</v>
      </c>
      <c r="E926" s="9">
        <f t="shared" si="43"/>
        <v>-5.0621955617506636E-3</v>
      </c>
      <c r="F926" s="9">
        <f t="shared" si="41"/>
        <v>2.2747555934826642E-2</v>
      </c>
      <c r="G926" s="9">
        <f t="shared" si="42"/>
        <v>6.1227253625528825E-3</v>
      </c>
    </row>
    <row r="927" spans="1:7" x14ac:dyDescent="0.2">
      <c r="A927" s="12">
        <v>38246</v>
      </c>
      <c r="B927" s="9">
        <v>275.83</v>
      </c>
      <c r="C927" s="9">
        <v>273.66000000000003</v>
      </c>
      <c r="D927" s="9">
        <v>275.07</v>
      </c>
      <c r="E927" s="9">
        <f t="shared" si="43"/>
        <v>4.2990448024449995E-3</v>
      </c>
      <c r="F927" s="9">
        <f t="shared" si="41"/>
        <v>2.1905392780782268E-2</v>
      </c>
      <c r="G927" s="9">
        <f t="shared" si="42"/>
        <v>6.1038384738330296E-3</v>
      </c>
    </row>
    <row r="928" spans="1:7" x14ac:dyDescent="0.2">
      <c r="A928" s="12">
        <v>38247</v>
      </c>
      <c r="B928" s="9">
        <v>276.51</v>
      </c>
      <c r="C928" s="9">
        <v>274.86</v>
      </c>
      <c r="D928" s="9">
        <v>275.5</v>
      </c>
      <c r="E928" s="9">
        <f t="shared" si="43"/>
        <v>1.5620178630501294E-3</v>
      </c>
      <c r="F928" s="9">
        <f t="shared" si="41"/>
        <v>3.3701308880624087E-2</v>
      </c>
      <c r="G928" s="9">
        <f t="shared" si="42"/>
        <v>5.7424352230252837E-3</v>
      </c>
    </row>
    <row r="929" spans="1:7" x14ac:dyDescent="0.2">
      <c r="A929" s="12">
        <v>38250</v>
      </c>
      <c r="B929" s="9">
        <v>276.29000000000002</v>
      </c>
      <c r="C929" s="9">
        <v>274.48</v>
      </c>
      <c r="D929" s="9">
        <v>275.02</v>
      </c>
      <c r="E929" s="9">
        <f t="shared" si="43"/>
        <v>-1.7438062981705649E-3</v>
      </c>
      <c r="F929" s="9">
        <f t="shared" ref="F929:F992" si="44">LN(D929/D899)</f>
        <v>4.3018184226689848E-2</v>
      </c>
      <c r="G929" s="9">
        <f t="shared" si="42"/>
        <v>5.295304653851223E-3</v>
      </c>
    </row>
    <row r="930" spans="1:7" x14ac:dyDescent="0.2">
      <c r="A930" s="12">
        <v>38251</v>
      </c>
      <c r="B930" s="9">
        <v>277.43</v>
      </c>
      <c r="C930" s="9">
        <v>274.31</v>
      </c>
      <c r="D930" s="9">
        <v>277.43</v>
      </c>
      <c r="E930" s="9">
        <f t="shared" si="43"/>
        <v>8.7248268184875934E-3</v>
      </c>
      <c r="F930" s="9">
        <f t="shared" si="44"/>
        <v>4.1208052281994353E-2</v>
      </c>
      <c r="G930" s="9">
        <f t="shared" si="42"/>
        <v>5.1974349006533261E-3</v>
      </c>
    </row>
    <row r="931" spans="1:7" x14ac:dyDescent="0.2">
      <c r="A931" s="12">
        <v>38252</v>
      </c>
      <c r="B931" s="9">
        <v>278.10000000000002</v>
      </c>
      <c r="C931" s="9">
        <v>275.94</v>
      </c>
      <c r="D931" s="9">
        <v>276.19</v>
      </c>
      <c r="E931" s="9">
        <f t="shared" si="43"/>
        <v>-4.4796144416158912E-3</v>
      </c>
      <c r="F931" s="9">
        <f t="shared" si="44"/>
        <v>4.0453958171003432E-2</v>
      </c>
      <c r="G931" s="9">
        <f t="shared" si="42"/>
        <v>5.2246982931100716E-3</v>
      </c>
    </row>
    <row r="932" spans="1:7" x14ac:dyDescent="0.2">
      <c r="A932" s="12">
        <v>38253</v>
      </c>
      <c r="B932" s="9">
        <v>276.61</v>
      </c>
      <c r="C932" s="9">
        <v>274.77999999999997</v>
      </c>
      <c r="D932" s="9">
        <v>276.33</v>
      </c>
      <c r="E932" s="9">
        <f t="shared" si="43"/>
        <v>5.0676899658355353E-4</v>
      </c>
      <c r="F932" s="9">
        <f t="shared" si="44"/>
        <v>3.5021529917593872E-2</v>
      </c>
      <c r="G932" s="9">
        <f t="shared" si="42"/>
        <v>5.1537619961397451E-3</v>
      </c>
    </row>
    <row r="933" spans="1:7" x14ac:dyDescent="0.2">
      <c r="A933" s="12">
        <v>38254</v>
      </c>
      <c r="B933" s="9">
        <v>277.66000000000003</v>
      </c>
      <c r="C933" s="9">
        <v>276.33</v>
      </c>
      <c r="D933" s="9">
        <v>277.66000000000003</v>
      </c>
      <c r="E933" s="9">
        <f t="shared" si="43"/>
        <v>4.8015399384025931E-3</v>
      </c>
      <c r="F933" s="9">
        <f t="shared" si="44"/>
        <v>4.4744838850535512E-2</v>
      </c>
      <c r="G933" s="9">
        <f t="shared" si="42"/>
        <v>5.0625552117353504E-3</v>
      </c>
    </row>
    <row r="934" spans="1:7" x14ac:dyDescent="0.2">
      <c r="A934" s="12">
        <v>38257</v>
      </c>
      <c r="B934" s="9">
        <v>278.16000000000003</v>
      </c>
      <c r="C934" s="9">
        <v>276.33999999999997</v>
      </c>
      <c r="D934" s="9">
        <v>277.08</v>
      </c>
      <c r="E934" s="9">
        <f t="shared" si="43"/>
        <v>-2.0910704522521255E-3</v>
      </c>
      <c r="F934" s="9">
        <f t="shared" si="44"/>
        <v>3.8256835404545032E-2</v>
      </c>
      <c r="G934" s="9">
        <f t="shared" si="42"/>
        <v>5.072728143514265E-3</v>
      </c>
    </row>
    <row r="935" spans="1:7" x14ac:dyDescent="0.2">
      <c r="A935" s="12">
        <v>38258</v>
      </c>
      <c r="B935" s="9">
        <v>277.91000000000003</v>
      </c>
      <c r="C935" s="9">
        <v>275.99</v>
      </c>
      <c r="D935" s="9">
        <v>277.42</v>
      </c>
      <c r="E935" s="9">
        <f t="shared" si="43"/>
        <v>1.2263301807398546E-3</v>
      </c>
      <c r="F935" s="9">
        <f t="shared" si="44"/>
        <v>3.8246492452726988E-2</v>
      </c>
      <c r="G935" s="9">
        <f t="shared" ref="G935:G998" si="45">STDEV(E906:E935)</f>
        <v>5.0727312056956554E-3</v>
      </c>
    </row>
    <row r="936" spans="1:7" x14ac:dyDescent="0.2">
      <c r="A936" s="12">
        <v>38259</v>
      </c>
      <c r="B936" s="9">
        <v>282.08</v>
      </c>
      <c r="C936" s="9">
        <v>277.41000000000003</v>
      </c>
      <c r="D936" s="9">
        <v>281.45999999999998</v>
      </c>
      <c r="E936" s="9">
        <f t="shared" si="43"/>
        <v>1.4457738233277548E-2</v>
      </c>
      <c r="F936" s="9">
        <f t="shared" si="44"/>
        <v>4.8443816139487519E-2</v>
      </c>
      <c r="G936" s="9">
        <f t="shared" si="45"/>
        <v>5.5944971304785615E-3</v>
      </c>
    </row>
    <row r="937" spans="1:7" x14ac:dyDescent="0.2">
      <c r="A937" s="12">
        <v>38260</v>
      </c>
      <c r="B937" s="9">
        <v>283.92</v>
      </c>
      <c r="C937" s="9">
        <v>281.32</v>
      </c>
      <c r="D937" s="9">
        <v>281.86</v>
      </c>
      <c r="E937" s="9">
        <f t="shared" si="43"/>
        <v>1.4201521949433978E-3</v>
      </c>
      <c r="F937" s="9">
        <f t="shared" si="44"/>
        <v>4.9304736331786496E-2</v>
      </c>
      <c r="G937" s="9">
        <f t="shared" si="45"/>
        <v>5.5911028908602507E-3</v>
      </c>
    </row>
    <row r="938" spans="1:7" x14ac:dyDescent="0.2">
      <c r="A938" s="12">
        <v>38261</v>
      </c>
      <c r="B938" s="9">
        <v>283.73</v>
      </c>
      <c r="C938" s="9">
        <v>281.35000000000002</v>
      </c>
      <c r="D938" s="9">
        <v>283.23</v>
      </c>
      <c r="E938" s="9">
        <f t="shared" si="43"/>
        <v>4.8487946491698455E-3</v>
      </c>
      <c r="F938" s="9">
        <f t="shared" si="44"/>
        <v>5.7289265967884528E-2</v>
      </c>
      <c r="G938" s="9">
        <f t="shared" si="45"/>
        <v>5.5456114714557136E-3</v>
      </c>
    </row>
    <row r="939" spans="1:7" x14ac:dyDescent="0.2">
      <c r="A939" s="12">
        <v>38264</v>
      </c>
      <c r="B939" s="9">
        <v>285.95999999999998</v>
      </c>
      <c r="C939" s="9">
        <v>283.23</v>
      </c>
      <c r="D939" s="9">
        <v>285.31</v>
      </c>
      <c r="E939" s="9">
        <f t="shared" si="43"/>
        <v>7.3170200163478654E-3</v>
      </c>
      <c r="F939" s="9">
        <f t="shared" si="44"/>
        <v>6.0204115099652233E-2</v>
      </c>
      <c r="G939" s="9">
        <f t="shared" si="45"/>
        <v>5.6158771700207449E-3</v>
      </c>
    </row>
    <row r="940" spans="1:7" x14ac:dyDescent="0.2">
      <c r="A940" s="12">
        <v>38265</v>
      </c>
      <c r="B940" s="9">
        <v>285.93</v>
      </c>
      <c r="C940" s="9">
        <v>284.74</v>
      </c>
      <c r="D940" s="9">
        <v>285.60000000000002</v>
      </c>
      <c r="E940" s="9">
        <f t="shared" si="43"/>
        <v>1.0159220365464092E-3</v>
      </c>
      <c r="F940" s="9">
        <f t="shared" si="44"/>
        <v>6.8505295293513527E-2</v>
      </c>
      <c r="G940" s="9">
        <f t="shared" si="45"/>
        <v>5.3399814654711596E-3</v>
      </c>
    </row>
    <row r="941" spans="1:7" x14ac:dyDescent="0.2">
      <c r="A941" s="12">
        <v>38266</v>
      </c>
      <c r="B941" s="9">
        <v>286.35000000000002</v>
      </c>
      <c r="C941" s="9">
        <v>284.7</v>
      </c>
      <c r="D941" s="9">
        <v>284.85000000000002</v>
      </c>
      <c r="E941" s="9">
        <f t="shared" si="43"/>
        <v>-2.629504539024735E-3</v>
      </c>
      <c r="F941" s="9">
        <f t="shared" si="44"/>
        <v>6.4938811880399239E-2</v>
      </c>
      <c r="G941" s="9">
        <f t="shared" si="45"/>
        <v>5.4102305091428358E-3</v>
      </c>
    </row>
    <row r="942" spans="1:7" x14ac:dyDescent="0.2">
      <c r="A942" s="12">
        <v>38267</v>
      </c>
      <c r="B942" s="9">
        <v>285.88</v>
      </c>
      <c r="C942" s="9">
        <v>283.73</v>
      </c>
      <c r="D942" s="9">
        <v>283.89999999999998</v>
      </c>
      <c r="E942" s="9">
        <f t="shared" si="43"/>
        <v>-3.340662447479248E-3</v>
      </c>
      <c r="F942" s="9">
        <f t="shared" si="44"/>
        <v>5.7038246185207038E-2</v>
      </c>
      <c r="G942" s="9">
        <f t="shared" si="45"/>
        <v>5.4814340686225394E-3</v>
      </c>
    </row>
    <row r="943" spans="1:7" x14ac:dyDescent="0.2">
      <c r="A943" s="12">
        <v>38268</v>
      </c>
      <c r="B943" s="9">
        <v>283.89999999999998</v>
      </c>
      <c r="C943" s="9">
        <v>281.83</v>
      </c>
      <c r="D943" s="9">
        <v>282.54000000000002</v>
      </c>
      <c r="E943" s="9">
        <f t="shared" si="43"/>
        <v>-4.8019299954070831E-3</v>
      </c>
      <c r="F943" s="9">
        <f t="shared" si="44"/>
        <v>4.4768742989086341E-2</v>
      </c>
      <c r="G943" s="9">
        <f t="shared" si="45"/>
        <v>5.5094549414969624E-3</v>
      </c>
    </row>
    <row r="944" spans="1:7" x14ac:dyDescent="0.2">
      <c r="A944" s="12">
        <v>38271</v>
      </c>
      <c r="B944" s="9">
        <v>283.52999999999997</v>
      </c>
      <c r="C944" s="9">
        <v>281.60000000000002</v>
      </c>
      <c r="D944" s="9">
        <v>282.12</v>
      </c>
      <c r="E944" s="9">
        <f t="shared" si="43"/>
        <v>-1.4876211435397616E-3</v>
      </c>
      <c r="F944" s="9">
        <f t="shared" si="44"/>
        <v>4.4985204646599067E-2</v>
      </c>
      <c r="G944" s="9">
        <f t="shared" si="45"/>
        <v>5.5052646517358616E-3</v>
      </c>
    </row>
    <row r="945" spans="1:7" x14ac:dyDescent="0.2">
      <c r="A945" s="12">
        <v>38272</v>
      </c>
      <c r="B945" s="9">
        <v>283.02</v>
      </c>
      <c r="C945" s="9">
        <v>281.75</v>
      </c>
      <c r="D945" s="9">
        <v>282.06</v>
      </c>
      <c r="E945" s="9">
        <f t="shared" si="43"/>
        <v>-2.126980758842991E-4</v>
      </c>
      <c r="F945" s="9">
        <f t="shared" si="44"/>
        <v>5.4197225702428201E-2</v>
      </c>
      <c r="G945" s="9">
        <f t="shared" si="45"/>
        <v>5.1182380102324804E-3</v>
      </c>
    </row>
    <row r="946" spans="1:7" x14ac:dyDescent="0.2">
      <c r="A946" s="12">
        <v>38273</v>
      </c>
      <c r="B946" s="9">
        <v>284.08</v>
      </c>
      <c r="C946" s="9">
        <v>281.70999999999998</v>
      </c>
      <c r="D946" s="9">
        <v>282.68</v>
      </c>
      <c r="E946" s="9">
        <f t="shared" si="43"/>
        <v>2.1957015585594023E-3</v>
      </c>
      <c r="F946" s="9">
        <f t="shared" si="44"/>
        <v>4.7116526569235991E-2</v>
      </c>
      <c r="G946" s="9">
        <f t="shared" si="45"/>
        <v>4.9213691383770989E-3</v>
      </c>
    </row>
    <row r="947" spans="1:7" x14ac:dyDescent="0.2">
      <c r="A947" s="12">
        <v>38274</v>
      </c>
      <c r="B947" s="9">
        <v>282.68</v>
      </c>
      <c r="C947" s="9">
        <v>280.24</v>
      </c>
      <c r="D947" s="9">
        <v>282.2</v>
      </c>
      <c r="E947" s="9">
        <f t="shared" si="43"/>
        <v>-1.6994764039399979E-3</v>
      </c>
      <c r="F947" s="9">
        <f t="shared" si="44"/>
        <v>3.5711639738999677E-2</v>
      </c>
      <c r="G947" s="9">
        <f t="shared" si="45"/>
        <v>4.7071397554043952E-3</v>
      </c>
    </row>
    <row r="948" spans="1:7" x14ac:dyDescent="0.2">
      <c r="A948" s="12">
        <v>38275</v>
      </c>
      <c r="B948" s="9">
        <v>282.2</v>
      </c>
      <c r="C948" s="9">
        <v>279.95999999999998</v>
      </c>
      <c r="D948" s="9">
        <v>280.44</v>
      </c>
      <c r="E948" s="9">
        <f t="shared" si="43"/>
        <v>-6.2562410799467281E-3</v>
      </c>
      <c r="F948" s="9">
        <f t="shared" si="44"/>
        <v>2.897809796892015E-2</v>
      </c>
      <c r="G948" s="9">
        <f t="shared" si="45"/>
        <v>4.8989450441777977E-3</v>
      </c>
    </row>
    <row r="949" spans="1:7" x14ac:dyDescent="0.2">
      <c r="A949" s="12">
        <v>38278</v>
      </c>
      <c r="B949" s="9">
        <v>281.08</v>
      </c>
      <c r="C949" s="9">
        <v>278.82</v>
      </c>
      <c r="D949" s="9">
        <v>278.91000000000003</v>
      </c>
      <c r="E949" s="9">
        <f t="shared" si="43"/>
        <v>-5.4706492028905552E-3</v>
      </c>
      <c r="F949" s="9">
        <f t="shared" si="44"/>
        <v>1.564649166641752E-2</v>
      </c>
      <c r="G949" s="9">
        <f t="shared" si="45"/>
        <v>4.8564005118868839E-3</v>
      </c>
    </row>
    <row r="950" spans="1:7" x14ac:dyDescent="0.2">
      <c r="A950" s="12">
        <v>38279</v>
      </c>
      <c r="B950" s="9">
        <v>281.68</v>
      </c>
      <c r="C950" s="9">
        <v>278.91000000000003</v>
      </c>
      <c r="D950" s="9">
        <v>281</v>
      </c>
      <c r="E950" s="9">
        <f t="shared" si="43"/>
        <v>7.4655201978693327E-3</v>
      </c>
      <c r="F950" s="9">
        <f t="shared" si="44"/>
        <v>2.8919504856312242E-2</v>
      </c>
      <c r="G950" s="9">
        <f t="shared" si="45"/>
        <v>4.8645220448044766E-3</v>
      </c>
    </row>
    <row r="951" spans="1:7" x14ac:dyDescent="0.2">
      <c r="A951" s="12">
        <v>38280</v>
      </c>
      <c r="B951" s="9">
        <v>281</v>
      </c>
      <c r="C951" s="9">
        <v>276.68</v>
      </c>
      <c r="D951" s="9">
        <v>276.70999999999998</v>
      </c>
      <c r="E951" s="9">
        <f t="shared" si="43"/>
        <v>-1.5384642969838418E-2</v>
      </c>
      <c r="F951" s="9">
        <f t="shared" si="44"/>
        <v>1.0973947338414626E-2</v>
      </c>
      <c r="G951" s="9">
        <f t="shared" si="45"/>
        <v>5.6940268088357801E-3</v>
      </c>
    </row>
    <row r="952" spans="1:7" x14ac:dyDescent="0.2">
      <c r="A952" s="12">
        <v>38281</v>
      </c>
      <c r="B952" s="9">
        <v>278.33</v>
      </c>
      <c r="C952" s="9">
        <v>275.99</v>
      </c>
      <c r="D952" s="9">
        <v>277</v>
      </c>
      <c r="E952" s="9">
        <f t="shared" si="43"/>
        <v>1.0474798234311297E-3</v>
      </c>
      <c r="F952" s="9">
        <f t="shared" si="44"/>
        <v>9.6128426823540638E-3</v>
      </c>
      <c r="G952" s="9">
        <f t="shared" si="45"/>
        <v>5.6825997521061725E-3</v>
      </c>
    </row>
    <row r="953" spans="1:7" x14ac:dyDescent="0.2">
      <c r="A953" s="12">
        <v>38282</v>
      </c>
      <c r="B953" s="9">
        <v>279.27999999999997</v>
      </c>
      <c r="C953" s="9">
        <v>277</v>
      </c>
      <c r="D953" s="9">
        <v>278.89</v>
      </c>
      <c r="E953" s="9">
        <f t="shared" si="43"/>
        <v>6.7999326580803991E-3</v>
      </c>
      <c r="F953" s="9">
        <f t="shared" si="44"/>
        <v>1.1322780711807017E-2</v>
      </c>
      <c r="G953" s="9">
        <f t="shared" si="45"/>
        <v>5.7403712780452042E-3</v>
      </c>
    </row>
    <row r="954" spans="1:7" x14ac:dyDescent="0.2">
      <c r="A954" s="12">
        <v>38285</v>
      </c>
      <c r="B954" s="9">
        <v>278.89</v>
      </c>
      <c r="C954" s="9">
        <v>273.91000000000003</v>
      </c>
      <c r="D954" s="9">
        <v>274.32</v>
      </c>
      <c r="E954" s="9">
        <f t="shared" si="43"/>
        <v>-1.6522130690753957E-2</v>
      </c>
      <c r="F954" s="9">
        <f t="shared" si="44"/>
        <v>-8.4940072920044116E-3</v>
      </c>
      <c r="G954" s="9">
        <f t="shared" si="45"/>
        <v>6.4849922741434052E-3</v>
      </c>
    </row>
    <row r="955" spans="1:7" x14ac:dyDescent="0.2">
      <c r="A955" s="12">
        <v>38286</v>
      </c>
      <c r="B955" s="9">
        <v>274.79000000000002</v>
      </c>
      <c r="C955" s="9">
        <v>271.64</v>
      </c>
      <c r="D955" s="9">
        <v>273.41000000000003</v>
      </c>
      <c r="E955" s="9">
        <f t="shared" si="43"/>
        <v>-3.322808088947873E-3</v>
      </c>
      <c r="F955" s="9">
        <f t="shared" si="44"/>
        <v>-6.8162614235077884E-3</v>
      </c>
      <c r="G955" s="9">
        <f t="shared" si="45"/>
        <v>6.4500477342777588E-3</v>
      </c>
    </row>
    <row r="956" spans="1:7" x14ac:dyDescent="0.2">
      <c r="A956" s="12">
        <v>38287</v>
      </c>
      <c r="B956" s="9">
        <v>274.94</v>
      </c>
      <c r="C956" s="9">
        <v>272.72000000000003</v>
      </c>
      <c r="D956" s="9">
        <v>274.39999999999998</v>
      </c>
      <c r="E956" s="9">
        <f t="shared" si="43"/>
        <v>3.6143957860130874E-3</v>
      </c>
      <c r="F956" s="9">
        <f t="shared" si="44"/>
        <v>1.8603299242558725E-3</v>
      </c>
      <c r="G956" s="9">
        <f t="shared" si="45"/>
        <v>6.4202313405810982E-3</v>
      </c>
    </row>
    <row r="957" spans="1:7" x14ac:dyDescent="0.2">
      <c r="A957" s="12">
        <v>38288</v>
      </c>
      <c r="B957" s="9">
        <v>277.27</v>
      </c>
      <c r="C957" s="9">
        <v>271.62</v>
      </c>
      <c r="D957" s="9">
        <v>273.75</v>
      </c>
      <c r="E957" s="9">
        <f t="shared" si="43"/>
        <v>-2.371614721019552E-3</v>
      </c>
      <c r="F957" s="9">
        <f t="shared" si="44"/>
        <v>-4.8103295992084627E-3</v>
      </c>
      <c r="G957" s="9">
        <f t="shared" si="45"/>
        <v>6.3838388774611335E-3</v>
      </c>
    </row>
    <row r="958" spans="1:7" x14ac:dyDescent="0.2">
      <c r="A958" s="12">
        <v>38289</v>
      </c>
      <c r="B958" s="9">
        <v>273.75</v>
      </c>
      <c r="C958" s="9">
        <v>271.89</v>
      </c>
      <c r="D958" s="9">
        <v>272.18</v>
      </c>
      <c r="E958" s="9">
        <f t="shared" si="43"/>
        <v>-5.751668998539061E-3</v>
      </c>
      <c r="F958" s="9">
        <f t="shared" si="44"/>
        <v>-1.2124016460797596E-2</v>
      </c>
      <c r="G958" s="9">
        <f t="shared" si="45"/>
        <v>6.4550486662947829E-3</v>
      </c>
    </row>
    <row r="959" spans="1:7" x14ac:dyDescent="0.2">
      <c r="A959" s="12">
        <v>38292</v>
      </c>
      <c r="B959" s="9">
        <v>275.08</v>
      </c>
      <c r="C959" s="9">
        <v>272.18</v>
      </c>
      <c r="D959" s="9">
        <v>275.08</v>
      </c>
      <c r="E959" s="9">
        <f t="shared" si="43"/>
        <v>1.0598352319463704E-2</v>
      </c>
      <c r="F959" s="9">
        <f t="shared" si="44"/>
        <v>2.1814215683673181E-4</v>
      </c>
      <c r="G959" s="9">
        <f t="shared" si="45"/>
        <v>6.7531456179063046E-3</v>
      </c>
    </row>
    <row r="960" spans="1:7" x14ac:dyDescent="0.2">
      <c r="A960" s="12">
        <v>38293</v>
      </c>
      <c r="B960" s="9">
        <v>277.24</v>
      </c>
      <c r="C960" s="9">
        <v>274.66000000000003</v>
      </c>
      <c r="D960" s="9">
        <v>277.22000000000003</v>
      </c>
      <c r="E960" s="9">
        <f t="shared" si="43"/>
        <v>7.7494503335718045E-3</v>
      </c>
      <c r="F960" s="9">
        <f t="shared" si="44"/>
        <v>-7.5723432807908221E-4</v>
      </c>
      <c r="G960" s="9">
        <f t="shared" si="45"/>
        <v>6.7119506044012872E-3</v>
      </c>
    </row>
    <row r="961" spans="1:7" x14ac:dyDescent="0.2">
      <c r="A961" s="12">
        <v>38294</v>
      </c>
      <c r="B961" s="9">
        <v>279.33999999999997</v>
      </c>
      <c r="C961" s="9">
        <v>276.35000000000002</v>
      </c>
      <c r="D961" s="9">
        <v>277.45999999999998</v>
      </c>
      <c r="E961" s="9">
        <f t="shared" si="43"/>
        <v>8.6536386737228821E-4</v>
      </c>
      <c r="F961" s="9">
        <f t="shared" si="44"/>
        <v>4.5877439809090467E-3</v>
      </c>
      <c r="G961" s="9">
        <f t="shared" si="45"/>
        <v>6.6603758547570486E-3</v>
      </c>
    </row>
    <row r="962" spans="1:7" x14ac:dyDescent="0.2">
      <c r="A962" s="12">
        <v>38295</v>
      </c>
      <c r="B962" s="9">
        <v>279.45</v>
      </c>
      <c r="C962" s="9">
        <v>277.05</v>
      </c>
      <c r="D962" s="9">
        <v>278.27</v>
      </c>
      <c r="E962" s="9">
        <f t="shared" si="43"/>
        <v>2.91508672771573E-3</v>
      </c>
      <c r="F962" s="9">
        <f t="shared" si="44"/>
        <v>6.9960617120413049E-3</v>
      </c>
      <c r="G962" s="9">
        <f t="shared" si="45"/>
        <v>6.6792746584611691E-3</v>
      </c>
    </row>
    <row r="963" spans="1:7" x14ac:dyDescent="0.2">
      <c r="A963" s="12">
        <v>38296</v>
      </c>
      <c r="B963" s="9">
        <v>281.16000000000003</v>
      </c>
      <c r="C963" s="9">
        <v>278.27</v>
      </c>
      <c r="D963" s="9">
        <v>280.95999999999998</v>
      </c>
      <c r="E963" s="9">
        <f t="shared" si="43"/>
        <v>9.6204450664565486E-3</v>
      </c>
      <c r="F963" s="9">
        <f t="shared" si="44"/>
        <v>1.1814966840095458E-2</v>
      </c>
      <c r="G963" s="9">
        <f t="shared" si="45"/>
        <v>6.8487228804342461E-3</v>
      </c>
    </row>
    <row r="964" spans="1:7" x14ac:dyDescent="0.2">
      <c r="A964" s="12">
        <v>38299</v>
      </c>
      <c r="B964" s="9">
        <v>280.95999999999998</v>
      </c>
      <c r="C964" s="9">
        <v>279.23</v>
      </c>
      <c r="D964" s="9">
        <v>279.49</v>
      </c>
      <c r="E964" s="9">
        <f t="shared" ref="E964:E1027" si="46">LN(D964/D963)</f>
        <v>-5.2457966669650783E-3</v>
      </c>
      <c r="F964" s="9">
        <f t="shared" si="44"/>
        <v>8.660240625382452E-3</v>
      </c>
      <c r="G964" s="9">
        <f t="shared" si="45"/>
        <v>6.9121184865460145E-3</v>
      </c>
    </row>
    <row r="965" spans="1:7" x14ac:dyDescent="0.2">
      <c r="A965" s="12">
        <v>38300</v>
      </c>
      <c r="B965" s="9">
        <v>280.20999999999998</v>
      </c>
      <c r="C965" s="9">
        <v>278.57</v>
      </c>
      <c r="D965" s="9">
        <v>280.01</v>
      </c>
      <c r="E965" s="9">
        <f t="shared" si="46"/>
        <v>1.85880303743741E-3</v>
      </c>
      <c r="F965" s="9">
        <f t="shared" si="44"/>
        <v>9.2927134820799395E-3</v>
      </c>
      <c r="G965" s="9">
        <f t="shared" si="45"/>
        <v>6.9160404466641189E-3</v>
      </c>
    </row>
    <row r="966" spans="1:7" x14ac:dyDescent="0.2">
      <c r="A966" s="12">
        <v>38301</v>
      </c>
      <c r="B966" s="9">
        <v>281.52999999999997</v>
      </c>
      <c r="C966" s="9">
        <v>279.7</v>
      </c>
      <c r="D966" s="9">
        <v>280.97000000000003</v>
      </c>
      <c r="E966" s="9">
        <f t="shared" si="46"/>
        <v>3.4225852512638879E-3</v>
      </c>
      <c r="F966" s="9">
        <f t="shared" si="44"/>
        <v>-1.7424394999337048E-3</v>
      </c>
      <c r="G966" s="9">
        <f t="shared" si="45"/>
        <v>6.4127621254899247E-3</v>
      </c>
    </row>
    <row r="967" spans="1:7" x14ac:dyDescent="0.2">
      <c r="A967" s="12">
        <v>38302</v>
      </c>
      <c r="B967" s="9">
        <v>283.2</v>
      </c>
      <c r="C967" s="9">
        <v>280.22000000000003</v>
      </c>
      <c r="D967" s="9">
        <v>283.2</v>
      </c>
      <c r="E967" s="9">
        <f t="shared" si="46"/>
        <v>7.9054597510767547E-3</v>
      </c>
      <c r="F967" s="9">
        <f t="shared" si="44"/>
        <v>4.7428680561995701E-3</v>
      </c>
      <c r="G967" s="9">
        <f t="shared" si="45"/>
        <v>6.5716550754368426E-3</v>
      </c>
    </row>
    <row r="968" spans="1:7" x14ac:dyDescent="0.2">
      <c r="A968" s="12">
        <v>38303</v>
      </c>
      <c r="B968" s="9">
        <v>283.93</v>
      </c>
      <c r="C968" s="9">
        <v>281.81</v>
      </c>
      <c r="D968" s="9">
        <v>282.02</v>
      </c>
      <c r="E968" s="9">
        <f t="shared" si="46"/>
        <v>-4.1753714104806215E-3</v>
      </c>
      <c r="F968" s="9">
        <f t="shared" si="44"/>
        <v>-4.2812980034509117E-3</v>
      </c>
      <c r="G968" s="9">
        <f t="shared" si="45"/>
        <v>6.5560570103803846E-3</v>
      </c>
    </row>
    <row r="969" spans="1:7" x14ac:dyDescent="0.2">
      <c r="A969" s="12">
        <v>38306</v>
      </c>
      <c r="B969" s="9">
        <v>283.87</v>
      </c>
      <c r="C969" s="9">
        <v>281.18</v>
      </c>
      <c r="D969" s="9">
        <v>281.89999999999998</v>
      </c>
      <c r="E969" s="9">
        <f t="shared" si="46"/>
        <v>-4.2559228901723818E-4</v>
      </c>
      <c r="F969" s="9">
        <f t="shared" si="44"/>
        <v>-1.2023910308816129E-2</v>
      </c>
      <c r="G969" s="9">
        <f t="shared" si="45"/>
        <v>6.4028786777660471E-3</v>
      </c>
    </row>
    <row r="970" spans="1:7" x14ac:dyDescent="0.2">
      <c r="A970" s="12">
        <v>38307</v>
      </c>
      <c r="B970" s="9">
        <v>282.39999999999998</v>
      </c>
      <c r="C970" s="9">
        <v>280.61</v>
      </c>
      <c r="D970" s="9">
        <v>280.77</v>
      </c>
      <c r="E970" s="9">
        <f t="shared" si="46"/>
        <v>-4.016569282792007E-3</v>
      </c>
      <c r="F970" s="9">
        <f t="shared" si="44"/>
        <v>-1.705640162815468E-2</v>
      </c>
      <c r="G970" s="9">
        <f t="shared" si="45"/>
        <v>6.4303464882507046E-3</v>
      </c>
    </row>
    <row r="971" spans="1:7" x14ac:dyDescent="0.2">
      <c r="A971" s="12">
        <v>38308</v>
      </c>
      <c r="B971" s="9">
        <v>282.7</v>
      </c>
      <c r="C971" s="9">
        <v>280.77</v>
      </c>
      <c r="D971" s="9">
        <v>282.31</v>
      </c>
      <c r="E971" s="9">
        <f t="shared" si="46"/>
        <v>5.4699291033152549E-3</v>
      </c>
      <c r="F971" s="9">
        <f t="shared" si="44"/>
        <v>-8.9569679858145547E-3</v>
      </c>
      <c r="G971" s="9">
        <f t="shared" si="45"/>
        <v>6.5103638114995289E-3</v>
      </c>
    </row>
    <row r="972" spans="1:7" x14ac:dyDescent="0.2">
      <c r="A972" s="12">
        <v>38309</v>
      </c>
      <c r="B972" s="9">
        <v>282.54000000000002</v>
      </c>
      <c r="C972" s="9">
        <v>281.24</v>
      </c>
      <c r="D972" s="9">
        <v>282.33999999999997</v>
      </c>
      <c r="E972" s="9">
        <f t="shared" si="46"/>
        <v>1.0626051546349237E-4</v>
      </c>
      <c r="F972" s="9">
        <f t="shared" si="44"/>
        <v>-5.5100450228719256E-3</v>
      </c>
      <c r="G972" s="9">
        <f t="shared" si="45"/>
        <v>6.4851920454864305E-3</v>
      </c>
    </row>
    <row r="973" spans="1:7" x14ac:dyDescent="0.2">
      <c r="A973" s="12">
        <v>38310</v>
      </c>
      <c r="B973" s="9">
        <v>283.73</v>
      </c>
      <c r="C973" s="9">
        <v>281.62</v>
      </c>
      <c r="D973" s="9">
        <v>282.77</v>
      </c>
      <c r="E973" s="9">
        <f t="shared" si="46"/>
        <v>1.5218279024918943E-3</v>
      </c>
      <c r="F973" s="9">
        <f t="shared" si="44"/>
        <v>8.1371287502709979E-4</v>
      </c>
      <c r="G973" s="9">
        <f t="shared" si="45"/>
        <v>6.4324638319725727E-3</v>
      </c>
    </row>
    <row r="974" spans="1:7" x14ac:dyDescent="0.2">
      <c r="A974" s="12">
        <v>38313</v>
      </c>
      <c r="B974" s="9">
        <v>282.77</v>
      </c>
      <c r="C974" s="9">
        <v>279.97000000000003</v>
      </c>
      <c r="D974" s="9">
        <v>281.33</v>
      </c>
      <c r="E974" s="9">
        <f t="shared" si="46"/>
        <v>-5.1054888421223268E-3</v>
      </c>
      <c r="F974" s="9">
        <f t="shared" si="44"/>
        <v>-2.8041548235554236E-3</v>
      </c>
      <c r="G974" s="9">
        <f t="shared" si="45"/>
        <v>6.4954469429421057E-3</v>
      </c>
    </row>
    <row r="975" spans="1:7" x14ac:dyDescent="0.2">
      <c r="A975" s="12">
        <v>38314</v>
      </c>
      <c r="B975" s="9">
        <v>284.63</v>
      </c>
      <c r="C975" s="9">
        <v>281.33</v>
      </c>
      <c r="D975" s="9">
        <v>283.51</v>
      </c>
      <c r="E975" s="9">
        <f t="shared" si="46"/>
        <v>7.7190383978998677E-3</v>
      </c>
      <c r="F975" s="9">
        <f t="shared" si="44"/>
        <v>5.1275816502285273E-3</v>
      </c>
      <c r="G975" s="9">
        <f t="shared" si="45"/>
        <v>6.6500145665952994E-3</v>
      </c>
    </row>
    <row r="976" spans="1:7" x14ac:dyDescent="0.2">
      <c r="A976" s="12">
        <v>38315</v>
      </c>
      <c r="B976" s="9">
        <v>285.93</v>
      </c>
      <c r="C976" s="9">
        <v>283.51</v>
      </c>
      <c r="D976" s="9">
        <v>285.93</v>
      </c>
      <c r="E976" s="9">
        <f t="shared" si="46"/>
        <v>8.4996297033213368E-3</v>
      </c>
      <c r="F976" s="9">
        <f t="shared" si="44"/>
        <v>1.1431509794990549E-2</v>
      </c>
      <c r="G976" s="9">
        <f t="shared" si="45"/>
        <v>6.8137820291464197E-3</v>
      </c>
    </row>
    <row r="977" spans="1:7" x14ac:dyDescent="0.2">
      <c r="A977" s="12">
        <v>38316</v>
      </c>
      <c r="B977" s="9">
        <v>287.14</v>
      </c>
      <c r="C977" s="9">
        <v>285.08999999999997</v>
      </c>
      <c r="D977" s="9">
        <v>285.93</v>
      </c>
      <c r="E977" s="9">
        <f t="shared" si="46"/>
        <v>0</v>
      </c>
      <c r="F977" s="9">
        <f t="shared" si="44"/>
        <v>1.3130986198930588E-2</v>
      </c>
      <c r="G977" s="9">
        <f t="shared" si="45"/>
        <v>6.8029442777893757E-3</v>
      </c>
    </row>
    <row r="978" spans="1:7" x14ac:dyDescent="0.2">
      <c r="A978" s="12">
        <v>38317</v>
      </c>
      <c r="B978" s="9">
        <v>285.93</v>
      </c>
      <c r="C978" s="9">
        <v>283.94</v>
      </c>
      <c r="D978" s="9">
        <v>284.64</v>
      </c>
      <c r="E978" s="9">
        <f t="shared" si="46"/>
        <v>-4.5218017001192028E-3</v>
      </c>
      <c r="F978" s="9">
        <f t="shared" si="44"/>
        <v>1.4865425578758019E-2</v>
      </c>
      <c r="G978" s="9">
        <f t="shared" si="45"/>
        <v>6.751268105871208E-3</v>
      </c>
    </row>
    <row r="979" spans="1:7" x14ac:dyDescent="0.2">
      <c r="A979" s="12">
        <v>38320</v>
      </c>
      <c r="B979" s="9">
        <v>286.66000000000003</v>
      </c>
      <c r="C979" s="9">
        <v>284.3</v>
      </c>
      <c r="D979" s="9">
        <v>284.57</v>
      </c>
      <c r="E979" s="9">
        <f t="shared" si="46"/>
        <v>-2.4595492121663238E-4</v>
      </c>
      <c r="F979" s="9">
        <f t="shared" si="44"/>
        <v>2.0090119860431885E-2</v>
      </c>
      <c r="G979" s="9">
        <f t="shared" si="45"/>
        <v>6.6588125859597582E-3</v>
      </c>
    </row>
    <row r="980" spans="1:7" x14ac:dyDescent="0.2">
      <c r="A980" s="12">
        <v>38321</v>
      </c>
      <c r="B980" s="9">
        <v>284.89</v>
      </c>
      <c r="C980" s="9">
        <v>282.77999999999997</v>
      </c>
      <c r="D980" s="9">
        <v>282.88</v>
      </c>
      <c r="E980" s="9">
        <f t="shared" si="46"/>
        <v>-5.9564895470296583E-3</v>
      </c>
      <c r="F980" s="9">
        <f t="shared" si="44"/>
        <v>6.6681101155329119E-3</v>
      </c>
      <c r="G980" s="9">
        <f t="shared" si="45"/>
        <v>6.6373322000358439E-3</v>
      </c>
    </row>
    <row r="981" spans="1:7" x14ac:dyDescent="0.2">
      <c r="A981" s="12">
        <v>38322</v>
      </c>
      <c r="B981" s="9">
        <v>285.70999999999998</v>
      </c>
      <c r="C981" s="9">
        <v>282.19</v>
      </c>
      <c r="D981" s="9">
        <v>285.64</v>
      </c>
      <c r="E981" s="9">
        <f t="shared" si="46"/>
        <v>9.7094972316307086E-3</v>
      </c>
      <c r="F981" s="9">
        <f t="shared" si="44"/>
        <v>3.176225031700191E-2</v>
      </c>
      <c r="G981" s="9">
        <f t="shared" si="45"/>
        <v>6.167244914891578E-3</v>
      </c>
    </row>
    <row r="982" spans="1:7" x14ac:dyDescent="0.2">
      <c r="A982" s="12">
        <v>38323</v>
      </c>
      <c r="B982" s="9">
        <v>287.3</v>
      </c>
      <c r="C982" s="9">
        <v>285.64</v>
      </c>
      <c r="D982" s="9">
        <v>286.93</v>
      </c>
      <c r="E982" s="9">
        <f t="shared" si="46"/>
        <v>4.5060068906503624E-3</v>
      </c>
      <c r="F982" s="9">
        <f t="shared" si="44"/>
        <v>3.5220777384220976E-2</v>
      </c>
      <c r="G982" s="9">
        <f t="shared" si="45"/>
        <v>6.1992690957957302E-3</v>
      </c>
    </row>
    <row r="983" spans="1:7" x14ac:dyDescent="0.2">
      <c r="A983" s="12">
        <v>38324</v>
      </c>
      <c r="B983" s="9">
        <v>287.48</v>
      </c>
      <c r="C983" s="9">
        <v>285.79000000000002</v>
      </c>
      <c r="D983" s="9">
        <v>285.82</v>
      </c>
      <c r="E983" s="9">
        <f t="shared" si="46"/>
        <v>-3.8760415179108524E-3</v>
      </c>
      <c r="F983" s="9">
        <f t="shared" si="44"/>
        <v>2.4544803208229892E-2</v>
      </c>
      <c r="G983" s="9">
        <f t="shared" si="45"/>
        <v>6.1715429315844141E-3</v>
      </c>
    </row>
    <row r="984" spans="1:7" x14ac:dyDescent="0.2">
      <c r="A984" s="12">
        <v>38327</v>
      </c>
      <c r="B984" s="9">
        <v>285.94</v>
      </c>
      <c r="C984" s="9">
        <v>284.51</v>
      </c>
      <c r="D984" s="9">
        <v>285.25</v>
      </c>
      <c r="E984" s="9">
        <f t="shared" si="46"/>
        <v>-1.9962533114636569E-3</v>
      </c>
      <c r="F984" s="9">
        <f t="shared" si="44"/>
        <v>3.9070680587520223E-2</v>
      </c>
      <c r="G984" s="9">
        <f t="shared" si="45"/>
        <v>5.2678340442720685E-3</v>
      </c>
    </row>
    <row r="985" spans="1:7" x14ac:dyDescent="0.2">
      <c r="A985" s="12">
        <v>38328</v>
      </c>
      <c r="B985" s="9">
        <v>286.38</v>
      </c>
      <c r="C985" s="9">
        <v>284.27</v>
      </c>
      <c r="D985" s="9">
        <v>284.77</v>
      </c>
      <c r="E985" s="9">
        <f t="shared" si="46"/>
        <v>-1.6841518313557363E-3</v>
      </c>
      <c r="F985" s="9">
        <f t="shared" si="44"/>
        <v>4.0709336845112201E-2</v>
      </c>
      <c r="G985" s="9">
        <f t="shared" si="45"/>
        <v>5.2265560944909388E-3</v>
      </c>
    </row>
    <row r="986" spans="1:7" x14ac:dyDescent="0.2">
      <c r="A986" s="12">
        <v>38329</v>
      </c>
      <c r="B986" s="9">
        <v>284.77</v>
      </c>
      <c r="C986" s="9">
        <v>282.02</v>
      </c>
      <c r="D986" s="9">
        <v>282.83</v>
      </c>
      <c r="E986" s="9">
        <f t="shared" si="46"/>
        <v>-6.8358264779379077E-3</v>
      </c>
      <c r="F986" s="9">
        <f t="shared" si="44"/>
        <v>3.0259114581161393E-2</v>
      </c>
      <c r="G986" s="9">
        <f t="shared" si="45"/>
        <v>5.4157358191860997E-3</v>
      </c>
    </row>
    <row r="987" spans="1:7" x14ac:dyDescent="0.2">
      <c r="A987" s="12">
        <v>38330</v>
      </c>
      <c r="B987" s="9">
        <v>282.83</v>
      </c>
      <c r="C987" s="9">
        <v>278.48</v>
      </c>
      <c r="D987" s="9">
        <v>279.44</v>
      </c>
      <c r="E987" s="9">
        <f t="shared" si="46"/>
        <v>-1.205840993431485E-2</v>
      </c>
      <c r="F987" s="9">
        <f t="shared" si="44"/>
        <v>2.0572319367865983E-2</v>
      </c>
      <c r="G987" s="9">
        <f t="shared" si="45"/>
        <v>5.892044479277307E-3</v>
      </c>
    </row>
    <row r="988" spans="1:7" x14ac:dyDescent="0.2">
      <c r="A988" s="12">
        <v>38331</v>
      </c>
      <c r="B988" s="9">
        <v>280.51</v>
      </c>
      <c r="C988" s="9">
        <v>278.98</v>
      </c>
      <c r="D988" s="9">
        <v>279.64</v>
      </c>
      <c r="E988" s="9">
        <f t="shared" si="46"/>
        <v>7.1546114520776186E-4</v>
      </c>
      <c r="F988" s="9">
        <f t="shared" si="44"/>
        <v>2.7039449511612718E-2</v>
      </c>
      <c r="G988" s="9">
        <f t="shared" si="45"/>
        <v>5.7653421340352366E-3</v>
      </c>
    </row>
    <row r="989" spans="1:7" x14ac:dyDescent="0.2">
      <c r="A989" s="12">
        <v>38334</v>
      </c>
      <c r="B989" s="9">
        <v>283.08999999999997</v>
      </c>
      <c r="C989" s="9">
        <v>279.64</v>
      </c>
      <c r="D989" s="9">
        <v>283.06</v>
      </c>
      <c r="E989" s="9">
        <f t="shared" si="46"/>
        <v>1.2155827661908569E-2</v>
      </c>
      <c r="F989" s="9">
        <f t="shared" si="44"/>
        <v>2.8596924854057477E-2</v>
      </c>
      <c r="G989" s="9">
        <f t="shared" si="45"/>
        <v>5.8618773991479323E-3</v>
      </c>
    </row>
    <row r="990" spans="1:7" x14ac:dyDescent="0.2">
      <c r="A990" s="12">
        <v>38335</v>
      </c>
      <c r="B990" s="9">
        <v>283.44</v>
      </c>
      <c r="C990" s="9">
        <v>279.63</v>
      </c>
      <c r="D990" s="9">
        <v>280.02999999999997</v>
      </c>
      <c r="E990" s="9">
        <f t="shared" si="46"/>
        <v>-1.0762149018686462E-2</v>
      </c>
      <c r="F990" s="9">
        <f t="shared" si="44"/>
        <v>1.0085325501799431E-2</v>
      </c>
      <c r="G990" s="9">
        <f t="shared" si="45"/>
        <v>6.0916151370275411E-3</v>
      </c>
    </row>
    <row r="991" spans="1:7" x14ac:dyDescent="0.2">
      <c r="A991" s="12">
        <v>38336</v>
      </c>
      <c r="B991" s="9">
        <v>282.04000000000002</v>
      </c>
      <c r="C991" s="9">
        <v>279.72000000000003</v>
      </c>
      <c r="D991" s="9">
        <v>281.35000000000002</v>
      </c>
      <c r="E991" s="9">
        <f t="shared" si="46"/>
        <v>4.702705592281615E-3</v>
      </c>
      <c r="F991" s="9">
        <f t="shared" si="44"/>
        <v>1.3922667226708584E-2</v>
      </c>
      <c r="G991" s="9">
        <f t="shared" si="45"/>
        <v>6.1431800253053401E-3</v>
      </c>
    </row>
    <row r="992" spans="1:7" x14ac:dyDescent="0.2">
      <c r="A992" s="12">
        <v>38337</v>
      </c>
      <c r="B992" s="9">
        <v>282.33</v>
      </c>
      <c r="C992" s="9">
        <v>277.95999999999998</v>
      </c>
      <c r="D992" s="9">
        <v>278.99</v>
      </c>
      <c r="E992" s="9">
        <f t="shared" si="46"/>
        <v>-8.4235069941795328E-3</v>
      </c>
      <c r="F992" s="9">
        <f t="shared" si="44"/>
        <v>2.5840735048133414E-3</v>
      </c>
      <c r="G992" s="9">
        <f t="shared" si="45"/>
        <v>6.3330487225796697E-3</v>
      </c>
    </row>
    <row r="993" spans="1:7" x14ac:dyDescent="0.2">
      <c r="A993" s="12">
        <v>38338</v>
      </c>
      <c r="B993" s="9">
        <v>278.99</v>
      </c>
      <c r="C993" s="9">
        <v>277.3</v>
      </c>
      <c r="D993" s="9">
        <v>277.64</v>
      </c>
      <c r="E993" s="9">
        <f t="shared" si="46"/>
        <v>-4.8506284137255886E-3</v>
      </c>
      <c r="F993" s="9">
        <f t="shared" ref="F993:F1056" si="47">LN(D993/D963)</f>
        <v>-1.1886999975368854E-2</v>
      </c>
      <c r="G993" s="9">
        <f t="shared" si="45"/>
        <v>6.1296505662567372E-3</v>
      </c>
    </row>
    <row r="994" spans="1:7" x14ac:dyDescent="0.2">
      <c r="A994" s="12">
        <v>38341</v>
      </c>
      <c r="B994" s="9">
        <v>279.18</v>
      </c>
      <c r="C994" s="9">
        <v>277.64</v>
      </c>
      <c r="D994" s="9">
        <v>278.82</v>
      </c>
      <c r="E994" s="9">
        <f t="shared" si="46"/>
        <v>4.2411018535590235E-3</v>
      </c>
      <c r="F994" s="9">
        <f t="shared" si="47"/>
        <v>-2.4001014548447374E-3</v>
      </c>
      <c r="G994" s="9">
        <f t="shared" si="45"/>
        <v>6.1155326198520229E-3</v>
      </c>
    </row>
    <row r="995" spans="1:7" x14ac:dyDescent="0.2">
      <c r="A995" s="12">
        <v>38342</v>
      </c>
      <c r="B995" s="9">
        <v>283.5</v>
      </c>
      <c r="C995" s="9">
        <v>278.49</v>
      </c>
      <c r="D995" s="9">
        <v>282.64999999999998</v>
      </c>
      <c r="E995" s="9">
        <f t="shared" si="46"/>
        <v>1.364297079635776E-2</v>
      </c>
      <c r="F995" s="9">
        <f t="shared" si="47"/>
        <v>9.3840663040758426E-3</v>
      </c>
      <c r="G995" s="9">
        <f t="shared" si="45"/>
        <v>6.6033549479273352E-3</v>
      </c>
    </row>
    <row r="996" spans="1:7" x14ac:dyDescent="0.2">
      <c r="A996" s="12">
        <v>38343</v>
      </c>
      <c r="B996" s="9">
        <v>286.3</v>
      </c>
      <c r="C996" s="9">
        <v>282.64999999999998</v>
      </c>
      <c r="D996" s="9">
        <v>286.3</v>
      </c>
      <c r="E996" s="9">
        <f t="shared" si="46"/>
        <v>1.2830828982769608E-2</v>
      </c>
      <c r="F996" s="9">
        <f t="shared" si="47"/>
        <v>1.8792310035581367E-2</v>
      </c>
      <c r="G996" s="9">
        <f t="shared" si="45"/>
        <v>6.9694019496265285E-3</v>
      </c>
    </row>
    <row r="997" spans="1:7" x14ac:dyDescent="0.2">
      <c r="A997" s="12">
        <v>38344</v>
      </c>
      <c r="B997" s="9">
        <v>287.3</v>
      </c>
      <c r="C997" s="9">
        <v>285.47000000000003</v>
      </c>
      <c r="D997" s="9">
        <v>286.39</v>
      </c>
      <c r="E997" s="9">
        <f t="shared" si="46"/>
        <v>3.1430617171900965E-4</v>
      </c>
      <c r="F997" s="9">
        <f t="shared" si="47"/>
        <v>1.1201156456223691E-2</v>
      </c>
      <c r="G997" s="9">
        <f t="shared" si="45"/>
        <v>6.8324689771114555E-3</v>
      </c>
    </row>
    <row r="998" spans="1:7" x14ac:dyDescent="0.2">
      <c r="A998" s="12">
        <v>38348</v>
      </c>
      <c r="B998" s="9">
        <v>286.76</v>
      </c>
      <c r="C998" s="9">
        <v>285.54000000000002</v>
      </c>
      <c r="D998" s="9">
        <v>286.56</v>
      </c>
      <c r="E998" s="9">
        <f t="shared" si="46"/>
        <v>5.9342003661324997E-4</v>
      </c>
      <c r="F998" s="9">
        <f t="shared" si="47"/>
        <v>1.5969947903317676E-2</v>
      </c>
      <c r="G998" s="9">
        <f t="shared" si="45"/>
        <v>6.7782503268105747E-3</v>
      </c>
    </row>
    <row r="999" spans="1:7" x14ac:dyDescent="0.2">
      <c r="A999" s="12">
        <v>38349</v>
      </c>
      <c r="B999" s="9">
        <v>286.68</v>
      </c>
      <c r="C999" s="9">
        <v>284.5</v>
      </c>
      <c r="D999" s="9">
        <v>285.33999999999997</v>
      </c>
      <c r="E999" s="9">
        <f t="shared" si="46"/>
        <v>-4.2664866257333652E-3</v>
      </c>
      <c r="F999" s="9">
        <f t="shared" si="47"/>
        <v>1.212905356660144E-2</v>
      </c>
      <c r="G999" s="9">
        <f t="shared" ref="G999:G1062" si="48">STDEV(E970:E999)</f>
        <v>6.8330205782962646E-3</v>
      </c>
    </row>
    <row r="1000" spans="1:7" x14ac:dyDescent="0.2">
      <c r="A1000" s="12">
        <v>38350</v>
      </c>
      <c r="B1000" s="9">
        <v>286.27999999999997</v>
      </c>
      <c r="C1000" s="9">
        <v>284.54000000000002</v>
      </c>
      <c r="D1000" s="9">
        <v>285.88</v>
      </c>
      <c r="E1000" s="9">
        <f t="shared" si="46"/>
        <v>1.8906906651098131E-3</v>
      </c>
      <c r="F1000" s="9">
        <f t="shared" si="47"/>
        <v>1.8036313514503445E-2</v>
      </c>
      <c r="G1000" s="9">
        <f t="shared" si="48"/>
        <v>6.7861852488200576E-3</v>
      </c>
    </row>
    <row r="1001" spans="1:7" x14ac:dyDescent="0.2">
      <c r="A1001" s="12">
        <v>38351</v>
      </c>
      <c r="B1001" s="9">
        <v>286.69</v>
      </c>
      <c r="C1001" s="9">
        <v>285.76</v>
      </c>
      <c r="D1001" s="9">
        <v>286.66000000000003</v>
      </c>
      <c r="E1001" s="9">
        <f t="shared" si="46"/>
        <v>2.7247021432915369E-3</v>
      </c>
      <c r="F1001" s="9">
        <f t="shared" si="47"/>
        <v>1.5291086554479562E-2</v>
      </c>
      <c r="G1001" s="9">
        <f t="shared" si="48"/>
        <v>6.7365973794239233E-3</v>
      </c>
    </row>
    <row r="1002" spans="1:7" x14ac:dyDescent="0.2">
      <c r="A1002" s="12">
        <v>38355</v>
      </c>
      <c r="B1002" s="9">
        <v>290.72000000000003</v>
      </c>
      <c r="C1002" s="9">
        <v>286.52</v>
      </c>
      <c r="D1002" s="9">
        <v>289.58999999999997</v>
      </c>
      <c r="E1002" s="9">
        <f t="shared" si="46"/>
        <v>1.0169285033563579E-2</v>
      </c>
      <c r="F1002" s="9">
        <f t="shared" si="47"/>
        <v>2.5354111072579903E-2</v>
      </c>
      <c r="G1002" s="9">
        <f t="shared" si="48"/>
        <v>6.9625596333135024E-3</v>
      </c>
    </row>
    <row r="1003" spans="1:7" x14ac:dyDescent="0.2">
      <c r="A1003" s="12">
        <v>38356</v>
      </c>
      <c r="B1003" s="9">
        <v>290.58999999999997</v>
      </c>
      <c r="C1003" s="9">
        <v>288.19</v>
      </c>
      <c r="D1003" s="9">
        <v>288.61</v>
      </c>
      <c r="E1003" s="9">
        <f t="shared" si="46"/>
        <v>-3.3898337545113168E-3</v>
      </c>
      <c r="F1003" s="9">
        <f t="shared" si="47"/>
        <v>2.044244941557663E-2</v>
      </c>
      <c r="G1003" s="9">
        <f t="shared" si="48"/>
        <v>7.003725074115715E-3</v>
      </c>
    </row>
    <row r="1004" spans="1:7" x14ac:dyDescent="0.2">
      <c r="A1004" s="12">
        <v>38357</v>
      </c>
      <c r="B1004" s="9">
        <v>288.61</v>
      </c>
      <c r="C1004" s="9">
        <v>286.20999999999998</v>
      </c>
      <c r="D1004" s="9">
        <v>286.45999999999998</v>
      </c>
      <c r="E1004" s="9">
        <f t="shared" si="46"/>
        <v>-7.4773854224030713E-3</v>
      </c>
      <c r="F1004" s="9">
        <f t="shared" si="47"/>
        <v>1.8070552835296058E-2</v>
      </c>
      <c r="G1004" s="9">
        <f t="shared" si="48"/>
        <v>7.0842297439398854E-3</v>
      </c>
    </row>
    <row r="1005" spans="1:7" x14ac:dyDescent="0.2">
      <c r="A1005" s="12">
        <v>38358</v>
      </c>
      <c r="B1005" s="9">
        <v>290.23</v>
      </c>
      <c r="C1005" s="9">
        <v>286.45999999999998</v>
      </c>
      <c r="D1005" s="9">
        <v>289.42</v>
      </c>
      <c r="E1005" s="9">
        <f t="shared" si="46"/>
        <v>1.0280009958127747E-2</v>
      </c>
      <c r="F1005" s="9">
        <f t="shared" si="47"/>
        <v>2.0631524395523945E-2</v>
      </c>
      <c r="G1005" s="9">
        <f t="shared" si="48"/>
        <v>7.1876192432608387E-3</v>
      </c>
    </row>
    <row r="1006" spans="1:7" x14ac:dyDescent="0.2">
      <c r="A1006" s="12">
        <v>38359</v>
      </c>
      <c r="B1006" s="9">
        <v>291.86</v>
      </c>
      <c r="C1006" s="9">
        <v>289.05</v>
      </c>
      <c r="D1006" s="9">
        <v>291.44</v>
      </c>
      <c r="E1006" s="9">
        <f t="shared" si="46"/>
        <v>6.9552323904615888E-3</v>
      </c>
      <c r="F1006" s="9">
        <f t="shared" si="47"/>
        <v>1.90871270826641E-2</v>
      </c>
      <c r="G1006" s="9">
        <f t="shared" si="48"/>
        <v>7.1350772809020656E-3</v>
      </c>
    </row>
    <row r="1007" spans="1:7" x14ac:dyDescent="0.2">
      <c r="A1007" s="12">
        <v>38362</v>
      </c>
      <c r="B1007" s="9">
        <v>291.68</v>
      </c>
      <c r="C1007" s="9">
        <v>289.47000000000003</v>
      </c>
      <c r="D1007" s="9">
        <v>290.74</v>
      </c>
      <c r="E1007" s="9">
        <f t="shared" si="46"/>
        <v>-2.4047557021294633E-3</v>
      </c>
      <c r="F1007" s="9">
        <f t="shared" si="47"/>
        <v>1.6682371380534723E-2</v>
      </c>
      <c r="G1007" s="9">
        <f t="shared" si="48"/>
        <v>7.1559490237760167E-3</v>
      </c>
    </row>
    <row r="1008" spans="1:7" x14ac:dyDescent="0.2">
      <c r="A1008" s="12">
        <v>38363</v>
      </c>
      <c r="B1008" s="9">
        <v>291.3</v>
      </c>
      <c r="C1008" s="9">
        <v>287.91000000000003</v>
      </c>
      <c r="D1008" s="9">
        <v>288.63</v>
      </c>
      <c r="E1008" s="9">
        <f t="shared" si="46"/>
        <v>-7.2838059568959392E-3</v>
      </c>
      <c r="F1008" s="9">
        <f t="shared" si="47"/>
        <v>1.3920367123758045E-2</v>
      </c>
      <c r="G1008" s="9">
        <f t="shared" si="48"/>
        <v>7.2407973021772947E-3</v>
      </c>
    </row>
    <row r="1009" spans="1:7" x14ac:dyDescent="0.2">
      <c r="A1009" s="12">
        <v>38364</v>
      </c>
      <c r="B1009" s="9">
        <v>288.98</v>
      </c>
      <c r="C1009" s="9">
        <v>285.97000000000003</v>
      </c>
      <c r="D1009" s="9">
        <v>286.64999999999998</v>
      </c>
      <c r="E1009" s="9">
        <f t="shared" si="46"/>
        <v>-6.8836316868912664E-3</v>
      </c>
      <c r="F1009" s="9">
        <f t="shared" si="47"/>
        <v>7.2826903580834193E-3</v>
      </c>
      <c r="G1009" s="9">
        <f t="shared" si="48"/>
        <v>7.3636114039500348E-3</v>
      </c>
    </row>
    <row r="1010" spans="1:7" x14ac:dyDescent="0.2">
      <c r="A1010" s="12">
        <v>38365</v>
      </c>
      <c r="B1010" s="9">
        <v>288.5</v>
      </c>
      <c r="C1010" s="9">
        <v>286.39</v>
      </c>
      <c r="D1010" s="9">
        <v>288.16000000000003</v>
      </c>
      <c r="E1010" s="9">
        <f t="shared" si="46"/>
        <v>5.2539220732542883E-3</v>
      </c>
      <c r="F1010" s="9">
        <f t="shared" si="47"/>
        <v>1.8493101978367486E-2</v>
      </c>
      <c r="G1010" s="9">
        <f t="shared" si="48"/>
        <v>7.3225029537124751E-3</v>
      </c>
    </row>
    <row r="1011" spans="1:7" x14ac:dyDescent="0.2">
      <c r="A1011" s="12">
        <v>38366</v>
      </c>
      <c r="B1011" s="9">
        <v>288.89</v>
      </c>
      <c r="C1011" s="9">
        <v>286.92</v>
      </c>
      <c r="D1011" s="9">
        <v>288.89</v>
      </c>
      <c r="E1011" s="9">
        <f t="shared" si="46"/>
        <v>2.5301113921576373E-3</v>
      </c>
      <c r="F1011" s="9">
        <f t="shared" si="47"/>
        <v>1.1313716138894529E-2</v>
      </c>
      <c r="G1011" s="9">
        <f t="shared" si="48"/>
        <v>7.1298612401324594E-3</v>
      </c>
    </row>
    <row r="1012" spans="1:7" x14ac:dyDescent="0.2">
      <c r="A1012" s="12">
        <v>38369</v>
      </c>
      <c r="B1012" s="9">
        <v>289.63</v>
      </c>
      <c r="C1012" s="9">
        <v>288.64</v>
      </c>
      <c r="D1012" s="9">
        <v>288.92</v>
      </c>
      <c r="E1012" s="9">
        <f t="shared" si="46"/>
        <v>1.0384036284245986E-4</v>
      </c>
      <c r="F1012" s="9">
        <f t="shared" si="47"/>
        <v>6.9115496110865983E-3</v>
      </c>
      <c r="G1012" s="9">
        <f t="shared" si="48"/>
        <v>7.0871271298538841E-3</v>
      </c>
    </row>
    <row r="1013" spans="1:7" x14ac:dyDescent="0.2">
      <c r="A1013" s="12">
        <v>38370</v>
      </c>
      <c r="B1013" s="9">
        <v>288.92</v>
      </c>
      <c r="C1013" s="9">
        <v>287.43</v>
      </c>
      <c r="D1013" s="9">
        <v>288.51</v>
      </c>
      <c r="E1013" s="9">
        <f t="shared" si="46"/>
        <v>-1.4200857901460777E-3</v>
      </c>
      <c r="F1013" s="9">
        <f t="shared" si="47"/>
        <v>9.3675053388514711E-3</v>
      </c>
      <c r="G1013" s="9">
        <f t="shared" si="48"/>
        <v>7.0521554923198664E-3</v>
      </c>
    </row>
    <row r="1014" spans="1:7" x14ac:dyDescent="0.2">
      <c r="A1014" s="12">
        <v>38371</v>
      </c>
      <c r="B1014" s="9">
        <v>288.95999999999998</v>
      </c>
      <c r="C1014" s="9">
        <v>287.64</v>
      </c>
      <c r="D1014" s="9">
        <v>288.8</v>
      </c>
      <c r="E1014" s="9">
        <f t="shared" si="46"/>
        <v>1.004659626171162E-3</v>
      </c>
      <c r="F1014" s="9">
        <f t="shared" si="47"/>
        <v>1.2368418276486104E-2</v>
      </c>
      <c r="G1014" s="9">
        <f t="shared" si="48"/>
        <v>7.0395534620722603E-3</v>
      </c>
    </row>
    <row r="1015" spans="1:7" x14ac:dyDescent="0.2">
      <c r="A1015" s="12">
        <v>38372</v>
      </c>
      <c r="B1015" s="9">
        <v>288.8</v>
      </c>
      <c r="C1015" s="9">
        <v>286.43</v>
      </c>
      <c r="D1015" s="9">
        <v>286.43</v>
      </c>
      <c r="E1015" s="9">
        <f t="shared" si="46"/>
        <v>-8.2402288145805615E-3</v>
      </c>
      <c r="F1015" s="9">
        <f t="shared" si="47"/>
        <v>5.8123412932613869E-3</v>
      </c>
      <c r="G1015" s="9">
        <f t="shared" si="48"/>
        <v>7.2066593427394243E-3</v>
      </c>
    </row>
    <row r="1016" spans="1:7" x14ac:dyDescent="0.2">
      <c r="A1016" s="12">
        <v>38373</v>
      </c>
      <c r="B1016" s="9">
        <v>287.33</v>
      </c>
      <c r="C1016" s="9">
        <v>284.82</v>
      </c>
      <c r="D1016" s="9">
        <v>286.13</v>
      </c>
      <c r="E1016" s="9">
        <f t="shared" si="46"/>
        <v>-1.0479252041836562E-3</v>
      </c>
      <c r="F1016" s="9">
        <f t="shared" si="47"/>
        <v>1.1600242567015721E-2</v>
      </c>
      <c r="G1016" s="9">
        <f t="shared" si="48"/>
        <v>7.0884861489701806E-3</v>
      </c>
    </row>
    <row r="1017" spans="1:7" x14ac:dyDescent="0.2">
      <c r="A1017" s="12">
        <v>38376</v>
      </c>
      <c r="B1017" s="9">
        <v>286.18</v>
      </c>
      <c r="C1017" s="9">
        <v>283.41000000000003</v>
      </c>
      <c r="D1017" s="9">
        <v>285.22000000000003</v>
      </c>
      <c r="E1017" s="9">
        <f t="shared" si="46"/>
        <v>-3.1854406912860322E-3</v>
      </c>
      <c r="F1017" s="9">
        <f t="shared" si="47"/>
        <v>2.0473211810044526E-2</v>
      </c>
      <c r="G1017" s="9">
        <f t="shared" si="48"/>
        <v>6.7272169710373992E-3</v>
      </c>
    </row>
    <row r="1018" spans="1:7" x14ac:dyDescent="0.2">
      <c r="A1018" s="12">
        <v>38377</v>
      </c>
      <c r="B1018" s="9">
        <v>288.07</v>
      </c>
      <c r="C1018" s="9">
        <v>284.61</v>
      </c>
      <c r="D1018" s="9">
        <v>287.85000000000002</v>
      </c>
      <c r="E1018" s="9">
        <f t="shared" si="46"/>
        <v>9.1786988131977634E-3</v>
      </c>
      <c r="F1018" s="9">
        <f t="shared" si="47"/>
        <v>2.893644947803433E-2</v>
      </c>
      <c r="G1018" s="9">
        <f t="shared" si="48"/>
        <v>6.9037864859256195E-3</v>
      </c>
    </row>
    <row r="1019" spans="1:7" x14ac:dyDescent="0.2">
      <c r="A1019" s="12">
        <v>38378</v>
      </c>
      <c r="B1019" s="9">
        <v>288.95</v>
      </c>
      <c r="C1019" s="9">
        <v>287.63</v>
      </c>
      <c r="D1019" s="9">
        <v>288.10000000000002</v>
      </c>
      <c r="E1019" s="9">
        <f t="shared" si="46"/>
        <v>8.6813096866412488E-4</v>
      </c>
      <c r="F1019" s="9">
        <f t="shared" si="47"/>
        <v>1.7648752784790129E-2</v>
      </c>
      <c r="G1019" s="9">
        <f t="shared" si="48"/>
        <v>6.5724693844370283E-3</v>
      </c>
    </row>
    <row r="1020" spans="1:7" x14ac:dyDescent="0.2">
      <c r="A1020" s="12">
        <v>38379</v>
      </c>
      <c r="B1020" s="9">
        <v>289.26</v>
      </c>
      <c r="C1020" s="9">
        <v>286.52</v>
      </c>
      <c r="D1020" s="9">
        <v>286.95999999999998</v>
      </c>
      <c r="E1020" s="9">
        <f t="shared" si="46"/>
        <v>-3.9648088664557789E-3</v>
      </c>
      <c r="F1020" s="9">
        <f t="shared" si="47"/>
        <v>2.4446092937020585E-2</v>
      </c>
      <c r="G1020" s="9">
        <f t="shared" si="48"/>
        <v>6.278263959888614E-3</v>
      </c>
    </row>
    <row r="1021" spans="1:7" x14ac:dyDescent="0.2">
      <c r="A1021" s="12">
        <v>38380</v>
      </c>
      <c r="B1021" s="9">
        <v>289.72000000000003</v>
      </c>
      <c r="C1021" s="9">
        <v>286.89</v>
      </c>
      <c r="D1021" s="9">
        <v>289.62</v>
      </c>
      <c r="E1021" s="9">
        <f t="shared" si="46"/>
        <v>9.2268856764294999E-3</v>
      </c>
      <c r="F1021" s="9">
        <f t="shared" si="47"/>
        <v>2.8970273021168422E-2</v>
      </c>
      <c r="G1021" s="9">
        <f t="shared" si="48"/>
        <v>6.427435330526087E-3</v>
      </c>
    </row>
    <row r="1022" spans="1:7" x14ac:dyDescent="0.2">
      <c r="A1022" s="12">
        <v>38383</v>
      </c>
      <c r="B1022" s="9">
        <v>291.87</v>
      </c>
      <c r="C1022" s="9">
        <v>289.62</v>
      </c>
      <c r="D1022" s="9">
        <v>291.02</v>
      </c>
      <c r="E1022" s="9">
        <f t="shared" si="46"/>
        <v>4.8222744316759672E-3</v>
      </c>
      <c r="F1022" s="9">
        <f t="shared" si="47"/>
        <v>4.221605444702406E-2</v>
      </c>
      <c r="G1022" s="9">
        <f t="shared" si="48"/>
        <v>6.2115411650912099E-3</v>
      </c>
    </row>
    <row r="1023" spans="1:7" x14ac:dyDescent="0.2">
      <c r="A1023" s="12">
        <v>38384</v>
      </c>
      <c r="B1023" s="9">
        <v>294.11</v>
      </c>
      <c r="C1023" s="9">
        <v>290.17</v>
      </c>
      <c r="D1023" s="9">
        <v>293.92</v>
      </c>
      <c r="E1023" s="9">
        <f t="shared" si="46"/>
        <v>9.9156281346829637E-3</v>
      </c>
      <c r="F1023" s="9">
        <f t="shared" si="47"/>
        <v>5.6982310995432675E-2</v>
      </c>
      <c r="G1023" s="9">
        <f t="shared" si="48"/>
        <v>6.283198359839111E-3</v>
      </c>
    </row>
    <row r="1024" spans="1:7" x14ac:dyDescent="0.2">
      <c r="A1024" s="12">
        <v>38385</v>
      </c>
      <c r="B1024" s="9">
        <v>295.79000000000002</v>
      </c>
      <c r="C1024" s="9">
        <v>293.92</v>
      </c>
      <c r="D1024" s="9">
        <v>295.3</v>
      </c>
      <c r="E1024" s="9">
        <f t="shared" si="46"/>
        <v>4.6841672830614141E-3</v>
      </c>
      <c r="F1024" s="9">
        <f t="shared" si="47"/>
        <v>5.7425376424935157E-2</v>
      </c>
      <c r="G1024" s="9">
        <f t="shared" si="48"/>
        <v>6.2894100258960037E-3</v>
      </c>
    </row>
    <row r="1025" spans="1:7" x14ac:dyDescent="0.2">
      <c r="A1025" s="12">
        <v>38386</v>
      </c>
      <c r="B1025" s="9">
        <v>296.98</v>
      </c>
      <c r="C1025" s="9">
        <v>295.20999999999998</v>
      </c>
      <c r="D1025" s="9">
        <v>295.85000000000002</v>
      </c>
      <c r="E1025" s="9">
        <f t="shared" si="46"/>
        <v>1.8607803728260864E-3</v>
      </c>
      <c r="F1025" s="9">
        <f t="shared" si="47"/>
        <v>4.5643186001403477E-2</v>
      </c>
      <c r="G1025" s="9">
        <f t="shared" si="48"/>
        <v>5.8867315487758764E-3</v>
      </c>
    </row>
    <row r="1026" spans="1:7" x14ac:dyDescent="0.2">
      <c r="A1026" s="12">
        <v>38387</v>
      </c>
      <c r="B1026" s="9">
        <v>297.73</v>
      </c>
      <c r="C1026" s="9">
        <v>295.85000000000002</v>
      </c>
      <c r="D1026" s="9">
        <v>297.14999999999998</v>
      </c>
      <c r="E1026" s="9">
        <f t="shared" si="46"/>
        <v>4.3844926899663317E-3</v>
      </c>
      <c r="F1026" s="9">
        <f t="shared" si="47"/>
        <v>3.7196849708600078E-2</v>
      </c>
      <c r="G1026" s="9">
        <f t="shared" si="48"/>
        <v>5.5175938198368376E-3</v>
      </c>
    </row>
    <row r="1027" spans="1:7" x14ac:dyDescent="0.2">
      <c r="A1027" s="12">
        <v>38390</v>
      </c>
      <c r="B1027" s="9">
        <v>299.56</v>
      </c>
      <c r="C1027" s="9">
        <v>297.14999999999998</v>
      </c>
      <c r="D1027" s="9">
        <v>299.19</v>
      </c>
      <c r="E1027" s="9">
        <f t="shared" si="46"/>
        <v>6.8417612692166742E-3</v>
      </c>
      <c r="F1027" s="9">
        <f t="shared" si="47"/>
        <v>4.3724304806097847E-2</v>
      </c>
      <c r="G1027" s="9">
        <f t="shared" si="48"/>
        <v>5.6078004192988912E-3</v>
      </c>
    </row>
    <row r="1028" spans="1:7" x14ac:dyDescent="0.2">
      <c r="A1028" s="12">
        <v>38391</v>
      </c>
      <c r="B1028" s="9">
        <v>301.07</v>
      </c>
      <c r="C1028" s="9">
        <v>298.76</v>
      </c>
      <c r="D1028" s="9">
        <v>301.06</v>
      </c>
      <c r="E1028" s="9">
        <f t="shared" ref="E1028:E1091" si="49">LN(D1028/D1027)</f>
        <v>6.2307573504715875E-3</v>
      </c>
      <c r="F1028" s="9">
        <f t="shared" si="47"/>
        <v>4.936164211995632E-2</v>
      </c>
      <c r="G1028" s="9">
        <f t="shared" si="48"/>
        <v>5.6719322089105835E-3</v>
      </c>
    </row>
    <row r="1029" spans="1:7" x14ac:dyDescent="0.2">
      <c r="A1029" s="12">
        <v>38392</v>
      </c>
      <c r="B1029" s="9">
        <v>302.08999999999997</v>
      </c>
      <c r="C1029" s="9">
        <v>299.66000000000003</v>
      </c>
      <c r="D1029" s="9">
        <v>301.05</v>
      </c>
      <c r="E1029" s="9">
        <f t="shared" si="49"/>
        <v>-3.321652190097597E-5</v>
      </c>
      <c r="F1029" s="9">
        <f t="shared" si="47"/>
        <v>5.3594912223788628E-2</v>
      </c>
      <c r="G1029" s="9">
        <f t="shared" si="48"/>
        <v>5.5715525382823514E-3</v>
      </c>
    </row>
    <row r="1030" spans="1:7" x14ac:dyDescent="0.2">
      <c r="A1030" s="12">
        <v>38393</v>
      </c>
      <c r="B1030" s="9">
        <v>302.35000000000002</v>
      </c>
      <c r="C1030" s="9">
        <v>300.29000000000002</v>
      </c>
      <c r="D1030" s="9">
        <v>301.91000000000003</v>
      </c>
      <c r="E1030" s="9">
        <f t="shared" si="49"/>
        <v>2.8525958046082935E-3</v>
      </c>
      <c r="F1030" s="9">
        <f t="shared" si="47"/>
        <v>5.4556817363287068E-2</v>
      </c>
      <c r="G1030" s="9">
        <f t="shared" si="48"/>
        <v>5.5749396194880686E-3</v>
      </c>
    </row>
    <row r="1031" spans="1:7" x14ac:dyDescent="0.2">
      <c r="A1031" s="12">
        <v>38394</v>
      </c>
      <c r="B1031" s="9">
        <v>304.31</v>
      </c>
      <c r="C1031" s="9">
        <v>301.91000000000003</v>
      </c>
      <c r="D1031" s="9">
        <v>304.12</v>
      </c>
      <c r="E1031" s="9">
        <f t="shared" si="49"/>
        <v>7.293400645170825E-3</v>
      </c>
      <c r="F1031" s="9">
        <f t="shared" si="47"/>
        <v>5.9125515865166234E-2</v>
      </c>
      <c r="G1031" s="9">
        <f t="shared" si="48"/>
        <v>5.6622635154032919E-3</v>
      </c>
    </row>
    <row r="1032" spans="1:7" x14ac:dyDescent="0.2">
      <c r="A1032" s="12">
        <v>38397</v>
      </c>
      <c r="B1032" s="9">
        <v>305.58999999999997</v>
      </c>
      <c r="C1032" s="9">
        <v>303.73</v>
      </c>
      <c r="D1032" s="9">
        <v>304.69</v>
      </c>
      <c r="E1032" s="9">
        <f t="shared" si="49"/>
        <v>1.872505926473573E-3</v>
      </c>
      <c r="F1032" s="9">
        <f t="shared" si="47"/>
        <v>5.0828736758076136E-2</v>
      </c>
      <c r="G1032" s="9">
        <f t="shared" si="48"/>
        <v>5.4465313457249722E-3</v>
      </c>
    </row>
    <row r="1033" spans="1:7" x14ac:dyDescent="0.2">
      <c r="A1033" s="12">
        <v>38398</v>
      </c>
      <c r="B1033" s="9">
        <v>308.33</v>
      </c>
      <c r="C1033" s="9">
        <v>304.43</v>
      </c>
      <c r="D1033" s="9">
        <v>308.24</v>
      </c>
      <c r="E1033" s="9">
        <f t="shared" si="49"/>
        <v>1.1583834031192522E-2</v>
      </c>
      <c r="F1033" s="9">
        <f t="shared" si="47"/>
        <v>6.5802404543780113E-2</v>
      </c>
      <c r="G1033" s="9">
        <f t="shared" si="48"/>
        <v>5.6469627066561123E-3</v>
      </c>
    </row>
    <row r="1034" spans="1:7" x14ac:dyDescent="0.2">
      <c r="A1034" s="12">
        <v>38399</v>
      </c>
      <c r="B1034" s="9">
        <v>308.67</v>
      </c>
      <c r="C1034" s="9">
        <v>305.93</v>
      </c>
      <c r="D1034" s="9">
        <v>306.79000000000002</v>
      </c>
      <c r="E1034" s="9">
        <f t="shared" si="49"/>
        <v>-4.7152258801340108E-3</v>
      </c>
      <c r="F1034" s="9">
        <f t="shared" si="47"/>
        <v>6.8564564086049301E-2</v>
      </c>
      <c r="G1034" s="9">
        <f t="shared" si="48"/>
        <v>5.5045688714656432E-3</v>
      </c>
    </row>
    <row r="1035" spans="1:7" x14ac:dyDescent="0.2">
      <c r="A1035" s="12">
        <v>38400</v>
      </c>
      <c r="B1035" s="9">
        <v>309.02</v>
      </c>
      <c r="C1035" s="9">
        <v>306.04000000000002</v>
      </c>
      <c r="D1035" s="9">
        <v>307.86</v>
      </c>
      <c r="E1035" s="9">
        <f t="shared" si="49"/>
        <v>3.4816597441601829E-3</v>
      </c>
      <c r="F1035" s="9">
        <f t="shared" si="47"/>
        <v>6.176621387208172E-2</v>
      </c>
      <c r="G1035" s="9">
        <f t="shared" si="48"/>
        <v>5.3002469068579305E-3</v>
      </c>
    </row>
    <row r="1036" spans="1:7" x14ac:dyDescent="0.2">
      <c r="A1036" s="12">
        <v>38401</v>
      </c>
      <c r="B1036" s="9">
        <v>308.69</v>
      </c>
      <c r="C1036" s="9">
        <v>306.75</v>
      </c>
      <c r="D1036" s="9">
        <v>308.10000000000002</v>
      </c>
      <c r="E1036" s="9">
        <f t="shared" si="49"/>
        <v>7.7927142069386007E-4</v>
      </c>
      <c r="F1036" s="9">
        <f t="shared" si="47"/>
        <v>5.5590252902314015E-2</v>
      </c>
      <c r="G1036" s="9">
        <f t="shared" si="48"/>
        <v>5.2228857765864063E-3</v>
      </c>
    </row>
    <row r="1037" spans="1:7" x14ac:dyDescent="0.2">
      <c r="A1037" s="12">
        <v>38404</v>
      </c>
      <c r="B1037" s="9">
        <v>310.64</v>
      </c>
      <c r="C1037" s="9">
        <v>308.10000000000002</v>
      </c>
      <c r="D1037" s="9">
        <v>308.68</v>
      </c>
      <c r="E1037" s="9">
        <f t="shared" si="49"/>
        <v>1.8807359867800816E-3</v>
      </c>
      <c r="F1037" s="9">
        <f t="shared" si="47"/>
        <v>5.9875744591223502E-2</v>
      </c>
      <c r="G1037" s="9">
        <f t="shared" si="48"/>
        <v>5.1606520950365914E-3</v>
      </c>
    </row>
    <row r="1038" spans="1:7" x14ac:dyDescent="0.2">
      <c r="A1038" s="12">
        <v>38405</v>
      </c>
      <c r="B1038" s="9">
        <v>309.47000000000003</v>
      </c>
      <c r="C1038" s="9">
        <v>306.87</v>
      </c>
      <c r="D1038" s="9">
        <v>309.16000000000003</v>
      </c>
      <c r="E1038" s="9">
        <f t="shared" si="49"/>
        <v>1.5538006492679575E-3</v>
      </c>
      <c r="F1038" s="9">
        <f t="shared" si="47"/>
        <v>6.8713351197387362E-2</v>
      </c>
      <c r="G1038" s="9">
        <f t="shared" si="48"/>
        <v>4.8559149042423444E-3</v>
      </c>
    </row>
    <row r="1039" spans="1:7" x14ac:dyDescent="0.2">
      <c r="A1039" s="12">
        <v>38406</v>
      </c>
      <c r="B1039" s="9">
        <v>309.16000000000003</v>
      </c>
      <c r="C1039" s="9">
        <v>305.86</v>
      </c>
      <c r="D1039" s="9">
        <v>306.97000000000003</v>
      </c>
      <c r="E1039" s="9">
        <f t="shared" si="49"/>
        <v>-7.1089192960774508E-3</v>
      </c>
      <c r="F1039" s="9">
        <f t="shared" si="47"/>
        <v>6.8488063588201156E-2</v>
      </c>
      <c r="G1039" s="9">
        <f t="shared" si="48"/>
        <v>4.870743239590739E-3</v>
      </c>
    </row>
    <row r="1040" spans="1:7" x14ac:dyDescent="0.2">
      <c r="A1040" s="12">
        <v>38407</v>
      </c>
      <c r="B1040" s="9">
        <v>311.07</v>
      </c>
      <c r="C1040" s="9">
        <v>306.97000000000003</v>
      </c>
      <c r="D1040" s="9">
        <v>310.35000000000002</v>
      </c>
      <c r="E1040" s="9">
        <f t="shared" si="49"/>
        <v>1.0950669917068967E-2</v>
      </c>
      <c r="F1040" s="9">
        <f t="shared" si="47"/>
        <v>7.4184811432015663E-2</v>
      </c>
      <c r="G1040" s="9">
        <f t="shared" si="48"/>
        <v>5.0963852848719118E-3</v>
      </c>
    </row>
    <row r="1041" spans="1:7" x14ac:dyDescent="0.2">
      <c r="A1041" s="12">
        <v>38408</v>
      </c>
      <c r="B1041" s="9">
        <v>312.5</v>
      </c>
      <c r="C1041" s="9">
        <v>310.35000000000002</v>
      </c>
      <c r="D1041" s="9">
        <v>311.23</v>
      </c>
      <c r="E1041" s="9">
        <f t="shared" si="49"/>
        <v>2.8314958265718811E-3</v>
      </c>
      <c r="F1041" s="9">
        <f t="shared" si="47"/>
        <v>7.448619586643003E-2</v>
      </c>
      <c r="G1041" s="9">
        <f t="shared" si="48"/>
        <v>5.0967991315311705E-3</v>
      </c>
    </row>
    <row r="1042" spans="1:7" x14ac:dyDescent="0.2">
      <c r="A1042" s="12">
        <v>38411</v>
      </c>
      <c r="B1042" s="9">
        <v>313.04000000000002</v>
      </c>
      <c r="C1042" s="9">
        <v>310.49</v>
      </c>
      <c r="D1042" s="9">
        <v>311.95999999999998</v>
      </c>
      <c r="E1042" s="9">
        <f t="shared" si="49"/>
        <v>2.3427857760634145E-3</v>
      </c>
      <c r="F1042" s="9">
        <f t="shared" si="47"/>
        <v>7.6725141279651007E-2</v>
      </c>
      <c r="G1042" s="9">
        <f t="shared" si="48"/>
        <v>5.0771163808925358E-3</v>
      </c>
    </row>
    <row r="1043" spans="1:7" x14ac:dyDescent="0.2">
      <c r="A1043" s="12">
        <v>38412</v>
      </c>
      <c r="B1043" s="9">
        <v>315.73</v>
      </c>
      <c r="C1043" s="9">
        <v>310.79000000000002</v>
      </c>
      <c r="D1043" s="9">
        <v>315.57</v>
      </c>
      <c r="E1043" s="9">
        <f t="shared" si="49"/>
        <v>1.1505552956995244E-2</v>
      </c>
      <c r="F1043" s="9">
        <f t="shared" si="47"/>
        <v>8.9650780026792387E-2</v>
      </c>
      <c r="G1043" s="9">
        <f t="shared" si="48"/>
        <v>5.2726146155390244E-3</v>
      </c>
    </row>
    <row r="1044" spans="1:7" x14ac:dyDescent="0.2">
      <c r="A1044" s="12">
        <v>38413</v>
      </c>
      <c r="B1044" s="9">
        <v>317.85000000000002</v>
      </c>
      <c r="C1044" s="9">
        <v>315.57</v>
      </c>
      <c r="D1044" s="9">
        <v>316.69</v>
      </c>
      <c r="E1044" s="9">
        <f t="shared" si="49"/>
        <v>3.5428500031625407E-3</v>
      </c>
      <c r="F1044" s="9">
        <f t="shared" si="47"/>
        <v>9.2188970403783807E-2</v>
      </c>
      <c r="G1044" s="9">
        <f t="shared" si="48"/>
        <v>5.260035170962395E-3</v>
      </c>
    </row>
    <row r="1045" spans="1:7" x14ac:dyDescent="0.2">
      <c r="A1045" s="12">
        <v>38414</v>
      </c>
      <c r="B1045" s="9">
        <v>319.61</v>
      </c>
      <c r="C1045" s="9">
        <v>316.69</v>
      </c>
      <c r="D1045" s="9">
        <v>319.23</v>
      </c>
      <c r="E1045" s="9">
        <f t="shared" si="49"/>
        <v>7.9884686992948116E-3</v>
      </c>
      <c r="F1045" s="9">
        <f t="shared" si="47"/>
        <v>0.10841766791765929</v>
      </c>
      <c r="G1045" s="9">
        <f t="shared" si="48"/>
        <v>4.8769899898892322E-3</v>
      </c>
    </row>
    <row r="1046" spans="1:7" x14ac:dyDescent="0.2">
      <c r="A1046" s="12">
        <v>38415</v>
      </c>
      <c r="B1046" s="9">
        <v>321.44</v>
      </c>
      <c r="C1046" s="9">
        <v>317.39999999999998</v>
      </c>
      <c r="D1046" s="9">
        <v>321.44</v>
      </c>
      <c r="E1046" s="9">
        <f t="shared" si="49"/>
        <v>6.8990549448743497E-3</v>
      </c>
      <c r="F1046" s="9">
        <f t="shared" si="47"/>
        <v>0.11636464806671734</v>
      </c>
      <c r="G1046" s="9">
        <f t="shared" si="48"/>
        <v>4.830649398106979E-3</v>
      </c>
    </row>
    <row r="1047" spans="1:7" x14ac:dyDescent="0.2">
      <c r="A1047" s="12">
        <v>38418</v>
      </c>
      <c r="B1047" s="9">
        <v>324.58</v>
      </c>
      <c r="C1047" s="9">
        <v>321.44</v>
      </c>
      <c r="D1047" s="9">
        <v>324.22000000000003</v>
      </c>
      <c r="E1047" s="9">
        <f t="shared" si="49"/>
        <v>8.6113966468029345E-3</v>
      </c>
      <c r="F1047" s="9">
        <f t="shared" si="47"/>
        <v>0.12816148540480626</v>
      </c>
      <c r="G1047" s="9">
        <f t="shared" si="48"/>
        <v>4.7145214175900009E-3</v>
      </c>
    </row>
    <row r="1048" spans="1:7" x14ac:dyDescent="0.2">
      <c r="A1048" s="12">
        <v>38419</v>
      </c>
      <c r="B1048" s="9">
        <v>324.29000000000002</v>
      </c>
      <c r="C1048" s="9">
        <v>319.39999999999998</v>
      </c>
      <c r="D1048" s="9">
        <v>319.89999999999998</v>
      </c>
      <c r="E1048" s="9">
        <f t="shared" si="49"/>
        <v>-1.341385075795499E-2</v>
      </c>
      <c r="F1048" s="9">
        <f t="shared" si="47"/>
        <v>0.10556893583365359</v>
      </c>
      <c r="G1048" s="9">
        <f t="shared" si="48"/>
        <v>5.6210086372496856E-3</v>
      </c>
    </row>
    <row r="1049" spans="1:7" x14ac:dyDescent="0.2">
      <c r="A1049" s="12">
        <v>38420</v>
      </c>
      <c r="B1049" s="9">
        <v>322</v>
      </c>
      <c r="C1049" s="9">
        <v>318.01</v>
      </c>
      <c r="D1049" s="9">
        <v>320.14999999999998</v>
      </c>
      <c r="E1049" s="9">
        <f t="shared" si="49"/>
        <v>7.8118900933892238E-4</v>
      </c>
      <c r="F1049" s="9">
        <f t="shared" si="47"/>
        <v>0.1054819938743282</v>
      </c>
      <c r="G1049" s="9">
        <f t="shared" si="48"/>
        <v>5.6224447044054106E-3</v>
      </c>
    </row>
    <row r="1050" spans="1:7" x14ac:dyDescent="0.2">
      <c r="A1050" s="12">
        <v>38421</v>
      </c>
      <c r="B1050" s="9">
        <v>320.14999999999998</v>
      </c>
      <c r="C1050" s="9">
        <v>313.93</v>
      </c>
      <c r="D1050" s="9">
        <v>315.74</v>
      </c>
      <c r="E1050" s="9">
        <f t="shared" si="49"/>
        <v>-1.387054586123033E-2</v>
      </c>
      <c r="F1050" s="9">
        <f t="shared" si="47"/>
        <v>9.557625687955372E-2</v>
      </c>
      <c r="G1050" s="9">
        <f t="shared" si="48"/>
        <v>6.3240227650766135E-3</v>
      </c>
    </row>
    <row r="1051" spans="1:7" x14ac:dyDescent="0.2">
      <c r="A1051" s="12">
        <v>38422</v>
      </c>
      <c r="B1051" s="9">
        <v>319.60000000000002</v>
      </c>
      <c r="C1051" s="9">
        <v>315.74</v>
      </c>
      <c r="D1051" s="9">
        <v>316.79000000000002</v>
      </c>
      <c r="E1051" s="9">
        <f t="shared" si="49"/>
        <v>3.3200036819186576E-3</v>
      </c>
      <c r="F1051" s="9">
        <f t="shared" si="47"/>
        <v>8.9669374885042757E-2</v>
      </c>
      <c r="G1051" s="9">
        <f t="shared" si="48"/>
        <v>6.2205604455702456E-3</v>
      </c>
    </row>
    <row r="1052" spans="1:7" x14ac:dyDescent="0.2">
      <c r="A1052" s="12">
        <v>38425</v>
      </c>
      <c r="B1052" s="9">
        <v>317.02999999999997</v>
      </c>
      <c r="C1052" s="9">
        <v>315.29000000000002</v>
      </c>
      <c r="D1052" s="9">
        <v>316.62</v>
      </c>
      <c r="E1052" s="9">
        <f t="shared" si="49"/>
        <v>-5.3677713986782273E-4</v>
      </c>
      <c r="F1052" s="9">
        <f t="shared" si="47"/>
        <v>8.4310323313498872E-2</v>
      </c>
      <c r="G1052" s="9">
        <f t="shared" si="48"/>
        <v>6.2430056503475599E-3</v>
      </c>
    </row>
    <row r="1053" spans="1:7" x14ac:dyDescent="0.2">
      <c r="A1053" s="12">
        <v>38426</v>
      </c>
      <c r="B1053" s="9">
        <v>321.39</v>
      </c>
      <c r="C1053" s="9">
        <v>316.62</v>
      </c>
      <c r="D1053" s="9">
        <v>321.22000000000003</v>
      </c>
      <c r="E1053" s="9">
        <f t="shared" si="49"/>
        <v>1.4423929989119767E-2</v>
      </c>
      <c r="F1053" s="9">
        <f t="shared" si="47"/>
        <v>8.8818625167935775E-2</v>
      </c>
      <c r="G1053" s="9">
        <f t="shared" si="48"/>
        <v>6.4700671264449443E-3</v>
      </c>
    </row>
    <row r="1054" spans="1:7" x14ac:dyDescent="0.2">
      <c r="A1054" s="12">
        <v>38427</v>
      </c>
      <c r="B1054" s="9">
        <v>321.31</v>
      </c>
      <c r="C1054" s="9">
        <v>317.06</v>
      </c>
      <c r="D1054" s="9">
        <v>317.44</v>
      </c>
      <c r="E1054" s="9">
        <f t="shared" si="49"/>
        <v>-1.1837422538243311E-2</v>
      </c>
      <c r="F1054" s="9">
        <f t="shared" si="47"/>
        <v>7.2297035346630872E-2</v>
      </c>
      <c r="G1054" s="9">
        <f t="shared" si="48"/>
        <v>6.9997635455317101E-3</v>
      </c>
    </row>
    <row r="1055" spans="1:7" x14ac:dyDescent="0.2">
      <c r="A1055" s="12">
        <v>38428</v>
      </c>
      <c r="B1055" s="9">
        <v>319.39999999999998</v>
      </c>
      <c r="C1055" s="9">
        <v>316.22000000000003</v>
      </c>
      <c r="D1055" s="9">
        <v>317.94</v>
      </c>
      <c r="E1055" s="9">
        <f t="shared" si="49"/>
        <v>1.5738616362176419E-3</v>
      </c>
      <c r="F1055" s="9">
        <f t="shared" si="47"/>
        <v>7.201011661002249E-2</v>
      </c>
      <c r="G1055" s="9">
        <f t="shared" si="48"/>
        <v>7.0007356398808672E-3</v>
      </c>
    </row>
    <row r="1056" spans="1:7" x14ac:dyDescent="0.2">
      <c r="A1056" s="12">
        <v>38429</v>
      </c>
      <c r="B1056" s="9">
        <v>319.08999999999997</v>
      </c>
      <c r="C1056" s="9">
        <v>317.17</v>
      </c>
      <c r="D1056" s="9">
        <v>317.69</v>
      </c>
      <c r="E1056" s="9">
        <f t="shared" si="49"/>
        <v>-7.8662118808454993E-4</v>
      </c>
      <c r="F1056" s="9">
        <f t="shared" si="47"/>
        <v>6.6839002731971617E-2</v>
      </c>
      <c r="G1056" s="9">
        <f t="shared" si="48"/>
        <v>7.0138463282268084E-3</v>
      </c>
    </row>
    <row r="1057" spans="1:7" x14ac:dyDescent="0.2">
      <c r="A1057" s="12">
        <v>38432</v>
      </c>
      <c r="B1057" s="9">
        <v>319.3</v>
      </c>
      <c r="C1057" s="9">
        <v>317.66000000000003</v>
      </c>
      <c r="D1057" s="9">
        <v>318.17</v>
      </c>
      <c r="E1057" s="9">
        <f t="shared" si="49"/>
        <v>1.5097665875375829E-3</v>
      </c>
      <c r="F1057" s="9">
        <f t="shared" ref="F1057:F1120" si="50">LN(D1057/D1027)</f>
        <v>6.1507008050292335E-2</v>
      </c>
      <c r="G1057" s="9">
        <f t="shared" si="48"/>
        <v>6.9602521967062131E-3</v>
      </c>
    </row>
    <row r="1058" spans="1:7" x14ac:dyDescent="0.2">
      <c r="A1058" s="12">
        <v>38433</v>
      </c>
      <c r="B1058" s="9">
        <v>318.17</v>
      </c>
      <c r="C1058" s="9">
        <v>316.99</v>
      </c>
      <c r="D1058" s="9">
        <v>318.14</v>
      </c>
      <c r="E1058" s="9">
        <f t="shared" si="49"/>
        <v>-9.4293661964325558E-5</v>
      </c>
      <c r="F1058" s="9">
        <f t="shared" si="50"/>
        <v>5.5181957037856576E-2</v>
      </c>
      <c r="G1058" s="9">
        <f t="shared" si="48"/>
        <v>6.9249595657663067E-3</v>
      </c>
    </row>
    <row r="1059" spans="1:7" x14ac:dyDescent="0.2">
      <c r="A1059" s="12">
        <v>38434</v>
      </c>
      <c r="B1059" s="9">
        <v>318.14</v>
      </c>
      <c r="C1059" s="9">
        <v>315.17</v>
      </c>
      <c r="D1059" s="9">
        <v>315.17</v>
      </c>
      <c r="E1059" s="9">
        <f t="shared" si="49"/>
        <v>-9.3793616811462983E-3</v>
      </c>
      <c r="F1059" s="9">
        <f t="shared" si="50"/>
        <v>4.5835811878611285E-2</v>
      </c>
      <c r="G1059" s="9">
        <f t="shared" si="48"/>
        <v>7.216215212764528E-3</v>
      </c>
    </row>
    <row r="1060" spans="1:7" x14ac:dyDescent="0.2">
      <c r="A1060" s="12">
        <v>38440</v>
      </c>
      <c r="B1060" s="9">
        <v>319.68</v>
      </c>
      <c r="C1060" s="9">
        <v>315.17</v>
      </c>
      <c r="D1060" s="9">
        <v>317.14999999999998</v>
      </c>
      <c r="E1060" s="9">
        <f t="shared" si="49"/>
        <v>6.2626722908378733E-3</v>
      </c>
      <c r="F1060" s="9">
        <f t="shared" si="50"/>
        <v>4.9245888364840854E-2</v>
      </c>
      <c r="G1060" s="9">
        <f t="shared" si="48"/>
        <v>7.2644979819589568E-3</v>
      </c>
    </row>
    <row r="1061" spans="1:7" x14ac:dyDescent="0.2">
      <c r="A1061" s="12">
        <v>38441</v>
      </c>
      <c r="B1061" s="9">
        <v>317.14999999999998</v>
      </c>
      <c r="C1061" s="9">
        <v>313.51</v>
      </c>
      <c r="D1061" s="9">
        <v>313.64</v>
      </c>
      <c r="E1061" s="9">
        <f t="shared" si="49"/>
        <v>-1.1129016717184964E-2</v>
      </c>
      <c r="F1061" s="9">
        <f t="shared" si="50"/>
        <v>3.0823471002485291E-2</v>
      </c>
      <c r="G1061" s="9">
        <f t="shared" si="48"/>
        <v>7.5435410957324723E-3</v>
      </c>
    </row>
    <row r="1062" spans="1:7" x14ac:dyDescent="0.2">
      <c r="A1062" s="12">
        <v>38442</v>
      </c>
      <c r="B1062" s="9">
        <v>319.66000000000003</v>
      </c>
      <c r="C1062" s="9">
        <v>313.64</v>
      </c>
      <c r="D1062" s="9">
        <v>316.66000000000003</v>
      </c>
      <c r="E1062" s="9">
        <f t="shared" si="49"/>
        <v>9.5828117105670203E-3</v>
      </c>
      <c r="F1062" s="9">
        <f t="shared" si="50"/>
        <v>3.8533776786578551E-2</v>
      </c>
      <c r="G1062" s="9">
        <f t="shared" si="48"/>
        <v>7.7029860708780059E-3</v>
      </c>
    </row>
    <row r="1063" spans="1:7" x14ac:dyDescent="0.2">
      <c r="A1063" s="12">
        <v>38443</v>
      </c>
      <c r="B1063" s="9">
        <v>320.08999999999997</v>
      </c>
      <c r="C1063" s="9">
        <v>316.66000000000003</v>
      </c>
      <c r="D1063" s="9">
        <v>319.23</v>
      </c>
      <c r="E1063" s="9">
        <f t="shared" si="49"/>
        <v>8.0832030484616832E-3</v>
      </c>
      <c r="F1063" s="9">
        <f t="shared" si="50"/>
        <v>3.5033145803847768E-2</v>
      </c>
      <c r="G1063" s="9">
        <f t="shared" ref="G1063:G1126" si="51">STDEV(E1034:E1063)</f>
        <v>7.5668996827319328E-3</v>
      </c>
    </row>
    <row r="1064" spans="1:7" x14ac:dyDescent="0.2">
      <c r="A1064" s="12">
        <v>38446</v>
      </c>
      <c r="B1064" s="9">
        <v>320.37</v>
      </c>
      <c r="C1064" s="9">
        <v>317.58999999999997</v>
      </c>
      <c r="D1064" s="9">
        <v>320.35000000000002</v>
      </c>
      <c r="E1064" s="9">
        <f t="shared" si="49"/>
        <v>3.5023019632806495E-3</v>
      </c>
      <c r="F1064" s="9">
        <f t="shared" si="50"/>
        <v>4.3250673647262546E-2</v>
      </c>
      <c r="G1064" s="9">
        <f t="shared" si="51"/>
        <v>7.494988214787647E-3</v>
      </c>
    </row>
    <row r="1065" spans="1:7" x14ac:dyDescent="0.2">
      <c r="A1065" s="12">
        <v>38447</v>
      </c>
      <c r="B1065" s="9">
        <v>324.69</v>
      </c>
      <c r="C1065" s="9">
        <v>320.35000000000002</v>
      </c>
      <c r="D1065" s="9">
        <v>324.61</v>
      </c>
      <c r="E1065" s="9">
        <f t="shared" si="49"/>
        <v>1.3210313668187963E-2</v>
      </c>
      <c r="F1065" s="9">
        <f t="shared" si="50"/>
        <v>5.2979327571290195E-2</v>
      </c>
      <c r="G1065" s="9">
        <f t="shared" si="51"/>
        <v>7.7909203457777829E-3</v>
      </c>
    </row>
    <row r="1066" spans="1:7" x14ac:dyDescent="0.2">
      <c r="A1066" s="12">
        <v>38448</v>
      </c>
      <c r="B1066" s="9">
        <v>328.02</v>
      </c>
      <c r="C1066" s="9">
        <v>324.61</v>
      </c>
      <c r="D1066" s="9">
        <v>327.58999999999997</v>
      </c>
      <c r="E1066" s="9">
        <f t="shared" si="49"/>
        <v>9.1383647292723087E-3</v>
      </c>
      <c r="F1066" s="9">
        <f t="shared" si="50"/>
        <v>6.1338420879868787E-2</v>
      </c>
      <c r="G1066" s="9">
        <f t="shared" si="51"/>
        <v>7.9030856267760588E-3</v>
      </c>
    </row>
    <row r="1067" spans="1:7" x14ac:dyDescent="0.2">
      <c r="A1067" s="12">
        <v>38449</v>
      </c>
      <c r="B1067" s="9">
        <v>329.57</v>
      </c>
      <c r="C1067" s="9">
        <v>326.29000000000002</v>
      </c>
      <c r="D1067" s="9">
        <v>329.56</v>
      </c>
      <c r="E1067" s="9">
        <f t="shared" si="49"/>
        <v>5.9956049648983599E-3</v>
      </c>
      <c r="F1067" s="9">
        <f t="shared" si="50"/>
        <v>6.5453289857987054E-2</v>
      </c>
      <c r="G1067" s="9">
        <f t="shared" si="51"/>
        <v>7.9357835994253931E-3</v>
      </c>
    </row>
    <row r="1068" spans="1:7" x14ac:dyDescent="0.2">
      <c r="A1068" s="12">
        <v>38450</v>
      </c>
      <c r="B1068" s="9">
        <v>330.84</v>
      </c>
      <c r="C1068" s="9">
        <v>329.08</v>
      </c>
      <c r="D1068" s="9">
        <v>329.95</v>
      </c>
      <c r="E1068" s="9">
        <f t="shared" si="49"/>
        <v>1.1826963820412806E-3</v>
      </c>
      <c r="F1068" s="9">
        <f t="shared" si="50"/>
        <v>6.5082185590760191E-2</v>
      </c>
      <c r="G1068" s="9">
        <f t="shared" si="51"/>
        <v>7.9370853580399935E-3</v>
      </c>
    </row>
    <row r="1069" spans="1:7" x14ac:dyDescent="0.2">
      <c r="A1069" s="12">
        <v>38453</v>
      </c>
      <c r="B1069" s="9">
        <v>329.95</v>
      </c>
      <c r="C1069" s="9">
        <v>327.36</v>
      </c>
      <c r="D1069" s="9">
        <v>328.26</v>
      </c>
      <c r="E1069" s="9">
        <f t="shared" si="49"/>
        <v>-5.1351505256410903E-3</v>
      </c>
      <c r="F1069" s="9">
        <f t="shared" si="50"/>
        <v>6.7055954361196643E-2</v>
      </c>
      <c r="G1069" s="9">
        <f t="shared" si="51"/>
        <v>7.865379754236828E-3</v>
      </c>
    </row>
    <row r="1070" spans="1:7" x14ac:dyDescent="0.2">
      <c r="A1070" s="12">
        <v>38454</v>
      </c>
      <c r="B1070" s="9">
        <v>329.39</v>
      </c>
      <c r="C1070" s="9">
        <v>327.07</v>
      </c>
      <c r="D1070" s="9">
        <v>328.77</v>
      </c>
      <c r="E1070" s="9">
        <f t="shared" si="49"/>
        <v>1.5524408396210244E-3</v>
      </c>
      <c r="F1070" s="9">
        <f t="shared" si="50"/>
        <v>5.765772528374874E-2</v>
      </c>
      <c r="G1070" s="9">
        <f t="shared" si="51"/>
        <v>7.6915185120465246E-3</v>
      </c>
    </row>
    <row r="1071" spans="1:7" x14ac:dyDescent="0.2">
      <c r="A1071" s="12">
        <v>38455</v>
      </c>
      <c r="B1071" s="9">
        <v>331.3</v>
      </c>
      <c r="C1071" s="9">
        <v>328.77</v>
      </c>
      <c r="D1071" s="9">
        <v>330.22</v>
      </c>
      <c r="E1071" s="9">
        <f t="shared" si="49"/>
        <v>4.4006808602760654E-3</v>
      </c>
      <c r="F1071" s="9">
        <f t="shared" si="50"/>
        <v>5.9226910317452912E-2</v>
      </c>
      <c r="G1071" s="9">
        <f t="shared" si="51"/>
        <v>7.7032440315299181E-3</v>
      </c>
    </row>
    <row r="1072" spans="1:7" x14ac:dyDescent="0.2">
      <c r="A1072" s="12">
        <v>38456</v>
      </c>
      <c r="B1072" s="9">
        <v>330.22</v>
      </c>
      <c r="C1072" s="9">
        <v>327.78</v>
      </c>
      <c r="D1072" s="9">
        <v>329.04</v>
      </c>
      <c r="E1072" s="9">
        <f t="shared" si="49"/>
        <v>-3.5797750815178332E-3</v>
      </c>
      <c r="F1072" s="9">
        <f t="shared" si="50"/>
        <v>5.3304349459871496E-2</v>
      </c>
      <c r="G1072" s="9">
        <f t="shared" si="51"/>
        <v>7.7690833094184635E-3</v>
      </c>
    </row>
    <row r="1073" spans="1:7" x14ac:dyDescent="0.2">
      <c r="A1073" s="12">
        <v>38457</v>
      </c>
      <c r="B1073" s="9">
        <v>329.04</v>
      </c>
      <c r="C1073" s="9">
        <v>322.20999999999998</v>
      </c>
      <c r="D1073" s="9">
        <v>322.73</v>
      </c>
      <c r="E1073" s="9">
        <f t="shared" si="49"/>
        <v>-1.9363263582559374E-2</v>
      </c>
      <c r="F1073" s="9">
        <f t="shared" si="50"/>
        <v>2.2435532920317018E-2</v>
      </c>
      <c r="G1073" s="9">
        <f t="shared" si="51"/>
        <v>8.4504490544708571E-3</v>
      </c>
    </row>
    <row r="1074" spans="1:7" x14ac:dyDescent="0.2">
      <c r="A1074" s="12">
        <v>38460</v>
      </c>
      <c r="B1074" s="9">
        <v>322.73</v>
      </c>
      <c r="C1074" s="9">
        <v>267.14999999999998</v>
      </c>
      <c r="D1074" s="9">
        <v>319.87</v>
      </c>
      <c r="E1074" s="9">
        <f t="shared" si="49"/>
        <v>-8.9013970877241926E-3</v>
      </c>
      <c r="F1074" s="9">
        <f t="shared" si="50"/>
        <v>9.9912858294300688E-3</v>
      </c>
      <c r="G1074" s="9">
        <f t="shared" si="51"/>
        <v>8.6123940019679907E-3</v>
      </c>
    </row>
    <row r="1075" spans="1:7" x14ac:dyDescent="0.2">
      <c r="A1075" s="12">
        <v>38461</v>
      </c>
      <c r="B1075" s="9">
        <v>322.63</v>
      </c>
      <c r="C1075" s="9">
        <v>319.83</v>
      </c>
      <c r="D1075" s="9">
        <v>321.20999999999998</v>
      </c>
      <c r="E1075" s="9">
        <f t="shared" si="49"/>
        <v>4.1804515864030597E-3</v>
      </c>
      <c r="F1075" s="9">
        <f t="shared" si="50"/>
        <v>6.183268716538323E-3</v>
      </c>
      <c r="G1075" s="9">
        <f t="shared" si="51"/>
        <v>8.5232748796855579E-3</v>
      </c>
    </row>
    <row r="1076" spans="1:7" x14ac:dyDescent="0.2">
      <c r="A1076" s="12">
        <v>38462</v>
      </c>
      <c r="B1076" s="9">
        <v>325.05</v>
      </c>
      <c r="C1076" s="9">
        <v>321.20999999999998</v>
      </c>
      <c r="D1076" s="9">
        <v>322.42</v>
      </c>
      <c r="E1076" s="9">
        <f t="shared" si="49"/>
        <v>3.759928609564252E-3</v>
      </c>
      <c r="F1076" s="9">
        <f t="shared" si="50"/>
        <v>3.044142381228273E-3</v>
      </c>
      <c r="G1076" s="9">
        <f t="shared" si="51"/>
        <v>8.4572879471755194E-3</v>
      </c>
    </row>
    <row r="1077" spans="1:7" x14ac:dyDescent="0.2">
      <c r="A1077" s="12">
        <v>38463</v>
      </c>
      <c r="B1077" s="9">
        <v>323.97000000000003</v>
      </c>
      <c r="C1077" s="9">
        <v>320.7</v>
      </c>
      <c r="D1077" s="9">
        <v>323.2</v>
      </c>
      <c r="E1077" s="9">
        <f t="shared" si="49"/>
        <v>2.4162831990878057E-3</v>
      </c>
      <c r="F1077" s="9">
        <f t="shared" si="50"/>
        <v>-3.1509710664869308E-3</v>
      </c>
      <c r="G1077" s="9">
        <f t="shared" si="51"/>
        <v>8.3168007670885724E-3</v>
      </c>
    </row>
    <row r="1078" spans="1:7" x14ac:dyDescent="0.2">
      <c r="A1078" s="12">
        <v>38467</v>
      </c>
      <c r="B1078" s="9">
        <v>326.79000000000002</v>
      </c>
      <c r="C1078" s="9">
        <v>269.56</v>
      </c>
      <c r="D1078" s="9">
        <v>326.35000000000002</v>
      </c>
      <c r="E1078" s="9">
        <f t="shared" si="49"/>
        <v>9.6990984342863011E-3</v>
      </c>
      <c r="F1078" s="9">
        <f t="shared" si="50"/>
        <v>1.9961978125754152E-2</v>
      </c>
      <c r="G1078" s="9">
        <f t="shared" si="51"/>
        <v>8.1093718910024027E-3</v>
      </c>
    </row>
    <row r="1079" spans="1:7" x14ac:dyDescent="0.2">
      <c r="A1079" s="12">
        <v>38468</v>
      </c>
      <c r="B1079" s="9">
        <v>326.98</v>
      </c>
      <c r="C1079" s="9">
        <v>325.20999999999998</v>
      </c>
      <c r="D1079" s="9">
        <v>326.23</v>
      </c>
      <c r="E1079" s="9">
        <f t="shared" si="49"/>
        <v>-3.6777100540185179E-4</v>
      </c>
      <c r="F1079" s="9">
        <f t="shared" si="50"/>
        <v>1.8813018111013467E-2</v>
      </c>
      <c r="G1079" s="9">
        <f t="shared" si="51"/>
        <v>8.1115190368066942E-3</v>
      </c>
    </row>
    <row r="1080" spans="1:7" x14ac:dyDescent="0.2">
      <c r="A1080" s="12">
        <v>38469</v>
      </c>
      <c r="B1080" s="9">
        <v>326.23</v>
      </c>
      <c r="C1080" s="9">
        <v>318.17</v>
      </c>
      <c r="D1080" s="9">
        <v>318.81</v>
      </c>
      <c r="E1080" s="9">
        <f t="shared" si="49"/>
        <v>-2.3007340023111226E-2</v>
      </c>
      <c r="F1080" s="9">
        <f t="shared" si="50"/>
        <v>9.6762239491326851E-3</v>
      </c>
      <c r="G1080" s="9">
        <f t="shared" si="51"/>
        <v>8.8155971142024944E-3</v>
      </c>
    </row>
    <row r="1081" spans="1:7" x14ac:dyDescent="0.2">
      <c r="A1081" s="12">
        <v>38470</v>
      </c>
      <c r="B1081" s="9">
        <v>319.45999999999998</v>
      </c>
      <c r="C1081" s="9">
        <v>308.87</v>
      </c>
      <c r="D1081" s="9">
        <v>309.89999999999998</v>
      </c>
      <c r="E1081" s="9">
        <f t="shared" si="49"/>
        <v>-2.8345649259010997E-2</v>
      </c>
      <c r="F1081" s="9">
        <f t="shared" si="50"/>
        <v>-2.1989428991796931E-2</v>
      </c>
      <c r="G1081" s="9">
        <f t="shared" si="51"/>
        <v>1.0227050630675031E-2</v>
      </c>
    </row>
    <row r="1082" spans="1:7" x14ac:dyDescent="0.2">
      <c r="A1082" s="12">
        <v>38471</v>
      </c>
      <c r="B1082" s="9">
        <v>309.89999999999998</v>
      </c>
      <c r="C1082" s="9">
        <v>304.49</v>
      </c>
      <c r="D1082" s="9">
        <v>306.25</v>
      </c>
      <c r="E1082" s="9">
        <f t="shared" si="49"/>
        <v>-1.1847902934765757E-2</v>
      </c>
      <c r="F1082" s="9">
        <f t="shared" si="50"/>
        <v>-3.3300554786694747E-2</v>
      </c>
      <c r="G1082" s="9">
        <f t="shared" si="51"/>
        <v>1.042613203809707E-2</v>
      </c>
    </row>
    <row r="1083" spans="1:7" x14ac:dyDescent="0.2">
      <c r="A1083" s="12">
        <v>38474</v>
      </c>
      <c r="B1083" s="9">
        <v>309.8</v>
      </c>
      <c r="C1083" s="9">
        <v>306.25</v>
      </c>
      <c r="D1083" s="9">
        <v>307.94</v>
      </c>
      <c r="E1083" s="9">
        <f t="shared" si="49"/>
        <v>5.50319694283599E-3</v>
      </c>
      <c r="F1083" s="9">
        <f t="shared" si="50"/>
        <v>-4.2221287832978606E-2</v>
      </c>
      <c r="G1083" s="9">
        <f t="shared" si="51"/>
        <v>1.0089600420452307E-2</v>
      </c>
    </row>
    <row r="1084" spans="1:7" x14ac:dyDescent="0.2">
      <c r="A1084" s="12">
        <v>38475</v>
      </c>
      <c r="B1084" s="9">
        <v>310.97000000000003</v>
      </c>
      <c r="C1084" s="9">
        <v>307.45999999999998</v>
      </c>
      <c r="D1084" s="9">
        <v>309.97000000000003</v>
      </c>
      <c r="E1084" s="9">
        <f t="shared" si="49"/>
        <v>6.5705598009465566E-3</v>
      </c>
      <c r="F1084" s="9">
        <f t="shared" si="50"/>
        <v>-2.3813305493788735E-2</v>
      </c>
      <c r="G1084" s="9">
        <f t="shared" si="51"/>
        <v>9.9926999803605122E-3</v>
      </c>
    </row>
    <row r="1085" spans="1:7" x14ac:dyDescent="0.2">
      <c r="A1085" s="12">
        <v>38476</v>
      </c>
      <c r="B1085" s="9">
        <v>314.10000000000002</v>
      </c>
      <c r="C1085" s="9">
        <v>309.87</v>
      </c>
      <c r="D1085" s="9">
        <v>311.70999999999998</v>
      </c>
      <c r="E1085" s="9">
        <f t="shared" si="49"/>
        <v>5.5977497862050637E-3</v>
      </c>
      <c r="F1085" s="9">
        <f t="shared" si="50"/>
        <v>-1.9789417343801512E-2</v>
      </c>
      <c r="G1085" s="9">
        <f t="shared" si="51"/>
        <v>1.0052403576427029E-2</v>
      </c>
    </row>
    <row r="1086" spans="1:7" x14ac:dyDescent="0.2">
      <c r="A1086" s="12">
        <v>38478</v>
      </c>
      <c r="B1086" s="9">
        <v>315.16000000000003</v>
      </c>
      <c r="C1086" s="9">
        <v>311.70999999999998</v>
      </c>
      <c r="D1086" s="9">
        <v>313.70999999999998</v>
      </c>
      <c r="E1086" s="9">
        <f t="shared" si="49"/>
        <v>6.3957238896826998E-3</v>
      </c>
      <c r="F1086" s="9">
        <f t="shared" si="50"/>
        <v>-1.2607072266034143E-2</v>
      </c>
      <c r="G1086" s="9">
        <f t="shared" si="51"/>
        <v>1.0134468864284223E-2</v>
      </c>
    </row>
    <row r="1087" spans="1:7" x14ac:dyDescent="0.2">
      <c r="A1087" s="12">
        <v>38481</v>
      </c>
      <c r="B1087" s="9">
        <v>313.97000000000003</v>
      </c>
      <c r="C1087" s="9">
        <v>312.08</v>
      </c>
      <c r="D1087" s="9">
        <v>312.91000000000003</v>
      </c>
      <c r="E1087" s="9">
        <f t="shared" si="49"/>
        <v>-2.5533830220896719E-3</v>
      </c>
      <c r="F1087" s="9">
        <f t="shared" si="50"/>
        <v>-1.6670221875661251E-2</v>
      </c>
      <c r="G1087" s="9">
        <f t="shared" si="51"/>
        <v>1.0134936874137492E-2</v>
      </c>
    </row>
    <row r="1088" spans="1:7" x14ac:dyDescent="0.2">
      <c r="A1088" s="12">
        <v>38482</v>
      </c>
      <c r="B1088" s="9">
        <v>320.26</v>
      </c>
      <c r="C1088" s="9">
        <v>312.91000000000003</v>
      </c>
      <c r="D1088" s="9">
        <v>319.04000000000002</v>
      </c>
      <c r="E1088" s="9">
        <f t="shared" si="49"/>
        <v>1.9400877516956221E-2</v>
      </c>
      <c r="F1088" s="9">
        <f t="shared" si="50"/>
        <v>2.8249493032591923E-3</v>
      </c>
      <c r="G1088" s="9">
        <f t="shared" si="51"/>
        <v>1.0770607791258312E-2</v>
      </c>
    </row>
    <row r="1089" spans="1:7" x14ac:dyDescent="0.2">
      <c r="A1089" s="12">
        <v>38483</v>
      </c>
      <c r="B1089" s="9">
        <v>322.16000000000003</v>
      </c>
      <c r="C1089" s="9">
        <v>318.99</v>
      </c>
      <c r="D1089" s="9">
        <v>321.14999999999998</v>
      </c>
      <c r="E1089" s="9">
        <f t="shared" si="49"/>
        <v>6.5918169303278594E-3</v>
      </c>
      <c r="F1089" s="9">
        <f t="shared" si="50"/>
        <v>1.8796127914733361E-2</v>
      </c>
      <c r="G1089" s="9">
        <f t="shared" si="51"/>
        <v>1.0680538099842582E-2</v>
      </c>
    </row>
    <row r="1090" spans="1:7" x14ac:dyDescent="0.2">
      <c r="A1090" s="12">
        <v>38484</v>
      </c>
      <c r="B1090" s="9">
        <v>322.20999999999998</v>
      </c>
      <c r="C1090" s="9">
        <v>318.67</v>
      </c>
      <c r="D1090" s="9">
        <v>319.08999999999997</v>
      </c>
      <c r="E1090" s="9">
        <f t="shared" si="49"/>
        <v>-6.4351090491679497E-3</v>
      </c>
      <c r="F1090" s="9">
        <f t="shared" si="50"/>
        <v>6.0983465747273136E-3</v>
      </c>
      <c r="G1090" s="9">
        <f t="shared" si="51"/>
        <v>1.070106232722551E-2</v>
      </c>
    </row>
    <row r="1091" spans="1:7" x14ac:dyDescent="0.2">
      <c r="A1091" s="12">
        <v>38485</v>
      </c>
      <c r="B1091" s="9">
        <v>319.08999999999997</v>
      </c>
      <c r="C1091" s="9">
        <v>316.73</v>
      </c>
      <c r="D1091" s="9">
        <v>317.31</v>
      </c>
      <c r="E1091" s="9">
        <f t="shared" si="49"/>
        <v>-5.593980646562283E-3</v>
      </c>
      <c r="F1091" s="9">
        <f t="shared" si="50"/>
        <v>1.1633382645350063E-2</v>
      </c>
      <c r="G1091" s="9">
        <f t="shared" si="51"/>
        <v>1.0545525925024574E-2</v>
      </c>
    </row>
    <row r="1092" spans="1:7" x14ac:dyDescent="0.2">
      <c r="A1092" s="12">
        <v>38489</v>
      </c>
      <c r="B1092" s="9">
        <v>317.87</v>
      </c>
      <c r="C1092" s="9">
        <v>315.56</v>
      </c>
      <c r="D1092" s="9">
        <v>317.16000000000003</v>
      </c>
      <c r="E1092" s="9">
        <f t="shared" ref="E1092:E1155" si="52">LN(D1092/D1091)</f>
        <v>-4.7283560387293051E-4</v>
      </c>
      <c r="F1092" s="9">
        <f t="shared" si="50"/>
        <v>1.5777353309099876E-3</v>
      </c>
      <c r="G1092" s="9">
        <f t="shared" si="51"/>
        <v>1.0402017209353654E-2</v>
      </c>
    </row>
    <row r="1093" spans="1:7" x14ac:dyDescent="0.2">
      <c r="A1093" s="12">
        <v>38490</v>
      </c>
      <c r="B1093" s="9">
        <v>321.56</v>
      </c>
      <c r="C1093" s="9">
        <v>317.16000000000003</v>
      </c>
      <c r="D1093" s="9">
        <v>321.06</v>
      </c>
      <c r="E1093" s="9">
        <f t="shared" si="52"/>
        <v>1.2221643147069972E-2</v>
      </c>
      <c r="F1093" s="9">
        <f t="shared" si="50"/>
        <v>5.716175429518312E-3</v>
      </c>
      <c r="G1093" s="9">
        <f t="shared" si="51"/>
        <v>1.0538731697480793E-2</v>
      </c>
    </row>
    <row r="1094" spans="1:7" x14ac:dyDescent="0.2">
      <c r="A1094" s="12">
        <v>38491</v>
      </c>
      <c r="B1094" s="9">
        <v>323.41000000000003</v>
      </c>
      <c r="C1094" s="9">
        <v>319.02999999999997</v>
      </c>
      <c r="D1094" s="9">
        <v>319.44</v>
      </c>
      <c r="E1094" s="9">
        <f t="shared" si="52"/>
        <v>-5.0585587963023993E-3</v>
      </c>
      <c r="F1094" s="9">
        <f t="shared" si="50"/>
        <v>-2.8446853300647368E-3</v>
      </c>
      <c r="G1094" s="9">
        <f t="shared" si="51"/>
        <v>1.0561843197677093E-2</v>
      </c>
    </row>
    <row r="1095" spans="1:7" x14ac:dyDescent="0.2">
      <c r="A1095" s="12">
        <v>38492</v>
      </c>
      <c r="B1095" s="9">
        <v>319.72000000000003</v>
      </c>
      <c r="C1095" s="9">
        <v>317.83999999999997</v>
      </c>
      <c r="D1095" s="9">
        <v>319.36</v>
      </c>
      <c r="E1095" s="9">
        <f t="shared" si="52"/>
        <v>-2.5046963186667201E-4</v>
      </c>
      <c r="F1095" s="9">
        <f t="shared" si="50"/>
        <v>-1.6305468630119432E-2</v>
      </c>
      <c r="G1095" s="9">
        <f t="shared" si="51"/>
        <v>1.0258690566955596E-2</v>
      </c>
    </row>
    <row r="1096" spans="1:7" x14ac:dyDescent="0.2">
      <c r="A1096" s="12">
        <v>38495</v>
      </c>
      <c r="B1096" s="9">
        <v>319.99</v>
      </c>
      <c r="C1096" s="9">
        <v>318.14</v>
      </c>
      <c r="D1096" s="9">
        <v>319.8</v>
      </c>
      <c r="E1096" s="9">
        <f t="shared" si="52"/>
        <v>1.3768072767545866E-3</v>
      </c>
      <c r="F1096" s="9">
        <f t="shared" si="50"/>
        <v>-2.4067026082637149E-2</v>
      </c>
      <c r="G1096" s="9">
        <f t="shared" si="51"/>
        <v>1.0102785560029142E-2</v>
      </c>
    </row>
    <row r="1097" spans="1:7" x14ac:dyDescent="0.2">
      <c r="A1097" s="12">
        <v>38496</v>
      </c>
      <c r="B1097" s="9">
        <v>323.2</v>
      </c>
      <c r="C1097" s="9">
        <v>318.99</v>
      </c>
      <c r="D1097" s="9">
        <v>322.94</v>
      </c>
      <c r="E1097" s="9">
        <f t="shared" si="52"/>
        <v>9.770747053621142E-3</v>
      </c>
      <c r="F1097" s="9">
        <f t="shared" si="50"/>
        <v>-2.0291883993914264E-2</v>
      </c>
      <c r="G1097" s="9">
        <f t="shared" si="51"/>
        <v>1.0213284562007128E-2</v>
      </c>
    </row>
    <row r="1098" spans="1:7" x14ac:dyDescent="0.2">
      <c r="A1098" s="12">
        <v>38497</v>
      </c>
      <c r="B1098" s="9">
        <v>323.23</v>
      </c>
      <c r="C1098" s="9">
        <v>321.75</v>
      </c>
      <c r="D1098" s="9">
        <v>322.5</v>
      </c>
      <c r="E1098" s="9">
        <f t="shared" si="52"/>
        <v>-1.3634112176477866E-3</v>
      </c>
      <c r="F1098" s="9">
        <f t="shared" si="50"/>
        <v>-2.2837991593603436E-2</v>
      </c>
      <c r="G1098" s="9">
        <f t="shared" si="51"/>
        <v>1.0207880560762297E-2</v>
      </c>
    </row>
    <row r="1099" spans="1:7" x14ac:dyDescent="0.2">
      <c r="A1099" s="12">
        <v>38498</v>
      </c>
      <c r="B1099" s="9">
        <v>326.08</v>
      </c>
      <c r="C1099" s="9">
        <v>322.37</v>
      </c>
      <c r="D1099" s="9">
        <v>324.94</v>
      </c>
      <c r="E1099" s="9">
        <f t="shared" si="52"/>
        <v>7.537413665777125E-3</v>
      </c>
      <c r="F1099" s="9">
        <f t="shared" si="50"/>
        <v>-1.0165427402185222E-2</v>
      </c>
      <c r="G1099" s="9">
        <f t="shared" si="51"/>
        <v>1.028257320446054E-2</v>
      </c>
    </row>
    <row r="1100" spans="1:7" x14ac:dyDescent="0.2">
      <c r="A1100" s="12">
        <v>38499</v>
      </c>
      <c r="B1100" s="9">
        <v>326.63</v>
      </c>
      <c r="C1100" s="9">
        <v>324.94</v>
      </c>
      <c r="D1100" s="9">
        <v>326.24</v>
      </c>
      <c r="E1100" s="9">
        <f t="shared" si="52"/>
        <v>3.9927569245408337E-3</v>
      </c>
      <c r="F1100" s="9">
        <f t="shared" si="50"/>
        <v>-7.7251113172653969E-3</v>
      </c>
      <c r="G1100" s="9">
        <f t="shared" si="51"/>
        <v>1.0307672670181152E-2</v>
      </c>
    </row>
    <row r="1101" spans="1:7" x14ac:dyDescent="0.2">
      <c r="A1101" s="12">
        <v>38502</v>
      </c>
      <c r="B1101" s="9">
        <v>326.87</v>
      </c>
      <c r="C1101" s="9">
        <v>325.36</v>
      </c>
      <c r="D1101" s="9">
        <v>326.51</v>
      </c>
      <c r="E1101" s="9">
        <f t="shared" si="52"/>
        <v>8.2726929267995595E-4</v>
      </c>
      <c r="F1101" s="9">
        <f t="shared" si="50"/>
        <v>-1.1298522884861571E-2</v>
      </c>
      <c r="G1101" s="9">
        <f t="shared" si="51"/>
        <v>1.0272574412959319E-2</v>
      </c>
    </row>
    <row r="1102" spans="1:7" x14ac:dyDescent="0.2">
      <c r="A1102" s="12">
        <v>38503</v>
      </c>
      <c r="B1102" s="9">
        <v>327.98</v>
      </c>
      <c r="C1102" s="9">
        <v>326.37</v>
      </c>
      <c r="D1102" s="9">
        <v>327.18</v>
      </c>
      <c r="E1102" s="9">
        <f t="shared" si="52"/>
        <v>2.0499020472001419E-3</v>
      </c>
      <c r="F1102" s="9">
        <f t="shared" si="50"/>
        <v>-5.6688457561434287E-3</v>
      </c>
      <c r="G1102" s="9">
        <f t="shared" si="51"/>
        <v>1.0263458956327619E-2</v>
      </c>
    </row>
    <row r="1103" spans="1:7" x14ac:dyDescent="0.2">
      <c r="A1103" s="12">
        <v>38504</v>
      </c>
      <c r="B1103" s="9">
        <v>329.42</v>
      </c>
      <c r="C1103" s="9">
        <v>326.86</v>
      </c>
      <c r="D1103" s="9">
        <v>329.42</v>
      </c>
      <c r="E1103" s="9">
        <f t="shared" si="52"/>
        <v>6.8230541885044953E-3</v>
      </c>
      <c r="F1103" s="9">
        <f t="shared" si="50"/>
        <v>2.0517472014920452E-2</v>
      </c>
      <c r="G1103" s="9">
        <f t="shared" si="51"/>
        <v>9.6730627863667821E-3</v>
      </c>
    </row>
    <row r="1104" spans="1:7" x14ac:dyDescent="0.2">
      <c r="A1104" s="12">
        <v>38505</v>
      </c>
      <c r="B1104" s="9">
        <v>331.14</v>
      </c>
      <c r="C1104" s="9">
        <v>328.04</v>
      </c>
      <c r="D1104" s="9">
        <v>328.2</v>
      </c>
      <c r="E1104" s="9">
        <f t="shared" si="52"/>
        <v>-3.7103536985393128E-3</v>
      </c>
      <c r="F1104" s="9">
        <f t="shared" si="50"/>
        <v>2.5708515404105407E-2</v>
      </c>
      <c r="G1104" s="9">
        <f t="shared" si="51"/>
        <v>9.5412160674172176E-3</v>
      </c>
    </row>
    <row r="1105" spans="1:7" x14ac:dyDescent="0.2">
      <c r="A1105" s="12">
        <v>38506</v>
      </c>
      <c r="B1105" s="9">
        <v>329.92</v>
      </c>
      <c r="C1105" s="9">
        <v>328.05</v>
      </c>
      <c r="D1105" s="9">
        <v>328.38</v>
      </c>
      <c r="E1105" s="9">
        <f t="shared" si="52"/>
        <v>5.4829572789122751E-4</v>
      </c>
      <c r="F1105" s="9">
        <f t="shared" si="50"/>
        <v>2.2076359545593473E-2</v>
      </c>
      <c r="G1105" s="9">
        <f t="shared" si="51"/>
        <v>9.52061134995753E-3</v>
      </c>
    </row>
    <row r="1106" spans="1:7" x14ac:dyDescent="0.2">
      <c r="A1106" s="12">
        <v>38509</v>
      </c>
      <c r="B1106" s="9">
        <v>329.15</v>
      </c>
      <c r="C1106" s="9">
        <v>327.32</v>
      </c>
      <c r="D1106" s="9">
        <v>327.77</v>
      </c>
      <c r="E1106" s="9">
        <f t="shared" si="52"/>
        <v>-1.8593314813277867E-3</v>
      </c>
      <c r="F1106" s="9">
        <f t="shared" si="50"/>
        <v>1.6457099454701422E-2</v>
      </c>
      <c r="G1106" s="9">
        <f t="shared" si="51"/>
        <v>9.5143392239507903E-3</v>
      </c>
    </row>
    <row r="1107" spans="1:7" x14ac:dyDescent="0.2">
      <c r="A1107" s="12">
        <v>38510</v>
      </c>
      <c r="B1107" s="9">
        <v>329.86</v>
      </c>
      <c r="C1107" s="9">
        <v>327.77</v>
      </c>
      <c r="D1107" s="9">
        <v>329.86</v>
      </c>
      <c r="E1107" s="9">
        <f t="shared" si="52"/>
        <v>6.356179117452127E-3</v>
      </c>
      <c r="F1107" s="9">
        <f t="shared" si="50"/>
        <v>2.0396995373065968E-2</v>
      </c>
      <c r="G1107" s="9">
        <f t="shared" si="51"/>
        <v>9.5680492379932331E-3</v>
      </c>
    </row>
    <row r="1108" spans="1:7" x14ac:dyDescent="0.2">
      <c r="A1108" s="12">
        <v>38511</v>
      </c>
      <c r="B1108" s="9">
        <v>331.29</v>
      </c>
      <c r="C1108" s="9">
        <v>329.21</v>
      </c>
      <c r="D1108" s="9">
        <v>331.19</v>
      </c>
      <c r="E1108" s="9">
        <f t="shared" si="52"/>
        <v>4.0239067985583686E-3</v>
      </c>
      <c r="F1108" s="9">
        <f t="shared" si="50"/>
        <v>1.4721803737338182E-2</v>
      </c>
      <c r="G1108" s="9">
        <f t="shared" si="51"/>
        <v>9.4388088567318555E-3</v>
      </c>
    </row>
    <row r="1109" spans="1:7" x14ac:dyDescent="0.2">
      <c r="A1109" s="12">
        <v>38512</v>
      </c>
      <c r="B1109" s="9">
        <v>331.94</v>
      </c>
      <c r="C1109" s="9">
        <v>330.33</v>
      </c>
      <c r="D1109" s="9">
        <v>331.21</v>
      </c>
      <c r="E1109" s="9">
        <f t="shared" si="52"/>
        <v>6.0386473448248909E-5</v>
      </c>
      <c r="F1109" s="9">
        <f t="shared" si="50"/>
        <v>1.5149961216188199E-2</v>
      </c>
      <c r="G1109" s="9">
        <f t="shared" si="51"/>
        <v>9.4377896485871599E-3</v>
      </c>
    </row>
    <row r="1110" spans="1:7" x14ac:dyDescent="0.2">
      <c r="A1110" s="12">
        <v>38513</v>
      </c>
      <c r="B1110" s="9">
        <v>335.14</v>
      </c>
      <c r="C1110" s="9">
        <v>331.21</v>
      </c>
      <c r="D1110" s="9">
        <v>334.5</v>
      </c>
      <c r="E1110" s="9">
        <f t="shared" si="52"/>
        <v>9.8842642762702153E-3</v>
      </c>
      <c r="F1110" s="9">
        <f t="shared" si="50"/>
        <v>4.8041565515569623E-2</v>
      </c>
      <c r="G1110" s="9">
        <f t="shared" si="51"/>
        <v>8.4734126964599397E-3</v>
      </c>
    </row>
    <row r="1111" spans="1:7" x14ac:dyDescent="0.2">
      <c r="A1111" s="12">
        <v>38516</v>
      </c>
      <c r="B1111" s="9">
        <v>338.48</v>
      </c>
      <c r="C1111" s="9">
        <v>334.5</v>
      </c>
      <c r="D1111" s="9">
        <v>337.75</v>
      </c>
      <c r="E1111" s="9">
        <f t="shared" si="52"/>
        <v>9.6690972720251626E-3</v>
      </c>
      <c r="F1111" s="9">
        <f t="shared" si="50"/>
        <v>8.6056312046605701E-2</v>
      </c>
      <c r="G1111" s="9">
        <f t="shared" si="51"/>
        <v>6.4387173214566218E-3</v>
      </c>
    </row>
    <row r="1112" spans="1:7" x14ac:dyDescent="0.2">
      <c r="A1112" s="12">
        <v>38517</v>
      </c>
      <c r="B1112" s="9">
        <v>338.4</v>
      </c>
      <c r="C1112" s="9">
        <v>336</v>
      </c>
      <c r="D1112" s="9">
        <v>337.34</v>
      </c>
      <c r="E1112" s="9">
        <f t="shared" si="52"/>
        <v>-1.2146530104397665E-3</v>
      </c>
      <c r="F1112" s="9">
        <f t="shared" si="50"/>
        <v>9.6689561970931634E-2</v>
      </c>
      <c r="G1112" s="9">
        <f t="shared" si="51"/>
        <v>5.8680466347047376E-3</v>
      </c>
    </row>
    <row r="1113" spans="1:7" x14ac:dyDescent="0.2">
      <c r="A1113" s="12">
        <v>38518</v>
      </c>
      <c r="B1113" s="9">
        <v>339.99</v>
      </c>
      <c r="C1113" s="9">
        <v>336.96</v>
      </c>
      <c r="D1113" s="9">
        <v>336.96</v>
      </c>
      <c r="E1113" s="9">
        <f t="shared" si="52"/>
        <v>-1.1270948842578431E-3</v>
      </c>
      <c r="F1113" s="9">
        <f t="shared" si="50"/>
        <v>9.0059270143837897E-2</v>
      </c>
      <c r="G1113" s="9">
        <f t="shared" si="51"/>
        <v>5.9039543811349703E-3</v>
      </c>
    </row>
    <row r="1114" spans="1:7" x14ac:dyDescent="0.2">
      <c r="A1114" s="12">
        <v>38519</v>
      </c>
      <c r="B1114" s="9">
        <v>339.72</v>
      </c>
      <c r="C1114" s="9">
        <v>336.96</v>
      </c>
      <c r="D1114" s="9">
        <v>339.43</v>
      </c>
      <c r="E1114" s="9">
        <f t="shared" si="52"/>
        <v>7.3035112269635933E-3</v>
      </c>
      <c r="F1114" s="9">
        <f t="shared" si="50"/>
        <v>9.0792221569855058E-2</v>
      </c>
      <c r="G1114" s="9">
        <f t="shared" si="51"/>
        <v>5.9207238341486886E-3</v>
      </c>
    </row>
    <row r="1115" spans="1:7" x14ac:dyDescent="0.2">
      <c r="A1115" s="12">
        <v>38520</v>
      </c>
      <c r="B1115" s="9">
        <v>344.99</v>
      </c>
      <c r="C1115" s="9">
        <v>339.43</v>
      </c>
      <c r="D1115" s="9">
        <v>344.01</v>
      </c>
      <c r="E1115" s="9">
        <f t="shared" si="52"/>
        <v>1.3402986545748344E-2</v>
      </c>
      <c r="F1115" s="9">
        <f t="shared" si="50"/>
        <v>9.859745832939848E-2</v>
      </c>
      <c r="G1115" s="9">
        <f t="shared" si="51"/>
        <v>6.2024050401577706E-3</v>
      </c>
    </row>
    <row r="1116" spans="1:7" x14ac:dyDescent="0.2">
      <c r="A1116" s="12">
        <v>38523</v>
      </c>
      <c r="B1116" s="9">
        <v>346.03</v>
      </c>
      <c r="C1116" s="9">
        <v>343.63</v>
      </c>
      <c r="D1116" s="9">
        <v>345.06</v>
      </c>
      <c r="E1116" s="9">
        <f t="shared" si="52"/>
        <v>3.0475882353951855E-3</v>
      </c>
      <c r="F1116" s="9">
        <f t="shared" si="50"/>
        <v>9.524932267511077E-2</v>
      </c>
      <c r="G1116" s="9">
        <f t="shared" si="51"/>
        <v>6.1745911702184714E-3</v>
      </c>
    </row>
    <row r="1117" spans="1:7" x14ac:dyDescent="0.2">
      <c r="A1117" s="12">
        <v>38524</v>
      </c>
      <c r="B1117" s="9">
        <v>349.34</v>
      </c>
      <c r="C1117" s="9">
        <v>344.69</v>
      </c>
      <c r="D1117" s="9">
        <v>345.93</v>
      </c>
      <c r="E1117" s="9">
        <f t="shared" si="52"/>
        <v>2.5181274974167786E-3</v>
      </c>
      <c r="F1117" s="9">
        <f t="shared" si="50"/>
        <v>0.1003208331946171</v>
      </c>
      <c r="G1117" s="9">
        <f t="shared" si="51"/>
        <v>6.0810664481853261E-3</v>
      </c>
    </row>
    <row r="1118" spans="1:7" x14ac:dyDescent="0.2">
      <c r="A1118" s="12">
        <v>38525</v>
      </c>
      <c r="B1118" s="9">
        <v>348.56</v>
      </c>
      <c r="C1118" s="9">
        <v>345.67</v>
      </c>
      <c r="D1118" s="9">
        <v>348.12</v>
      </c>
      <c r="E1118" s="9">
        <f t="shared" si="52"/>
        <v>6.3108054701784908E-3</v>
      </c>
      <c r="F1118" s="9">
        <f t="shared" si="50"/>
        <v>8.7230761147839495E-2</v>
      </c>
      <c r="G1118" s="9">
        <f t="shared" si="51"/>
        <v>5.3099431300036096E-3</v>
      </c>
    </row>
    <row r="1119" spans="1:7" x14ac:dyDescent="0.2">
      <c r="A1119" s="12">
        <v>38526</v>
      </c>
      <c r="B1119" s="9">
        <v>349.84</v>
      </c>
      <c r="C1119" s="9">
        <v>347.37</v>
      </c>
      <c r="D1119" s="9">
        <v>348.13</v>
      </c>
      <c r="E1119" s="9">
        <f t="shared" si="52"/>
        <v>2.8725314185037447E-5</v>
      </c>
      <c r="F1119" s="9">
        <f t="shared" si="50"/>
        <v>8.0667669531696531E-2</v>
      </c>
      <c r="G1119" s="9">
        <f t="shared" si="51"/>
        <v>5.2880778488569261E-3</v>
      </c>
    </row>
    <row r="1120" spans="1:7" x14ac:dyDescent="0.2">
      <c r="A1120" s="12">
        <v>38527</v>
      </c>
      <c r="B1120" s="9">
        <v>348.13</v>
      </c>
      <c r="C1120" s="9">
        <v>344.48</v>
      </c>
      <c r="D1120" s="9">
        <v>345.53</v>
      </c>
      <c r="E1120" s="9">
        <f t="shared" si="52"/>
        <v>-7.4965031171651594E-3</v>
      </c>
      <c r="F1120" s="9">
        <f t="shared" si="50"/>
        <v>7.9606275463699389E-2</v>
      </c>
      <c r="G1120" s="9">
        <f t="shared" si="51"/>
        <v>5.354362203960984E-3</v>
      </c>
    </row>
    <row r="1121" spans="1:7" x14ac:dyDescent="0.2">
      <c r="A1121" s="12">
        <v>38530</v>
      </c>
      <c r="B1121" s="9">
        <v>345.53</v>
      </c>
      <c r="C1121" s="9">
        <v>339.84</v>
      </c>
      <c r="D1121" s="9">
        <v>340.71</v>
      </c>
      <c r="E1121" s="9">
        <f t="shared" si="52"/>
        <v>-1.4047794546668312E-2</v>
      </c>
      <c r="F1121" s="9">
        <f t="shared" ref="F1121:F1184" si="53">LN(D1121/D1091)</f>
        <v>7.1152461563593436E-2</v>
      </c>
      <c r="G1121" s="9">
        <f t="shared" si="51"/>
        <v>5.9883145771271948E-3</v>
      </c>
    </row>
    <row r="1122" spans="1:7" x14ac:dyDescent="0.2">
      <c r="A1122" s="12">
        <v>38531</v>
      </c>
      <c r="B1122" s="9">
        <v>342.21</v>
      </c>
      <c r="C1122" s="9">
        <v>340.43</v>
      </c>
      <c r="D1122" s="9">
        <v>341.3</v>
      </c>
      <c r="E1122" s="9">
        <f t="shared" si="52"/>
        <v>1.7301803409968015E-3</v>
      </c>
      <c r="F1122" s="9">
        <f t="shared" si="53"/>
        <v>7.3355477508463079E-2</v>
      </c>
      <c r="G1122" s="9">
        <f t="shared" si="51"/>
        <v>5.9656938978541593E-3</v>
      </c>
    </row>
    <row r="1123" spans="1:7" x14ac:dyDescent="0.2">
      <c r="A1123" s="12">
        <v>38532</v>
      </c>
      <c r="B1123" s="9">
        <v>345.39</v>
      </c>
      <c r="C1123" s="9">
        <v>341.3</v>
      </c>
      <c r="D1123" s="9">
        <v>345.37</v>
      </c>
      <c r="E1123" s="9">
        <f t="shared" si="52"/>
        <v>1.1854450208391917E-2</v>
      </c>
      <c r="F1123" s="9">
        <f t="shared" si="53"/>
        <v>7.2988284569784997E-2</v>
      </c>
      <c r="G1123" s="9">
        <f t="shared" si="51"/>
        <v>5.9452857259567312E-3</v>
      </c>
    </row>
    <row r="1124" spans="1:7" x14ac:dyDescent="0.2">
      <c r="A1124" s="12">
        <v>38533</v>
      </c>
      <c r="B1124" s="9">
        <v>345.59</v>
      </c>
      <c r="C1124" s="9">
        <v>343.39</v>
      </c>
      <c r="D1124" s="9">
        <v>343.97</v>
      </c>
      <c r="E1124" s="9">
        <f t="shared" si="52"/>
        <v>-4.0618618529327209E-3</v>
      </c>
      <c r="F1124" s="9">
        <f t="shared" si="53"/>
        <v>7.3984981513154691E-2</v>
      </c>
      <c r="G1124" s="9">
        <f t="shared" si="51"/>
        <v>5.9046242144901095E-3</v>
      </c>
    </row>
    <row r="1125" spans="1:7" x14ac:dyDescent="0.2">
      <c r="A1125" s="12">
        <v>38534</v>
      </c>
      <c r="B1125" s="9">
        <v>347.48</v>
      </c>
      <c r="C1125" s="9">
        <v>342.19</v>
      </c>
      <c r="D1125" s="9">
        <v>344.82</v>
      </c>
      <c r="E1125" s="9">
        <f t="shared" si="52"/>
        <v>2.468097479584627E-3</v>
      </c>
      <c r="F1125" s="9">
        <f t="shared" si="53"/>
        <v>7.6703548624605891E-2</v>
      </c>
      <c r="G1125" s="9">
        <f t="shared" si="51"/>
        <v>5.8823129600660646E-3</v>
      </c>
    </row>
    <row r="1126" spans="1:7" x14ac:dyDescent="0.2">
      <c r="A1126" s="12">
        <v>38537</v>
      </c>
      <c r="B1126" s="9">
        <v>345.48</v>
      </c>
      <c r="C1126" s="9">
        <v>344.17</v>
      </c>
      <c r="D1126" s="9">
        <v>344.67</v>
      </c>
      <c r="E1126" s="9">
        <f t="shared" si="52"/>
        <v>-4.3510421432195489E-4</v>
      </c>
      <c r="F1126" s="9">
        <f t="shared" si="53"/>
        <v>7.4891637133529268E-2</v>
      </c>
      <c r="G1126" s="9">
        <f t="shared" si="51"/>
        <v>5.9041078230902006E-3</v>
      </c>
    </row>
    <row r="1127" spans="1:7" x14ac:dyDescent="0.2">
      <c r="A1127" s="12">
        <v>38538</v>
      </c>
      <c r="B1127" s="9">
        <v>348.37</v>
      </c>
      <c r="C1127" s="9">
        <v>344.67</v>
      </c>
      <c r="D1127" s="9">
        <v>347.71</v>
      </c>
      <c r="E1127" s="9">
        <f t="shared" si="52"/>
        <v>8.7813614925136303E-3</v>
      </c>
      <c r="F1127" s="9">
        <f t="shared" si="53"/>
        <v>7.390225157242189E-2</v>
      </c>
      <c r="G1127" s="9">
        <f t="shared" ref="G1127:G1190" si="54">STDEV(E1098:E1127)</f>
        <v>5.8647049163663111E-3</v>
      </c>
    </row>
    <row r="1128" spans="1:7" x14ac:dyDescent="0.2">
      <c r="A1128" s="12">
        <v>38539</v>
      </c>
      <c r="B1128" s="9">
        <v>349.5</v>
      </c>
      <c r="C1128" s="9">
        <v>347.71</v>
      </c>
      <c r="D1128" s="9">
        <v>348.16</v>
      </c>
      <c r="E1128" s="9">
        <f t="shared" si="52"/>
        <v>1.293345201626395E-3</v>
      </c>
      <c r="F1128" s="9">
        <f t="shared" si="53"/>
        <v>7.6559007991696015E-2</v>
      </c>
      <c r="G1128" s="9">
        <f t="shared" si="54"/>
        <v>5.8248497687134262E-3</v>
      </c>
    </row>
    <row r="1129" spans="1:7" x14ac:dyDescent="0.2">
      <c r="A1129" s="12">
        <v>38540</v>
      </c>
      <c r="B1129" s="9">
        <v>348.44</v>
      </c>
      <c r="C1129" s="9">
        <v>337.87</v>
      </c>
      <c r="D1129" s="9">
        <v>344.61</v>
      </c>
      <c r="E1129" s="9">
        <f t="shared" si="52"/>
        <v>-1.0248801402100643E-2</v>
      </c>
      <c r="F1129" s="9">
        <f t="shared" si="53"/>
        <v>5.8772792923818228E-2</v>
      </c>
      <c r="G1129" s="9">
        <f t="shared" si="54"/>
        <v>6.1934263797270989E-3</v>
      </c>
    </row>
    <row r="1130" spans="1:7" x14ac:dyDescent="0.2">
      <c r="A1130" s="12">
        <v>38541</v>
      </c>
      <c r="B1130" s="9">
        <v>349.41</v>
      </c>
      <c r="C1130" s="9">
        <v>344.61</v>
      </c>
      <c r="D1130" s="9">
        <v>349.41</v>
      </c>
      <c r="E1130" s="9">
        <f t="shared" si="52"/>
        <v>1.3832674957247635E-2</v>
      </c>
      <c r="F1130" s="9">
        <f t="shared" si="53"/>
        <v>6.8612710956525227E-2</v>
      </c>
      <c r="G1130" s="9">
        <f t="shared" si="54"/>
        <v>6.5548509825553436E-3</v>
      </c>
    </row>
    <row r="1131" spans="1:7" x14ac:dyDescent="0.2">
      <c r="A1131" s="12">
        <v>38544</v>
      </c>
      <c r="B1131" s="9">
        <v>351.54</v>
      </c>
      <c r="C1131" s="9">
        <v>348.79</v>
      </c>
      <c r="D1131" s="9">
        <v>350.37</v>
      </c>
      <c r="E1131" s="9">
        <f t="shared" si="52"/>
        <v>2.7437211759134381E-3</v>
      </c>
      <c r="F1131" s="9">
        <f t="shared" si="53"/>
        <v>7.0529162839758672E-2</v>
      </c>
      <c r="G1131" s="9">
        <f t="shared" si="54"/>
        <v>6.5494697826314098E-3</v>
      </c>
    </row>
    <row r="1132" spans="1:7" x14ac:dyDescent="0.2">
      <c r="A1132" s="12">
        <v>38545</v>
      </c>
      <c r="B1132" s="9">
        <v>351.06</v>
      </c>
      <c r="C1132" s="9">
        <v>348.02</v>
      </c>
      <c r="D1132" s="9">
        <v>348.5</v>
      </c>
      <c r="E1132" s="9">
        <f t="shared" si="52"/>
        <v>-5.3515087580051314E-3</v>
      </c>
      <c r="F1132" s="9">
        <f t="shared" si="53"/>
        <v>6.3127752034553272E-2</v>
      </c>
      <c r="G1132" s="9">
        <f t="shared" si="54"/>
        <v>6.6989001086120601E-3</v>
      </c>
    </row>
    <row r="1133" spans="1:7" x14ac:dyDescent="0.2">
      <c r="A1133" s="12">
        <v>38546</v>
      </c>
      <c r="B1133" s="9">
        <v>350.36</v>
      </c>
      <c r="C1133" s="9">
        <v>348.5</v>
      </c>
      <c r="D1133" s="9">
        <v>349.81</v>
      </c>
      <c r="E1133" s="9">
        <f t="shared" si="52"/>
        <v>3.7519197397375037E-3</v>
      </c>
      <c r="F1133" s="9">
        <f t="shared" si="53"/>
        <v>6.0056617585786481E-2</v>
      </c>
      <c r="G1133" s="9">
        <f t="shared" si="54"/>
        <v>6.6475714412614481E-3</v>
      </c>
    </row>
    <row r="1134" spans="1:7" x14ac:dyDescent="0.2">
      <c r="A1134" s="12">
        <v>38547</v>
      </c>
      <c r="B1134" s="9">
        <v>350.87</v>
      </c>
      <c r="C1134" s="9">
        <v>348.37</v>
      </c>
      <c r="D1134" s="9">
        <v>348.93</v>
      </c>
      <c r="E1134" s="9">
        <f t="shared" si="52"/>
        <v>-2.5188209212589595E-3</v>
      </c>
      <c r="F1134" s="9">
        <f t="shared" si="53"/>
        <v>6.1248150363066675E-2</v>
      </c>
      <c r="G1134" s="9">
        <f t="shared" si="54"/>
        <v>6.6157486000433625E-3</v>
      </c>
    </row>
    <row r="1135" spans="1:7" x14ac:dyDescent="0.2">
      <c r="A1135" s="12">
        <v>38548</v>
      </c>
      <c r="B1135" s="9">
        <v>349.17</v>
      </c>
      <c r="C1135" s="9">
        <v>347.86</v>
      </c>
      <c r="D1135" s="9">
        <v>348.69</v>
      </c>
      <c r="E1135" s="9">
        <f t="shared" si="52"/>
        <v>-6.8805369533090548E-4</v>
      </c>
      <c r="F1135" s="9">
        <f t="shared" si="53"/>
        <v>6.001180093984447E-2</v>
      </c>
      <c r="G1135" s="9">
        <f t="shared" si="54"/>
        <v>6.6292087962771364E-3</v>
      </c>
    </row>
    <row r="1136" spans="1:7" x14ac:dyDescent="0.2">
      <c r="A1136" s="12">
        <v>38551</v>
      </c>
      <c r="B1136" s="9">
        <v>349.88</v>
      </c>
      <c r="C1136" s="9">
        <v>348.45</v>
      </c>
      <c r="D1136" s="9">
        <v>348.52</v>
      </c>
      <c r="E1136" s="9">
        <f t="shared" si="52"/>
        <v>-4.8765796064020444E-4</v>
      </c>
      <c r="F1136" s="9">
        <f t="shared" si="53"/>
        <v>6.1383474460532078E-2</v>
      </c>
      <c r="G1136" s="9">
        <f t="shared" si="54"/>
        <v>6.6063607695608434E-3</v>
      </c>
    </row>
    <row r="1137" spans="1:7" x14ac:dyDescent="0.2">
      <c r="A1137" s="12">
        <v>38552</v>
      </c>
      <c r="B1137" s="9">
        <v>349.5</v>
      </c>
      <c r="C1137" s="9">
        <v>347.51</v>
      </c>
      <c r="D1137" s="9">
        <v>349.5</v>
      </c>
      <c r="E1137" s="9">
        <f t="shared" si="52"/>
        <v>2.8079443107788793E-3</v>
      </c>
      <c r="F1137" s="9">
        <f t="shared" si="53"/>
        <v>5.7835239653858651E-2</v>
      </c>
      <c r="G1137" s="9">
        <f t="shared" si="54"/>
        <v>6.5581224900059538E-3</v>
      </c>
    </row>
    <row r="1138" spans="1:7" x14ac:dyDescent="0.2">
      <c r="A1138" s="12">
        <v>38553</v>
      </c>
      <c r="B1138" s="9">
        <v>349.72</v>
      </c>
      <c r="C1138" s="9">
        <v>344.95</v>
      </c>
      <c r="D1138" s="9">
        <v>345.59</v>
      </c>
      <c r="E1138" s="9">
        <f t="shared" si="52"/>
        <v>-1.1250460347780166E-2</v>
      </c>
      <c r="F1138" s="9">
        <f t="shared" si="53"/>
        <v>4.2560872507520033E-2</v>
      </c>
      <c r="G1138" s="9">
        <f t="shared" si="54"/>
        <v>6.9697806210082622E-3</v>
      </c>
    </row>
    <row r="1139" spans="1:7" x14ac:dyDescent="0.2">
      <c r="A1139" s="12">
        <v>38554</v>
      </c>
      <c r="B1139" s="9">
        <v>347.64</v>
      </c>
      <c r="C1139" s="9">
        <v>343.83</v>
      </c>
      <c r="D1139" s="9">
        <v>344.82</v>
      </c>
      <c r="E1139" s="9">
        <f t="shared" si="52"/>
        <v>-2.2305595783795986E-3</v>
      </c>
      <c r="F1139" s="9">
        <f t="shared" si="53"/>
        <v>4.0269926455692273E-2</v>
      </c>
      <c r="G1139" s="9">
        <f t="shared" si="54"/>
        <v>6.9976708632792416E-3</v>
      </c>
    </row>
    <row r="1140" spans="1:7" x14ac:dyDescent="0.2">
      <c r="A1140" s="12">
        <v>38555</v>
      </c>
      <c r="B1140" s="9">
        <v>348.14</v>
      </c>
      <c r="C1140" s="9">
        <v>344.36</v>
      </c>
      <c r="D1140" s="9">
        <v>347.03</v>
      </c>
      <c r="E1140" s="9">
        <f t="shared" si="52"/>
        <v>6.3886897935193521E-3</v>
      </c>
      <c r="F1140" s="9">
        <f t="shared" si="53"/>
        <v>3.6774351972941204E-2</v>
      </c>
      <c r="G1140" s="9">
        <f t="shared" si="54"/>
        <v>6.8786234052793912E-3</v>
      </c>
    </row>
    <row r="1141" spans="1:7" x14ac:dyDescent="0.2">
      <c r="A1141" s="12">
        <v>38558</v>
      </c>
      <c r="B1141" s="9">
        <v>348.47</v>
      </c>
      <c r="C1141" s="9">
        <v>345.53</v>
      </c>
      <c r="D1141" s="9">
        <v>348.32</v>
      </c>
      <c r="E1141" s="9">
        <f t="shared" si="52"/>
        <v>3.7103659450128091E-3</v>
      </c>
      <c r="F1141" s="9">
        <f t="shared" si="53"/>
        <v>3.08156206459291E-2</v>
      </c>
      <c r="G1141" s="9">
        <f t="shared" si="54"/>
        <v>6.7103849733577293E-3</v>
      </c>
    </row>
    <row r="1142" spans="1:7" x14ac:dyDescent="0.2">
      <c r="A1142" s="12">
        <v>38559</v>
      </c>
      <c r="B1142" s="9">
        <v>349.18</v>
      </c>
      <c r="C1142" s="9">
        <v>347.32</v>
      </c>
      <c r="D1142" s="9">
        <v>348.1</v>
      </c>
      <c r="E1142" s="9">
        <f t="shared" si="52"/>
        <v>-6.3180266884402584E-4</v>
      </c>
      <c r="F1142" s="9">
        <f t="shared" si="53"/>
        <v>3.1398470987524872E-2</v>
      </c>
      <c r="G1142" s="9">
        <f t="shared" si="54"/>
        <v>6.704511615547146E-3</v>
      </c>
    </row>
    <row r="1143" spans="1:7" x14ac:dyDescent="0.2">
      <c r="A1143" s="12">
        <v>38560</v>
      </c>
      <c r="B1143" s="9">
        <v>351.38</v>
      </c>
      <c r="C1143" s="9">
        <v>348.1</v>
      </c>
      <c r="D1143" s="9">
        <v>350.64</v>
      </c>
      <c r="E1143" s="9">
        <f t="shared" si="52"/>
        <v>7.2702612931603277E-3</v>
      </c>
      <c r="F1143" s="9">
        <f t="shared" si="53"/>
        <v>3.9795827164943127E-2</v>
      </c>
      <c r="G1143" s="9">
        <f t="shared" si="54"/>
        <v>6.7854358007248027E-3</v>
      </c>
    </row>
    <row r="1144" spans="1:7" x14ac:dyDescent="0.2">
      <c r="A1144" s="12">
        <v>38561</v>
      </c>
      <c r="B1144" s="9">
        <v>352.81</v>
      </c>
      <c r="C1144" s="9">
        <v>350.64</v>
      </c>
      <c r="D1144" s="9">
        <v>352</v>
      </c>
      <c r="E1144" s="9">
        <f t="shared" si="52"/>
        <v>3.8711194875434576E-3</v>
      </c>
      <c r="F1144" s="9">
        <f t="shared" si="53"/>
        <v>3.6363435425522797E-2</v>
      </c>
      <c r="G1144" s="9">
        <f t="shared" si="54"/>
        <v>6.7096943122155698E-3</v>
      </c>
    </row>
    <row r="1145" spans="1:7" x14ac:dyDescent="0.2">
      <c r="A1145" s="12">
        <v>38562</v>
      </c>
      <c r="B1145" s="9">
        <v>353.39</v>
      </c>
      <c r="C1145" s="9">
        <v>351.68</v>
      </c>
      <c r="D1145" s="9">
        <v>352.31</v>
      </c>
      <c r="E1145" s="9">
        <f t="shared" si="52"/>
        <v>8.8029424548492666E-4</v>
      </c>
      <c r="F1145" s="9">
        <f t="shared" si="53"/>
        <v>2.3840743125259307E-2</v>
      </c>
      <c r="G1145" s="9">
        <f t="shared" si="54"/>
        <v>6.3022858967052026E-3</v>
      </c>
    </row>
    <row r="1146" spans="1:7" x14ac:dyDescent="0.2">
      <c r="A1146" s="12">
        <v>38565</v>
      </c>
      <c r="B1146" s="9">
        <v>354.69</v>
      </c>
      <c r="C1146" s="9">
        <v>352.31</v>
      </c>
      <c r="D1146" s="9">
        <v>353.48</v>
      </c>
      <c r="E1146" s="9">
        <f t="shared" si="52"/>
        <v>3.3154368062218442E-3</v>
      </c>
      <c r="F1146" s="9">
        <f t="shared" si="53"/>
        <v>2.4108591696085972E-2</v>
      </c>
      <c r="G1146" s="9">
        <f t="shared" si="54"/>
        <v>6.3057763338230091E-3</v>
      </c>
    </row>
    <row r="1147" spans="1:7" x14ac:dyDescent="0.2">
      <c r="A1147" s="12">
        <v>38566</v>
      </c>
      <c r="B1147" s="9">
        <v>355.16</v>
      </c>
      <c r="C1147" s="9">
        <v>353.31</v>
      </c>
      <c r="D1147" s="9">
        <v>354.91</v>
      </c>
      <c r="E1147" s="9">
        <f t="shared" si="52"/>
        <v>4.0373295569381962E-3</v>
      </c>
      <c r="F1147" s="9">
        <f t="shared" si="53"/>
        <v>2.5627793755607427E-2</v>
      </c>
      <c r="G1147" s="9">
        <f t="shared" si="54"/>
        <v>6.3260873397609678E-3</v>
      </c>
    </row>
    <row r="1148" spans="1:7" x14ac:dyDescent="0.2">
      <c r="A1148" s="12">
        <v>38567</v>
      </c>
      <c r="B1148" s="9">
        <v>358.38</v>
      </c>
      <c r="C1148" s="9">
        <v>354.91</v>
      </c>
      <c r="D1148" s="9">
        <v>358.16</v>
      </c>
      <c r="E1148" s="9">
        <f t="shared" si="52"/>
        <v>9.1155777259682071E-3</v>
      </c>
      <c r="F1148" s="9">
        <f t="shared" si="53"/>
        <v>2.8432566011397195E-2</v>
      </c>
      <c r="G1148" s="9">
        <f t="shared" si="54"/>
        <v>6.4293918525985348E-3</v>
      </c>
    </row>
    <row r="1149" spans="1:7" x14ac:dyDescent="0.2">
      <c r="A1149" s="12">
        <v>38568</v>
      </c>
      <c r="B1149" s="9">
        <v>358.88</v>
      </c>
      <c r="C1149" s="9">
        <v>356.93</v>
      </c>
      <c r="D1149" s="9">
        <v>358.56</v>
      </c>
      <c r="E1149" s="9">
        <f t="shared" si="52"/>
        <v>1.1161961199067888E-3</v>
      </c>
      <c r="F1149" s="9">
        <f t="shared" si="53"/>
        <v>2.9520036817118865E-2</v>
      </c>
      <c r="G1149" s="9">
        <f t="shared" si="54"/>
        <v>6.4270968707968289E-3</v>
      </c>
    </row>
    <row r="1150" spans="1:7" x14ac:dyDescent="0.2">
      <c r="A1150" s="12">
        <v>38569</v>
      </c>
      <c r="B1150" s="9">
        <v>362.62</v>
      </c>
      <c r="C1150" s="9">
        <v>356.71</v>
      </c>
      <c r="D1150" s="9">
        <v>362.17</v>
      </c>
      <c r="E1150" s="9">
        <f t="shared" si="52"/>
        <v>1.0017704799026108E-2</v>
      </c>
      <c r="F1150" s="9">
        <f t="shared" si="53"/>
        <v>4.7034244733310096E-2</v>
      </c>
      <c r="G1150" s="9">
        <f t="shared" si="54"/>
        <v>6.4256586452546014E-3</v>
      </c>
    </row>
    <row r="1151" spans="1:7" x14ac:dyDescent="0.2">
      <c r="A1151" s="12">
        <v>38572</v>
      </c>
      <c r="B1151" s="9">
        <v>367.64</v>
      </c>
      <c r="C1151" s="9">
        <v>362.17</v>
      </c>
      <c r="D1151" s="9">
        <v>366.37</v>
      </c>
      <c r="E1151" s="9">
        <f t="shared" si="52"/>
        <v>1.1530036866910417E-2</v>
      </c>
      <c r="F1151" s="9">
        <f t="shared" si="53"/>
        <v>7.2612076146888818E-2</v>
      </c>
      <c r="G1151" s="9">
        <f t="shared" si="54"/>
        <v>5.9624544224017896E-3</v>
      </c>
    </row>
    <row r="1152" spans="1:7" x14ac:dyDescent="0.2">
      <c r="A1152" s="12">
        <v>38573</v>
      </c>
      <c r="B1152" s="9">
        <v>373.72</v>
      </c>
      <c r="C1152" s="9">
        <v>366.37</v>
      </c>
      <c r="D1152" s="9">
        <v>373.34</v>
      </c>
      <c r="E1152" s="9">
        <f t="shared" si="52"/>
        <v>1.8845780885897483E-2</v>
      </c>
      <c r="F1152" s="9">
        <f t="shared" si="53"/>
        <v>8.9727676691789368E-2</v>
      </c>
      <c r="G1152" s="9">
        <f t="shared" si="54"/>
        <v>6.6709014897333458E-3</v>
      </c>
    </row>
    <row r="1153" spans="1:7" x14ac:dyDescent="0.2">
      <c r="A1153" s="12">
        <v>38574</v>
      </c>
      <c r="B1153" s="9">
        <v>375.35</v>
      </c>
      <c r="C1153" s="9">
        <v>370.32</v>
      </c>
      <c r="D1153" s="9">
        <v>370.67</v>
      </c>
      <c r="E1153" s="9">
        <f t="shared" si="52"/>
        <v>-7.1773536967123658E-3</v>
      </c>
      <c r="F1153" s="9">
        <f t="shared" si="53"/>
        <v>7.0695872786685085E-2</v>
      </c>
      <c r="G1153" s="9">
        <f t="shared" si="54"/>
        <v>6.7037944515535089E-3</v>
      </c>
    </row>
    <row r="1154" spans="1:7" x14ac:dyDescent="0.2">
      <c r="A1154" s="12">
        <v>38575</v>
      </c>
      <c r="B1154" s="9">
        <v>372.17</v>
      </c>
      <c r="C1154" s="9">
        <v>367.2</v>
      </c>
      <c r="D1154" s="9">
        <v>367.47</v>
      </c>
      <c r="E1154" s="9">
        <f t="shared" si="52"/>
        <v>-8.6704962400345718E-3</v>
      </c>
      <c r="F1154" s="9">
        <f t="shared" si="53"/>
        <v>6.6087238399583234E-2</v>
      </c>
      <c r="G1154" s="9">
        <f t="shared" si="54"/>
        <v>6.905711037510193E-3</v>
      </c>
    </row>
    <row r="1155" spans="1:7" x14ac:dyDescent="0.2">
      <c r="A1155" s="12">
        <v>38576</v>
      </c>
      <c r="B1155" s="9">
        <v>367.86</v>
      </c>
      <c r="C1155" s="9">
        <v>364.52</v>
      </c>
      <c r="D1155" s="9">
        <v>366.46</v>
      </c>
      <c r="E1155" s="9">
        <f t="shared" si="52"/>
        <v>-2.7523078156749922E-3</v>
      </c>
      <c r="F1155" s="9">
        <f t="shared" si="53"/>
        <v>6.0866833104323691E-2</v>
      </c>
      <c r="G1155" s="9">
        <f t="shared" si="54"/>
        <v>6.9643226761503868E-3</v>
      </c>
    </row>
    <row r="1156" spans="1:7" x14ac:dyDescent="0.2">
      <c r="A1156" s="12">
        <v>38579</v>
      </c>
      <c r="B1156" s="9">
        <v>368.64</v>
      </c>
      <c r="C1156" s="9">
        <v>366.32</v>
      </c>
      <c r="D1156" s="9">
        <v>367.33</v>
      </c>
      <c r="E1156" s="9">
        <f t="shared" ref="E1156:E1219" si="55">LN(D1156/D1155)</f>
        <v>2.3712517413850436E-3</v>
      </c>
      <c r="F1156" s="9">
        <f t="shared" si="53"/>
        <v>6.367318906003086E-2</v>
      </c>
      <c r="G1156" s="9">
        <f t="shared" si="54"/>
        <v>6.9489153652155635E-3</v>
      </c>
    </row>
    <row r="1157" spans="1:7" x14ac:dyDescent="0.2">
      <c r="A1157" s="12">
        <v>38580</v>
      </c>
      <c r="B1157" s="9">
        <v>368.86</v>
      </c>
      <c r="C1157" s="9">
        <v>365.72</v>
      </c>
      <c r="D1157" s="9">
        <v>367.94</v>
      </c>
      <c r="E1157" s="9">
        <f t="shared" si="55"/>
        <v>1.6592548042231403E-3</v>
      </c>
      <c r="F1157" s="9">
        <f t="shared" si="53"/>
        <v>5.6551082371740356E-2</v>
      </c>
      <c r="G1157" s="9">
        <f t="shared" si="54"/>
        <v>6.8342893187189231E-3</v>
      </c>
    </row>
    <row r="1158" spans="1:7" x14ac:dyDescent="0.2">
      <c r="A1158" s="12">
        <v>38581</v>
      </c>
      <c r="B1158" s="9">
        <v>373.5</v>
      </c>
      <c r="C1158" s="9">
        <v>367.46</v>
      </c>
      <c r="D1158" s="9">
        <v>373.11</v>
      </c>
      <c r="E1158" s="9">
        <f t="shared" si="55"/>
        <v>1.395340093612223E-2</v>
      </c>
      <c r="F1158" s="9">
        <f t="shared" si="53"/>
        <v>6.9211138106236123E-2</v>
      </c>
      <c r="G1158" s="9">
        <f t="shared" si="54"/>
        <v>7.1786814884251503E-3</v>
      </c>
    </row>
    <row r="1159" spans="1:7" x14ac:dyDescent="0.2">
      <c r="A1159" s="12">
        <v>38582</v>
      </c>
      <c r="B1159" s="9">
        <v>375.71</v>
      </c>
      <c r="C1159" s="9">
        <v>371.62</v>
      </c>
      <c r="D1159" s="9">
        <v>373.26</v>
      </c>
      <c r="E1159" s="9">
        <f t="shared" si="55"/>
        <v>4.0194542122397363E-4</v>
      </c>
      <c r="F1159" s="9">
        <f t="shared" si="53"/>
        <v>7.9861884929560756E-2</v>
      </c>
      <c r="G1159" s="9">
        <f t="shared" si="54"/>
        <v>6.7891129002029451E-3</v>
      </c>
    </row>
    <row r="1160" spans="1:7" x14ac:dyDescent="0.2">
      <c r="A1160" s="12">
        <v>38583</v>
      </c>
      <c r="B1160" s="9">
        <v>377.53</v>
      </c>
      <c r="C1160" s="9">
        <v>373.26</v>
      </c>
      <c r="D1160" s="9">
        <v>377.23</v>
      </c>
      <c r="E1160" s="9">
        <f t="shared" si="55"/>
        <v>1.0579853245735267E-2</v>
      </c>
      <c r="F1160" s="9">
        <f t="shared" si="53"/>
        <v>7.6609063218048376E-2</v>
      </c>
      <c r="G1160" s="9">
        <f t="shared" si="54"/>
        <v>6.6286361524002082E-3</v>
      </c>
    </row>
    <row r="1161" spans="1:7" x14ac:dyDescent="0.2">
      <c r="A1161" s="12">
        <v>38586</v>
      </c>
      <c r="B1161" s="9">
        <v>377.23</v>
      </c>
      <c r="C1161" s="9">
        <v>373.65</v>
      </c>
      <c r="D1161" s="9">
        <v>374.08</v>
      </c>
      <c r="E1161" s="9">
        <f t="shared" si="55"/>
        <v>-8.3854027170151453E-3</v>
      </c>
      <c r="F1161" s="9">
        <f t="shared" si="53"/>
        <v>6.5479939325119751E-2</v>
      </c>
      <c r="G1161" s="9">
        <f t="shared" si="54"/>
        <v>6.9225357703442949E-3</v>
      </c>
    </row>
    <row r="1162" spans="1:7" x14ac:dyDescent="0.2">
      <c r="A1162" s="12">
        <v>38587</v>
      </c>
      <c r="B1162" s="9">
        <v>374.46</v>
      </c>
      <c r="C1162" s="9">
        <v>369.94</v>
      </c>
      <c r="D1162" s="9">
        <v>370.84</v>
      </c>
      <c r="E1162" s="9">
        <f t="shared" si="55"/>
        <v>-8.6989755449220045E-3</v>
      </c>
      <c r="F1162" s="9">
        <f t="shared" si="53"/>
        <v>6.2132472538202962E-2</v>
      </c>
      <c r="G1162" s="9">
        <f t="shared" si="54"/>
        <v>7.0734967936747902E-3</v>
      </c>
    </row>
    <row r="1163" spans="1:7" x14ac:dyDescent="0.2">
      <c r="A1163" s="12">
        <v>38588</v>
      </c>
      <c r="B1163" s="9">
        <v>371.19</v>
      </c>
      <c r="C1163" s="9">
        <v>365.5</v>
      </c>
      <c r="D1163" s="9">
        <v>366.66</v>
      </c>
      <c r="E1163" s="9">
        <f t="shared" si="55"/>
        <v>-1.1335714603902387E-2</v>
      </c>
      <c r="F1163" s="9">
        <f t="shared" si="53"/>
        <v>4.7044838194562941E-2</v>
      </c>
      <c r="G1163" s="9">
        <f t="shared" si="54"/>
        <v>7.4748439074003182E-3</v>
      </c>
    </row>
    <row r="1164" spans="1:7" x14ac:dyDescent="0.2">
      <c r="A1164" s="12">
        <v>38589</v>
      </c>
      <c r="B1164" s="9">
        <v>367.34</v>
      </c>
      <c r="C1164" s="9">
        <v>363.06</v>
      </c>
      <c r="D1164" s="9">
        <v>364.27</v>
      </c>
      <c r="E1164" s="9">
        <f t="shared" si="55"/>
        <v>-6.5396372230608797E-3</v>
      </c>
      <c r="F1164" s="9">
        <f t="shared" si="53"/>
        <v>4.3024021892761229E-2</v>
      </c>
      <c r="G1164" s="9">
        <f t="shared" si="54"/>
        <v>7.5858750909438208E-3</v>
      </c>
    </row>
    <row r="1165" spans="1:7" x14ac:dyDescent="0.2">
      <c r="A1165" s="12">
        <v>38590</v>
      </c>
      <c r="B1165" s="9">
        <v>364.82</v>
      </c>
      <c r="C1165" s="9">
        <v>359.96</v>
      </c>
      <c r="D1165" s="9">
        <v>360.59</v>
      </c>
      <c r="E1165" s="9">
        <f t="shared" si="55"/>
        <v>-1.0153772085641869E-2</v>
      </c>
      <c r="F1165" s="9">
        <f t="shared" si="53"/>
        <v>3.3558303502450135E-2</v>
      </c>
      <c r="G1165" s="9">
        <f t="shared" si="54"/>
        <v>7.8687701207324715E-3</v>
      </c>
    </row>
    <row r="1166" spans="1:7" x14ac:dyDescent="0.2">
      <c r="A1166" s="12">
        <v>38593</v>
      </c>
      <c r="B1166" s="9">
        <v>360.59</v>
      </c>
      <c r="C1166" s="9">
        <v>357.42</v>
      </c>
      <c r="D1166" s="9">
        <v>359.72</v>
      </c>
      <c r="E1166" s="9">
        <f t="shared" si="55"/>
        <v>-2.4156277798616918E-3</v>
      </c>
      <c r="F1166" s="9">
        <f t="shared" si="53"/>
        <v>3.1630333683228838E-2</v>
      </c>
      <c r="G1166" s="9">
        <f t="shared" si="54"/>
        <v>7.8901850668700192E-3</v>
      </c>
    </row>
    <row r="1167" spans="1:7" x14ac:dyDescent="0.2">
      <c r="A1167" s="12">
        <v>38594</v>
      </c>
      <c r="B1167" s="9">
        <v>365.63</v>
      </c>
      <c r="C1167" s="9">
        <v>359.72</v>
      </c>
      <c r="D1167" s="9">
        <v>364.95</v>
      </c>
      <c r="E1167" s="9">
        <f t="shared" si="55"/>
        <v>1.4434406851326513E-2</v>
      </c>
      <c r="F1167" s="9">
        <f t="shared" si="53"/>
        <v>4.3256796223776435E-2</v>
      </c>
      <c r="G1167" s="9">
        <f t="shared" si="54"/>
        <v>8.2563261586530989E-3</v>
      </c>
    </row>
    <row r="1168" spans="1:7" x14ac:dyDescent="0.2">
      <c r="A1168" s="12">
        <v>38595</v>
      </c>
      <c r="B1168" s="9">
        <v>367.36</v>
      </c>
      <c r="C1168" s="9">
        <v>364.25</v>
      </c>
      <c r="D1168" s="9">
        <v>365.65</v>
      </c>
      <c r="E1168" s="9">
        <f t="shared" si="55"/>
        <v>1.9162338193187782E-3</v>
      </c>
      <c r="F1168" s="9">
        <f t="shared" si="53"/>
        <v>5.6423490390875408E-2</v>
      </c>
      <c r="G1168" s="9">
        <f t="shared" si="54"/>
        <v>7.9006572400231751E-3</v>
      </c>
    </row>
    <row r="1169" spans="1:7" x14ac:dyDescent="0.2">
      <c r="A1169" s="12">
        <v>38596</v>
      </c>
      <c r="B1169" s="9">
        <v>370</v>
      </c>
      <c r="C1169" s="9">
        <v>365.65</v>
      </c>
      <c r="D1169" s="9">
        <v>367.83</v>
      </c>
      <c r="E1169" s="9">
        <f t="shared" si="55"/>
        <v>5.9442831954451382E-3</v>
      </c>
      <c r="F1169" s="9">
        <f t="shared" si="53"/>
        <v>6.4598333164700206E-2</v>
      </c>
      <c r="G1169" s="9">
        <f t="shared" si="54"/>
        <v>7.8949404442329989E-3</v>
      </c>
    </row>
    <row r="1170" spans="1:7" x14ac:dyDescent="0.2">
      <c r="A1170" s="12">
        <v>38597</v>
      </c>
      <c r="B1170" s="9">
        <v>369.74</v>
      </c>
      <c r="C1170" s="9">
        <v>367.63</v>
      </c>
      <c r="D1170" s="9">
        <v>369.73</v>
      </c>
      <c r="E1170" s="9">
        <f t="shared" si="55"/>
        <v>5.1521346137965527E-3</v>
      </c>
      <c r="F1170" s="9">
        <f t="shared" si="53"/>
        <v>6.3361777984977455E-2</v>
      </c>
      <c r="G1170" s="9">
        <f t="shared" si="54"/>
        <v>7.8752688237213701E-3</v>
      </c>
    </row>
    <row r="1171" spans="1:7" x14ac:dyDescent="0.2">
      <c r="A1171" s="12">
        <v>38600</v>
      </c>
      <c r="B1171" s="9">
        <v>371.79</v>
      </c>
      <c r="C1171" s="9">
        <v>369.21</v>
      </c>
      <c r="D1171" s="9">
        <v>370.59</v>
      </c>
      <c r="E1171" s="9">
        <f t="shared" si="55"/>
        <v>2.3233206906299762E-3</v>
      </c>
      <c r="F1171" s="9">
        <f t="shared" si="53"/>
        <v>6.1974732730594617E-2</v>
      </c>
      <c r="G1171" s="9">
        <f t="shared" si="54"/>
        <v>7.8696313493431102E-3</v>
      </c>
    </row>
    <row r="1172" spans="1:7" x14ac:dyDescent="0.2">
      <c r="A1172" s="12">
        <v>38601</v>
      </c>
      <c r="B1172" s="9">
        <v>372.82</v>
      </c>
      <c r="C1172" s="9">
        <v>370.59</v>
      </c>
      <c r="D1172" s="9">
        <v>372.8</v>
      </c>
      <c r="E1172" s="9">
        <f t="shared" si="55"/>
        <v>5.9457525946042004E-3</v>
      </c>
      <c r="F1172" s="9">
        <f t="shared" si="53"/>
        <v>6.8552287994042768E-2</v>
      </c>
      <c r="G1172" s="9">
        <f t="shared" si="54"/>
        <v>7.8834972530500529E-3</v>
      </c>
    </row>
    <row r="1173" spans="1:7" x14ac:dyDescent="0.2">
      <c r="A1173" s="12">
        <v>38602</v>
      </c>
      <c r="B1173" s="9">
        <v>373.79</v>
      </c>
      <c r="C1173" s="9">
        <v>370.1</v>
      </c>
      <c r="D1173" s="9">
        <v>370.35</v>
      </c>
      <c r="E1173" s="9">
        <f t="shared" si="55"/>
        <v>-6.5935783521379188E-3</v>
      </c>
      <c r="F1173" s="9">
        <f t="shared" si="53"/>
        <v>5.4688448348744527E-2</v>
      </c>
      <c r="G1173" s="9">
        <f t="shared" si="54"/>
        <v>7.9868597017960508E-3</v>
      </c>
    </row>
    <row r="1174" spans="1:7" x14ac:dyDescent="0.2">
      <c r="A1174" s="12">
        <v>38603</v>
      </c>
      <c r="B1174" s="9">
        <v>370.44</v>
      </c>
      <c r="C1174" s="9">
        <v>366.02</v>
      </c>
      <c r="D1174" s="9">
        <v>368</v>
      </c>
      <c r="E1174" s="9">
        <f t="shared" si="55"/>
        <v>-6.3655662903672914E-3</v>
      </c>
      <c r="F1174" s="9">
        <f t="shared" si="53"/>
        <v>4.4451762570833796E-2</v>
      </c>
      <c r="G1174" s="9">
        <f t="shared" si="54"/>
        <v>8.113997448720078E-3</v>
      </c>
    </row>
    <row r="1175" spans="1:7" x14ac:dyDescent="0.2">
      <c r="A1175" s="12">
        <v>38604</v>
      </c>
      <c r="B1175" s="9">
        <v>370.49</v>
      </c>
      <c r="C1175" s="9">
        <v>367.54</v>
      </c>
      <c r="D1175" s="9">
        <v>370.02</v>
      </c>
      <c r="E1175" s="9">
        <f t="shared" si="55"/>
        <v>5.4741200625255167E-3</v>
      </c>
      <c r="F1175" s="9">
        <f t="shared" si="53"/>
        <v>4.9045588387874539E-2</v>
      </c>
      <c r="G1175" s="9">
        <f t="shared" si="54"/>
        <v>8.1455419109796468E-3</v>
      </c>
    </row>
    <row r="1176" spans="1:7" x14ac:dyDescent="0.2">
      <c r="A1176" s="12">
        <v>38607</v>
      </c>
      <c r="D1176" s="9">
        <v>372.05</v>
      </c>
      <c r="E1176" s="9">
        <f t="shared" si="55"/>
        <v>5.4711956118139275E-3</v>
      </c>
      <c r="F1176" s="9">
        <f t="shared" si="53"/>
        <v>5.120134719346664E-2</v>
      </c>
      <c r="G1176" s="9">
        <f t="shared" si="54"/>
        <v>8.1703500763891865E-3</v>
      </c>
    </row>
    <row r="1177" spans="1:7" x14ac:dyDescent="0.2">
      <c r="A1177" s="12">
        <v>38608</v>
      </c>
      <c r="B1177" s="9">
        <v>373.2</v>
      </c>
      <c r="C1177" s="9">
        <v>370.28</v>
      </c>
      <c r="D1177" s="9">
        <v>372.98</v>
      </c>
      <c r="E1177" s="9">
        <f t="shared" si="55"/>
        <v>2.4965450600300514E-3</v>
      </c>
      <c r="F1177" s="9">
        <f t="shared" si="53"/>
        <v>4.9660562696558518E-2</v>
      </c>
      <c r="G1177" s="9">
        <f t="shared" si="54"/>
        <v>8.1600306659473515E-3</v>
      </c>
    </row>
    <row r="1178" spans="1:7" x14ac:dyDescent="0.2">
      <c r="A1178" s="12">
        <v>38609</v>
      </c>
      <c r="B1178" s="9">
        <v>374.57</v>
      </c>
      <c r="C1178" s="9">
        <v>372.46</v>
      </c>
      <c r="D1178" s="9">
        <v>372.71</v>
      </c>
      <c r="E1178" s="9">
        <f t="shared" si="55"/>
        <v>-7.2416154648513424E-4</v>
      </c>
      <c r="F1178" s="9">
        <f t="shared" si="53"/>
        <v>3.9820823424104972E-2</v>
      </c>
      <c r="G1178" s="9">
        <f t="shared" si="54"/>
        <v>8.0467956424864796E-3</v>
      </c>
    </row>
    <row r="1179" spans="1:7" x14ac:dyDescent="0.2">
      <c r="A1179" s="12">
        <v>38610</v>
      </c>
      <c r="B1179" s="9">
        <v>375.88</v>
      </c>
      <c r="C1179" s="9">
        <v>372.43</v>
      </c>
      <c r="D1179" s="9">
        <v>375.57</v>
      </c>
      <c r="E1179" s="9">
        <f t="shared" si="55"/>
        <v>7.6442345828654154E-3</v>
      </c>
      <c r="F1179" s="9">
        <f t="shared" si="53"/>
        <v>4.6348861887063782E-2</v>
      </c>
      <c r="G1179" s="9">
        <f t="shared" si="54"/>
        <v>8.128736759440881E-3</v>
      </c>
    </row>
    <row r="1180" spans="1:7" x14ac:dyDescent="0.2">
      <c r="A1180" s="12">
        <v>38611</v>
      </c>
      <c r="B1180" s="9">
        <v>378.5</v>
      </c>
      <c r="C1180" s="9">
        <v>375.28</v>
      </c>
      <c r="D1180" s="9">
        <v>377.72</v>
      </c>
      <c r="E1180" s="9">
        <f t="shared" si="55"/>
        <v>5.7083084551879538E-3</v>
      </c>
      <c r="F1180" s="9">
        <f t="shared" si="53"/>
        <v>4.2039465543225595E-2</v>
      </c>
      <c r="G1180" s="9">
        <f t="shared" si="54"/>
        <v>8.0110732236353104E-3</v>
      </c>
    </row>
    <row r="1181" spans="1:7" x14ac:dyDescent="0.2">
      <c r="A1181" s="12">
        <v>38614</v>
      </c>
      <c r="B1181" s="9">
        <v>377.96</v>
      </c>
      <c r="C1181" s="9">
        <v>376.27</v>
      </c>
      <c r="D1181" s="9">
        <v>377.06</v>
      </c>
      <c r="E1181" s="9">
        <f t="shared" si="55"/>
        <v>-1.748854416431395E-3</v>
      </c>
      <c r="F1181" s="9">
        <f t="shared" si="53"/>
        <v>2.8760574259883737E-2</v>
      </c>
      <c r="G1181" s="9">
        <f t="shared" si="54"/>
        <v>7.7961008696063637E-3</v>
      </c>
    </row>
    <row r="1182" spans="1:7" x14ac:dyDescent="0.2">
      <c r="A1182" s="12">
        <v>38615</v>
      </c>
      <c r="B1182" s="9">
        <v>377.06</v>
      </c>
      <c r="C1182" s="9">
        <v>372.29</v>
      </c>
      <c r="D1182" s="9">
        <v>372.59</v>
      </c>
      <c r="E1182" s="9">
        <f t="shared" si="55"/>
        <v>-1.1925706603741744E-2</v>
      </c>
      <c r="F1182" s="9">
        <f t="shared" si="53"/>
        <v>-2.0109132297554577E-3</v>
      </c>
      <c r="G1182" s="9">
        <f t="shared" si="54"/>
        <v>7.3744504344481956E-3</v>
      </c>
    </row>
    <row r="1183" spans="1:7" x14ac:dyDescent="0.2">
      <c r="A1183" s="12">
        <v>38616</v>
      </c>
      <c r="B1183" s="9">
        <v>373.59</v>
      </c>
      <c r="C1183" s="9">
        <v>372.35</v>
      </c>
      <c r="D1183" s="9">
        <v>372.65</v>
      </c>
      <c r="E1183" s="9">
        <f t="shared" si="55"/>
        <v>1.6102195300757749E-4</v>
      </c>
      <c r="F1183" s="9">
        <f t="shared" si="53"/>
        <v>5.3274624199643921E-3</v>
      </c>
      <c r="G1183" s="9">
        <f t="shared" si="54"/>
        <v>7.2511433334262925E-3</v>
      </c>
    </row>
    <row r="1184" spans="1:7" x14ac:dyDescent="0.2">
      <c r="A1184" s="12">
        <v>38617</v>
      </c>
      <c r="B1184" s="9">
        <v>372.65</v>
      </c>
      <c r="C1184" s="9">
        <v>369.95</v>
      </c>
      <c r="D1184" s="9">
        <v>370.72</v>
      </c>
      <c r="E1184" s="9">
        <f t="shared" si="55"/>
        <v>-5.1925806436366115E-3</v>
      </c>
      <c r="F1184" s="9">
        <f t="shared" si="53"/>
        <v>8.8053780163623585E-3</v>
      </c>
      <c r="G1184" s="9">
        <f t="shared" si="54"/>
        <v>7.1316203864777751E-3</v>
      </c>
    </row>
    <row r="1185" spans="1:7" x14ac:dyDescent="0.2">
      <c r="A1185" s="12">
        <v>38618</v>
      </c>
      <c r="B1185" s="9">
        <v>372.01</v>
      </c>
      <c r="C1185" s="9">
        <v>370.23</v>
      </c>
      <c r="D1185" s="9">
        <v>371.26</v>
      </c>
      <c r="E1185" s="9">
        <f t="shared" si="55"/>
        <v>1.4555650970109492E-3</v>
      </c>
      <c r="F1185" s="9">
        <f t="shared" ref="F1185:F1248" si="56">LN(D1185/D1155)</f>
        <v>1.3013250929048231E-2</v>
      </c>
      <c r="G1185" s="9">
        <f t="shared" si="54"/>
        <v>7.1110002407221646E-3</v>
      </c>
    </row>
    <row r="1186" spans="1:7" x14ac:dyDescent="0.2">
      <c r="A1186" s="12">
        <v>38621</v>
      </c>
      <c r="B1186" s="9">
        <v>373.23</v>
      </c>
      <c r="C1186" s="9">
        <v>369.1</v>
      </c>
      <c r="D1186" s="9">
        <v>369.86</v>
      </c>
      <c r="E1186" s="9">
        <f t="shared" si="55"/>
        <v>-3.7780701243466017E-3</v>
      </c>
      <c r="F1186" s="9">
        <f t="shared" si="56"/>
        <v>6.8639290633165546E-3</v>
      </c>
      <c r="G1186" s="9">
        <f t="shared" si="54"/>
        <v>7.1417875669978637E-3</v>
      </c>
    </row>
    <row r="1187" spans="1:7" x14ac:dyDescent="0.2">
      <c r="A1187" s="12">
        <v>38622</v>
      </c>
      <c r="B1187" s="9">
        <v>370.98</v>
      </c>
      <c r="C1187" s="9">
        <v>369.08</v>
      </c>
      <c r="D1187" s="9">
        <v>369.22</v>
      </c>
      <c r="E1187" s="9">
        <f t="shared" si="55"/>
        <v>-1.7318833143070643E-3</v>
      </c>
      <c r="F1187" s="9">
        <f t="shared" si="56"/>
        <v>3.4727909447863298E-3</v>
      </c>
      <c r="G1187" s="9">
        <f t="shared" si="54"/>
        <v>7.1452021392913387E-3</v>
      </c>
    </row>
    <row r="1188" spans="1:7" x14ac:dyDescent="0.2">
      <c r="A1188" s="12">
        <v>38623</v>
      </c>
      <c r="B1188" s="9">
        <v>372.12</v>
      </c>
      <c r="C1188" s="9">
        <v>369.22</v>
      </c>
      <c r="D1188" s="9">
        <v>371.42</v>
      </c>
      <c r="E1188" s="9">
        <f t="shared" si="55"/>
        <v>5.9408254224833645E-3</v>
      </c>
      <c r="F1188" s="9">
        <f t="shared" si="56"/>
        <v>-4.5397845688524832E-3</v>
      </c>
      <c r="G1188" s="9">
        <f t="shared" si="54"/>
        <v>6.7488811967956804E-3</v>
      </c>
    </row>
    <row r="1189" spans="1:7" x14ac:dyDescent="0.2">
      <c r="A1189" s="12">
        <v>38624</v>
      </c>
      <c r="B1189" s="9">
        <v>372.49</v>
      </c>
      <c r="C1189" s="9">
        <v>369.97</v>
      </c>
      <c r="D1189" s="9">
        <v>371.18</v>
      </c>
      <c r="E1189" s="9">
        <f t="shared" si="55"/>
        <v>-6.4637761474843028E-4</v>
      </c>
      <c r="F1189" s="9">
        <f t="shared" si="56"/>
        <v>-5.5881076048248535E-3</v>
      </c>
      <c r="G1189" s="9">
        <f t="shared" si="54"/>
        <v>6.7486316841869846E-3</v>
      </c>
    </row>
    <row r="1190" spans="1:7" x14ac:dyDescent="0.2">
      <c r="A1190" s="12">
        <v>38625</v>
      </c>
      <c r="B1190" s="9">
        <v>372.1</v>
      </c>
      <c r="C1190" s="9">
        <v>368.58</v>
      </c>
      <c r="D1190" s="9">
        <v>370.6</v>
      </c>
      <c r="E1190" s="9">
        <f t="shared" si="55"/>
        <v>-1.5638062988990906E-3</v>
      </c>
      <c r="F1190" s="9">
        <f t="shared" si="56"/>
        <v>-1.7731767149459211E-2</v>
      </c>
      <c r="G1190" s="9">
        <f t="shared" si="54"/>
        <v>6.4376303025047415E-3</v>
      </c>
    </row>
    <row r="1191" spans="1:7" x14ac:dyDescent="0.2">
      <c r="A1191" s="12">
        <v>38628</v>
      </c>
      <c r="B1191" s="9">
        <v>371.16</v>
      </c>
      <c r="C1191" s="9">
        <v>368.86</v>
      </c>
      <c r="D1191" s="9">
        <v>368.92</v>
      </c>
      <c r="E1191" s="9">
        <f t="shared" si="55"/>
        <v>-4.5434954837412457E-3</v>
      </c>
      <c r="F1191" s="9">
        <f t="shared" si="56"/>
        <v>-1.3889859916185378E-2</v>
      </c>
      <c r="G1191" s="9">
        <f t="shared" ref="G1191:G1254" si="57">STDEV(E1162:E1191)</f>
        <v>6.3142624122615064E-3</v>
      </c>
    </row>
    <row r="1192" spans="1:7" x14ac:dyDescent="0.2">
      <c r="A1192" s="12">
        <v>38629</v>
      </c>
      <c r="B1192" s="9">
        <v>369.12</v>
      </c>
      <c r="C1192" s="9">
        <v>366.05</v>
      </c>
      <c r="D1192" s="9">
        <v>366.97</v>
      </c>
      <c r="E1192" s="9">
        <f t="shared" si="55"/>
        <v>-5.2997175233697744E-3</v>
      </c>
      <c r="F1192" s="9">
        <f t="shared" si="56"/>
        <v>-1.0490601894633233E-2</v>
      </c>
      <c r="G1192" s="9">
        <f t="shared" si="57"/>
        <v>6.1906624090587812E-3</v>
      </c>
    </row>
    <row r="1193" spans="1:7" x14ac:dyDescent="0.2">
      <c r="A1193" s="12">
        <v>38630</v>
      </c>
      <c r="B1193" s="9">
        <v>369.77</v>
      </c>
      <c r="C1193" s="9">
        <v>366.25</v>
      </c>
      <c r="D1193" s="9">
        <v>366.74</v>
      </c>
      <c r="E1193" s="9">
        <f t="shared" si="55"/>
        <v>-6.26950723129867E-4</v>
      </c>
      <c r="F1193" s="9">
        <f t="shared" si="56"/>
        <v>2.1816198613919588E-4</v>
      </c>
      <c r="G1193" s="9">
        <f t="shared" si="57"/>
        <v>5.8338081554260837E-3</v>
      </c>
    </row>
    <row r="1194" spans="1:7" x14ac:dyDescent="0.2">
      <c r="A1194" s="12">
        <v>38631</v>
      </c>
      <c r="B1194" s="9">
        <v>366.74</v>
      </c>
      <c r="C1194" s="9">
        <v>362.22</v>
      </c>
      <c r="D1194" s="9">
        <v>362.86</v>
      </c>
      <c r="E1194" s="9">
        <f t="shared" si="55"/>
        <v>-1.0636065179001435E-2</v>
      </c>
      <c r="F1194" s="9">
        <f t="shared" si="56"/>
        <v>-3.8782659698012147E-3</v>
      </c>
      <c r="G1194" s="9">
        <f t="shared" si="57"/>
        <v>6.0367422686028157E-3</v>
      </c>
    </row>
    <row r="1195" spans="1:7" x14ac:dyDescent="0.2">
      <c r="A1195" s="12">
        <v>38632</v>
      </c>
      <c r="B1195" s="9">
        <v>366.88</v>
      </c>
      <c r="C1195" s="9">
        <v>362.86</v>
      </c>
      <c r="D1195" s="9">
        <v>366.21</v>
      </c>
      <c r="E1195" s="9">
        <f t="shared" si="55"/>
        <v>9.1898544078007471E-3</v>
      </c>
      <c r="F1195" s="9">
        <f t="shared" si="56"/>
        <v>1.5465360523641366E-2</v>
      </c>
      <c r="G1195" s="9">
        <f t="shared" si="57"/>
        <v>5.9616839251301415E-3</v>
      </c>
    </row>
    <row r="1196" spans="1:7" x14ac:dyDescent="0.2">
      <c r="A1196" s="12">
        <v>38635</v>
      </c>
      <c r="B1196" s="9">
        <v>371.22</v>
      </c>
      <c r="C1196" s="9">
        <v>366.21</v>
      </c>
      <c r="D1196" s="9">
        <v>369.42</v>
      </c>
      <c r="E1196" s="9">
        <f t="shared" si="55"/>
        <v>8.7272688013558218E-3</v>
      </c>
      <c r="F1196" s="9">
        <f t="shared" si="56"/>
        <v>2.6608257104858965E-2</v>
      </c>
      <c r="G1196" s="9">
        <f t="shared" si="57"/>
        <v>6.1178403492564253E-3</v>
      </c>
    </row>
    <row r="1197" spans="1:7" x14ac:dyDescent="0.2">
      <c r="A1197" s="12">
        <v>38636</v>
      </c>
      <c r="B1197" s="9">
        <v>372.53</v>
      </c>
      <c r="C1197" s="9">
        <v>369.42</v>
      </c>
      <c r="D1197" s="9">
        <v>370.75</v>
      </c>
      <c r="E1197" s="9">
        <f t="shared" si="55"/>
        <v>3.593772866867751E-3</v>
      </c>
      <c r="F1197" s="9">
        <f t="shared" si="56"/>
        <v>1.5767623120400205E-2</v>
      </c>
      <c r="G1197" s="9">
        <f t="shared" si="57"/>
        <v>5.587198920303257E-3</v>
      </c>
    </row>
    <row r="1198" spans="1:7" x14ac:dyDescent="0.2">
      <c r="A1198" s="12">
        <v>38637</v>
      </c>
      <c r="B1198" s="9">
        <v>370.8</v>
      </c>
      <c r="C1198" s="9">
        <v>366.46</v>
      </c>
      <c r="D1198" s="9">
        <v>366.62</v>
      </c>
      <c r="E1198" s="9">
        <f t="shared" si="55"/>
        <v>-1.1202091726822809E-2</v>
      </c>
      <c r="F1198" s="9">
        <f t="shared" si="56"/>
        <v>2.6492975742584586E-3</v>
      </c>
      <c r="G1198" s="9">
        <f t="shared" si="57"/>
        <v>5.974529771876967E-3</v>
      </c>
    </row>
    <row r="1199" spans="1:7" x14ac:dyDescent="0.2">
      <c r="A1199" s="12">
        <v>38638</v>
      </c>
      <c r="B1199" s="9">
        <v>366.62</v>
      </c>
      <c r="C1199" s="9">
        <v>356.46</v>
      </c>
      <c r="D1199" s="9">
        <v>357.63</v>
      </c>
      <c r="E1199" s="9">
        <f t="shared" si="55"/>
        <v>-2.4826956893198793E-2</v>
      </c>
      <c r="F1199" s="9">
        <f t="shared" si="56"/>
        <v>-2.8121942514385337E-2</v>
      </c>
      <c r="G1199" s="9">
        <f t="shared" si="57"/>
        <v>7.404730463682562E-3</v>
      </c>
    </row>
    <row r="1200" spans="1:7" x14ac:dyDescent="0.2">
      <c r="A1200" s="12">
        <v>38639</v>
      </c>
      <c r="B1200" s="9">
        <v>358.8</v>
      </c>
      <c r="C1200" s="9">
        <v>354.35</v>
      </c>
      <c r="D1200" s="9">
        <v>356.52</v>
      </c>
      <c r="E1200" s="9">
        <f t="shared" si="55"/>
        <v>-3.108593135503413E-3</v>
      </c>
      <c r="F1200" s="9">
        <f t="shared" si="56"/>
        <v>-3.6382670263685343E-2</v>
      </c>
      <c r="G1200" s="9">
        <f t="shared" si="57"/>
        <v>7.3236225945926981E-3</v>
      </c>
    </row>
    <row r="1201" spans="1:7" x14ac:dyDescent="0.2">
      <c r="A1201" s="12">
        <v>38642</v>
      </c>
      <c r="B1201" s="9">
        <v>360.15</v>
      </c>
      <c r="C1201" s="9">
        <v>356.52</v>
      </c>
      <c r="D1201" s="9">
        <v>359.7</v>
      </c>
      <c r="E1201" s="9">
        <f t="shared" si="55"/>
        <v>8.8800114390616813E-3</v>
      </c>
      <c r="F1201" s="9">
        <f t="shared" si="56"/>
        <v>-2.9825979515253766E-2</v>
      </c>
      <c r="G1201" s="9">
        <f t="shared" si="57"/>
        <v>7.5277763691214104E-3</v>
      </c>
    </row>
    <row r="1202" spans="1:7" x14ac:dyDescent="0.2">
      <c r="A1202" s="12">
        <v>38643</v>
      </c>
      <c r="B1202" s="9">
        <v>359.95</v>
      </c>
      <c r="C1202" s="9">
        <v>355.67</v>
      </c>
      <c r="D1202" s="9">
        <v>356.5</v>
      </c>
      <c r="E1202" s="9">
        <f t="shared" si="55"/>
        <v>-8.9361108472275769E-3</v>
      </c>
      <c r="F1202" s="9">
        <f t="shared" si="56"/>
        <v>-4.4707842957085471E-2</v>
      </c>
      <c r="G1202" s="9">
        <f t="shared" si="57"/>
        <v>7.5450001540296264E-3</v>
      </c>
    </row>
    <row r="1203" spans="1:7" x14ac:dyDescent="0.2">
      <c r="A1203" s="12">
        <v>38644</v>
      </c>
      <c r="B1203" s="9">
        <v>356.5</v>
      </c>
      <c r="C1203" s="9">
        <v>344.65</v>
      </c>
      <c r="D1203" s="9">
        <v>346.95</v>
      </c>
      <c r="E1203" s="9">
        <f t="shared" si="55"/>
        <v>-2.7153562508792837E-2</v>
      </c>
      <c r="F1203" s="9">
        <f t="shared" si="56"/>
        <v>-6.5267827113740406E-2</v>
      </c>
      <c r="G1203" s="9">
        <f t="shared" si="57"/>
        <v>8.8461067597895831E-3</v>
      </c>
    </row>
    <row r="1204" spans="1:7" x14ac:dyDescent="0.2">
      <c r="A1204" s="12">
        <v>38645</v>
      </c>
      <c r="B1204" s="9">
        <v>351.73</v>
      </c>
      <c r="C1204" s="9">
        <v>346.95</v>
      </c>
      <c r="D1204" s="9">
        <v>348.31</v>
      </c>
      <c r="E1204" s="9">
        <f t="shared" si="55"/>
        <v>3.9122104956722786E-3</v>
      </c>
      <c r="F1204" s="9">
        <f t="shared" si="56"/>
        <v>-5.4990050327700858E-2</v>
      </c>
      <c r="G1204" s="9">
        <f t="shared" si="57"/>
        <v>8.8772062826647825E-3</v>
      </c>
    </row>
    <row r="1205" spans="1:7" x14ac:dyDescent="0.2">
      <c r="A1205" s="12">
        <v>38646</v>
      </c>
      <c r="B1205" s="9">
        <v>348.31</v>
      </c>
      <c r="C1205" s="9">
        <v>341.21</v>
      </c>
      <c r="D1205" s="9">
        <v>343.04</v>
      </c>
      <c r="E1205" s="9">
        <f t="shared" si="55"/>
        <v>-1.524582939884756E-2</v>
      </c>
      <c r="F1205" s="9">
        <f t="shared" si="56"/>
        <v>-7.5709999789073862E-2</v>
      </c>
      <c r="G1205" s="9">
        <f t="shared" si="57"/>
        <v>9.0925098503773158E-3</v>
      </c>
    </row>
    <row r="1206" spans="1:7" x14ac:dyDescent="0.2">
      <c r="A1206" s="12">
        <v>38649</v>
      </c>
      <c r="B1206" s="9">
        <v>351.97</v>
      </c>
      <c r="C1206" s="9">
        <v>343.52</v>
      </c>
      <c r="D1206" s="9">
        <v>351.49</v>
      </c>
      <c r="E1206" s="9">
        <f t="shared" si="55"/>
        <v>2.4334202901508565E-2</v>
      </c>
      <c r="F1206" s="9">
        <f t="shared" si="56"/>
        <v>-5.6846992499379113E-2</v>
      </c>
      <c r="G1206" s="9">
        <f t="shared" si="57"/>
        <v>1.0243762148709503E-2</v>
      </c>
    </row>
    <row r="1207" spans="1:7" x14ac:dyDescent="0.2">
      <c r="A1207" s="12">
        <v>38650</v>
      </c>
      <c r="B1207" s="9">
        <v>355.16</v>
      </c>
      <c r="C1207" s="9">
        <v>350.5</v>
      </c>
      <c r="D1207" s="9">
        <v>352.03</v>
      </c>
      <c r="E1207" s="9">
        <f t="shared" si="55"/>
        <v>1.5351378952955608E-3</v>
      </c>
      <c r="F1207" s="9">
        <f t="shared" si="56"/>
        <v>-5.780839966411374E-2</v>
      </c>
      <c r="G1207" s="9">
        <f t="shared" si="57"/>
        <v>1.0231046035482612E-2</v>
      </c>
    </row>
    <row r="1208" spans="1:7" x14ac:dyDescent="0.2">
      <c r="A1208" s="12">
        <v>38651</v>
      </c>
      <c r="B1208" s="9">
        <v>353.68</v>
      </c>
      <c r="C1208" s="9">
        <v>351.7</v>
      </c>
      <c r="D1208" s="9">
        <v>353.39</v>
      </c>
      <c r="E1208" s="9">
        <f t="shared" si="55"/>
        <v>3.8558636982333771E-3</v>
      </c>
      <c r="F1208" s="9">
        <f t="shared" si="56"/>
        <v>-5.3228374419395243E-2</v>
      </c>
      <c r="G1208" s="9">
        <f t="shared" si="57"/>
        <v>1.0283649172773503E-2</v>
      </c>
    </row>
    <row r="1209" spans="1:7" x14ac:dyDescent="0.2">
      <c r="A1209" s="12">
        <v>38652</v>
      </c>
      <c r="B1209" s="9">
        <v>354.83</v>
      </c>
      <c r="C1209" s="9">
        <v>348.58</v>
      </c>
      <c r="D1209" s="9">
        <v>348.7</v>
      </c>
      <c r="E1209" s="9">
        <f t="shared" si="55"/>
        <v>-1.3360309255814566E-2</v>
      </c>
      <c r="F1209" s="9">
        <f t="shared" si="56"/>
        <v>-7.4232918258075126E-2</v>
      </c>
      <c r="G1209" s="9">
        <f t="shared" si="57"/>
        <v>1.0335194474054109E-2</v>
      </c>
    </row>
    <row r="1210" spans="1:7" x14ac:dyDescent="0.2">
      <c r="A1210" s="12">
        <v>38653</v>
      </c>
      <c r="B1210" s="9">
        <v>350.82</v>
      </c>
      <c r="C1210" s="9">
        <v>346.96</v>
      </c>
      <c r="D1210" s="9">
        <v>350.05</v>
      </c>
      <c r="E1210" s="9">
        <f t="shared" si="55"/>
        <v>3.8640477416011492E-3</v>
      </c>
      <c r="F1210" s="9">
        <f t="shared" si="56"/>
        <v>-7.6077178971661844E-2</v>
      </c>
      <c r="G1210" s="9">
        <f t="shared" si="57"/>
        <v>1.0290231075960056E-2</v>
      </c>
    </row>
    <row r="1211" spans="1:7" x14ac:dyDescent="0.2">
      <c r="A1211" s="12">
        <v>38656</v>
      </c>
      <c r="B1211" s="9">
        <v>356.85</v>
      </c>
      <c r="C1211" s="9">
        <v>350.53</v>
      </c>
      <c r="D1211" s="9">
        <v>356.82</v>
      </c>
      <c r="E1211" s="9">
        <f t="shared" si="55"/>
        <v>1.915545152335071E-2</v>
      </c>
      <c r="F1211" s="9">
        <f t="shared" si="56"/>
        <v>-5.5172873031879774E-2</v>
      </c>
      <c r="G1211" s="9">
        <f t="shared" si="57"/>
        <v>1.1026779343973407E-2</v>
      </c>
    </row>
    <row r="1212" spans="1:7" x14ac:dyDescent="0.2">
      <c r="A1212" s="12">
        <v>38657</v>
      </c>
      <c r="D1212" s="9">
        <v>362.81</v>
      </c>
      <c r="E1212" s="9">
        <f t="shared" si="55"/>
        <v>1.664782831037126E-2</v>
      </c>
      <c r="F1212" s="9">
        <f t="shared" si="56"/>
        <v>-2.6599338117766786E-2</v>
      </c>
      <c r="G1212" s="9">
        <f t="shared" si="57"/>
        <v>1.135465538044143E-2</v>
      </c>
    </row>
    <row r="1213" spans="1:7" x14ac:dyDescent="0.2">
      <c r="A1213" s="12">
        <v>38658</v>
      </c>
      <c r="D1213" s="9">
        <v>361</v>
      </c>
      <c r="E1213" s="9">
        <f t="shared" si="55"/>
        <v>-5.0013229240475207E-3</v>
      </c>
      <c r="F1213" s="9">
        <f t="shared" si="56"/>
        <v>-3.1761682994821808E-2</v>
      </c>
      <c r="G1213" s="9">
        <f t="shared" si="57"/>
        <v>1.1377325319113989E-2</v>
      </c>
    </row>
    <row r="1214" spans="1:7" x14ac:dyDescent="0.2">
      <c r="A1214" s="12">
        <v>38659</v>
      </c>
      <c r="B1214" s="9">
        <v>366.93</v>
      </c>
      <c r="C1214" s="9">
        <v>361.29</v>
      </c>
      <c r="D1214" s="9">
        <v>365.91</v>
      </c>
      <c r="E1214" s="9">
        <f t="shared" si="55"/>
        <v>1.3509443190375671E-2</v>
      </c>
      <c r="F1214" s="9">
        <f t="shared" si="56"/>
        <v>-1.3059659160809469E-2</v>
      </c>
      <c r="G1214" s="9">
        <f t="shared" si="57"/>
        <v>1.1652062467980442E-2</v>
      </c>
    </row>
    <row r="1215" spans="1:7" x14ac:dyDescent="0.2">
      <c r="A1215" s="12">
        <v>38660</v>
      </c>
      <c r="B1215" s="9">
        <v>367.83</v>
      </c>
      <c r="C1215" s="9">
        <v>364.71</v>
      </c>
      <c r="D1215" s="9">
        <v>365.12</v>
      </c>
      <c r="E1215" s="9">
        <f t="shared" si="55"/>
        <v>-2.1613348495457983E-3</v>
      </c>
      <c r="F1215" s="9">
        <f t="shared" si="56"/>
        <v>-1.6676559107366335E-2</v>
      </c>
      <c r="G1215" s="9">
        <f t="shared" si="57"/>
        <v>1.1650534742813893E-2</v>
      </c>
    </row>
    <row r="1216" spans="1:7" x14ac:dyDescent="0.2">
      <c r="A1216" s="12">
        <v>38663</v>
      </c>
      <c r="B1216" s="9">
        <v>367.38</v>
      </c>
      <c r="C1216" s="9">
        <v>363.91</v>
      </c>
      <c r="D1216" s="9">
        <v>366.74</v>
      </c>
      <c r="E1216" s="9">
        <f t="shared" si="55"/>
        <v>4.4270834473077664E-3</v>
      </c>
      <c r="F1216" s="9">
        <f t="shared" si="56"/>
        <v>-8.4714055357120316E-3</v>
      </c>
      <c r="G1216" s="9">
        <f t="shared" si="57"/>
        <v>1.1668580247917375E-2</v>
      </c>
    </row>
    <row r="1217" spans="1:7" x14ac:dyDescent="0.2">
      <c r="A1217" s="12">
        <v>38664</v>
      </c>
      <c r="B1217" s="9">
        <v>368.94</v>
      </c>
      <c r="C1217" s="9">
        <v>364.04</v>
      </c>
      <c r="D1217" s="9">
        <v>365.47</v>
      </c>
      <c r="E1217" s="9">
        <f t="shared" si="55"/>
        <v>-3.4689536432441189E-3</v>
      </c>
      <c r="F1217" s="9">
        <f t="shared" si="56"/>
        <v>-1.0208475864649076E-2</v>
      </c>
      <c r="G1217" s="9">
        <f t="shared" si="57"/>
        <v>1.1680325036367858E-2</v>
      </c>
    </row>
    <row r="1218" spans="1:7" x14ac:dyDescent="0.2">
      <c r="A1218" s="12">
        <v>38665</v>
      </c>
      <c r="B1218" s="9">
        <v>366.06</v>
      </c>
      <c r="C1218" s="9">
        <v>364.37</v>
      </c>
      <c r="D1218" s="9">
        <v>365.7</v>
      </c>
      <c r="E1218" s="9">
        <f t="shared" si="55"/>
        <v>6.2912867756113921E-4</v>
      </c>
      <c r="F1218" s="9">
        <f t="shared" si="56"/>
        <v>-1.5520172609571422E-2</v>
      </c>
      <c r="G1218" s="9">
        <f t="shared" si="57"/>
        <v>1.1621942335659285E-2</v>
      </c>
    </row>
    <row r="1219" spans="1:7" x14ac:dyDescent="0.2">
      <c r="A1219" s="12">
        <v>38666</v>
      </c>
      <c r="B1219" s="9">
        <v>365.63</v>
      </c>
      <c r="C1219" s="9">
        <v>363.3</v>
      </c>
      <c r="D1219" s="9">
        <v>363.67</v>
      </c>
      <c r="E1219" s="9">
        <f t="shared" si="55"/>
        <v>-5.5664621295395565E-3</v>
      </c>
      <c r="F1219" s="9">
        <f t="shared" si="56"/>
        <v>-2.0440257124362544E-2</v>
      </c>
      <c r="G1219" s="9">
        <f t="shared" si="57"/>
        <v>1.1658483444854447E-2</v>
      </c>
    </row>
    <row r="1220" spans="1:7" x14ac:dyDescent="0.2">
      <c r="A1220" s="12">
        <v>38667</v>
      </c>
      <c r="B1220" s="9">
        <v>366.39</v>
      </c>
      <c r="C1220" s="9">
        <v>362.32</v>
      </c>
      <c r="D1220" s="9">
        <v>362.99</v>
      </c>
      <c r="E1220" s="9">
        <f t="shared" ref="E1220:E1283" si="58">LN(D1220/D1219)</f>
        <v>-1.8715773497704139E-3</v>
      </c>
      <c r="F1220" s="9">
        <f t="shared" si="56"/>
        <v>-2.074802817523394E-2</v>
      </c>
      <c r="G1220" s="9">
        <f t="shared" si="57"/>
        <v>1.1659422133841727E-2</v>
      </c>
    </row>
    <row r="1221" spans="1:7" x14ac:dyDescent="0.2">
      <c r="A1221" s="12">
        <v>38670</v>
      </c>
      <c r="B1221" s="9">
        <v>366.76</v>
      </c>
      <c r="C1221" s="9">
        <v>362.27</v>
      </c>
      <c r="D1221" s="9">
        <v>366.19</v>
      </c>
      <c r="E1221" s="9">
        <f t="shared" si="58"/>
        <v>8.7770387092786853E-3</v>
      </c>
      <c r="F1221" s="9">
        <f t="shared" si="56"/>
        <v>-7.4274939822140265E-3</v>
      </c>
      <c r="G1221" s="9">
        <f t="shared" si="57"/>
        <v>1.1760871861293683E-2</v>
      </c>
    </row>
    <row r="1222" spans="1:7" x14ac:dyDescent="0.2">
      <c r="A1222" s="12">
        <v>38671</v>
      </c>
      <c r="B1222" s="9">
        <v>367.59</v>
      </c>
      <c r="C1222" s="9">
        <v>364.71</v>
      </c>
      <c r="D1222" s="9">
        <v>365.14</v>
      </c>
      <c r="E1222" s="9">
        <f t="shared" si="58"/>
        <v>-2.8714826999399019E-3</v>
      </c>
      <c r="F1222" s="9">
        <f t="shared" si="56"/>
        <v>-4.9992591587842512E-3</v>
      </c>
      <c r="G1222" s="9">
        <f t="shared" si="57"/>
        <v>1.1733226243109527E-2</v>
      </c>
    </row>
    <row r="1223" spans="1:7" x14ac:dyDescent="0.2">
      <c r="A1223" s="12">
        <v>38672</v>
      </c>
      <c r="B1223" s="9">
        <v>366.07</v>
      </c>
      <c r="C1223" s="9">
        <v>363.54</v>
      </c>
      <c r="D1223" s="9">
        <v>365.48</v>
      </c>
      <c r="E1223" s="9">
        <f t="shared" si="58"/>
        <v>9.3071644505577592E-4</v>
      </c>
      <c r="F1223" s="9">
        <f t="shared" si="56"/>
        <v>-3.4415919905985901E-3</v>
      </c>
      <c r="G1223" s="9">
        <f t="shared" si="57"/>
        <v>1.173456547227467E-2</v>
      </c>
    </row>
    <row r="1224" spans="1:7" x14ac:dyDescent="0.2">
      <c r="A1224" s="12">
        <v>38673</v>
      </c>
      <c r="B1224" s="9">
        <v>368.85</v>
      </c>
      <c r="C1224" s="9">
        <v>365.96</v>
      </c>
      <c r="D1224" s="9">
        <v>368.15</v>
      </c>
      <c r="E1224" s="9">
        <f t="shared" si="58"/>
        <v>7.2789056843058442E-3</v>
      </c>
      <c r="F1224" s="9">
        <f t="shared" si="56"/>
        <v>1.4473378872708678E-2</v>
      </c>
      <c r="G1224" s="9">
        <f t="shared" si="57"/>
        <v>1.1636105460952036E-2</v>
      </c>
    </row>
    <row r="1225" spans="1:7" x14ac:dyDescent="0.2">
      <c r="A1225" s="12">
        <v>38674</v>
      </c>
      <c r="B1225" s="9">
        <v>372.55</v>
      </c>
      <c r="C1225" s="9">
        <v>368.39</v>
      </c>
      <c r="D1225" s="9">
        <v>370.41</v>
      </c>
      <c r="E1225" s="9">
        <f t="shared" si="58"/>
        <v>6.1200364330361726E-3</v>
      </c>
      <c r="F1225" s="9">
        <f t="shared" si="56"/>
        <v>1.1403560897944061E-2</v>
      </c>
      <c r="G1225" s="9">
        <f t="shared" si="57"/>
        <v>1.1570203850398203E-2</v>
      </c>
    </row>
    <row r="1226" spans="1:7" x14ac:dyDescent="0.2">
      <c r="A1226" s="12">
        <v>38677</v>
      </c>
      <c r="B1226" s="9">
        <v>373.99</v>
      </c>
      <c r="C1226" s="9">
        <v>370.49</v>
      </c>
      <c r="D1226" s="9">
        <v>373.25</v>
      </c>
      <c r="E1226" s="9">
        <f t="shared" si="58"/>
        <v>7.6379361715377889E-3</v>
      </c>
      <c r="F1226" s="9">
        <f t="shared" si="56"/>
        <v>1.0314228268125851E-2</v>
      </c>
      <c r="G1226" s="9">
        <f t="shared" si="57"/>
        <v>1.1544785868638711E-2</v>
      </c>
    </row>
    <row r="1227" spans="1:7" x14ac:dyDescent="0.2">
      <c r="A1227" s="12">
        <v>38678</v>
      </c>
      <c r="B1227" s="9">
        <v>376.17</v>
      </c>
      <c r="C1227" s="9">
        <v>373.33</v>
      </c>
      <c r="D1227" s="9">
        <v>374.3</v>
      </c>
      <c r="E1227" s="9">
        <f t="shared" si="58"/>
        <v>2.80917849108353E-3</v>
      </c>
      <c r="F1227" s="9">
        <f t="shared" si="56"/>
        <v>9.5296338923419079E-3</v>
      </c>
      <c r="G1227" s="9">
        <f t="shared" si="57"/>
        <v>1.153805637374306E-2</v>
      </c>
    </row>
    <row r="1228" spans="1:7" x14ac:dyDescent="0.2">
      <c r="A1228" s="12">
        <v>38679</v>
      </c>
      <c r="B1228" s="9">
        <v>375.53</v>
      </c>
      <c r="C1228" s="9">
        <v>372.37</v>
      </c>
      <c r="D1228" s="9">
        <v>374.49</v>
      </c>
      <c r="E1228" s="9">
        <f t="shared" si="58"/>
        <v>5.0748542068593629E-4</v>
      </c>
      <c r="F1228" s="9">
        <f t="shared" si="56"/>
        <v>2.1239211039850586E-2</v>
      </c>
      <c r="G1228" s="9">
        <f t="shared" si="57"/>
        <v>1.1331123771622145E-2</v>
      </c>
    </row>
    <row r="1229" spans="1:7" x14ac:dyDescent="0.2">
      <c r="A1229" s="12">
        <v>38680</v>
      </c>
      <c r="B1229" s="9">
        <v>374.69</v>
      </c>
      <c r="C1229" s="9">
        <v>368.67</v>
      </c>
      <c r="D1229" s="9">
        <v>368.97</v>
      </c>
      <c r="E1229" s="9">
        <f t="shared" si="58"/>
        <v>-1.4849760408640474E-2</v>
      </c>
      <c r="F1229" s="9">
        <f t="shared" si="56"/>
        <v>3.1216407524409046E-2</v>
      </c>
      <c r="G1229" s="9">
        <f t="shared" si="57"/>
        <v>1.0683743489853967E-2</v>
      </c>
    </row>
    <row r="1230" spans="1:7" x14ac:dyDescent="0.2">
      <c r="A1230" s="12">
        <v>38681</v>
      </c>
      <c r="B1230" s="9">
        <v>371.32</v>
      </c>
      <c r="C1230" s="9">
        <v>368.19</v>
      </c>
      <c r="D1230" s="9">
        <v>370.74</v>
      </c>
      <c r="E1230" s="9">
        <f t="shared" si="58"/>
        <v>4.7856683785142068E-3</v>
      </c>
      <c r="F1230" s="9">
        <f t="shared" si="56"/>
        <v>3.9110669038426721E-2</v>
      </c>
      <c r="G1230" s="9">
        <f t="shared" si="57"/>
        <v>1.0675240662989862E-2</v>
      </c>
    </row>
    <row r="1231" spans="1:7" x14ac:dyDescent="0.2">
      <c r="A1231" s="12">
        <v>38684</v>
      </c>
      <c r="B1231" s="9">
        <v>372.43</v>
      </c>
      <c r="C1231" s="9">
        <v>368.93</v>
      </c>
      <c r="D1231" s="9">
        <v>369.96</v>
      </c>
      <c r="E1231" s="9">
        <f t="shared" si="58"/>
        <v>-2.1061166148839518E-3</v>
      </c>
      <c r="F1231" s="9">
        <f t="shared" si="56"/>
        <v>2.8124540984481076E-2</v>
      </c>
      <c r="G1231" s="9">
        <f t="shared" si="57"/>
        <v>1.05945091147758E-2</v>
      </c>
    </row>
    <row r="1232" spans="1:7" x14ac:dyDescent="0.2">
      <c r="A1232" s="12">
        <v>38685</v>
      </c>
      <c r="B1232" s="9">
        <v>370.85</v>
      </c>
      <c r="C1232" s="9">
        <v>365.59</v>
      </c>
      <c r="D1232" s="9">
        <v>366.61</v>
      </c>
      <c r="E1232" s="9">
        <f t="shared" si="58"/>
        <v>-9.0962789656317041E-3</v>
      </c>
      <c r="F1232" s="9">
        <f t="shared" si="56"/>
        <v>2.7964372866076968E-2</v>
      </c>
      <c r="G1232" s="9">
        <f t="shared" si="57"/>
        <v>1.0599695420557062E-2</v>
      </c>
    </row>
    <row r="1233" spans="1:7" x14ac:dyDescent="0.2">
      <c r="A1233" s="12">
        <v>38686</v>
      </c>
      <c r="B1233" s="9">
        <v>370.86</v>
      </c>
      <c r="C1233" s="9">
        <v>367.09</v>
      </c>
      <c r="D1233" s="9">
        <v>368.37</v>
      </c>
      <c r="E1233" s="9">
        <f t="shared" si="58"/>
        <v>4.7892551201035782E-3</v>
      </c>
      <c r="F1233" s="9">
        <f t="shared" si="56"/>
        <v>5.9907190494973138E-2</v>
      </c>
      <c r="G1233" s="9">
        <f t="shared" si="57"/>
        <v>9.192034740591562E-3</v>
      </c>
    </row>
    <row r="1234" spans="1:7" x14ac:dyDescent="0.2">
      <c r="A1234" s="12">
        <v>38687</v>
      </c>
      <c r="B1234" s="9">
        <v>373.71</v>
      </c>
      <c r="C1234" s="9">
        <v>368.67</v>
      </c>
      <c r="D1234" s="9">
        <v>373.67</v>
      </c>
      <c r="E1234" s="9">
        <f t="shared" si="58"/>
        <v>1.4285187130332179E-2</v>
      </c>
      <c r="F1234" s="9">
        <f t="shared" si="56"/>
        <v>7.0280167129632948E-2</v>
      </c>
      <c r="G1234" s="9">
        <f t="shared" si="57"/>
        <v>9.4578163452409703E-3</v>
      </c>
    </row>
    <row r="1235" spans="1:7" x14ac:dyDescent="0.2">
      <c r="A1235" s="12">
        <v>38688</v>
      </c>
      <c r="B1235" s="9">
        <v>379.57</v>
      </c>
      <c r="C1235" s="9">
        <v>373.68</v>
      </c>
      <c r="D1235" s="9">
        <v>379.57</v>
      </c>
      <c r="E1235" s="9">
        <f t="shared" si="58"/>
        <v>1.566597808334784E-2</v>
      </c>
      <c r="F1235" s="9">
        <f t="shared" si="56"/>
        <v>0.10119197461182856</v>
      </c>
      <c r="G1235" s="9">
        <f t="shared" si="57"/>
        <v>9.1545394267638133E-3</v>
      </c>
    </row>
    <row r="1236" spans="1:7" x14ac:dyDescent="0.2">
      <c r="A1236" s="12">
        <v>38691</v>
      </c>
      <c r="B1236" s="9">
        <v>380.46</v>
      </c>
      <c r="C1236" s="9">
        <v>377.12</v>
      </c>
      <c r="D1236" s="9">
        <v>379.37</v>
      </c>
      <c r="E1236" s="9">
        <f t="shared" si="58"/>
        <v>-5.2705089896358439E-4</v>
      </c>
      <c r="F1236" s="9">
        <f t="shared" si="56"/>
        <v>7.6330720811356362E-2</v>
      </c>
      <c r="G1236" s="9">
        <f t="shared" si="57"/>
        <v>8.2745998605398188E-3</v>
      </c>
    </row>
    <row r="1237" spans="1:7" x14ac:dyDescent="0.2">
      <c r="A1237" s="12">
        <v>38692</v>
      </c>
      <c r="B1237" s="9">
        <v>385.36</v>
      </c>
      <c r="C1237" s="9">
        <v>379.06</v>
      </c>
      <c r="D1237" s="9">
        <v>385.3</v>
      </c>
      <c r="E1237" s="9">
        <f t="shared" si="58"/>
        <v>1.5510269476864348E-2</v>
      </c>
      <c r="F1237" s="9">
        <f t="shared" si="56"/>
        <v>9.0305852392925282E-2</v>
      </c>
      <c r="G1237" s="9">
        <f t="shared" si="57"/>
        <v>8.6027006432602918E-3</v>
      </c>
    </row>
    <row r="1238" spans="1:7" x14ac:dyDescent="0.2">
      <c r="A1238" s="12">
        <v>38693</v>
      </c>
      <c r="B1238" s="9">
        <v>387.3</v>
      </c>
      <c r="C1238" s="9">
        <v>383.21</v>
      </c>
      <c r="D1238" s="9">
        <v>385.44</v>
      </c>
      <c r="E1238" s="9">
        <f t="shared" si="58"/>
        <v>3.6328723444931798E-4</v>
      </c>
      <c r="F1238" s="9">
        <f t="shared" si="56"/>
        <v>8.6813275929141204E-2</v>
      </c>
      <c r="G1238" s="9">
        <f t="shared" si="57"/>
        <v>8.6144859055415773E-3</v>
      </c>
    </row>
    <row r="1239" spans="1:7" x14ac:dyDescent="0.2">
      <c r="A1239" s="12">
        <v>38694</v>
      </c>
      <c r="B1239" s="9">
        <v>384.86</v>
      </c>
      <c r="C1239" s="9">
        <v>381.82</v>
      </c>
      <c r="D1239" s="9">
        <v>382.61</v>
      </c>
      <c r="E1239" s="9">
        <f t="shared" si="58"/>
        <v>-7.3693452443148394E-3</v>
      </c>
      <c r="F1239" s="9">
        <f t="shared" si="56"/>
        <v>9.2804239940640854E-2</v>
      </c>
      <c r="G1239" s="9">
        <f t="shared" si="57"/>
        <v>8.2879464586839285E-3</v>
      </c>
    </row>
    <row r="1240" spans="1:7" x14ac:dyDescent="0.2">
      <c r="A1240" s="12">
        <v>38695</v>
      </c>
      <c r="B1240" s="9">
        <v>386.12</v>
      </c>
      <c r="C1240" s="9">
        <v>381.19</v>
      </c>
      <c r="D1240" s="9">
        <v>381.41</v>
      </c>
      <c r="E1240" s="9">
        <f t="shared" si="58"/>
        <v>-3.1412816071957283E-3</v>
      </c>
      <c r="F1240" s="9">
        <f t="shared" si="56"/>
        <v>8.579891059184408E-2</v>
      </c>
      <c r="G1240" s="9">
        <f t="shared" si="57"/>
        <v>8.3638265045573815E-3</v>
      </c>
    </row>
    <row r="1241" spans="1:7" x14ac:dyDescent="0.2">
      <c r="A1241" s="12">
        <v>38698</v>
      </c>
      <c r="B1241" s="9">
        <v>383.2</v>
      </c>
      <c r="C1241" s="9">
        <v>379.74</v>
      </c>
      <c r="D1241" s="9">
        <v>379.74</v>
      </c>
      <c r="E1241" s="9">
        <f t="shared" si="58"/>
        <v>-4.3881039997815795E-3</v>
      </c>
      <c r="F1241" s="9">
        <f t="shared" si="56"/>
        <v>6.2255355068711708E-2</v>
      </c>
      <c r="G1241" s="9">
        <f t="shared" si="57"/>
        <v>7.8721883824509654E-3</v>
      </c>
    </row>
    <row r="1242" spans="1:7" x14ac:dyDescent="0.2">
      <c r="A1242" s="12">
        <v>38699</v>
      </c>
      <c r="B1242" s="9">
        <v>380.75</v>
      </c>
      <c r="C1242" s="9">
        <v>377.62</v>
      </c>
      <c r="D1242" s="9">
        <v>377.98</v>
      </c>
      <c r="E1242" s="9">
        <f t="shared" si="58"/>
        <v>-4.6455238483775465E-3</v>
      </c>
      <c r="F1242" s="9">
        <f t="shared" si="56"/>
        <v>4.0962002909962977E-2</v>
      </c>
      <c r="G1242" s="9">
        <f t="shared" si="57"/>
        <v>7.462229730689141E-3</v>
      </c>
    </row>
    <row r="1243" spans="1:7" x14ac:dyDescent="0.2">
      <c r="A1243" s="12">
        <v>38700</v>
      </c>
      <c r="B1243" s="9">
        <v>379.07</v>
      </c>
      <c r="C1243" s="9">
        <v>376.18</v>
      </c>
      <c r="D1243" s="9">
        <v>377.12</v>
      </c>
      <c r="E1243" s="9">
        <f t="shared" si="58"/>
        <v>-2.27784497907044E-3</v>
      </c>
      <c r="F1243" s="9">
        <f t="shared" si="56"/>
        <v>4.3685480854940131E-2</v>
      </c>
      <c r="G1243" s="9">
        <f t="shared" si="57"/>
        <v>7.3983971523836024E-3</v>
      </c>
    </row>
    <row r="1244" spans="1:7" x14ac:dyDescent="0.2">
      <c r="A1244" s="12">
        <v>38701</v>
      </c>
      <c r="B1244" s="9">
        <v>379.46</v>
      </c>
      <c r="C1244" s="9">
        <v>376.68</v>
      </c>
      <c r="D1244" s="9">
        <v>378.48</v>
      </c>
      <c r="E1244" s="9">
        <f t="shared" si="58"/>
        <v>3.5997921350717902E-3</v>
      </c>
      <c r="F1244" s="9">
        <f t="shared" si="56"/>
        <v>3.3775829799635941E-2</v>
      </c>
      <c r="G1244" s="9">
        <f t="shared" si="57"/>
        <v>7.0549389214387727E-3</v>
      </c>
    </row>
    <row r="1245" spans="1:7" x14ac:dyDescent="0.2">
      <c r="A1245" s="12">
        <v>38702</v>
      </c>
      <c r="B1245" s="9">
        <v>380.83</v>
      </c>
      <c r="C1245" s="9">
        <v>378.17</v>
      </c>
      <c r="D1245" s="9">
        <v>380.19</v>
      </c>
      <c r="E1245" s="9">
        <f t="shared" si="58"/>
        <v>4.5078964391899222E-3</v>
      </c>
      <c r="F1245" s="9">
        <f t="shared" si="56"/>
        <v>4.0445061088371571E-2</v>
      </c>
      <c r="G1245" s="9">
        <f t="shared" si="57"/>
        <v>7.0528610435440908E-3</v>
      </c>
    </row>
    <row r="1246" spans="1:7" x14ac:dyDescent="0.2">
      <c r="A1246" s="12">
        <v>38705</v>
      </c>
      <c r="B1246" s="9">
        <v>381.93</v>
      </c>
      <c r="C1246" s="9">
        <v>379.02</v>
      </c>
      <c r="D1246" s="9">
        <v>381</v>
      </c>
      <c r="E1246" s="9">
        <f t="shared" si="58"/>
        <v>2.1282473646184984E-3</v>
      </c>
      <c r="F1246" s="9">
        <f t="shared" si="56"/>
        <v>3.8146225005682377E-2</v>
      </c>
      <c r="G1246" s="9">
        <f t="shared" si="57"/>
        <v>7.0307091659055259E-3</v>
      </c>
    </row>
    <row r="1247" spans="1:7" x14ac:dyDescent="0.2">
      <c r="A1247" s="12">
        <v>38706</v>
      </c>
      <c r="B1247" s="9">
        <v>383.25</v>
      </c>
      <c r="C1247" s="9">
        <v>380.67</v>
      </c>
      <c r="D1247" s="9">
        <v>382.59</v>
      </c>
      <c r="E1247" s="9">
        <f t="shared" si="58"/>
        <v>4.1645445802171001E-3</v>
      </c>
      <c r="F1247" s="9">
        <f t="shared" si="56"/>
        <v>4.577972322914374E-2</v>
      </c>
      <c r="G1247" s="9">
        <f t="shared" si="57"/>
        <v>6.9912509598243503E-3</v>
      </c>
    </row>
    <row r="1248" spans="1:7" x14ac:dyDescent="0.2">
      <c r="A1248" s="12">
        <v>38707</v>
      </c>
      <c r="B1248" s="9">
        <v>386.85</v>
      </c>
      <c r="C1248" s="9">
        <v>382.33</v>
      </c>
      <c r="D1248" s="9">
        <v>385.59</v>
      </c>
      <c r="E1248" s="9">
        <f t="shared" si="58"/>
        <v>7.8107090832320487E-3</v>
      </c>
      <c r="F1248" s="9">
        <f t="shared" si="56"/>
        <v>5.2961303634814591E-2</v>
      </c>
      <c r="G1248" s="9">
        <f t="shared" si="57"/>
        <v>7.0818472707289181E-3</v>
      </c>
    </row>
    <row r="1249" spans="1:7" x14ac:dyDescent="0.2">
      <c r="A1249" s="12">
        <v>38708</v>
      </c>
      <c r="B1249" s="9">
        <v>386.91</v>
      </c>
      <c r="C1249" s="9">
        <v>385.24</v>
      </c>
      <c r="D1249" s="9">
        <v>386.02</v>
      </c>
      <c r="E1249" s="9">
        <f t="shared" si="58"/>
        <v>1.1145528039117698E-3</v>
      </c>
      <c r="F1249" s="9">
        <f t="shared" ref="F1249:F1312" si="59">LN(D1249/D1219)</f>
        <v>5.9642318568265899E-2</v>
      </c>
      <c r="G1249" s="9">
        <f t="shared" si="57"/>
        <v>6.9471008758763284E-3</v>
      </c>
    </row>
    <row r="1250" spans="1:7" x14ac:dyDescent="0.2">
      <c r="A1250" s="12">
        <v>38709</v>
      </c>
      <c r="B1250" s="9">
        <v>392.44</v>
      </c>
      <c r="C1250" s="9">
        <v>385.89</v>
      </c>
      <c r="D1250" s="9">
        <v>391.84</v>
      </c>
      <c r="E1250" s="9">
        <f t="shared" si="58"/>
        <v>1.4964411609795784E-2</v>
      </c>
      <c r="F1250" s="9">
        <f t="shared" si="59"/>
        <v>7.6478307527832037E-2</v>
      </c>
      <c r="G1250" s="9">
        <f t="shared" si="57"/>
        <v>7.2958279873025144E-3</v>
      </c>
    </row>
    <row r="1251" spans="1:7" x14ac:dyDescent="0.2">
      <c r="A1251" s="12">
        <v>38713</v>
      </c>
      <c r="B1251" s="9">
        <v>394.81</v>
      </c>
      <c r="C1251" s="9">
        <v>391.84</v>
      </c>
      <c r="D1251" s="9">
        <v>394.45</v>
      </c>
      <c r="E1251" s="9">
        <f t="shared" si="58"/>
        <v>6.6387963372410777E-3</v>
      </c>
      <c r="F1251" s="9">
        <f t="shared" si="59"/>
        <v>7.4340065155794374E-2</v>
      </c>
      <c r="G1251" s="9">
        <f t="shared" si="57"/>
        <v>7.2431437831953745E-3</v>
      </c>
    </row>
    <row r="1252" spans="1:7" x14ac:dyDescent="0.2">
      <c r="A1252" s="12">
        <v>38714</v>
      </c>
      <c r="B1252" s="9">
        <v>395.25</v>
      </c>
      <c r="C1252" s="9">
        <v>393.01</v>
      </c>
      <c r="D1252" s="9">
        <v>393.01</v>
      </c>
      <c r="E1252" s="9">
        <f t="shared" si="58"/>
        <v>-3.6573327029424782E-3</v>
      </c>
      <c r="F1252" s="9">
        <f t="shared" si="59"/>
        <v>7.3554215152791938E-2</v>
      </c>
      <c r="G1252" s="9">
        <f t="shared" si="57"/>
        <v>7.2645468433763178E-3</v>
      </c>
    </row>
    <row r="1253" spans="1:7" x14ac:dyDescent="0.2">
      <c r="A1253" s="12">
        <v>38715</v>
      </c>
      <c r="B1253" s="9">
        <v>395.25</v>
      </c>
      <c r="C1253" s="9">
        <v>392.93</v>
      </c>
      <c r="D1253" s="9">
        <v>395.03</v>
      </c>
      <c r="E1253" s="9">
        <f t="shared" si="58"/>
        <v>5.1266545460470908E-3</v>
      </c>
      <c r="F1253" s="9">
        <f t="shared" si="59"/>
        <v>7.7750153253783441E-2</v>
      </c>
      <c r="G1253" s="9">
        <f t="shared" si="57"/>
        <v>7.2746366483672715E-3</v>
      </c>
    </row>
    <row r="1254" spans="1:7" x14ac:dyDescent="0.2">
      <c r="A1254" s="12">
        <v>38716</v>
      </c>
      <c r="B1254" s="9">
        <v>395.13</v>
      </c>
      <c r="C1254" s="9">
        <v>392.83</v>
      </c>
      <c r="D1254" s="9">
        <v>393.52</v>
      </c>
      <c r="E1254" s="9">
        <f t="shared" si="58"/>
        <v>-3.8298188971188953E-3</v>
      </c>
      <c r="F1254" s="9">
        <f t="shared" si="59"/>
        <v>6.6641428672358602E-2</v>
      </c>
      <c r="G1254" s="9">
        <f t="shared" si="57"/>
        <v>7.310459522832294E-3</v>
      </c>
    </row>
    <row r="1255" spans="1:7" x14ac:dyDescent="0.2">
      <c r="A1255" s="12">
        <v>38719</v>
      </c>
      <c r="B1255" s="9">
        <v>399.84</v>
      </c>
      <c r="C1255" s="9">
        <v>393.21</v>
      </c>
      <c r="D1255" s="9">
        <v>399.52</v>
      </c>
      <c r="E1255" s="9">
        <f t="shared" si="58"/>
        <v>1.5131934044378716E-2</v>
      </c>
      <c r="F1255" s="9">
        <f t="shared" si="59"/>
        <v>7.5653326283701E-2</v>
      </c>
      <c r="G1255" s="9">
        <f t="shared" ref="G1255:G1318" si="60">STDEV(E1226:E1255)</f>
        <v>7.6533009733071016E-3</v>
      </c>
    </row>
    <row r="1256" spans="1:7" x14ac:dyDescent="0.2">
      <c r="A1256" s="12">
        <v>38720</v>
      </c>
      <c r="B1256" s="9">
        <v>403.06</v>
      </c>
      <c r="C1256" s="9">
        <v>398.33</v>
      </c>
      <c r="D1256" s="9">
        <v>398.73</v>
      </c>
      <c r="E1256" s="9">
        <f t="shared" si="58"/>
        <v>-1.9793304301119453E-3</v>
      </c>
      <c r="F1256" s="9">
        <f t="shared" si="59"/>
        <v>6.6036059682051312E-2</v>
      </c>
      <c r="G1256" s="9">
        <f t="shared" si="60"/>
        <v>7.633002959379488E-3</v>
      </c>
    </row>
    <row r="1257" spans="1:7" x14ac:dyDescent="0.2">
      <c r="A1257" s="12">
        <v>38721</v>
      </c>
      <c r="B1257" s="9">
        <v>403.14</v>
      </c>
      <c r="C1257" s="9">
        <v>399.08</v>
      </c>
      <c r="D1257" s="9">
        <v>399.91</v>
      </c>
      <c r="E1257" s="9">
        <f t="shared" si="58"/>
        <v>2.9550256903334948E-3</v>
      </c>
      <c r="F1257" s="9">
        <f t="shared" si="59"/>
        <v>6.6181906881301183E-2</v>
      </c>
      <c r="G1257" s="9">
        <f t="shared" si="60"/>
        <v>7.6334499744435229E-3</v>
      </c>
    </row>
    <row r="1258" spans="1:7" x14ac:dyDescent="0.2">
      <c r="A1258" s="12">
        <v>38722</v>
      </c>
      <c r="B1258" s="9">
        <v>400.33</v>
      </c>
      <c r="C1258" s="9">
        <v>392.24</v>
      </c>
      <c r="D1258" s="9">
        <v>394.79</v>
      </c>
      <c r="E1258" s="9">
        <f t="shared" si="58"/>
        <v>-1.2885543833798026E-2</v>
      </c>
      <c r="F1258" s="9">
        <f t="shared" si="59"/>
        <v>5.2788877626817249E-2</v>
      </c>
      <c r="G1258" s="9">
        <f t="shared" si="60"/>
        <v>8.1128028559582423E-3</v>
      </c>
    </row>
    <row r="1259" spans="1:7" x14ac:dyDescent="0.2">
      <c r="A1259" s="12">
        <v>38723</v>
      </c>
      <c r="B1259" s="9">
        <v>396.2</v>
      </c>
      <c r="C1259" s="9">
        <v>391.07</v>
      </c>
      <c r="D1259" s="9">
        <v>391.1</v>
      </c>
      <c r="E1259" s="9">
        <f t="shared" si="58"/>
        <v>-9.3906961964179848E-3</v>
      </c>
      <c r="F1259" s="9">
        <f t="shared" si="59"/>
        <v>5.8247941839039585E-2</v>
      </c>
      <c r="G1259" s="9">
        <f t="shared" si="60"/>
        <v>7.7818845525550965E-3</v>
      </c>
    </row>
    <row r="1260" spans="1:7" x14ac:dyDescent="0.2">
      <c r="A1260" s="12">
        <v>38726</v>
      </c>
      <c r="B1260" s="9">
        <v>391.25</v>
      </c>
      <c r="C1260" s="9">
        <v>387.98</v>
      </c>
      <c r="D1260" s="9">
        <v>391.13</v>
      </c>
      <c r="E1260" s="9">
        <f t="shared" si="58"/>
        <v>7.670378281242377E-5</v>
      </c>
      <c r="F1260" s="9">
        <f t="shared" si="59"/>
        <v>5.3538977243337768E-2</v>
      </c>
      <c r="G1260" s="9">
        <f t="shared" si="60"/>
        <v>7.7700220526724668E-3</v>
      </c>
    </row>
    <row r="1261" spans="1:7" x14ac:dyDescent="0.2">
      <c r="A1261" s="12">
        <v>38727</v>
      </c>
      <c r="B1261" s="9">
        <v>391.23</v>
      </c>
      <c r="C1261" s="9">
        <v>387.44</v>
      </c>
      <c r="D1261" s="9">
        <v>388.73</v>
      </c>
      <c r="E1261" s="9">
        <f t="shared" si="58"/>
        <v>-6.1549703196141226E-3</v>
      </c>
      <c r="F1261" s="9">
        <f t="shared" si="59"/>
        <v>4.9490123538607579E-2</v>
      </c>
      <c r="G1261" s="9">
        <f t="shared" si="60"/>
        <v>7.8743953519185648E-3</v>
      </c>
    </row>
    <row r="1262" spans="1:7" x14ac:dyDescent="0.2">
      <c r="A1262" s="12">
        <v>38728</v>
      </c>
      <c r="B1262" s="9">
        <v>392.29</v>
      </c>
      <c r="C1262" s="9">
        <v>388.7</v>
      </c>
      <c r="D1262" s="9">
        <v>391.72</v>
      </c>
      <c r="E1262" s="9">
        <f t="shared" si="58"/>
        <v>7.6622836279270018E-3</v>
      </c>
      <c r="F1262" s="9">
        <f t="shared" si="59"/>
        <v>6.624868613216639E-2</v>
      </c>
      <c r="G1262" s="9">
        <f t="shared" si="60"/>
        <v>7.6777587256278146E-3</v>
      </c>
    </row>
    <row r="1263" spans="1:7" x14ac:dyDescent="0.2">
      <c r="A1263" s="12">
        <v>38729</v>
      </c>
      <c r="B1263" s="9">
        <v>395.8</v>
      </c>
      <c r="C1263" s="9">
        <v>392.02</v>
      </c>
      <c r="D1263" s="9">
        <v>395.8</v>
      </c>
      <c r="E1263" s="9">
        <f t="shared" si="58"/>
        <v>1.036173431587149E-2</v>
      </c>
      <c r="F1263" s="9">
        <f t="shared" si="59"/>
        <v>7.1821165327934283E-2</v>
      </c>
      <c r="G1263" s="9">
        <f t="shared" si="60"/>
        <v>7.8086459303158967E-3</v>
      </c>
    </row>
    <row r="1264" spans="1:7" x14ac:dyDescent="0.2">
      <c r="A1264" s="12">
        <v>38730</v>
      </c>
      <c r="B1264" s="9">
        <v>395.62</v>
      </c>
      <c r="C1264" s="9">
        <v>391.84</v>
      </c>
      <c r="D1264" s="9">
        <v>392.2</v>
      </c>
      <c r="E1264" s="9">
        <f t="shared" si="58"/>
        <v>-9.1371194062195189E-3</v>
      </c>
      <c r="F1264" s="9">
        <f t="shared" si="59"/>
        <v>4.8398858791382775E-2</v>
      </c>
      <c r="G1264" s="9">
        <f t="shared" si="60"/>
        <v>7.7494270643383998E-3</v>
      </c>
    </row>
    <row r="1265" spans="1:7" x14ac:dyDescent="0.2">
      <c r="A1265" s="12">
        <v>38733</v>
      </c>
      <c r="B1265" s="9">
        <v>393.36</v>
      </c>
      <c r="C1265" s="9">
        <v>390.58</v>
      </c>
      <c r="D1265" s="9">
        <v>393.36</v>
      </c>
      <c r="E1265" s="9">
        <f t="shared" si="58"/>
        <v>2.9533093414381697E-3</v>
      </c>
      <c r="F1265" s="9">
        <f t="shared" si="59"/>
        <v>3.5686190049473043E-2</v>
      </c>
      <c r="G1265" s="9">
        <f t="shared" si="60"/>
        <v>7.2883602386929289E-3</v>
      </c>
    </row>
    <row r="1266" spans="1:7" x14ac:dyDescent="0.2">
      <c r="A1266" s="12">
        <v>38734</v>
      </c>
      <c r="B1266" s="9">
        <v>393.28</v>
      </c>
      <c r="C1266" s="9">
        <v>390.15</v>
      </c>
      <c r="D1266" s="9">
        <v>390.33</v>
      </c>
      <c r="E1266" s="9">
        <f t="shared" si="58"/>
        <v>-7.7326879201897424E-3</v>
      </c>
      <c r="F1266" s="9">
        <f t="shared" si="59"/>
        <v>2.8480553028246754E-2</v>
      </c>
      <c r="G1266" s="9">
        <f t="shared" si="60"/>
        <v>7.4635075632080959E-3</v>
      </c>
    </row>
    <row r="1267" spans="1:7" x14ac:dyDescent="0.2">
      <c r="A1267" s="12">
        <v>38735</v>
      </c>
      <c r="B1267" s="9">
        <v>389.64</v>
      </c>
      <c r="C1267" s="9">
        <v>381.97</v>
      </c>
      <c r="D1267" s="9">
        <v>386.59</v>
      </c>
      <c r="E1267" s="9">
        <f t="shared" si="58"/>
        <v>-9.6278352725200304E-3</v>
      </c>
      <c r="F1267" s="9">
        <f t="shared" si="59"/>
        <v>3.3424482788622272E-3</v>
      </c>
      <c r="G1267" s="9">
        <f t="shared" si="60"/>
        <v>7.178048017014234E-3</v>
      </c>
    </row>
    <row r="1268" spans="1:7" x14ac:dyDescent="0.2">
      <c r="A1268" s="12">
        <v>38736</v>
      </c>
      <c r="B1268" s="9">
        <v>388.8</v>
      </c>
      <c r="C1268" s="9">
        <v>385.75</v>
      </c>
      <c r="D1268" s="9">
        <v>387.87</v>
      </c>
      <c r="E1268" s="9">
        <f t="shared" si="58"/>
        <v>3.3055320235974841E-3</v>
      </c>
      <c r="F1268" s="9">
        <f t="shared" si="59"/>
        <v>6.284693068010298E-3</v>
      </c>
      <c r="G1268" s="9">
        <f t="shared" si="60"/>
        <v>7.2016693726385519E-3</v>
      </c>
    </row>
    <row r="1269" spans="1:7" x14ac:dyDescent="0.2">
      <c r="A1269" s="12">
        <v>38737</v>
      </c>
      <c r="B1269" s="9">
        <v>388.82</v>
      </c>
      <c r="C1269" s="9">
        <v>384.43</v>
      </c>
      <c r="D1269" s="9">
        <v>384.45</v>
      </c>
      <c r="E1269" s="9">
        <f t="shared" si="58"/>
        <v>-8.8564904563818037E-3</v>
      </c>
      <c r="F1269" s="9">
        <f t="shared" si="59"/>
        <v>4.797547855943423E-3</v>
      </c>
      <c r="G1269" s="9">
        <f t="shared" si="60"/>
        <v>7.2605137751367912E-3</v>
      </c>
    </row>
    <row r="1270" spans="1:7" x14ac:dyDescent="0.2">
      <c r="A1270" s="12">
        <v>38740</v>
      </c>
      <c r="B1270" s="9">
        <v>383.66</v>
      </c>
      <c r="C1270" s="9">
        <v>378.16</v>
      </c>
      <c r="D1270" s="9">
        <v>380.61</v>
      </c>
      <c r="E1270" s="9">
        <f t="shared" si="58"/>
        <v>-1.0038512657573093E-2</v>
      </c>
      <c r="F1270" s="9">
        <f t="shared" si="59"/>
        <v>-2.0996831944340268E-3</v>
      </c>
      <c r="G1270" s="9">
        <f t="shared" si="60"/>
        <v>7.47469545958782E-3</v>
      </c>
    </row>
    <row r="1271" spans="1:7" x14ac:dyDescent="0.2">
      <c r="A1271" s="12">
        <v>38741</v>
      </c>
      <c r="B1271" s="9">
        <v>385.82</v>
      </c>
      <c r="C1271" s="9">
        <v>380.81</v>
      </c>
      <c r="D1271" s="9">
        <v>385.31</v>
      </c>
      <c r="E1271" s="9">
        <f t="shared" si="58"/>
        <v>1.2272976276933165E-2</v>
      </c>
      <c r="F1271" s="9">
        <f t="shared" si="59"/>
        <v>1.456139708228084E-2</v>
      </c>
      <c r="G1271" s="9">
        <f t="shared" si="60"/>
        <v>7.7564449960509166E-3</v>
      </c>
    </row>
    <row r="1272" spans="1:7" x14ac:dyDescent="0.2">
      <c r="A1272" s="12">
        <v>38742</v>
      </c>
      <c r="B1272" s="9">
        <v>388.78</v>
      </c>
      <c r="C1272" s="9">
        <v>384.85</v>
      </c>
      <c r="D1272" s="9">
        <v>384.94</v>
      </c>
      <c r="E1272" s="9">
        <f t="shared" si="58"/>
        <v>-9.6072711057205973E-4</v>
      </c>
      <c r="F1272" s="9">
        <f t="shared" si="59"/>
        <v>1.8246193820086309E-2</v>
      </c>
      <c r="G1272" s="9">
        <f t="shared" si="60"/>
        <v>7.701372899588276E-3</v>
      </c>
    </row>
    <row r="1273" spans="1:7" x14ac:dyDescent="0.2">
      <c r="A1273" s="12">
        <v>38743</v>
      </c>
      <c r="B1273" s="9">
        <v>387.81</v>
      </c>
      <c r="C1273" s="9">
        <v>384.8</v>
      </c>
      <c r="D1273" s="9">
        <v>386.26</v>
      </c>
      <c r="E1273" s="9">
        <f t="shared" si="58"/>
        <v>3.423239857475609E-3</v>
      </c>
      <c r="F1273" s="9">
        <f t="shared" si="59"/>
        <v>2.3947278656632341E-2</v>
      </c>
      <c r="G1273" s="9">
        <f t="shared" si="60"/>
        <v>7.6980402778263363E-3</v>
      </c>
    </row>
    <row r="1274" spans="1:7" x14ac:dyDescent="0.2">
      <c r="A1274" s="12">
        <v>38744</v>
      </c>
      <c r="B1274" s="9">
        <v>391.18</v>
      </c>
      <c r="C1274" s="9">
        <v>387.35</v>
      </c>
      <c r="D1274" s="9">
        <v>390.54</v>
      </c>
      <c r="E1274" s="9">
        <f t="shared" si="58"/>
        <v>1.1019678967897656E-2</v>
      </c>
      <c r="F1274" s="9">
        <f t="shared" si="59"/>
        <v>3.13671654894584E-2</v>
      </c>
      <c r="G1274" s="9">
        <f t="shared" si="60"/>
        <v>7.9075015091499209E-3</v>
      </c>
    </row>
    <row r="1275" spans="1:7" x14ac:dyDescent="0.2">
      <c r="A1275" s="12">
        <v>38747</v>
      </c>
      <c r="B1275" s="9">
        <v>393.21</v>
      </c>
      <c r="C1275" s="9">
        <v>389.88</v>
      </c>
      <c r="D1275" s="9">
        <v>392.48</v>
      </c>
      <c r="E1275" s="9">
        <f t="shared" si="58"/>
        <v>4.9551836978283265E-3</v>
      </c>
      <c r="F1275" s="9">
        <f t="shared" si="59"/>
        <v>3.1814452748096696E-2</v>
      </c>
      <c r="G1275" s="9">
        <f t="shared" si="60"/>
        <v>7.9146732510982955E-3</v>
      </c>
    </row>
    <row r="1276" spans="1:7" x14ac:dyDescent="0.2">
      <c r="A1276" s="12">
        <v>38748</v>
      </c>
      <c r="B1276" s="9">
        <v>393.09</v>
      </c>
      <c r="C1276" s="9">
        <v>389.06</v>
      </c>
      <c r="D1276" s="9">
        <v>389.06</v>
      </c>
      <c r="E1276" s="9">
        <f t="shared" si="58"/>
        <v>-8.7520071405082309E-3</v>
      </c>
      <c r="F1276" s="9">
        <f t="shared" si="59"/>
        <v>2.0934198242969916E-2</v>
      </c>
      <c r="G1276" s="9">
        <f t="shared" si="60"/>
        <v>8.1109086708513866E-3</v>
      </c>
    </row>
    <row r="1277" spans="1:7" x14ac:dyDescent="0.2">
      <c r="A1277" s="12">
        <v>38749</v>
      </c>
      <c r="B1277" s="9">
        <v>397.55</v>
      </c>
      <c r="C1277" s="9">
        <v>389.27</v>
      </c>
      <c r="D1277" s="9">
        <v>397.51</v>
      </c>
      <c r="E1277" s="9">
        <f t="shared" si="58"/>
        <v>2.1486517640982163E-2</v>
      </c>
      <c r="F1277" s="9">
        <f t="shared" si="59"/>
        <v>3.8256171303735036E-2</v>
      </c>
      <c r="G1277" s="9">
        <f t="shared" si="60"/>
        <v>8.940355788435727E-3</v>
      </c>
    </row>
    <row r="1278" spans="1:7" x14ac:dyDescent="0.2">
      <c r="A1278" s="12">
        <v>38750</v>
      </c>
      <c r="B1278" s="9">
        <v>401.57</v>
      </c>
      <c r="C1278" s="9">
        <v>397.86</v>
      </c>
      <c r="D1278" s="9">
        <v>400.55</v>
      </c>
      <c r="E1278" s="9">
        <f t="shared" si="58"/>
        <v>7.6185116504727726E-3</v>
      </c>
      <c r="F1278" s="9">
        <f t="shared" si="59"/>
        <v>3.8063973870975709E-2</v>
      </c>
      <c r="G1278" s="9">
        <f t="shared" si="60"/>
        <v>8.9355785982414906E-3</v>
      </c>
    </row>
    <row r="1279" spans="1:7" x14ac:dyDescent="0.2">
      <c r="A1279" s="12">
        <v>38751</v>
      </c>
      <c r="B1279" s="9">
        <v>400.25</v>
      </c>
      <c r="C1279" s="9">
        <v>397.76</v>
      </c>
      <c r="D1279" s="9">
        <v>398.38</v>
      </c>
      <c r="E1279" s="9">
        <f t="shared" si="58"/>
        <v>-5.4322790139980093E-3</v>
      </c>
      <c r="F1279" s="9">
        <f t="shared" si="59"/>
        <v>3.1517142053066029E-2</v>
      </c>
      <c r="G1279" s="9">
        <f t="shared" si="60"/>
        <v>9.0190303359006293E-3</v>
      </c>
    </row>
    <row r="1280" spans="1:7" x14ac:dyDescent="0.2">
      <c r="A1280" s="12">
        <v>38754</v>
      </c>
      <c r="B1280" s="9">
        <v>397.84</v>
      </c>
      <c r="C1280" s="9">
        <v>395.1</v>
      </c>
      <c r="D1280" s="9">
        <v>397.43</v>
      </c>
      <c r="E1280" s="9">
        <f t="shared" si="58"/>
        <v>-2.3875056892084063E-3</v>
      </c>
      <c r="F1280" s="9">
        <f t="shared" si="59"/>
        <v>1.4165224754061784E-2</v>
      </c>
      <c r="G1280" s="9">
        <f t="shared" si="60"/>
        <v>8.6445786507363988E-3</v>
      </c>
    </row>
    <row r="1281" spans="1:7" x14ac:dyDescent="0.2">
      <c r="A1281" s="12">
        <v>38755</v>
      </c>
      <c r="B1281" s="9">
        <v>396.45</v>
      </c>
      <c r="C1281" s="9">
        <v>388.61</v>
      </c>
      <c r="D1281" s="9">
        <v>389.83</v>
      </c>
      <c r="E1281" s="9">
        <f t="shared" si="58"/>
        <v>-1.9308071301028882E-2</v>
      </c>
      <c r="F1281" s="9">
        <f t="shared" si="59"/>
        <v>-1.1781642884208032E-2</v>
      </c>
      <c r="G1281" s="9">
        <f t="shared" si="60"/>
        <v>9.2809092364755999E-3</v>
      </c>
    </row>
    <row r="1282" spans="1:7" x14ac:dyDescent="0.2">
      <c r="A1282" s="12">
        <v>38756</v>
      </c>
      <c r="B1282" s="9">
        <v>391.65</v>
      </c>
      <c r="C1282" s="9">
        <v>384.82</v>
      </c>
      <c r="D1282" s="9">
        <v>390.91</v>
      </c>
      <c r="E1282" s="9">
        <f t="shared" si="58"/>
        <v>2.7666078050840484E-3</v>
      </c>
      <c r="F1282" s="9">
        <f t="shared" si="59"/>
        <v>-5.3577023761816351E-3</v>
      </c>
      <c r="G1282" s="9">
        <f t="shared" si="60"/>
        <v>9.277096600668085E-3</v>
      </c>
    </row>
    <row r="1283" spans="1:7" x14ac:dyDescent="0.2">
      <c r="A1283" s="12">
        <v>38757</v>
      </c>
      <c r="B1283" s="9">
        <v>391.98</v>
      </c>
      <c r="C1283" s="9">
        <v>389.06</v>
      </c>
      <c r="D1283" s="9">
        <v>389.45</v>
      </c>
      <c r="E1283" s="9">
        <f t="shared" si="58"/>
        <v>-3.7418670960170115E-3</v>
      </c>
      <c r="F1283" s="9">
        <f t="shared" si="59"/>
        <v>-1.4226224018245718E-2</v>
      </c>
      <c r="G1283" s="9">
        <f t="shared" si="60"/>
        <v>9.2434520200585131E-3</v>
      </c>
    </row>
    <row r="1284" spans="1:7" x14ac:dyDescent="0.2">
      <c r="A1284" s="12">
        <v>38758</v>
      </c>
      <c r="B1284" s="9">
        <v>388.91</v>
      </c>
      <c r="C1284" s="9">
        <v>383.51</v>
      </c>
      <c r="D1284" s="9">
        <v>385.1</v>
      </c>
      <c r="E1284" s="9">
        <f t="shared" ref="E1284:E1347" si="61">LN(D1284/D1283)</f>
        <v>-1.1232446545094256E-2</v>
      </c>
      <c r="F1284" s="9">
        <f t="shared" si="59"/>
        <v>-2.1628851666221045E-2</v>
      </c>
      <c r="G1284" s="9">
        <f t="shared" si="60"/>
        <v>9.432982675046676E-3</v>
      </c>
    </row>
    <row r="1285" spans="1:7" x14ac:dyDescent="0.2">
      <c r="A1285" s="12">
        <v>38761</v>
      </c>
      <c r="B1285" s="9">
        <v>388.49</v>
      </c>
      <c r="C1285" s="9">
        <v>385.25</v>
      </c>
      <c r="D1285" s="9">
        <v>388.33</v>
      </c>
      <c r="E1285" s="9">
        <f t="shared" si="61"/>
        <v>8.3524527830007977E-3</v>
      </c>
      <c r="F1285" s="9">
        <f t="shared" si="59"/>
        <v>-2.8408332927599048E-2</v>
      </c>
      <c r="G1285" s="9">
        <f t="shared" si="60"/>
        <v>9.1159848302633587E-3</v>
      </c>
    </row>
    <row r="1286" spans="1:7" x14ac:dyDescent="0.2">
      <c r="A1286" s="12">
        <v>38762</v>
      </c>
      <c r="B1286" s="9">
        <v>391.03</v>
      </c>
      <c r="C1286" s="9">
        <v>388.21</v>
      </c>
      <c r="D1286" s="9">
        <v>389.22</v>
      </c>
      <c r="E1286" s="9">
        <f t="shared" si="61"/>
        <v>2.2892428491550982E-3</v>
      </c>
      <c r="F1286" s="9">
        <f t="shared" si="59"/>
        <v>-2.4139759648332017E-2</v>
      </c>
      <c r="G1286" s="9">
        <f t="shared" si="60"/>
        <v>9.1326129005381545E-3</v>
      </c>
    </row>
    <row r="1287" spans="1:7" x14ac:dyDescent="0.2">
      <c r="A1287" s="12">
        <v>38763</v>
      </c>
      <c r="B1287" s="9">
        <v>389.11</v>
      </c>
      <c r="C1287" s="9">
        <v>386.89</v>
      </c>
      <c r="D1287" s="9">
        <v>387.03</v>
      </c>
      <c r="E1287" s="9">
        <f t="shared" si="61"/>
        <v>-5.642527047864305E-3</v>
      </c>
      <c r="F1287" s="9">
        <f t="shared" si="59"/>
        <v>-3.2737312386529722E-2</v>
      </c>
      <c r="G1287" s="9">
        <f t="shared" si="60"/>
        <v>9.1454525106575545E-3</v>
      </c>
    </row>
    <row r="1288" spans="1:7" x14ac:dyDescent="0.2">
      <c r="A1288" s="12">
        <v>38764</v>
      </c>
      <c r="B1288" s="9">
        <v>390.93</v>
      </c>
      <c r="C1288" s="9">
        <v>387.2</v>
      </c>
      <c r="D1288" s="9">
        <v>390.04</v>
      </c>
      <c r="E1288" s="9">
        <f t="shared" si="61"/>
        <v>7.7470885617633876E-3</v>
      </c>
      <c r="F1288" s="9">
        <f t="shared" si="59"/>
        <v>-1.2104679990968236E-2</v>
      </c>
      <c r="G1288" s="9">
        <f t="shared" si="60"/>
        <v>9.0026053059767269E-3</v>
      </c>
    </row>
    <row r="1289" spans="1:7" x14ac:dyDescent="0.2">
      <c r="A1289" s="12">
        <v>38765</v>
      </c>
      <c r="B1289" s="9">
        <v>391.87</v>
      </c>
      <c r="C1289" s="9">
        <v>389.11</v>
      </c>
      <c r="D1289" s="9">
        <v>390.93</v>
      </c>
      <c r="E1289" s="9">
        <f t="shared" si="61"/>
        <v>2.2792178580061067E-3</v>
      </c>
      <c r="F1289" s="9">
        <f t="shared" si="59"/>
        <v>-4.3476593654417608E-4</v>
      </c>
      <c r="G1289" s="9">
        <f t="shared" si="60"/>
        <v>8.8517437091732969E-3</v>
      </c>
    </row>
    <row r="1290" spans="1:7" x14ac:dyDescent="0.2">
      <c r="A1290" s="12">
        <v>38768</v>
      </c>
      <c r="B1290" s="9">
        <v>392.77</v>
      </c>
      <c r="C1290" s="9">
        <v>390.62</v>
      </c>
      <c r="D1290" s="9">
        <v>391.96</v>
      </c>
      <c r="E1290" s="9">
        <f t="shared" si="61"/>
        <v>2.6312779426933288E-3</v>
      </c>
      <c r="F1290" s="9">
        <f t="shared" si="59"/>
        <v>2.1198082233367119E-3</v>
      </c>
      <c r="G1290" s="9">
        <f t="shared" si="60"/>
        <v>8.8649287464687091E-3</v>
      </c>
    </row>
    <row r="1291" spans="1:7" x14ac:dyDescent="0.2">
      <c r="A1291" s="12">
        <v>38769</v>
      </c>
      <c r="B1291" s="9">
        <v>394.25</v>
      </c>
      <c r="C1291" s="9">
        <v>391.79</v>
      </c>
      <c r="D1291" s="9">
        <v>394.14</v>
      </c>
      <c r="E1291" s="9">
        <f t="shared" si="61"/>
        <v>5.5463823648188556E-3</v>
      </c>
      <c r="F1291" s="9">
        <f t="shared" si="59"/>
        <v>1.3821160907769806E-2</v>
      </c>
      <c r="G1291" s="9">
        <f t="shared" si="60"/>
        <v>8.8389476860191891E-3</v>
      </c>
    </row>
    <row r="1292" spans="1:7" x14ac:dyDescent="0.2">
      <c r="A1292" s="12">
        <v>38770</v>
      </c>
      <c r="B1292" s="9">
        <v>395.16</v>
      </c>
      <c r="C1292" s="9">
        <v>392.79</v>
      </c>
      <c r="D1292" s="9">
        <v>394.41</v>
      </c>
      <c r="E1292" s="9">
        <f t="shared" si="61"/>
        <v>6.8480124418620442E-4</v>
      </c>
      <c r="F1292" s="9">
        <f t="shared" si="59"/>
        <v>6.8436785240287889E-3</v>
      </c>
      <c r="G1292" s="9">
        <f t="shared" si="60"/>
        <v>8.7340939903619973E-3</v>
      </c>
    </row>
    <row r="1293" spans="1:7" x14ac:dyDescent="0.2">
      <c r="A1293" s="12">
        <v>38771</v>
      </c>
      <c r="B1293" s="9">
        <v>397</v>
      </c>
      <c r="C1293" s="9">
        <v>391.81</v>
      </c>
      <c r="D1293" s="9">
        <v>391.87</v>
      </c>
      <c r="E1293" s="9">
        <f t="shared" si="61"/>
        <v>-6.4608252414903589E-3</v>
      </c>
      <c r="F1293" s="9">
        <f t="shared" si="59"/>
        <v>-9.9788810333329946E-3</v>
      </c>
      <c r="G1293" s="9">
        <f t="shared" si="60"/>
        <v>8.6000525076163348E-3</v>
      </c>
    </row>
    <row r="1294" spans="1:7" x14ac:dyDescent="0.2">
      <c r="A1294" s="12">
        <v>38772</v>
      </c>
      <c r="B1294" s="9">
        <v>394.54</v>
      </c>
      <c r="C1294" s="9">
        <v>391.66</v>
      </c>
      <c r="D1294" s="9">
        <v>394.44</v>
      </c>
      <c r="E1294" s="9">
        <f t="shared" si="61"/>
        <v>6.5368853289960813E-3</v>
      </c>
      <c r="F1294" s="9">
        <f t="shared" si="59"/>
        <v>5.6951237018823663E-3</v>
      </c>
      <c r="G1294" s="9">
        <f t="shared" si="60"/>
        <v>8.5224818926984882E-3</v>
      </c>
    </row>
    <row r="1295" spans="1:7" x14ac:dyDescent="0.2">
      <c r="A1295" s="12">
        <v>38775</v>
      </c>
      <c r="B1295" s="9">
        <v>396.85</v>
      </c>
      <c r="C1295" s="9">
        <v>393.97</v>
      </c>
      <c r="D1295" s="9">
        <v>396.4</v>
      </c>
      <c r="E1295" s="9">
        <f t="shared" si="61"/>
        <v>4.9567649917045976E-3</v>
      </c>
      <c r="F1295" s="9">
        <f t="shared" si="59"/>
        <v>7.6985793521489234E-3</v>
      </c>
      <c r="G1295" s="9">
        <f t="shared" si="60"/>
        <v>8.552679067083277E-3</v>
      </c>
    </row>
    <row r="1296" spans="1:7" x14ac:dyDescent="0.2">
      <c r="A1296" s="12">
        <v>38776</v>
      </c>
      <c r="B1296" s="9">
        <v>397.33</v>
      </c>
      <c r="C1296" s="9">
        <v>389.75</v>
      </c>
      <c r="D1296" s="9">
        <v>390.64</v>
      </c>
      <c r="E1296" s="9">
        <f t="shared" si="61"/>
        <v>-1.4637382702428045E-2</v>
      </c>
      <c r="F1296" s="9">
        <f t="shared" si="59"/>
        <v>7.9388456991061297E-4</v>
      </c>
      <c r="G1296" s="9">
        <f t="shared" si="60"/>
        <v>8.8623853781382763E-3</v>
      </c>
    </row>
    <row r="1297" spans="1:7" x14ac:dyDescent="0.2">
      <c r="A1297" s="12">
        <v>38777</v>
      </c>
      <c r="B1297" s="9">
        <v>393.51</v>
      </c>
      <c r="C1297" s="9">
        <v>389.58</v>
      </c>
      <c r="D1297" s="9">
        <v>393.1</v>
      </c>
      <c r="E1297" s="9">
        <f t="shared" si="61"/>
        <v>6.2776126744098215E-3</v>
      </c>
      <c r="F1297" s="9">
        <f t="shared" si="59"/>
        <v>1.6699332516840613E-2</v>
      </c>
      <c r="G1297" s="9">
        <f t="shared" si="60"/>
        <v>8.739827565154519E-3</v>
      </c>
    </row>
    <row r="1298" spans="1:7" x14ac:dyDescent="0.2">
      <c r="A1298" s="12">
        <v>38778</v>
      </c>
      <c r="B1298" s="9">
        <v>397.84</v>
      </c>
      <c r="C1298" s="9">
        <v>392.37</v>
      </c>
      <c r="D1298" s="9">
        <v>393.87</v>
      </c>
      <c r="E1298" s="9">
        <f t="shared" si="61"/>
        <v>1.9568731863139023E-3</v>
      </c>
      <c r="F1298" s="9">
        <f t="shared" si="59"/>
        <v>1.5350673679557022E-2</v>
      </c>
      <c r="G1298" s="9">
        <f t="shared" si="60"/>
        <v>8.7286618999952263E-3</v>
      </c>
    </row>
    <row r="1299" spans="1:7" x14ac:dyDescent="0.2">
      <c r="A1299" s="12">
        <v>38779</v>
      </c>
      <c r="B1299" s="9">
        <v>396.59</v>
      </c>
      <c r="C1299" s="9">
        <v>331.04</v>
      </c>
      <c r="D1299" s="9">
        <v>395.7</v>
      </c>
      <c r="E1299" s="9">
        <f t="shared" si="61"/>
        <v>4.6354427772498114E-3</v>
      </c>
      <c r="F1299" s="9">
        <f t="shared" si="59"/>
        <v>2.8842606913188865E-2</v>
      </c>
      <c r="G1299" s="9">
        <f t="shared" si="60"/>
        <v>8.5755696138705272E-3</v>
      </c>
    </row>
    <row r="1300" spans="1:7" x14ac:dyDescent="0.2">
      <c r="A1300" s="12">
        <v>38782</v>
      </c>
      <c r="B1300" s="9">
        <v>399</v>
      </c>
      <c r="C1300" s="9">
        <v>396</v>
      </c>
      <c r="D1300" s="9">
        <v>397.09</v>
      </c>
      <c r="E1300" s="9">
        <f t="shared" si="61"/>
        <v>3.5066068550816958E-3</v>
      </c>
      <c r="F1300" s="9">
        <f t="shared" si="59"/>
        <v>4.2387726425843673E-2</v>
      </c>
      <c r="G1300" s="9">
        <f t="shared" si="60"/>
        <v>8.329497248273577E-3</v>
      </c>
    </row>
    <row r="1301" spans="1:7" x14ac:dyDescent="0.2">
      <c r="A1301" s="12">
        <v>38783</v>
      </c>
      <c r="B1301" s="9">
        <v>396.55</v>
      </c>
      <c r="C1301" s="9">
        <v>391.92</v>
      </c>
      <c r="D1301" s="9">
        <v>392.13</v>
      </c>
      <c r="E1301" s="9">
        <f t="shared" si="61"/>
        <v>-1.2569537780890282E-2</v>
      </c>
      <c r="F1301" s="9">
        <f t="shared" si="59"/>
        <v>1.7545212368020199E-2</v>
      </c>
      <c r="G1301" s="9">
        <f t="shared" si="60"/>
        <v>8.4466521362406184E-3</v>
      </c>
    </row>
    <row r="1302" spans="1:7" x14ac:dyDescent="0.2">
      <c r="A1302" s="12">
        <v>38784</v>
      </c>
      <c r="B1302" s="9">
        <v>394.16</v>
      </c>
      <c r="C1302" s="9">
        <v>389.3</v>
      </c>
      <c r="D1302" s="9">
        <v>390.07</v>
      </c>
      <c r="E1302" s="9">
        <f t="shared" si="61"/>
        <v>-5.267207268287462E-3</v>
      </c>
      <c r="F1302" s="9">
        <f t="shared" si="59"/>
        <v>1.323873221030485E-2</v>
      </c>
      <c r="G1302" s="9">
        <f t="shared" si="60"/>
        <v>8.5101795591061673E-3</v>
      </c>
    </row>
    <row r="1303" spans="1:7" x14ac:dyDescent="0.2">
      <c r="A1303" s="12">
        <v>38785</v>
      </c>
      <c r="B1303" s="9">
        <v>393.36</v>
      </c>
      <c r="C1303" s="9">
        <v>390.51</v>
      </c>
      <c r="D1303" s="9">
        <v>393.05</v>
      </c>
      <c r="E1303" s="9">
        <f t="shared" si="61"/>
        <v>7.6106200424828109E-3</v>
      </c>
      <c r="F1303" s="9">
        <f t="shared" si="59"/>
        <v>1.7426112395312256E-2</v>
      </c>
      <c r="G1303" s="9">
        <f t="shared" si="60"/>
        <v>8.5946942640291405E-3</v>
      </c>
    </row>
    <row r="1304" spans="1:7" x14ac:dyDescent="0.2">
      <c r="A1304" s="12">
        <v>38786</v>
      </c>
      <c r="B1304" s="9">
        <v>395.53</v>
      </c>
      <c r="C1304" s="9">
        <v>392.82</v>
      </c>
      <c r="D1304" s="9">
        <v>395.36</v>
      </c>
      <c r="E1304" s="9">
        <f t="shared" si="61"/>
        <v>5.8599120005344884E-3</v>
      </c>
      <c r="F1304" s="9">
        <f t="shared" si="59"/>
        <v>1.2266345427949053E-2</v>
      </c>
      <c r="G1304" s="9">
        <f t="shared" si="60"/>
        <v>8.4286179819262914E-3</v>
      </c>
    </row>
    <row r="1305" spans="1:7" x14ac:dyDescent="0.2">
      <c r="A1305" s="12">
        <v>38789</v>
      </c>
      <c r="B1305" s="9">
        <v>399.08</v>
      </c>
      <c r="C1305" s="9">
        <v>395.8</v>
      </c>
      <c r="D1305" s="9">
        <v>398.86</v>
      </c>
      <c r="E1305" s="9">
        <f t="shared" si="61"/>
        <v>8.8137358847756569E-3</v>
      </c>
      <c r="F1305" s="9">
        <f t="shared" si="59"/>
        <v>1.6124897614896442E-2</v>
      </c>
      <c r="G1305" s="9">
        <f t="shared" si="60"/>
        <v>8.5292253959821512E-3</v>
      </c>
    </row>
    <row r="1306" spans="1:7" x14ac:dyDescent="0.2">
      <c r="A1306" s="12">
        <v>38790</v>
      </c>
      <c r="B1306" s="9">
        <v>399.94</v>
      </c>
      <c r="C1306" s="9">
        <v>397.91</v>
      </c>
      <c r="D1306" s="9">
        <v>399.4</v>
      </c>
      <c r="E1306" s="9">
        <f t="shared" si="61"/>
        <v>1.3529428566393157E-3</v>
      </c>
      <c r="F1306" s="9">
        <f t="shared" si="59"/>
        <v>2.6229847612043739E-2</v>
      </c>
      <c r="G1306" s="9">
        <f t="shared" si="60"/>
        <v>8.3473086634666144E-3</v>
      </c>
    </row>
    <row r="1307" spans="1:7" x14ac:dyDescent="0.2">
      <c r="A1307" s="12">
        <v>38791</v>
      </c>
      <c r="B1307" s="9">
        <v>402.91</v>
      </c>
      <c r="C1307" s="9">
        <v>396.96</v>
      </c>
      <c r="D1307" s="9">
        <v>401.42</v>
      </c>
      <c r="E1307" s="9">
        <f t="shared" si="61"/>
        <v>5.0448397496322388E-3</v>
      </c>
      <c r="F1307" s="9">
        <f t="shared" si="59"/>
        <v>9.7881697206939795E-3</v>
      </c>
      <c r="G1307" s="9">
        <f t="shared" si="60"/>
        <v>7.4374846311316264E-3</v>
      </c>
    </row>
    <row r="1308" spans="1:7" x14ac:dyDescent="0.2">
      <c r="A1308" s="12">
        <v>38792</v>
      </c>
      <c r="B1308" s="9">
        <v>402.47</v>
      </c>
      <c r="C1308" s="9">
        <v>399.31</v>
      </c>
      <c r="D1308" s="9">
        <v>400.71</v>
      </c>
      <c r="E1308" s="9">
        <f t="shared" si="61"/>
        <v>-1.770287074223411E-3</v>
      </c>
      <c r="F1308" s="9">
        <f t="shared" si="59"/>
        <v>3.9937099599770924E-4</v>
      </c>
      <c r="G1308" s="9">
        <f t="shared" si="60"/>
        <v>7.316607562246248E-3</v>
      </c>
    </row>
    <row r="1309" spans="1:7" x14ac:dyDescent="0.2">
      <c r="A1309" s="12">
        <v>38793</v>
      </c>
      <c r="B1309" s="9">
        <v>403.46</v>
      </c>
      <c r="C1309" s="9">
        <v>398.62</v>
      </c>
      <c r="D1309" s="9">
        <v>398.75</v>
      </c>
      <c r="E1309" s="9">
        <f t="shared" si="61"/>
        <v>-4.903319558069272E-3</v>
      </c>
      <c r="F1309" s="9">
        <f t="shared" si="59"/>
        <v>9.2833045192659423E-4</v>
      </c>
      <c r="G1309" s="9">
        <f t="shared" si="60"/>
        <v>7.3036578407138855E-3</v>
      </c>
    </row>
    <row r="1310" spans="1:7" x14ac:dyDescent="0.2">
      <c r="A1310" s="12">
        <v>38796</v>
      </c>
      <c r="B1310" s="9">
        <v>404.36</v>
      </c>
      <c r="C1310" s="9">
        <v>398.97</v>
      </c>
      <c r="D1310" s="9">
        <v>403.63</v>
      </c>
      <c r="E1310" s="9">
        <f t="shared" si="61"/>
        <v>1.2163962638798717E-2</v>
      </c>
      <c r="F1310" s="9">
        <f t="shared" si="59"/>
        <v>1.5479798779933626E-2</v>
      </c>
      <c r="G1310" s="9">
        <f t="shared" si="60"/>
        <v>7.6141025591880832E-3</v>
      </c>
    </row>
    <row r="1311" spans="1:7" x14ac:dyDescent="0.2">
      <c r="A1311" s="12">
        <v>38797</v>
      </c>
      <c r="B1311" s="9">
        <v>404.62</v>
      </c>
      <c r="C1311" s="9">
        <v>401.75</v>
      </c>
      <c r="D1311" s="9">
        <v>402.48</v>
      </c>
      <c r="E1311" s="9">
        <f t="shared" si="61"/>
        <v>-2.8532105547899793E-3</v>
      </c>
      <c r="F1311" s="9">
        <f t="shared" si="59"/>
        <v>3.193465952617263E-2</v>
      </c>
      <c r="G1311" s="9">
        <f t="shared" si="60"/>
        <v>6.6710769395919422E-3</v>
      </c>
    </row>
    <row r="1312" spans="1:7" x14ac:dyDescent="0.2">
      <c r="A1312" s="12">
        <v>38798</v>
      </c>
      <c r="B1312" s="9">
        <v>405.6</v>
      </c>
      <c r="C1312" s="9">
        <v>400.17</v>
      </c>
      <c r="D1312" s="9">
        <v>405.33</v>
      </c>
      <c r="E1312" s="9">
        <f t="shared" si="61"/>
        <v>7.0561439569143151E-3</v>
      </c>
      <c r="F1312" s="9">
        <f t="shared" si="59"/>
        <v>3.6224195678002981E-2</v>
      </c>
      <c r="G1312" s="9">
        <f t="shared" si="60"/>
        <v>6.7542684966731686E-3</v>
      </c>
    </row>
    <row r="1313" spans="1:7" x14ac:dyDescent="0.2">
      <c r="A1313" s="12">
        <v>38799</v>
      </c>
      <c r="B1313" s="9">
        <v>405.67</v>
      </c>
      <c r="C1313" s="9">
        <v>404.42</v>
      </c>
      <c r="D1313" s="9">
        <v>404.43</v>
      </c>
      <c r="E1313" s="9">
        <f t="shared" si="61"/>
        <v>-2.2228817688949259E-3</v>
      </c>
      <c r="F1313" s="9">
        <f t="shared" ref="F1313:F1376" si="62">LN(D1313/D1283)</f>
        <v>3.7743181005124804E-2</v>
      </c>
      <c r="G1313" s="9">
        <f t="shared" si="60"/>
        <v>6.7215007564797608E-3</v>
      </c>
    </row>
    <row r="1314" spans="1:7" x14ac:dyDescent="0.2">
      <c r="A1314" s="12">
        <v>38800</v>
      </c>
      <c r="B1314" s="9">
        <v>406.5</v>
      </c>
      <c r="C1314" s="9">
        <v>404.06</v>
      </c>
      <c r="D1314" s="9">
        <v>404.32</v>
      </c>
      <c r="E1314" s="9">
        <f t="shared" si="61"/>
        <v>-2.720247311983819E-4</v>
      </c>
      <c r="F1314" s="9">
        <f t="shared" si="62"/>
        <v>4.8703602819020912E-2</v>
      </c>
      <c r="G1314" s="9">
        <f t="shared" si="60"/>
        <v>6.3040808760322807E-3</v>
      </c>
    </row>
    <row r="1315" spans="1:7" x14ac:dyDescent="0.2">
      <c r="A1315" s="12">
        <v>38803</v>
      </c>
      <c r="B1315" s="9">
        <v>408.16</v>
      </c>
      <c r="C1315" s="9">
        <v>404.47</v>
      </c>
      <c r="D1315" s="9">
        <v>407.56</v>
      </c>
      <c r="E1315" s="9">
        <f t="shared" si="61"/>
        <v>7.9815174662004017E-3</v>
      </c>
      <c r="F1315" s="9">
        <f t="shared" si="62"/>
        <v>4.8332667502220684E-2</v>
      </c>
      <c r="G1315" s="9">
        <f t="shared" si="60"/>
        <v>6.2907775809464559E-3</v>
      </c>
    </row>
    <row r="1316" spans="1:7" x14ac:dyDescent="0.2">
      <c r="A1316" s="12">
        <v>38804</v>
      </c>
      <c r="B1316" s="9">
        <v>410.05</v>
      </c>
      <c r="C1316" s="9">
        <v>407.07</v>
      </c>
      <c r="D1316" s="9">
        <v>407.89</v>
      </c>
      <c r="E1316" s="9">
        <f t="shared" si="61"/>
        <v>8.0936910421144416E-4</v>
      </c>
      <c r="F1316" s="9">
        <f t="shared" si="62"/>
        <v>4.6852793757277023E-2</v>
      </c>
      <c r="G1316" s="9">
        <f t="shared" si="60"/>
        <v>6.2910786741342921E-3</v>
      </c>
    </row>
    <row r="1317" spans="1:7" x14ac:dyDescent="0.2">
      <c r="A1317" s="12">
        <v>38805</v>
      </c>
      <c r="B1317" s="9">
        <v>410.14</v>
      </c>
      <c r="C1317" s="9">
        <v>385.85</v>
      </c>
      <c r="D1317" s="9">
        <v>391.25</v>
      </c>
      <c r="E1317" s="9">
        <f t="shared" si="61"/>
        <v>-4.1650788355933152E-2</v>
      </c>
      <c r="F1317" s="9">
        <f t="shared" si="62"/>
        <v>1.084453244920815E-2</v>
      </c>
      <c r="G1317" s="9">
        <f t="shared" si="60"/>
        <v>1.0034346524065599E-2</v>
      </c>
    </row>
    <row r="1318" spans="1:7" x14ac:dyDescent="0.2">
      <c r="A1318" s="12">
        <v>38806</v>
      </c>
      <c r="B1318" s="9">
        <v>393.5</v>
      </c>
      <c r="C1318" s="9">
        <v>390.44</v>
      </c>
      <c r="D1318" s="9">
        <v>391.51</v>
      </c>
      <c r="E1318" s="9">
        <f t="shared" si="61"/>
        <v>6.6431603444701824E-4</v>
      </c>
      <c r="F1318" s="9">
        <f t="shared" si="62"/>
        <v>3.761759921891586E-3</v>
      </c>
      <c r="G1318" s="9">
        <f t="shared" si="60"/>
        <v>9.9374380315107036E-3</v>
      </c>
    </row>
    <row r="1319" spans="1:7" x14ac:dyDescent="0.2">
      <c r="A1319" s="12">
        <v>38807</v>
      </c>
      <c r="B1319" s="9">
        <v>396.22</v>
      </c>
      <c r="C1319" s="9">
        <v>391.15</v>
      </c>
      <c r="D1319" s="9">
        <v>395.12</v>
      </c>
      <c r="E1319" s="9">
        <f t="shared" si="61"/>
        <v>9.1784583435595563E-3</v>
      </c>
      <c r="F1319" s="9">
        <f t="shared" si="62"/>
        <v>1.0661000407445118E-2</v>
      </c>
      <c r="G1319" s="9">
        <f t="shared" ref="G1319:G1382" si="63">STDEV(E1290:E1319)</f>
        <v>1.0067975788849553E-2</v>
      </c>
    </row>
    <row r="1320" spans="1:7" x14ac:dyDescent="0.2">
      <c r="A1320" s="12">
        <v>38810</v>
      </c>
      <c r="B1320" s="9">
        <v>398.77</v>
      </c>
      <c r="C1320" s="9">
        <v>395.56</v>
      </c>
      <c r="D1320" s="9">
        <v>398.61</v>
      </c>
      <c r="E1320" s="9">
        <f t="shared" si="61"/>
        <v>8.7939790389567757E-3</v>
      </c>
      <c r="F1320" s="9">
        <f t="shared" si="62"/>
        <v>1.6823701503708502E-2</v>
      </c>
      <c r="G1320" s="9">
        <f t="shared" si="63"/>
        <v>1.0178280461948267E-2</v>
      </c>
    </row>
    <row r="1321" spans="1:7" x14ac:dyDescent="0.2">
      <c r="A1321" s="12">
        <v>38811</v>
      </c>
      <c r="B1321" s="9">
        <v>400.61</v>
      </c>
      <c r="C1321" s="9">
        <v>397.26</v>
      </c>
      <c r="D1321" s="9">
        <v>398.52</v>
      </c>
      <c r="E1321" s="9">
        <f t="shared" si="61"/>
        <v>-2.2581009467077215E-4</v>
      </c>
      <c r="F1321" s="9">
        <f t="shared" si="62"/>
        <v>1.1051509044218984E-2</v>
      </c>
      <c r="G1321" s="9">
        <f t="shared" si="63"/>
        <v>1.0135251564337989E-2</v>
      </c>
    </row>
    <row r="1322" spans="1:7" x14ac:dyDescent="0.2">
      <c r="A1322" s="12">
        <v>38812</v>
      </c>
      <c r="B1322" s="9">
        <v>402.51</v>
      </c>
      <c r="C1322" s="9">
        <v>398.41</v>
      </c>
      <c r="D1322" s="9">
        <v>401.79</v>
      </c>
      <c r="E1322" s="9">
        <f t="shared" si="61"/>
        <v>8.1718788904851132E-3</v>
      </c>
      <c r="F1322" s="9">
        <f t="shared" si="62"/>
        <v>1.8538586690517951E-2</v>
      </c>
      <c r="G1322" s="9">
        <f t="shared" si="63"/>
        <v>1.0235001267814089E-2</v>
      </c>
    </row>
    <row r="1323" spans="1:7" x14ac:dyDescent="0.2">
      <c r="A1323" s="12">
        <v>38813</v>
      </c>
      <c r="B1323" s="9">
        <v>405.66</v>
      </c>
      <c r="C1323" s="9">
        <v>401.86</v>
      </c>
      <c r="D1323" s="9">
        <v>404.61</v>
      </c>
      <c r="E1323" s="9">
        <f t="shared" si="61"/>
        <v>6.994076129735423E-3</v>
      </c>
      <c r="F1323" s="9">
        <f t="shared" si="62"/>
        <v>3.1993488061743645E-2</v>
      </c>
      <c r="G1323" s="9">
        <f t="shared" si="63"/>
        <v>1.0208876540446256E-2</v>
      </c>
    </row>
    <row r="1324" spans="1:7" x14ac:dyDescent="0.2">
      <c r="A1324" s="12">
        <v>38814</v>
      </c>
      <c r="B1324" s="9">
        <v>407.36</v>
      </c>
      <c r="C1324" s="9">
        <v>404.38</v>
      </c>
      <c r="D1324" s="9">
        <v>404.91</v>
      </c>
      <c r="E1324" s="9">
        <f t="shared" si="61"/>
        <v>7.4117999242431505E-4</v>
      </c>
      <c r="F1324" s="9">
        <f t="shared" si="62"/>
        <v>2.619778272517195E-2</v>
      </c>
      <c r="G1324" s="9">
        <f t="shared" si="63"/>
        <v>1.0156489527688927E-2</v>
      </c>
    </row>
    <row r="1325" spans="1:7" x14ac:dyDescent="0.2">
      <c r="A1325" s="12">
        <v>38817</v>
      </c>
      <c r="B1325" s="9">
        <v>406.14</v>
      </c>
      <c r="C1325" s="9">
        <v>403.46</v>
      </c>
      <c r="D1325" s="9">
        <v>403.91</v>
      </c>
      <c r="E1325" s="9">
        <f t="shared" si="61"/>
        <v>-2.472739322807508E-3</v>
      </c>
      <c r="F1325" s="9">
        <f t="shared" si="62"/>
        <v>1.8768278410660075E-2</v>
      </c>
      <c r="G1325" s="9">
        <f t="shared" si="63"/>
        <v>1.0144056996906826E-2</v>
      </c>
    </row>
    <row r="1326" spans="1:7" x14ac:dyDescent="0.2">
      <c r="A1326" s="12">
        <v>38818</v>
      </c>
      <c r="B1326" s="9">
        <v>404.38</v>
      </c>
      <c r="C1326" s="9">
        <v>400.84</v>
      </c>
      <c r="D1326" s="9">
        <v>400.84</v>
      </c>
      <c r="E1326" s="9">
        <f t="shared" si="61"/>
        <v>-7.6297356763648325E-3</v>
      </c>
      <c r="F1326" s="9">
        <f t="shared" si="62"/>
        <v>2.5775925436723343E-2</v>
      </c>
      <c r="G1326" s="9">
        <f t="shared" si="63"/>
        <v>9.8570992629879711E-3</v>
      </c>
    </row>
    <row r="1327" spans="1:7" x14ac:dyDescent="0.2">
      <c r="A1327" s="12">
        <v>38819</v>
      </c>
      <c r="B1327" s="9">
        <v>400.73</v>
      </c>
      <c r="C1327" s="9">
        <v>395.69</v>
      </c>
      <c r="D1327" s="9">
        <v>396.3</v>
      </c>
      <c r="E1327" s="9">
        <f t="shared" si="61"/>
        <v>-1.1390844993738726E-2</v>
      </c>
      <c r="F1327" s="9">
        <f t="shared" si="62"/>
        <v>8.1074677685746086E-3</v>
      </c>
      <c r="G1327" s="9">
        <f t="shared" si="63"/>
        <v>1.0048174093747879E-2</v>
      </c>
    </row>
    <row r="1328" spans="1:7" x14ac:dyDescent="0.2">
      <c r="A1328" s="12">
        <v>38825</v>
      </c>
      <c r="B1328" s="9">
        <v>396.82</v>
      </c>
      <c r="C1328" s="9">
        <v>394.14</v>
      </c>
      <c r="D1328" s="9">
        <v>395.68</v>
      </c>
      <c r="E1328" s="9">
        <f t="shared" si="61"/>
        <v>-1.5656964232832595E-3</v>
      </c>
      <c r="F1328" s="9">
        <f t="shared" si="62"/>
        <v>4.5848981589773213E-3</v>
      </c>
      <c r="G1328" s="9">
        <f t="shared" si="63"/>
        <v>1.0048366917070034E-2</v>
      </c>
    </row>
    <row r="1329" spans="1:7" x14ac:dyDescent="0.2">
      <c r="A1329" s="12">
        <v>38826</v>
      </c>
      <c r="B1329" s="9">
        <v>398.69</v>
      </c>
      <c r="C1329" s="9">
        <v>393.31</v>
      </c>
      <c r="D1329" s="9">
        <v>394.11</v>
      </c>
      <c r="E1329" s="9">
        <f t="shared" si="61"/>
        <v>-3.9757456235797401E-3</v>
      </c>
      <c r="F1329" s="9">
        <f t="shared" si="62"/>
        <v>-4.0262902418522076E-3</v>
      </c>
      <c r="G1329" s="9">
        <f t="shared" si="63"/>
        <v>1.0038890272893654E-2</v>
      </c>
    </row>
    <row r="1330" spans="1:7" x14ac:dyDescent="0.2">
      <c r="A1330" s="12">
        <v>38827</v>
      </c>
      <c r="B1330" s="9">
        <v>395.46</v>
      </c>
      <c r="C1330" s="9">
        <v>392.83</v>
      </c>
      <c r="D1330" s="9">
        <v>395.18</v>
      </c>
      <c r="E1330" s="9">
        <f t="shared" si="61"/>
        <v>2.7112991561450413E-3</v>
      </c>
      <c r="F1330" s="9">
        <f t="shared" si="62"/>
        <v>-4.8215979407889705E-3</v>
      </c>
      <c r="G1330" s="9">
        <f t="shared" si="63"/>
        <v>1.0029990392810757E-2</v>
      </c>
    </row>
    <row r="1331" spans="1:7" x14ac:dyDescent="0.2">
      <c r="A1331" s="12">
        <v>38828</v>
      </c>
      <c r="B1331" s="9">
        <v>400.77</v>
      </c>
      <c r="C1331" s="9">
        <v>394.85</v>
      </c>
      <c r="D1331" s="9">
        <v>400.33</v>
      </c>
      <c r="E1331" s="9">
        <f t="shared" si="61"/>
        <v>1.2947849676866701E-2</v>
      </c>
      <c r="F1331" s="9">
        <f t="shared" si="62"/>
        <v>2.0695789516967985E-2</v>
      </c>
      <c r="G1331" s="9">
        <f t="shared" si="63"/>
        <v>1.0023372305923805E-2</v>
      </c>
    </row>
    <row r="1332" spans="1:7" x14ac:dyDescent="0.2">
      <c r="A1332" s="12">
        <v>38831</v>
      </c>
      <c r="B1332" s="9">
        <v>400.92</v>
      </c>
      <c r="C1332" s="9">
        <v>397.77</v>
      </c>
      <c r="D1332" s="9">
        <v>400.23</v>
      </c>
      <c r="E1332" s="9">
        <f t="shared" si="61"/>
        <v>-2.4982512371357092E-4</v>
      </c>
      <c r="F1332" s="9">
        <f t="shared" si="62"/>
        <v>2.5713171661541939E-2</v>
      </c>
      <c r="G1332" s="9">
        <f t="shared" si="63"/>
        <v>9.962220017885751E-3</v>
      </c>
    </row>
    <row r="1333" spans="1:7" x14ac:dyDescent="0.2">
      <c r="A1333" s="12">
        <v>38832</v>
      </c>
      <c r="B1333" s="9">
        <v>403.89</v>
      </c>
      <c r="C1333" s="9">
        <v>400.01</v>
      </c>
      <c r="D1333" s="9">
        <v>401.61</v>
      </c>
      <c r="E1333" s="9">
        <f t="shared" si="61"/>
        <v>3.4420866070914964E-3</v>
      </c>
      <c r="F1333" s="9">
        <f t="shared" si="62"/>
        <v>2.1544638226150631E-2</v>
      </c>
      <c r="G1333" s="9">
        <f t="shared" si="63"/>
        <v>9.8936098342020436E-3</v>
      </c>
    </row>
    <row r="1334" spans="1:7" x14ac:dyDescent="0.2">
      <c r="A1334" s="12">
        <v>38833</v>
      </c>
      <c r="B1334" s="9">
        <v>404.39</v>
      </c>
      <c r="C1334" s="9">
        <v>400.63</v>
      </c>
      <c r="D1334" s="9">
        <v>403.27</v>
      </c>
      <c r="E1334" s="9">
        <f t="shared" si="61"/>
        <v>4.1248443336889531E-3</v>
      </c>
      <c r="F1334" s="9">
        <f t="shared" si="62"/>
        <v>1.9809570559305139E-2</v>
      </c>
      <c r="G1334" s="9">
        <f t="shared" si="63"/>
        <v>9.8675530071747636E-3</v>
      </c>
    </row>
    <row r="1335" spans="1:7" x14ac:dyDescent="0.2">
      <c r="A1335" s="12">
        <v>38834</v>
      </c>
      <c r="B1335" s="9">
        <v>404.68</v>
      </c>
      <c r="C1335" s="9">
        <v>398.27</v>
      </c>
      <c r="D1335" s="9">
        <v>399.46</v>
      </c>
      <c r="E1335" s="9">
        <f t="shared" si="61"/>
        <v>-9.4926777625793449E-3</v>
      </c>
      <c r="F1335" s="9">
        <f t="shared" si="62"/>
        <v>1.5031569119501147E-3</v>
      </c>
      <c r="G1335" s="9">
        <f t="shared" si="63"/>
        <v>9.9118942466707646E-3</v>
      </c>
    </row>
    <row r="1336" spans="1:7" x14ac:dyDescent="0.2">
      <c r="A1336" s="12">
        <v>38835</v>
      </c>
      <c r="B1336" s="9">
        <v>399.57</v>
      </c>
      <c r="C1336" s="9">
        <v>396.03</v>
      </c>
      <c r="D1336" s="9">
        <v>396.71</v>
      </c>
      <c r="E1336" s="9">
        <f t="shared" si="61"/>
        <v>-6.9080998687395491E-3</v>
      </c>
      <c r="F1336" s="9">
        <f t="shared" si="62"/>
        <v>-6.7578858134285944E-3</v>
      </c>
      <c r="G1336" s="9">
        <f t="shared" si="63"/>
        <v>9.988904506425254E-3</v>
      </c>
    </row>
    <row r="1337" spans="1:7" x14ac:dyDescent="0.2">
      <c r="A1337" s="12">
        <v>38838</v>
      </c>
      <c r="B1337" s="9">
        <v>400.47</v>
      </c>
      <c r="C1337" s="9">
        <v>396.32</v>
      </c>
      <c r="D1337" s="9">
        <v>399.41</v>
      </c>
      <c r="E1337" s="9">
        <f t="shared" si="61"/>
        <v>6.7829230563289577E-3</v>
      </c>
      <c r="F1337" s="9">
        <f t="shared" si="62"/>
        <v>-5.0198025067320715E-3</v>
      </c>
      <c r="G1337" s="9">
        <f t="shared" si="63"/>
        <v>1.0025498825758558E-2</v>
      </c>
    </row>
    <row r="1338" spans="1:7" x14ac:dyDescent="0.2">
      <c r="A1338" s="12">
        <v>38839</v>
      </c>
      <c r="B1338" s="9">
        <v>402.74</v>
      </c>
      <c r="C1338" s="9">
        <v>398.35</v>
      </c>
      <c r="D1338" s="9">
        <v>402.52</v>
      </c>
      <c r="E1338" s="9">
        <f t="shared" si="61"/>
        <v>7.7563268405173554E-3</v>
      </c>
      <c r="F1338" s="9">
        <f t="shared" si="62"/>
        <v>4.5068114080088354E-3</v>
      </c>
      <c r="G1338" s="9">
        <f t="shared" si="63"/>
        <v>1.0123373034811273E-2</v>
      </c>
    </row>
    <row r="1339" spans="1:7" x14ac:dyDescent="0.2">
      <c r="A1339" s="12">
        <v>38840</v>
      </c>
      <c r="B1339" s="9">
        <v>403.46</v>
      </c>
      <c r="C1339" s="9">
        <v>399.16</v>
      </c>
      <c r="D1339" s="9">
        <v>399.25</v>
      </c>
      <c r="E1339" s="9">
        <f t="shared" si="61"/>
        <v>-8.1569979700105918E-3</v>
      </c>
      <c r="F1339" s="9">
        <f t="shared" si="62"/>
        <v>1.2531329960674502E-3</v>
      </c>
      <c r="G1339" s="9">
        <f t="shared" si="63"/>
        <v>1.0196545290332024E-2</v>
      </c>
    </row>
    <row r="1340" spans="1:7" x14ac:dyDescent="0.2">
      <c r="A1340" s="12">
        <v>38841</v>
      </c>
      <c r="B1340" s="9">
        <v>402.75</v>
      </c>
      <c r="C1340" s="9">
        <v>399.34</v>
      </c>
      <c r="D1340" s="9">
        <v>402.16</v>
      </c>
      <c r="E1340" s="9">
        <f t="shared" si="61"/>
        <v>7.2622322891980184E-3</v>
      </c>
      <c r="F1340" s="9">
        <f t="shared" si="62"/>
        <v>-3.6485973535332946E-3</v>
      </c>
      <c r="G1340" s="9">
        <f t="shared" si="63"/>
        <v>1.0033569814198399E-2</v>
      </c>
    </row>
    <row r="1341" spans="1:7" x14ac:dyDescent="0.2">
      <c r="A1341" s="12">
        <v>38842</v>
      </c>
      <c r="B1341" s="9">
        <v>405.73</v>
      </c>
      <c r="C1341" s="9">
        <v>401.83</v>
      </c>
      <c r="D1341" s="9">
        <v>405.73</v>
      </c>
      <c r="E1341" s="9">
        <f t="shared" si="61"/>
        <v>8.8378943599050318E-3</v>
      </c>
      <c r="F1341" s="9">
        <f t="shared" si="62"/>
        <v>8.0425075611616353E-3</v>
      </c>
      <c r="G1341" s="9">
        <f t="shared" si="63"/>
        <v>1.0150179915762626E-2</v>
      </c>
    </row>
    <row r="1342" spans="1:7" x14ac:dyDescent="0.2">
      <c r="A1342" s="12">
        <v>38845</v>
      </c>
      <c r="B1342" s="9">
        <v>412.05</v>
      </c>
      <c r="C1342" s="9">
        <v>406.38</v>
      </c>
      <c r="D1342" s="9">
        <v>410.6</v>
      </c>
      <c r="E1342" s="9">
        <f t="shared" si="61"/>
        <v>1.1931590840608519E-2</v>
      </c>
      <c r="F1342" s="9">
        <f t="shared" si="62"/>
        <v>1.2917954444855918E-2</v>
      </c>
      <c r="G1342" s="9">
        <f t="shared" si="63"/>
        <v>1.0300528480733356E-2</v>
      </c>
    </row>
    <row r="1343" spans="1:7" x14ac:dyDescent="0.2">
      <c r="A1343" s="12">
        <v>38846</v>
      </c>
      <c r="B1343" s="9">
        <v>414.18</v>
      </c>
      <c r="C1343" s="9">
        <v>409.83</v>
      </c>
      <c r="D1343" s="9">
        <v>413.63</v>
      </c>
      <c r="E1343" s="9">
        <f t="shared" si="61"/>
        <v>7.3523498280632215E-3</v>
      </c>
      <c r="F1343" s="9">
        <f t="shared" si="62"/>
        <v>2.2493186041814151E-2</v>
      </c>
      <c r="G1343" s="9">
        <f t="shared" si="63"/>
        <v>1.0363628771487493E-2</v>
      </c>
    </row>
    <row r="1344" spans="1:7" x14ac:dyDescent="0.2">
      <c r="A1344" s="12">
        <v>38847</v>
      </c>
      <c r="B1344" s="9">
        <v>419</v>
      </c>
      <c r="C1344" s="9">
        <v>413.41</v>
      </c>
      <c r="D1344" s="9">
        <v>415.68</v>
      </c>
      <c r="E1344" s="9">
        <f t="shared" si="61"/>
        <v>4.9438790693382114E-3</v>
      </c>
      <c r="F1344" s="9">
        <f t="shared" si="62"/>
        <v>2.770908984235073E-2</v>
      </c>
      <c r="G1344" s="9">
        <f t="shared" si="63"/>
        <v>1.0389614906896813E-2</v>
      </c>
    </row>
    <row r="1345" spans="1:7" x14ac:dyDescent="0.2">
      <c r="A1345" s="12">
        <v>38848</v>
      </c>
      <c r="B1345" s="9">
        <v>416.52</v>
      </c>
      <c r="C1345" s="9">
        <v>411.05</v>
      </c>
      <c r="D1345" s="9">
        <v>411.06</v>
      </c>
      <c r="E1345" s="9">
        <f t="shared" si="61"/>
        <v>-1.1176544239371996E-2</v>
      </c>
      <c r="F1345" s="9">
        <f t="shared" si="62"/>
        <v>8.5510281367780789E-3</v>
      </c>
      <c r="G1345" s="9">
        <f t="shared" si="63"/>
        <v>1.0528688469080189E-2</v>
      </c>
    </row>
    <row r="1346" spans="1:7" x14ac:dyDescent="0.2">
      <c r="A1346" s="12">
        <v>38852</v>
      </c>
      <c r="B1346" s="9">
        <v>409.74</v>
      </c>
      <c r="C1346" s="9">
        <v>394.83</v>
      </c>
      <c r="D1346" s="9">
        <v>395.31</v>
      </c>
      <c r="E1346" s="9">
        <f t="shared" si="61"/>
        <v>-3.9068922017592107E-2</v>
      </c>
      <c r="F1346" s="9">
        <f t="shared" si="62"/>
        <v>-3.1327262985025563E-2</v>
      </c>
      <c r="G1346" s="9">
        <f t="shared" si="63"/>
        <v>1.2744430594227349E-2</v>
      </c>
    </row>
    <row r="1347" spans="1:7" x14ac:dyDescent="0.2">
      <c r="A1347" s="12">
        <v>38853</v>
      </c>
      <c r="B1347" s="9">
        <v>399.9</v>
      </c>
      <c r="C1347" s="9">
        <v>393.41</v>
      </c>
      <c r="D1347" s="9">
        <v>397.15</v>
      </c>
      <c r="E1347" s="9">
        <f t="shared" si="61"/>
        <v>4.6437758538705127E-3</v>
      </c>
      <c r="F1347" s="9">
        <f t="shared" si="62"/>
        <v>1.4967301224777962E-2</v>
      </c>
      <c r="G1347" s="9">
        <f t="shared" si="63"/>
        <v>1.0208544793924806E-2</v>
      </c>
    </row>
    <row r="1348" spans="1:7" x14ac:dyDescent="0.2">
      <c r="A1348" s="12">
        <v>38854</v>
      </c>
      <c r="B1348" s="9">
        <v>400.56</v>
      </c>
      <c r="C1348" s="9">
        <v>386.11</v>
      </c>
      <c r="D1348" s="9">
        <v>386.62</v>
      </c>
      <c r="E1348" s="9">
        <f t="shared" ref="E1348:E1411" si="64">LN(D1348/D1347)</f>
        <v>-2.6871744585595197E-2</v>
      </c>
      <c r="F1348" s="9">
        <f t="shared" si="62"/>
        <v>-1.2568759395264067E-2</v>
      </c>
      <c r="G1348" s="9">
        <f t="shared" si="63"/>
        <v>1.1365507566677533E-2</v>
      </c>
    </row>
    <row r="1349" spans="1:7" x14ac:dyDescent="0.2">
      <c r="A1349" s="12">
        <v>38855</v>
      </c>
      <c r="B1349" s="9">
        <v>385.74</v>
      </c>
      <c r="C1349" s="9">
        <v>373.32</v>
      </c>
      <c r="D1349" s="9">
        <v>379.35</v>
      </c>
      <c r="E1349" s="9">
        <f t="shared" si="64"/>
        <v>-1.8983036709461901E-2</v>
      </c>
      <c r="F1349" s="9">
        <f t="shared" si="62"/>
        <v>-4.0730254448285458E-2</v>
      </c>
      <c r="G1349" s="9">
        <f t="shared" si="63"/>
        <v>1.1703443387375176E-2</v>
      </c>
    </row>
    <row r="1350" spans="1:7" x14ac:dyDescent="0.2">
      <c r="A1350" s="12">
        <v>38856</v>
      </c>
      <c r="B1350" s="9">
        <v>383.72</v>
      </c>
      <c r="C1350" s="9">
        <v>378.31</v>
      </c>
      <c r="D1350" s="9">
        <v>383.26</v>
      </c>
      <c r="E1350" s="9">
        <f t="shared" si="64"/>
        <v>1.0254348256265311E-2</v>
      </c>
      <c r="F1350" s="9">
        <f t="shared" si="62"/>
        <v>-3.9269885230977165E-2</v>
      </c>
      <c r="G1350" s="9">
        <f t="shared" si="63"/>
        <v>1.1750068146623811E-2</v>
      </c>
    </row>
    <row r="1351" spans="1:7" x14ac:dyDescent="0.2">
      <c r="A1351" s="12">
        <v>38859</v>
      </c>
      <c r="B1351" s="9">
        <v>383.42</v>
      </c>
      <c r="C1351" s="9">
        <v>368.48</v>
      </c>
      <c r="D1351" s="9">
        <v>369.49</v>
      </c>
      <c r="E1351" s="9">
        <f t="shared" si="64"/>
        <v>-3.6589933617777133E-2</v>
      </c>
      <c r="F1351" s="9">
        <f t="shared" si="62"/>
        <v>-7.5634008754083562E-2</v>
      </c>
      <c r="G1351" s="9">
        <f t="shared" si="63"/>
        <v>1.3394996339182497E-2</v>
      </c>
    </row>
    <row r="1352" spans="1:7" x14ac:dyDescent="0.2">
      <c r="A1352" s="12">
        <v>38860</v>
      </c>
      <c r="B1352" s="9">
        <v>379.87</v>
      </c>
      <c r="C1352" s="9">
        <v>369.08</v>
      </c>
      <c r="D1352" s="9">
        <v>379.08</v>
      </c>
      <c r="E1352" s="9">
        <f t="shared" si="64"/>
        <v>2.5623588179422049E-2</v>
      </c>
      <c r="F1352" s="9">
        <f t="shared" si="62"/>
        <v>-5.8182299465146442E-2</v>
      </c>
      <c r="G1352" s="9">
        <f t="shared" si="63"/>
        <v>1.4228413362690238E-2</v>
      </c>
    </row>
    <row r="1353" spans="1:7" x14ac:dyDescent="0.2">
      <c r="A1353" s="12">
        <v>38861</v>
      </c>
      <c r="B1353" s="9">
        <v>379.08</v>
      </c>
      <c r="C1353" s="9">
        <v>370.21</v>
      </c>
      <c r="D1353" s="9">
        <v>373.87</v>
      </c>
      <c r="E1353" s="9">
        <f t="shared" si="64"/>
        <v>-1.383912119500188E-2</v>
      </c>
      <c r="F1353" s="9">
        <f t="shared" si="62"/>
        <v>-7.9015496789883691E-2</v>
      </c>
      <c r="G1353" s="9">
        <f t="shared" si="63"/>
        <v>1.4285648944153982E-2</v>
      </c>
    </row>
    <row r="1354" spans="1:7" x14ac:dyDescent="0.2">
      <c r="A1354" s="12">
        <v>38863</v>
      </c>
      <c r="B1354" s="9">
        <v>382.01</v>
      </c>
      <c r="C1354" s="9">
        <v>374.85</v>
      </c>
      <c r="D1354" s="9">
        <v>377.42</v>
      </c>
      <c r="E1354" s="9">
        <f t="shared" si="64"/>
        <v>9.4504822939573303E-3</v>
      </c>
      <c r="F1354" s="9">
        <f t="shared" si="62"/>
        <v>-7.0306194488350682E-2</v>
      </c>
      <c r="G1354" s="9">
        <f t="shared" si="63"/>
        <v>1.4444215005192322E-2</v>
      </c>
    </row>
    <row r="1355" spans="1:7" x14ac:dyDescent="0.2">
      <c r="A1355" s="12">
        <v>38866</v>
      </c>
      <c r="B1355" s="9">
        <v>384.7</v>
      </c>
      <c r="C1355" s="9">
        <v>378.07</v>
      </c>
      <c r="D1355" s="9">
        <v>384.17</v>
      </c>
      <c r="E1355" s="9">
        <f t="shared" si="64"/>
        <v>1.7726537253689102E-2</v>
      </c>
      <c r="F1355" s="9">
        <f t="shared" si="62"/>
        <v>-5.0106917911854197E-2</v>
      </c>
      <c r="G1355" s="9">
        <f t="shared" si="63"/>
        <v>1.4901534297667142E-2</v>
      </c>
    </row>
    <row r="1356" spans="1:7" x14ac:dyDescent="0.2">
      <c r="A1356" s="12">
        <v>38867</v>
      </c>
      <c r="B1356" s="9">
        <v>384.17</v>
      </c>
      <c r="C1356" s="9">
        <v>374.9</v>
      </c>
      <c r="D1356" s="9">
        <v>375.03</v>
      </c>
      <c r="E1356" s="9">
        <f t="shared" si="64"/>
        <v>-2.4079140184057275E-2</v>
      </c>
      <c r="F1356" s="9">
        <f t="shared" si="62"/>
        <v>-6.6556322419546662E-2</v>
      </c>
      <c r="G1356" s="9">
        <f t="shared" si="63"/>
        <v>1.5421928080754837E-2</v>
      </c>
    </row>
    <row r="1357" spans="1:7" x14ac:dyDescent="0.2">
      <c r="A1357" s="12">
        <v>38868</v>
      </c>
      <c r="B1357" s="9">
        <v>375.75</v>
      </c>
      <c r="C1357" s="9">
        <v>368.07</v>
      </c>
      <c r="D1357" s="9">
        <v>372.89</v>
      </c>
      <c r="E1357" s="9">
        <f t="shared" si="64"/>
        <v>-5.7225527863603801E-3</v>
      </c>
      <c r="F1357" s="9">
        <f t="shared" si="62"/>
        <v>-6.0888030212168313E-2</v>
      </c>
      <c r="G1357" s="9">
        <f t="shared" si="63"/>
        <v>1.53401839832166E-2</v>
      </c>
    </row>
    <row r="1358" spans="1:7" x14ac:dyDescent="0.2">
      <c r="A1358" s="12">
        <v>38869</v>
      </c>
      <c r="B1358" s="9">
        <v>375.82</v>
      </c>
      <c r="C1358" s="9">
        <v>370.05</v>
      </c>
      <c r="D1358" s="9">
        <v>372.25</v>
      </c>
      <c r="E1358" s="9">
        <f t="shared" si="64"/>
        <v>-1.7177984201027085E-3</v>
      </c>
      <c r="F1358" s="9">
        <f t="shared" si="62"/>
        <v>-6.1040132208987692E-2</v>
      </c>
      <c r="G1358" s="9">
        <f t="shared" si="63"/>
        <v>1.5340050506539445E-2</v>
      </c>
    </row>
    <row r="1359" spans="1:7" x14ac:dyDescent="0.2">
      <c r="A1359" s="12">
        <v>38870</v>
      </c>
      <c r="B1359" s="9">
        <v>379.47</v>
      </c>
      <c r="C1359" s="9">
        <v>372.91</v>
      </c>
      <c r="D1359" s="9">
        <v>376.94</v>
      </c>
      <c r="E1359" s="9">
        <f t="shared" si="64"/>
        <v>1.2520352024363277E-2</v>
      </c>
      <c r="F1359" s="9">
        <f t="shared" si="62"/>
        <v>-4.4544034561044672E-2</v>
      </c>
      <c r="G1359" s="9">
        <f t="shared" si="63"/>
        <v>1.5562119742820534E-2</v>
      </c>
    </row>
    <row r="1360" spans="1:7" x14ac:dyDescent="0.2">
      <c r="A1360" s="12">
        <v>38874</v>
      </c>
      <c r="B1360" s="9">
        <v>376.17</v>
      </c>
      <c r="C1360" s="9">
        <v>369.01</v>
      </c>
      <c r="D1360" s="9">
        <v>370.1</v>
      </c>
      <c r="E1360" s="9">
        <f t="shared" si="64"/>
        <v>-1.8312784196371348E-2</v>
      </c>
      <c r="F1360" s="9">
        <f t="shared" si="62"/>
        <v>-6.5568117913561083E-2</v>
      </c>
      <c r="G1360" s="9">
        <f t="shared" si="63"/>
        <v>1.5837589044273757E-2</v>
      </c>
    </row>
    <row r="1361" spans="1:7" x14ac:dyDescent="0.2">
      <c r="A1361" s="12">
        <v>38875</v>
      </c>
      <c r="B1361" s="9">
        <v>371.84</v>
      </c>
      <c r="C1361" s="9">
        <v>366.61</v>
      </c>
      <c r="D1361" s="9">
        <v>371.06</v>
      </c>
      <c r="E1361" s="9">
        <f t="shared" si="64"/>
        <v>2.5905352066213014E-3</v>
      </c>
      <c r="F1361" s="9">
        <f t="shared" si="62"/>
        <v>-7.5925432383806404E-2</v>
      </c>
      <c r="G1361" s="9">
        <f t="shared" si="63"/>
        <v>1.5607537815855771E-2</v>
      </c>
    </row>
    <row r="1362" spans="1:7" x14ac:dyDescent="0.2">
      <c r="A1362" s="12">
        <v>38876</v>
      </c>
      <c r="B1362" s="9">
        <v>369.97</v>
      </c>
      <c r="C1362" s="9">
        <v>358.46</v>
      </c>
      <c r="D1362" s="9">
        <v>358.82</v>
      </c>
      <c r="E1362" s="9">
        <f t="shared" si="64"/>
        <v>-3.3542904607493297E-2</v>
      </c>
      <c r="F1362" s="9">
        <f t="shared" si="62"/>
        <v>-0.10921851186758616</v>
      </c>
      <c r="G1362" s="9">
        <f t="shared" si="63"/>
        <v>1.6592331872497597E-2</v>
      </c>
    </row>
    <row r="1363" spans="1:7" x14ac:dyDescent="0.2">
      <c r="A1363" s="12">
        <v>38877</v>
      </c>
      <c r="B1363" s="9">
        <v>366.55</v>
      </c>
      <c r="C1363" s="9">
        <v>359.69</v>
      </c>
      <c r="D1363" s="9">
        <v>365.41</v>
      </c>
      <c r="E1363" s="9">
        <f t="shared" si="64"/>
        <v>1.8199140846937762E-2</v>
      </c>
      <c r="F1363" s="9">
        <f t="shared" si="62"/>
        <v>-9.44614576277399E-2</v>
      </c>
      <c r="G1363" s="9">
        <f t="shared" si="63"/>
        <v>1.7022713168252122E-2</v>
      </c>
    </row>
    <row r="1364" spans="1:7" x14ac:dyDescent="0.2">
      <c r="A1364" s="12">
        <v>38880</v>
      </c>
      <c r="B1364" s="9">
        <v>366.47</v>
      </c>
      <c r="C1364" s="9">
        <v>362.26</v>
      </c>
      <c r="D1364" s="9">
        <v>363.62</v>
      </c>
      <c r="E1364" s="9">
        <f t="shared" si="64"/>
        <v>-4.9106445470493499E-3</v>
      </c>
      <c r="F1364" s="9">
        <f t="shared" si="62"/>
        <v>-0.10349694650847827</v>
      </c>
      <c r="G1364" s="9">
        <f t="shared" si="63"/>
        <v>1.6969433509220547E-2</v>
      </c>
    </row>
    <row r="1365" spans="1:7" x14ac:dyDescent="0.2">
      <c r="A1365" s="12">
        <v>38881</v>
      </c>
      <c r="B1365" s="9">
        <v>362.52</v>
      </c>
      <c r="C1365" s="9">
        <v>348.04</v>
      </c>
      <c r="D1365" s="9">
        <v>350.03</v>
      </c>
      <c r="E1365" s="9">
        <f t="shared" si="64"/>
        <v>-3.8090501195212623E-2</v>
      </c>
      <c r="F1365" s="9">
        <f t="shared" si="62"/>
        <v>-0.13209476994111161</v>
      </c>
      <c r="G1365" s="9">
        <f t="shared" si="63"/>
        <v>1.8087034355610154E-2</v>
      </c>
    </row>
    <row r="1366" spans="1:7" x14ac:dyDescent="0.2">
      <c r="A1366" s="12">
        <v>38882</v>
      </c>
      <c r="B1366" s="9">
        <v>354.35</v>
      </c>
      <c r="C1366" s="9">
        <v>348.01</v>
      </c>
      <c r="D1366" s="9">
        <v>351.94</v>
      </c>
      <c r="E1366" s="9">
        <f t="shared" si="64"/>
        <v>5.4418414277014014E-3</v>
      </c>
      <c r="F1366" s="9">
        <f t="shared" si="62"/>
        <v>-0.11974482864467065</v>
      </c>
      <c r="G1366" s="9">
        <f t="shared" si="63"/>
        <v>1.8168415955154497E-2</v>
      </c>
    </row>
    <row r="1367" spans="1:7" x14ac:dyDescent="0.2">
      <c r="A1367" s="12">
        <v>38883</v>
      </c>
      <c r="B1367" s="9">
        <v>361.36</v>
      </c>
      <c r="C1367" s="9">
        <v>352.6</v>
      </c>
      <c r="D1367" s="9">
        <v>360.95</v>
      </c>
      <c r="E1367" s="9">
        <f t="shared" si="64"/>
        <v>2.5278738061554458E-2</v>
      </c>
      <c r="F1367" s="9">
        <f t="shared" si="62"/>
        <v>-0.10124901363944498</v>
      </c>
      <c r="G1367" s="9">
        <f t="shared" si="63"/>
        <v>1.8847760382396817E-2</v>
      </c>
    </row>
    <row r="1368" spans="1:7" x14ac:dyDescent="0.2">
      <c r="A1368" s="12">
        <v>38884</v>
      </c>
      <c r="B1368" s="9">
        <v>368.62</v>
      </c>
      <c r="C1368" s="9">
        <v>359.12</v>
      </c>
      <c r="D1368" s="9">
        <v>359.38</v>
      </c>
      <c r="E1368" s="9">
        <f t="shared" si="64"/>
        <v>-4.3591200868623291E-3</v>
      </c>
      <c r="F1368" s="9">
        <f t="shared" si="62"/>
        <v>-0.11336446056682475</v>
      </c>
      <c r="G1368" s="9">
        <f t="shared" si="63"/>
        <v>1.873046027521582E-2</v>
      </c>
    </row>
    <row r="1369" spans="1:7" x14ac:dyDescent="0.2">
      <c r="A1369" s="12">
        <v>38887</v>
      </c>
      <c r="B1369" s="9">
        <v>366.22</v>
      </c>
      <c r="C1369" s="9">
        <v>314.77</v>
      </c>
      <c r="D1369" s="9">
        <v>365.43</v>
      </c>
      <c r="E1369" s="9">
        <f t="shared" si="64"/>
        <v>1.6694417881669699E-2</v>
      </c>
      <c r="F1369" s="9">
        <f t="shared" si="62"/>
        <v>-8.8513044715144498E-2</v>
      </c>
      <c r="G1369" s="9">
        <f t="shared" si="63"/>
        <v>1.9076499795100992E-2</v>
      </c>
    </row>
    <row r="1370" spans="1:7" x14ac:dyDescent="0.2">
      <c r="A1370" s="12">
        <v>38888</v>
      </c>
      <c r="B1370" s="9">
        <v>365.4</v>
      </c>
      <c r="C1370" s="9">
        <v>361.36</v>
      </c>
      <c r="D1370" s="9">
        <v>362.07</v>
      </c>
      <c r="E1370" s="9">
        <f t="shared" si="64"/>
        <v>-9.2371790820610401E-3</v>
      </c>
      <c r="F1370" s="9">
        <f t="shared" si="62"/>
        <v>-0.10501245608640369</v>
      </c>
      <c r="G1370" s="9">
        <f t="shared" si="63"/>
        <v>1.9009637047659608E-2</v>
      </c>
    </row>
    <row r="1371" spans="1:7" x14ac:dyDescent="0.2">
      <c r="A1371" s="12">
        <v>38889</v>
      </c>
      <c r="B1371" s="9">
        <v>363.24</v>
      </c>
      <c r="C1371" s="9">
        <v>359.7</v>
      </c>
      <c r="D1371" s="9">
        <v>362.68</v>
      </c>
      <c r="E1371" s="9">
        <f t="shared" si="64"/>
        <v>1.6833394799391365E-3</v>
      </c>
      <c r="F1371" s="9">
        <f t="shared" si="62"/>
        <v>-0.11216701096636945</v>
      </c>
      <c r="G1371" s="9">
        <f t="shared" si="63"/>
        <v>1.8894036547225612E-2</v>
      </c>
    </row>
    <row r="1372" spans="1:7" x14ac:dyDescent="0.2">
      <c r="A1372" s="12">
        <v>38890</v>
      </c>
      <c r="B1372" s="9">
        <v>367.89</v>
      </c>
      <c r="C1372" s="9">
        <v>363.43</v>
      </c>
      <c r="D1372" s="9">
        <v>364.98</v>
      </c>
      <c r="E1372" s="9">
        <f t="shared" si="64"/>
        <v>6.321654782813566E-3</v>
      </c>
      <c r="F1372" s="9">
        <f t="shared" si="62"/>
        <v>-0.11777694702416419</v>
      </c>
      <c r="G1372" s="9">
        <f t="shared" si="63"/>
        <v>1.8760886792100473E-2</v>
      </c>
    </row>
    <row r="1373" spans="1:7" x14ac:dyDescent="0.2">
      <c r="A1373" s="12">
        <v>38891</v>
      </c>
      <c r="B1373" s="9">
        <v>367.35</v>
      </c>
      <c r="C1373" s="9">
        <v>364.7</v>
      </c>
      <c r="D1373" s="9">
        <v>365.5</v>
      </c>
      <c r="E1373" s="9">
        <f t="shared" si="64"/>
        <v>1.4237216291642038E-3</v>
      </c>
      <c r="F1373" s="9">
        <f t="shared" si="62"/>
        <v>-0.12370557522306327</v>
      </c>
      <c r="G1373" s="9">
        <f t="shared" si="63"/>
        <v>1.8668988905453297E-2</v>
      </c>
    </row>
    <row r="1374" spans="1:7" x14ac:dyDescent="0.2">
      <c r="A1374" s="12">
        <v>38894</v>
      </c>
      <c r="B1374" s="9">
        <v>368.19</v>
      </c>
      <c r="C1374" s="9">
        <v>365.71</v>
      </c>
      <c r="D1374" s="9">
        <v>367.97</v>
      </c>
      <c r="E1374" s="9">
        <f t="shared" si="64"/>
        <v>6.7351339168898322E-3</v>
      </c>
      <c r="F1374" s="9">
        <f t="shared" si="62"/>
        <v>-0.12191432037551171</v>
      </c>
      <c r="G1374" s="9">
        <f t="shared" si="63"/>
        <v>1.8701824490306503E-2</v>
      </c>
    </row>
    <row r="1375" spans="1:7" x14ac:dyDescent="0.2">
      <c r="A1375" s="12">
        <v>38895</v>
      </c>
      <c r="B1375" s="9">
        <v>370.9</v>
      </c>
      <c r="C1375" s="9">
        <v>353.35</v>
      </c>
      <c r="D1375" s="9">
        <v>358.09</v>
      </c>
      <c r="E1375" s="9">
        <f t="shared" si="64"/>
        <v>-2.7217061652820243E-2</v>
      </c>
      <c r="F1375" s="9">
        <f t="shared" si="62"/>
        <v>-0.13795483778896001</v>
      </c>
      <c r="G1375" s="9">
        <f t="shared" si="63"/>
        <v>1.9136437877047528E-2</v>
      </c>
    </row>
    <row r="1376" spans="1:7" x14ac:dyDescent="0.2">
      <c r="A1376" s="12">
        <v>38896</v>
      </c>
      <c r="B1376" s="9">
        <v>362.41</v>
      </c>
      <c r="C1376" s="9">
        <v>354.18</v>
      </c>
      <c r="D1376" s="9">
        <v>359.68</v>
      </c>
      <c r="E1376" s="9">
        <f t="shared" si="64"/>
        <v>4.4303958113688525E-3</v>
      </c>
      <c r="F1376" s="9">
        <f t="shared" si="62"/>
        <v>-9.4455519959998985E-2</v>
      </c>
      <c r="G1376" s="9">
        <f t="shared" si="63"/>
        <v>1.8051775972824619E-2</v>
      </c>
    </row>
    <row r="1377" spans="1:7" x14ac:dyDescent="0.2">
      <c r="A1377" s="12">
        <v>38897</v>
      </c>
      <c r="B1377" s="9">
        <v>364.35</v>
      </c>
      <c r="C1377" s="9">
        <v>359.89</v>
      </c>
      <c r="D1377" s="9">
        <v>363.95</v>
      </c>
      <c r="E1377" s="9">
        <f t="shared" si="64"/>
        <v>1.1801748298995366E-2</v>
      </c>
      <c r="F1377" s="9">
        <f t="shared" ref="F1377:F1440" si="65">LN(D1377/D1347)</f>
        <v>-8.7297547514874133E-2</v>
      </c>
      <c r="G1377" s="9">
        <f t="shared" si="63"/>
        <v>1.8204977134071879E-2</v>
      </c>
    </row>
    <row r="1378" spans="1:7" x14ac:dyDescent="0.2">
      <c r="A1378" s="12">
        <v>38898</v>
      </c>
      <c r="B1378" s="9">
        <v>372.03</v>
      </c>
      <c r="C1378" s="9">
        <v>364.8</v>
      </c>
      <c r="D1378" s="9">
        <v>371.01</v>
      </c>
      <c r="E1378" s="9">
        <f t="shared" si="64"/>
        <v>1.9212520857808387E-2</v>
      </c>
      <c r="F1378" s="9">
        <f t="shared" si="65"/>
        <v>-4.1213282071470445E-2</v>
      </c>
      <c r="G1378" s="9">
        <f t="shared" si="63"/>
        <v>1.805705114720341E-2</v>
      </c>
    </row>
    <row r="1379" spans="1:7" x14ac:dyDescent="0.2">
      <c r="A1379" s="12">
        <v>38901</v>
      </c>
      <c r="B1379" s="9">
        <v>374.49</v>
      </c>
      <c r="C1379" s="9">
        <v>370.32</v>
      </c>
      <c r="D1379" s="9">
        <v>372.97</v>
      </c>
      <c r="E1379" s="9">
        <f t="shared" si="64"/>
        <v>5.2689710327347636E-3</v>
      </c>
      <c r="F1379" s="9">
        <f t="shared" si="65"/>
        <v>-1.6961274329273638E-2</v>
      </c>
      <c r="G1379" s="9">
        <f t="shared" si="63"/>
        <v>1.7782295037565288E-2</v>
      </c>
    </row>
    <row r="1380" spans="1:7" x14ac:dyDescent="0.2">
      <c r="A1380" s="12">
        <v>38902</v>
      </c>
      <c r="B1380" s="9">
        <v>374.56</v>
      </c>
      <c r="C1380" s="9">
        <v>373.08</v>
      </c>
      <c r="D1380" s="9">
        <v>374.01</v>
      </c>
      <c r="E1380" s="9">
        <f t="shared" si="64"/>
        <v>2.7845475701830905E-3</v>
      </c>
      <c r="F1380" s="9">
        <f t="shared" si="65"/>
        <v>-2.4431075015355897E-2</v>
      </c>
      <c r="G1380" s="9">
        <f t="shared" si="63"/>
        <v>1.7677558454360809E-2</v>
      </c>
    </row>
    <row r="1381" spans="1:7" x14ac:dyDescent="0.2">
      <c r="A1381" s="12">
        <v>38903</v>
      </c>
      <c r="B1381" s="9">
        <v>373.79</v>
      </c>
      <c r="C1381" s="9">
        <v>369.59</v>
      </c>
      <c r="D1381" s="9">
        <v>370.56</v>
      </c>
      <c r="E1381" s="9">
        <f t="shared" si="64"/>
        <v>-9.2671600804175285E-3</v>
      </c>
      <c r="F1381" s="9">
        <f t="shared" si="65"/>
        <v>2.8916985220037638E-3</v>
      </c>
      <c r="G1381" s="9">
        <f t="shared" si="63"/>
        <v>1.6430690702264723E-2</v>
      </c>
    </row>
    <row r="1382" spans="1:7" x14ac:dyDescent="0.2">
      <c r="A1382" s="12">
        <v>38904</v>
      </c>
      <c r="B1382" s="9">
        <v>373.91</v>
      </c>
      <c r="C1382" s="9">
        <v>370.13</v>
      </c>
      <c r="D1382" s="9">
        <v>372.42</v>
      </c>
      <c r="E1382" s="9">
        <f t="shared" si="64"/>
        <v>5.0068747090407512E-3</v>
      </c>
      <c r="F1382" s="9">
        <f t="shared" si="65"/>
        <v>-1.7725014948377728E-2</v>
      </c>
      <c r="G1382" s="9">
        <f t="shared" si="63"/>
        <v>1.5742942619160597E-2</v>
      </c>
    </row>
    <row r="1383" spans="1:7" x14ac:dyDescent="0.2">
      <c r="A1383" s="12">
        <v>38905</v>
      </c>
      <c r="B1383" s="9">
        <v>373.91</v>
      </c>
      <c r="C1383" s="9">
        <v>370.43</v>
      </c>
      <c r="D1383" s="9">
        <v>372.06</v>
      </c>
      <c r="E1383" s="9">
        <f t="shared" si="64"/>
        <v>-9.6711806377482179E-4</v>
      </c>
      <c r="F1383" s="9">
        <f t="shared" si="65"/>
        <v>-4.8530118171506275E-3</v>
      </c>
      <c r="G1383" s="9">
        <f t="shared" ref="G1383:G1446" si="66">STDEV(E1354:E1383)</f>
        <v>1.5543563419977926E-2</v>
      </c>
    </row>
    <row r="1384" spans="1:7" x14ac:dyDescent="0.2">
      <c r="A1384" s="12">
        <v>38908</v>
      </c>
      <c r="B1384" s="9">
        <v>372.78</v>
      </c>
      <c r="C1384" s="9">
        <v>370.62</v>
      </c>
      <c r="D1384" s="9">
        <v>371.72</v>
      </c>
      <c r="E1384" s="9">
        <f t="shared" si="64"/>
        <v>-9.1424890070298192E-4</v>
      </c>
      <c r="F1384" s="9">
        <f t="shared" si="65"/>
        <v>-1.5217743011811004E-2</v>
      </c>
      <c r="G1384" s="9">
        <f t="shared" si="66"/>
        <v>1.5437369035539484E-2</v>
      </c>
    </row>
    <row r="1385" spans="1:7" x14ac:dyDescent="0.2">
      <c r="A1385" s="12">
        <v>38909</v>
      </c>
      <c r="B1385" s="9">
        <v>372.4</v>
      </c>
      <c r="C1385" s="9">
        <v>369.61</v>
      </c>
      <c r="D1385" s="9">
        <v>370.61</v>
      </c>
      <c r="E1385" s="9">
        <f t="shared" si="64"/>
        <v>-2.9905859315487683E-3</v>
      </c>
      <c r="F1385" s="9">
        <f t="shared" si="65"/>
        <v>-3.593486619704872E-2</v>
      </c>
      <c r="G1385" s="9">
        <f t="shared" si="66"/>
        <v>1.505214786343304E-2</v>
      </c>
    </row>
    <row r="1386" spans="1:7" x14ac:dyDescent="0.2">
      <c r="A1386" s="12">
        <v>38910</v>
      </c>
      <c r="B1386" s="9">
        <v>373.12</v>
      </c>
      <c r="C1386" s="9">
        <v>370.47</v>
      </c>
      <c r="D1386" s="9">
        <v>371.88</v>
      </c>
      <c r="E1386" s="9">
        <f t="shared" si="64"/>
        <v>3.4209248300671605E-3</v>
      </c>
      <c r="F1386" s="9">
        <f t="shared" si="65"/>
        <v>-8.4348011829242422E-3</v>
      </c>
      <c r="G1386" s="9">
        <f t="shared" si="66"/>
        <v>1.4435370269512542E-2</v>
      </c>
    </row>
    <row r="1387" spans="1:7" x14ac:dyDescent="0.2">
      <c r="A1387" s="12">
        <v>38911</v>
      </c>
      <c r="B1387" s="9">
        <v>371.34</v>
      </c>
      <c r="C1387" s="9">
        <v>364.83</v>
      </c>
      <c r="D1387" s="9">
        <v>366.44</v>
      </c>
      <c r="E1387" s="9">
        <f t="shared" si="64"/>
        <v>-1.4736424440649288E-2</v>
      </c>
      <c r="F1387" s="9">
        <f t="shared" si="65"/>
        <v>-1.7448672837213148E-2</v>
      </c>
      <c r="G1387" s="9">
        <f t="shared" si="66"/>
        <v>1.4644823863971826E-2</v>
      </c>
    </row>
    <row r="1388" spans="1:7" x14ac:dyDescent="0.2">
      <c r="A1388" s="12">
        <v>38912</v>
      </c>
      <c r="B1388" s="9">
        <v>366.31</v>
      </c>
      <c r="C1388" s="9">
        <v>362.57</v>
      </c>
      <c r="D1388" s="9">
        <v>365.03</v>
      </c>
      <c r="E1388" s="9">
        <f t="shared" si="64"/>
        <v>-3.8552551612538715E-3</v>
      </c>
      <c r="F1388" s="9">
        <f t="shared" si="65"/>
        <v>-1.9586129578364416E-2</v>
      </c>
      <c r="G1388" s="9">
        <f t="shared" si="66"/>
        <v>1.4655737488794129E-2</v>
      </c>
    </row>
    <row r="1389" spans="1:7" x14ac:dyDescent="0.2">
      <c r="A1389" s="12">
        <v>38915</v>
      </c>
      <c r="B1389" s="9">
        <v>364.97</v>
      </c>
      <c r="C1389" s="9">
        <v>357.93</v>
      </c>
      <c r="D1389" s="9">
        <v>358.38</v>
      </c>
      <c r="E1389" s="9">
        <f t="shared" si="64"/>
        <v>-1.8385666013484354E-2</v>
      </c>
      <c r="F1389" s="9">
        <f t="shared" si="65"/>
        <v>-5.0492147616212062E-2</v>
      </c>
      <c r="G1389" s="9">
        <f t="shared" si="66"/>
        <v>1.478350363903691E-2</v>
      </c>
    </row>
    <row r="1390" spans="1:7" x14ac:dyDescent="0.2">
      <c r="A1390" s="12">
        <v>38916</v>
      </c>
      <c r="B1390" s="9">
        <v>361.62</v>
      </c>
      <c r="C1390" s="9">
        <v>357.91</v>
      </c>
      <c r="D1390" s="9">
        <v>359.68</v>
      </c>
      <c r="E1390" s="9">
        <f t="shared" si="64"/>
        <v>3.6208712930020093E-3</v>
      </c>
      <c r="F1390" s="9">
        <f t="shared" si="65"/>
        <v>-2.8558492126838805E-2</v>
      </c>
      <c r="G1390" s="9">
        <f t="shared" si="66"/>
        <v>1.4471798626817261E-2</v>
      </c>
    </row>
    <row r="1391" spans="1:7" x14ac:dyDescent="0.2">
      <c r="A1391" s="12">
        <v>38917</v>
      </c>
      <c r="B1391" s="9">
        <v>362.84</v>
      </c>
      <c r="C1391" s="9">
        <v>359.28</v>
      </c>
      <c r="D1391" s="9">
        <v>361.98</v>
      </c>
      <c r="E1391" s="9">
        <f t="shared" si="64"/>
        <v>6.374214415453841E-3</v>
      </c>
      <c r="F1391" s="9">
        <f t="shared" si="65"/>
        <v>-2.4774812918006241E-2</v>
      </c>
      <c r="G1391" s="9">
        <f t="shared" si="66"/>
        <v>1.4520142945250428E-2</v>
      </c>
    </row>
    <row r="1392" spans="1:7" x14ac:dyDescent="0.2">
      <c r="A1392" s="12">
        <v>38918</v>
      </c>
      <c r="B1392" s="9">
        <v>367.59</v>
      </c>
      <c r="C1392" s="9">
        <v>362.19</v>
      </c>
      <c r="D1392" s="9">
        <v>366.32</v>
      </c>
      <c r="E1392" s="9">
        <f t="shared" si="64"/>
        <v>1.1918306668114591E-2</v>
      </c>
      <c r="F1392" s="9">
        <f t="shared" si="65"/>
        <v>2.0686398357601707E-2</v>
      </c>
      <c r="G1392" s="9">
        <f t="shared" si="66"/>
        <v>1.3309728155504685E-2</v>
      </c>
    </row>
    <row r="1393" spans="1:7" x14ac:dyDescent="0.2">
      <c r="A1393" s="12">
        <v>38919</v>
      </c>
      <c r="B1393" s="9">
        <v>367.27</v>
      </c>
      <c r="C1393" s="9">
        <v>363.07</v>
      </c>
      <c r="D1393" s="9">
        <v>364.47</v>
      </c>
      <c r="E1393" s="9">
        <f t="shared" si="64"/>
        <v>-5.063024814079501E-3</v>
      </c>
      <c r="F1393" s="9">
        <f t="shared" si="65"/>
        <v>-2.5757673034156516E-3</v>
      </c>
      <c r="G1393" s="9">
        <f t="shared" si="66"/>
        <v>1.2926563961481412E-2</v>
      </c>
    </row>
    <row r="1394" spans="1:7" x14ac:dyDescent="0.2">
      <c r="A1394" s="12">
        <v>38922</v>
      </c>
      <c r="B1394" s="9">
        <v>369.03</v>
      </c>
      <c r="C1394" s="9">
        <v>363.96</v>
      </c>
      <c r="D1394" s="9">
        <v>368.72</v>
      </c>
      <c r="E1394" s="9">
        <f t="shared" si="64"/>
        <v>1.1593304877492279E-2</v>
      </c>
      <c r="F1394" s="9">
        <f t="shared" si="65"/>
        <v>1.3928182121126122E-2</v>
      </c>
      <c r="G1394" s="9">
        <f t="shared" si="66"/>
        <v>1.3064601535428702E-2</v>
      </c>
    </row>
    <row r="1395" spans="1:7" x14ac:dyDescent="0.2">
      <c r="A1395" s="12">
        <v>38923</v>
      </c>
      <c r="B1395" s="9">
        <v>370.96</v>
      </c>
      <c r="C1395" s="9">
        <v>368.48</v>
      </c>
      <c r="D1395" s="9">
        <v>368.52</v>
      </c>
      <c r="E1395" s="9">
        <f t="shared" si="64"/>
        <v>-5.4256417152161228E-4</v>
      </c>
      <c r="F1395" s="9">
        <f t="shared" si="65"/>
        <v>5.147611914481711E-2</v>
      </c>
      <c r="G1395" s="9">
        <f t="shared" si="66"/>
        <v>1.0855443245317405E-2</v>
      </c>
    </row>
    <row r="1396" spans="1:7" x14ac:dyDescent="0.2">
      <c r="A1396" s="12">
        <v>38924</v>
      </c>
      <c r="B1396" s="9">
        <v>371.48</v>
      </c>
      <c r="C1396" s="9">
        <v>368.46</v>
      </c>
      <c r="D1396" s="9">
        <v>369.35</v>
      </c>
      <c r="E1396" s="9">
        <f t="shared" si="64"/>
        <v>2.2497197340155461E-3</v>
      </c>
      <c r="F1396" s="9">
        <f t="shared" si="65"/>
        <v>4.8283997451131412E-2</v>
      </c>
      <c r="G1396" s="9">
        <f t="shared" si="66"/>
        <v>1.0833284080909032E-2</v>
      </c>
    </row>
    <row r="1397" spans="1:7" x14ac:dyDescent="0.2">
      <c r="A1397" s="12">
        <v>38925</v>
      </c>
      <c r="B1397" s="9">
        <v>372.1</v>
      </c>
      <c r="C1397" s="9">
        <v>369.67</v>
      </c>
      <c r="D1397" s="9">
        <v>371.05</v>
      </c>
      <c r="E1397" s="9">
        <f t="shared" si="64"/>
        <v>4.5921204413958165E-3</v>
      </c>
      <c r="F1397" s="9">
        <f t="shared" si="65"/>
        <v>2.7597379830972532E-2</v>
      </c>
      <c r="G1397" s="9">
        <f t="shared" si="66"/>
        <v>9.8922445218587677E-3</v>
      </c>
    </row>
    <row r="1398" spans="1:7" x14ac:dyDescent="0.2">
      <c r="A1398" s="12">
        <v>38926</v>
      </c>
      <c r="B1398" s="9">
        <v>371.95</v>
      </c>
      <c r="C1398" s="9">
        <v>369.87</v>
      </c>
      <c r="D1398" s="9">
        <v>371.48</v>
      </c>
      <c r="E1398" s="9">
        <f t="shared" si="64"/>
        <v>1.1582024916649957E-3</v>
      </c>
      <c r="F1398" s="9">
        <f t="shared" si="65"/>
        <v>3.3114702409499923E-2</v>
      </c>
      <c r="G1398" s="9">
        <f t="shared" si="66"/>
        <v>9.8418747321721428E-3</v>
      </c>
    </row>
    <row r="1399" spans="1:7" x14ac:dyDescent="0.2">
      <c r="A1399" s="12">
        <v>38929</v>
      </c>
      <c r="B1399" s="9">
        <v>373.42</v>
      </c>
      <c r="C1399" s="9">
        <v>369.29</v>
      </c>
      <c r="D1399" s="9">
        <v>369.29</v>
      </c>
      <c r="E1399" s="9">
        <f t="shared" si="64"/>
        <v>-5.9127836720729767E-3</v>
      </c>
      <c r="F1399" s="9">
        <f t="shared" si="65"/>
        <v>1.0507500855757485E-2</v>
      </c>
      <c r="G1399" s="9">
        <f t="shared" si="66"/>
        <v>9.4652584400941008E-3</v>
      </c>
    </row>
    <row r="1400" spans="1:7" x14ac:dyDescent="0.2">
      <c r="A1400" s="12">
        <v>38930</v>
      </c>
      <c r="B1400" s="9">
        <v>372.32</v>
      </c>
      <c r="C1400" s="9">
        <v>369.15</v>
      </c>
      <c r="D1400" s="9">
        <v>369.72</v>
      </c>
      <c r="E1400" s="9">
        <f t="shared" si="64"/>
        <v>1.1637191608422975E-3</v>
      </c>
      <c r="F1400" s="9">
        <f t="shared" si="65"/>
        <v>2.0908399098660681E-2</v>
      </c>
      <c r="G1400" s="9">
        <f t="shared" si="66"/>
        <v>9.290854572127305E-3</v>
      </c>
    </row>
    <row r="1401" spans="1:7" x14ac:dyDescent="0.2">
      <c r="A1401" s="12">
        <v>38931</v>
      </c>
      <c r="B1401" s="9">
        <v>378.44</v>
      </c>
      <c r="C1401" s="9">
        <v>369.72</v>
      </c>
      <c r="D1401" s="9">
        <v>376.89</v>
      </c>
      <c r="E1401" s="9">
        <f t="shared" si="64"/>
        <v>1.9207405287859136E-2</v>
      </c>
      <c r="F1401" s="9">
        <f t="shared" si="65"/>
        <v>3.8432464906580817E-2</v>
      </c>
      <c r="G1401" s="9">
        <f t="shared" si="66"/>
        <v>9.8867850863304171E-3</v>
      </c>
    </row>
    <row r="1402" spans="1:7" x14ac:dyDescent="0.2">
      <c r="A1402" s="12">
        <v>38932</v>
      </c>
      <c r="B1402" s="9">
        <v>378.88</v>
      </c>
      <c r="C1402" s="9">
        <v>376.77</v>
      </c>
      <c r="D1402" s="9">
        <v>377.78</v>
      </c>
      <c r="E1402" s="9">
        <f t="shared" si="64"/>
        <v>2.3586479192373136E-3</v>
      </c>
      <c r="F1402" s="9">
        <f t="shared" si="65"/>
        <v>3.4469458043004393E-2</v>
      </c>
      <c r="G1402" s="9">
        <f t="shared" si="66"/>
        <v>9.843494828057249E-3</v>
      </c>
    </row>
    <row r="1403" spans="1:7" x14ac:dyDescent="0.2">
      <c r="A1403" s="12">
        <v>38933</v>
      </c>
      <c r="B1403" s="9">
        <v>379.92</v>
      </c>
      <c r="C1403" s="9">
        <v>377.12</v>
      </c>
      <c r="D1403" s="9">
        <v>377.73</v>
      </c>
      <c r="E1403" s="9">
        <f t="shared" si="64"/>
        <v>-1.3236092195454831E-4</v>
      </c>
      <c r="F1403" s="9">
        <f t="shared" si="65"/>
        <v>3.2913375491885645E-2</v>
      </c>
      <c r="G1403" s="9">
        <f t="shared" si="66"/>
        <v>9.8460966657537303E-3</v>
      </c>
    </row>
    <row r="1404" spans="1:7" x14ac:dyDescent="0.2">
      <c r="A1404" s="12">
        <v>38936</v>
      </c>
      <c r="B1404" s="9">
        <v>377.73</v>
      </c>
      <c r="C1404" s="9">
        <v>374.88</v>
      </c>
      <c r="D1404" s="9">
        <v>375.51</v>
      </c>
      <c r="E1404" s="9">
        <f t="shared" si="64"/>
        <v>-5.8945526736770802E-3</v>
      </c>
      <c r="F1404" s="9">
        <f t="shared" si="65"/>
        <v>2.0283688901318823E-2</v>
      </c>
      <c r="G1404" s="9">
        <f t="shared" si="66"/>
        <v>9.8667013977434791E-3</v>
      </c>
    </row>
    <row r="1405" spans="1:7" x14ac:dyDescent="0.2">
      <c r="A1405" s="12">
        <v>38937</v>
      </c>
      <c r="B1405" s="9">
        <v>377.29</v>
      </c>
      <c r="C1405" s="9">
        <v>373.4</v>
      </c>
      <c r="D1405" s="9">
        <v>374.55</v>
      </c>
      <c r="E1405" s="9">
        <f t="shared" si="64"/>
        <v>-2.559796614149879E-3</v>
      </c>
      <c r="F1405" s="9">
        <f t="shared" si="65"/>
        <v>4.4940953939989217E-2</v>
      </c>
      <c r="G1405" s="9">
        <f t="shared" si="66"/>
        <v>8.3776745625435689E-3</v>
      </c>
    </row>
    <row r="1406" spans="1:7" x14ac:dyDescent="0.2">
      <c r="A1406" s="12">
        <v>38938</v>
      </c>
      <c r="B1406" s="9">
        <v>375.63</v>
      </c>
      <c r="C1406" s="9">
        <v>371.26</v>
      </c>
      <c r="D1406" s="9">
        <v>373.61</v>
      </c>
      <c r="E1406" s="9">
        <f t="shared" si="64"/>
        <v>-2.5128328021341443E-3</v>
      </c>
      <c r="F1406" s="9">
        <f t="shared" si="65"/>
        <v>3.7997725326486209E-2</v>
      </c>
      <c r="G1406" s="9">
        <f t="shared" si="66"/>
        <v>8.3897696936904922E-3</v>
      </c>
    </row>
    <row r="1407" spans="1:7" x14ac:dyDescent="0.2">
      <c r="A1407" s="12">
        <v>38939</v>
      </c>
      <c r="B1407" s="9">
        <v>374.01</v>
      </c>
      <c r="C1407" s="9">
        <v>370.42</v>
      </c>
      <c r="D1407" s="9">
        <v>373.03</v>
      </c>
      <c r="E1407" s="9">
        <f t="shared" si="64"/>
        <v>-1.5536272277535993E-3</v>
      </c>
      <c r="F1407" s="9">
        <f t="shared" si="65"/>
        <v>2.4642349799737163E-2</v>
      </c>
      <c r="G1407" s="9">
        <f t="shared" si="66"/>
        <v>8.1627357273377221E-3</v>
      </c>
    </row>
    <row r="1408" spans="1:7" x14ac:dyDescent="0.2">
      <c r="A1408" s="12">
        <v>38940</v>
      </c>
      <c r="B1408" s="9">
        <v>373.83</v>
      </c>
      <c r="C1408" s="9">
        <v>371.2</v>
      </c>
      <c r="D1408" s="9">
        <v>373.12</v>
      </c>
      <c r="E1408" s="9">
        <f t="shared" si="64"/>
        <v>2.4123835806868585E-4</v>
      </c>
      <c r="F1408" s="9">
        <f t="shared" si="65"/>
        <v>5.6710672999974367E-3</v>
      </c>
      <c r="G1408" s="9">
        <f t="shared" si="66"/>
        <v>7.3868104737727213E-3</v>
      </c>
    </row>
    <row r="1409" spans="1:7" x14ac:dyDescent="0.2">
      <c r="A1409" s="12">
        <v>38943</v>
      </c>
      <c r="B1409" s="9">
        <v>378.18</v>
      </c>
      <c r="C1409" s="9">
        <v>373.22</v>
      </c>
      <c r="D1409" s="9">
        <v>378.16</v>
      </c>
      <c r="E1409" s="9">
        <f t="shared" si="64"/>
        <v>1.3417302762908E-2</v>
      </c>
      <c r="F1409" s="9">
        <f t="shared" si="65"/>
        <v>1.3819399030170732E-2</v>
      </c>
      <c r="G1409" s="9">
        <f t="shared" si="66"/>
        <v>7.7222299615683811E-3</v>
      </c>
    </row>
    <row r="1410" spans="1:7" x14ac:dyDescent="0.2">
      <c r="A1410" s="12">
        <v>38944</v>
      </c>
      <c r="B1410" s="9">
        <v>381.42</v>
      </c>
      <c r="C1410" s="9">
        <v>376.62</v>
      </c>
      <c r="D1410" s="9">
        <v>381.37</v>
      </c>
      <c r="E1410" s="9">
        <f t="shared" si="64"/>
        <v>8.4526460103217134E-3</v>
      </c>
      <c r="F1410" s="9">
        <f t="shared" si="65"/>
        <v>1.9487497470309388E-2</v>
      </c>
      <c r="G1410" s="9">
        <f t="shared" si="66"/>
        <v>7.8493418545457216E-3</v>
      </c>
    </row>
    <row r="1411" spans="1:7" x14ac:dyDescent="0.2">
      <c r="A1411" s="12">
        <v>38945</v>
      </c>
      <c r="B1411" s="9">
        <v>381.68</v>
      </c>
      <c r="C1411" s="9">
        <v>378.79</v>
      </c>
      <c r="D1411" s="9">
        <v>380.43</v>
      </c>
      <c r="E1411" s="9">
        <f t="shared" si="64"/>
        <v>-2.4678405803846503E-3</v>
      </c>
      <c r="F1411" s="9">
        <f t="shared" si="65"/>
        <v>2.6286816970342231E-2</v>
      </c>
      <c r="G1411" s="9">
        <f t="shared" si="66"/>
        <v>7.6487284657738861E-3</v>
      </c>
    </row>
    <row r="1412" spans="1:7" x14ac:dyDescent="0.2">
      <c r="A1412" s="12">
        <v>38946</v>
      </c>
      <c r="B1412" s="9">
        <v>381.73</v>
      </c>
      <c r="C1412" s="9">
        <v>379.52</v>
      </c>
      <c r="D1412" s="9">
        <v>379.65</v>
      </c>
      <c r="E1412" s="9">
        <f t="shared" ref="E1412:E1475" si="67">LN(D1412/D1411)</f>
        <v>-2.0524162556752133E-3</v>
      </c>
      <c r="F1412" s="9">
        <f t="shared" si="65"/>
        <v>1.9227526005626362E-2</v>
      </c>
      <c r="G1412" s="9">
        <f t="shared" si="66"/>
        <v>7.6258226274701166E-3</v>
      </c>
    </row>
    <row r="1413" spans="1:7" x14ac:dyDescent="0.2">
      <c r="A1413" s="12">
        <v>38947</v>
      </c>
      <c r="B1413" s="9">
        <v>382.61</v>
      </c>
      <c r="C1413" s="9">
        <v>379.62</v>
      </c>
      <c r="D1413" s="9">
        <v>381.53</v>
      </c>
      <c r="E1413" s="9">
        <f t="shared" si="67"/>
        <v>4.9397089329163207E-3</v>
      </c>
      <c r="F1413" s="9">
        <f t="shared" si="65"/>
        <v>2.5134353002317231E-2</v>
      </c>
      <c r="G1413" s="9">
        <f t="shared" si="66"/>
        <v>7.659055403324142E-3</v>
      </c>
    </row>
    <row r="1414" spans="1:7" x14ac:dyDescent="0.2">
      <c r="A1414" s="12">
        <v>38950</v>
      </c>
      <c r="B1414" s="9">
        <v>381.81</v>
      </c>
      <c r="C1414" s="9">
        <v>379.74</v>
      </c>
      <c r="D1414" s="9">
        <v>380.26</v>
      </c>
      <c r="E1414" s="9">
        <f t="shared" si="67"/>
        <v>-3.3342553107188976E-3</v>
      </c>
      <c r="F1414" s="9">
        <f t="shared" si="65"/>
        <v>2.2714346592301399E-2</v>
      </c>
      <c r="G1414" s="9">
        <f t="shared" si="66"/>
        <v>7.6908229531705268E-3</v>
      </c>
    </row>
    <row r="1415" spans="1:7" x14ac:dyDescent="0.2">
      <c r="A1415" s="12">
        <v>38951</v>
      </c>
      <c r="B1415" s="9">
        <v>382.07</v>
      </c>
      <c r="C1415" s="9">
        <v>379.5</v>
      </c>
      <c r="D1415" s="9">
        <v>381.92</v>
      </c>
      <c r="E1415" s="9">
        <f t="shared" si="67"/>
        <v>4.355933309080115E-3</v>
      </c>
      <c r="F1415" s="9">
        <f t="shared" si="65"/>
        <v>3.0060865832930085E-2</v>
      </c>
      <c r="G1415" s="9">
        <f t="shared" si="66"/>
        <v>7.6843340864405363E-3</v>
      </c>
    </row>
    <row r="1416" spans="1:7" x14ac:dyDescent="0.2">
      <c r="A1416" s="12">
        <v>38952</v>
      </c>
      <c r="B1416" s="9">
        <v>381.96</v>
      </c>
      <c r="C1416" s="9">
        <v>379.51</v>
      </c>
      <c r="D1416" s="9">
        <v>379.67</v>
      </c>
      <c r="E1416" s="9">
        <f t="shared" si="67"/>
        <v>-5.9087082187328005E-3</v>
      </c>
      <c r="F1416" s="9">
        <f t="shared" si="65"/>
        <v>2.0731232784129985E-2</v>
      </c>
      <c r="G1416" s="9">
        <f t="shared" si="66"/>
        <v>7.7713588829175211E-3</v>
      </c>
    </row>
    <row r="1417" spans="1:7" x14ac:dyDescent="0.2">
      <c r="A1417" s="12">
        <v>38953</v>
      </c>
      <c r="B1417" s="9">
        <v>379.47</v>
      </c>
      <c r="C1417" s="9">
        <v>376.3</v>
      </c>
      <c r="D1417" s="9">
        <v>378.26</v>
      </c>
      <c r="E1417" s="9">
        <f t="shared" si="67"/>
        <v>-3.720664511478948E-3</v>
      </c>
      <c r="F1417" s="9">
        <f t="shared" si="65"/>
        <v>3.174699271330049E-2</v>
      </c>
      <c r="G1417" s="9">
        <f t="shared" si="66"/>
        <v>7.2607544549209814E-3</v>
      </c>
    </row>
    <row r="1418" spans="1:7" x14ac:dyDescent="0.2">
      <c r="A1418" s="12">
        <v>38954</v>
      </c>
      <c r="B1418" s="9">
        <v>380.76</v>
      </c>
      <c r="C1418" s="9">
        <v>377.7</v>
      </c>
      <c r="D1418" s="9">
        <v>380.18</v>
      </c>
      <c r="E1418" s="9">
        <f t="shared" si="67"/>
        <v>5.0630349176991893E-3</v>
      </c>
      <c r="F1418" s="9">
        <f t="shared" si="65"/>
        <v>4.0665282792253406E-2</v>
      </c>
      <c r="G1418" s="9">
        <f t="shared" si="66"/>
        <v>7.2351702710065947E-3</v>
      </c>
    </row>
    <row r="1419" spans="1:7" x14ac:dyDescent="0.2">
      <c r="A1419" s="12">
        <v>38957</v>
      </c>
      <c r="B1419" s="9">
        <v>380.31</v>
      </c>
      <c r="C1419" s="9">
        <v>377.4</v>
      </c>
      <c r="D1419" s="9">
        <v>380.19</v>
      </c>
      <c r="E1419" s="9">
        <f t="shared" si="67"/>
        <v>2.6302984075123835E-5</v>
      </c>
      <c r="F1419" s="9">
        <f t="shared" si="65"/>
        <v>5.9077251789812851E-2</v>
      </c>
      <c r="G1419" s="9">
        <f t="shared" si="66"/>
        <v>6.2113237486397885E-3</v>
      </c>
    </row>
    <row r="1420" spans="1:7" x14ac:dyDescent="0.2">
      <c r="A1420" s="12">
        <v>38958</v>
      </c>
      <c r="B1420" s="9">
        <v>386.47</v>
      </c>
      <c r="C1420" s="9">
        <v>379.04</v>
      </c>
      <c r="D1420" s="9">
        <v>384.5</v>
      </c>
      <c r="E1420" s="9">
        <f t="shared" si="67"/>
        <v>1.1272661183616191E-2</v>
      </c>
      <c r="F1420" s="9">
        <f t="shared" si="65"/>
        <v>6.6729041680427051E-2</v>
      </c>
      <c r="G1420" s="9">
        <f t="shared" si="66"/>
        <v>6.4345774156554436E-3</v>
      </c>
    </row>
    <row r="1421" spans="1:7" x14ac:dyDescent="0.2">
      <c r="A1421" s="12">
        <v>38959</v>
      </c>
      <c r="B1421" s="9">
        <v>392.65</v>
      </c>
      <c r="C1421" s="9">
        <v>385.03</v>
      </c>
      <c r="D1421" s="9">
        <v>391.39</v>
      </c>
      <c r="E1421" s="9">
        <f t="shared" si="67"/>
        <v>1.7760716379719391E-2</v>
      </c>
      <c r="F1421" s="9">
        <f t="shared" si="65"/>
        <v>7.8115543644692531E-2</v>
      </c>
      <c r="G1421" s="9">
        <f t="shared" si="66"/>
        <v>6.9988828519556298E-3</v>
      </c>
    </row>
    <row r="1422" spans="1:7" x14ac:dyDescent="0.2">
      <c r="A1422" s="12">
        <v>38960</v>
      </c>
      <c r="B1422" s="9">
        <v>393.03</v>
      </c>
      <c r="C1422" s="9">
        <v>388.94</v>
      </c>
      <c r="D1422" s="9">
        <v>390.57</v>
      </c>
      <c r="E1422" s="9">
        <f t="shared" si="67"/>
        <v>-2.097294748002642E-3</v>
      </c>
      <c r="F1422" s="9">
        <f t="shared" si="65"/>
        <v>6.4099942228575402E-2</v>
      </c>
      <c r="G1422" s="9">
        <f t="shared" si="66"/>
        <v>6.8212150576483586E-3</v>
      </c>
    </row>
    <row r="1423" spans="1:7" x14ac:dyDescent="0.2">
      <c r="A1423" s="12">
        <v>38961</v>
      </c>
      <c r="B1423" s="9">
        <v>390.97</v>
      </c>
      <c r="C1423" s="9">
        <v>387.78</v>
      </c>
      <c r="D1423" s="9">
        <v>388.4</v>
      </c>
      <c r="E1423" s="9">
        <f t="shared" si="67"/>
        <v>-5.5714741602455762E-3</v>
      </c>
      <c r="F1423" s="9">
        <f t="shared" si="65"/>
        <v>6.3591492882409201E-2</v>
      </c>
      <c r="G1423" s="9">
        <f t="shared" si="66"/>
        <v>6.8403254845208535E-3</v>
      </c>
    </row>
    <row r="1424" spans="1:7" x14ac:dyDescent="0.2">
      <c r="A1424" s="12">
        <v>38964</v>
      </c>
      <c r="B1424" s="9">
        <v>389.79</v>
      </c>
      <c r="C1424" s="9">
        <v>387.69</v>
      </c>
      <c r="D1424" s="9">
        <v>388.63</v>
      </c>
      <c r="E1424" s="9">
        <f t="shared" si="67"/>
        <v>5.9199775225462592E-4</v>
      </c>
      <c r="F1424" s="9">
        <f t="shared" si="65"/>
        <v>5.25901857571714E-2</v>
      </c>
      <c r="G1424" s="9">
        <f t="shared" si="66"/>
        <v>6.6058027876634302E-3</v>
      </c>
    </row>
    <row r="1425" spans="1:7" x14ac:dyDescent="0.2">
      <c r="A1425" s="12">
        <v>38965</v>
      </c>
      <c r="B1425" s="9">
        <v>389.42</v>
      </c>
      <c r="C1425" s="9">
        <v>387.68</v>
      </c>
      <c r="D1425" s="9">
        <v>388.59</v>
      </c>
      <c r="E1425" s="9">
        <f t="shared" si="67"/>
        <v>-1.0293095915012569E-4</v>
      </c>
      <c r="F1425" s="9">
        <f t="shared" si="65"/>
        <v>5.3029818969543063E-2</v>
      </c>
      <c r="G1425" s="9">
        <f t="shared" si="66"/>
        <v>6.6010205596848115E-3</v>
      </c>
    </row>
    <row r="1426" spans="1:7" x14ac:dyDescent="0.2">
      <c r="A1426" s="12">
        <v>38966</v>
      </c>
      <c r="B1426" s="9">
        <v>395.04</v>
      </c>
      <c r="C1426" s="9">
        <v>389.1</v>
      </c>
      <c r="D1426" s="9">
        <v>393.01</v>
      </c>
      <c r="E1426" s="9">
        <f t="shared" si="67"/>
        <v>1.1310253627881784E-2</v>
      </c>
      <c r="F1426" s="9">
        <f t="shared" si="65"/>
        <v>6.2090352863409214E-2</v>
      </c>
      <c r="G1426" s="9">
        <f t="shared" si="66"/>
        <v>6.8272349077240294E-3</v>
      </c>
    </row>
    <row r="1427" spans="1:7" x14ac:dyDescent="0.2">
      <c r="A1427" s="12">
        <v>38967</v>
      </c>
      <c r="B1427" s="9">
        <v>392.8</v>
      </c>
      <c r="C1427" s="9">
        <v>389.01</v>
      </c>
      <c r="D1427" s="9">
        <v>389.54</v>
      </c>
      <c r="E1427" s="9">
        <f t="shared" si="67"/>
        <v>-8.8685010364023195E-3</v>
      </c>
      <c r="F1427" s="9">
        <f t="shared" si="65"/>
        <v>4.8629731385611288E-2</v>
      </c>
      <c r="G1427" s="9">
        <f t="shared" si="66"/>
        <v>7.0928920305610666E-3</v>
      </c>
    </row>
    <row r="1428" spans="1:7" x14ac:dyDescent="0.2">
      <c r="A1428" s="12">
        <v>38968</v>
      </c>
      <c r="B1428" s="9">
        <v>392.32</v>
      </c>
      <c r="C1428" s="9">
        <v>389.54</v>
      </c>
      <c r="D1428" s="9">
        <v>391.21</v>
      </c>
      <c r="E1428" s="9">
        <f t="shared" si="67"/>
        <v>4.2779444043847849E-3</v>
      </c>
      <c r="F1428" s="9">
        <f t="shared" si="65"/>
        <v>5.1749473298330843E-2</v>
      </c>
      <c r="G1428" s="9">
        <f t="shared" si="66"/>
        <v>7.1087251025863064E-3</v>
      </c>
    </row>
    <row r="1429" spans="1:7" x14ac:dyDescent="0.2">
      <c r="A1429" s="12">
        <v>38971</v>
      </c>
      <c r="B1429" s="9">
        <v>391.75</v>
      </c>
      <c r="C1429" s="9">
        <v>388.3</v>
      </c>
      <c r="D1429" s="9">
        <v>388.36</v>
      </c>
      <c r="E1429" s="9">
        <f t="shared" si="67"/>
        <v>-7.3117557041943474E-3</v>
      </c>
      <c r="F1429" s="9">
        <f t="shared" si="65"/>
        <v>5.0350501266209449E-2</v>
      </c>
      <c r="G1429" s="9">
        <f t="shared" si="66"/>
        <v>7.164922052727991E-3</v>
      </c>
    </row>
    <row r="1430" spans="1:7" x14ac:dyDescent="0.2">
      <c r="A1430" s="12">
        <v>38972</v>
      </c>
      <c r="B1430" s="9">
        <v>389.81</v>
      </c>
      <c r="C1430" s="9">
        <v>387.82</v>
      </c>
      <c r="D1430" s="9">
        <v>389.13</v>
      </c>
      <c r="E1430" s="9">
        <f t="shared" si="67"/>
        <v>1.9807335187472779E-3</v>
      </c>
      <c r="F1430" s="9">
        <f t="shared" si="65"/>
        <v>5.116751562411441E-2</v>
      </c>
      <c r="G1430" s="9">
        <f t="shared" si="66"/>
        <v>7.1644512099090056E-3</v>
      </c>
    </row>
    <row r="1431" spans="1:7" x14ac:dyDescent="0.2">
      <c r="A1431" s="12">
        <v>38973</v>
      </c>
      <c r="B1431" s="9">
        <v>393.92</v>
      </c>
      <c r="C1431" s="9">
        <v>389.23</v>
      </c>
      <c r="D1431" s="9">
        <v>393.92</v>
      </c>
      <c r="E1431" s="9">
        <f t="shared" si="67"/>
        <v>1.223436497539733E-2</v>
      </c>
      <c r="F1431" s="9">
        <f t="shared" si="65"/>
        <v>4.4194475311652527E-2</v>
      </c>
      <c r="G1431" s="9">
        <f t="shared" si="66"/>
        <v>6.6733442349447497E-3</v>
      </c>
    </row>
    <row r="1432" spans="1:7" x14ac:dyDescent="0.2">
      <c r="A1432" s="12">
        <v>38974</v>
      </c>
      <c r="B1432" s="9">
        <v>395.86</v>
      </c>
      <c r="C1432" s="9">
        <v>393.68</v>
      </c>
      <c r="D1432" s="9">
        <v>395.02</v>
      </c>
      <c r="E1432" s="9">
        <f t="shared" si="67"/>
        <v>2.7885535346228178E-3</v>
      </c>
      <c r="F1432" s="9">
        <f t="shared" si="65"/>
        <v>4.4624380927038153E-2</v>
      </c>
      <c r="G1432" s="9">
        <f t="shared" si="66"/>
        <v>6.6757724466849034E-3</v>
      </c>
    </row>
    <row r="1433" spans="1:7" x14ac:dyDescent="0.2">
      <c r="A1433" s="12">
        <v>38975</v>
      </c>
      <c r="B1433" s="9">
        <v>395.86</v>
      </c>
      <c r="C1433" s="9">
        <v>391.36</v>
      </c>
      <c r="D1433" s="9">
        <v>392.13</v>
      </c>
      <c r="E1433" s="9">
        <f t="shared" si="67"/>
        <v>-7.3429790651415418E-3</v>
      </c>
      <c r="F1433" s="9">
        <f t="shared" si="65"/>
        <v>3.7413762783851112E-2</v>
      </c>
      <c r="G1433" s="9">
        <f t="shared" si="66"/>
        <v>6.8632761054532665E-3</v>
      </c>
    </row>
    <row r="1434" spans="1:7" x14ac:dyDescent="0.2">
      <c r="A1434" s="12">
        <v>38978</v>
      </c>
      <c r="B1434" s="9">
        <v>393.72</v>
      </c>
      <c r="C1434" s="9">
        <v>391.1</v>
      </c>
      <c r="D1434" s="9">
        <v>392.22</v>
      </c>
      <c r="E1434" s="9">
        <f t="shared" si="67"/>
        <v>2.294893871231818E-4</v>
      </c>
      <c r="F1434" s="9">
        <f t="shared" si="65"/>
        <v>4.3537804844651411E-2</v>
      </c>
      <c r="G1434" s="9">
        <f t="shared" si="66"/>
        <v>6.7333808063391384E-3</v>
      </c>
    </row>
    <row r="1435" spans="1:7" x14ac:dyDescent="0.2">
      <c r="A1435" s="12">
        <v>38979</v>
      </c>
      <c r="B1435" s="9">
        <v>393.27</v>
      </c>
      <c r="C1435" s="9">
        <v>389.81</v>
      </c>
      <c r="D1435" s="9">
        <v>392.52</v>
      </c>
      <c r="E1435" s="9">
        <f t="shared" si="67"/>
        <v>7.6458448559957066E-4</v>
      </c>
      <c r="F1435" s="9">
        <f t="shared" si="65"/>
        <v>4.6862185944400919E-2</v>
      </c>
      <c r="G1435" s="9">
        <f t="shared" si="66"/>
        <v>6.6923235972578951E-3</v>
      </c>
    </row>
    <row r="1436" spans="1:7" x14ac:dyDescent="0.2">
      <c r="A1436" s="12">
        <v>38980</v>
      </c>
      <c r="B1436" s="9">
        <v>392.86</v>
      </c>
      <c r="C1436" s="9">
        <v>390.88</v>
      </c>
      <c r="D1436" s="9">
        <v>392.78</v>
      </c>
      <c r="E1436" s="9">
        <f t="shared" si="67"/>
        <v>6.6216734878412817E-4</v>
      </c>
      <c r="F1436" s="9">
        <f t="shared" si="65"/>
        <v>5.0037186095319118E-2</v>
      </c>
      <c r="G1436" s="9">
        <f t="shared" si="66"/>
        <v>6.6506354678487157E-3</v>
      </c>
    </row>
    <row r="1437" spans="1:7" x14ac:dyDescent="0.2">
      <c r="A1437" s="12">
        <v>38981</v>
      </c>
      <c r="B1437" s="9">
        <v>397.01</v>
      </c>
      <c r="C1437" s="9">
        <v>392.89</v>
      </c>
      <c r="D1437" s="9">
        <v>396.75</v>
      </c>
      <c r="E1437" s="9">
        <f t="shared" si="67"/>
        <v>1.0056700719441501E-2</v>
      </c>
      <c r="F1437" s="9">
        <f t="shared" si="65"/>
        <v>6.1647514042514312E-2</v>
      </c>
      <c r="G1437" s="9">
        <f t="shared" si="66"/>
        <v>6.7929930522124616E-3</v>
      </c>
    </row>
    <row r="1438" spans="1:7" x14ac:dyDescent="0.2">
      <c r="A1438" s="12">
        <v>38982</v>
      </c>
      <c r="B1438" s="9">
        <v>396.33</v>
      </c>
      <c r="C1438" s="9">
        <v>393.47</v>
      </c>
      <c r="D1438" s="9">
        <v>394.12</v>
      </c>
      <c r="E1438" s="9">
        <f t="shared" si="67"/>
        <v>-6.6509279522446478E-3</v>
      </c>
      <c r="F1438" s="9">
        <f t="shared" si="65"/>
        <v>5.4755347732201039E-2</v>
      </c>
      <c r="G1438" s="9">
        <f t="shared" si="66"/>
        <v>6.9706695691854337E-3</v>
      </c>
    </row>
    <row r="1439" spans="1:7" x14ac:dyDescent="0.2">
      <c r="A1439" s="12">
        <v>38985</v>
      </c>
      <c r="B1439" s="9">
        <v>397.45</v>
      </c>
      <c r="C1439" s="9">
        <v>393.97</v>
      </c>
      <c r="D1439" s="9">
        <v>395.67</v>
      </c>
      <c r="E1439" s="9">
        <f t="shared" si="67"/>
        <v>3.9250990516292916E-3</v>
      </c>
      <c r="F1439" s="9">
        <f t="shared" si="65"/>
        <v>4.5263144020922144E-2</v>
      </c>
      <c r="G1439" s="9">
        <f t="shared" si="66"/>
        <v>6.6336283100673415E-3</v>
      </c>
    </row>
    <row r="1440" spans="1:7" x14ac:dyDescent="0.2">
      <c r="A1440" s="12">
        <v>38986</v>
      </c>
      <c r="B1440" s="9">
        <v>401.31</v>
      </c>
      <c r="C1440" s="9">
        <v>395.99</v>
      </c>
      <c r="D1440" s="9">
        <v>400.72</v>
      </c>
      <c r="E1440" s="9">
        <f t="shared" si="67"/>
        <v>1.2682398543458307E-2</v>
      </c>
      <c r="F1440" s="9">
        <f t="shared" si="65"/>
        <v>4.9492896554058814E-2</v>
      </c>
      <c r="G1440" s="9">
        <f t="shared" si="66"/>
        <v>6.828393813963273E-3</v>
      </c>
    </row>
    <row r="1441" spans="1:7" x14ac:dyDescent="0.2">
      <c r="A1441" s="12">
        <v>38987</v>
      </c>
      <c r="B1441" s="9">
        <v>405.12</v>
      </c>
      <c r="C1441" s="9">
        <v>400.12</v>
      </c>
      <c r="D1441" s="9">
        <v>405.12</v>
      </c>
      <c r="E1441" s="9">
        <f t="shared" si="67"/>
        <v>1.0920390466395221E-2</v>
      </c>
      <c r="F1441" s="9">
        <f t="shared" ref="F1441:F1504" si="68">LN(D1441/D1411)</f>
        <v>6.2881127600838707E-2</v>
      </c>
      <c r="G1441" s="9">
        <f t="shared" si="66"/>
        <v>6.9856921372389658E-3</v>
      </c>
    </row>
    <row r="1442" spans="1:7" x14ac:dyDescent="0.2">
      <c r="A1442" s="12">
        <v>38988</v>
      </c>
      <c r="B1442" s="9">
        <v>405.28</v>
      </c>
      <c r="C1442" s="9">
        <v>401.69</v>
      </c>
      <c r="D1442" s="9">
        <v>402.63</v>
      </c>
      <c r="E1442" s="9">
        <f t="shared" si="67"/>
        <v>-6.1652934379324486E-3</v>
      </c>
      <c r="F1442" s="9">
        <f t="shared" si="68"/>
        <v>5.8768250418581636E-2</v>
      </c>
      <c r="G1442" s="9">
        <f t="shared" si="66"/>
        <v>7.1091805794957401E-3</v>
      </c>
    </row>
    <row r="1443" spans="1:7" x14ac:dyDescent="0.2">
      <c r="A1443" s="12">
        <v>38989</v>
      </c>
      <c r="B1443" s="9">
        <v>404.22</v>
      </c>
      <c r="C1443" s="9">
        <v>401.56</v>
      </c>
      <c r="D1443" s="9">
        <v>403.39</v>
      </c>
      <c r="E1443" s="9">
        <f t="shared" si="67"/>
        <v>1.8858098440012599E-3</v>
      </c>
      <c r="F1443" s="9">
        <f t="shared" si="68"/>
        <v>5.5714351329666664E-2</v>
      </c>
      <c r="G1443" s="9">
        <f t="shared" si="66"/>
        <v>7.0868564721355129E-3</v>
      </c>
    </row>
    <row r="1444" spans="1:7" x14ac:dyDescent="0.2">
      <c r="A1444" s="12">
        <v>38992</v>
      </c>
      <c r="B1444" s="9">
        <v>406.2</v>
      </c>
      <c r="C1444" s="9">
        <v>402.58</v>
      </c>
      <c r="D1444" s="9">
        <v>404.47</v>
      </c>
      <c r="E1444" s="9">
        <f t="shared" si="67"/>
        <v>2.67373218972564E-3</v>
      </c>
      <c r="F1444" s="9">
        <f t="shared" si="68"/>
        <v>6.1722338830111356E-2</v>
      </c>
      <c r="G1444" s="9">
        <f t="shared" si="66"/>
        <v>7.0196656881680924E-3</v>
      </c>
    </row>
    <row r="1445" spans="1:7" x14ac:dyDescent="0.2">
      <c r="A1445" s="12">
        <v>38993</v>
      </c>
      <c r="B1445" s="9">
        <v>405.15</v>
      </c>
      <c r="C1445" s="9">
        <v>403.04</v>
      </c>
      <c r="D1445" s="9">
        <v>404.55</v>
      </c>
      <c r="E1445" s="9">
        <f t="shared" si="67"/>
        <v>1.9777014229742655E-4</v>
      </c>
      <c r="F1445" s="9">
        <f t="shared" si="68"/>
        <v>5.7564175663328672E-2</v>
      </c>
      <c r="G1445" s="9">
        <f t="shared" si="66"/>
        <v>7.0137652895428063E-3</v>
      </c>
    </row>
    <row r="1446" spans="1:7" x14ac:dyDescent="0.2">
      <c r="A1446" s="12">
        <v>38994</v>
      </c>
      <c r="B1446" s="9">
        <v>406.26</v>
      </c>
      <c r="C1446" s="9">
        <v>403.95</v>
      </c>
      <c r="D1446" s="9">
        <v>406.26</v>
      </c>
      <c r="E1446" s="9">
        <f t="shared" si="67"/>
        <v>4.2180104717603846E-3</v>
      </c>
      <c r="F1446" s="9">
        <f t="shared" si="68"/>
        <v>6.7690894353821709E-2</v>
      </c>
      <c r="G1446" s="9">
        <f t="shared" si="66"/>
        <v>6.8661895775699398E-3</v>
      </c>
    </row>
    <row r="1447" spans="1:7" x14ac:dyDescent="0.2">
      <c r="A1447" s="12">
        <v>38995</v>
      </c>
      <c r="B1447" s="9">
        <v>409.8</v>
      </c>
      <c r="C1447" s="9">
        <v>406.49</v>
      </c>
      <c r="D1447" s="9">
        <v>408.57</v>
      </c>
      <c r="E1447" s="9">
        <f t="shared" si="67"/>
        <v>5.6699095233667344E-3</v>
      </c>
      <c r="F1447" s="9">
        <f t="shared" si="68"/>
        <v>7.7081468388667349E-2</v>
      </c>
      <c r="G1447" s="9">
        <f t="shared" ref="G1447:G1510" si="69">STDEV(E1418:E1447)</f>
        <v>6.7980226081598687E-3</v>
      </c>
    </row>
    <row r="1448" spans="1:7" x14ac:dyDescent="0.2">
      <c r="A1448" s="12">
        <v>38996</v>
      </c>
      <c r="B1448" s="9">
        <v>408.93</v>
      </c>
      <c r="C1448" s="9">
        <v>405.63</v>
      </c>
      <c r="D1448" s="9">
        <v>405.91</v>
      </c>
      <c r="E1448" s="9">
        <f t="shared" si="67"/>
        <v>-6.5317980975973973E-3</v>
      </c>
      <c r="F1448" s="9">
        <f t="shared" si="68"/>
        <v>6.5486635373370822E-2</v>
      </c>
      <c r="G1448" s="9">
        <f t="shared" si="69"/>
        <v>6.9785683553242927E-3</v>
      </c>
    </row>
    <row r="1449" spans="1:7" x14ac:dyDescent="0.2">
      <c r="A1449" s="12">
        <v>38999</v>
      </c>
      <c r="B1449" s="9">
        <v>408.64</v>
      </c>
      <c r="C1449" s="9">
        <v>404.16</v>
      </c>
      <c r="D1449" s="9">
        <v>408.64</v>
      </c>
      <c r="E1449" s="9">
        <f t="shared" si="67"/>
        <v>6.7031126927961475E-3</v>
      </c>
      <c r="F1449" s="9">
        <f t="shared" si="68"/>
        <v>7.2163445082091979E-2</v>
      </c>
      <c r="G1449" s="9">
        <f t="shared" si="69"/>
        <v>7.0137983557545854E-3</v>
      </c>
    </row>
    <row r="1450" spans="1:7" x14ac:dyDescent="0.2">
      <c r="A1450" s="12">
        <v>39000</v>
      </c>
      <c r="B1450" s="9">
        <v>411.59</v>
      </c>
      <c r="C1450" s="9">
        <v>408.19</v>
      </c>
      <c r="D1450" s="9">
        <v>411.14</v>
      </c>
      <c r="E1450" s="9">
        <f t="shared" si="67"/>
        <v>6.0992162533524911E-3</v>
      </c>
      <c r="F1450" s="9">
        <f t="shared" si="68"/>
        <v>6.6990000151828225E-2</v>
      </c>
      <c r="G1450" s="9">
        <f t="shared" si="69"/>
        <v>6.8499482978602805E-3</v>
      </c>
    </row>
    <row r="1451" spans="1:7" x14ac:dyDescent="0.2">
      <c r="A1451" s="12">
        <v>39001</v>
      </c>
      <c r="B1451" s="9">
        <v>412.15</v>
      </c>
      <c r="C1451" s="9">
        <v>409.87</v>
      </c>
      <c r="D1451" s="9">
        <v>411.76</v>
      </c>
      <c r="E1451" s="9">
        <f t="shared" si="67"/>
        <v>1.5068662469721883E-3</v>
      </c>
      <c r="F1451" s="9">
        <f t="shared" si="68"/>
        <v>5.0736150019081147E-2</v>
      </c>
      <c r="G1451" s="9">
        <f t="shared" si="69"/>
        <v>6.1904904781324753E-3</v>
      </c>
    </row>
    <row r="1452" spans="1:7" x14ac:dyDescent="0.2">
      <c r="A1452" s="12">
        <v>39002</v>
      </c>
      <c r="B1452" s="9">
        <v>413.9</v>
      </c>
      <c r="C1452" s="9">
        <v>410.93</v>
      </c>
      <c r="D1452" s="9">
        <v>413.9</v>
      </c>
      <c r="E1452" s="9">
        <f t="shared" si="67"/>
        <v>5.1837434101876878E-3</v>
      </c>
      <c r="F1452" s="9">
        <f t="shared" si="68"/>
        <v>5.801718817727123E-2</v>
      </c>
      <c r="G1452" s="9">
        <f t="shared" si="69"/>
        <v>6.1795574426137881E-3</v>
      </c>
    </row>
    <row r="1453" spans="1:7" x14ac:dyDescent="0.2">
      <c r="A1453" s="12">
        <v>39003</v>
      </c>
      <c r="B1453" s="9">
        <v>415.13</v>
      </c>
      <c r="C1453" s="9">
        <v>412.28</v>
      </c>
      <c r="D1453" s="9">
        <v>413.75</v>
      </c>
      <c r="E1453" s="9">
        <f t="shared" si="67"/>
        <v>-3.6247206341396946E-4</v>
      </c>
      <c r="F1453" s="9">
        <f t="shared" si="68"/>
        <v>6.3226190274102922E-2</v>
      </c>
      <c r="G1453" s="9">
        <f t="shared" si="69"/>
        <v>6.0328386886916632E-3</v>
      </c>
    </row>
    <row r="1454" spans="1:7" x14ac:dyDescent="0.2">
      <c r="A1454" s="12">
        <v>39006</v>
      </c>
      <c r="B1454" s="9">
        <v>416.22</v>
      </c>
      <c r="C1454" s="9">
        <v>413.96</v>
      </c>
      <c r="D1454" s="9">
        <v>415.5</v>
      </c>
      <c r="E1454" s="9">
        <f t="shared" si="67"/>
        <v>4.2206876042302126E-3</v>
      </c>
      <c r="F1454" s="9">
        <f t="shared" si="68"/>
        <v>6.6854880126078459E-2</v>
      </c>
      <c r="G1454" s="9">
        <f t="shared" si="69"/>
        <v>6.0377797658132679E-3</v>
      </c>
    </row>
    <row r="1455" spans="1:7" x14ac:dyDescent="0.2">
      <c r="A1455" s="12">
        <v>39007</v>
      </c>
      <c r="B1455" s="9">
        <v>415.66</v>
      </c>
      <c r="C1455" s="9">
        <v>412.89</v>
      </c>
      <c r="D1455" s="9">
        <v>414.18</v>
      </c>
      <c r="E1455" s="9">
        <f t="shared" si="67"/>
        <v>-3.1819523520636357E-3</v>
      </c>
      <c r="F1455" s="9">
        <f t="shared" si="68"/>
        <v>6.3775858733165033E-2</v>
      </c>
      <c r="G1455" s="9">
        <f t="shared" si="69"/>
        <v>6.1045775301287577E-3</v>
      </c>
    </row>
    <row r="1456" spans="1:7" x14ac:dyDescent="0.2">
      <c r="A1456" s="12">
        <v>39008</v>
      </c>
      <c r="B1456" s="9">
        <v>418.28</v>
      </c>
      <c r="C1456" s="9">
        <v>413.86</v>
      </c>
      <c r="D1456" s="9">
        <v>416.03</v>
      </c>
      <c r="E1456" s="9">
        <f t="shared" si="67"/>
        <v>4.4567111022499415E-3</v>
      </c>
      <c r="F1456" s="9">
        <f t="shared" si="68"/>
        <v>5.6922316207533137E-2</v>
      </c>
      <c r="G1456" s="9">
        <f t="shared" si="69"/>
        <v>5.8728605604099664E-3</v>
      </c>
    </row>
    <row r="1457" spans="1:7" x14ac:dyDescent="0.2">
      <c r="A1457" s="12">
        <v>39009</v>
      </c>
      <c r="B1457" s="9">
        <v>417.27</v>
      </c>
      <c r="C1457" s="9">
        <v>414.93</v>
      </c>
      <c r="D1457" s="9">
        <v>417.05</v>
      </c>
      <c r="E1457" s="9">
        <f t="shared" si="67"/>
        <v>2.4487456419315574E-3</v>
      </c>
      <c r="F1457" s="9">
        <f t="shared" si="68"/>
        <v>6.8239562885867022E-2</v>
      </c>
      <c r="G1457" s="9">
        <f t="shared" si="69"/>
        <v>5.5097218975772647E-3</v>
      </c>
    </row>
    <row r="1458" spans="1:7" x14ac:dyDescent="0.2">
      <c r="A1458" s="12">
        <v>39010</v>
      </c>
      <c r="B1458" s="9">
        <v>419.6</v>
      </c>
      <c r="C1458" s="9">
        <v>416.74</v>
      </c>
      <c r="D1458" s="9">
        <v>417.67</v>
      </c>
      <c r="E1458" s="9">
        <f t="shared" si="67"/>
        <v>1.4855283544607132E-3</v>
      </c>
      <c r="F1458" s="9">
        <f t="shared" si="68"/>
        <v>6.5447146835943118E-2</v>
      </c>
      <c r="G1458" s="9">
        <f t="shared" si="69"/>
        <v>5.4982870150573106E-3</v>
      </c>
    </row>
    <row r="1459" spans="1:7" x14ac:dyDescent="0.2">
      <c r="A1459" s="12">
        <v>39013</v>
      </c>
      <c r="B1459" s="9">
        <v>421.43</v>
      </c>
      <c r="C1459" s="9">
        <v>417.88</v>
      </c>
      <c r="D1459" s="9">
        <v>421.43</v>
      </c>
      <c r="E1459" s="9">
        <f t="shared" si="67"/>
        <v>8.9620430612336356E-3</v>
      </c>
      <c r="F1459" s="9">
        <f t="shared" si="68"/>
        <v>8.1720945601370956E-2</v>
      </c>
      <c r="G1459" s="9">
        <f t="shared" si="69"/>
        <v>5.3295768412111415E-3</v>
      </c>
    </row>
    <row r="1460" spans="1:7" x14ac:dyDescent="0.2">
      <c r="A1460" s="12">
        <v>39014</v>
      </c>
      <c r="B1460" s="9">
        <v>421.31</v>
      </c>
      <c r="C1460" s="9">
        <v>418.58</v>
      </c>
      <c r="D1460" s="9">
        <v>419.09</v>
      </c>
      <c r="E1460" s="9">
        <f t="shared" si="67"/>
        <v>-5.5679961107413497E-3</v>
      </c>
      <c r="F1460" s="9">
        <f t="shared" si="68"/>
        <v>7.4172215971882532E-2</v>
      </c>
      <c r="G1460" s="9">
        <f t="shared" si="69"/>
        <v>5.5399274121615419E-3</v>
      </c>
    </row>
    <row r="1461" spans="1:7" x14ac:dyDescent="0.2">
      <c r="A1461" s="12">
        <v>39015</v>
      </c>
      <c r="B1461" s="9">
        <v>424.73</v>
      </c>
      <c r="C1461" s="9">
        <v>418.92</v>
      </c>
      <c r="D1461" s="9">
        <v>424.72</v>
      </c>
      <c r="E1461" s="9">
        <f t="shared" si="67"/>
        <v>1.3344434282842241E-2</v>
      </c>
      <c r="F1461" s="9">
        <f t="shared" si="68"/>
        <v>7.5282285279327302E-2</v>
      </c>
      <c r="G1461" s="9">
        <f t="shared" si="69"/>
        <v>5.610633851901939E-3</v>
      </c>
    </row>
    <row r="1462" spans="1:7" x14ac:dyDescent="0.2">
      <c r="A1462" s="12">
        <v>39016</v>
      </c>
      <c r="B1462" s="9">
        <v>427.04</v>
      </c>
      <c r="C1462" s="9">
        <v>423.56</v>
      </c>
      <c r="D1462" s="9">
        <v>424.51</v>
      </c>
      <c r="E1462" s="9">
        <f t="shared" si="67"/>
        <v>-4.9456567544828951E-4</v>
      </c>
      <c r="F1462" s="9">
        <f t="shared" si="68"/>
        <v>7.1999166069256215E-2</v>
      </c>
      <c r="G1462" s="9">
        <f t="shared" si="69"/>
        <v>5.6369587183589176E-3</v>
      </c>
    </row>
    <row r="1463" spans="1:7" x14ac:dyDescent="0.2">
      <c r="A1463" s="12">
        <v>39017</v>
      </c>
      <c r="B1463" s="9">
        <v>424.66</v>
      </c>
      <c r="C1463" s="9">
        <v>418.06</v>
      </c>
      <c r="D1463" s="9">
        <v>418.71</v>
      </c>
      <c r="E1463" s="9">
        <f t="shared" si="67"/>
        <v>-1.3757006411305265E-2</v>
      </c>
      <c r="F1463" s="9">
        <f t="shared" si="68"/>
        <v>6.5585138723092462E-2</v>
      </c>
      <c r="G1463" s="9">
        <f t="shared" si="69"/>
        <v>6.1201626578835586E-3</v>
      </c>
    </row>
    <row r="1464" spans="1:7" x14ac:dyDescent="0.2">
      <c r="A1464" s="12">
        <v>39020</v>
      </c>
      <c r="B1464" s="9">
        <v>418.28</v>
      </c>
      <c r="C1464" s="9">
        <v>413.1</v>
      </c>
      <c r="D1464" s="9">
        <v>415.77</v>
      </c>
      <c r="E1464" s="9">
        <f t="shared" si="67"/>
        <v>-7.0463334398418315E-3</v>
      </c>
      <c r="F1464" s="9">
        <f t="shared" si="68"/>
        <v>5.8309315896127603E-2</v>
      </c>
      <c r="G1464" s="9">
        <f t="shared" si="69"/>
        <v>6.3405680446728795E-3</v>
      </c>
    </row>
    <row r="1465" spans="1:7" x14ac:dyDescent="0.2">
      <c r="A1465" s="12">
        <v>39021</v>
      </c>
      <c r="B1465" s="9">
        <v>421</v>
      </c>
      <c r="C1465" s="9">
        <v>415.99</v>
      </c>
      <c r="D1465" s="9">
        <v>418.92</v>
      </c>
      <c r="E1465" s="9">
        <f t="shared" si="67"/>
        <v>7.5477481561242237E-3</v>
      </c>
      <c r="F1465" s="9">
        <f t="shared" si="68"/>
        <v>6.5092479566652151E-2</v>
      </c>
      <c r="G1465" s="9">
        <f t="shared" si="69"/>
        <v>6.4175497105713594E-3</v>
      </c>
    </row>
    <row r="1466" spans="1:7" x14ac:dyDescent="0.2">
      <c r="A1466" s="12">
        <v>39022</v>
      </c>
      <c r="B1466" s="9">
        <v>423.49</v>
      </c>
      <c r="C1466" s="9">
        <v>419.24</v>
      </c>
      <c r="D1466" s="9">
        <v>421.74</v>
      </c>
      <c r="E1466" s="9">
        <f t="shared" si="67"/>
        <v>6.7090395109238986E-3</v>
      </c>
      <c r="F1466" s="9">
        <f t="shared" si="68"/>
        <v>7.1139351728792072E-2</v>
      </c>
      <c r="G1466" s="9">
        <f t="shared" si="69"/>
        <v>6.4633633667126574E-3</v>
      </c>
    </row>
    <row r="1467" spans="1:7" x14ac:dyDescent="0.2">
      <c r="A1467" s="12">
        <v>39023</v>
      </c>
      <c r="B1467" s="9">
        <v>423.12</v>
      </c>
      <c r="C1467" s="9">
        <v>418.42</v>
      </c>
      <c r="D1467" s="9">
        <v>420.95</v>
      </c>
      <c r="E1467" s="9">
        <f t="shared" si="67"/>
        <v>-1.8749486321960299E-3</v>
      </c>
      <c r="F1467" s="9">
        <f t="shared" si="68"/>
        <v>5.9207702377154475E-2</v>
      </c>
      <c r="G1467" s="9">
        <f t="shared" si="69"/>
        <v>6.3400667952935377E-3</v>
      </c>
    </row>
    <row r="1468" spans="1:7" x14ac:dyDescent="0.2">
      <c r="A1468" s="12">
        <v>39024</v>
      </c>
      <c r="B1468" s="9">
        <v>424.98</v>
      </c>
      <c r="C1468" s="9">
        <v>421.05</v>
      </c>
      <c r="D1468" s="9">
        <v>424.31</v>
      </c>
      <c r="E1468" s="9">
        <f t="shared" si="67"/>
        <v>7.9502583769057306E-3</v>
      </c>
      <c r="F1468" s="9">
        <f t="shared" si="68"/>
        <v>7.3808888706304948E-2</v>
      </c>
      <c r="G1468" s="9">
        <f t="shared" si="69"/>
        <v>6.2143569220540103E-3</v>
      </c>
    </row>
    <row r="1469" spans="1:7" x14ac:dyDescent="0.2">
      <c r="A1469" s="12">
        <v>39027</v>
      </c>
      <c r="B1469" s="9">
        <v>430.05</v>
      </c>
      <c r="C1469" s="9">
        <v>424.63</v>
      </c>
      <c r="D1469" s="9">
        <v>429.9</v>
      </c>
      <c r="E1469" s="9">
        <f t="shared" si="67"/>
        <v>1.3088303341657051E-2</v>
      </c>
      <c r="F1469" s="9">
        <f t="shared" si="68"/>
        <v>8.2972092996332583E-2</v>
      </c>
      <c r="G1469" s="9">
        <f t="shared" si="69"/>
        <v>6.507128194931198E-3</v>
      </c>
    </row>
    <row r="1470" spans="1:7" x14ac:dyDescent="0.2">
      <c r="A1470" s="12">
        <v>39028</v>
      </c>
      <c r="B1470" s="9">
        <v>432.66</v>
      </c>
      <c r="C1470" s="9">
        <v>428.56</v>
      </c>
      <c r="D1470" s="9">
        <v>429.78</v>
      </c>
      <c r="E1470" s="9">
        <f t="shared" si="67"/>
        <v>-2.7917364782100828E-4</v>
      </c>
      <c r="F1470" s="9">
        <f t="shared" si="68"/>
        <v>7.0010520805053295E-2</v>
      </c>
      <c r="G1470" s="9">
        <f t="shared" si="69"/>
        <v>6.2512619816953146E-3</v>
      </c>
    </row>
    <row r="1471" spans="1:7" x14ac:dyDescent="0.2">
      <c r="A1471" s="12">
        <v>39029</v>
      </c>
      <c r="B1471" s="9">
        <v>431.15</v>
      </c>
      <c r="C1471" s="9">
        <v>427.71</v>
      </c>
      <c r="D1471" s="9">
        <v>430.23</v>
      </c>
      <c r="E1471" s="9">
        <f t="shared" si="67"/>
        <v>1.0464995548159694E-3</v>
      </c>
      <c r="F1471" s="9">
        <f t="shared" si="68"/>
        <v>6.0136629893473896E-2</v>
      </c>
      <c r="G1471" s="9">
        <f t="shared" si="69"/>
        <v>6.0399404547511687E-3</v>
      </c>
    </row>
    <row r="1472" spans="1:7" x14ac:dyDescent="0.2">
      <c r="A1472" s="12">
        <v>39030</v>
      </c>
      <c r="B1472" s="9">
        <v>430.47</v>
      </c>
      <c r="C1472" s="9">
        <v>424.46</v>
      </c>
      <c r="D1472" s="9">
        <v>428.72</v>
      </c>
      <c r="E1472" s="9">
        <f t="shared" si="67"/>
        <v>-3.5159242226358253E-3</v>
      </c>
      <c r="F1472" s="9">
        <f t="shared" si="68"/>
        <v>6.2785999108770627E-2</v>
      </c>
      <c r="G1472" s="9">
        <f t="shared" si="69"/>
        <v>5.9348207979318295E-3</v>
      </c>
    </row>
    <row r="1473" spans="1:7" x14ac:dyDescent="0.2">
      <c r="A1473" s="12">
        <v>39031</v>
      </c>
      <c r="B1473" s="9">
        <v>428.83</v>
      </c>
      <c r="C1473" s="9">
        <v>425.69</v>
      </c>
      <c r="D1473" s="9">
        <v>426.53</v>
      </c>
      <c r="E1473" s="9">
        <f t="shared" si="67"/>
        <v>-5.1213207520479382E-3</v>
      </c>
      <c r="F1473" s="9">
        <f t="shared" si="68"/>
        <v>5.5778868512721388E-2</v>
      </c>
      <c r="G1473" s="9">
        <f t="shared" si="69"/>
        <v>6.07937668008333E-3</v>
      </c>
    </row>
    <row r="1474" spans="1:7" x14ac:dyDescent="0.2">
      <c r="A1474" s="12">
        <v>39034</v>
      </c>
      <c r="B1474" s="9">
        <v>428.17</v>
      </c>
      <c r="C1474" s="9">
        <v>424.72</v>
      </c>
      <c r="D1474" s="9">
        <v>425.24</v>
      </c>
      <c r="E1474" s="9">
        <f t="shared" si="67"/>
        <v>-3.0289890141425241E-3</v>
      </c>
      <c r="F1474" s="9">
        <f t="shared" si="68"/>
        <v>5.0076147308853167E-2</v>
      </c>
      <c r="G1474" s="9">
        <f t="shared" si="69"/>
        <v>6.1418681565832637E-3</v>
      </c>
    </row>
    <row r="1475" spans="1:7" x14ac:dyDescent="0.2">
      <c r="A1475" s="12">
        <v>39035</v>
      </c>
      <c r="B1475" s="9">
        <v>426.58</v>
      </c>
      <c r="C1475" s="9">
        <v>424.04</v>
      </c>
      <c r="D1475" s="9">
        <v>424.43</v>
      </c>
      <c r="E1475" s="9">
        <f t="shared" si="67"/>
        <v>-1.9066231486972649E-3</v>
      </c>
      <c r="F1475" s="9">
        <f t="shared" si="68"/>
        <v>4.7971754017858491E-2</v>
      </c>
      <c r="G1475" s="9">
        <f t="shared" si="69"/>
        <v>6.1712000718006886E-3</v>
      </c>
    </row>
    <row r="1476" spans="1:7" x14ac:dyDescent="0.2">
      <c r="A1476" s="12">
        <v>39036</v>
      </c>
      <c r="B1476" s="9">
        <v>426.82</v>
      </c>
      <c r="C1476" s="9">
        <v>424.18</v>
      </c>
      <c r="D1476" s="9">
        <v>426.41</v>
      </c>
      <c r="E1476" s="9">
        <f t="shared" ref="E1476:E1539" si="70">LN(D1476/D1475)</f>
        <v>4.6542324625285002E-3</v>
      </c>
      <c r="F1476" s="9">
        <f t="shared" si="68"/>
        <v>4.8407976008626744E-2</v>
      </c>
      <c r="G1476" s="9">
        <f t="shared" si="69"/>
        <v>6.1780937664141916E-3</v>
      </c>
    </row>
    <row r="1477" spans="1:7" x14ac:dyDescent="0.2">
      <c r="A1477" s="12">
        <v>39037</v>
      </c>
      <c r="B1477" s="9">
        <v>426.89</v>
      </c>
      <c r="C1477" s="9">
        <v>424.91</v>
      </c>
      <c r="D1477" s="9">
        <v>425.1</v>
      </c>
      <c r="E1477" s="9">
        <f t="shared" si="70"/>
        <v>-3.0768893694912572E-3</v>
      </c>
      <c r="F1477" s="9">
        <f t="shared" si="68"/>
        <v>3.9661177115768796E-2</v>
      </c>
      <c r="G1477" s="9">
        <f t="shared" si="69"/>
        <v>6.1864514039657774E-3</v>
      </c>
    </row>
    <row r="1478" spans="1:7" x14ac:dyDescent="0.2">
      <c r="A1478" s="12">
        <v>39038</v>
      </c>
      <c r="B1478" s="9">
        <v>426.38</v>
      </c>
      <c r="C1478" s="9">
        <v>421.4</v>
      </c>
      <c r="D1478" s="9">
        <v>422.2</v>
      </c>
      <c r="E1478" s="9">
        <f t="shared" si="70"/>
        <v>-6.8452999505243025E-3</v>
      </c>
      <c r="F1478" s="9">
        <f t="shared" si="68"/>
        <v>3.9347675262841851E-2</v>
      </c>
      <c r="G1478" s="9">
        <f t="shared" si="69"/>
        <v>6.2004244589060828E-3</v>
      </c>
    </row>
    <row r="1479" spans="1:7" x14ac:dyDescent="0.2">
      <c r="A1479" s="12">
        <v>39041</v>
      </c>
      <c r="B1479" s="9">
        <v>422.24</v>
      </c>
      <c r="C1479" s="9">
        <v>418.95</v>
      </c>
      <c r="D1479" s="9">
        <v>421.72</v>
      </c>
      <c r="E1479" s="9">
        <f t="shared" si="70"/>
        <v>-1.1375487054712335E-3</v>
      </c>
      <c r="F1479" s="9">
        <f t="shared" si="68"/>
        <v>3.1507013864574607E-2</v>
      </c>
      <c r="G1479" s="9">
        <f t="shared" si="69"/>
        <v>6.1301774518108167E-3</v>
      </c>
    </row>
    <row r="1480" spans="1:7" x14ac:dyDescent="0.2">
      <c r="A1480" s="12">
        <v>39042</v>
      </c>
      <c r="B1480" s="9">
        <v>426.92</v>
      </c>
      <c r="C1480" s="9">
        <v>421.5</v>
      </c>
      <c r="D1480" s="9">
        <v>425.22</v>
      </c>
      <c r="E1480" s="9">
        <f t="shared" si="70"/>
        <v>8.26509534147064E-3</v>
      </c>
      <c r="F1480" s="9">
        <f t="shared" si="68"/>
        <v>3.3672892952692726E-2</v>
      </c>
      <c r="G1480" s="9">
        <f t="shared" si="69"/>
        <v>6.2039998990002995E-3</v>
      </c>
    </row>
    <row r="1481" spans="1:7" x14ac:dyDescent="0.2">
      <c r="A1481" s="12">
        <v>39043</v>
      </c>
      <c r="B1481" s="9">
        <v>430.97</v>
      </c>
      <c r="C1481" s="9">
        <v>426.18</v>
      </c>
      <c r="D1481" s="9">
        <v>430.14</v>
      </c>
      <c r="E1481" s="9">
        <f t="shared" si="70"/>
        <v>1.1504055042616193E-2</v>
      </c>
      <c r="F1481" s="9">
        <f t="shared" si="68"/>
        <v>4.3670081748336684E-2</v>
      </c>
      <c r="G1481" s="9">
        <f t="shared" si="69"/>
        <v>6.4873822364992263E-3</v>
      </c>
    </row>
    <row r="1482" spans="1:7" x14ac:dyDescent="0.2">
      <c r="A1482" s="12">
        <v>39044</v>
      </c>
      <c r="B1482" s="9">
        <v>432.7</v>
      </c>
      <c r="C1482" s="9">
        <v>428.68</v>
      </c>
      <c r="D1482" s="9">
        <v>429.6</v>
      </c>
      <c r="E1482" s="9">
        <f t="shared" si="70"/>
        <v>-1.2561938981808462E-3</v>
      </c>
      <c r="F1482" s="9">
        <f t="shared" si="68"/>
        <v>3.7230144439968402E-2</v>
      </c>
      <c r="G1482" s="9">
        <f t="shared" si="69"/>
        <v>6.4662811365964927E-3</v>
      </c>
    </row>
    <row r="1483" spans="1:7" x14ac:dyDescent="0.2">
      <c r="A1483" s="12">
        <v>39045</v>
      </c>
      <c r="B1483" s="9">
        <v>431.61</v>
      </c>
      <c r="C1483" s="9">
        <v>427.4</v>
      </c>
      <c r="D1483" s="9">
        <v>428.8</v>
      </c>
      <c r="E1483" s="9">
        <f t="shared" si="70"/>
        <v>-1.8639334380627533E-3</v>
      </c>
      <c r="F1483" s="9">
        <f t="shared" si="68"/>
        <v>3.5728683065319684E-2</v>
      </c>
      <c r="G1483" s="9">
        <f t="shared" si="69"/>
        <v>6.4849037363808766E-3</v>
      </c>
    </row>
    <row r="1484" spans="1:7" x14ac:dyDescent="0.2">
      <c r="A1484" s="12">
        <v>39048</v>
      </c>
      <c r="B1484" s="9">
        <v>429.61</v>
      </c>
      <c r="C1484" s="9">
        <v>424.08</v>
      </c>
      <c r="D1484" s="9">
        <v>424.12</v>
      </c>
      <c r="E1484" s="9">
        <f t="shared" si="70"/>
        <v>-1.0974175698994833E-2</v>
      </c>
      <c r="F1484" s="9">
        <f t="shared" si="68"/>
        <v>2.053381976209449E-2</v>
      </c>
      <c r="G1484" s="9">
        <f t="shared" si="69"/>
        <v>6.8246014090308782E-3</v>
      </c>
    </row>
    <row r="1485" spans="1:7" x14ac:dyDescent="0.2">
      <c r="A1485" s="12">
        <v>39049</v>
      </c>
      <c r="B1485" s="9">
        <v>423.48</v>
      </c>
      <c r="C1485" s="9">
        <v>415.63</v>
      </c>
      <c r="D1485" s="9">
        <v>417.74</v>
      </c>
      <c r="E1485" s="9">
        <f t="shared" si="70"/>
        <v>-1.5157204630426378E-2</v>
      </c>
      <c r="F1485" s="9">
        <f t="shared" si="68"/>
        <v>8.5585674837318684E-3</v>
      </c>
      <c r="G1485" s="9">
        <f t="shared" si="69"/>
        <v>7.385702251527522E-3</v>
      </c>
    </row>
    <row r="1486" spans="1:7" x14ac:dyDescent="0.2">
      <c r="A1486" s="12">
        <v>39050</v>
      </c>
      <c r="B1486" s="9">
        <v>425.58</v>
      </c>
      <c r="C1486" s="9">
        <v>418.17</v>
      </c>
      <c r="D1486" s="9">
        <v>425.51</v>
      </c>
      <c r="E1486" s="9">
        <f t="shared" si="70"/>
        <v>1.8429220072727789E-2</v>
      </c>
      <c r="F1486" s="9">
        <f t="shared" si="68"/>
        <v>2.2531076454209566E-2</v>
      </c>
      <c r="G1486" s="9">
        <f t="shared" si="69"/>
        <v>8.0669679865359133E-3</v>
      </c>
    </row>
    <row r="1487" spans="1:7" x14ac:dyDescent="0.2">
      <c r="A1487" s="12">
        <v>39051</v>
      </c>
      <c r="B1487" s="9">
        <v>429.14</v>
      </c>
      <c r="C1487" s="9">
        <v>423.07</v>
      </c>
      <c r="D1487" s="9">
        <v>424.33</v>
      </c>
      <c r="E1487" s="9">
        <f t="shared" si="70"/>
        <v>-2.7769951010007316E-3</v>
      </c>
      <c r="F1487" s="9">
        <f t="shared" si="68"/>
        <v>1.7305335711277171E-2</v>
      </c>
      <c r="G1487" s="9">
        <f t="shared" si="69"/>
        <v>8.085443940399643E-3</v>
      </c>
    </row>
    <row r="1488" spans="1:7" x14ac:dyDescent="0.2">
      <c r="A1488" s="12">
        <v>39052</v>
      </c>
      <c r="B1488" s="9">
        <v>427.01</v>
      </c>
      <c r="C1488" s="9">
        <v>420.95</v>
      </c>
      <c r="D1488" s="9">
        <v>421.11</v>
      </c>
      <c r="E1488" s="9">
        <f t="shared" si="70"/>
        <v>-7.6173721845538079E-3</v>
      </c>
      <c r="F1488" s="9">
        <f t="shared" si="68"/>
        <v>8.2024351722627415E-3</v>
      </c>
      <c r="G1488" s="9">
        <f t="shared" si="69"/>
        <v>8.2198563112926178E-3</v>
      </c>
    </row>
    <row r="1489" spans="1:7" x14ac:dyDescent="0.2">
      <c r="A1489" s="12">
        <v>39055</v>
      </c>
      <c r="B1489" s="9">
        <v>425.87</v>
      </c>
      <c r="C1489" s="9">
        <v>421.43</v>
      </c>
      <c r="D1489" s="9">
        <v>425.84</v>
      </c>
      <c r="E1489" s="9">
        <f t="shared" si="70"/>
        <v>1.1169606650157553E-2</v>
      </c>
      <c r="F1489" s="9">
        <f t="shared" si="68"/>
        <v>1.0409998761186718E-2</v>
      </c>
      <c r="G1489" s="9">
        <f t="shared" si="69"/>
        <v>8.309710539123728E-3</v>
      </c>
    </row>
    <row r="1490" spans="1:7" x14ac:dyDescent="0.2">
      <c r="A1490" s="12">
        <v>39056</v>
      </c>
      <c r="B1490" s="9">
        <v>430.22</v>
      </c>
      <c r="C1490" s="9">
        <v>425.95</v>
      </c>
      <c r="D1490" s="9">
        <v>429.86</v>
      </c>
      <c r="E1490" s="9">
        <f t="shared" si="70"/>
        <v>9.3958854146279098E-3</v>
      </c>
      <c r="F1490" s="9">
        <f t="shared" si="68"/>
        <v>2.5373880286555819E-2</v>
      </c>
      <c r="G1490" s="9">
        <f t="shared" si="69"/>
        <v>8.3911254692071498E-3</v>
      </c>
    </row>
    <row r="1491" spans="1:7" x14ac:dyDescent="0.2">
      <c r="A1491" s="12">
        <v>39057</v>
      </c>
      <c r="B1491" s="9">
        <v>430.58</v>
      </c>
      <c r="C1491" s="9">
        <v>427.14</v>
      </c>
      <c r="D1491" s="9">
        <v>429.01</v>
      </c>
      <c r="E1491" s="9">
        <f t="shared" si="70"/>
        <v>-1.9793455994771979E-3</v>
      </c>
      <c r="F1491" s="9">
        <f t="shared" si="68"/>
        <v>1.005010040423656E-2</v>
      </c>
      <c r="G1491" s="9">
        <f t="shared" si="69"/>
        <v>8.0640898425107053E-3</v>
      </c>
    </row>
    <row r="1492" spans="1:7" x14ac:dyDescent="0.2">
      <c r="A1492" s="12">
        <v>39058</v>
      </c>
      <c r="B1492" s="9">
        <v>430.9</v>
      </c>
      <c r="C1492" s="9">
        <v>427.73</v>
      </c>
      <c r="D1492" s="9">
        <v>429.42</v>
      </c>
      <c r="E1492" s="9">
        <f t="shared" si="70"/>
        <v>9.5523229890845786E-4</v>
      </c>
      <c r="F1492" s="9">
        <f t="shared" si="68"/>
        <v>1.149989837859338E-2</v>
      </c>
      <c r="G1492" s="9">
        <f t="shared" si="69"/>
        <v>8.0632911053507648E-3</v>
      </c>
    </row>
    <row r="1493" spans="1:7" x14ac:dyDescent="0.2">
      <c r="A1493" s="12">
        <v>39059</v>
      </c>
      <c r="B1493" s="9">
        <v>429.64</v>
      </c>
      <c r="C1493" s="9">
        <v>426.8</v>
      </c>
      <c r="D1493" s="9">
        <v>429.13</v>
      </c>
      <c r="E1493" s="9">
        <f t="shared" si="70"/>
        <v>-6.7555765192280624E-4</v>
      </c>
      <c r="F1493" s="9">
        <f t="shared" si="68"/>
        <v>2.4581347137975745E-2</v>
      </c>
      <c r="G1493" s="9">
        <f t="shared" si="69"/>
        <v>7.6133984149080822E-3</v>
      </c>
    </row>
    <row r="1494" spans="1:7" x14ac:dyDescent="0.2">
      <c r="A1494" s="12">
        <v>39062</v>
      </c>
      <c r="B1494" s="9">
        <v>432.99</v>
      </c>
      <c r="C1494" s="9">
        <v>429.45</v>
      </c>
      <c r="D1494" s="9">
        <v>432.45</v>
      </c>
      <c r="E1494" s="9">
        <f t="shared" si="70"/>
        <v>7.7068094258825916E-3</v>
      </c>
      <c r="F1494" s="9">
        <f t="shared" si="68"/>
        <v>3.9334490003700158E-2</v>
      </c>
      <c r="G1494" s="9">
        <f t="shared" si="69"/>
        <v>7.5641243569239108E-3</v>
      </c>
    </row>
    <row r="1495" spans="1:7" x14ac:dyDescent="0.2">
      <c r="A1495" s="12">
        <v>39063</v>
      </c>
      <c r="B1495" s="9">
        <v>434.99</v>
      </c>
      <c r="C1495" s="9">
        <v>431.85</v>
      </c>
      <c r="D1495" s="9">
        <v>434.94</v>
      </c>
      <c r="E1495" s="9">
        <f t="shared" si="70"/>
        <v>5.7413777883204642E-3</v>
      </c>
      <c r="F1495" s="9">
        <f t="shared" si="68"/>
        <v>3.7528119635896376E-2</v>
      </c>
      <c r="G1495" s="9">
        <f t="shared" si="69"/>
        <v>7.519827437533242E-3</v>
      </c>
    </row>
    <row r="1496" spans="1:7" x14ac:dyDescent="0.2">
      <c r="A1496" s="12">
        <v>39064</v>
      </c>
      <c r="B1496" s="9">
        <v>435.7</v>
      </c>
      <c r="C1496" s="9">
        <v>433.65</v>
      </c>
      <c r="D1496" s="9">
        <v>434.37</v>
      </c>
      <c r="E1496" s="9">
        <f t="shared" si="70"/>
        <v>-1.3113850794014205E-3</v>
      </c>
      <c r="F1496" s="9">
        <f t="shared" si="68"/>
        <v>2.9507695045570922E-2</v>
      </c>
      <c r="G1496" s="9">
        <f t="shared" si="69"/>
        <v>7.4614335135473019E-3</v>
      </c>
    </row>
    <row r="1497" spans="1:7" x14ac:dyDescent="0.2">
      <c r="A1497" s="12">
        <v>39065</v>
      </c>
      <c r="B1497" s="9">
        <v>439.66</v>
      </c>
      <c r="C1497" s="9">
        <v>434.95</v>
      </c>
      <c r="D1497" s="9">
        <v>439.66</v>
      </c>
      <c r="E1497" s="9">
        <f t="shared" si="70"/>
        <v>1.2104995470531095E-2</v>
      </c>
      <c r="F1497" s="9">
        <f t="shared" si="68"/>
        <v>4.3487639148298132E-2</v>
      </c>
      <c r="G1497" s="9">
        <f t="shared" si="69"/>
        <v>7.7091895577389435E-3</v>
      </c>
    </row>
    <row r="1498" spans="1:7" x14ac:dyDescent="0.2">
      <c r="A1498" s="12">
        <v>39066</v>
      </c>
      <c r="B1498" s="9">
        <v>439.44</v>
      </c>
      <c r="C1498" s="9">
        <v>436.95</v>
      </c>
      <c r="D1498" s="9">
        <v>439.39</v>
      </c>
      <c r="E1498" s="9">
        <f t="shared" si="70"/>
        <v>-6.1429954721734447E-4</v>
      </c>
      <c r="F1498" s="9">
        <f t="shared" si="68"/>
        <v>3.4923081224174805E-2</v>
      </c>
      <c r="G1498" s="9">
        <f t="shared" si="69"/>
        <v>7.6182004535605549E-3</v>
      </c>
    </row>
    <row r="1499" spans="1:7" x14ac:dyDescent="0.2">
      <c r="A1499" s="12">
        <v>39069</v>
      </c>
      <c r="B1499" s="9">
        <v>441.26</v>
      </c>
      <c r="C1499" s="9">
        <v>438.66</v>
      </c>
      <c r="D1499" s="9">
        <v>440.67</v>
      </c>
      <c r="E1499" s="9">
        <f t="shared" si="70"/>
        <v>2.9088946266795177E-3</v>
      </c>
      <c r="F1499" s="9">
        <f t="shared" si="68"/>
        <v>2.4743672509197408E-2</v>
      </c>
      <c r="G1499" s="9">
        <f t="shared" si="69"/>
        <v>7.2883376194219805E-3</v>
      </c>
    </row>
    <row r="1500" spans="1:7" x14ac:dyDescent="0.2">
      <c r="A1500" s="12">
        <v>39070</v>
      </c>
      <c r="B1500" s="9">
        <v>440.42</v>
      </c>
      <c r="C1500" s="9">
        <v>434.61</v>
      </c>
      <c r="D1500" s="9">
        <v>436</v>
      </c>
      <c r="E1500" s="9">
        <f t="shared" si="70"/>
        <v>-1.0654052662398847E-2</v>
      </c>
      <c r="F1500" s="9">
        <f t="shared" si="68"/>
        <v>1.4368793494619451E-2</v>
      </c>
      <c r="G1500" s="9">
        <f t="shared" si="69"/>
        <v>7.5827236243879393E-3</v>
      </c>
    </row>
    <row r="1501" spans="1:7" x14ac:dyDescent="0.2">
      <c r="A1501" s="12">
        <v>39071</v>
      </c>
      <c r="B1501" s="9">
        <v>439.04</v>
      </c>
      <c r="C1501" s="9">
        <v>434.54</v>
      </c>
      <c r="D1501" s="9">
        <v>434.69</v>
      </c>
      <c r="E1501" s="9">
        <f t="shared" si="70"/>
        <v>-3.0091099897229857E-3</v>
      </c>
      <c r="F1501" s="9">
        <f t="shared" si="68"/>
        <v>1.0313183950080585E-2</v>
      </c>
      <c r="G1501" s="9">
        <f t="shared" si="69"/>
        <v>7.6083653894313133E-3</v>
      </c>
    </row>
    <row r="1502" spans="1:7" x14ac:dyDescent="0.2">
      <c r="A1502" s="12">
        <v>39072</v>
      </c>
      <c r="B1502" s="9">
        <v>435.55</v>
      </c>
      <c r="C1502" s="9">
        <v>433.47</v>
      </c>
      <c r="D1502" s="9">
        <v>434.77</v>
      </c>
      <c r="E1502" s="9">
        <f t="shared" si="70"/>
        <v>1.8402226721350436E-4</v>
      </c>
      <c r="F1502" s="9">
        <f t="shared" si="68"/>
        <v>1.4013130439930001E-2</v>
      </c>
      <c r="G1502" s="9">
        <f t="shared" si="69"/>
        <v>7.5735506911656829E-3</v>
      </c>
    </row>
    <row r="1503" spans="1:7" x14ac:dyDescent="0.2">
      <c r="A1503" s="12">
        <v>39073</v>
      </c>
      <c r="B1503" s="9">
        <v>436.32</v>
      </c>
      <c r="C1503" s="9">
        <v>434.28</v>
      </c>
      <c r="D1503" s="9">
        <v>435.8</v>
      </c>
      <c r="E1503" s="9">
        <f t="shared" si="70"/>
        <v>2.3662668839946701E-3</v>
      </c>
      <c r="F1503" s="9">
        <f t="shared" si="68"/>
        <v>2.1500718075972564E-2</v>
      </c>
      <c r="G1503" s="9">
        <f t="shared" si="69"/>
        <v>7.5061100545138959E-3</v>
      </c>
    </row>
    <row r="1504" spans="1:7" x14ac:dyDescent="0.2">
      <c r="A1504" s="12">
        <v>39078</v>
      </c>
      <c r="B1504" s="9">
        <v>440.1</v>
      </c>
      <c r="C1504" s="9">
        <v>435.8</v>
      </c>
      <c r="D1504" s="9">
        <v>439.28</v>
      </c>
      <c r="E1504" s="9">
        <f t="shared" si="70"/>
        <v>7.9536004600976665E-3</v>
      </c>
      <c r="F1504" s="9">
        <f t="shared" si="68"/>
        <v>3.248330755021276E-2</v>
      </c>
      <c r="G1504" s="9">
        <f t="shared" si="69"/>
        <v>7.5845376490386524E-3</v>
      </c>
    </row>
    <row r="1505" spans="1:7" x14ac:dyDescent="0.2">
      <c r="A1505" s="12">
        <v>39079</v>
      </c>
      <c r="B1505" s="9">
        <v>441.61</v>
      </c>
      <c r="C1505" s="9">
        <v>439.29</v>
      </c>
      <c r="D1505" s="9">
        <v>440.8</v>
      </c>
      <c r="E1505" s="9">
        <f t="shared" si="70"/>
        <v>3.4542348680876036E-3</v>
      </c>
      <c r="F1505" s="9">
        <f t="shared" ref="F1505:F1568" si="71">LN(D1505/D1475)</f>
        <v>3.784416556699742E-2</v>
      </c>
      <c r="G1505" s="9">
        <f t="shared" si="69"/>
        <v>7.57482324644495E-3</v>
      </c>
    </row>
    <row r="1506" spans="1:7" x14ac:dyDescent="0.2">
      <c r="A1506" s="12">
        <v>39080</v>
      </c>
      <c r="B1506" s="9">
        <v>442.67</v>
      </c>
      <c r="C1506" s="9">
        <v>440.23</v>
      </c>
      <c r="D1506" s="9">
        <v>441.48</v>
      </c>
      <c r="E1506" s="9">
        <f t="shared" si="70"/>
        <v>1.5414610659786182E-3</v>
      </c>
      <c r="F1506" s="9">
        <f t="shared" si="71"/>
        <v>3.4731394170447488E-2</v>
      </c>
      <c r="G1506" s="9">
        <f t="shared" si="69"/>
        <v>7.5480188369271058E-3</v>
      </c>
    </row>
    <row r="1507" spans="1:7" x14ac:dyDescent="0.2">
      <c r="A1507" s="12">
        <v>39084</v>
      </c>
      <c r="B1507" s="9">
        <v>447.89</v>
      </c>
      <c r="C1507" s="9">
        <v>441.83</v>
      </c>
      <c r="D1507" s="9">
        <v>447.51</v>
      </c>
      <c r="E1507" s="9">
        <f t="shared" si="70"/>
        <v>1.3566164929265307E-2</v>
      </c>
      <c r="F1507" s="9">
        <f t="shared" si="71"/>
        <v>5.1374448469204352E-2</v>
      </c>
      <c r="G1507" s="9">
        <f t="shared" si="69"/>
        <v>7.8323155471237936E-3</v>
      </c>
    </row>
    <row r="1508" spans="1:7" x14ac:dyDescent="0.2">
      <c r="A1508" s="12">
        <v>39085</v>
      </c>
      <c r="B1508" s="9">
        <v>448.7</v>
      </c>
      <c r="C1508" s="9">
        <v>445.98</v>
      </c>
      <c r="D1508" s="9">
        <v>447.69</v>
      </c>
      <c r="E1508" s="9">
        <f t="shared" si="70"/>
        <v>4.0214477753762787E-4</v>
      </c>
      <c r="F1508" s="9">
        <f t="shared" si="71"/>
        <v>5.8621893197266101E-2</v>
      </c>
      <c r="G1508" s="9">
        <f t="shared" si="69"/>
        <v>7.6693306520281626E-3</v>
      </c>
    </row>
    <row r="1509" spans="1:7" x14ac:dyDescent="0.2">
      <c r="A1509" s="12">
        <v>39086</v>
      </c>
      <c r="B1509" s="9">
        <v>447.57</v>
      </c>
      <c r="C1509" s="9">
        <v>440.73</v>
      </c>
      <c r="D1509" s="9">
        <v>441.78</v>
      </c>
      <c r="E1509" s="9">
        <f t="shared" si="70"/>
        <v>-1.3289008002805951E-2</v>
      </c>
      <c r="F1509" s="9">
        <f t="shared" si="71"/>
        <v>4.647043389993142E-2</v>
      </c>
      <c r="G1509" s="9">
        <f t="shared" si="69"/>
        <v>8.1444111745024913E-3</v>
      </c>
    </row>
    <row r="1510" spans="1:7" x14ac:dyDescent="0.2">
      <c r="A1510" s="12">
        <v>39087</v>
      </c>
      <c r="B1510" s="9">
        <v>443.77</v>
      </c>
      <c r="C1510" s="9">
        <v>439.58</v>
      </c>
      <c r="D1510" s="9">
        <v>442.57</v>
      </c>
      <c r="E1510" s="9">
        <f t="shared" si="70"/>
        <v>1.7866234186498945E-3</v>
      </c>
      <c r="F1510" s="9">
        <f t="shared" si="71"/>
        <v>3.9991961977110649E-2</v>
      </c>
      <c r="G1510" s="9">
        <f t="shared" si="69"/>
        <v>8.0454811984138948E-3</v>
      </c>
    </row>
    <row r="1511" spans="1:7" x14ac:dyDescent="0.2">
      <c r="A1511" s="12">
        <v>39090</v>
      </c>
      <c r="B1511" s="9">
        <v>444.05</v>
      </c>
      <c r="C1511" s="9">
        <v>441.43</v>
      </c>
      <c r="D1511" s="9">
        <v>442.52</v>
      </c>
      <c r="E1511" s="9">
        <f t="shared" si="70"/>
        <v>-1.1298286062025235E-4</v>
      </c>
      <c r="F1511" s="9">
        <f t="shared" si="71"/>
        <v>2.8374924073874229E-2</v>
      </c>
      <c r="G1511" s="9">
        <f t="shared" ref="G1511:G1574" si="72">STDEV(E1482:E1511)</f>
        <v>7.8153402863741228E-3</v>
      </c>
    </row>
    <row r="1512" spans="1:7" x14ac:dyDescent="0.2">
      <c r="A1512" s="12">
        <v>39091</v>
      </c>
      <c r="B1512" s="9">
        <v>448.1</v>
      </c>
      <c r="C1512" s="9">
        <v>442.75</v>
      </c>
      <c r="D1512" s="9">
        <v>447.28</v>
      </c>
      <c r="E1512" s="9">
        <f t="shared" si="70"/>
        <v>1.0699135551679645E-2</v>
      </c>
      <c r="F1512" s="9">
        <f t="shared" si="71"/>
        <v>4.033025352373476E-2</v>
      </c>
      <c r="G1512" s="9">
        <f t="shared" si="72"/>
        <v>8.0017680818518545E-3</v>
      </c>
    </row>
    <row r="1513" spans="1:7" x14ac:dyDescent="0.2">
      <c r="A1513" s="12">
        <v>39092</v>
      </c>
      <c r="B1513" s="9">
        <v>447.04</v>
      </c>
      <c r="C1513" s="9">
        <v>443.2</v>
      </c>
      <c r="D1513" s="9">
        <v>445.69</v>
      </c>
      <c r="E1513" s="9">
        <f t="shared" si="70"/>
        <v>-3.5611536341425324E-3</v>
      </c>
      <c r="F1513" s="9">
        <f t="shared" si="71"/>
        <v>3.8633033327655032E-2</v>
      </c>
      <c r="G1513" s="9">
        <f t="shared" si="72"/>
        <v>8.031179149667193E-3</v>
      </c>
    </row>
    <row r="1514" spans="1:7" x14ac:dyDescent="0.2">
      <c r="A1514" s="12">
        <v>39093</v>
      </c>
      <c r="B1514" s="9">
        <v>448.3</v>
      </c>
      <c r="C1514" s="9">
        <v>445.11</v>
      </c>
      <c r="D1514" s="9">
        <v>447.6</v>
      </c>
      <c r="E1514" s="9">
        <f t="shared" si="70"/>
        <v>4.2763333535229334E-3</v>
      </c>
      <c r="F1514" s="9">
        <f t="shared" si="71"/>
        <v>5.3883542380172657E-2</v>
      </c>
      <c r="G1514" s="9">
        <f t="shared" si="72"/>
        <v>7.7042732947090881E-3</v>
      </c>
    </row>
    <row r="1515" spans="1:7" x14ac:dyDescent="0.2">
      <c r="A1515" s="12">
        <v>39094</v>
      </c>
      <c r="B1515" s="9">
        <v>448.95</v>
      </c>
      <c r="C1515" s="9">
        <v>446.95</v>
      </c>
      <c r="D1515" s="9">
        <v>448.46</v>
      </c>
      <c r="E1515" s="9">
        <f t="shared" si="70"/>
        <v>1.919514907614273E-3</v>
      </c>
      <c r="F1515" s="9">
        <f t="shared" si="71"/>
        <v>7.0960261918213627E-2</v>
      </c>
      <c r="G1515" s="9">
        <f t="shared" si="72"/>
        <v>7.0078738487599559E-3</v>
      </c>
    </row>
    <row r="1516" spans="1:7" x14ac:dyDescent="0.2">
      <c r="A1516" s="12">
        <v>39097</v>
      </c>
      <c r="B1516" s="9">
        <v>453.46</v>
      </c>
      <c r="C1516" s="9">
        <v>448.57</v>
      </c>
      <c r="D1516" s="9">
        <v>453.36</v>
      </c>
      <c r="E1516" s="9">
        <f t="shared" si="70"/>
        <v>1.086702051597924E-2</v>
      </c>
      <c r="F1516" s="9">
        <f t="shared" si="71"/>
        <v>6.339806236146503E-2</v>
      </c>
      <c r="G1516" s="9">
        <f t="shared" si="72"/>
        <v>6.5298326313415816E-3</v>
      </c>
    </row>
    <row r="1517" spans="1:7" x14ac:dyDescent="0.2">
      <c r="A1517" s="12">
        <v>39098</v>
      </c>
      <c r="B1517" s="9">
        <v>454.41</v>
      </c>
      <c r="C1517" s="9">
        <v>450.88</v>
      </c>
      <c r="D1517" s="9">
        <v>453.88</v>
      </c>
      <c r="E1517" s="9">
        <f t="shared" si="70"/>
        <v>1.1463340614249241E-3</v>
      </c>
      <c r="F1517" s="9">
        <f t="shared" si="71"/>
        <v>6.7321391523890453E-2</v>
      </c>
      <c r="G1517" s="9">
        <f t="shared" si="72"/>
        <v>6.4675047420868874E-3</v>
      </c>
    </row>
    <row r="1518" spans="1:7" x14ac:dyDescent="0.2">
      <c r="A1518" s="12">
        <v>39099</v>
      </c>
      <c r="B1518" s="9">
        <v>455.94</v>
      </c>
      <c r="C1518" s="9">
        <v>452.62</v>
      </c>
      <c r="D1518" s="9">
        <v>454.27</v>
      </c>
      <c r="E1518" s="9">
        <f t="shared" si="70"/>
        <v>8.5888900286285096E-4</v>
      </c>
      <c r="F1518" s="9">
        <f t="shared" si="71"/>
        <v>7.579765271130709E-2</v>
      </c>
      <c r="G1518" s="9">
        <f t="shared" si="72"/>
        <v>6.2015184312441528E-3</v>
      </c>
    </row>
    <row r="1519" spans="1:7" x14ac:dyDescent="0.2">
      <c r="A1519" s="12">
        <v>39100</v>
      </c>
      <c r="B1519" s="9">
        <v>456.15</v>
      </c>
      <c r="C1519" s="9">
        <v>454.12</v>
      </c>
      <c r="D1519" s="9">
        <v>455.08</v>
      </c>
      <c r="E1519" s="9">
        <f t="shared" si="70"/>
        <v>1.781492745864233E-3</v>
      </c>
      <c r="F1519" s="9">
        <f t="shared" si="71"/>
        <v>6.6409538807013821E-2</v>
      </c>
      <c r="G1519" s="9">
        <f t="shared" si="72"/>
        <v>5.9833723878605369E-3</v>
      </c>
    </row>
    <row r="1520" spans="1:7" x14ac:dyDescent="0.2">
      <c r="A1520" s="12">
        <v>39101</v>
      </c>
      <c r="B1520" s="9">
        <v>455.73</v>
      </c>
      <c r="C1520" s="9">
        <v>453.25</v>
      </c>
      <c r="D1520" s="9">
        <v>455.52</v>
      </c>
      <c r="E1520" s="9">
        <f t="shared" si="70"/>
        <v>9.6639585821176152E-4</v>
      </c>
      <c r="F1520" s="9">
        <f t="shared" si="71"/>
        <v>5.798004925059768E-2</v>
      </c>
      <c r="G1520" s="9">
        <f t="shared" si="72"/>
        <v>5.8304321269863667E-3</v>
      </c>
    </row>
    <row r="1521" spans="1:7" x14ac:dyDescent="0.2">
      <c r="A1521" s="12">
        <v>39104</v>
      </c>
      <c r="B1521" s="9">
        <v>461.18</v>
      </c>
      <c r="C1521" s="9">
        <v>456.11</v>
      </c>
      <c r="D1521" s="9">
        <v>457.51</v>
      </c>
      <c r="E1521" s="9">
        <f t="shared" si="70"/>
        <v>4.3591188704648507E-3</v>
      </c>
      <c r="F1521" s="9">
        <f t="shared" si="71"/>
        <v>6.4318513720539733E-2</v>
      </c>
      <c r="G1521" s="9">
        <f t="shared" si="72"/>
        <v>5.7985397387535047E-3</v>
      </c>
    </row>
    <row r="1522" spans="1:7" x14ac:dyDescent="0.2">
      <c r="A1522" s="12">
        <v>39105</v>
      </c>
      <c r="B1522" s="9">
        <v>459.49</v>
      </c>
      <c r="C1522" s="9">
        <v>455.21</v>
      </c>
      <c r="D1522" s="9">
        <v>456.82</v>
      </c>
      <c r="E1522" s="9">
        <f t="shared" si="70"/>
        <v>-1.5093021797045047E-3</v>
      </c>
      <c r="F1522" s="9">
        <f t="shared" si="71"/>
        <v>6.1853979241926732E-2</v>
      </c>
      <c r="G1522" s="9">
        <f t="shared" si="72"/>
        <v>5.8333156407834943E-3</v>
      </c>
    </row>
    <row r="1523" spans="1:7" x14ac:dyDescent="0.2">
      <c r="A1523" s="12">
        <v>39106</v>
      </c>
      <c r="B1523" s="9">
        <v>462.34</v>
      </c>
      <c r="C1523" s="9">
        <v>457.53</v>
      </c>
      <c r="D1523" s="9">
        <v>461.24</v>
      </c>
      <c r="E1523" s="9">
        <f t="shared" si="70"/>
        <v>9.6290746824276314E-3</v>
      </c>
      <c r="F1523" s="9">
        <f t="shared" si="71"/>
        <v>7.2158611576277121E-2</v>
      </c>
      <c r="G1523" s="9">
        <f t="shared" si="72"/>
        <v>5.9683954643060567E-3</v>
      </c>
    </row>
    <row r="1524" spans="1:7" x14ac:dyDescent="0.2">
      <c r="A1524" s="12">
        <v>39107</v>
      </c>
      <c r="B1524" s="9">
        <v>463.32</v>
      </c>
      <c r="C1524" s="9">
        <v>456.82</v>
      </c>
      <c r="D1524" s="9">
        <v>457.7</v>
      </c>
      <c r="E1524" s="9">
        <f t="shared" si="70"/>
        <v>-7.7045672433191581E-3</v>
      </c>
      <c r="F1524" s="9">
        <f t="shared" si="71"/>
        <v>5.6747234907075554E-2</v>
      </c>
      <c r="G1524" s="9">
        <f t="shared" si="72"/>
        <v>6.1566240885003662E-3</v>
      </c>
    </row>
    <row r="1525" spans="1:7" x14ac:dyDescent="0.2">
      <c r="A1525" s="12">
        <v>39108</v>
      </c>
      <c r="B1525" s="9">
        <v>457.86</v>
      </c>
      <c r="C1525" s="9">
        <v>453.8</v>
      </c>
      <c r="D1525" s="9">
        <v>456.64</v>
      </c>
      <c r="E1525" s="9">
        <f t="shared" si="70"/>
        <v>-2.3186133711248628E-3</v>
      </c>
      <c r="F1525" s="9">
        <f t="shared" si="71"/>
        <v>4.8687243747630171E-2</v>
      </c>
      <c r="G1525" s="9">
        <f t="shared" si="72"/>
        <v>6.1586939747511503E-3</v>
      </c>
    </row>
    <row r="1526" spans="1:7" x14ac:dyDescent="0.2">
      <c r="A1526" s="12">
        <v>39111</v>
      </c>
      <c r="B1526" s="9">
        <v>459.99</v>
      </c>
      <c r="C1526" s="9">
        <v>455.7</v>
      </c>
      <c r="D1526" s="9">
        <v>456.1</v>
      </c>
      <c r="E1526" s="9">
        <f t="shared" si="70"/>
        <v>-1.1832505708167342E-3</v>
      </c>
      <c r="F1526" s="9">
        <f t="shared" si="71"/>
        <v>4.8815378256214771E-2</v>
      </c>
      <c r="G1526" s="9">
        <f t="shared" si="72"/>
        <v>6.1566329117729102E-3</v>
      </c>
    </row>
    <row r="1527" spans="1:7" x14ac:dyDescent="0.2">
      <c r="A1527" s="12">
        <v>39112</v>
      </c>
      <c r="B1527" s="9">
        <v>457.79</v>
      </c>
      <c r="C1527" s="9">
        <v>455.39</v>
      </c>
      <c r="D1527" s="9">
        <v>457.79</v>
      </c>
      <c r="E1527" s="9">
        <f t="shared" si="70"/>
        <v>3.6984799624113804E-3</v>
      </c>
      <c r="F1527" s="9">
        <f t="shared" si="71"/>
        <v>4.0408862748095284E-2</v>
      </c>
      <c r="G1527" s="9">
        <f t="shared" si="72"/>
        <v>5.8468079700295991E-3</v>
      </c>
    </row>
    <row r="1528" spans="1:7" x14ac:dyDescent="0.2">
      <c r="A1528" s="12">
        <v>39113</v>
      </c>
      <c r="B1528" s="9">
        <v>462.86</v>
      </c>
      <c r="C1528" s="9">
        <v>456.11</v>
      </c>
      <c r="D1528" s="9">
        <v>462.84</v>
      </c>
      <c r="E1528" s="9">
        <f t="shared" si="70"/>
        <v>1.0970858328070418E-2</v>
      </c>
      <c r="F1528" s="9">
        <f t="shared" si="71"/>
        <v>5.1994020623383014E-2</v>
      </c>
      <c r="G1528" s="9">
        <f t="shared" si="72"/>
        <v>6.090322194357763E-3</v>
      </c>
    </row>
    <row r="1529" spans="1:7" x14ac:dyDescent="0.2">
      <c r="A1529" s="12">
        <v>39114</v>
      </c>
      <c r="B1529" s="9">
        <v>468.17</v>
      </c>
      <c r="C1529" s="9">
        <v>462.96</v>
      </c>
      <c r="D1529" s="9">
        <v>465.75</v>
      </c>
      <c r="E1529" s="9">
        <f t="shared" si="70"/>
        <v>6.267587473561132E-3</v>
      </c>
      <c r="F1529" s="9">
        <f t="shared" si="71"/>
        <v>5.5352713470264645E-2</v>
      </c>
      <c r="G1529" s="9">
        <f t="shared" si="72"/>
        <v>6.1433213985200522E-3</v>
      </c>
    </row>
    <row r="1530" spans="1:7" x14ac:dyDescent="0.2">
      <c r="A1530" s="12">
        <v>39115</v>
      </c>
      <c r="B1530" s="9">
        <v>472.53</v>
      </c>
      <c r="C1530" s="9">
        <v>466.11</v>
      </c>
      <c r="D1530" s="9">
        <v>472.48</v>
      </c>
      <c r="E1530" s="9">
        <f t="shared" si="70"/>
        <v>1.4346408513914667E-2</v>
      </c>
      <c r="F1530" s="9">
        <f t="shared" si="71"/>
        <v>8.0353174646578179E-2</v>
      </c>
      <c r="G1530" s="9">
        <f t="shared" si="72"/>
        <v>6.0847231235928957E-3</v>
      </c>
    </row>
    <row r="1531" spans="1:7" x14ac:dyDescent="0.2">
      <c r="A1531" s="12">
        <v>39118</v>
      </c>
      <c r="B1531" s="9">
        <v>474.16</v>
      </c>
      <c r="C1531" s="9">
        <v>471.98</v>
      </c>
      <c r="D1531" s="9">
        <v>473.24</v>
      </c>
      <c r="E1531" s="9">
        <f t="shared" si="70"/>
        <v>1.6072413898495271E-3</v>
      </c>
      <c r="F1531" s="9">
        <f t="shared" si="71"/>
        <v>8.4969526026150696E-2</v>
      </c>
      <c r="G1531" s="9">
        <f t="shared" si="72"/>
        <v>5.993619313971685E-3</v>
      </c>
    </row>
    <row r="1532" spans="1:7" x14ac:dyDescent="0.2">
      <c r="A1532" s="12">
        <v>39119</v>
      </c>
      <c r="B1532" s="9">
        <v>476.54</v>
      </c>
      <c r="C1532" s="9">
        <v>473.36</v>
      </c>
      <c r="D1532" s="9">
        <v>475.79</v>
      </c>
      <c r="E1532" s="9">
        <f t="shared" si="70"/>
        <v>5.3739210283981617E-3</v>
      </c>
      <c r="F1532" s="9">
        <f t="shared" si="71"/>
        <v>9.0159424787335421E-2</v>
      </c>
      <c r="G1532" s="9">
        <f t="shared" si="72"/>
        <v>5.9894422844167811E-3</v>
      </c>
    </row>
    <row r="1533" spans="1:7" x14ac:dyDescent="0.2">
      <c r="A1533" s="12">
        <v>39120</v>
      </c>
      <c r="B1533" s="9">
        <v>480.76</v>
      </c>
      <c r="C1533" s="9">
        <v>475.79</v>
      </c>
      <c r="D1533" s="9">
        <v>480.76</v>
      </c>
      <c r="E1533" s="9">
        <f t="shared" si="70"/>
        <v>1.0391604670727911E-2</v>
      </c>
      <c r="F1533" s="9">
        <f t="shared" si="71"/>
        <v>9.8184762574068524E-2</v>
      </c>
      <c r="G1533" s="9">
        <f t="shared" si="72"/>
        <v>6.1373115122328806E-3</v>
      </c>
    </row>
    <row r="1534" spans="1:7" x14ac:dyDescent="0.2">
      <c r="A1534" s="12">
        <v>39121</v>
      </c>
      <c r="B1534" s="9">
        <v>480.29</v>
      </c>
      <c r="C1534" s="9">
        <v>474.41</v>
      </c>
      <c r="D1534" s="9">
        <v>476.09</v>
      </c>
      <c r="E1534" s="9">
        <f t="shared" si="70"/>
        <v>-9.761273095460158E-3</v>
      </c>
      <c r="F1534" s="9">
        <f t="shared" si="71"/>
        <v>8.0469889018510821E-2</v>
      </c>
      <c r="G1534" s="9">
        <f t="shared" si="72"/>
        <v>6.5121867090752886E-3</v>
      </c>
    </row>
    <row r="1535" spans="1:7" x14ac:dyDescent="0.2">
      <c r="A1535" s="12">
        <v>39122</v>
      </c>
      <c r="B1535" s="9">
        <v>484.35</v>
      </c>
      <c r="C1535" s="9">
        <v>477.97</v>
      </c>
      <c r="D1535" s="9">
        <v>483.69</v>
      </c>
      <c r="E1535" s="9">
        <f t="shared" si="70"/>
        <v>1.5837293654630265E-2</v>
      </c>
      <c r="F1535" s="9">
        <f t="shared" si="71"/>
        <v>9.2852947805053279E-2</v>
      </c>
      <c r="G1535" s="9">
        <f t="shared" si="72"/>
        <v>6.9411183606823421E-3</v>
      </c>
    </row>
    <row r="1536" spans="1:7" x14ac:dyDescent="0.2">
      <c r="A1536" s="12">
        <v>39125</v>
      </c>
      <c r="B1536" s="9">
        <v>483.11</v>
      </c>
      <c r="C1536" s="9">
        <v>478.18</v>
      </c>
      <c r="D1536" s="9">
        <v>480.38</v>
      </c>
      <c r="E1536" s="9">
        <f t="shared" si="70"/>
        <v>-6.8667482779198241E-3</v>
      </c>
      <c r="F1536" s="9">
        <f t="shared" si="71"/>
        <v>8.4444738461155008E-2</v>
      </c>
      <c r="G1536" s="9">
        <f t="shared" si="72"/>
        <v>7.1719342777612277E-3</v>
      </c>
    </row>
    <row r="1537" spans="1:7" x14ac:dyDescent="0.2">
      <c r="A1537" s="12">
        <v>39126</v>
      </c>
      <c r="B1537" s="9">
        <v>481.82</v>
      </c>
      <c r="C1537" s="9">
        <v>479.22</v>
      </c>
      <c r="D1537" s="9">
        <v>479.58</v>
      </c>
      <c r="E1537" s="9">
        <f t="shared" si="70"/>
        <v>-1.6667364998555927E-3</v>
      </c>
      <c r="F1537" s="9">
        <f t="shared" si="71"/>
        <v>6.9211837032033846E-2</v>
      </c>
      <c r="G1537" s="9">
        <f t="shared" si="72"/>
        <v>6.9192907729143461E-3</v>
      </c>
    </row>
    <row r="1538" spans="1:7" x14ac:dyDescent="0.2">
      <c r="A1538" s="12">
        <v>39127</v>
      </c>
      <c r="B1538" s="9">
        <v>483.88</v>
      </c>
      <c r="C1538" s="9">
        <v>479.55</v>
      </c>
      <c r="D1538" s="9">
        <v>483.87</v>
      </c>
      <c r="E1538" s="9">
        <f t="shared" si="70"/>
        <v>8.9055547312181481E-3</v>
      </c>
      <c r="F1538" s="9">
        <f t="shared" si="71"/>
        <v>7.7715246985714651E-2</v>
      </c>
      <c r="G1538" s="9">
        <f t="shared" si="72"/>
        <v>7.0121129259350231E-3</v>
      </c>
    </row>
    <row r="1539" spans="1:7" x14ac:dyDescent="0.2">
      <c r="A1539" s="12">
        <v>39128</v>
      </c>
      <c r="B1539" s="9">
        <v>486.02</v>
      </c>
      <c r="C1539" s="9">
        <v>483.11</v>
      </c>
      <c r="D1539" s="9">
        <v>485.54</v>
      </c>
      <c r="E1539" s="9">
        <f t="shared" si="70"/>
        <v>3.4453980297601103E-3</v>
      </c>
      <c r="F1539" s="9">
        <f t="shared" si="71"/>
        <v>9.4449653018280483E-2</v>
      </c>
      <c r="G1539" s="9">
        <f t="shared" si="72"/>
        <v>6.3386042883560928E-3</v>
      </c>
    </row>
    <row r="1540" spans="1:7" x14ac:dyDescent="0.2">
      <c r="A1540" s="12">
        <v>39129</v>
      </c>
      <c r="B1540" s="9">
        <v>487.3</v>
      </c>
      <c r="C1540" s="9">
        <v>484.01</v>
      </c>
      <c r="D1540" s="9">
        <v>486.5</v>
      </c>
      <c r="E1540" s="9">
        <f t="shared" ref="E1540:E1603" si="73">LN(D1540/D1539)</f>
        <v>1.9752279990987464E-3</v>
      </c>
      <c r="F1540" s="9">
        <f t="shared" si="71"/>
        <v>9.4638257598729431E-2</v>
      </c>
      <c r="G1540" s="9">
        <f t="shared" si="72"/>
        <v>6.3373005410494419E-3</v>
      </c>
    </row>
    <row r="1541" spans="1:7" x14ac:dyDescent="0.2">
      <c r="A1541" s="12">
        <v>39132</v>
      </c>
      <c r="B1541" s="9">
        <v>488.3</v>
      </c>
      <c r="C1541" s="9">
        <v>486.26</v>
      </c>
      <c r="D1541" s="9">
        <v>487.04</v>
      </c>
      <c r="E1541" s="9">
        <f t="shared" si="73"/>
        <v>1.1093536072065979E-3</v>
      </c>
      <c r="F1541" s="9">
        <f t="shared" si="71"/>
        <v>9.5860594066556309E-2</v>
      </c>
      <c r="G1541" s="9">
        <f t="shared" si="72"/>
        <v>6.3194720338088945E-3</v>
      </c>
    </row>
    <row r="1542" spans="1:7" x14ac:dyDescent="0.2">
      <c r="A1542" s="12">
        <v>39133</v>
      </c>
      <c r="B1542" s="9">
        <v>487.38</v>
      </c>
      <c r="C1542" s="9">
        <v>479.31</v>
      </c>
      <c r="D1542" s="9">
        <v>481.09</v>
      </c>
      <c r="E1542" s="9">
        <f t="shared" si="73"/>
        <v>-1.229189244332283E-2</v>
      </c>
      <c r="F1542" s="9">
        <f t="shared" si="71"/>
        <v>7.2869566071553801E-2</v>
      </c>
      <c r="G1542" s="9">
        <f t="shared" si="72"/>
        <v>6.757025776351914E-3</v>
      </c>
    </row>
    <row r="1543" spans="1:7" x14ac:dyDescent="0.2">
      <c r="A1543" s="12">
        <v>39134</v>
      </c>
      <c r="B1543" s="9">
        <v>483.77</v>
      </c>
      <c r="C1543" s="9">
        <v>476.11</v>
      </c>
      <c r="D1543" s="9">
        <v>476.79</v>
      </c>
      <c r="E1543" s="9">
        <f t="shared" si="73"/>
        <v>-8.9782204131055934E-3</v>
      </c>
      <c r="F1543" s="9">
        <f t="shared" si="71"/>
        <v>6.7452499292590729E-2</v>
      </c>
      <c r="G1543" s="9">
        <f t="shared" si="72"/>
        <v>6.9909521562078634E-3</v>
      </c>
    </row>
    <row r="1544" spans="1:7" x14ac:dyDescent="0.2">
      <c r="A1544" s="12">
        <v>39135</v>
      </c>
      <c r="B1544" s="9">
        <v>480.38</v>
      </c>
      <c r="C1544" s="9">
        <v>475.6</v>
      </c>
      <c r="D1544" s="9">
        <v>478.22</v>
      </c>
      <c r="E1544" s="9">
        <f t="shared" si="73"/>
        <v>2.9947352776177262E-3</v>
      </c>
      <c r="F1544" s="9">
        <f t="shared" si="71"/>
        <v>6.6170901216685493E-2</v>
      </c>
      <c r="G1544" s="9">
        <f t="shared" si="72"/>
        <v>6.9820428415437305E-3</v>
      </c>
    </row>
    <row r="1545" spans="1:7" x14ac:dyDescent="0.2">
      <c r="A1545" s="12">
        <v>39136</v>
      </c>
      <c r="B1545" s="9">
        <v>480.91</v>
      </c>
      <c r="C1545" s="9">
        <v>477.67</v>
      </c>
      <c r="D1545" s="9">
        <v>478.48</v>
      </c>
      <c r="E1545" s="9">
        <f t="shared" si="73"/>
        <v>5.4353508184598186E-4</v>
      </c>
      <c r="F1545" s="9">
        <f t="shared" si="71"/>
        <v>6.4794921390916957E-2</v>
      </c>
      <c r="G1545" s="9">
        <f t="shared" si="72"/>
        <v>6.9885041454968181E-3</v>
      </c>
    </row>
    <row r="1546" spans="1:7" x14ac:dyDescent="0.2">
      <c r="A1546" s="12">
        <v>39139</v>
      </c>
      <c r="B1546" s="9">
        <v>478.13</v>
      </c>
      <c r="C1546" s="9">
        <v>469.84</v>
      </c>
      <c r="D1546" s="9">
        <v>473.85</v>
      </c>
      <c r="E1546" s="9">
        <f t="shared" si="73"/>
        <v>-9.7235968200976436E-3</v>
      </c>
      <c r="F1546" s="9">
        <f t="shared" si="71"/>
        <v>4.4204304054840035E-2</v>
      </c>
      <c r="G1546" s="9">
        <f t="shared" si="72"/>
        <v>7.1138639786250818E-3</v>
      </c>
    </row>
    <row r="1547" spans="1:7" x14ac:dyDescent="0.2">
      <c r="A1547" s="12">
        <v>39140</v>
      </c>
      <c r="B1547" s="9">
        <v>472.91</v>
      </c>
      <c r="C1547" s="9">
        <v>454.85</v>
      </c>
      <c r="D1547" s="9">
        <v>461.23</v>
      </c>
      <c r="E1547" s="9">
        <f t="shared" si="73"/>
        <v>-2.6993981935162052E-2</v>
      </c>
      <c r="F1547" s="9">
        <f t="shared" si="71"/>
        <v>1.6063988058253306E-2</v>
      </c>
      <c r="G1547" s="9">
        <f t="shared" si="72"/>
        <v>8.8112350542218932E-3</v>
      </c>
    </row>
    <row r="1548" spans="1:7" x14ac:dyDescent="0.2">
      <c r="A1548" s="12">
        <v>39141</v>
      </c>
      <c r="B1548" s="9">
        <v>460.17</v>
      </c>
      <c r="C1548" s="9">
        <v>445.26</v>
      </c>
      <c r="D1548" s="9">
        <v>455.44</v>
      </c>
      <c r="E1548" s="9">
        <f t="shared" si="73"/>
        <v>-1.2632849338215487E-2</v>
      </c>
      <c r="F1548" s="9">
        <f t="shared" si="71"/>
        <v>2.5722497171751031E-3</v>
      </c>
      <c r="G1548" s="9">
        <f t="shared" si="72"/>
        <v>9.1326062283021339E-3</v>
      </c>
    </row>
    <row r="1549" spans="1:7" x14ac:dyDescent="0.2">
      <c r="A1549" s="12">
        <v>39142</v>
      </c>
      <c r="B1549" s="9">
        <v>461.73</v>
      </c>
      <c r="C1549" s="9">
        <v>444.62</v>
      </c>
      <c r="D1549" s="9">
        <v>450.27</v>
      </c>
      <c r="E1549" s="9">
        <f t="shared" si="73"/>
        <v>-1.1416581806493404E-2</v>
      </c>
      <c r="F1549" s="9">
        <f t="shared" si="71"/>
        <v>-1.062582483518271E-2</v>
      </c>
      <c r="G1549" s="9">
        <f t="shared" si="72"/>
        <v>9.3630822487255228E-3</v>
      </c>
    </row>
    <row r="1550" spans="1:7" x14ac:dyDescent="0.2">
      <c r="A1550" s="12">
        <v>39143</v>
      </c>
      <c r="B1550" s="9">
        <v>455.92</v>
      </c>
      <c r="C1550" s="9">
        <v>448.48</v>
      </c>
      <c r="D1550" s="9">
        <v>455.59</v>
      </c>
      <c r="E1550" s="9">
        <f t="shared" si="73"/>
        <v>1.1745879417670781E-2</v>
      </c>
      <c r="F1550" s="9">
        <f t="shared" si="71"/>
        <v>1.5365872427637427E-4</v>
      </c>
      <c r="G1550" s="9">
        <f t="shared" si="72"/>
        <v>9.618851008729716E-3</v>
      </c>
    </row>
    <row r="1551" spans="1:7" x14ac:dyDescent="0.2">
      <c r="A1551" s="12">
        <v>39146</v>
      </c>
      <c r="B1551" s="9">
        <v>453.6</v>
      </c>
      <c r="C1551" s="9">
        <v>439.98</v>
      </c>
      <c r="D1551" s="9">
        <v>445.73</v>
      </c>
      <c r="E1551" s="9">
        <f t="shared" si="73"/>
        <v>-2.187989471702519E-2</v>
      </c>
      <c r="F1551" s="9">
        <f t="shared" si="71"/>
        <v>-2.6085354863213714E-2</v>
      </c>
      <c r="G1551" s="9">
        <f t="shared" si="72"/>
        <v>1.0372699055261178E-2</v>
      </c>
    </row>
    <row r="1552" spans="1:7" x14ac:dyDescent="0.2">
      <c r="A1552" s="12">
        <v>39147</v>
      </c>
      <c r="B1552" s="9">
        <v>451.96</v>
      </c>
      <c r="C1552" s="9">
        <v>446.32</v>
      </c>
      <c r="D1552" s="9">
        <v>449.09</v>
      </c>
      <c r="E1552" s="9">
        <f t="shared" si="73"/>
        <v>7.5099255530721668E-3</v>
      </c>
      <c r="F1552" s="9">
        <f t="shared" si="71"/>
        <v>-1.7066127130437075E-2</v>
      </c>
      <c r="G1552" s="9">
        <f t="shared" si="72"/>
        <v>1.0483628904514217E-2</v>
      </c>
    </row>
    <row r="1553" spans="1:7" x14ac:dyDescent="0.2">
      <c r="A1553" s="12">
        <v>39148</v>
      </c>
      <c r="B1553" s="9">
        <v>451.6</v>
      </c>
      <c r="C1553" s="9">
        <v>448.28</v>
      </c>
      <c r="D1553" s="9">
        <v>448.95</v>
      </c>
      <c r="E1553" s="9">
        <f t="shared" si="73"/>
        <v>-3.1179012323314471E-4</v>
      </c>
      <c r="F1553" s="9">
        <f t="shared" si="71"/>
        <v>-2.7006991936097839E-2</v>
      </c>
      <c r="G1553" s="9">
        <f t="shared" si="72"/>
        <v>1.0305776326595129E-2</v>
      </c>
    </row>
    <row r="1554" spans="1:7" x14ac:dyDescent="0.2">
      <c r="A1554" s="12">
        <v>39149</v>
      </c>
      <c r="B1554" s="9">
        <v>456.07</v>
      </c>
      <c r="C1554" s="9">
        <v>449.66</v>
      </c>
      <c r="D1554" s="9">
        <v>455.44</v>
      </c>
      <c r="E1554" s="9">
        <f t="shared" si="73"/>
        <v>1.435246167600876E-2</v>
      </c>
      <c r="F1554" s="9">
        <f t="shared" si="71"/>
        <v>-4.9499630167699647E-3</v>
      </c>
      <c r="G1554" s="9">
        <f t="shared" si="72"/>
        <v>1.0586573139324743E-2</v>
      </c>
    </row>
    <row r="1555" spans="1:7" x14ac:dyDescent="0.2">
      <c r="A1555" s="12">
        <v>39150</v>
      </c>
      <c r="B1555" s="9">
        <v>458.93</v>
      </c>
      <c r="C1555" s="9">
        <v>451.6</v>
      </c>
      <c r="D1555" s="9">
        <v>456.44</v>
      </c>
      <c r="E1555" s="9">
        <f t="shared" si="73"/>
        <v>2.1932719236524207E-3</v>
      </c>
      <c r="F1555" s="9">
        <f t="shared" si="71"/>
        <v>-4.380777219926268E-4</v>
      </c>
      <c r="G1555" s="9">
        <f t="shared" si="72"/>
        <v>1.0586971838694677E-2</v>
      </c>
    </row>
    <row r="1556" spans="1:7" x14ac:dyDescent="0.2">
      <c r="A1556" s="12">
        <v>39153</v>
      </c>
      <c r="B1556" s="9">
        <v>462.21</v>
      </c>
      <c r="C1556" s="9">
        <v>456.68</v>
      </c>
      <c r="D1556" s="9">
        <v>458.84</v>
      </c>
      <c r="E1556" s="9">
        <f t="shared" si="73"/>
        <v>5.2443088465880354E-3</v>
      </c>
      <c r="F1556" s="9">
        <f t="shared" si="71"/>
        <v>5.9894816954121147E-3</v>
      </c>
      <c r="G1556" s="9">
        <f t="shared" si="72"/>
        <v>1.0627466858058574E-2</v>
      </c>
    </row>
    <row r="1557" spans="1:7" x14ac:dyDescent="0.2">
      <c r="A1557" s="12">
        <v>39154</v>
      </c>
      <c r="B1557" s="9">
        <v>460.58</v>
      </c>
      <c r="C1557" s="9">
        <v>454.59</v>
      </c>
      <c r="D1557" s="9">
        <v>456.14</v>
      </c>
      <c r="E1557" s="9">
        <f t="shared" si="73"/>
        <v>-5.9017854750630086E-3</v>
      </c>
      <c r="F1557" s="9">
        <f t="shared" si="71"/>
        <v>-3.6107837420623363E-3</v>
      </c>
      <c r="G1557" s="9">
        <f t="shared" si="72"/>
        <v>1.0662958806731876E-2</v>
      </c>
    </row>
    <row r="1558" spans="1:7" x14ac:dyDescent="0.2">
      <c r="A1558" s="12">
        <v>39155</v>
      </c>
      <c r="B1558" s="9">
        <v>454.73</v>
      </c>
      <c r="C1558" s="9">
        <v>444.08</v>
      </c>
      <c r="D1558" s="9">
        <v>445.77</v>
      </c>
      <c r="E1558" s="9">
        <f t="shared" si="73"/>
        <v>-2.2996656001638107E-2</v>
      </c>
      <c r="F1558" s="9">
        <f t="shared" si="71"/>
        <v>-3.7578298071770967E-2</v>
      </c>
      <c r="G1558" s="9">
        <f t="shared" si="72"/>
        <v>1.1232821554455385E-2</v>
      </c>
    </row>
    <row r="1559" spans="1:7" x14ac:dyDescent="0.2">
      <c r="A1559" s="12">
        <v>39156</v>
      </c>
      <c r="B1559" s="9">
        <v>451.79</v>
      </c>
      <c r="C1559" s="9">
        <v>439.38</v>
      </c>
      <c r="D1559" s="9">
        <v>447.8</v>
      </c>
      <c r="E1559" s="9">
        <f t="shared" si="73"/>
        <v>4.5435802282887154E-3</v>
      </c>
      <c r="F1559" s="9">
        <f t="shared" si="71"/>
        <v>-3.9302305317043311E-2</v>
      </c>
      <c r="G1559" s="9">
        <f t="shared" si="72"/>
        <v>1.1197375770349054E-2</v>
      </c>
    </row>
    <row r="1560" spans="1:7" x14ac:dyDescent="0.2">
      <c r="A1560" s="12">
        <v>39157</v>
      </c>
      <c r="B1560" s="9">
        <v>450.49</v>
      </c>
      <c r="C1560" s="9">
        <v>446.2</v>
      </c>
      <c r="D1560" s="9">
        <v>447.78</v>
      </c>
      <c r="E1560" s="9">
        <f t="shared" si="73"/>
        <v>-4.4663793303470558E-5</v>
      </c>
      <c r="F1560" s="9">
        <f t="shared" si="71"/>
        <v>-5.3693377624261629E-2</v>
      </c>
      <c r="G1560" s="9">
        <f t="shared" si="72"/>
        <v>1.0804896406797271E-2</v>
      </c>
    </row>
    <row r="1561" spans="1:7" x14ac:dyDescent="0.2">
      <c r="A1561" s="12">
        <v>39160</v>
      </c>
      <c r="B1561" s="9">
        <v>455.21</v>
      </c>
      <c r="C1561" s="9">
        <v>448.6</v>
      </c>
      <c r="D1561" s="9">
        <v>455.21</v>
      </c>
      <c r="E1561" s="9">
        <f t="shared" si="73"/>
        <v>1.6456810565022725E-2</v>
      </c>
      <c r="F1561" s="9">
        <f t="shared" si="71"/>
        <v>-3.8843808449088392E-2</v>
      </c>
      <c r="G1561" s="9">
        <f t="shared" si="72"/>
        <v>1.1294911536297081E-2</v>
      </c>
    </row>
    <row r="1562" spans="1:7" x14ac:dyDescent="0.2">
      <c r="A1562" s="12">
        <v>39161</v>
      </c>
      <c r="B1562" s="9">
        <v>457.11</v>
      </c>
      <c r="C1562" s="9">
        <v>452.61</v>
      </c>
      <c r="D1562" s="9">
        <v>456.52</v>
      </c>
      <c r="E1562" s="9">
        <f t="shared" si="73"/>
        <v>2.8736597490254681E-3</v>
      </c>
      <c r="F1562" s="9">
        <f t="shared" si="71"/>
        <v>-4.1344069728461004E-2</v>
      </c>
      <c r="G1562" s="9">
        <f t="shared" si="72"/>
        <v>1.1253155332741573E-2</v>
      </c>
    </row>
    <row r="1563" spans="1:7" x14ac:dyDescent="0.2">
      <c r="A1563" s="12">
        <v>39162</v>
      </c>
      <c r="B1563" s="9">
        <v>460.81</v>
      </c>
      <c r="C1563" s="9">
        <v>455.94</v>
      </c>
      <c r="D1563" s="9">
        <v>460.56</v>
      </c>
      <c r="E1563" s="9">
        <f t="shared" si="73"/>
        <v>8.8106296821549059E-3</v>
      </c>
      <c r="F1563" s="9">
        <f t="shared" si="71"/>
        <v>-4.2925044717033886E-2</v>
      </c>
      <c r="G1563" s="9">
        <f t="shared" si="72"/>
        <v>1.119971132483572E-2</v>
      </c>
    </row>
    <row r="1564" spans="1:7" x14ac:dyDescent="0.2">
      <c r="A1564" s="12">
        <v>39163</v>
      </c>
      <c r="B1564" s="9">
        <v>469.49</v>
      </c>
      <c r="C1564" s="9">
        <v>461.61</v>
      </c>
      <c r="D1564" s="9">
        <v>467.19</v>
      </c>
      <c r="E1564" s="9">
        <f t="shared" si="73"/>
        <v>1.4292886807802918E-2</v>
      </c>
      <c r="F1564" s="9">
        <f t="shared" si="71"/>
        <v>-1.8870884813770805E-2</v>
      </c>
      <c r="G1564" s="9">
        <f t="shared" si="72"/>
        <v>1.1441191379914836E-2</v>
      </c>
    </row>
    <row r="1565" spans="1:7" x14ac:dyDescent="0.2">
      <c r="A1565" s="12">
        <v>39164</v>
      </c>
      <c r="B1565" s="9">
        <v>469.34</v>
      </c>
      <c r="C1565" s="9">
        <v>466.17</v>
      </c>
      <c r="D1565" s="9">
        <v>466.77</v>
      </c>
      <c r="E1565" s="9">
        <f t="shared" si="73"/>
        <v>-8.9939618037603313E-4</v>
      </c>
      <c r="F1565" s="9">
        <f t="shared" si="71"/>
        <v>-3.5607574648777091E-2</v>
      </c>
      <c r="G1565" s="9">
        <f t="shared" si="72"/>
        <v>1.1010529473721673E-2</v>
      </c>
    </row>
    <row r="1566" spans="1:7" x14ac:dyDescent="0.2">
      <c r="A1566" s="12">
        <v>39167</v>
      </c>
      <c r="B1566" s="9">
        <v>468.96</v>
      </c>
      <c r="C1566" s="9">
        <v>463.99</v>
      </c>
      <c r="D1566" s="9">
        <v>465.17</v>
      </c>
      <c r="E1566" s="9">
        <f t="shared" si="73"/>
        <v>-3.4337008220268238E-3</v>
      </c>
      <c r="F1566" s="9">
        <f t="shared" si="71"/>
        <v>-3.217452719288412E-2</v>
      </c>
      <c r="G1566" s="9">
        <f t="shared" si="72"/>
        <v>1.0967217180680316E-2</v>
      </c>
    </row>
    <row r="1567" spans="1:7" x14ac:dyDescent="0.2">
      <c r="A1567" s="12">
        <v>39168</v>
      </c>
      <c r="B1567" s="9">
        <v>468.11</v>
      </c>
      <c r="C1567" s="9">
        <v>463.43</v>
      </c>
      <c r="D1567" s="9">
        <v>464.86</v>
      </c>
      <c r="E1567" s="9">
        <f t="shared" si="73"/>
        <v>-6.6664518667298197E-4</v>
      </c>
      <c r="F1567" s="9">
        <f t="shared" si="71"/>
        <v>-3.1174435879701427E-2</v>
      </c>
      <c r="G1567" s="9">
        <f t="shared" si="72"/>
        <v>1.0966868534481334E-2</v>
      </c>
    </row>
    <row r="1568" spans="1:7" x14ac:dyDescent="0.2">
      <c r="A1568" s="12">
        <v>39169</v>
      </c>
      <c r="B1568" s="9">
        <v>464.63</v>
      </c>
      <c r="C1568" s="9">
        <v>457.22</v>
      </c>
      <c r="D1568" s="9">
        <v>457.87</v>
      </c>
      <c r="E1568" s="9">
        <f t="shared" si="73"/>
        <v>-1.5150983957846479E-2</v>
      </c>
      <c r="F1568" s="9">
        <f t="shared" si="71"/>
        <v>-5.5230974568766168E-2</v>
      </c>
      <c r="G1568" s="9">
        <f t="shared" si="72"/>
        <v>1.1093412456491791E-2</v>
      </c>
    </row>
    <row r="1569" spans="1:7" x14ac:dyDescent="0.2">
      <c r="A1569" s="12">
        <v>39170</v>
      </c>
      <c r="B1569" s="9">
        <v>464.92</v>
      </c>
      <c r="C1569" s="9">
        <v>456.18</v>
      </c>
      <c r="D1569" s="9">
        <v>464.86</v>
      </c>
      <c r="E1569" s="9">
        <f t="shared" si="73"/>
        <v>1.5150983957846429E-2</v>
      </c>
      <c r="F1569" s="9">
        <f t="shared" ref="F1569:F1632" si="74">LN(D1569/D1539)</f>
        <v>-4.3525388640679757E-2</v>
      </c>
      <c r="G1569" s="9">
        <f t="shared" si="72"/>
        <v>1.1484720156503592E-2</v>
      </c>
    </row>
    <row r="1570" spans="1:7" x14ac:dyDescent="0.2">
      <c r="A1570" s="12">
        <v>39171</v>
      </c>
      <c r="B1570" s="9">
        <v>466.76</v>
      </c>
      <c r="C1570" s="9">
        <v>462.76</v>
      </c>
      <c r="D1570" s="9">
        <v>466.59</v>
      </c>
      <c r="E1570" s="9">
        <f t="shared" si="73"/>
        <v>3.714642738297168E-3</v>
      </c>
      <c r="F1570" s="9">
        <f t="shared" si="74"/>
        <v>-4.1785973901481352E-2</v>
      </c>
      <c r="G1570" s="9">
        <f t="shared" si="72"/>
        <v>1.1506982220496401E-2</v>
      </c>
    </row>
    <row r="1571" spans="1:7" x14ac:dyDescent="0.2">
      <c r="A1571" s="12">
        <v>39174</v>
      </c>
      <c r="B1571" s="9">
        <v>466.75</v>
      </c>
      <c r="C1571" s="9">
        <v>463.9</v>
      </c>
      <c r="D1571" s="9">
        <v>465.69</v>
      </c>
      <c r="E1571" s="9">
        <f t="shared" si="73"/>
        <v>-1.9307510181167044E-3</v>
      </c>
      <c r="F1571" s="9">
        <f t="shared" si="74"/>
        <v>-4.4826078526804695E-2</v>
      </c>
      <c r="G1571" s="9">
        <f t="shared" si="72"/>
        <v>1.1497569006758537E-2</v>
      </c>
    </row>
    <row r="1572" spans="1:7" x14ac:dyDescent="0.2">
      <c r="A1572" s="12">
        <v>39175</v>
      </c>
      <c r="B1572" s="9">
        <v>469.58</v>
      </c>
      <c r="C1572" s="9">
        <v>465.69</v>
      </c>
      <c r="D1572" s="9">
        <v>469.4</v>
      </c>
      <c r="E1572" s="9">
        <f t="shared" si="73"/>
        <v>7.9351067104615359E-3</v>
      </c>
      <c r="F1572" s="9">
        <f t="shared" si="74"/>
        <v>-2.4599079373020458E-2</v>
      </c>
      <c r="G1572" s="9">
        <f t="shared" si="72"/>
        <v>1.1435445125344144E-2</v>
      </c>
    </row>
    <row r="1573" spans="1:7" x14ac:dyDescent="0.2">
      <c r="A1573" s="12">
        <v>39176</v>
      </c>
      <c r="B1573" s="9">
        <v>471.57</v>
      </c>
      <c r="C1573" s="9">
        <v>469.38</v>
      </c>
      <c r="D1573" s="9">
        <v>471.39</v>
      </c>
      <c r="E1573" s="9">
        <f t="shared" si="73"/>
        <v>4.2304934532270454E-3</v>
      </c>
      <c r="F1573" s="9">
        <f t="shared" si="74"/>
        <v>-1.1390365506687832E-2</v>
      </c>
      <c r="G1573" s="9">
        <f t="shared" si="72"/>
        <v>1.1364565610006691E-2</v>
      </c>
    </row>
    <row r="1574" spans="1:7" x14ac:dyDescent="0.2">
      <c r="A1574" s="12">
        <v>39182</v>
      </c>
      <c r="B1574" s="9">
        <v>477.78</v>
      </c>
      <c r="C1574" s="9">
        <v>471.74</v>
      </c>
      <c r="D1574" s="9">
        <v>477.77</v>
      </c>
      <c r="E1574" s="9">
        <f t="shared" si="73"/>
        <v>1.3443668273011411E-2</v>
      </c>
      <c r="F1574" s="9">
        <f t="shared" si="74"/>
        <v>-9.4143251129433399E-4</v>
      </c>
      <c r="G1574" s="9">
        <f t="shared" si="72"/>
        <v>1.1628600456275119E-2</v>
      </c>
    </row>
    <row r="1575" spans="1:7" x14ac:dyDescent="0.2">
      <c r="A1575" s="12">
        <v>39183</v>
      </c>
      <c r="B1575" s="9">
        <v>479.52</v>
      </c>
      <c r="C1575" s="9">
        <v>472.95</v>
      </c>
      <c r="D1575" s="9">
        <v>472.99</v>
      </c>
      <c r="E1575" s="9">
        <f t="shared" si="73"/>
        <v>-1.0055198523764878E-2</v>
      </c>
      <c r="F1575" s="9">
        <f t="shared" si="74"/>
        <v>-1.1540166116905061E-2</v>
      </c>
      <c r="G1575" s="9">
        <f t="shared" ref="G1575:G1638" si="75">STDEV(E1546:E1575)</f>
        <v>1.1770664964640756E-2</v>
      </c>
    </row>
    <row r="1576" spans="1:7" x14ac:dyDescent="0.2">
      <c r="A1576" s="12">
        <v>39184</v>
      </c>
      <c r="B1576" s="9">
        <v>472.82</v>
      </c>
      <c r="C1576" s="9">
        <v>466.92</v>
      </c>
      <c r="D1576" s="9">
        <v>470.48</v>
      </c>
      <c r="E1576" s="9">
        <f t="shared" si="73"/>
        <v>-5.3207964676960009E-3</v>
      </c>
      <c r="F1576" s="9">
        <f t="shared" si="74"/>
        <v>-7.1373657645033908E-3</v>
      </c>
      <c r="G1576" s="9">
        <f t="shared" si="75"/>
        <v>1.1677286695228078E-2</v>
      </c>
    </row>
    <row r="1577" spans="1:7" x14ac:dyDescent="0.2">
      <c r="A1577" s="12">
        <v>39185</v>
      </c>
      <c r="B1577" s="9">
        <v>473.68</v>
      </c>
      <c r="C1577" s="9">
        <v>470.25</v>
      </c>
      <c r="D1577" s="9">
        <v>472.98</v>
      </c>
      <c r="E1577" s="9">
        <f t="shared" si="73"/>
        <v>5.2996541481713658E-3</v>
      </c>
      <c r="F1577" s="9">
        <f t="shared" si="74"/>
        <v>2.5156270318830064E-2</v>
      </c>
      <c r="G1577" s="9">
        <f t="shared" si="75"/>
        <v>1.0560868652466904E-2</v>
      </c>
    </row>
    <row r="1578" spans="1:7" x14ac:dyDescent="0.2">
      <c r="A1578" s="12">
        <v>39188</v>
      </c>
      <c r="B1578" s="9">
        <v>479.71</v>
      </c>
      <c r="C1578" s="9">
        <v>473.1</v>
      </c>
      <c r="D1578" s="9">
        <v>479.71</v>
      </c>
      <c r="E1578" s="9">
        <f t="shared" si="73"/>
        <v>1.4128650353173695E-2</v>
      </c>
      <c r="F1578" s="9">
        <f t="shared" si="74"/>
        <v>5.191777001021914E-2</v>
      </c>
      <c r="G1578" s="9">
        <f t="shared" si="75"/>
        <v>1.0513870043837829E-2</v>
      </c>
    </row>
    <row r="1579" spans="1:7" x14ac:dyDescent="0.2">
      <c r="A1579" s="12">
        <v>39189</v>
      </c>
      <c r="B1579" s="9">
        <v>480.84</v>
      </c>
      <c r="C1579" s="9">
        <v>476.89</v>
      </c>
      <c r="D1579" s="9">
        <v>480.81</v>
      </c>
      <c r="E1579" s="9">
        <f t="shared" si="73"/>
        <v>2.2904270205481854E-3</v>
      </c>
      <c r="F1579" s="9">
        <f t="shared" si="74"/>
        <v>6.5624778837260714E-2</v>
      </c>
      <c r="G1579" s="9">
        <f t="shared" si="75"/>
        <v>1.0216458874846042E-2</v>
      </c>
    </row>
    <row r="1580" spans="1:7" x14ac:dyDescent="0.2">
      <c r="A1580" s="12">
        <v>39190</v>
      </c>
      <c r="B1580" s="9">
        <v>483.77</v>
      </c>
      <c r="C1580" s="9">
        <v>480.22</v>
      </c>
      <c r="D1580" s="9">
        <v>483.14</v>
      </c>
      <c r="E1580" s="9">
        <f t="shared" si="73"/>
        <v>4.8342850515768233E-3</v>
      </c>
      <c r="F1580" s="9">
        <f t="shared" si="74"/>
        <v>5.8713184471166774E-2</v>
      </c>
      <c r="G1580" s="9">
        <f t="shared" si="75"/>
        <v>1.0070365093753366E-2</v>
      </c>
    </row>
    <row r="1581" spans="1:7" x14ac:dyDescent="0.2">
      <c r="A1581" s="12">
        <v>39191</v>
      </c>
      <c r="B1581" s="9">
        <v>485.18</v>
      </c>
      <c r="C1581" s="9">
        <v>477.76</v>
      </c>
      <c r="D1581" s="9">
        <v>485.18</v>
      </c>
      <c r="E1581" s="9">
        <f t="shared" si="73"/>
        <v>4.2134893797358373E-3</v>
      </c>
      <c r="F1581" s="9">
        <f t="shared" si="74"/>
        <v>8.4806568567927856E-2</v>
      </c>
      <c r="G1581" s="9">
        <f t="shared" si="75"/>
        <v>9.0117710489665548E-3</v>
      </c>
    </row>
    <row r="1582" spans="1:7" x14ac:dyDescent="0.2">
      <c r="A1582" s="12">
        <v>39192</v>
      </c>
      <c r="B1582" s="9">
        <v>489.69</v>
      </c>
      <c r="C1582" s="9">
        <v>485.65</v>
      </c>
      <c r="D1582" s="9">
        <v>488.29</v>
      </c>
      <c r="E1582" s="9">
        <f t="shared" si="73"/>
        <v>6.3895355394080668E-3</v>
      </c>
      <c r="F1582" s="9">
        <f t="shared" si="74"/>
        <v>8.3686178554263677E-2</v>
      </c>
      <c r="G1582" s="9">
        <f t="shared" si="75"/>
        <v>8.9939985252666301E-3</v>
      </c>
    </row>
    <row r="1583" spans="1:7" x14ac:dyDescent="0.2">
      <c r="A1583" s="12">
        <v>39195</v>
      </c>
      <c r="B1583" s="9">
        <v>491.49</v>
      </c>
      <c r="C1583" s="9">
        <v>488.39</v>
      </c>
      <c r="D1583" s="9">
        <v>488.84</v>
      </c>
      <c r="E1583" s="9">
        <f t="shared" si="73"/>
        <v>1.125745925485298E-3</v>
      </c>
      <c r="F1583" s="9">
        <f t="shared" si="74"/>
        <v>8.5123714602982056E-2</v>
      </c>
      <c r="G1583" s="9">
        <f t="shared" si="75"/>
        <v>8.9807252515745426E-3</v>
      </c>
    </row>
    <row r="1584" spans="1:7" x14ac:dyDescent="0.2">
      <c r="A1584" s="12">
        <v>39196</v>
      </c>
      <c r="B1584" s="9">
        <v>488.72</v>
      </c>
      <c r="C1584" s="9">
        <v>481.18</v>
      </c>
      <c r="D1584" s="9">
        <v>481.95</v>
      </c>
      <c r="E1584" s="9">
        <f t="shared" si="73"/>
        <v>-1.419486333982258E-2</v>
      </c>
      <c r="F1584" s="9">
        <f t="shared" si="74"/>
        <v>5.6576389587150666E-2</v>
      </c>
      <c r="G1584" s="9">
        <f t="shared" si="75"/>
        <v>9.2275617419219965E-3</v>
      </c>
    </row>
    <row r="1585" spans="1:7" x14ac:dyDescent="0.2">
      <c r="A1585" s="12">
        <v>39197</v>
      </c>
      <c r="B1585" s="9">
        <v>487.74</v>
      </c>
      <c r="C1585" s="9">
        <v>482.19</v>
      </c>
      <c r="D1585" s="9">
        <v>485.88</v>
      </c>
      <c r="E1585" s="9">
        <f t="shared" si="73"/>
        <v>8.1213056020930253E-3</v>
      </c>
      <c r="F1585" s="9">
        <f t="shared" si="74"/>
        <v>6.2504423265591122E-2</v>
      </c>
      <c r="G1585" s="9">
        <f t="shared" si="75"/>
        <v>9.2975778009529615E-3</v>
      </c>
    </row>
    <row r="1586" spans="1:7" x14ac:dyDescent="0.2">
      <c r="A1586" s="12">
        <v>39198</v>
      </c>
      <c r="B1586" s="9">
        <v>489.29</v>
      </c>
      <c r="C1586" s="9">
        <v>485.69</v>
      </c>
      <c r="D1586" s="9">
        <v>487.83</v>
      </c>
      <c r="E1586" s="9">
        <f t="shared" si="73"/>
        <v>4.005304673670741E-3</v>
      </c>
      <c r="F1586" s="9">
        <f t="shared" si="74"/>
        <v>6.1265419092673808E-2</v>
      </c>
      <c r="G1586" s="9">
        <f t="shared" si="75"/>
        <v>9.2857975312216016E-3</v>
      </c>
    </row>
    <row r="1587" spans="1:7" x14ac:dyDescent="0.2">
      <c r="A1587" s="12">
        <v>39199</v>
      </c>
      <c r="B1587" s="9">
        <v>487.96</v>
      </c>
      <c r="C1587" s="9">
        <v>484.48</v>
      </c>
      <c r="D1587" s="9">
        <v>484.91</v>
      </c>
      <c r="E1587" s="9">
        <f t="shared" si="73"/>
        <v>-6.003677798254726E-3</v>
      </c>
      <c r="F1587" s="9">
        <f t="shared" si="74"/>
        <v>6.1163526769482272E-2</v>
      </c>
      <c r="G1587" s="9">
        <f t="shared" si="75"/>
        <v>9.2888214839065755E-3</v>
      </c>
    </row>
    <row r="1588" spans="1:7" x14ac:dyDescent="0.2">
      <c r="A1588" s="12">
        <v>39202</v>
      </c>
      <c r="B1588" s="9">
        <v>488.72</v>
      </c>
      <c r="C1588" s="9">
        <v>484.65</v>
      </c>
      <c r="D1588" s="9">
        <v>485.46</v>
      </c>
      <c r="E1588" s="9">
        <f t="shared" si="73"/>
        <v>1.1335883403172202E-3</v>
      </c>
      <c r="F1588" s="9">
        <f t="shared" si="74"/>
        <v>8.5293771111437669E-2</v>
      </c>
      <c r="G1588" s="9">
        <f t="shared" si="75"/>
        <v>8.0017693906503113E-3</v>
      </c>
    </row>
    <row r="1589" spans="1:7" x14ac:dyDescent="0.2">
      <c r="A1589" s="12">
        <v>39203</v>
      </c>
      <c r="B1589" s="9">
        <v>485.44</v>
      </c>
      <c r="C1589" s="9">
        <v>480.57</v>
      </c>
      <c r="D1589" s="9">
        <v>481.92</v>
      </c>
      <c r="E1589" s="9">
        <f t="shared" si="73"/>
        <v>-7.3187698763291223E-3</v>
      </c>
      <c r="F1589" s="9">
        <f t="shared" si="74"/>
        <v>7.3431421006819653E-2</v>
      </c>
      <c r="G1589" s="9">
        <f t="shared" si="75"/>
        <v>8.2053455086556534E-3</v>
      </c>
    </row>
    <row r="1590" spans="1:7" x14ac:dyDescent="0.2">
      <c r="A1590" s="12">
        <v>39204</v>
      </c>
      <c r="B1590" s="9">
        <v>489.97</v>
      </c>
      <c r="C1590" s="9">
        <v>481.94</v>
      </c>
      <c r="D1590" s="9">
        <v>489.97</v>
      </c>
      <c r="E1590" s="9">
        <f t="shared" si="73"/>
        <v>1.6566039569106787E-2</v>
      </c>
      <c r="F1590" s="9">
        <f t="shared" si="74"/>
        <v>9.0042124369229842E-2</v>
      </c>
      <c r="G1590" s="9">
        <f t="shared" si="75"/>
        <v>8.5831051753156775E-3</v>
      </c>
    </row>
    <row r="1591" spans="1:7" x14ac:dyDescent="0.2">
      <c r="A1591" s="12">
        <v>39205</v>
      </c>
      <c r="B1591" s="9">
        <v>491.97</v>
      </c>
      <c r="C1591" s="9">
        <v>487.05</v>
      </c>
      <c r="D1591" s="9">
        <v>489.04</v>
      </c>
      <c r="E1591" s="9">
        <f t="shared" si="73"/>
        <v>-1.8998790201108446E-3</v>
      </c>
      <c r="F1591" s="9">
        <f t="shared" si="74"/>
        <v>7.1685434784096252E-2</v>
      </c>
      <c r="G1591" s="9">
        <f t="shared" si="75"/>
        <v>8.2381858678583254E-3</v>
      </c>
    </row>
    <row r="1592" spans="1:7" x14ac:dyDescent="0.2">
      <c r="A1592" s="12">
        <v>39209</v>
      </c>
      <c r="B1592" s="9">
        <v>492.02</v>
      </c>
      <c r="C1592" s="9">
        <v>489.27</v>
      </c>
      <c r="D1592" s="9">
        <v>491.59</v>
      </c>
      <c r="E1592" s="9">
        <f t="shared" si="73"/>
        <v>5.2007500232606647E-3</v>
      </c>
      <c r="F1592" s="9">
        <f t="shared" si="74"/>
        <v>7.4012525058331322E-2</v>
      </c>
      <c r="G1592" s="9">
        <f t="shared" si="75"/>
        <v>8.2538426209866865E-3</v>
      </c>
    </row>
    <row r="1593" spans="1:7" x14ac:dyDescent="0.2">
      <c r="A1593" s="12">
        <v>39210</v>
      </c>
      <c r="B1593" s="9">
        <v>494.1</v>
      </c>
      <c r="C1593" s="9">
        <v>489.45</v>
      </c>
      <c r="D1593" s="9">
        <v>490.5</v>
      </c>
      <c r="E1593" s="9">
        <f t="shared" si="73"/>
        <v>-2.2197567383128881E-3</v>
      </c>
      <c r="F1593" s="9">
        <f t="shared" si="74"/>
        <v>6.2982138637863561E-2</v>
      </c>
      <c r="G1593" s="9">
        <f t="shared" si="75"/>
        <v>8.2070656750999841E-3</v>
      </c>
    </row>
    <row r="1594" spans="1:7" x14ac:dyDescent="0.2">
      <c r="A1594" s="12">
        <v>39211</v>
      </c>
      <c r="B1594" s="9">
        <v>494.89</v>
      </c>
      <c r="C1594" s="9">
        <v>488.03</v>
      </c>
      <c r="D1594" s="9">
        <v>490.39</v>
      </c>
      <c r="E1594" s="9">
        <f t="shared" si="73"/>
        <v>-2.242861084548391E-4</v>
      </c>
      <c r="F1594" s="9">
        <f t="shared" si="74"/>
        <v>4.8464965721605871E-2</v>
      </c>
      <c r="G1594" s="9">
        <f t="shared" si="75"/>
        <v>7.8849823868590817E-3</v>
      </c>
    </row>
    <row r="1595" spans="1:7" x14ac:dyDescent="0.2">
      <c r="A1595" s="12">
        <v>39212</v>
      </c>
      <c r="B1595" s="9">
        <v>493.68</v>
      </c>
      <c r="C1595" s="9">
        <v>487.65</v>
      </c>
      <c r="D1595" s="9">
        <v>489.86</v>
      </c>
      <c r="E1595" s="9">
        <f t="shared" si="73"/>
        <v>-1.0813569021076188E-3</v>
      </c>
      <c r="F1595" s="9">
        <f t="shared" si="74"/>
        <v>4.828300499987434E-2</v>
      </c>
      <c r="G1595" s="9">
        <f t="shared" si="75"/>
        <v>7.8870533378551863E-3</v>
      </c>
    </row>
    <row r="1596" spans="1:7" x14ac:dyDescent="0.2">
      <c r="A1596" s="12">
        <v>39213</v>
      </c>
      <c r="B1596" s="9">
        <v>490</v>
      </c>
      <c r="C1596" s="9">
        <v>483.15</v>
      </c>
      <c r="D1596" s="9">
        <v>490</v>
      </c>
      <c r="E1596" s="9">
        <f t="shared" si="73"/>
        <v>2.8575510981692406E-4</v>
      </c>
      <c r="F1596" s="9">
        <f t="shared" si="74"/>
        <v>5.2002460931718023E-2</v>
      </c>
      <c r="G1596" s="9">
        <f t="shared" si="75"/>
        <v>7.8340998115900579E-3</v>
      </c>
    </row>
    <row r="1597" spans="1:7" x14ac:dyDescent="0.2">
      <c r="A1597" s="12">
        <v>39216</v>
      </c>
      <c r="B1597" s="9">
        <v>492.72</v>
      </c>
      <c r="C1597" s="9">
        <v>486.54</v>
      </c>
      <c r="D1597" s="9">
        <v>488.89</v>
      </c>
      <c r="E1597" s="9">
        <f t="shared" si="73"/>
        <v>-2.2678758098490979E-3</v>
      </c>
      <c r="F1597" s="9">
        <f t="shared" si="74"/>
        <v>5.0401230308542058E-2</v>
      </c>
      <c r="G1597" s="9">
        <f t="shared" si="75"/>
        <v>7.856438281463032E-3</v>
      </c>
    </row>
    <row r="1598" spans="1:7" x14ac:dyDescent="0.2">
      <c r="A1598" s="12">
        <v>39217</v>
      </c>
      <c r="B1598" s="9">
        <v>489.86</v>
      </c>
      <c r="C1598" s="9">
        <v>482.84</v>
      </c>
      <c r="D1598" s="9">
        <v>488.77</v>
      </c>
      <c r="E1598" s="9">
        <f t="shared" si="73"/>
        <v>-2.4548411636482616E-4</v>
      </c>
      <c r="F1598" s="9">
        <f t="shared" si="74"/>
        <v>6.5306730150023667E-2</v>
      </c>
      <c r="G1598" s="9">
        <f t="shared" si="75"/>
        <v>7.1991462608320678E-3</v>
      </c>
    </row>
    <row r="1599" spans="1:7" x14ac:dyDescent="0.2">
      <c r="A1599" s="12">
        <v>39218</v>
      </c>
      <c r="B1599" s="9">
        <v>488.69</v>
      </c>
      <c r="C1599" s="9">
        <v>485.42</v>
      </c>
      <c r="D1599" s="9">
        <v>486.3</v>
      </c>
      <c r="E1599" s="9">
        <f t="shared" si="73"/>
        <v>-5.066313768718223E-3</v>
      </c>
      <c r="F1599" s="9">
        <f t="shared" si="74"/>
        <v>4.5089432423458871E-2</v>
      </c>
      <c r="G1599" s="9">
        <f t="shared" si="75"/>
        <v>6.8820500893236923E-3</v>
      </c>
    </row>
    <row r="1600" spans="1:7" x14ac:dyDescent="0.2">
      <c r="A1600" s="12">
        <v>39220</v>
      </c>
      <c r="B1600" s="9">
        <v>491.3</v>
      </c>
      <c r="C1600" s="9">
        <v>485.42</v>
      </c>
      <c r="D1600" s="9">
        <v>490.34</v>
      </c>
      <c r="E1600" s="9">
        <f t="shared" si="73"/>
        <v>8.2733106242260986E-3</v>
      </c>
      <c r="F1600" s="9">
        <f t="shared" si="74"/>
        <v>4.9648100309388044E-2</v>
      </c>
      <c r="G1600" s="9">
        <f t="shared" si="75"/>
        <v>6.9821669131015307E-3</v>
      </c>
    </row>
    <row r="1601" spans="1:7" x14ac:dyDescent="0.2">
      <c r="A1601" s="12">
        <v>39223</v>
      </c>
      <c r="B1601" s="9">
        <v>493.46</v>
      </c>
      <c r="C1601" s="9">
        <v>489.96</v>
      </c>
      <c r="D1601" s="9">
        <v>492.97</v>
      </c>
      <c r="E1601" s="9">
        <f t="shared" si="73"/>
        <v>5.3492922301926326E-3</v>
      </c>
      <c r="F1601" s="9">
        <f t="shared" si="74"/>
        <v>5.6928143557697111E-2</v>
      </c>
      <c r="G1601" s="9">
        <f t="shared" si="75"/>
        <v>6.9797575831173292E-3</v>
      </c>
    </row>
    <row r="1602" spans="1:7" x14ac:dyDescent="0.2">
      <c r="A1602" s="12">
        <v>39224</v>
      </c>
      <c r="B1602" s="9">
        <v>495.85</v>
      </c>
      <c r="C1602" s="9">
        <v>493.08</v>
      </c>
      <c r="D1602" s="9">
        <v>494.41</v>
      </c>
      <c r="E1602" s="9">
        <f t="shared" si="73"/>
        <v>2.9168122119854977E-3</v>
      </c>
      <c r="F1602" s="9">
        <f t="shared" si="74"/>
        <v>5.190984905922108E-2</v>
      </c>
      <c r="G1602" s="9">
        <f t="shared" si="75"/>
        <v>6.8896258175745323E-3</v>
      </c>
    </row>
    <row r="1603" spans="1:7" x14ac:dyDescent="0.2">
      <c r="A1603" s="12">
        <v>39225</v>
      </c>
      <c r="B1603" s="9">
        <v>502.26</v>
      </c>
      <c r="C1603" s="9">
        <v>496.17</v>
      </c>
      <c r="D1603" s="9">
        <v>501.74</v>
      </c>
      <c r="E1603" s="9">
        <f t="shared" si="73"/>
        <v>1.4716924757547937E-2</v>
      </c>
      <c r="F1603" s="9">
        <f t="shared" si="74"/>
        <v>6.2396280363541973E-2</v>
      </c>
      <c r="G1603" s="9">
        <f t="shared" si="75"/>
        <v>7.2760275419515141E-3</v>
      </c>
    </row>
    <row r="1604" spans="1:7" x14ac:dyDescent="0.2">
      <c r="A1604" s="12">
        <v>39226</v>
      </c>
      <c r="B1604" s="9">
        <v>501.39</v>
      </c>
      <c r="C1604" s="9">
        <v>497.05</v>
      </c>
      <c r="D1604" s="9">
        <v>499</v>
      </c>
      <c r="E1604" s="9">
        <f t="shared" ref="E1604:E1667" si="76">LN(D1604/D1603)</f>
        <v>-5.4759614821733747E-3</v>
      </c>
      <c r="F1604" s="9">
        <f t="shared" si="74"/>
        <v>4.3476650608357321E-2</v>
      </c>
      <c r="G1604" s="9">
        <f t="shared" si="75"/>
        <v>7.0742366136261614E-3</v>
      </c>
    </row>
    <row r="1605" spans="1:7" x14ac:dyDescent="0.2">
      <c r="A1605" s="12">
        <v>39227</v>
      </c>
      <c r="B1605" s="9">
        <v>499.17</v>
      </c>
      <c r="C1605" s="9">
        <v>494.94</v>
      </c>
      <c r="D1605" s="9">
        <v>497.59</v>
      </c>
      <c r="E1605" s="9">
        <f t="shared" si="76"/>
        <v>-2.8296509915081525E-3</v>
      </c>
      <c r="F1605" s="9">
        <f t="shared" si="74"/>
        <v>5.0702198140613983E-2</v>
      </c>
      <c r="G1605" s="9">
        <f t="shared" si="75"/>
        <v>6.7861844155759077E-3</v>
      </c>
    </row>
    <row r="1606" spans="1:7" x14ac:dyDescent="0.2">
      <c r="A1606" s="12">
        <v>39231</v>
      </c>
      <c r="B1606" s="9">
        <v>500.86</v>
      </c>
      <c r="C1606" s="9">
        <v>498.17</v>
      </c>
      <c r="D1606" s="9">
        <v>499.75</v>
      </c>
      <c r="E1606" s="9">
        <f t="shared" si="76"/>
        <v>4.331528620498867E-3</v>
      </c>
      <c r="F1606" s="9">
        <f t="shared" si="74"/>
        <v>6.0354523228808861E-2</v>
      </c>
      <c r="G1606" s="9">
        <f t="shared" si="75"/>
        <v>6.670149874982865E-3</v>
      </c>
    </row>
    <row r="1607" spans="1:7" x14ac:dyDescent="0.2">
      <c r="A1607" s="12">
        <v>39232</v>
      </c>
      <c r="B1607" s="9">
        <v>499.4</v>
      </c>
      <c r="C1607" s="9">
        <v>492.56</v>
      </c>
      <c r="D1607" s="9">
        <v>495.52</v>
      </c>
      <c r="E1607" s="9">
        <f t="shared" si="76"/>
        <v>-8.5002571556168204E-3</v>
      </c>
      <c r="F1607" s="9">
        <f t="shared" si="74"/>
        <v>4.6554611925020764E-2</v>
      </c>
      <c r="G1607" s="9">
        <f t="shared" si="75"/>
        <v>6.9072226191346005E-3</v>
      </c>
    </row>
    <row r="1608" spans="1:7" x14ac:dyDescent="0.2">
      <c r="A1608" s="12">
        <v>39233</v>
      </c>
      <c r="B1608" s="9">
        <v>501.7</v>
      </c>
      <c r="C1608" s="9">
        <v>496.34</v>
      </c>
      <c r="D1608" s="9">
        <v>500.57</v>
      </c>
      <c r="E1608" s="9">
        <f t="shared" si="76"/>
        <v>1.0139732890725221E-2</v>
      </c>
      <c r="F1608" s="9">
        <f t="shared" si="74"/>
        <v>4.2565694462572259E-2</v>
      </c>
      <c r="G1608" s="9">
        <f t="shared" si="75"/>
        <v>6.6918045918549236E-3</v>
      </c>
    </row>
    <row r="1609" spans="1:7" x14ac:dyDescent="0.2">
      <c r="A1609" s="12">
        <v>39234</v>
      </c>
      <c r="B1609" s="9">
        <v>502.4</v>
      </c>
      <c r="C1609" s="9">
        <v>497.98</v>
      </c>
      <c r="D1609" s="9">
        <v>498.5</v>
      </c>
      <c r="E1609" s="9">
        <f t="shared" si="76"/>
        <v>-4.1438597137248749E-3</v>
      </c>
      <c r="F1609" s="9">
        <f t="shared" si="74"/>
        <v>3.6131407728299272E-2</v>
      </c>
      <c r="G1609" s="9">
        <f t="shared" si="75"/>
        <v>6.7656112880207135E-3</v>
      </c>
    </row>
    <row r="1610" spans="1:7" x14ac:dyDescent="0.2">
      <c r="A1610" s="12">
        <v>39237</v>
      </c>
      <c r="B1610" s="9">
        <v>499.73</v>
      </c>
      <c r="C1610" s="9">
        <v>496.56</v>
      </c>
      <c r="D1610" s="9">
        <v>499.05</v>
      </c>
      <c r="E1610" s="9">
        <f t="shared" si="76"/>
        <v>1.1027017307024996E-3</v>
      </c>
      <c r="F1610" s="9">
        <f t="shared" si="74"/>
        <v>3.2399824407424893E-2</v>
      </c>
      <c r="G1610" s="9">
        <f t="shared" si="75"/>
        <v>6.7307871125785604E-3</v>
      </c>
    </row>
    <row r="1611" spans="1:7" x14ac:dyDescent="0.2">
      <c r="A1611" s="12">
        <v>39239</v>
      </c>
      <c r="B1611" s="9">
        <v>499.05</v>
      </c>
      <c r="C1611" s="9">
        <v>487.89</v>
      </c>
      <c r="D1611" s="9">
        <v>488.3</v>
      </c>
      <c r="E1611" s="9">
        <f t="shared" si="76"/>
        <v>-2.1776320064980811E-2</v>
      </c>
      <c r="F1611" s="9">
        <f t="shared" si="74"/>
        <v>6.4100149627080803E-3</v>
      </c>
      <c r="G1611" s="9">
        <f t="shared" si="75"/>
        <v>7.8868681632361173E-3</v>
      </c>
    </row>
    <row r="1612" spans="1:7" x14ac:dyDescent="0.2">
      <c r="A1612" s="12">
        <v>39240</v>
      </c>
      <c r="B1612" s="9">
        <v>490.05</v>
      </c>
      <c r="C1612" s="9">
        <v>475.36</v>
      </c>
      <c r="D1612" s="9">
        <v>478.61</v>
      </c>
      <c r="E1612" s="9">
        <f t="shared" si="76"/>
        <v>-2.0043901536655331E-2</v>
      </c>
      <c r="F1612" s="9">
        <f t="shared" si="74"/>
        <v>-2.0023422113355203E-2</v>
      </c>
      <c r="G1612" s="9">
        <f t="shared" si="75"/>
        <v>8.6159732300528195E-3</v>
      </c>
    </row>
    <row r="1613" spans="1:7" x14ac:dyDescent="0.2">
      <c r="A1613" s="12">
        <v>39241</v>
      </c>
      <c r="B1613" s="9">
        <v>477.91</v>
      </c>
      <c r="C1613" s="9">
        <v>467.25</v>
      </c>
      <c r="D1613" s="9">
        <v>476.06</v>
      </c>
      <c r="E1613" s="9">
        <f t="shared" si="76"/>
        <v>-5.3421728230579179E-3</v>
      </c>
      <c r="F1613" s="9">
        <f t="shared" si="74"/>
        <v>-2.6491340861898308E-2</v>
      </c>
      <c r="G1613" s="9">
        <f t="shared" si="75"/>
        <v>8.6504093903391529E-3</v>
      </c>
    </row>
    <row r="1614" spans="1:7" x14ac:dyDescent="0.2">
      <c r="A1614" s="12">
        <v>39244</v>
      </c>
      <c r="B1614" s="9">
        <v>484.26</v>
      </c>
      <c r="C1614" s="9">
        <v>476.29</v>
      </c>
      <c r="D1614" s="9">
        <v>482.65</v>
      </c>
      <c r="E1614" s="9">
        <f t="shared" si="76"/>
        <v>1.3747856586722576E-2</v>
      </c>
      <c r="F1614" s="9">
        <f t="shared" si="74"/>
        <v>1.4513790646469855E-3</v>
      </c>
      <c r="G1614" s="9">
        <f t="shared" si="75"/>
        <v>8.6719725569019378E-3</v>
      </c>
    </row>
    <row r="1615" spans="1:7" x14ac:dyDescent="0.2">
      <c r="A1615" s="12">
        <v>39245</v>
      </c>
      <c r="B1615" s="9">
        <v>484.05</v>
      </c>
      <c r="C1615" s="9">
        <v>476.59</v>
      </c>
      <c r="D1615" s="9">
        <v>478.24</v>
      </c>
      <c r="E1615" s="9">
        <f t="shared" si="76"/>
        <v>-9.1790547589963561E-3</v>
      </c>
      <c r="F1615" s="9">
        <f t="shared" si="74"/>
        <v>-1.5848981296442258E-2</v>
      </c>
      <c r="G1615" s="9">
        <f t="shared" si="75"/>
        <v>8.6918249029380619E-3</v>
      </c>
    </row>
    <row r="1616" spans="1:7" x14ac:dyDescent="0.2">
      <c r="A1616" s="12">
        <v>39246</v>
      </c>
      <c r="B1616" s="9">
        <v>478.55</v>
      </c>
      <c r="C1616" s="9">
        <v>473.34</v>
      </c>
      <c r="D1616" s="9">
        <v>478.55</v>
      </c>
      <c r="E1616" s="9">
        <f t="shared" si="76"/>
        <v>6.4800010628764386E-4</v>
      </c>
      <c r="F1616" s="9">
        <f t="shared" si="74"/>
        <v>-1.9206285863825293E-2</v>
      </c>
      <c r="G1616" s="9">
        <f t="shared" si="75"/>
        <v>8.6529667674526932E-3</v>
      </c>
    </row>
    <row r="1617" spans="1:7" x14ac:dyDescent="0.2">
      <c r="A1617" s="12">
        <v>39247</v>
      </c>
      <c r="B1617" s="9">
        <v>485.54</v>
      </c>
      <c r="C1617" s="9">
        <v>479.84</v>
      </c>
      <c r="D1617" s="9">
        <v>485.35</v>
      </c>
      <c r="E1617" s="9">
        <f t="shared" si="76"/>
        <v>1.4109581516319773E-2</v>
      </c>
      <c r="F1617" s="9">
        <f t="shared" si="74"/>
        <v>9.0697345074930175E-4</v>
      </c>
      <c r="G1617" s="9">
        <f t="shared" si="75"/>
        <v>8.9954892012718383E-3</v>
      </c>
    </row>
    <row r="1618" spans="1:7" x14ac:dyDescent="0.2">
      <c r="A1618" s="12">
        <v>39248</v>
      </c>
      <c r="B1618" s="9">
        <v>488.99</v>
      </c>
      <c r="C1618" s="9">
        <v>483.06</v>
      </c>
      <c r="D1618" s="9">
        <v>488.05</v>
      </c>
      <c r="E1618" s="9">
        <f t="shared" si="76"/>
        <v>5.5475794627388268E-3</v>
      </c>
      <c r="F1618" s="9">
        <f t="shared" si="74"/>
        <v>5.3209645731709778E-3</v>
      </c>
      <c r="G1618" s="9">
        <f t="shared" si="75"/>
        <v>9.0500909369932298E-3</v>
      </c>
    </row>
    <row r="1619" spans="1:7" x14ac:dyDescent="0.2">
      <c r="A1619" s="12">
        <v>39251</v>
      </c>
      <c r="B1619" s="9">
        <v>486.85</v>
      </c>
      <c r="C1619" s="9">
        <v>483.82</v>
      </c>
      <c r="D1619" s="9">
        <v>483.84</v>
      </c>
      <c r="E1619" s="9">
        <f t="shared" si="76"/>
        <v>-8.6635860698606963E-3</v>
      </c>
      <c r="F1619" s="9">
        <f t="shared" si="74"/>
        <v>3.9761483796394168E-3</v>
      </c>
      <c r="G1619" s="9">
        <f t="shared" si="75"/>
        <v>9.0917361639217577E-3</v>
      </c>
    </row>
    <row r="1620" spans="1:7" x14ac:dyDescent="0.2">
      <c r="A1620" s="12">
        <v>39252</v>
      </c>
      <c r="B1620" s="9">
        <v>487.21</v>
      </c>
      <c r="C1620" s="9">
        <v>483.97</v>
      </c>
      <c r="D1620" s="9">
        <v>485.88</v>
      </c>
      <c r="E1620" s="9">
        <f t="shared" si="76"/>
        <v>4.2074062809567287E-3</v>
      </c>
      <c r="F1620" s="9">
        <f t="shared" si="74"/>
        <v>-8.3824849085107796E-3</v>
      </c>
      <c r="G1620" s="9">
        <f t="shared" si="75"/>
        <v>8.587448174725296E-3</v>
      </c>
    </row>
    <row r="1621" spans="1:7" x14ac:dyDescent="0.2">
      <c r="A1621" s="12">
        <v>39253</v>
      </c>
      <c r="B1621" s="9">
        <v>489.66</v>
      </c>
      <c r="C1621" s="9">
        <v>485.35</v>
      </c>
      <c r="D1621" s="9">
        <v>487.2</v>
      </c>
      <c r="E1621" s="9">
        <f t="shared" si="76"/>
        <v>2.713036563617282E-3</v>
      </c>
      <c r="F1621" s="9">
        <f t="shared" si="74"/>
        <v>-3.7695693247827141E-3</v>
      </c>
      <c r="G1621" s="9">
        <f t="shared" si="75"/>
        <v>8.5987234261774518E-3</v>
      </c>
    </row>
    <row r="1622" spans="1:7" x14ac:dyDescent="0.2">
      <c r="A1622" s="12">
        <v>39254</v>
      </c>
      <c r="B1622" s="9">
        <v>488.92</v>
      </c>
      <c r="C1622" s="9">
        <v>481.46</v>
      </c>
      <c r="D1622" s="9">
        <v>485.55</v>
      </c>
      <c r="E1622" s="9">
        <f t="shared" si="76"/>
        <v>-3.3924473553241801E-3</v>
      </c>
      <c r="F1622" s="9">
        <f t="shared" si="74"/>
        <v>-1.2362766703367535E-2</v>
      </c>
      <c r="G1622" s="9">
        <f t="shared" si="75"/>
        <v>8.5582048664925407E-3</v>
      </c>
    </row>
    <row r="1623" spans="1:7" x14ac:dyDescent="0.2">
      <c r="A1623" s="12">
        <v>39255</v>
      </c>
      <c r="B1623" s="9">
        <v>485.77</v>
      </c>
      <c r="C1623" s="9">
        <v>479.69</v>
      </c>
      <c r="D1623" s="9">
        <v>480.88</v>
      </c>
      <c r="E1623" s="9">
        <f t="shared" si="76"/>
        <v>-9.6645103094564703E-3</v>
      </c>
      <c r="F1623" s="9">
        <f t="shared" si="74"/>
        <v>-1.9807520274511228E-2</v>
      </c>
      <c r="G1623" s="9">
        <f t="shared" si="75"/>
        <v>8.7188566090070901E-3</v>
      </c>
    </row>
    <row r="1624" spans="1:7" x14ac:dyDescent="0.2">
      <c r="A1624" s="12">
        <v>39258</v>
      </c>
      <c r="B1624" s="9">
        <v>482.41</v>
      </c>
      <c r="C1624" s="9">
        <v>474.63</v>
      </c>
      <c r="D1624" s="9">
        <v>481.2</v>
      </c>
      <c r="E1624" s="9">
        <f t="shared" si="76"/>
        <v>6.6522536961723111E-4</v>
      </c>
      <c r="F1624" s="9">
        <f t="shared" si="74"/>
        <v>-1.8918008796439123E-2</v>
      </c>
      <c r="G1624" s="9">
        <f t="shared" si="75"/>
        <v>8.7219022833556724E-3</v>
      </c>
    </row>
    <row r="1625" spans="1:7" x14ac:dyDescent="0.2">
      <c r="A1625" s="12">
        <v>39259</v>
      </c>
      <c r="B1625" s="9">
        <v>482.28</v>
      </c>
      <c r="C1625" s="9">
        <v>477.46</v>
      </c>
      <c r="D1625" s="9">
        <v>479.41</v>
      </c>
      <c r="E1625" s="9">
        <f t="shared" si="76"/>
        <v>-3.7268029102013843E-3</v>
      </c>
      <c r="F1625" s="9">
        <f t="shared" si="74"/>
        <v>-2.1563454804532822E-2</v>
      </c>
      <c r="G1625" s="9">
        <f t="shared" si="75"/>
        <v>8.7399712250190303E-3</v>
      </c>
    </row>
    <row r="1626" spans="1:7" x14ac:dyDescent="0.2">
      <c r="A1626" s="12">
        <v>39260</v>
      </c>
      <c r="B1626" s="9">
        <v>479.1</v>
      </c>
      <c r="C1626" s="9">
        <v>473.2</v>
      </c>
      <c r="D1626" s="9">
        <v>474.94</v>
      </c>
      <c r="E1626" s="9">
        <f t="shared" si="76"/>
        <v>-9.3677009236661935E-3</v>
      </c>
      <c r="F1626" s="9">
        <f t="shared" si="74"/>
        <v>-3.1216910838015977E-2</v>
      </c>
      <c r="G1626" s="9">
        <f t="shared" si="75"/>
        <v>8.8783234930778637E-3</v>
      </c>
    </row>
    <row r="1627" spans="1:7" x14ac:dyDescent="0.2">
      <c r="A1627" s="12">
        <v>39261</v>
      </c>
      <c r="B1627" s="9">
        <v>481.01</v>
      </c>
      <c r="C1627" s="9">
        <v>475.66</v>
      </c>
      <c r="D1627" s="9">
        <v>478.62</v>
      </c>
      <c r="E1627" s="9">
        <f t="shared" si="76"/>
        <v>7.7184828844367344E-3</v>
      </c>
      <c r="F1627" s="9">
        <f t="shared" si="74"/>
        <v>-2.1230552143730111E-2</v>
      </c>
      <c r="G1627" s="9">
        <f t="shared" si="75"/>
        <v>9.0168512165824648E-3</v>
      </c>
    </row>
    <row r="1628" spans="1:7" x14ac:dyDescent="0.2">
      <c r="A1628" s="12">
        <v>39262</v>
      </c>
      <c r="B1628" s="9">
        <v>485.36</v>
      </c>
      <c r="C1628" s="9">
        <v>477.26</v>
      </c>
      <c r="D1628" s="9">
        <v>483.69</v>
      </c>
      <c r="E1628" s="9">
        <f t="shared" si="76"/>
        <v>1.053724249266493E-2</v>
      </c>
      <c r="F1628" s="9">
        <f t="shared" si="74"/>
        <v>-1.0447825534700248E-2</v>
      </c>
      <c r="G1628" s="9">
        <f t="shared" si="75"/>
        <v>9.2478585836134244E-3</v>
      </c>
    </row>
    <row r="1629" spans="1:7" x14ac:dyDescent="0.2">
      <c r="A1629" s="12">
        <v>39265</v>
      </c>
      <c r="B1629" s="9">
        <v>485.75</v>
      </c>
      <c r="C1629" s="9">
        <v>481.77</v>
      </c>
      <c r="D1629" s="9">
        <v>485.3</v>
      </c>
      <c r="E1629" s="9">
        <f t="shared" si="76"/>
        <v>3.3230507674123539E-3</v>
      </c>
      <c r="F1629" s="9">
        <f t="shared" si="74"/>
        <v>-2.0584609985696565E-3</v>
      </c>
      <c r="G1629" s="9">
        <f t="shared" si="75"/>
        <v>9.227089466852894E-3</v>
      </c>
    </row>
    <row r="1630" spans="1:7" x14ac:dyDescent="0.2">
      <c r="A1630" s="12">
        <v>39266</v>
      </c>
      <c r="B1630" s="9">
        <v>492.49</v>
      </c>
      <c r="C1630" s="9">
        <v>486.02</v>
      </c>
      <c r="D1630" s="9">
        <v>492.47</v>
      </c>
      <c r="E1630" s="9">
        <f t="shared" si="76"/>
        <v>1.4666288640074177E-2</v>
      </c>
      <c r="F1630" s="9">
        <f t="shared" si="74"/>
        <v>4.3345170172785392E-3</v>
      </c>
      <c r="G1630" s="9">
        <f t="shared" si="75"/>
        <v>9.4962852061309718E-3</v>
      </c>
    </row>
    <row r="1631" spans="1:7" x14ac:dyDescent="0.2">
      <c r="A1631" s="12">
        <v>39267</v>
      </c>
      <c r="B1631" s="9">
        <v>496.92</v>
      </c>
      <c r="C1631" s="9">
        <v>492.17</v>
      </c>
      <c r="D1631" s="9">
        <v>495.83</v>
      </c>
      <c r="E1631" s="9">
        <f t="shared" si="76"/>
        <v>6.7995809887573099E-3</v>
      </c>
      <c r="F1631" s="9">
        <f t="shared" si="74"/>
        <v>5.7848057758432573E-3</v>
      </c>
      <c r="G1631" s="9">
        <f t="shared" si="75"/>
        <v>9.5273358526470984E-3</v>
      </c>
    </row>
    <row r="1632" spans="1:7" x14ac:dyDescent="0.2">
      <c r="A1632" s="12">
        <v>39268</v>
      </c>
      <c r="B1632" s="9">
        <v>499.86</v>
      </c>
      <c r="C1632" s="9">
        <v>493.54</v>
      </c>
      <c r="D1632" s="9">
        <v>498.15</v>
      </c>
      <c r="E1632" s="9">
        <f t="shared" si="76"/>
        <v>4.6681104508630861E-3</v>
      </c>
      <c r="F1632" s="9">
        <f t="shared" si="74"/>
        <v>7.5361040147210734E-3</v>
      </c>
      <c r="G1632" s="9">
        <f t="shared" si="75"/>
        <v>9.5499405255375525E-3</v>
      </c>
    </row>
    <row r="1633" spans="1:7" x14ac:dyDescent="0.2">
      <c r="A1633" s="12">
        <v>39269</v>
      </c>
      <c r="B1633" s="9">
        <v>498.91</v>
      </c>
      <c r="C1633" s="9">
        <v>496.53</v>
      </c>
      <c r="D1633" s="9">
        <v>497.71</v>
      </c>
      <c r="E1633" s="9">
        <f t="shared" si="76"/>
        <v>-8.8365840305111522E-4</v>
      </c>
      <c r="F1633" s="9">
        <f t="shared" ref="F1633:F1696" si="77">LN(D1633/D1603)</f>
        <v>-8.0644791458780122E-3</v>
      </c>
      <c r="G1633" s="9">
        <f t="shared" si="75"/>
        <v>9.1515172469447022E-3</v>
      </c>
    </row>
    <row r="1634" spans="1:7" x14ac:dyDescent="0.2">
      <c r="A1634" s="12">
        <v>39272</v>
      </c>
      <c r="B1634" s="9">
        <v>503.03</v>
      </c>
      <c r="C1634" s="9">
        <v>497.91</v>
      </c>
      <c r="D1634" s="9">
        <v>501.19</v>
      </c>
      <c r="E1634" s="9">
        <f t="shared" si="76"/>
        <v>6.9676926201289327E-3</v>
      </c>
      <c r="F1634" s="9">
        <f t="shared" si="77"/>
        <v>4.3791749564242111E-3</v>
      </c>
      <c r="G1634" s="9">
        <f t="shared" si="75"/>
        <v>9.1892909517725368E-3</v>
      </c>
    </row>
    <row r="1635" spans="1:7" x14ac:dyDescent="0.2">
      <c r="A1635" s="12">
        <v>39273</v>
      </c>
      <c r="B1635" s="9">
        <v>504.68</v>
      </c>
      <c r="C1635" s="9">
        <v>494.65</v>
      </c>
      <c r="D1635" s="9">
        <v>495.76</v>
      </c>
      <c r="E1635" s="9">
        <f t="shared" si="76"/>
        <v>-1.0893332054090895E-2</v>
      </c>
      <c r="F1635" s="9">
        <f t="shared" si="77"/>
        <v>-3.6845061061584602E-3</v>
      </c>
      <c r="G1635" s="9">
        <f t="shared" si="75"/>
        <v>9.3949609674222213E-3</v>
      </c>
    </row>
    <row r="1636" spans="1:7" x14ac:dyDescent="0.2">
      <c r="A1636" s="12">
        <v>39274</v>
      </c>
      <c r="B1636" s="9">
        <v>500.73</v>
      </c>
      <c r="C1636" s="9">
        <v>488.87</v>
      </c>
      <c r="D1636" s="9">
        <v>500.67</v>
      </c>
      <c r="E1636" s="9">
        <f t="shared" si="76"/>
        <v>9.855262769569148E-3</v>
      </c>
      <c r="F1636" s="9">
        <f t="shared" si="77"/>
        <v>1.8392280429117677E-3</v>
      </c>
      <c r="G1636" s="9">
        <f t="shared" si="75"/>
        <v>9.5383026045765765E-3</v>
      </c>
    </row>
    <row r="1637" spans="1:7" x14ac:dyDescent="0.2">
      <c r="A1637" s="12">
        <v>39275</v>
      </c>
      <c r="B1637" s="9">
        <v>503.23</v>
      </c>
      <c r="C1637" s="9">
        <v>499.49</v>
      </c>
      <c r="D1637" s="9">
        <v>503.2</v>
      </c>
      <c r="E1637" s="9">
        <f t="shared" si="76"/>
        <v>5.0405039628095161E-3</v>
      </c>
      <c r="F1637" s="9">
        <f t="shared" si="77"/>
        <v>1.5379989161338098E-2</v>
      </c>
      <c r="G1637" s="9">
        <f t="shared" si="75"/>
        <v>9.4390559610604222E-3</v>
      </c>
    </row>
    <row r="1638" spans="1:7" x14ac:dyDescent="0.2">
      <c r="A1638" s="12">
        <v>39276</v>
      </c>
      <c r="B1638" s="9">
        <v>508.54</v>
      </c>
      <c r="C1638" s="9">
        <v>503.12</v>
      </c>
      <c r="D1638" s="9">
        <v>505.66</v>
      </c>
      <c r="E1638" s="9">
        <f t="shared" si="76"/>
        <v>4.8768012916602871E-3</v>
      </c>
      <c r="F1638" s="9">
        <f t="shared" si="77"/>
        <v>1.0117057562273277E-2</v>
      </c>
      <c r="G1638" s="9">
        <f t="shared" si="75"/>
        <v>9.3018713859664495E-3</v>
      </c>
    </row>
    <row r="1639" spans="1:7" x14ac:dyDescent="0.2">
      <c r="A1639" s="12">
        <v>39279</v>
      </c>
      <c r="B1639" s="9">
        <v>508.1</v>
      </c>
      <c r="C1639" s="9">
        <v>504.83</v>
      </c>
      <c r="D1639" s="9">
        <v>507.73</v>
      </c>
      <c r="E1639" s="9">
        <f t="shared" si="76"/>
        <v>4.0853035434991643E-3</v>
      </c>
      <c r="F1639" s="9">
        <f t="shared" si="77"/>
        <v>1.8346220819497272E-2</v>
      </c>
      <c r="G1639" s="9">
        <f t="shared" ref="G1639:G1702" si="78">STDEV(E1610:E1639)</f>
        <v>9.2864937645126353E-3</v>
      </c>
    </row>
    <row r="1640" spans="1:7" x14ac:dyDescent="0.2">
      <c r="A1640" s="12">
        <v>39280</v>
      </c>
      <c r="B1640" s="9">
        <v>510.04</v>
      </c>
      <c r="C1640" s="9">
        <v>505.18</v>
      </c>
      <c r="D1640" s="9">
        <v>509.48</v>
      </c>
      <c r="E1640" s="9">
        <f t="shared" si="76"/>
        <v>3.4407875001686216E-3</v>
      </c>
      <c r="F1640" s="9">
        <f t="shared" si="77"/>
        <v>2.068430658896326E-2</v>
      </c>
      <c r="G1640" s="9">
        <f t="shared" si="78"/>
        <v>9.3005583880119598E-3</v>
      </c>
    </row>
    <row r="1641" spans="1:7" x14ac:dyDescent="0.2">
      <c r="A1641" s="12">
        <v>39281</v>
      </c>
      <c r="B1641" s="9">
        <v>512.45000000000005</v>
      </c>
      <c r="C1641" s="9">
        <v>505.97</v>
      </c>
      <c r="D1641" s="9">
        <v>511</v>
      </c>
      <c r="E1641" s="9">
        <f t="shared" si="76"/>
        <v>2.9789924821456044E-3</v>
      </c>
      <c r="F1641" s="9">
        <f t="shared" si="77"/>
        <v>4.5439619136089883E-2</v>
      </c>
      <c r="G1641" s="9">
        <f t="shared" si="78"/>
        <v>8.2808743830749473E-3</v>
      </c>
    </row>
    <row r="1642" spans="1:7" x14ac:dyDescent="0.2">
      <c r="A1642" s="12">
        <v>39282</v>
      </c>
      <c r="B1642" s="9">
        <v>514.88</v>
      </c>
      <c r="C1642" s="9">
        <v>510.72</v>
      </c>
      <c r="D1642" s="9">
        <v>512.79999999999995</v>
      </c>
      <c r="E1642" s="9">
        <f t="shared" si="76"/>
        <v>3.5163154027556616E-3</v>
      </c>
      <c r="F1642" s="9">
        <f t="shared" si="77"/>
        <v>6.8999836075500948E-2</v>
      </c>
      <c r="G1642" s="9">
        <f t="shared" si="78"/>
        <v>7.2143202292301329E-3</v>
      </c>
    </row>
    <row r="1643" spans="1:7" x14ac:dyDescent="0.2">
      <c r="A1643" s="12">
        <v>39283</v>
      </c>
      <c r="B1643" s="9">
        <v>515.64</v>
      </c>
      <c r="C1643" s="9">
        <v>512</v>
      </c>
      <c r="D1643" s="9">
        <v>512.07000000000005</v>
      </c>
      <c r="E1643" s="9">
        <f t="shared" si="76"/>
        <v>-1.4245711621088169E-3</v>
      </c>
      <c r="F1643" s="9">
        <f t="shared" si="77"/>
        <v>7.2917437736449958E-2</v>
      </c>
      <c r="G1643" s="9">
        <f t="shared" si="78"/>
        <v>7.1058600286694387E-3</v>
      </c>
    </row>
    <row r="1644" spans="1:7" x14ac:dyDescent="0.2">
      <c r="A1644" s="12">
        <v>39286</v>
      </c>
      <c r="B1644" s="9">
        <v>514.15</v>
      </c>
      <c r="C1644" s="9">
        <v>509.79</v>
      </c>
      <c r="D1644" s="9">
        <v>513.29</v>
      </c>
      <c r="E1644" s="9">
        <f t="shared" si="76"/>
        <v>2.3796531476022536E-3</v>
      </c>
      <c r="F1644" s="9">
        <f t="shared" si="77"/>
        <v>6.1549234297329378E-2</v>
      </c>
      <c r="G1644" s="9">
        <f t="shared" si="78"/>
        <v>6.7770356660624758E-3</v>
      </c>
    </row>
    <row r="1645" spans="1:7" x14ac:dyDescent="0.2">
      <c r="A1645" s="12">
        <v>39287</v>
      </c>
      <c r="B1645" s="9">
        <v>515.75</v>
      </c>
      <c r="C1645" s="9">
        <v>507.83</v>
      </c>
      <c r="D1645" s="9">
        <v>510.84</v>
      </c>
      <c r="E1645" s="9">
        <f t="shared" si="76"/>
        <v>-4.7845579638922395E-3</v>
      </c>
      <c r="F1645" s="9">
        <f t="shared" si="77"/>
        <v>6.5943731092433483E-2</v>
      </c>
      <c r="G1645" s="9">
        <f t="shared" si="78"/>
        <v>6.5702556709498379E-3</v>
      </c>
    </row>
    <row r="1646" spans="1:7" x14ac:dyDescent="0.2">
      <c r="A1646" s="12">
        <v>39288</v>
      </c>
      <c r="B1646" s="9">
        <v>511.85</v>
      </c>
      <c r="C1646" s="9">
        <v>506.04</v>
      </c>
      <c r="D1646" s="9">
        <v>508.99</v>
      </c>
      <c r="E1646" s="9">
        <f t="shared" si="76"/>
        <v>-3.6280596359532513E-3</v>
      </c>
      <c r="F1646" s="9">
        <f t="shared" si="77"/>
        <v>6.1667671350192452E-2</v>
      </c>
      <c r="G1646" s="9">
        <f t="shared" si="78"/>
        <v>6.6509308996870594E-3</v>
      </c>
    </row>
    <row r="1647" spans="1:7" x14ac:dyDescent="0.2">
      <c r="A1647" s="12">
        <v>39289</v>
      </c>
      <c r="B1647" s="9">
        <v>511.35</v>
      </c>
      <c r="C1647" s="9">
        <v>497.95</v>
      </c>
      <c r="D1647" s="9">
        <v>498.91</v>
      </c>
      <c r="E1647" s="9">
        <f t="shared" si="76"/>
        <v>-2.0002651228983013E-2</v>
      </c>
      <c r="F1647" s="9">
        <f t="shared" si="77"/>
        <v>2.755543860488965E-2</v>
      </c>
      <c r="G1647" s="9">
        <f t="shared" si="78"/>
        <v>7.3935914822778398E-3</v>
      </c>
    </row>
    <row r="1648" spans="1:7" x14ac:dyDescent="0.2">
      <c r="A1648" s="12">
        <v>39290</v>
      </c>
      <c r="B1648" s="9">
        <v>499.46</v>
      </c>
      <c r="C1648" s="9">
        <v>490.5</v>
      </c>
      <c r="D1648" s="9">
        <v>491.94</v>
      </c>
      <c r="E1648" s="9">
        <f t="shared" si="76"/>
        <v>-1.4068960926983598E-2</v>
      </c>
      <c r="F1648" s="9">
        <f t="shared" si="77"/>
        <v>7.938898215167179E-3</v>
      </c>
      <c r="G1648" s="9">
        <f t="shared" si="78"/>
        <v>7.8249377697830799E-3</v>
      </c>
    </row>
    <row r="1649" spans="1:7" x14ac:dyDescent="0.2">
      <c r="A1649" s="12">
        <v>39293</v>
      </c>
      <c r="B1649" s="9">
        <v>495.34</v>
      </c>
      <c r="C1649" s="9">
        <v>489.21</v>
      </c>
      <c r="D1649" s="9">
        <v>493.22</v>
      </c>
      <c r="E1649" s="9">
        <f t="shared" si="76"/>
        <v>2.5985641322635654E-3</v>
      </c>
      <c r="F1649" s="9">
        <f t="shared" si="77"/>
        <v>1.9201048417291502E-2</v>
      </c>
      <c r="G1649" s="9">
        <f t="shared" si="78"/>
        <v>7.6500309263281691E-3</v>
      </c>
    </row>
    <row r="1650" spans="1:7" x14ac:dyDescent="0.2">
      <c r="A1650" s="12">
        <v>39294</v>
      </c>
      <c r="B1650" s="9">
        <v>501.2</v>
      </c>
      <c r="C1650" s="9">
        <v>493.83</v>
      </c>
      <c r="D1650" s="9">
        <v>499.66</v>
      </c>
      <c r="E1650" s="9">
        <f t="shared" si="76"/>
        <v>1.2972545148922621E-2</v>
      </c>
      <c r="F1650" s="9">
        <f t="shared" si="77"/>
        <v>2.7966187285257686E-2</v>
      </c>
      <c r="G1650" s="9">
        <f t="shared" si="78"/>
        <v>7.9523797559496925E-3</v>
      </c>
    </row>
    <row r="1651" spans="1:7" x14ac:dyDescent="0.2">
      <c r="A1651" s="12">
        <v>39295</v>
      </c>
      <c r="B1651" s="9">
        <v>498.53</v>
      </c>
      <c r="C1651" s="9">
        <v>489.8</v>
      </c>
      <c r="D1651" s="9">
        <v>493.68</v>
      </c>
      <c r="E1651" s="9">
        <f t="shared" si="76"/>
        <v>-1.2040333104516188E-2</v>
      </c>
      <c r="F1651" s="9">
        <f t="shared" si="77"/>
        <v>1.3212817617124256E-2</v>
      </c>
      <c r="G1651" s="9">
        <f t="shared" si="78"/>
        <v>8.287568573536153E-3</v>
      </c>
    </row>
    <row r="1652" spans="1:7" x14ac:dyDescent="0.2">
      <c r="A1652" s="12">
        <v>39296</v>
      </c>
      <c r="B1652" s="9">
        <v>500.25</v>
      </c>
      <c r="C1652" s="9">
        <v>494.71</v>
      </c>
      <c r="D1652" s="9">
        <v>500.11</v>
      </c>
      <c r="E1652" s="9">
        <f t="shared" si="76"/>
        <v>1.2940540212929133E-2</v>
      </c>
      <c r="F1652" s="9">
        <f t="shared" si="77"/>
        <v>2.9545805185377503E-2</v>
      </c>
      <c r="G1652" s="9">
        <f t="shared" si="78"/>
        <v>8.559124337043927E-3</v>
      </c>
    </row>
    <row r="1653" spans="1:7" x14ac:dyDescent="0.2">
      <c r="A1653" s="12">
        <v>39297</v>
      </c>
      <c r="B1653" s="9">
        <v>504.53</v>
      </c>
      <c r="C1653" s="9">
        <v>495.35</v>
      </c>
      <c r="D1653" s="9">
        <v>495.86</v>
      </c>
      <c r="E1653" s="9">
        <f t="shared" si="76"/>
        <v>-8.5344454076340358E-3</v>
      </c>
      <c r="F1653" s="9">
        <f t="shared" si="77"/>
        <v>3.0675870087200015E-2</v>
      </c>
      <c r="G1653" s="9">
        <f t="shared" si="78"/>
        <v>8.5130026145299742E-3</v>
      </c>
    </row>
    <row r="1654" spans="1:7" x14ac:dyDescent="0.2">
      <c r="A1654" s="12">
        <v>39300</v>
      </c>
      <c r="B1654" s="9">
        <v>495.14</v>
      </c>
      <c r="C1654" s="9">
        <v>488.86</v>
      </c>
      <c r="D1654" s="9">
        <v>491.97</v>
      </c>
      <c r="E1654" s="9">
        <f t="shared" si="76"/>
        <v>-7.8758897946424964E-3</v>
      </c>
      <c r="F1654" s="9">
        <f t="shared" si="77"/>
        <v>2.2134754922940272E-2</v>
      </c>
      <c r="G1654" s="9">
        <f t="shared" si="78"/>
        <v>8.6667969163136179E-3</v>
      </c>
    </row>
    <row r="1655" spans="1:7" x14ac:dyDescent="0.2">
      <c r="A1655" s="12">
        <v>39301</v>
      </c>
      <c r="B1655" s="9">
        <v>497.72</v>
      </c>
      <c r="C1655" s="9">
        <v>492.69</v>
      </c>
      <c r="D1655" s="9">
        <v>495.38</v>
      </c>
      <c r="E1655" s="9">
        <f t="shared" si="76"/>
        <v>6.9074057998108956E-3</v>
      </c>
      <c r="F1655" s="9">
        <f t="shared" si="77"/>
        <v>3.2768963632952459E-2</v>
      </c>
      <c r="G1655" s="9">
        <f t="shared" si="78"/>
        <v>8.6953197275247383E-3</v>
      </c>
    </row>
    <row r="1656" spans="1:7" x14ac:dyDescent="0.2">
      <c r="A1656" s="12">
        <v>39302</v>
      </c>
      <c r="B1656" s="9">
        <v>504.17</v>
      </c>
      <c r="C1656" s="9">
        <v>496.05</v>
      </c>
      <c r="D1656" s="9">
        <v>503.35</v>
      </c>
      <c r="E1656" s="9">
        <f t="shared" si="76"/>
        <v>1.5960608352157485E-2</v>
      </c>
      <c r="F1656" s="9">
        <f t="shared" si="77"/>
        <v>5.809727290877615E-2</v>
      </c>
      <c r="G1656" s="9">
        <f t="shared" si="78"/>
        <v>8.872506734255655E-3</v>
      </c>
    </row>
    <row r="1657" spans="1:7" x14ac:dyDescent="0.2">
      <c r="A1657" s="12">
        <v>39303</v>
      </c>
      <c r="B1657" s="9">
        <v>503.43</v>
      </c>
      <c r="C1657" s="9">
        <v>487.1</v>
      </c>
      <c r="D1657" s="9">
        <v>490.1</v>
      </c>
      <c r="E1657" s="9">
        <f t="shared" si="76"/>
        <v>-2.6676301259930514E-2</v>
      </c>
      <c r="F1657" s="9">
        <f t="shared" si="77"/>
        <v>2.3702488764408766E-2</v>
      </c>
      <c r="G1657" s="9">
        <f t="shared" si="78"/>
        <v>1.0219576895553566E-2</v>
      </c>
    </row>
    <row r="1658" spans="1:7" x14ac:dyDescent="0.2">
      <c r="A1658" s="12">
        <v>39304</v>
      </c>
      <c r="B1658" s="9">
        <v>489.28</v>
      </c>
      <c r="C1658" s="9">
        <v>475.01</v>
      </c>
      <c r="D1658" s="9">
        <v>478.5</v>
      </c>
      <c r="E1658" s="9">
        <f t="shared" si="76"/>
        <v>-2.3953241022492872E-2</v>
      </c>
      <c r="F1658" s="9">
        <f t="shared" si="77"/>
        <v>-1.0787994750749159E-2</v>
      </c>
      <c r="G1658" s="9">
        <f t="shared" si="78"/>
        <v>1.0995805867131621E-2</v>
      </c>
    </row>
    <row r="1659" spans="1:7" x14ac:dyDescent="0.2">
      <c r="A1659" s="12">
        <v>39307</v>
      </c>
      <c r="B1659" s="9">
        <v>485.83</v>
      </c>
      <c r="C1659" s="9">
        <v>479.12</v>
      </c>
      <c r="D1659" s="9">
        <v>485.21</v>
      </c>
      <c r="E1659" s="9">
        <f t="shared" si="76"/>
        <v>1.3925576022209842E-2</v>
      </c>
      <c r="F1659" s="9">
        <f t="shared" si="77"/>
        <v>-1.854694959516492E-4</v>
      </c>
      <c r="G1659" s="9">
        <f t="shared" si="78"/>
        <v>1.128484163166785E-2</v>
      </c>
    </row>
    <row r="1660" spans="1:7" x14ac:dyDescent="0.2">
      <c r="A1660" s="12">
        <v>39308</v>
      </c>
      <c r="B1660" s="9">
        <v>487.07</v>
      </c>
      <c r="C1660" s="9">
        <v>482.22</v>
      </c>
      <c r="D1660" s="9">
        <v>484.16</v>
      </c>
      <c r="E1660" s="9">
        <f t="shared" si="76"/>
        <v>-2.166356315227731E-3</v>
      </c>
      <c r="F1660" s="9">
        <f t="shared" si="77"/>
        <v>-1.7018114451253629E-2</v>
      </c>
      <c r="G1660" s="9">
        <f t="shared" si="78"/>
        <v>1.0943463202015339E-2</v>
      </c>
    </row>
    <row r="1661" spans="1:7" x14ac:dyDescent="0.2">
      <c r="A1661" s="12">
        <v>39309</v>
      </c>
      <c r="B1661" s="9">
        <v>483.24</v>
      </c>
      <c r="C1661" s="9">
        <v>471.01</v>
      </c>
      <c r="D1661" s="9">
        <v>473.12</v>
      </c>
      <c r="E1661" s="9">
        <f t="shared" si="76"/>
        <v>-2.3066374495824108E-2</v>
      </c>
      <c r="F1661" s="9">
        <f t="shared" si="77"/>
        <v>-4.6884069935834945E-2</v>
      </c>
      <c r="G1661" s="9">
        <f t="shared" si="78"/>
        <v>1.1589574520933576E-2</v>
      </c>
    </row>
    <row r="1662" spans="1:7" x14ac:dyDescent="0.2">
      <c r="A1662" s="12">
        <v>39310</v>
      </c>
      <c r="B1662" s="9">
        <v>471.27</v>
      </c>
      <c r="C1662" s="9">
        <v>450.93</v>
      </c>
      <c r="D1662" s="9">
        <v>452.79</v>
      </c>
      <c r="E1662" s="9">
        <f t="shared" si="76"/>
        <v>-4.3920614264720451E-2</v>
      </c>
      <c r="F1662" s="9">
        <f t="shared" si="77"/>
        <v>-9.5472794651418599E-2</v>
      </c>
      <c r="G1662" s="9">
        <f t="shared" si="78"/>
        <v>1.3861250099236621E-2</v>
      </c>
    </row>
    <row r="1663" spans="1:7" x14ac:dyDescent="0.2">
      <c r="A1663" s="12">
        <v>39311</v>
      </c>
      <c r="B1663" s="9">
        <v>470.08</v>
      </c>
      <c r="C1663" s="9">
        <v>381.66</v>
      </c>
      <c r="D1663" s="9">
        <v>461.7</v>
      </c>
      <c r="E1663" s="9">
        <f t="shared" si="76"/>
        <v>1.9486887673496694E-2</v>
      </c>
      <c r="F1663" s="9">
        <f t="shared" si="77"/>
        <v>-7.5102248574870925E-2</v>
      </c>
      <c r="G1663" s="9">
        <f t="shared" si="78"/>
        <v>1.4463598628580859E-2</v>
      </c>
    </row>
    <row r="1664" spans="1:7" x14ac:dyDescent="0.2">
      <c r="A1664" s="12">
        <v>39314</v>
      </c>
      <c r="B1664" s="9">
        <v>476.3</v>
      </c>
      <c r="C1664" s="9">
        <v>463.03</v>
      </c>
      <c r="D1664" s="9">
        <v>475.49</v>
      </c>
      <c r="E1664" s="9">
        <f t="shared" si="76"/>
        <v>2.9430521757141163E-2</v>
      </c>
      <c r="F1664" s="9">
        <f t="shared" si="77"/>
        <v>-5.2639419437858471E-2</v>
      </c>
      <c r="G1664" s="9">
        <f t="shared" si="78"/>
        <v>1.5514097837049847E-2</v>
      </c>
    </row>
    <row r="1665" spans="1:7" x14ac:dyDescent="0.2">
      <c r="A1665" s="12">
        <v>39315</v>
      </c>
      <c r="B1665" s="9">
        <v>480.19</v>
      </c>
      <c r="C1665" s="9">
        <v>471.72</v>
      </c>
      <c r="D1665" s="9">
        <v>472.46</v>
      </c>
      <c r="E1665" s="9">
        <f t="shared" si="76"/>
        <v>-6.392764004471709E-3</v>
      </c>
      <c r="F1665" s="9">
        <f t="shared" si="77"/>
        <v>-4.8138851388239264E-2</v>
      </c>
      <c r="G1665" s="9">
        <f t="shared" si="78"/>
        <v>1.5444283750557689E-2</v>
      </c>
    </row>
    <row r="1666" spans="1:7" x14ac:dyDescent="0.2">
      <c r="A1666" s="12">
        <v>39316</v>
      </c>
      <c r="B1666" s="9">
        <v>490.6</v>
      </c>
      <c r="C1666" s="9">
        <v>472.98</v>
      </c>
      <c r="D1666" s="9">
        <v>490.49</v>
      </c>
      <c r="E1666" s="9">
        <f t="shared" si="76"/>
        <v>3.745180417214318E-2</v>
      </c>
      <c r="F1666" s="9">
        <f t="shared" si="77"/>
        <v>-2.0542309985665433E-2</v>
      </c>
      <c r="G1666" s="9">
        <f t="shared" si="78"/>
        <v>1.6903316649050024E-2</v>
      </c>
    </row>
    <row r="1667" spans="1:7" x14ac:dyDescent="0.2">
      <c r="A1667" s="12">
        <v>39317</v>
      </c>
      <c r="B1667" s="9">
        <v>494.5</v>
      </c>
      <c r="C1667" s="9">
        <v>487.15</v>
      </c>
      <c r="D1667" s="9">
        <v>491.07</v>
      </c>
      <c r="E1667" s="9">
        <f t="shared" si="76"/>
        <v>1.1817923866170293E-3</v>
      </c>
      <c r="F1667" s="9">
        <f t="shared" si="77"/>
        <v>-2.4401021561857857E-2</v>
      </c>
      <c r="G1667" s="9">
        <f t="shared" si="78"/>
        <v>1.6872902651775303E-2</v>
      </c>
    </row>
    <row r="1668" spans="1:7" x14ac:dyDescent="0.2">
      <c r="A1668" s="12">
        <v>39318</v>
      </c>
      <c r="B1668" s="9">
        <v>493.48</v>
      </c>
      <c r="C1668" s="9">
        <v>486.77</v>
      </c>
      <c r="D1668" s="9">
        <v>491.3</v>
      </c>
      <c r="E1668" s="9">
        <f t="shared" ref="E1668:E1731" si="79">LN(D1668/D1667)</f>
        <v>4.6825535022978023E-4</v>
      </c>
      <c r="F1668" s="9">
        <f t="shared" si="77"/>
        <v>-2.8809567503288509E-2</v>
      </c>
      <c r="G1668" s="9">
        <f t="shared" si="78"/>
        <v>1.6840803453351611E-2</v>
      </c>
    </row>
    <row r="1669" spans="1:7" x14ac:dyDescent="0.2">
      <c r="A1669" s="12">
        <v>39321</v>
      </c>
      <c r="B1669" s="9">
        <v>498.52</v>
      </c>
      <c r="C1669" s="9">
        <v>492.12</v>
      </c>
      <c r="D1669" s="9">
        <v>496.72</v>
      </c>
      <c r="E1669" s="9">
        <f t="shared" si="79"/>
        <v>1.0971547882034811E-2</v>
      </c>
      <c r="F1669" s="9">
        <f t="shared" si="77"/>
        <v>-2.1923323164752893E-2</v>
      </c>
      <c r="G1669" s="9">
        <f t="shared" si="78"/>
        <v>1.6958466127234364E-2</v>
      </c>
    </row>
    <row r="1670" spans="1:7" x14ac:dyDescent="0.2">
      <c r="A1670" s="12">
        <v>39322</v>
      </c>
      <c r="B1670" s="9">
        <v>496.85</v>
      </c>
      <c r="C1670" s="9">
        <v>484.48</v>
      </c>
      <c r="D1670" s="9">
        <v>484.48</v>
      </c>
      <c r="E1670" s="9">
        <f t="shared" si="79"/>
        <v>-2.4950336247608059E-2</v>
      </c>
      <c r="F1670" s="9">
        <f t="shared" si="77"/>
        <v>-5.0314446912529433E-2</v>
      </c>
      <c r="G1670" s="9">
        <f t="shared" si="78"/>
        <v>1.750114693075519E-2</v>
      </c>
    </row>
    <row r="1671" spans="1:7" x14ac:dyDescent="0.2">
      <c r="A1671" s="12">
        <v>39323</v>
      </c>
      <c r="B1671" s="9">
        <v>488.86</v>
      </c>
      <c r="C1671" s="9">
        <v>475.59</v>
      </c>
      <c r="D1671" s="9">
        <v>485.84</v>
      </c>
      <c r="E1671" s="9">
        <f t="shared" si="79"/>
        <v>2.8032007802905293E-3</v>
      </c>
      <c r="F1671" s="9">
        <f t="shared" si="77"/>
        <v>-5.0490238614384557E-2</v>
      </c>
      <c r="G1671" s="9">
        <f t="shared" si="78"/>
        <v>1.7499563564702059E-2</v>
      </c>
    </row>
    <row r="1672" spans="1:7" x14ac:dyDescent="0.2">
      <c r="A1672" s="12">
        <v>39324</v>
      </c>
      <c r="B1672" s="9">
        <v>493.21</v>
      </c>
      <c r="C1672" s="9">
        <v>485.06</v>
      </c>
      <c r="D1672" s="9">
        <v>489.72</v>
      </c>
      <c r="E1672" s="9">
        <f t="shared" si="79"/>
        <v>7.954447616394817E-3</v>
      </c>
      <c r="F1672" s="9">
        <f t="shared" si="77"/>
        <v>-4.6052106400745516E-2</v>
      </c>
      <c r="G1672" s="9">
        <f t="shared" si="78"/>
        <v>1.7563675331094111E-2</v>
      </c>
    </row>
    <row r="1673" spans="1:7" x14ac:dyDescent="0.2">
      <c r="A1673" s="12">
        <v>39325</v>
      </c>
      <c r="B1673" s="9">
        <v>496.4</v>
      </c>
      <c r="C1673" s="9">
        <v>490.44</v>
      </c>
      <c r="D1673" s="9">
        <v>496.3</v>
      </c>
      <c r="E1673" s="9">
        <f t="shared" si="79"/>
        <v>1.3346783387680562E-2</v>
      </c>
      <c r="F1673" s="9">
        <f t="shared" si="77"/>
        <v>-3.1280751850956211E-2</v>
      </c>
      <c r="G1673" s="9">
        <f t="shared" si="78"/>
        <v>1.7772685651102595E-2</v>
      </c>
    </row>
    <row r="1674" spans="1:7" x14ac:dyDescent="0.2">
      <c r="A1674" s="12">
        <v>39328</v>
      </c>
      <c r="B1674" s="9">
        <v>498.36</v>
      </c>
      <c r="C1674" s="9">
        <v>495.56</v>
      </c>
      <c r="D1674" s="9">
        <v>498.01</v>
      </c>
      <c r="E1674" s="9">
        <f t="shared" si="79"/>
        <v>3.4395745509358889E-3</v>
      </c>
      <c r="F1674" s="9">
        <f t="shared" si="77"/>
        <v>-3.0220830447622384E-2</v>
      </c>
      <c r="G1674" s="9">
        <f t="shared" si="78"/>
        <v>1.7780775283806463E-2</v>
      </c>
    </row>
    <row r="1675" spans="1:7" x14ac:dyDescent="0.2">
      <c r="A1675" s="12">
        <v>39329</v>
      </c>
      <c r="B1675" s="9">
        <v>501.83</v>
      </c>
      <c r="C1675" s="9">
        <v>494.61</v>
      </c>
      <c r="D1675" s="9">
        <v>501.21</v>
      </c>
      <c r="E1675" s="9">
        <f t="shared" si="79"/>
        <v>6.4050177934654789E-3</v>
      </c>
      <c r="F1675" s="9">
        <f t="shared" si="77"/>
        <v>-1.9031254690264645E-2</v>
      </c>
      <c r="G1675" s="9">
        <f t="shared" si="78"/>
        <v>1.7816135374110358E-2</v>
      </c>
    </row>
    <row r="1676" spans="1:7" x14ac:dyDescent="0.2">
      <c r="A1676" s="12">
        <v>39330</v>
      </c>
      <c r="B1676" s="9">
        <v>502.32</v>
      </c>
      <c r="C1676" s="9">
        <v>493.19</v>
      </c>
      <c r="D1676" s="9">
        <v>494.93</v>
      </c>
      <c r="E1676" s="9">
        <f t="shared" si="79"/>
        <v>-1.260883651044287E-2</v>
      </c>
      <c r="F1676" s="9">
        <f t="shared" si="77"/>
        <v>-2.8012031564754306E-2</v>
      </c>
      <c r="G1676" s="9">
        <f t="shared" si="78"/>
        <v>1.7943169682990642E-2</v>
      </c>
    </row>
    <row r="1677" spans="1:7" x14ac:dyDescent="0.2">
      <c r="A1677" s="12">
        <v>39331</v>
      </c>
      <c r="B1677" s="9">
        <v>499.75</v>
      </c>
      <c r="C1677" s="9">
        <v>491.5</v>
      </c>
      <c r="D1677" s="9">
        <v>494.47</v>
      </c>
      <c r="E1677" s="9">
        <f t="shared" si="79"/>
        <v>-9.2985654567265643E-4</v>
      </c>
      <c r="F1677" s="9">
        <f t="shared" si="77"/>
        <v>-8.9392368814438083E-3</v>
      </c>
      <c r="G1677" s="9">
        <f t="shared" si="78"/>
        <v>1.7578409090848152E-2</v>
      </c>
    </row>
    <row r="1678" spans="1:7" x14ac:dyDescent="0.2">
      <c r="A1678" s="12">
        <v>39332</v>
      </c>
      <c r="B1678" s="9">
        <v>496.23</v>
      </c>
      <c r="C1678" s="9">
        <v>482.79</v>
      </c>
      <c r="D1678" s="9">
        <v>483.13</v>
      </c>
      <c r="E1678" s="9">
        <f t="shared" si="79"/>
        <v>-2.3200713305061779E-2</v>
      </c>
      <c r="F1678" s="9">
        <f t="shared" si="77"/>
        <v>-1.807098925952199E-2</v>
      </c>
      <c r="G1678" s="9">
        <f t="shared" si="78"/>
        <v>1.7901193627315588E-2</v>
      </c>
    </row>
    <row r="1679" spans="1:7" x14ac:dyDescent="0.2">
      <c r="A1679" s="12">
        <v>39335</v>
      </c>
      <c r="B1679" s="9">
        <v>482.41</v>
      </c>
      <c r="C1679" s="9">
        <v>472.36</v>
      </c>
      <c r="D1679" s="9">
        <v>474.58</v>
      </c>
      <c r="E1679" s="9">
        <f t="shared" si="79"/>
        <v>-1.7855566213007854E-2</v>
      </c>
      <c r="F1679" s="9">
        <f t="shared" si="77"/>
        <v>-3.8525119604793462E-2</v>
      </c>
      <c r="G1679" s="9">
        <f t="shared" si="78"/>
        <v>1.816268484397901E-2</v>
      </c>
    </row>
    <row r="1680" spans="1:7" x14ac:dyDescent="0.2">
      <c r="A1680" s="12">
        <v>39336</v>
      </c>
      <c r="B1680" s="9">
        <v>487.41</v>
      </c>
      <c r="C1680" s="9">
        <v>475.19</v>
      </c>
      <c r="D1680" s="9">
        <v>486.7</v>
      </c>
      <c r="E1680" s="9">
        <f t="shared" si="79"/>
        <v>2.5217714475797105E-2</v>
      </c>
      <c r="F1680" s="9">
        <f t="shared" si="77"/>
        <v>-2.6279950277919066E-2</v>
      </c>
      <c r="G1680" s="9">
        <f t="shared" si="78"/>
        <v>1.8625814800398179E-2</v>
      </c>
    </row>
    <row r="1681" spans="1:7" x14ac:dyDescent="0.2">
      <c r="A1681" s="12">
        <v>39337</v>
      </c>
      <c r="B1681" s="9">
        <v>488.53</v>
      </c>
      <c r="C1681" s="9">
        <v>483.49</v>
      </c>
      <c r="D1681" s="9">
        <v>486.2</v>
      </c>
      <c r="E1681" s="9">
        <f t="shared" si="79"/>
        <v>-1.0278549573855796E-3</v>
      </c>
      <c r="F1681" s="9">
        <f t="shared" si="77"/>
        <v>-1.5267472130788421E-2</v>
      </c>
      <c r="G1681" s="9">
        <f t="shared" si="78"/>
        <v>1.8506333056713113E-2</v>
      </c>
    </row>
    <row r="1682" spans="1:7" x14ac:dyDescent="0.2">
      <c r="A1682" s="12">
        <v>39338</v>
      </c>
      <c r="B1682" s="9">
        <v>489.06</v>
      </c>
      <c r="C1682" s="9">
        <v>483</v>
      </c>
      <c r="D1682" s="9">
        <v>488.54</v>
      </c>
      <c r="E1682" s="9">
        <f t="shared" si="79"/>
        <v>4.8012895648330703E-3</v>
      </c>
      <c r="F1682" s="9">
        <f t="shared" si="77"/>
        <v>-2.3406722778884535E-2</v>
      </c>
      <c r="G1682" s="9">
        <f t="shared" si="78"/>
        <v>1.8361455788255036E-2</v>
      </c>
    </row>
    <row r="1683" spans="1:7" x14ac:dyDescent="0.2">
      <c r="A1683" s="12">
        <v>39339</v>
      </c>
      <c r="B1683" s="9">
        <v>488.44</v>
      </c>
      <c r="C1683" s="9">
        <v>482.31</v>
      </c>
      <c r="D1683" s="9">
        <v>487.08</v>
      </c>
      <c r="E1683" s="9">
        <f t="shared" si="79"/>
        <v>-2.9929708080494223E-3</v>
      </c>
      <c r="F1683" s="9">
        <f t="shared" si="77"/>
        <v>-1.7865248179299867E-2</v>
      </c>
      <c r="G1683" s="9">
        <f t="shared" si="78"/>
        <v>1.8308555945106011E-2</v>
      </c>
    </row>
    <row r="1684" spans="1:7" x14ac:dyDescent="0.2">
      <c r="A1684" s="12">
        <v>39342</v>
      </c>
      <c r="B1684" s="9">
        <v>486.88</v>
      </c>
      <c r="C1684" s="9">
        <v>479.17</v>
      </c>
      <c r="D1684" s="9">
        <v>479.25</v>
      </c>
      <c r="E1684" s="9">
        <f t="shared" si="79"/>
        <v>-1.6205998713052717E-2</v>
      </c>
      <c r="F1684" s="9">
        <f t="shared" si="77"/>
        <v>-2.6195357097710117E-2</v>
      </c>
      <c r="G1684" s="9">
        <f t="shared" si="78"/>
        <v>1.8485095427473938E-2</v>
      </c>
    </row>
    <row r="1685" spans="1:7" x14ac:dyDescent="0.2">
      <c r="A1685" s="12">
        <v>39343</v>
      </c>
      <c r="B1685" s="9">
        <v>484.42</v>
      </c>
      <c r="C1685" s="9">
        <v>476.48</v>
      </c>
      <c r="D1685" s="9">
        <v>483.84</v>
      </c>
      <c r="E1685" s="9">
        <f t="shared" si="79"/>
        <v>9.531891625359553E-3</v>
      </c>
      <c r="F1685" s="9">
        <f t="shared" si="77"/>
        <v>-2.3570871272161436E-2</v>
      </c>
      <c r="G1685" s="9">
        <f t="shared" si="78"/>
        <v>1.8529345068191851E-2</v>
      </c>
    </row>
    <row r="1686" spans="1:7" x14ac:dyDescent="0.2">
      <c r="A1686" s="12">
        <v>39344</v>
      </c>
      <c r="B1686" s="9">
        <v>497.57</v>
      </c>
      <c r="C1686" s="9">
        <v>485.38</v>
      </c>
      <c r="D1686" s="9">
        <v>494.68</v>
      </c>
      <c r="E1686" s="9">
        <f t="shared" si="79"/>
        <v>2.2156815322742985E-2</v>
      </c>
      <c r="F1686" s="9">
        <f t="shared" si="77"/>
        <v>-1.7374664301576012E-2</v>
      </c>
      <c r="G1686" s="9">
        <f t="shared" si="78"/>
        <v>1.8755599235441241E-2</v>
      </c>
    </row>
    <row r="1687" spans="1:7" x14ac:dyDescent="0.2">
      <c r="A1687" s="12">
        <v>39345</v>
      </c>
      <c r="B1687" s="9">
        <v>494.27</v>
      </c>
      <c r="C1687" s="9">
        <v>489.19</v>
      </c>
      <c r="D1687" s="9">
        <v>491.44</v>
      </c>
      <c r="E1687" s="9">
        <f t="shared" si="79"/>
        <v>-6.5712320181843947E-3</v>
      </c>
      <c r="F1687" s="9">
        <f t="shared" si="77"/>
        <v>2.7304049401701276E-3</v>
      </c>
      <c r="G1687" s="9">
        <f t="shared" si="78"/>
        <v>1.8140042150411161E-2</v>
      </c>
    </row>
    <row r="1688" spans="1:7" x14ac:dyDescent="0.2">
      <c r="A1688" s="12">
        <v>39346</v>
      </c>
      <c r="B1688" s="9">
        <v>494.58</v>
      </c>
      <c r="C1688" s="9">
        <v>488.63</v>
      </c>
      <c r="D1688" s="9">
        <v>491.35</v>
      </c>
      <c r="E1688" s="9">
        <f t="shared" si="79"/>
        <v>-1.8315204723601692E-4</v>
      </c>
      <c r="F1688" s="9">
        <f t="shared" si="77"/>
        <v>2.6500493915426988E-2</v>
      </c>
      <c r="G1688" s="9">
        <f t="shared" si="78"/>
        <v>1.756356714447118E-2</v>
      </c>
    </row>
    <row r="1689" spans="1:7" x14ac:dyDescent="0.2">
      <c r="A1689" s="12">
        <v>39349</v>
      </c>
      <c r="B1689" s="9">
        <v>494.76</v>
      </c>
      <c r="C1689" s="9">
        <v>491.04</v>
      </c>
      <c r="D1689" s="9">
        <v>492.94</v>
      </c>
      <c r="E1689" s="9">
        <f t="shared" si="79"/>
        <v>3.230757973783777E-3</v>
      </c>
      <c r="F1689" s="9">
        <f t="shared" si="77"/>
        <v>1.5805675867000862E-2</v>
      </c>
      <c r="G1689" s="9">
        <f t="shared" si="78"/>
        <v>1.7397468956605187E-2</v>
      </c>
    </row>
    <row r="1690" spans="1:7" x14ac:dyDescent="0.2">
      <c r="A1690" s="12">
        <v>39350</v>
      </c>
      <c r="B1690" s="9">
        <v>493.25</v>
      </c>
      <c r="C1690" s="9">
        <v>487.34</v>
      </c>
      <c r="D1690" s="9">
        <v>490.96</v>
      </c>
      <c r="E1690" s="9">
        <f t="shared" si="79"/>
        <v>-4.0248047013782652E-3</v>
      </c>
      <c r="F1690" s="9">
        <f t="shared" si="77"/>
        <v>1.3947227480850333E-2</v>
      </c>
      <c r="G1690" s="9">
        <f t="shared" si="78"/>
        <v>1.7410693257165932E-2</v>
      </c>
    </row>
    <row r="1691" spans="1:7" x14ac:dyDescent="0.2">
      <c r="A1691" s="12">
        <v>39351</v>
      </c>
      <c r="B1691" s="9">
        <v>498.51</v>
      </c>
      <c r="C1691" s="9">
        <v>491.47</v>
      </c>
      <c r="D1691" s="9">
        <v>498.02</v>
      </c>
      <c r="E1691" s="9">
        <f t="shared" si="79"/>
        <v>1.4277578779964736E-2</v>
      </c>
      <c r="F1691" s="9">
        <f t="shared" si="77"/>
        <v>5.1291180756638979E-2</v>
      </c>
      <c r="G1691" s="9">
        <f t="shared" si="78"/>
        <v>1.7000423834096067E-2</v>
      </c>
    </row>
    <row r="1692" spans="1:7" x14ac:dyDescent="0.2">
      <c r="A1692" s="12">
        <v>39352</v>
      </c>
      <c r="B1692" s="9">
        <v>504.88</v>
      </c>
      <c r="C1692" s="9">
        <v>498.43</v>
      </c>
      <c r="D1692" s="9">
        <v>502</v>
      </c>
      <c r="E1692" s="9">
        <f t="shared" si="79"/>
        <v>7.959882830923061E-3</v>
      </c>
      <c r="F1692" s="9">
        <f t="shared" si="77"/>
        <v>0.10317167785228266</v>
      </c>
      <c r="G1692" s="9">
        <f t="shared" si="78"/>
        <v>1.467890458345875E-2</v>
      </c>
    </row>
    <row r="1693" spans="1:7" x14ac:dyDescent="0.2">
      <c r="A1693" s="12">
        <v>39353</v>
      </c>
      <c r="B1693" s="9">
        <v>502.79</v>
      </c>
      <c r="C1693" s="9">
        <v>498.86</v>
      </c>
      <c r="D1693" s="9">
        <v>499.93</v>
      </c>
      <c r="E1693" s="9">
        <f t="shared" si="79"/>
        <v>-4.1320310704521628E-3</v>
      </c>
      <c r="F1693" s="9">
        <f t="shared" si="77"/>
        <v>7.9552759108333787E-2</v>
      </c>
      <c r="G1693" s="9">
        <f t="shared" si="78"/>
        <v>1.441961104407462E-2</v>
      </c>
    </row>
    <row r="1694" spans="1:7" x14ac:dyDescent="0.2">
      <c r="A1694" s="12">
        <v>39356</v>
      </c>
      <c r="B1694" s="9">
        <v>508.32</v>
      </c>
      <c r="C1694" s="9">
        <v>497.86</v>
      </c>
      <c r="D1694" s="9">
        <v>508.32</v>
      </c>
      <c r="E1694" s="9">
        <f t="shared" si="79"/>
        <v>1.664308189992908E-2</v>
      </c>
      <c r="F1694" s="9">
        <f t="shared" si="77"/>
        <v>6.6765319251121488E-2</v>
      </c>
      <c r="G1694" s="9">
        <f t="shared" si="78"/>
        <v>1.377533358881123E-2</v>
      </c>
    </row>
    <row r="1695" spans="1:7" x14ac:dyDescent="0.2">
      <c r="A1695" s="12">
        <v>39357</v>
      </c>
      <c r="B1695" s="9">
        <v>513.27</v>
      </c>
      <c r="C1695" s="9">
        <v>508.77</v>
      </c>
      <c r="D1695" s="9">
        <v>509.83</v>
      </c>
      <c r="E1695" s="9">
        <f t="shared" si="79"/>
        <v>2.966166295927703E-3</v>
      </c>
      <c r="F1695" s="9">
        <f t="shared" si="77"/>
        <v>7.6124249551521125E-2</v>
      </c>
      <c r="G1695" s="9">
        <f t="shared" si="78"/>
        <v>1.3679066450027186E-2</v>
      </c>
    </row>
    <row r="1696" spans="1:7" x14ac:dyDescent="0.2">
      <c r="A1696" s="12">
        <v>39358</v>
      </c>
      <c r="B1696" s="9">
        <v>511.51</v>
      </c>
      <c r="C1696" s="9">
        <v>507.86</v>
      </c>
      <c r="D1696" s="9">
        <v>508.23</v>
      </c>
      <c r="E1696" s="9">
        <f t="shared" si="79"/>
        <v>-3.1432357961690494E-3</v>
      </c>
      <c r="F1696" s="9">
        <f t="shared" si="77"/>
        <v>3.5529209583208883E-2</v>
      </c>
      <c r="G1696" s="9">
        <f t="shared" si="78"/>
        <v>1.2012518029377937E-2</v>
      </c>
    </row>
    <row r="1697" spans="1:7" x14ac:dyDescent="0.2">
      <c r="A1697" s="12">
        <v>39359</v>
      </c>
      <c r="B1697" s="9">
        <v>508.66</v>
      </c>
      <c r="C1697" s="9">
        <v>506.29</v>
      </c>
      <c r="D1697" s="9">
        <v>507.41</v>
      </c>
      <c r="E1697" s="9">
        <f t="shared" si="79"/>
        <v>-1.614745733079838E-3</v>
      </c>
      <c r="F1697" s="9">
        <f t="shared" ref="F1697:F1760" si="80">LN(D1697/D1667)</f>
        <v>3.2732671463512074E-2</v>
      </c>
      <c r="G1697" s="9">
        <f t="shared" si="78"/>
        <v>1.2023383962045164E-2</v>
      </c>
    </row>
    <row r="1698" spans="1:7" x14ac:dyDescent="0.2">
      <c r="A1698" s="12">
        <v>39360</v>
      </c>
      <c r="B1698" s="9">
        <v>510</v>
      </c>
      <c r="C1698" s="9">
        <v>505.49</v>
      </c>
      <c r="D1698" s="9">
        <v>509.02</v>
      </c>
      <c r="E1698" s="9">
        <f t="shared" si="79"/>
        <v>3.1679532215433703E-3</v>
      </c>
      <c r="F1698" s="9">
        <f t="shared" si="80"/>
        <v>3.5432369334825832E-2</v>
      </c>
      <c r="G1698" s="9">
        <f t="shared" si="78"/>
        <v>1.2028663457185037E-2</v>
      </c>
    </row>
    <row r="1699" spans="1:7" x14ac:dyDescent="0.2">
      <c r="A1699" s="12">
        <v>39363</v>
      </c>
      <c r="B1699" s="9">
        <v>511.1</v>
      </c>
      <c r="C1699" s="9">
        <v>506.25</v>
      </c>
      <c r="D1699" s="9">
        <v>507.94</v>
      </c>
      <c r="E1699" s="9">
        <f t="shared" si="79"/>
        <v>-2.1239781427301722E-3</v>
      </c>
      <c r="F1699" s="9">
        <f t="shared" si="80"/>
        <v>2.2336843310060778E-2</v>
      </c>
      <c r="G1699" s="9">
        <f t="shared" si="78"/>
        <v>1.1898025461941731E-2</v>
      </c>
    </row>
    <row r="1700" spans="1:7" x14ac:dyDescent="0.2">
      <c r="A1700" s="12">
        <v>39364</v>
      </c>
      <c r="B1700" s="9">
        <v>513.26</v>
      </c>
      <c r="C1700" s="9">
        <v>506.37</v>
      </c>
      <c r="D1700" s="9">
        <v>513.01</v>
      </c>
      <c r="E1700" s="9">
        <f t="shared" si="79"/>
        <v>9.9320077914697089E-3</v>
      </c>
      <c r="F1700" s="9">
        <f t="shared" si="80"/>
        <v>5.7219187349138709E-2</v>
      </c>
      <c r="G1700" s="9">
        <f t="shared" si="78"/>
        <v>1.0968527744756427E-2</v>
      </c>
    </row>
    <row r="1701" spans="1:7" x14ac:dyDescent="0.2">
      <c r="A1701" s="12">
        <v>39365</v>
      </c>
      <c r="B1701" s="9">
        <v>516.25</v>
      </c>
      <c r="C1701" s="9">
        <v>512.58000000000004</v>
      </c>
      <c r="D1701" s="9">
        <v>515.13</v>
      </c>
      <c r="E1701" s="9">
        <f t="shared" si="79"/>
        <v>4.123957835652981E-3</v>
      </c>
      <c r="F1701" s="9">
        <f t="shared" si="80"/>
        <v>5.8539944404501082E-2</v>
      </c>
      <c r="G1701" s="9">
        <f t="shared" si="78"/>
        <v>1.0974896427683992E-2</v>
      </c>
    </row>
    <row r="1702" spans="1:7" x14ac:dyDescent="0.2">
      <c r="A1702" s="12">
        <v>39366</v>
      </c>
      <c r="B1702" s="9">
        <v>519.29</v>
      </c>
      <c r="C1702" s="9">
        <v>515.54</v>
      </c>
      <c r="D1702" s="9">
        <v>517.66999999999996</v>
      </c>
      <c r="E1702" s="9">
        <f t="shared" si="79"/>
        <v>4.9186776160572805E-3</v>
      </c>
      <c r="F1702" s="9">
        <f t="shared" si="80"/>
        <v>5.5504174404163678E-2</v>
      </c>
      <c r="G1702" s="9">
        <f t="shared" si="78"/>
        <v>1.0931546786864066E-2</v>
      </c>
    </row>
    <row r="1703" spans="1:7" x14ac:dyDescent="0.2">
      <c r="A1703" s="12">
        <v>39367</v>
      </c>
      <c r="B1703" s="9">
        <v>516.95000000000005</v>
      </c>
      <c r="C1703" s="9">
        <v>509.61</v>
      </c>
      <c r="D1703" s="9">
        <v>512.04999999999995</v>
      </c>
      <c r="E1703" s="9">
        <f t="shared" si="79"/>
        <v>-1.0915697088431776E-2</v>
      </c>
      <c r="F1703" s="9">
        <f t="shared" si="80"/>
        <v>3.1241693928051345E-2</v>
      </c>
      <c r="G1703" s="9">
        <f t="shared" ref="G1703:G1766" si="81">STDEV(E1674:E1703)</f>
        <v>1.0949152415845537E-2</v>
      </c>
    </row>
    <row r="1704" spans="1:7" x14ac:dyDescent="0.2">
      <c r="A1704" s="12">
        <v>39370</v>
      </c>
      <c r="B1704" s="9">
        <v>513.07000000000005</v>
      </c>
      <c r="C1704" s="9">
        <v>508.68</v>
      </c>
      <c r="D1704" s="9">
        <v>510.81</v>
      </c>
      <c r="E1704" s="9">
        <f t="shared" si="79"/>
        <v>-2.4245754207842516E-3</v>
      </c>
      <c r="F1704" s="9">
        <f t="shared" si="80"/>
        <v>2.5377543956331225E-2</v>
      </c>
      <c r="G1704" s="9">
        <f t="shared" si="81"/>
        <v>1.0957204478864779E-2</v>
      </c>
    </row>
    <row r="1705" spans="1:7" x14ac:dyDescent="0.2">
      <c r="A1705" s="12">
        <v>39371</v>
      </c>
      <c r="B1705" s="9">
        <v>510.3</v>
      </c>
      <c r="C1705" s="9">
        <v>500.45</v>
      </c>
      <c r="D1705" s="9">
        <v>505.94</v>
      </c>
      <c r="E1705" s="9">
        <f t="shared" si="79"/>
        <v>-9.5796159191126624E-3</v>
      </c>
      <c r="F1705" s="9">
        <f t="shared" si="80"/>
        <v>9.3929102437529943E-3</v>
      </c>
      <c r="G1705" s="9">
        <f t="shared" si="81"/>
        <v>1.1065667299107167E-2</v>
      </c>
    </row>
    <row r="1706" spans="1:7" x14ac:dyDescent="0.2">
      <c r="A1706" s="12">
        <v>39372</v>
      </c>
      <c r="B1706" s="9">
        <v>509.54</v>
      </c>
      <c r="C1706" s="9">
        <v>504.79</v>
      </c>
      <c r="D1706" s="9">
        <v>506.88</v>
      </c>
      <c r="E1706" s="9">
        <f t="shared" si="79"/>
        <v>1.856204004456708E-3</v>
      </c>
      <c r="F1706" s="9">
        <f t="shared" si="80"/>
        <v>2.3857950758652685E-2</v>
      </c>
      <c r="G1706" s="9">
        <f t="shared" si="81"/>
        <v>1.0795035614932134E-2</v>
      </c>
    </row>
    <row r="1707" spans="1:7" x14ac:dyDescent="0.2">
      <c r="A1707" s="12">
        <v>39373</v>
      </c>
      <c r="B1707" s="9">
        <v>509.18</v>
      </c>
      <c r="C1707" s="9">
        <v>496.87</v>
      </c>
      <c r="D1707" s="9">
        <v>498.69</v>
      </c>
      <c r="E1707" s="9">
        <f t="shared" si="79"/>
        <v>-1.6289628970528634E-2</v>
      </c>
      <c r="F1707" s="9">
        <f t="shared" si="80"/>
        <v>8.4981783337965879E-3</v>
      </c>
      <c r="G1707" s="9">
        <f t="shared" si="81"/>
        <v>1.1234958519867068E-2</v>
      </c>
    </row>
    <row r="1708" spans="1:7" x14ac:dyDescent="0.2">
      <c r="A1708" s="12">
        <v>39374</v>
      </c>
      <c r="B1708" s="9">
        <v>498.69</v>
      </c>
      <c r="C1708" s="9">
        <v>493.74</v>
      </c>
      <c r="D1708" s="9">
        <v>495.21</v>
      </c>
      <c r="E1708" s="9">
        <f t="shared" si="79"/>
        <v>-7.0027451879183748E-3</v>
      </c>
      <c r="F1708" s="9">
        <f t="shared" si="80"/>
        <v>2.469614645093994E-2</v>
      </c>
      <c r="G1708" s="9">
        <f t="shared" si="81"/>
        <v>1.0427660746209325E-2</v>
      </c>
    </row>
    <row r="1709" spans="1:7" x14ac:dyDescent="0.2">
      <c r="A1709" s="12">
        <v>39377</v>
      </c>
      <c r="B1709" s="9">
        <v>493.98</v>
      </c>
      <c r="C1709" s="9">
        <v>485.04</v>
      </c>
      <c r="D1709" s="9">
        <v>488.13</v>
      </c>
      <c r="E1709" s="9">
        <f t="shared" si="79"/>
        <v>-1.4400151208221943E-2</v>
      </c>
      <c r="F1709" s="9">
        <f t="shared" si="80"/>
        <v>2.8151561455725796E-2</v>
      </c>
      <c r="G1709" s="9">
        <f t="shared" si="81"/>
        <v>1.0231464713133163E-2</v>
      </c>
    </row>
    <row r="1710" spans="1:7" x14ac:dyDescent="0.2">
      <c r="A1710" s="12">
        <v>39378</v>
      </c>
      <c r="B1710" s="9">
        <v>499.51</v>
      </c>
      <c r="C1710" s="9">
        <v>488.75</v>
      </c>
      <c r="D1710" s="9">
        <v>499.04</v>
      </c>
      <c r="E1710" s="9">
        <f t="shared" si="79"/>
        <v>2.2104489040155821E-2</v>
      </c>
      <c r="F1710" s="9">
        <f t="shared" si="80"/>
        <v>2.5038336020084533E-2</v>
      </c>
      <c r="G1710" s="9">
        <f t="shared" si="81"/>
        <v>9.9896468570148857E-3</v>
      </c>
    </row>
    <row r="1711" spans="1:7" x14ac:dyDescent="0.2">
      <c r="A1711" s="12">
        <v>39379</v>
      </c>
      <c r="B1711" s="9">
        <v>499.48</v>
      </c>
      <c r="C1711" s="9">
        <v>492.29</v>
      </c>
      <c r="D1711" s="9">
        <v>492.58</v>
      </c>
      <c r="E1711" s="9">
        <f t="shared" si="79"/>
        <v>-1.30293688905139E-2</v>
      </c>
      <c r="F1711" s="9">
        <f t="shared" si="80"/>
        <v>1.3036822086956281E-2</v>
      </c>
      <c r="G1711" s="9">
        <f t="shared" si="81"/>
        <v>1.0302223124770426E-2</v>
      </c>
    </row>
    <row r="1712" spans="1:7" x14ac:dyDescent="0.2">
      <c r="A1712" s="12">
        <v>39380</v>
      </c>
      <c r="B1712" s="9">
        <v>497.43</v>
      </c>
      <c r="C1712" s="9">
        <v>492.68</v>
      </c>
      <c r="D1712" s="9">
        <v>494.58</v>
      </c>
      <c r="E1712" s="9">
        <f t="shared" si="79"/>
        <v>4.0520335842119245E-3</v>
      </c>
      <c r="F1712" s="9">
        <f t="shared" si="80"/>
        <v>1.2287566106335066E-2</v>
      </c>
      <c r="G1712" s="9">
        <f t="shared" si="81"/>
        <v>1.0292175324487904E-2</v>
      </c>
    </row>
    <row r="1713" spans="1:7" x14ac:dyDescent="0.2">
      <c r="A1713" s="12">
        <v>39381</v>
      </c>
      <c r="B1713" s="9">
        <v>498.23</v>
      </c>
      <c r="C1713" s="9">
        <v>493.63</v>
      </c>
      <c r="D1713" s="9">
        <v>497.62</v>
      </c>
      <c r="E1713" s="9">
        <f t="shared" si="79"/>
        <v>6.1278159901096505E-3</v>
      </c>
      <c r="F1713" s="9">
        <f t="shared" si="80"/>
        <v>2.1408352904494124E-2</v>
      </c>
      <c r="G1713" s="9">
        <f t="shared" si="81"/>
        <v>1.0322865690454774E-2</v>
      </c>
    </row>
    <row r="1714" spans="1:7" x14ac:dyDescent="0.2">
      <c r="A1714" s="12">
        <v>39384</v>
      </c>
      <c r="B1714" s="9">
        <v>502.64</v>
      </c>
      <c r="C1714" s="9">
        <v>498.03</v>
      </c>
      <c r="D1714" s="9">
        <v>499.66</v>
      </c>
      <c r="E1714" s="9">
        <f t="shared" si="79"/>
        <v>4.0911335740270128E-3</v>
      </c>
      <c r="F1714" s="9">
        <f t="shared" si="80"/>
        <v>4.1705485191573785E-2</v>
      </c>
      <c r="G1714" s="9">
        <f t="shared" si="81"/>
        <v>9.8290335373968779E-3</v>
      </c>
    </row>
    <row r="1715" spans="1:7" x14ac:dyDescent="0.2">
      <c r="A1715" s="12">
        <v>39385</v>
      </c>
      <c r="B1715" s="9">
        <v>502.54</v>
      </c>
      <c r="C1715" s="9">
        <v>498.79</v>
      </c>
      <c r="D1715" s="9">
        <v>501.2</v>
      </c>
      <c r="E1715" s="9">
        <f t="shared" si="79"/>
        <v>3.0773559045854802E-3</v>
      </c>
      <c r="F1715" s="9">
        <f t="shared" si="80"/>
        <v>3.5250949470799875E-2</v>
      </c>
      <c r="G1715" s="9">
        <f t="shared" si="81"/>
        <v>9.7146486227719948E-3</v>
      </c>
    </row>
    <row r="1716" spans="1:7" x14ac:dyDescent="0.2">
      <c r="A1716" s="12">
        <v>39386</v>
      </c>
      <c r="B1716" s="9">
        <v>508.12</v>
      </c>
      <c r="C1716" s="9">
        <v>497.55</v>
      </c>
      <c r="D1716" s="9">
        <v>507.92</v>
      </c>
      <c r="E1716" s="9">
        <f t="shared" si="79"/>
        <v>1.3318731840281218E-2</v>
      </c>
      <c r="F1716" s="9">
        <f t="shared" si="80"/>
        <v>2.6412865988338252E-2</v>
      </c>
      <c r="G1716" s="9">
        <f t="shared" si="81"/>
        <v>9.1754695872880623E-3</v>
      </c>
    </row>
    <row r="1717" spans="1:7" x14ac:dyDescent="0.2">
      <c r="A1717" s="12">
        <v>39387</v>
      </c>
      <c r="B1717" s="9">
        <v>510.1</v>
      </c>
      <c r="C1717" s="9">
        <v>499.66</v>
      </c>
      <c r="D1717" s="9">
        <v>500.56</v>
      </c>
      <c r="E1717" s="9">
        <f t="shared" si="79"/>
        <v>-1.4596483172086392E-2</v>
      </c>
      <c r="F1717" s="9">
        <f t="shared" si="80"/>
        <v>1.8387614834436194E-2</v>
      </c>
      <c r="G1717" s="9">
        <f t="shared" si="81"/>
        <v>9.5110620834591188E-3</v>
      </c>
    </row>
    <row r="1718" spans="1:7" x14ac:dyDescent="0.2">
      <c r="A1718" s="12">
        <v>39388</v>
      </c>
      <c r="B1718" s="9">
        <v>501.5</v>
      </c>
      <c r="C1718" s="9">
        <v>493.75</v>
      </c>
      <c r="D1718" s="9">
        <v>494.85</v>
      </c>
      <c r="E1718" s="9">
        <f t="shared" si="79"/>
        <v>-1.1472785347407919E-2</v>
      </c>
      <c r="F1718" s="9">
        <f t="shared" si="80"/>
        <v>7.0979815342641535E-3</v>
      </c>
      <c r="G1718" s="9">
        <f t="shared" si="81"/>
        <v>9.7636390607984298E-3</v>
      </c>
    </row>
    <row r="1719" spans="1:7" x14ac:dyDescent="0.2">
      <c r="A1719" s="12">
        <v>39391</v>
      </c>
      <c r="B1719" s="9">
        <v>495.87</v>
      </c>
      <c r="C1719" s="9">
        <v>492.41</v>
      </c>
      <c r="D1719" s="9">
        <v>494.87</v>
      </c>
      <c r="E1719" s="9">
        <f t="shared" si="79"/>
        <v>4.0415471047703242E-5</v>
      </c>
      <c r="F1719" s="9">
        <f t="shared" si="80"/>
        <v>3.9076390315282055E-3</v>
      </c>
      <c r="G1719" s="9">
        <f t="shared" si="81"/>
        <v>9.7472631169679622E-3</v>
      </c>
    </row>
    <row r="1720" spans="1:7" x14ac:dyDescent="0.2">
      <c r="A1720" s="12">
        <v>39392</v>
      </c>
      <c r="B1720" s="9">
        <v>502.27</v>
      </c>
      <c r="C1720" s="9">
        <v>495.18</v>
      </c>
      <c r="D1720" s="9">
        <v>500.22</v>
      </c>
      <c r="E1720" s="9">
        <f t="shared" si="79"/>
        <v>1.0752899836829229E-2</v>
      </c>
      <c r="F1720" s="9">
        <f t="shared" si="80"/>
        <v>1.8685343569735502E-2</v>
      </c>
      <c r="G1720" s="9">
        <f t="shared" si="81"/>
        <v>9.9022145401404232E-3</v>
      </c>
    </row>
    <row r="1721" spans="1:7" x14ac:dyDescent="0.2">
      <c r="A1721" s="12">
        <v>39393</v>
      </c>
      <c r="B1721" s="9">
        <v>504.55</v>
      </c>
      <c r="C1721" s="9">
        <v>496.76</v>
      </c>
      <c r="D1721" s="9">
        <v>501.6</v>
      </c>
      <c r="E1721" s="9">
        <f t="shared" si="79"/>
        <v>2.7549876681338677E-3</v>
      </c>
      <c r="F1721" s="9">
        <f t="shared" si="80"/>
        <v>7.162752457904909E-3</v>
      </c>
      <c r="G1721" s="9">
        <f t="shared" si="81"/>
        <v>9.5722845862208118E-3</v>
      </c>
    </row>
    <row r="1722" spans="1:7" x14ac:dyDescent="0.2">
      <c r="A1722" s="12">
        <v>39394</v>
      </c>
      <c r="B1722" s="9">
        <v>501.09</v>
      </c>
      <c r="C1722" s="9">
        <v>491.94</v>
      </c>
      <c r="D1722" s="9">
        <v>497.75</v>
      </c>
      <c r="E1722" s="9">
        <f t="shared" si="79"/>
        <v>-7.7050463744052639E-3</v>
      </c>
      <c r="F1722" s="9">
        <f t="shared" si="80"/>
        <v>-8.5021767474235156E-3</v>
      </c>
      <c r="G1722" s="9">
        <f t="shared" si="81"/>
        <v>9.5638308209528462E-3</v>
      </c>
    </row>
    <row r="1723" spans="1:7" x14ac:dyDescent="0.2">
      <c r="A1723" s="12">
        <v>39395</v>
      </c>
      <c r="B1723" s="9">
        <v>503.56</v>
      </c>
      <c r="C1723" s="9">
        <v>491.08</v>
      </c>
      <c r="D1723" s="9">
        <v>494.97</v>
      </c>
      <c r="E1723" s="9">
        <f t="shared" si="79"/>
        <v>-5.6007882728428254E-3</v>
      </c>
      <c r="F1723" s="9">
        <f t="shared" si="80"/>
        <v>-9.9709339498141696E-3</v>
      </c>
      <c r="G1723" s="9">
        <f t="shared" si="81"/>
        <v>9.5879408284146091E-3</v>
      </c>
    </row>
    <row r="1724" spans="1:7" x14ac:dyDescent="0.2">
      <c r="A1724" s="12">
        <v>39398</v>
      </c>
      <c r="B1724" s="9">
        <v>495.98</v>
      </c>
      <c r="C1724" s="9">
        <v>490.79</v>
      </c>
      <c r="D1724" s="9">
        <v>491.72</v>
      </c>
      <c r="E1724" s="9">
        <f t="shared" si="79"/>
        <v>-6.5877058723224384E-3</v>
      </c>
      <c r="F1724" s="9">
        <f t="shared" si="80"/>
        <v>-3.3201721722065647E-2</v>
      </c>
      <c r="G1724" s="9">
        <f t="shared" si="81"/>
        <v>9.0950994838816697E-3</v>
      </c>
    </row>
    <row r="1725" spans="1:7" x14ac:dyDescent="0.2">
      <c r="A1725" s="12">
        <v>39399</v>
      </c>
      <c r="B1725" s="9">
        <v>491.62</v>
      </c>
      <c r="C1725" s="9">
        <v>481.71</v>
      </c>
      <c r="D1725" s="9">
        <v>486.84</v>
      </c>
      <c r="E1725" s="9">
        <f t="shared" si="79"/>
        <v>-9.9739217927842464E-3</v>
      </c>
      <c r="F1725" s="9">
        <f t="shared" si="80"/>
        <v>-4.6141809810777666E-2</v>
      </c>
      <c r="G1725" s="9">
        <f t="shared" si="81"/>
        <v>9.2015018162381109E-3</v>
      </c>
    </row>
    <row r="1726" spans="1:7" x14ac:dyDescent="0.2">
      <c r="A1726" s="12">
        <v>39400</v>
      </c>
      <c r="B1726" s="9">
        <v>495.42</v>
      </c>
      <c r="C1726" s="9">
        <v>487.66</v>
      </c>
      <c r="D1726" s="9">
        <v>489.35</v>
      </c>
      <c r="E1726" s="9">
        <f t="shared" si="79"/>
        <v>5.1424528654725327E-3</v>
      </c>
      <c r="F1726" s="9">
        <f t="shared" si="80"/>
        <v>-3.785612114913614E-2</v>
      </c>
      <c r="G1726" s="9">
        <f t="shared" si="81"/>
        <v>9.2757111105057771E-3</v>
      </c>
    </row>
    <row r="1727" spans="1:7" x14ac:dyDescent="0.2">
      <c r="A1727" s="12">
        <v>39401</v>
      </c>
      <c r="B1727" s="9">
        <v>490.37</v>
      </c>
      <c r="C1727" s="9">
        <v>479.27</v>
      </c>
      <c r="D1727" s="9">
        <v>481.92</v>
      </c>
      <c r="E1727" s="9">
        <f t="shared" si="79"/>
        <v>-1.5299854700354424E-2</v>
      </c>
      <c r="F1727" s="9">
        <f t="shared" si="80"/>
        <v>-5.1541230116410874E-2</v>
      </c>
      <c r="G1727" s="9">
        <f t="shared" si="81"/>
        <v>9.6236479841858655E-3</v>
      </c>
    </row>
    <row r="1728" spans="1:7" x14ac:dyDescent="0.2">
      <c r="A1728" s="12">
        <v>39402</v>
      </c>
      <c r="B1728" s="9">
        <v>481.61</v>
      </c>
      <c r="C1728" s="9">
        <v>472.69</v>
      </c>
      <c r="D1728" s="9">
        <v>473.89</v>
      </c>
      <c r="E1728" s="9">
        <f t="shared" si="79"/>
        <v>-1.6802897918777596E-2</v>
      </c>
      <c r="F1728" s="9">
        <f t="shared" si="80"/>
        <v>-7.1512081256731946E-2</v>
      </c>
      <c r="G1728" s="9">
        <f t="shared" si="81"/>
        <v>9.9588963646361026E-3</v>
      </c>
    </row>
    <row r="1729" spans="1:7" x14ac:dyDescent="0.2">
      <c r="A1729" s="12">
        <v>39405</v>
      </c>
      <c r="B1729" s="9">
        <v>476.3</v>
      </c>
      <c r="C1729" s="9">
        <v>457.46</v>
      </c>
      <c r="D1729" s="9">
        <v>458.96</v>
      </c>
      <c r="E1729" s="9">
        <f t="shared" si="79"/>
        <v>-3.2012166959080837E-2</v>
      </c>
      <c r="F1729" s="9">
        <f t="shared" si="80"/>
        <v>-0.10140027007308268</v>
      </c>
      <c r="G1729" s="9">
        <f t="shared" si="81"/>
        <v>1.1332298268492734E-2</v>
      </c>
    </row>
    <row r="1730" spans="1:7" x14ac:dyDescent="0.2">
      <c r="A1730" s="12">
        <v>39406</v>
      </c>
      <c r="B1730" s="9">
        <v>463.46</v>
      </c>
      <c r="C1730" s="9">
        <v>452.08</v>
      </c>
      <c r="D1730" s="9">
        <v>460.41</v>
      </c>
      <c r="E1730" s="9">
        <f t="shared" si="79"/>
        <v>3.1543365614976663E-3</v>
      </c>
      <c r="F1730" s="9">
        <f t="shared" si="80"/>
        <v>-0.10817794130305458</v>
      </c>
      <c r="G1730" s="9">
        <f t="shared" si="81"/>
        <v>1.1123391306529911E-2</v>
      </c>
    </row>
    <row r="1731" spans="1:7" x14ac:dyDescent="0.2">
      <c r="A1731" s="12">
        <v>39407</v>
      </c>
      <c r="B1731" s="9">
        <v>459.79</v>
      </c>
      <c r="C1731" s="9">
        <v>444.78</v>
      </c>
      <c r="D1731" s="9">
        <v>445.28</v>
      </c>
      <c r="E1731" s="9">
        <f t="shared" si="79"/>
        <v>-3.341409907753267E-2</v>
      </c>
      <c r="F1731" s="9">
        <f t="shared" si="80"/>
        <v>-0.14571599821624029</v>
      </c>
      <c r="G1731" s="9">
        <f t="shared" si="81"/>
        <v>1.2275530291891681E-2</v>
      </c>
    </row>
    <row r="1732" spans="1:7" x14ac:dyDescent="0.2">
      <c r="A1732" s="12">
        <v>39408</v>
      </c>
      <c r="B1732" s="9">
        <v>450.52</v>
      </c>
      <c r="C1732" s="9">
        <v>440.03</v>
      </c>
      <c r="D1732" s="9">
        <v>449</v>
      </c>
      <c r="E1732" s="9">
        <f t="shared" ref="E1732:E1795" si="82">LN(D1732/D1731)</f>
        <v>8.3195899646737875E-3</v>
      </c>
      <c r="F1732" s="9">
        <f t="shared" si="80"/>
        <v>-0.14231508586762392</v>
      </c>
      <c r="G1732" s="9">
        <f t="shared" si="81"/>
        <v>1.2384146072648036E-2</v>
      </c>
    </row>
    <row r="1733" spans="1:7" x14ac:dyDescent="0.2">
      <c r="A1733" s="12">
        <v>39409</v>
      </c>
      <c r="B1733" s="9">
        <v>461.67</v>
      </c>
      <c r="C1733" s="9">
        <v>448.83</v>
      </c>
      <c r="D1733" s="9">
        <v>461.59</v>
      </c>
      <c r="E1733" s="9">
        <f t="shared" si="82"/>
        <v>2.7654163438809613E-2</v>
      </c>
      <c r="F1733" s="9">
        <f t="shared" si="80"/>
        <v>-0.1037452253403827</v>
      </c>
      <c r="G1733" s="9">
        <f t="shared" si="81"/>
        <v>1.3657883732215229E-2</v>
      </c>
    </row>
    <row r="1734" spans="1:7" x14ac:dyDescent="0.2">
      <c r="A1734" s="12">
        <v>39412</v>
      </c>
      <c r="B1734" s="9">
        <v>469.11</v>
      </c>
      <c r="C1734" s="9">
        <v>460.2</v>
      </c>
      <c r="D1734" s="9">
        <v>461.43</v>
      </c>
      <c r="E1734" s="9">
        <f t="shared" si="82"/>
        <v>-3.4668804923517437E-4</v>
      </c>
      <c r="F1734" s="9">
        <f t="shared" si="80"/>
        <v>-0.10166733796883359</v>
      </c>
      <c r="G1734" s="9">
        <f t="shared" si="81"/>
        <v>1.3668570735066839E-2</v>
      </c>
    </row>
    <row r="1735" spans="1:7" x14ac:dyDescent="0.2">
      <c r="A1735" s="12">
        <v>39413</v>
      </c>
      <c r="B1735" s="9">
        <v>460.51</v>
      </c>
      <c r="C1735" s="9">
        <v>450.32</v>
      </c>
      <c r="D1735" s="9">
        <v>455.55</v>
      </c>
      <c r="E1735" s="9">
        <f t="shared" si="82"/>
        <v>-1.2824882971961103E-2</v>
      </c>
      <c r="F1735" s="9">
        <f t="shared" si="80"/>
        <v>-0.10491260502168202</v>
      </c>
      <c r="G1735" s="9">
        <f t="shared" si="81"/>
        <v>1.3731949445418234E-2</v>
      </c>
    </row>
    <row r="1736" spans="1:7" x14ac:dyDescent="0.2">
      <c r="A1736" s="12">
        <v>39414</v>
      </c>
      <c r="B1736" s="9">
        <v>466.97</v>
      </c>
      <c r="C1736" s="9">
        <v>449.76</v>
      </c>
      <c r="D1736" s="9">
        <v>466.97</v>
      </c>
      <c r="E1736" s="9">
        <f t="shared" si="82"/>
        <v>2.4759535616869843E-2</v>
      </c>
      <c r="F1736" s="9">
        <f t="shared" si="80"/>
        <v>-8.2009273409268946E-2</v>
      </c>
      <c r="G1736" s="9">
        <f t="shared" si="81"/>
        <v>1.4646077739204314E-2</v>
      </c>
    </row>
    <row r="1737" spans="1:7" x14ac:dyDescent="0.2">
      <c r="A1737" s="12">
        <v>39415</v>
      </c>
      <c r="B1737" s="9">
        <v>470.54</v>
      </c>
      <c r="C1737" s="9">
        <v>462.64</v>
      </c>
      <c r="D1737" s="9">
        <v>469.55</v>
      </c>
      <c r="E1737" s="9">
        <f t="shared" si="82"/>
        <v>5.5097734738852296E-3</v>
      </c>
      <c r="F1737" s="9">
        <f t="shared" si="80"/>
        <v>-6.0209870964855056E-2</v>
      </c>
      <c r="G1737" s="9">
        <f t="shared" si="81"/>
        <v>1.4490268876948296E-2</v>
      </c>
    </row>
    <row r="1738" spans="1:7" x14ac:dyDescent="0.2">
      <c r="A1738" s="12">
        <v>39416</v>
      </c>
      <c r="B1738" s="9">
        <v>475.63</v>
      </c>
      <c r="C1738" s="9">
        <v>469.65</v>
      </c>
      <c r="D1738" s="9">
        <v>471.76</v>
      </c>
      <c r="E1738" s="9">
        <f t="shared" si="82"/>
        <v>4.6955924416260493E-3</v>
      </c>
      <c r="F1738" s="9">
        <f t="shared" si="80"/>
        <v>-4.8511533335310573E-2</v>
      </c>
      <c r="G1738" s="9">
        <f t="shared" si="81"/>
        <v>1.4508587638956424E-2</v>
      </c>
    </row>
    <row r="1739" spans="1:7" x14ac:dyDescent="0.2">
      <c r="A1739" s="12">
        <v>39419</v>
      </c>
      <c r="B1739" s="9">
        <v>479.98</v>
      </c>
      <c r="C1739" s="9">
        <v>471.74</v>
      </c>
      <c r="D1739" s="9">
        <v>476.68</v>
      </c>
      <c r="E1739" s="9">
        <f t="shared" si="82"/>
        <v>1.0375024530356809E-2</v>
      </c>
      <c r="F1739" s="9">
        <f t="shared" si="80"/>
        <v>-2.3736357596731903E-2</v>
      </c>
      <c r="G1739" s="9">
        <f t="shared" si="81"/>
        <v>1.4460905993039657E-2</v>
      </c>
    </row>
    <row r="1740" spans="1:7" x14ac:dyDescent="0.2">
      <c r="A1740" s="12">
        <v>39420</v>
      </c>
      <c r="B1740" s="9">
        <v>478.22</v>
      </c>
      <c r="C1740" s="9">
        <v>469.17</v>
      </c>
      <c r="D1740" s="9">
        <v>471.09</v>
      </c>
      <c r="E1740" s="9">
        <f t="shared" si="82"/>
        <v>-1.1796247657633339E-2</v>
      </c>
      <c r="F1740" s="9">
        <f t="shared" si="80"/>
        <v>-5.7637094294521081E-2</v>
      </c>
      <c r="G1740" s="9">
        <f t="shared" si="81"/>
        <v>1.3924680750662654E-2</v>
      </c>
    </row>
    <row r="1741" spans="1:7" x14ac:dyDescent="0.2">
      <c r="A1741" s="12">
        <v>39421</v>
      </c>
      <c r="B1741" s="9">
        <v>475.84</v>
      </c>
      <c r="C1741" s="9">
        <v>468.77</v>
      </c>
      <c r="D1741" s="9">
        <v>474.53</v>
      </c>
      <c r="E1741" s="9">
        <f t="shared" si="82"/>
        <v>7.2756819332154936E-3</v>
      </c>
      <c r="F1741" s="9">
        <f t="shared" si="80"/>
        <v>-3.7332043470791831E-2</v>
      </c>
      <c r="G1741" s="9">
        <f t="shared" si="81"/>
        <v>1.3859460629281627E-2</v>
      </c>
    </row>
    <row r="1742" spans="1:7" x14ac:dyDescent="0.2">
      <c r="A1742" s="12">
        <v>39422</v>
      </c>
      <c r="B1742" s="9">
        <v>479.74</v>
      </c>
      <c r="C1742" s="9">
        <v>469.24</v>
      </c>
      <c r="D1742" s="9">
        <v>474.03</v>
      </c>
      <c r="E1742" s="9">
        <f t="shared" si="82"/>
        <v>-1.0542296666702341E-3</v>
      </c>
      <c r="F1742" s="9">
        <f t="shared" si="80"/>
        <v>-4.2438306721673834E-2</v>
      </c>
      <c r="G1742" s="9">
        <f t="shared" si="81"/>
        <v>1.3823480311232815E-2</v>
      </c>
    </row>
    <row r="1743" spans="1:7" x14ac:dyDescent="0.2">
      <c r="A1743" s="12">
        <v>39423</v>
      </c>
      <c r="B1743" s="9">
        <v>479.6</v>
      </c>
      <c r="C1743" s="9">
        <v>474.65</v>
      </c>
      <c r="D1743" s="9">
        <v>477.17</v>
      </c>
      <c r="E1743" s="9">
        <f t="shared" si="82"/>
        <v>6.6022106935004392E-3</v>
      </c>
      <c r="F1743" s="9">
        <f t="shared" si="80"/>
        <v>-4.1963912018283048E-2</v>
      </c>
      <c r="G1743" s="9">
        <f t="shared" si="81"/>
        <v>1.3832674152772227E-2</v>
      </c>
    </row>
    <row r="1744" spans="1:7" x14ac:dyDescent="0.2">
      <c r="A1744" s="12">
        <v>39426</v>
      </c>
      <c r="B1744" s="9">
        <v>478.88</v>
      </c>
      <c r="C1744" s="9">
        <v>471.87</v>
      </c>
      <c r="D1744" s="9">
        <v>477.85</v>
      </c>
      <c r="E1744" s="9">
        <f t="shared" si="82"/>
        <v>1.4240541871710106E-3</v>
      </c>
      <c r="F1744" s="9">
        <f t="shared" si="80"/>
        <v>-4.4630991405138896E-2</v>
      </c>
      <c r="G1744" s="9">
        <f t="shared" si="81"/>
        <v>1.3804716076498859E-2</v>
      </c>
    </row>
    <row r="1745" spans="1:7" x14ac:dyDescent="0.2">
      <c r="A1745" s="12">
        <v>39427</v>
      </c>
      <c r="B1745" s="9">
        <v>481.43</v>
      </c>
      <c r="C1745" s="9">
        <v>476.28</v>
      </c>
      <c r="D1745" s="9">
        <v>479.29</v>
      </c>
      <c r="E1745" s="9">
        <f t="shared" si="82"/>
        <v>3.0089664760962298E-3</v>
      </c>
      <c r="F1745" s="9">
        <f t="shared" si="80"/>
        <v>-4.4699380833628378E-2</v>
      </c>
      <c r="G1745" s="9">
        <f t="shared" si="81"/>
        <v>1.3803941854250436E-2</v>
      </c>
    </row>
    <row r="1746" spans="1:7" x14ac:dyDescent="0.2">
      <c r="A1746" s="12">
        <v>39428</v>
      </c>
      <c r="B1746" s="9">
        <v>482.87</v>
      </c>
      <c r="C1746" s="9">
        <v>473.45</v>
      </c>
      <c r="D1746" s="9">
        <v>481.79</v>
      </c>
      <c r="E1746" s="9">
        <f t="shared" si="82"/>
        <v>5.2024922768801572E-3</v>
      </c>
      <c r="F1746" s="9">
        <f t="shared" si="80"/>
        <v>-5.2815620397029389E-2</v>
      </c>
      <c r="G1746" s="9">
        <f t="shared" si="81"/>
        <v>1.3581441421869084E-2</v>
      </c>
    </row>
    <row r="1747" spans="1:7" x14ac:dyDescent="0.2">
      <c r="A1747" s="12">
        <v>39429</v>
      </c>
      <c r="B1747" s="9">
        <v>480.97</v>
      </c>
      <c r="C1747" s="9">
        <v>471.66</v>
      </c>
      <c r="D1747" s="9">
        <v>472.21</v>
      </c>
      <c r="E1747" s="9">
        <f t="shared" si="82"/>
        <v>-2.0084532570817062E-2</v>
      </c>
      <c r="F1747" s="9">
        <f t="shared" si="80"/>
        <v>-5.8303669795759981E-2</v>
      </c>
      <c r="G1747" s="9">
        <f t="shared" si="81"/>
        <v>1.3795569633969152E-2</v>
      </c>
    </row>
    <row r="1748" spans="1:7" x14ac:dyDescent="0.2">
      <c r="A1748" s="12">
        <v>39430</v>
      </c>
      <c r="B1748" s="9">
        <v>474.67</v>
      </c>
      <c r="C1748" s="9">
        <v>466.8</v>
      </c>
      <c r="D1748" s="9">
        <v>469.8</v>
      </c>
      <c r="E1748" s="9">
        <f t="shared" si="82"/>
        <v>-5.1167296695356235E-3</v>
      </c>
      <c r="F1748" s="9">
        <f t="shared" si="80"/>
        <v>-5.1947614117887703E-2</v>
      </c>
      <c r="G1748" s="9">
        <f t="shared" si="81"/>
        <v>1.369259729494628E-2</v>
      </c>
    </row>
    <row r="1749" spans="1:7" x14ac:dyDescent="0.2">
      <c r="A1749" s="12">
        <v>39433</v>
      </c>
      <c r="B1749" s="9">
        <v>469.5</v>
      </c>
      <c r="C1749" s="9">
        <v>457.82</v>
      </c>
      <c r="D1749" s="9">
        <v>459.7</v>
      </c>
      <c r="E1749" s="9">
        <f t="shared" si="82"/>
        <v>-2.1732969412630157E-2</v>
      </c>
      <c r="F1749" s="9">
        <f t="shared" si="80"/>
        <v>-7.3720999001565687E-2</v>
      </c>
      <c r="G1749" s="9">
        <f t="shared" si="81"/>
        <v>1.4164357919813955E-2</v>
      </c>
    </row>
    <row r="1750" spans="1:7" x14ac:dyDescent="0.2">
      <c r="A1750" s="12">
        <v>39434</v>
      </c>
      <c r="B1750" s="9">
        <v>461.86</v>
      </c>
      <c r="C1750" s="9">
        <v>455.79</v>
      </c>
      <c r="D1750" s="9">
        <v>456.77</v>
      </c>
      <c r="E1750" s="9">
        <f t="shared" si="82"/>
        <v>-6.3941208827219863E-3</v>
      </c>
      <c r="F1750" s="9">
        <f t="shared" si="80"/>
        <v>-9.0868019721116744E-2</v>
      </c>
      <c r="G1750" s="9">
        <f t="shared" si="81"/>
        <v>1.3957359002758124E-2</v>
      </c>
    </row>
    <row r="1751" spans="1:7" x14ac:dyDescent="0.2">
      <c r="A1751" s="12">
        <v>39435</v>
      </c>
      <c r="B1751" s="9">
        <v>459.47</v>
      </c>
      <c r="C1751" s="9">
        <v>452.25</v>
      </c>
      <c r="D1751" s="9">
        <v>456.4</v>
      </c>
      <c r="E1751" s="9">
        <f t="shared" si="82"/>
        <v>-8.1036394153976459E-4</v>
      </c>
      <c r="F1751" s="9">
        <f t="shared" si="80"/>
        <v>-9.4433371330790494E-2</v>
      </c>
      <c r="G1751" s="9">
        <f t="shared" si="81"/>
        <v>1.3921544725189935E-2</v>
      </c>
    </row>
    <row r="1752" spans="1:7" x14ac:dyDescent="0.2">
      <c r="A1752" s="12">
        <v>39436</v>
      </c>
      <c r="B1752" s="9">
        <v>461.84</v>
      </c>
      <c r="C1752" s="9">
        <v>455.29</v>
      </c>
      <c r="D1752" s="9">
        <v>459.88</v>
      </c>
      <c r="E1752" s="9">
        <f t="shared" si="82"/>
        <v>7.5959678976190003E-3</v>
      </c>
      <c r="F1752" s="9">
        <f t="shared" si="80"/>
        <v>-7.9132357058766242E-2</v>
      </c>
      <c r="G1752" s="9">
        <f t="shared" si="81"/>
        <v>1.4028699889097383E-2</v>
      </c>
    </row>
    <row r="1753" spans="1:7" x14ac:dyDescent="0.2">
      <c r="A1753" s="12">
        <v>39437</v>
      </c>
      <c r="B1753" s="9">
        <v>467.93</v>
      </c>
      <c r="C1753" s="9">
        <v>460.6</v>
      </c>
      <c r="D1753" s="9">
        <v>464.48</v>
      </c>
      <c r="E1753" s="9">
        <f t="shared" si="82"/>
        <v>9.9529143907802469E-3</v>
      </c>
      <c r="F1753" s="9">
        <f t="shared" si="80"/>
        <v>-6.3578654395142986E-2</v>
      </c>
      <c r="G1753" s="9">
        <f t="shared" si="81"/>
        <v>1.4201759677675957E-2</v>
      </c>
    </row>
    <row r="1754" spans="1:7" x14ac:dyDescent="0.2">
      <c r="A1754" s="12">
        <v>39443</v>
      </c>
      <c r="B1754" s="9">
        <v>467.65</v>
      </c>
      <c r="C1754" s="9">
        <v>459.68</v>
      </c>
      <c r="D1754" s="9">
        <v>460.53</v>
      </c>
      <c r="E1754" s="9">
        <f t="shared" si="82"/>
        <v>-8.540500123100047E-3</v>
      </c>
      <c r="F1754" s="9">
        <f t="shared" si="80"/>
        <v>-6.5531448645920573E-2</v>
      </c>
      <c r="G1754" s="9">
        <f t="shared" si="81"/>
        <v>1.4227398836330653E-2</v>
      </c>
    </row>
    <row r="1755" spans="1:7" x14ac:dyDescent="0.2">
      <c r="A1755" s="12">
        <v>39444</v>
      </c>
      <c r="B1755" s="9">
        <v>464.23</v>
      </c>
      <c r="C1755" s="9">
        <v>457.44</v>
      </c>
      <c r="D1755" s="9">
        <v>464.14</v>
      </c>
      <c r="E1755" s="9">
        <f t="shared" si="82"/>
        <v>7.8082307013928754E-3</v>
      </c>
      <c r="F1755" s="9">
        <f t="shared" si="80"/>
        <v>-4.7749296151743552E-2</v>
      </c>
      <c r="G1755" s="9">
        <f t="shared" si="81"/>
        <v>1.4262057998033007E-2</v>
      </c>
    </row>
    <row r="1756" spans="1:7" x14ac:dyDescent="0.2">
      <c r="A1756" s="12">
        <v>39449</v>
      </c>
      <c r="B1756" s="9">
        <v>467.81</v>
      </c>
      <c r="C1756" s="9">
        <v>460.23</v>
      </c>
      <c r="D1756" s="9">
        <v>460.53</v>
      </c>
      <c r="E1756" s="9">
        <f t="shared" si="82"/>
        <v>-7.8082307013928294E-3</v>
      </c>
      <c r="F1756" s="9">
        <f t="shared" si="80"/>
        <v>-6.0699979718608854E-2</v>
      </c>
      <c r="G1756" s="9">
        <f t="shared" si="81"/>
        <v>1.4247189545668466E-2</v>
      </c>
    </row>
    <row r="1757" spans="1:7" x14ac:dyDescent="0.2">
      <c r="A1757" s="12">
        <v>39450</v>
      </c>
      <c r="B1757" s="9">
        <v>462.37</v>
      </c>
      <c r="C1757" s="9">
        <v>451.51</v>
      </c>
      <c r="D1757" s="9">
        <v>454.48</v>
      </c>
      <c r="E1757" s="9">
        <f t="shared" si="82"/>
        <v>-1.3224091904348236E-2</v>
      </c>
      <c r="F1757" s="9">
        <f t="shared" si="80"/>
        <v>-5.8624216922602564E-2</v>
      </c>
      <c r="G1757" s="9">
        <f t="shared" si="81"/>
        <v>1.4185394665098652E-2</v>
      </c>
    </row>
    <row r="1758" spans="1:7" x14ac:dyDescent="0.2">
      <c r="A1758" s="12">
        <v>39451</v>
      </c>
      <c r="B1758" s="9">
        <v>456.44</v>
      </c>
      <c r="C1758" s="9">
        <v>443.12</v>
      </c>
      <c r="D1758" s="9">
        <v>443.17</v>
      </c>
      <c r="E1758" s="9">
        <f t="shared" si="82"/>
        <v>-2.5200464637523002E-2</v>
      </c>
      <c r="F1758" s="9">
        <f t="shared" si="80"/>
        <v>-6.7021783641347935E-2</v>
      </c>
      <c r="G1758" s="9">
        <f t="shared" si="81"/>
        <v>1.456624887542354E-2</v>
      </c>
    </row>
    <row r="1759" spans="1:7" x14ac:dyDescent="0.2">
      <c r="A1759" s="12">
        <v>39454</v>
      </c>
      <c r="B1759" s="9">
        <v>445.71</v>
      </c>
      <c r="C1759" s="9">
        <v>437.01</v>
      </c>
      <c r="D1759" s="9">
        <v>438.48</v>
      </c>
      <c r="E1759" s="9">
        <f t="shared" si="82"/>
        <v>-1.0639242873487479E-2</v>
      </c>
      <c r="F1759" s="9">
        <f t="shared" si="80"/>
        <v>-4.5648859555754553E-2</v>
      </c>
      <c r="G1759" s="9">
        <f t="shared" si="81"/>
        <v>1.3546570090156838E-2</v>
      </c>
    </row>
    <row r="1760" spans="1:7" x14ac:dyDescent="0.2">
      <c r="A1760" s="12">
        <v>39455</v>
      </c>
      <c r="B1760" s="9">
        <v>444.97</v>
      </c>
      <c r="C1760" s="9">
        <v>438.89</v>
      </c>
      <c r="D1760" s="9">
        <v>444.27</v>
      </c>
      <c r="E1760" s="9">
        <f t="shared" si="82"/>
        <v>1.3118284979660656E-2</v>
      </c>
      <c r="F1760" s="9">
        <f t="shared" si="80"/>
        <v>-3.5684911137591702E-2</v>
      </c>
      <c r="G1760" s="9">
        <f t="shared" si="81"/>
        <v>1.3785212408418093E-2</v>
      </c>
    </row>
    <row r="1761" spans="1:7" x14ac:dyDescent="0.2">
      <c r="A1761" s="12">
        <v>39456</v>
      </c>
      <c r="B1761" s="9">
        <v>443.75</v>
      </c>
      <c r="C1761" s="9">
        <v>433.13</v>
      </c>
      <c r="D1761" s="9">
        <v>436.75</v>
      </c>
      <c r="E1761" s="9">
        <f t="shared" si="82"/>
        <v>-1.7071536703355632E-2</v>
      </c>
      <c r="F1761" s="9">
        <f t="shared" ref="F1761:F1824" si="83">LN(D1761/D1731)</f>
        <v>-1.9342348763414653E-2</v>
      </c>
      <c r="G1761" s="9">
        <f t="shared" si="81"/>
        <v>1.2752068007679727E-2</v>
      </c>
    </row>
    <row r="1762" spans="1:7" x14ac:dyDescent="0.2">
      <c r="A1762" s="12">
        <v>39457</v>
      </c>
      <c r="B1762" s="9">
        <v>442.48</v>
      </c>
      <c r="C1762" s="9">
        <v>425.45</v>
      </c>
      <c r="D1762" s="9">
        <v>428.21</v>
      </c>
      <c r="E1762" s="9">
        <f t="shared" si="82"/>
        <v>-1.9747219558177348E-2</v>
      </c>
      <c r="F1762" s="9">
        <f t="shared" si="83"/>
        <v>-4.7409158286265733E-2</v>
      </c>
      <c r="G1762" s="9">
        <f t="shared" si="81"/>
        <v>1.3096628886692252E-2</v>
      </c>
    </row>
    <row r="1763" spans="1:7" x14ac:dyDescent="0.2">
      <c r="A1763" s="12">
        <v>39458</v>
      </c>
      <c r="B1763" s="9">
        <v>428.45</v>
      </c>
      <c r="C1763" s="9">
        <v>419.07</v>
      </c>
      <c r="D1763" s="9">
        <v>423.71</v>
      </c>
      <c r="E1763" s="9">
        <f t="shared" si="82"/>
        <v>-1.0564470497079453E-2</v>
      </c>
      <c r="F1763" s="9">
        <f t="shared" si="83"/>
        <v>-8.5627792222154733E-2</v>
      </c>
      <c r="G1763" s="9">
        <f t="shared" si="81"/>
        <v>1.1964748829463322E-2</v>
      </c>
    </row>
    <row r="1764" spans="1:7" x14ac:dyDescent="0.2">
      <c r="A1764" s="12">
        <v>39461</v>
      </c>
      <c r="B1764" s="9">
        <v>434.05</v>
      </c>
      <c r="C1764" s="9">
        <v>421.1</v>
      </c>
      <c r="D1764" s="9">
        <v>431.35</v>
      </c>
      <c r="E1764" s="9">
        <f t="shared" si="82"/>
        <v>1.7870566563678674E-2</v>
      </c>
      <c r="F1764" s="9">
        <f t="shared" si="83"/>
        <v>-6.741053760924072E-2</v>
      </c>
      <c r="G1764" s="9">
        <f t="shared" si="81"/>
        <v>1.2544636788791063E-2</v>
      </c>
    </row>
    <row r="1765" spans="1:7" x14ac:dyDescent="0.2">
      <c r="A1765" s="12">
        <v>39462</v>
      </c>
      <c r="B1765" s="9">
        <v>431.25</v>
      </c>
      <c r="C1765" s="9">
        <v>413.75</v>
      </c>
      <c r="D1765" s="9">
        <v>414.34</v>
      </c>
      <c r="E1765" s="9">
        <f t="shared" si="82"/>
        <v>-4.0232932704845188E-2</v>
      </c>
      <c r="F1765" s="9">
        <f t="shared" si="83"/>
        <v>-9.4818587342124741E-2</v>
      </c>
      <c r="G1765" s="9">
        <f t="shared" si="81"/>
        <v>1.4226817690076022E-2</v>
      </c>
    </row>
    <row r="1766" spans="1:7" x14ac:dyDescent="0.2">
      <c r="A1766" s="12">
        <v>39463</v>
      </c>
      <c r="B1766" s="9">
        <v>413.21</v>
      </c>
      <c r="C1766" s="9">
        <v>397.43</v>
      </c>
      <c r="D1766" s="9">
        <v>404.26</v>
      </c>
      <c r="E1766" s="9">
        <f t="shared" si="82"/>
        <v>-2.4628657498890833E-2</v>
      </c>
      <c r="F1766" s="9">
        <f t="shared" si="83"/>
        <v>-0.14420678045788554</v>
      </c>
      <c r="G1766" s="9">
        <f t="shared" si="81"/>
        <v>1.373355196551896E-2</v>
      </c>
    </row>
    <row r="1767" spans="1:7" x14ac:dyDescent="0.2">
      <c r="A1767" s="12">
        <v>39464</v>
      </c>
      <c r="B1767" s="9">
        <v>411.71</v>
      </c>
      <c r="C1767" s="9">
        <v>403.79</v>
      </c>
      <c r="D1767" s="9">
        <v>404.81</v>
      </c>
      <c r="E1767" s="9">
        <f t="shared" si="82"/>
        <v>1.359585906588475E-3</v>
      </c>
      <c r="F1767" s="9">
        <f t="shared" si="83"/>
        <v>-0.14835696802518236</v>
      </c>
      <c r="G1767" s="9">
        <f t="shared" ref="G1767:G1830" si="84">STDEV(E1738:E1767)</f>
        <v>1.364667543255395E-2</v>
      </c>
    </row>
    <row r="1768" spans="1:7" x14ac:dyDescent="0.2">
      <c r="A1768" s="12">
        <v>39465</v>
      </c>
      <c r="B1768" s="9">
        <v>408.27</v>
      </c>
      <c r="C1768" s="9">
        <v>398.44</v>
      </c>
      <c r="D1768" s="9">
        <v>403.5</v>
      </c>
      <c r="E1768" s="9">
        <f t="shared" si="82"/>
        <v>-3.2413335154366776E-3</v>
      </c>
      <c r="F1768" s="9">
        <f t="shared" si="83"/>
        <v>-0.15629389398224519</v>
      </c>
      <c r="G1768" s="9">
        <f t="shared" si="84"/>
        <v>1.3529761197669375E-2</v>
      </c>
    </row>
    <row r="1769" spans="1:7" x14ac:dyDescent="0.2">
      <c r="A1769" s="12">
        <v>39468</v>
      </c>
      <c r="B1769" s="9">
        <v>402.47</v>
      </c>
      <c r="C1769" s="9">
        <v>382.13</v>
      </c>
      <c r="D1769" s="9">
        <v>382.8</v>
      </c>
      <c r="E1769" s="9">
        <f t="shared" si="82"/>
        <v>-5.266382813120421E-2</v>
      </c>
      <c r="F1769" s="9">
        <f t="shared" si="83"/>
        <v>-0.2193327466438062</v>
      </c>
      <c r="G1769" s="9">
        <f t="shared" si="84"/>
        <v>1.5740474895566615E-2</v>
      </c>
    </row>
    <row r="1770" spans="1:7" x14ac:dyDescent="0.2">
      <c r="A1770" s="12">
        <v>39469</v>
      </c>
      <c r="B1770" s="9">
        <v>396.97</v>
      </c>
      <c r="C1770" s="9">
        <v>362.91</v>
      </c>
      <c r="D1770" s="9">
        <v>396.73</v>
      </c>
      <c r="E1770" s="9">
        <f t="shared" si="82"/>
        <v>3.5743288979294012E-2</v>
      </c>
      <c r="F1770" s="9">
        <f t="shared" si="83"/>
        <v>-0.1717932100068788</v>
      </c>
      <c r="G1770" s="9">
        <f t="shared" si="84"/>
        <v>1.7561069228816846E-2</v>
      </c>
    </row>
    <row r="1771" spans="1:7" x14ac:dyDescent="0.2">
      <c r="A1771" s="12">
        <v>39470</v>
      </c>
      <c r="B1771" s="9">
        <v>407.76</v>
      </c>
      <c r="C1771" s="9">
        <v>382.72</v>
      </c>
      <c r="D1771" s="9">
        <v>391.12</v>
      </c>
      <c r="E1771" s="9">
        <f t="shared" si="82"/>
        <v>-1.4241530287703124E-2</v>
      </c>
      <c r="F1771" s="9">
        <f t="shared" si="83"/>
        <v>-0.19331042222779732</v>
      </c>
      <c r="G1771" s="9">
        <f t="shared" si="84"/>
        <v>1.7450780024802989E-2</v>
      </c>
    </row>
    <row r="1772" spans="1:7" x14ac:dyDescent="0.2">
      <c r="A1772" s="12">
        <v>39471</v>
      </c>
      <c r="B1772" s="9">
        <v>406.88</v>
      </c>
      <c r="C1772" s="9">
        <v>392.47</v>
      </c>
      <c r="D1772" s="9">
        <v>399.91</v>
      </c>
      <c r="E1772" s="9">
        <f t="shared" si="82"/>
        <v>2.2225103521294309E-2</v>
      </c>
      <c r="F1772" s="9">
        <f t="shared" si="83"/>
        <v>-0.17003108903983274</v>
      </c>
      <c r="G1772" s="9">
        <f t="shared" si="84"/>
        <v>1.8200180696163665E-2</v>
      </c>
    </row>
    <row r="1773" spans="1:7" x14ac:dyDescent="0.2">
      <c r="A1773" s="12">
        <v>39472</v>
      </c>
      <c r="B1773" s="9">
        <v>409.92</v>
      </c>
      <c r="C1773" s="9">
        <v>401.05</v>
      </c>
      <c r="D1773" s="9">
        <v>405</v>
      </c>
      <c r="E1773" s="9">
        <f t="shared" si="82"/>
        <v>1.2647545314854548E-2</v>
      </c>
      <c r="F1773" s="9">
        <f t="shared" si="83"/>
        <v>-0.16398575441847857</v>
      </c>
      <c r="G1773" s="9">
        <f t="shared" si="84"/>
        <v>1.8373359724924612E-2</v>
      </c>
    </row>
    <row r="1774" spans="1:7" x14ac:dyDescent="0.2">
      <c r="A1774" s="12">
        <v>39475</v>
      </c>
      <c r="B1774" s="9">
        <v>404.06</v>
      </c>
      <c r="C1774" s="9">
        <v>394.13</v>
      </c>
      <c r="D1774" s="9">
        <v>399.5</v>
      </c>
      <c r="E1774" s="9">
        <f t="shared" si="82"/>
        <v>-1.367330190020982E-2</v>
      </c>
      <c r="F1774" s="9">
        <f t="shared" si="83"/>
        <v>-0.17908311050585934</v>
      </c>
      <c r="G1774" s="9">
        <f t="shared" si="84"/>
        <v>1.8384882820936466E-2</v>
      </c>
    </row>
    <row r="1775" spans="1:7" x14ac:dyDescent="0.2">
      <c r="A1775" s="12">
        <v>39476</v>
      </c>
      <c r="B1775" s="9">
        <v>411.61</v>
      </c>
      <c r="C1775" s="9">
        <v>400.23</v>
      </c>
      <c r="D1775" s="9">
        <v>408.95</v>
      </c>
      <c r="E1775" s="9">
        <f t="shared" si="82"/>
        <v>2.3379133974653823E-2</v>
      </c>
      <c r="F1775" s="9">
        <f t="shared" si="83"/>
        <v>-0.15871294300730179</v>
      </c>
      <c r="G1775" s="9">
        <f t="shared" si="84"/>
        <v>1.9090536567254793E-2</v>
      </c>
    </row>
    <row r="1776" spans="1:7" x14ac:dyDescent="0.2">
      <c r="A1776" s="12">
        <v>39477</v>
      </c>
      <c r="B1776" s="9">
        <v>414.7</v>
      </c>
      <c r="C1776" s="9">
        <v>408.75</v>
      </c>
      <c r="D1776" s="9">
        <v>412.42</v>
      </c>
      <c r="E1776" s="9">
        <f t="shared" si="82"/>
        <v>8.449348391137191E-3</v>
      </c>
      <c r="F1776" s="9">
        <f t="shared" si="83"/>
        <v>-0.15546608689304492</v>
      </c>
      <c r="G1776" s="9">
        <f t="shared" si="84"/>
        <v>1.9161147566144753E-2</v>
      </c>
    </row>
    <row r="1777" spans="1:7" x14ac:dyDescent="0.2">
      <c r="A1777" s="12">
        <v>39478</v>
      </c>
      <c r="B1777" s="9">
        <v>419.64</v>
      </c>
      <c r="C1777" s="9">
        <v>403.17</v>
      </c>
      <c r="D1777" s="9">
        <v>407.83</v>
      </c>
      <c r="E1777" s="9">
        <f t="shared" si="82"/>
        <v>-1.1191826664300889E-2</v>
      </c>
      <c r="F1777" s="9">
        <f t="shared" si="83"/>
        <v>-0.14657338098652881</v>
      </c>
      <c r="G1777" s="9">
        <f t="shared" si="84"/>
        <v>1.8990685417643483E-2</v>
      </c>
    </row>
    <row r="1778" spans="1:7" x14ac:dyDescent="0.2">
      <c r="A1778" s="12">
        <v>39479</v>
      </c>
      <c r="B1778" s="9">
        <v>420.23</v>
      </c>
      <c r="C1778" s="9">
        <v>408.66</v>
      </c>
      <c r="D1778" s="9">
        <v>416.83</v>
      </c>
      <c r="E1778" s="9">
        <f t="shared" si="82"/>
        <v>2.1828043908490701E-2</v>
      </c>
      <c r="F1778" s="9">
        <f t="shared" si="83"/>
        <v>-0.11962860740850254</v>
      </c>
      <c r="G1778" s="9">
        <f t="shared" si="84"/>
        <v>1.9606571882151331E-2</v>
      </c>
    </row>
    <row r="1779" spans="1:7" x14ac:dyDescent="0.2">
      <c r="A1779" s="12">
        <v>39482</v>
      </c>
      <c r="B1779" s="9">
        <v>429.95</v>
      </c>
      <c r="C1779" s="9">
        <v>417.66</v>
      </c>
      <c r="D1779" s="9">
        <v>426.18</v>
      </c>
      <c r="E1779" s="9">
        <f t="shared" si="82"/>
        <v>2.2183327421463696E-2</v>
      </c>
      <c r="F1779" s="9">
        <f t="shared" si="83"/>
        <v>-7.5712310574408692E-2</v>
      </c>
      <c r="G1779" s="9">
        <f t="shared" si="84"/>
        <v>1.9873605104286592E-2</v>
      </c>
    </row>
    <row r="1780" spans="1:7" x14ac:dyDescent="0.2">
      <c r="A1780" s="12">
        <v>39483</v>
      </c>
      <c r="B1780" s="9">
        <v>426.71</v>
      </c>
      <c r="C1780" s="9">
        <v>414.06</v>
      </c>
      <c r="D1780" s="9">
        <v>415.36</v>
      </c>
      <c r="E1780" s="9">
        <f t="shared" si="82"/>
        <v>-2.5716178162103125E-2</v>
      </c>
      <c r="F1780" s="9">
        <f t="shared" si="83"/>
        <v>-9.5034367853789797E-2</v>
      </c>
      <c r="G1780" s="9">
        <f t="shared" si="84"/>
        <v>2.0311632205561737E-2</v>
      </c>
    </row>
    <row r="1781" spans="1:7" x14ac:dyDescent="0.2">
      <c r="A1781" s="12">
        <v>39484</v>
      </c>
      <c r="B1781" s="9">
        <v>415.54</v>
      </c>
      <c r="C1781" s="9">
        <v>407.35</v>
      </c>
      <c r="D1781" s="9">
        <v>414.38</v>
      </c>
      <c r="E1781" s="9">
        <f t="shared" si="82"/>
        <v>-2.3621868433340814E-3</v>
      </c>
      <c r="F1781" s="9">
        <f t="shared" si="83"/>
        <v>-9.6586190755584042E-2</v>
      </c>
      <c r="G1781" s="9">
        <f t="shared" si="84"/>
        <v>2.0307397056150162E-2</v>
      </c>
    </row>
    <row r="1782" spans="1:7" x14ac:dyDescent="0.2">
      <c r="A1782" s="12">
        <v>39485</v>
      </c>
      <c r="B1782" s="9">
        <v>414.78</v>
      </c>
      <c r="C1782" s="9">
        <v>404.15</v>
      </c>
      <c r="D1782" s="9">
        <v>409.53</v>
      </c>
      <c r="E1782" s="9">
        <f t="shared" si="82"/>
        <v>-1.1773266549340491E-2</v>
      </c>
      <c r="F1782" s="9">
        <f t="shared" si="83"/>
        <v>-0.11595542520254344</v>
      </c>
      <c r="G1782" s="9">
        <f t="shared" si="84"/>
        <v>2.0259528490150887E-2</v>
      </c>
    </row>
    <row r="1783" spans="1:7" x14ac:dyDescent="0.2">
      <c r="A1783" s="12">
        <v>39486</v>
      </c>
      <c r="B1783" s="9">
        <v>413.5</v>
      </c>
      <c r="C1783" s="9">
        <v>403.92</v>
      </c>
      <c r="D1783" s="9">
        <v>407.92</v>
      </c>
      <c r="E1783" s="9">
        <f t="shared" si="82"/>
        <v>-3.9390839360956467E-3</v>
      </c>
      <c r="F1783" s="9">
        <f t="shared" si="83"/>
        <v>-0.12984742352941944</v>
      </c>
      <c r="G1783" s="9">
        <f t="shared" si="84"/>
        <v>2.0090861818703044E-2</v>
      </c>
    </row>
    <row r="1784" spans="1:7" x14ac:dyDescent="0.2">
      <c r="A1784" s="12">
        <v>39489</v>
      </c>
      <c r="B1784" s="9">
        <v>413.66</v>
      </c>
      <c r="C1784" s="9">
        <v>405.03</v>
      </c>
      <c r="D1784" s="9">
        <v>410.31</v>
      </c>
      <c r="E1784" s="9">
        <f t="shared" si="82"/>
        <v>5.8418948146690217E-3</v>
      </c>
      <c r="F1784" s="9">
        <f t="shared" si="83"/>
        <v>-0.11546502859165028</v>
      </c>
      <c r="G1784" s="9">
        <f t="shared" si="84"/>
        <v>2.0158366742121826E-2</v>
      </c>
    </row>
    <row r="1785" spans="1:7" x14ac:dyDescent="0.2">
      <c r="A1785" s="12">
        <v>39490</v>
      </c>
      <c r="B1785" s="9">
        <v>427.02</v>
      </c>
      <c r="C1785" s="9">
        <v>410.93</v>
      </c>
      <c r="D1785" s="9">
        <v>427.02</v>
      </c>
      <c r="E1785" s="9">
        <f t="shared" si="82"/>
        <v>3.9917878977665203E-2</v>
      </c>
      <c r="F1785" s="9">
        <f t="shared" si="83"/>
        <v>-8.3355380315377883E-2</v>
      </c>
      <c r="G1785" s="9">
        <f t="shared" si="84"/>
        <v>2.1599571449277561E-2</v>
      </c>
    </row>
    <row r="1786" spans="1:7" x14ac:dyDescent="0.2">
      <c r="A1786" s="12">
        <v>39491</v>
      </c>
      <c r="B1786" s="9">
        <v>430.89</v>
      </c>
      <c r="C1786" s="9">
        <v>421.91</v>
      </c>
      <c r="D1786" s="9">
        <v>429.37</v>
      </c>
      <c r="E1786" s="9">
        <f t="shared" si="82"/>
        <v>5.4881675369719135E-3</v>
      </c>
      <c r="F1786" s="9">
        <f t="shared" si="83"/>
        <v>-7.0058982077013068E-2</v>
      </c>
      <c r="G1786" s="9">
        <f t="shared" si="84"/>
        <v>2.162920273303658E-2</v>
      </c>
    </row>
    <row r="1787" spans="1:7" x14ac:dyDescent="0.2">
      <c r="A1787" s="12">
        <v>39492</v>
      </c>
      <c r="B1787" s="9">
        <v>436.39</v>
      </c>
      <c r="C1787" s="9">
        <v>430.4</v>
      </c>
      <c r="D1787" s="9">
        <v>432.45</v>
      </c>
      <c r="E1787" s="9">
        <f t="shared" si="82"/>
        <v>7.1476946763142585E-3</v>
      </c>
      <c r="F1787" s="9">
        <f t="shared" si="83"/>
        <v>-4.9687195496350665E-2</v>
      </c>
      <c r="G1787" s="9">
        <f t="shared" si="84"/>
        <v>2.1595320081625149E-2</v>
      </c>
    </row>
    <row r="1788" spans="1:7" x14ac:dyDescent="0.2">
      <c r="A1788" s="12">
        <v>39493</v>
      </c>
      <c r="B1788" s="9">
        <v>433.24</v>
      </c>
      <c r="C1788" s="9">
        <v>423.26</v>
      </c>
      <c r="D1788" s="9">
        <v>423.97</v>
      </c>
      <c r="E1788" s="9">
        <f t="shared" si="82"/>
        <v>-1.9804014740777184E-2</v>
      </c>
      <c r="F1788" s="9">
        <f t="shared" si="83"/>
        <v>-4.4290745599604858E-2</v>
      </c>
      <c r="G1788" s="9">
        <f t="shared" si="84"/>
        <v>2.1414157517757115E-2</v>
      </c>
    </row>
    <row r="1789" spans="1:7" x14ac:dyDescent="0.2">
      <c r="A1789" s="12">
        <v>39496</v>
      </c>
      <c r="B1789" s="9">
        <v>431.38</v>
      </c>
      <c r="C1789" s="9">
        <v>424.39</v>
      </c>
      <c r="D1789" s="9">
        <v>431.19</v>
      </c>
      <c r="E1789" s="9">
        <f t="shared" si="82"/>
        <v>1.6886130219506419E-2</v>
      </c>
      <c r="F1789" s="9">
        <f t="shared" si="83"/>
        <v>-1.6765372506610848E-2</v>
      </c>
      <c r="G1789" s="9">
        <f t="shared" si="84"/>
        <v>2.1596923293181938E-2</v>
      </c>
    </row>
    <row r="1790" spans="1:7" x14ac:dyDescent="0.2">
      <c r="A1790" s="12">
        <v>39497</v>
      </c>
      <c r="B1790" s="9">
        <v>436.74</v>
      </c>
      <c r="C1790" s="9">
        <v>429.75</v>
      </c>
      <c r="D1790" s="9">
        <v>436.66</v>
      </c>
      <c r="E1790" s="9">
        <f t="shared" si="82"/>
        <v>1.2606032003720477E-2</v>
      </c>
      <c r="F1790" s="9">
        <f t="shared" si="83"/>
        <v>-1.7277625482551046E-2</v>
      </c>
      <c r="G1790" s="9">
        <f t="shared" si="84"/>
        <v>2.1585936618085014E-2</v>
      </c>
    </row>
    <row r="1791" spans="1:7" x14ac:dyDescent="0.2">
      <c r="A1791" s="12">
        <v>39498</v>
      </c>
      <c r="B1791" s="9">
        <v>435.83</v>
      </c>
      <c r="C1791" s="9">
        <v>427.13</v>
      </c>
      <c r="D1791" s="9">
        <v>428.84</v>
      </c>
      <c r="E1791" s="9">
        <f t="shared" si="82"/>
        <v>-1.8070971246931609E-2</v>
      </c>
      <c r="F1791" s="9">
        <f t="shared" si="83"/>
        <v>-1.8277060026127015E-2</v>
      </c>
      <c r="G1791" s="9">
        <f t="shared" si="84"/>
        <v>2.1613027106979179E-2</v>
      </c>
    </row>
    <row r="1792" spans="1:7" x14ac:dyDescent="0.2">
      <c r="A1792" s="12">
        <v>39499</v>
      </c>
      <c r="B1792" s="9">
        <v>437.07</v>
      </c>
      <c r="C1792" s="9">
        <v>429.46</v>
      </c>
      <c r="D1792" s="9">
        <v>433.49</v>
      </c>
      <c r="E1792" s="9">
        <f t="shared" si="82"/>
        <v>1.0784838915736396E-2</v>
      </c>
      <c r="F1792" s="9">
        <f t="shared" si="83"/>
        <v>1.2254998447786759E-2</v>
      </c>
      <c r="G1792" s="9">
        <f t="shared" si="84"/>
        <v>2.1398561195415607E-2</v>
      </c>
    </row>
    <row r="1793" spans="1:7" x14ac:dyDescent="0.2">
      <c r="A1793" s="12">
        <v>39500</v>
      </c>
      <c r="B1793" s="9">
        <v>435.85</v>
      </c>
      <c r="C1793" s="9">
        <v>430.71</v>
      </c>
      <c r="D1793" s="9">
        <v>431.82</v>
      </c>
      <c r="E1793" s="9">
        <f t="shared" si="82"/>
        <v>-3.859893156007408E-3</v>
      </c>
      <c r="F1793" s="9">
        <f t="shared" si="83"/>
        <v>1.8959575788858856E-2</v>
      </c>
      <c r="G1793" s="9">
        <f t="shared" si="84"/>
        <v>2.1314855541993361E-2</v>
      </c>
    </row>
    <row r="1794" spans="1:7" x14ac:dyDescent="0.2">
      <c r="A1794" s="12">
        <v>39503</v>
      </c>
      <c r="B1794" s="9">
        <v>440.46</v>
      </c>
      <c r="C1794" s="9">
        <v>432.24</v>
      </c>
      <c r="D1794" s="9">
        <v>440.45</v>
      </c>
      <c r="E1794" s="9">
        <f t="shared" si="82"/>
        <v>1.9788096808036681E-2</v>
      </c>
      <c r="F1794" s="9">
        <f t="shared" si="83"/>
        <v>2.0877106033216849E-2</v>
      </c>
      <c r="G1794" s="9">
        <f t="shared" si="84"/>
        <v>2.1371132878180338E-2</v>
      </c>
    </row>
    <row r="1795" spans="1:7" x14ac:dyDescent="0.2">
      <c r="A1795" s="12">
        <v>39504</v>
      </c>
      <c r="B1795" s="9">
        <v>442.85</v>
      </c>
      <c r="C1795" s="9">
        <v>437.12</v>
      </c>
      <c r="D1795" s="9">
        <v>441.27</v>
      </c>
      <c r="E1795" s="9">
        <f t="shared" si="82"/>
        <v>1.8600014435565322E-3</v>
      </c>
      <c r="F1795" s="9">
        <f t="shared" si="83"/>
        <v>6.2970040181618434E-2</v>
      </c>
      <c r="G1795" s="9">
        <f t="shared" si="84"/>
        <v>1.9924131339123564E-2</v>
      </c>
    </row>
    <row r="1796" spans="1:7" x14ac:dyDescent="0.2">
      <c r="A1796" s="12">
        <v>39505</v>
      </c>
      <c r="B1796" s="9">
        <v>444.71</v>
      </c>
      <c r="C1796" s="9">
        <v>435.02</v>
      </c>
      <c r="D1796" s="9">
        <v>440.56</v>
      </c>
      <c r="E1796" s="9">
        <f t="shared" ref="E1796:E1859" si="85">LN(D1796/D1795)</f>
        <v>-1.6102880451351869E-3</v>
      </c>
      <c r="F1796" s="9">
        <f t="shared" si="83"/>
        <v>8.5988409635374324E-2</v>
      </c>
      <c r="G1796" s="9">
        <f t="shared" si="84"/>
        <v>1.9292564986173842E-2</v>
      </c>
    </row>
    <row r="1797" spans="1:7" x14ac:dyDescent="0.2">
      <c r="A1797" s="12">
        <v>39506</v>
      </c>
      <c r="B1797" s="9">
        <v>440.42</v>
      </c>
      <c r="C1797" s="9">
        <v>434.5</v>
      </c>
      <c r="D1797" s="9">
        <v>437.61</v>
      </c>
      <c r="E1797" s="9">
        <f t="shared" si="85"/>
        <v>-6.7185421879945193E-3</v>
      </c>
      <c r="F1797" s="9">
        <f t="shared" si="83"/>
        <v>7.791028154079141E-2</v>
      </c>
      <c r="G1797" s="9">
        <f t="shared" si="84"/>
        <v>1.9370536049035745E-2</v>
      </c>
    </row>
    <row r="1798" spans="1:7" x14ac:dyDescent="0.2">
      <c r="A1798" s="12">
        <v>39507</v>
      </c>
      <c r="B1798" s="9">
        <v>437.09</v>
      </c>
      <c r="C1798" s="9">
        <v>427.55</v>
      </c>
      <c r="D1798" s="9">
        <v>431.24</v>
      </c>
      <c r="E1798" s="9">
        <f t="shared" si="85"/>
        <v>-1.4663323095314386E-2</v>
      </c>
      <c r="F1798" s="9">
        <f t="shared" si="83"/>
        <v>6.6488291960913784E-2</v>
      </c>
      <c r="G1798" s="9">
        <f t="shared" si="84"/>
        <v>1.9600137613243987E-2</v>
      </c>
    </row>
    <row r="1799" spans="1:7" x14ac:dyDescent="0.2">
      <c r="A1799" s="12">
        <v>39510</v>
      </c>
      <c r="B1799" s="9">
        <v>430.31</v>
      </c>
      <c r="C1799" s="9">
        <v>421.65</v>
      </c>
      <c r="D1799" s="9">
        <v>427.43</v>
      </c>
      <c r="E1799" s="9">
        <f t="shared" si="85"/>
        <v>-8.8742473914586121E-3</v>
      </c>
      <c r="F1799" s="9">
        <f t="shared" si="83"/>
        <v>0.1102778727006594</v>
      </c>
      <c r="G1799" s="9">
        <f t="shared" si="84"/>
        <v>1.6803173658191936E-2</v>
      </c>
    </row>
    <row r="1800" spans="1:7" x14ac:dyDescent="0.2">
      <c r="A1800" s="12">
        <v>39511</v>
      </c>
      <c r="B1800" s="9">
        <v>432.06</v>
      </c>
      <c r="C1800" s="9">
        <v>423</v>
      </c>
      <c r="D1800" s="9">
        <v>424.49</v>
      </c>
      <c r="E1800" s="9">
        <f t="shared" si="85"/>
        <v>-6.9020839315606522E-3</v>
      </c>
      <c r="F1800" s="9">
        <f t="shared" si="83"/>
        <v>6.7632499789804804E-2</v>
      </c>
      <c r="G1800" s="9">
        <f t="shared" si="84"/>
        <v>1.576881532532266E-2</v>
      </c>
    </row>
    <row r="1801" spans="1:7" x14ac:dyDescent="0.2">
      <c r="A1801" s="12">
        <v>39512</v>
      </c>
      <c r="B1801" s="9">
        <v>430.16</v>
      </c>
      <c r="C1801" s="9">
        <v>422.79</v>
      </c>
      <c r="D1801" s="9">
        <v>430.11</v>
      </c>
      <c r="E1801" s="9">
        <f t="shared" si="85"/>
        <v>1.3152541578388242E-2</v>
      </c>
      <c r="F1801" s="9">
        <f t="shared" si="83"/>
        <v>9.5026571655896078E-2</v>
      </c>
      <c r="G1801" s="9">
        <f t="shared" si="84"/>
        <v>1.5572576383561227E-2</v>
      </c>
    </row>
    <row r="1802" spans="1:7" x14ac:dyDescent="0.2">
      <c r="A1802" s="12">
        <v>39513</v>
      </c>
      <c r="B1802" s="9">
        <v>432.3</v>
      </c>
      <c r="C1802" s="9">
        <v>427.35</v>
      </c>
      <c r="D1802" s="9">
        <v>427.79</v>
      </c>
      <c r="E1802" s="9">
        <f t="shared" si="85"/>
        <v>-5.408568960259796E-3</v>
      </c>
      <c r="F1802" s="9">
        <f t="shared" si="83"/>
        <v>6.7392899174342005E-2</v>
      </c>
      <c r="G1802" s="9">
        <f t="shared" si="84"/>
        <v>1.5219717846499106E-2</v>
      </c>
    </row>
    <row r="1803" spans="1:7" x14ac:dyDescent="0.2">
      <c r="A1803" s="12">
        <v>39514</v>
      </c>
      <c r="B1803" s="9">
        <v>427.17</v>
      </c>
      <c r="C1803" s="9">
        <v>416.76</v>
      </c>
      <c r="D1803" s="9">
        <v>421.58</v>
      </c>
      <c r="E1803" s="9">
        <f t="shared" si="85"/>
        <v>-1.4622863194277953E-2</v>
      </c>
      <c r="F1803" s="9">
        <f t="shared" si="83"/>
        <v>4.0122490665209447E-2</v>
      </c>
      <c r="G1803" s="9">
        <f t="shared" si="84"/>
        <v>1.5390497748431339E-2</v>
      </c>
    </row>
    <row r="1804" spans="1:7" x14ac:dyDescent="0.2">
      <c r="A1804" s="12">
        <v>39517</v>
      </c>
      <c r="B1804" s="9">
        <v>421.38</v>
      </c>
      <c r="C1804" s="9">
        <v>410.39</v>
      </c>
      <c r="D1804" s="9">
        <v>411.65</v>
      </c>
      <c r="E1804" s="9">
        <f t="shared" si="85"/>
        <v>-2.3836084027313565E-2</v>
      </c>
      <c r="F1804" s="9">
        <f t="shared" si="83"/>
        <v>2.9959708538105524E-2</v>
      </c>
      <c r="G1804" s="9">
        <f t="shared" si="84"/>
        <v>1.5837641683052635E-2</v>
      </c>
    </row>
    <row r="1805" spans="1:7" x14ac:dyDescent="0.2">
      <c r="A1805" s="12">
        <v>39518</v>
      </c>
      <c r="B1805" s="9">
        <v>417.35</v>
      </c>
      <c r="C1805" s="9">
        <v>407.11</v>
      </c>
      <c r="D1805" s="9">
        <v>412.93</v>
      </c>
      <c r="E1805" s="9">
        <f t="shared" si="85"/>
        <v>3.1046133258622838E-3</v>
      </c>
      <c r="F1805" s="9">
        <f t="shared" si="83"/>
        <v>9.6851878893141116E-3</v>
      </c>
      <c r="G1805" s="9">
        <f t="shared" si="84"/>
        <v>1.5272178170283649E-2</v>
      </c>
    </row>
    <row r="1806" spans="1:7" x14ac:dyDescent="0.2">
      <c r="A1806" s="12">
        <v>39519</v>
      </c>
      <c r="B1806" s="9">
        <v>419.64</v>
      </c>
      <c r="C1806" s="9">
        <v>413.45</v>
      </c>
      <c r="D1806" s="9">
        <v>416.59</v>
      </c>
      <c r="E1806" s="9">
        <f t="shared" si="85"/>
        <v>8.824437627863101E-3</v>
      </c>
      <c r="F1806" s="9">
        <f t="shared" si="83"/>
        <v>1.0060277126040136E-2</v>
      </c>
      <c r="G1806" s="9">
        <f t="shared" si="84"/>
        <v>1.527921248427405E-2</v>
      </c>
    </row>
    <row r="1807" spans="1:7" x14ac:dyDescent="0.2">
      <c r="A1807" s="12">
        <v>39520</v>
      </c>
      <c r="B1807" s="9">
        <v>415.87</v>
      </c>
      <c r="C1807" s="9">
        <v>405.35</v>
      </c>
      <c r="D1807" s="9">
        <v>413.62</v>
      </c>
      <c r="E1807" s="9">
        <f t="shared" si="85"/>
        <v>-7.1548467736300119E-3</v>
      </c>
      <c r="F1807" s="9">
        <f t="shared" si="83"/>
        <v>1.4097257016710968E-2</v>
      </c>
      <c r="G1807" s="9">
        <f t="shared" si="84"/>
        <v>1.519171706677034E-2</v>
      </c>
    </row>
    <row r="1808" spans="1:7" x14ac:dyDescent="0.2">
      <c r="A1808" s="12">
        <v>39521</v>
      </c>
      <c r="B1808" s="9">
        <v>420.11</v>
      </c>
      <c r="C1808" s="9">
        <v>410.19</v>
      </c>
      <c r="D1808" s="9">
        <v>411.78</v>
      </c>
      <c r="E1808" s="9">
        <f t="shared" si="85"/>
        <v>-4.4584517759320846E-3</v>
      </c>
      <c r="F1808" s="9">
        <f t="shared" si="83"/>
        <v>-1.218923866771175E-2</v>
      </c>
      <c r="G1808" s="9">
        <f t="shared" si="84"/>
        <v>1.4666341814341285E-2</v>
      </c>
    </row>
    <row r="1809" spans="1:7" x14ac:dyDescent="0.2">
      <c r="A1809" s="12">
        <v>39525</v>
      </c>
      <c r="B1809" s="9">
        <v>412.18</v>
      </c>
      <c r="C1809" s="9">
        <v>400.98</v>
      </c>
      <c r="D1809" s="9">
        <v>412.11</v>
      </c>
      <c r="E1809" s="9">
        <f t="shared" si="85"/>
        <v>8.0107785662530831E-4</v>
      </c>
      <c r="F1809" s="9">
        <f t="shared" si="83"/>
        <v>-3.3571488232550052E-2</v>
      </c>
      <c r="G1809" s="9">
        <f t="shared" si="84"/>
        <v>1.4036739991877094E-2</v>
      </c>
    </row>
    <row r="1810" spans="1:7" x14ac:dyDescent="0.2">
      <c r="A1810" s="12">
        <v>39526</v>
      </c>
      <c r="B1810" s="9">
        <v>415.65</v>
      </c>
      <c r="C1810" s="9">
        <v>404.68</v>
      </c>
      <c r="D1810" s="9">
        <v>405.02</v>
      </c>
      <c r="E1810" s="9">
        <f t="shared" si="85"/>
        <v>-1.7353855401921216E-2</v>
      </c>
      <c r="F1810" s="9">
        <f t="shared" si="83"/>
        <v>-2.5209165472368272E-2</v>
      </c>
      <c r="G1810" s="9">
        <f t="shared" si="84"/>
        <v>1.3607922713064737E-2</v>
      </c>
    </row>
    <row r="1811" spans="1:7" x14ac:dyDescent="0.2">
      <c r="A1811" s="12">
        <v>39532</v>
      </c>
      <c r="B1811" s="9">
        <v>417.6</v>
      </c>
      <c r="C1811" s="9">
        <v>406.06</v>
      </c>
      <c r="D1811" s="9">
        <v>417.26</v>
      </c>
      <c r="E1811" s="9">
        <f t="shared" si="85"/>
        <v>2.9773080098425671E-2</v>
      </c>
      <c r="F1811" s="9">
        <f t="shared" si="83"/>
        <v>6.9261014693915643E-3</v>
      </c>
      <c r="G1811" s="9">
        <f t="shared" si="84"/>
        <v>1.4704599326987857E-2</v>
      </c>
    </row>
    <row r="1812" spans="1:7" x14ac:dyDescent="0.2">
      <c r="A1812" s="12">
        <v>39533</v>
      </c>
      <c r="B1812" s="9">
        <v>419.2</v>
      </c>
      <c r="C1812" s="9">
        <v>415.48</v>
      </c>
      <c r="D1812" s="9">
        <v>418.96</v>
      </c>
      <c r="E1812" s="9">
        <f t="shared" si="85"/>
        <v>4.0659212695041648E-3</v>
      </c>
      <c r="F1812" s="9">
        <f t="shared" si="83"/>
        <v>2.2765289288236183E-2</v>
      </c>
      <c r="G1812" s="9">
        <f t="shared" si="84"/>
        <v>1.4542183182495659E-2</v>
      </c>
    </row>
    <row r="1813" spans="1:7" x14ac:dyDescent="0.2">
      <c r="A1813" s="12">
        <v>39534</v>
      </c>
      <c r="B1813" s="9">
        <v>424.76</v>
      </c>
      <c r="C1813" s="9">
        <v>417.78</v>
      </c>
      <c r="D1813" s="9">
        <v>424.68</v>
      </c>
      <c r="E1813" s="9">
        <f t="shared" si="85"/>
        <v>1.3560494174140252E-2</v>
      </c>
      <c r="F1813" s="9">
        <f t="shared" si="83"/>
        <v>4.0264867398472001E-2</v>
      </c>
      <c r="G1813" s="9">
        <f t="shared" si="84"/>
        <v>1.4697386085531217E-2</v>
      </c>
    </row>
    <row r="1814" spans="1:7" x14ac:dyDescent="0.2">
      <c r="A1814" s="12">
        <v>39535</v>
      </c>
      <c r="B1814" s="9">
        <v>427.77</v>
      </c>
      <c r="C1814" s="9">
        <v>423.32</v>
      </c>
      <c r="D1814" s="9">
        <v>427.34</v>
      </c>
      <c r="E1814" s="9">
        <f t="shared" si="85"/>
        <v>6.2440051694698101E-3</v>
      </c>
      <c r="F1814" s="9">
        <f t="shared" si="83"/>
        <v>4.066697775327266E-2</v>
      </c>
      <c r="G1814" s="9">
        <f t="shared" si="84"/>
        <v>1.4701813934255086E-2</v>
      </c>
    </row>
    <row r="1815" spans="1:7" x14ac:dyDescent="0.2">
      <c r="A1815" s="12">
        <v>39538</v>
      </c>
      <c r="B1815" s="9">
        <v>428.1</v>
      </c>
      <c r="C1815" s="9">
        <v>419.93</v>
      </c>
      <c r="D1815" s="9">
        <v>428.1</v>
      </c>
      <c r="E1815" s="9">
        <f t="shared" si="85"/>
        <v>1.7768638360583522E-3</v>
      </c>
      <c r="F1815" s="9">
        <f t="shared" si="83"/>
        <v>2.5259626116657702E-3</v>
      </c>
      <c r="G1815" s="9">
        <f t="shared" si="84"/>
        <v>1.2774963290585322E-2</v>
      </c>
    </row>
    <row r="1816" spans="1:7" x14ac:dyDescent="0.2">
      <c r="A1816" s="12">
        <v>39539</v>
      </c>
      <c r="B1816" s="9">
        <v>435.01</v>
      </c>
      <c r="C1816" s="9">
        <v>426.67</v>
      </c>
      <c r="D1816" s="9">
        <v>435.01</v>
      </c>
      <c r="E1816" s="9">
        <f t="shared" si="85"/>
        <v>1.6012206179298969E-2</v>
      </c>
      <c r="F1816" s="9">
        <f t="shared" si="83"/>
        <v>1.305000125399287E-2</v>
      </c>
      <c r="G1816" s="9">
        <f t="shared" si="84"/>
        <v>1.3069571954083032E-2</v>
      </c>
    </row>
    <row r="1817" spans="1:7" x14ac:dyDescent="0.2">
      <c r="A1817" s="12">
        <v>39540</v>
      </c>
      <c r="B1817" s="9">
        <v>439.25</v>
      </c>
      <c r="C1817" s="9">
        <v>433.23</v>
      </c>
      <c r="D1817" s="9">
        <v>435.72</v>
      </c>
      <c r="E1817" s="9">
        <f t="shared" si="85"/>
        <v>1.6308158840451466E-3</v>
      </c>
      <c r="F1817" s="9">
        <f t="shared" si="83"/>
        <v>7.5331224617238594E-3</v>
      </c>
      <c r="G1817" s="9">
        <f t="shared" si="84"/>
        <v>1.3010543198628138E-2</v>
      </c>
    </row>
    <row r="1818" spans="1:7" x14ac:dyDescent="0.2">
      <c r="A1818" s="12">
        <v>39541</v>
      </c>
      <c r="B1818" s="9">
        <v>437.64</v>
      </c>
      <c r="C1818" s="9">
        <v>428.59</v>
      </c>
      <c r="D1818" s="9">
        <v>429</v>
      </c>
      <c r="E1818" s="9">
        <f t="shared" si="85"/>
        <v>-1.5542916286227839E-2</v>
      </c>
      <c r="F1818" s="9">
        <f t="shared" si="83"/>
        <v>1.1794220916273381E-2</v>
      </c>
      <c r="G1818" s="9">
        <f t="shared" si="84"/>
        <v>1.2805697616312046E-2</v>
      </c>
    </row>
    <row r="1819" spans="1:7" x14ac:dyDescent="0.2">
      <c r="A1819" s="12">
        <v>39542</v>
      </c>
      <c r="B1819" s="9">
        <v>430.73</v>
      </c>
      <c r="C1819" s="9">
        <v>426.64</v>
      </c>
      <c r="D1819" s="9">
        <v>430.66</v>
      </c>
      <c r="E1819" s="9">
        <f t="shared" si="85"/>
        <v>3.8619967504449682E-3</v>
      </c>
      <c r="F1819" s="9">
        <f t="shared" si="83"/>
        <v>-1.2299125527881179E-3</v>
      </c>
      <c r="G1819" s="9">
        <f t="shared" si="84"/>
        <v>1.2442905252124362E-2</v>
      </c>
    </row>
    <row r="1820" spans="1:7" x14ac:dyDescent="0.2">
      <c r="A1820" s="12">
        <v>39545</v>
      </c>
      <c r="B1820" s="9">
        <v>438.99</v>
      </c>
      <c r="C1820" s="9">
        <v>431.02</v>
      </c>
      <c r="D1820" s="9">
        <v>438.43</v>
      </c>
      <c r="E1820" s="9">
        <f t="shared" si="85"/>
        <v>1.7881248271007417E-2</v>
      </c>
      <c r="F1820" s="9">
        <f t="shared" si="83"/>
        <v>4.0453037144989505E-3</v>
      </c>
      <c r="G1820" s="9">
        <f t="shared" si="84"/>
        <v>1.2663118833609098E-2</v>
      </c>
    </row>
    <row r="1821" spans="1:7" x14ac:dyDescent="0.2">
      <c r="A1821" s="12">
        <v>39546</v>
      </c>
      <c r="B1821" s="9">
        <v>438.12</v>
      </c>
      <c r="C1821" s="9">
        <v>433.06</v>
      </c>
      <c r="D1821" s="9">
        <v>436.86</v>
      </c>
      <c r="E1821" s="9">
        <f t="shared" si="85"/>
        <v>-3.5873863147948106E-3</v>
      </c>
      <c r="F1821" s="9">
        <f t="shared" si="83"/>
        <v>1.8528888646635874E-2</v>
      </c>
      <c r="G1821" s="9">
        <f t="shared" si="84"/>
        <v>1.2213183394564397E-2</v>
      </c>
    </row>
    <row r="1822" spans="1:7" x14ac:dyDescent="0.2">
      <c r="A1822" s="12">
        <v>39547</v>
      </c>
      <c r="B1822" s="9">
        <v>437.04</v>
      </c>
      <c r="C1822" s="9">
        <v>430.38</v>
      </c>
      <c r="D1822" s="9">
        <v>431.27</v>
      </c>
      <c r="E1822" s="9">
        <f t="shared" si="85"/>
        <v>-1.2878433552882131E-2</v>
      </c>
      <c r="F1822" s="9">
        <f t="shared" si="83"/>
        <v>-5.1343838219826757E-3</v>
      </c>
      <c r="G1822" s="9">
        <f t="shared" si="84"/>
        <v>1.229774323446098E-2</v>
      </c>
    </row>
    <row r="1823" spans="1:7" x14ac:dyDescent="0.2">
      <c r="A1823" s="12">
        <v>39548</v>
      </c>
      <c r="B1823" s="9">
        <v>431.07</v>
      </c>
      <c r="C1823" s="9">
        <v>424.02</v>
      </c>
      <c r="D1823" s="9">
        <v>429.24</v>
      </c>
      <c r="E1823" s="9">
        <f t="shared" si="85"/>
        <v>-4.7181410228659118E-3</v>
      </c>
      <c r="F1823" s="9">
        <f t="shared" si="83"/>
        <v>-5.9926316888411386E-3</v>
      </c>
      <c r="G1823" s="9">
        <f t="shared" si="84"/>
        <v>1.2307614584587104E-2</v>
      </c>
    </row>
    <row r="1824" spans="1:7" x14ac:dyDescent="0.2">
      <c r="A1824" s="12">
        <v>39549</v>
      </c>
      <c r="B1824" s="9">
        <v>434.08</v>
      </c>
      <c r="C1824" s="9">
        <v>419.16</v>
      </c>
      <c r="D1824" s="9">
        <v>421.43</v>
      </c>
      <c r="E1824" s="9">
        <f t="shared" si="85"/>
        <v>-1.8362512955611435E-2</v>
      </c>
      <c r="F1824" s="9">
        <f t="shared" si="83"/>
        <v>-4.4143241452489448E-2</v>
      </c>
      <c r="G1824" s="9">
        <f t="shared" si="84"/>
        <v>1.2140982030336657E-2</v>
      </c>
    </row>
    <row r="1825" spans="1:7" x14ac:dyDescent="0.2">
      <c r="A1825" s="12">
        <v>39552</v>
      </c>
      <c r="B1825" s="9">
        <v>420.71</v>
      </c>
      <c r="C1825" s="9">
        <v>414.99</v>
      </c>
      <c r="D1825" s="9">
        <v>418.11</v>
      </c>
      <c r="E1825" s="9">
        <f t="shared" si="85"/>
        <v>-7.9091343037872731E-3</v>
      </c>
      <c r="F1825" s="9">
        <f t="shared" ref="F1825:F1888" si="86">LN(D1825/D1795)</f>
        <v>-5.3912377199833314E-2</v>
      </c>
      <c r="G1825" s="9">
        <f t="shared" si="84"/>
        <v>1.2179496724762158E-2</v>
      </c>
    </row>
    <row r="1826" spans="1:7" x14ac:dyDescent="0.2">
      <c r="A1826" s="12">
        <v>39553</v>
      </c>
      <c r="B1826" s="9">
        <v>423.67</v>
      </c>
      <c r="C1826" s="9">
        <v>418.32</v>
      </c>
      <c r="D1826" s="9">
        <v>422.18</v>
      </c>
      <c r="E1826" s="9">
        <f t="shared" si="85"/>
        <v>9.6872075783964364E-3</v>
      </c>
      <c r="F1826" s="9">
        <f t="shared" si="86"/>
        <v>-4.261488157630168E-2</v>
      </c>
      <c r="G1826" s="9">
        <f t="shared" si="84"/>
        <v>1.2358807524568695E-2</v>
      </c>
    </row>
    <row r="1827" spans="1:7" x14ac:dyDescent="0.2">
      <c r="A1827" s="12">
        <v>39554</v>
      </c>
      <c r="B1827" s="9">
        <v>428.64</v>
      </c>
      <c r="C1827" s="9">
        <v>421.75</v>
      </c>
      <c r="D1827" s="9">
        <v>428.58</v>
      </c>
      <c r="E1827" s="9">
        <f t="shared" si="85"/>
        <v>1.5045655017011637E-2</v>
      </c>
      <c r="F1827" s="9">
        <f t="shared" si="86"/>
        <v>-2.0850684371295565E-2</v>
      </c>
      <c r="G1827" s="9">
        <f t="shared" si="84"/>
        <v>1.2671906308127426E-2</v>
      </c>
    </row>
    <row r="1828" spans="1:7" x14ac:dyDescent="0.2">
      <c r="A1828" s="12">
        <v>39555</v>
      </c>
      <c r="B1828" s="9">
        <v>431.26</v>
      </c>
      <c r="C1828" s="9">
        <v>422.77</v>
      </c>
      <c r="D1828" s="9">
        <v>425.62</v>
      </c>
      <c r="E1828" s="9">
        <f t="shared" si="85"/>
        <v>-6.9304889904104362E-3</v>
      </c>
      <c r="F1828" s="9">
        <f t="shared" si="86"/>
        <v>-1.3117850266391564E-2</v>
      </c>
      <c r="G1828" s="9">
        <f t="shared" si="84"/>
        <v>1.2454764323868495E-2</v>
      </c>
    </row>
    <row r="1829" spans="1:7" x14ac:dyDescent="0.2">
      <c r="A1829" s="12">
        <v>39559</v>
      </c>
      <c r="B1829" s="9">
        <v>431.58</v>
      </c>
      <c r="C1829" s="9">
        <v>419.55</v>
      </c>
      <c r="D1829" s="9">
        <v>420.14</v>
      </c>
      <c r="E1829" s="9">
        <f t="shared" si="85"/>
        <v>-1.2958940336991248E-2</v>
      </c>
      <c r="F1829" s="9">
        <f t="shared" si="86"/>
        <v>-1.7202543211924212E-2</v>
      </c>
      <c r="G1829" s="9">
        <f t="shared" si="84"/>
        <v>1.257195432074598E-2</v>
      </c>
    </row>
    <row r="1830" spans="1:7" x14ac:dyDescent="0.2">
      <c r="A1830" s="12">
        <v>39560</v>
      </c>
      <c r="B1830" s="9">
        <v>421.29</v>
      </c>
      <c r="C1830" s="9">
        <v>416.88</v>
      </c>
      <c r="D1830" s="9">
        <v>418</v>
      </c>
      <c r="E1830" s="9">
        <f t="shared" si="85"/>
        <v>-5.1065565427779631E-3</v>
      </c>
      <c r="F1830" s="9">
        <f t="shared" si="86"/>
        <v>-1.5407015823141626E-2</v>
      </c>
      <c r="G1830" s="9">
        <f t="shared" si="84"/>
        <v>1.2545031846485212E-2</v>
      </c>
    </row>
    <row r="1831" spans="1:7" x14ac:dyDescent="0.2">
      <c r="A1831" s="12">
        <v>39561</v>
      </c>
      <c r="B1831" s="9">
        <v>421.14</v>
      </c>
      <c r="C1831" s="9">
        <v>414.49</v>
      </c>
      <c r="D1831" s="9">
        <v>420.3</v>
      </c>
      <c r="E1831" s="9">
        <f t="shared" si="85"/>
        <v>5.4873094863147637E-3</v>
      </c>
      <c r="F1831" s="9">
        <f t="shared" si="86"/>
        <v>-2.3072247915215199E-2</v>
      </c>
      <c r="G1831" s="9">
        <f t="shared" ref="G1831:G1894" si="87">STDEV(E1802:E1831)</f>
        <v>1.2333367080462523E-2</v>
      </c>
    </row>
    <row r="1832" spans="1:7" x14ac:dyDescent="0.2">
      <c r="A1832" s="12">
        <v>39562</v>
      </c>
      <c r="B1832" s="9">
        <v>424.65</v>
      </c>
      <c r="C1832" s="9">
        <v>419.14</v>
      </c>
      <c r="D1832" s="9">
        <v>422.62</v>
      </c>
      <c r="E1832" s="9">
        <f t="shared" si="85"/>
        <v>5.5046881277101408E-3</v>
      </c>
      <c r="F1832" s="9">
        <f t="shared" si="86"/>
        <v>-1.2158990827245329E-2</v>
      </c>
      <c r="G1832" s="9">
        <f t="shared" si="87"/>
        <v>1.235273470781017E-2</v>
      </c>
    </row>
    <row r="1833" spans="1:7" x14ac:dyDescent="0.2">
      <c r="A1833" s="12">
        <v>39563</v>
      </c>
      <c r="B1833" s="9">
        <v>430.04</v>
      </c>
      <c r="C1833" s="9">
        <v>423.13</v>
      </c>
      <c r="D1833" s="9">
        <v>429.84</v>
      </c>
      <c r="E1833" s="9">
        <f t="shared" si="85"/>
        <v>1.6939616281784767E-2</v>
      </c>
      <c r="F1833" s="9">
        <f t="shared" si="86"/>
        <v>1.9403488648817399E-2</v>
      </c>
      <c r="G1833" s="9">
        <f t="shared" si="87"/>
        <v>1.2443821690106634E-2</v>
      </c>
    </row>
    <row r="1834" spans="1:7" x14ac:dyDescent="0.2">
      <c r="A1834" s="12">
        <v>39566</v>
      </c>
      <c r="B1834" s="9">
        <v>432.16</v>
      </c>
      <c r="C1834" s="9">
        <v>425.54</v>
      </c>
      <c r="D1834" s="9">
        <v>425.65</v>
      </c>
      <c r="E1834" s="9">
        <f t="shared" si="85"/>
        <v>-9.7956340904999453E-3</v>
      </c>
      <c r="F1834" s="9">
        <f t="shared" si="86"/>
        <v>3.3443938585631099E-2</v>
      </c>
      <c r="G1834" s="9">
        <f t="shared" si="87"/>
        <v>1.1735114424800809E-2</v>
      </c>
    </row>
    <row r="1835" spans="1:7" x14ac:dyDescent="0.2">
      <c r="A1835" s="12">
        <v>39567</v>
      </c>
      <c r="B1835" s="9">
        <v>425.34</v>
      </c>
      <c r="C1835" s="9">
        <v>420.62</v>
      </c>
      <c r="D1835" s="9">
        <v>420.64</v>
      </c>
      <c r="E1835" s="9">
        <f t="shared" si="85"/>
        <v>-1.1840051348494942E-2</v>
      </c>
      <c r="F1835" s="9">
        <f t="shared" si="86"/>
        <v>1.8499273911273768E-2</v>
      </c>
      <c r="G1835" s="9">
        <f t="shared" si="87"/>
        <v>1.1962727163977109E-2</v>
      </c>
    </row>
    <row r="1836" spans="1:7" x14ac:dyDescent="0.2">
      <c r="A1836" s="12">
        <v>39568</v>
      </c>
      <c r="B1836" s="9">
        <v>427.19</v>
      </c>
      <c r="C1836" s="9">
        <v>420.43</v>
      </c>
      <c r="D1836" s="9">
        <v>427</v>
      </c>
      <c r="E1836" s="9">
        <f t="shared" si="85"/>
        <v>1.5006652247053533E-2</v>
      </c>
      <c r="F1836" s="9">
        <f t="shared" si="86"/>
        <v>2.4681488530464382E-2</v>
      </c>
      <c r="G1836" s="9">
        <f t="shared" si="87"/>
        <v>1.2160604684254081E-2</v>
      </c>
    </row>
    <row r="1837" spans="1:7" x14ac:dyDescent="0.2">
      <c r="A1837" s="12">
        <v>39570</v>
      </c>
      <c r="B1837" s="9">
        <v>434.16</v>
      </c>
      <c r="C1837" s="9">
        <v>427.93</v>
      </c>
      <c r="D1837" s="9">
        <v>431.03</v>
      </c>
      <c r="E1837" s="9">
        <f t="shared" si="85"/>
        <v>9.3936800212135706E-3</v>
      </c>
      <c r="F1837" s="9">
        <f t="shared" si="86"/>
        <v>4.1230015325307803E-2</v>
      </c>
      <c r="G1837" s="9">
        <f t="shared" si="87"/>
        <v>1.2161584985433417E-2</v>
      </c>
    </row>
    <row r="1838" spans="1:7" x14ac:dyDescent="0.2">
      <c r="A1838" s="12">
        <v>39573</v>
      </c>
      <c r="B1838" s="9">
        <v>434.4</v>
      </c>
      <c r="C1838" s="9">
        <v>430.72</v>
      </c>
      <c r="D1838" s="9">
        <v>433.94</v>
      </c>
      <c r="E1838" s="9">
        <f t="shared" si="85"/>
        <v>6.7285824453876498E-3</v>
      </c>
      <c r="F1838" s="9">
        <f t="shared" si="86"/>
        <v>5.2417049546627584E-2</v>
      </c>
      <c r="G1838" s="9">
        <f t="shared" si="87"/>
        <v>1.2148073869677057E-2</v>
      </c>
    </row>
    <row r="1839" spans="1:7" x14ac:dyDescent="0.2">
      <c r="A1839" s="12">
        <v>39574</v>
      </c>
      <c r="B1839" s="9">
        <v>434.67</v>
      </c>
      <c r="C1839" s="9">
        <v>429.67</v>
      </c>
      <c r="D1839" s="9">
        <v>431.16</v>
      </c>
      <c r="E1839" s="9">
        <f t="shared" si="85"/>
        <v>-6.4270247817980039E-3</v>
      </c>
      <c r="F1839" s="9">
        <f t="shared" si="86"/>
        <v>4.5188946908204179E-2</v>
      </c>
      <c r="G1839" s="9">
        <f t="shared" si="87"/>
        <v>1.2238826089442535E-2</v>
      </c>
    </row>
    <row r="1840" spans="1:7" x14ac:dyDescent="0.2">
      <c r="A1840" s="12">
        <v>39575</v>
      </c>
      <c r="B1840" s="9">
        <v>433.22</v>
      </c>
      <c r="C1840" s="9">
        <v>428.53</v>
      </c>
      <c r="D1840" s="9">
        <v>431.49</v>
      </c>
      <c r="E1840" s="9">
        <f t="shared" si="85"/>
        <v>7.6508437047992058E-4</v>
      </c>
      <c r="F1840" s="9">
        <f t="shared" si="86"/>
        <v>6.3307886680605191E-2</v>
      </c>
      <c r="G1840" s="9">
        <f t="shared" si="87"/>
        <v>1.1711735730858246E-2</v>
      </c>
    </row>
    <row r="1841" spans="1:7" x14ac:dyDescent="0.2">
      <c r="A1841" s="12">
        <v>39576</v>
      </c>
      <c r="B1841" s="9">
        <v>438.51</v>
      </c>
      <c r="C1841" s="9">
        <v>428.26</v>
      </c>
      <c r="D1841" s="9">
        <v>437.3</v>
      </c>
      <c r="E1841" s="9">
        <f t="shared" si="85"/>
        <v>1.3375123134967309E-2</v>
      </c>
      <c r="F1841" s="9">
        <f t="shared" si="86"/>
        <v>4.6909929717146949E-2</v>
      </c>
      <c r="G1841" s="9">
        <f t="shared" si="87"/>
        <v>1.0716536338460116E-2</v>
      </c>
    </row>
    <row r="1842" spans="1:7" x14ac:dyDescent="0.2">
      <c r="A1842" s="12">
        <v>39577</v>
      </c>
      <c r="B1842" s="9">
        <v>437.71</v>
      </c>
      <c r="C1842" s="9">
        <v>432.5</v>
      </c>
      <c r="D1842" s="9">
        <v>435.13</v>
      </c>
      <c r="E1842" s="9">
        <f t="shared" si="85"/>
        <v>-4.9746214024162993E-3</v>
      </c>
      <c r="F1842" s="9">
        <f t="shared" si="86"/>
        <v>3.7869387045226514E-2</v>
      </c>
      <c r="G1842" s="9">
        <f t="shared" si="87"/>
        <v>1.0770720034420804E-2</v>
      </c>
    </row>
    <row r="1843" spans="1:7" x14ac:dyDescent="0.2">
      <c r="A1843" s="12">
        <v>39581</v>
      </c>
      <c r="B1843" s="9">
        <v>441.31</v>
      </c>
      <c r="C1843" s="9">
        <v>434.21</v>
      </c>
      <c r="D1843" s="9">
        <v>440.44</v>
      </c>
      <c r="E1843" s="9">
        <f t="shared" si="85"/>
        <v>1.2129390228931612E-2</v>
      </c>
      <c r="F1843" s="9">
        <f t="shared" si="86"/>
        <v>3.6438283100018017E-2</v>
      </c>
      <c r="G1843" s="9">
        <f t="shared" si="87"/>
        <v>1.0717410472982226E-2</v>
      </c>
    </row>
    <row r="1844" spans="1:7" x14ac:dyDescent="0.2">
      <c r="A1844" s="12">
        <v>39582</v>
      </c>
      <c r="B1844" s="9">
        <v>445.34</v>
      </c>
      <c r="C1844" s="9">
        <v>439.21</v>
      </c>
      <c r="D1844" s="9">
        <v>444.41</v>
      </c>
      <c r="E1844" s="9">
        <f t="shared" si="85"/>
        <v>8.9733325171377672E-3</v>
      </c>
      <c r="F1844" s="9">
        <f t="shared" si="86"/>
        <v>3.9167610447686123E-2</v>
      </c>
      <c r="G1844" s="9">
        <f t="shared" si="87"/>
        <v>1.0773016074585771E-2</v>
      </c>
    </row>
    <row r="1845" spans="1:7" x14ac:dyDescent="0.2">
      <c r="A1845" s="12">
        <v>39583</v>
      </c>
      <c r="B1845" s="9">
        <v>457.9</v>
      </c>
      <c r="C1845" s="9">
        <v>442.67</v>
      </c>
      <c r="D1845" s="9">
        <v>457.66</v>
      </c>
      <c r="E1845" s="9">
        <f t="shared" si="85"/>
        <v>2.937899058884964E-2</v>
      </c>
      <c r="F1845" s="9">
        <f t="shared" si="86"/>
        <v>6.6769737200477519E-2</v>
      </c>
      <c r="G1845" s="9">
        <f t="shared" si="87"/>
        <v>1.1931090012871095E-2</v>
      </c>
    </row>
    <row r="1846" spans="1:7" x14ac:dyDescent="0.2">
      <c r="A1846" s="12">
        <v>39584</v>
      </c>
      <c r="B1846" s="9">
        <v>466.29</v>
      </c>
      <c r="C1846" s="9">
        <v>457.32</v>
      </c>
      <c r="D1846" s="9">
        <v>463.65</v>
      </c>
      <c r="E1846" s="9">
        <f t="shared" si="85"/>
        <v>1.3003406894857059E-2</v>
      </c>
      <c r="F1846" s="9">
        <f t="shared" si="86"/>
        <v>6.3760937916035362E-2</v>
      </c>
      <c r="G1846" s="9">
        <f t="shared" si="87"/>
        <v>1.1823363130133274E-2</v>
      </c>
    </row>
    <row r="1847" spans="1:7" x14ac:dyDescent="0.2">
      <c r="A1847" s="12">
        <v>39587</v>
      </c>
      <c r="B1847" s="9">
        <v>469.91</v>
      </c>
      <c r="C1847" s="9">
        <v>463.55</v>
      </c>
      <c r="D1847" s="9">
        <v>468.66</v>
      </c>
      <c r="E1847" s="9">
        <f t="shared" si="85"/>
        <v>1.0747601604025952E-2</v>
      </c>
      <c r="F1847" s="9">
        <f t="shared" si="86"/>
        <v>7.2877723636016301E-2</v>
      </c>
      <c r="G1847" s="9">
        <f t="shared" si="87"/>
        <v>1.1926923212245031E-2</v>
      </c>
    </row>
    <row r="1848" spans="1:7" x14ac:dyDescent="0.2">
      <c r="A1848" s="12">
        <v>39588</v>
      </c>
      <c r="B1848" s="9">
        <v>468.25</v>
      </c>
      <c r="C1848" s="9">
        <v>459.17</v>
      </c>
      <c r="D1848" s="9">
        <v>459.96</v>
      </c>
      <c r="E1848" s="9">
        <f t="shared" si="85"/>
        <v>-1.8738029669797041E-2</v>
      </c>
      <c r="F1848" s="9">
        <f t="shared" si="86"/>
        <v>6.9682610252446972E-2</v>
      </c>
      <c r="G1848" s="9">
        <f t="shared" si="87"/>
        <v>1.2105866553890454E-2</v>
      </c>
    </row>
    <row r="1849" spans="1:7" x14ac:dyDescent="0.2">
      <c r="A1849" s="12">
        <v>39589</v>
      </c>
      <c r="B1849" s="9">
        <v>461.39</v>
      </c>
      <c r="C1849" s="9">
        <v>455.71</v>
      </c>
      <c r="D1849" s="9">
        <v>458.96</v>
      </c>
      <c r="E1849" s="9">
        <f t="shared" si="85"/>
        <v>-2.1764688868484514E-3</v>
      </c>
      <c r="F1849" s="9">
        <f t="shared" si="86"/>
        <v>6.3644144615153567E-2</v>
      </c>
      <c r="G1849" s="9">
        <f t="shared" si="87"/>
        <v>1.2129568381380719E-2</v>
      </c>
    </row>
    <row r="1850" spans="1:7" x14ac:dyDescent="0.2">
      <c r="A1850" s="12">
        <v>39590</v>
      </c>
      <c r="B1850" s="9">
        <v>458.66</v>
      </c>
      <c r="C1850" s="9">
        <v>451.56</v>
      </c>
      <c r="D1850" s="9">
        <v>452.99</v>
      </c>
      <c r="E1850" s="9">
        <f t="shared" si="85"/>
        <v>-1.3093010109426786E-2</v>
      </c>
      <c r="F1850" s="9">
        <f t="shared" si="86"/>
        <v>3.2669886234719205E-2</v>
      </c>
      <c r="G1850" s="9">
        <f t="shared" si="87"/>
        <v>1.205990246192346E-2</v>
      </c>
    </row>
    <row r="1851" spans="1:7" x14ac:dyDescent="0.2">
      <c r="A1851" s="12">
        <v>39591</v>
      </c>
      <c r="B1851" s="9">
        <v>454.23</v>
      </c>
      <c r="C1851" s="9">
        <v>450.77</v>
      </c>
      <c r="D1851" s="9">
        <v>452.31</v>
      </c>
      <c r="E1851" s="9">
        <f t="shared" si="85"/>
        <v>-1.502264725251924E-3</v>
      </c>
      <c r="F1851" s="9">
        <f t="shared" si="86"/>
        <v>3.4755007824262107E-2</v>
      </c>
      <c r="G1851" s="9">
        <f t="shared" si="87"/>
        <v>1.2038010675479953E-2</v>
      </c>
    </row>
    <row r="1852" spans="1:7" x14ac:dyDescent="0.2">
      <c r="A1852" s="12">
        <v>39594</v>
      </c>
      <c r="B1852" s="9">
        <v>453.83</v>
      </c>
      <c r="C1852" s="9">
        <v>449.75</v>
      </c>
      <c r="D1852" s="9">
        <v>450.15</v>
      </c>
      <c r="E1852" s="9">
        <f t="shared" si="85"/>
        <v>-4.7869249044511057E-3</v>
      </c>
      <c r="F1852" s="9">
        <f t="shared" si="86"/>
        <v>4.284651647269317E-2</v>
      </c>
      <c r="G1852" s="9">
        <f t="shared" si="87"/>
        <v>1.1800975240380726E-2</v>
      </c>
    </row>
    <row r="1853" spans="1:7" x14ac:dyDescent="0.2">
      <c r="A1853" s="12">
        <v>39595</v>
      </c>
      <c r="B1853" s="9">
        <v>453.86</v>
      </c>
      <c r="C1853" s="9">
        <v>446.31</v>
      </c>
      <c r="D1853" s="9">
        <v>448.63</v>
      </c>
      <c r="E1853" s="9">
        <f t="shared" si="85"/>
        <v>-3.3823659830370255E-3</v>
      </c>
      <c r="F1853" s="9">
        <f t="shared" si="86"/>
        <v>4.4182291512522003E-2</v>
      </c>
      <c r="G1853" s="9">
        <f t="shared" si="87"/>
        <v>1.1779485377077584E-2</v>
      </c>
    </row>
    <row r="1854" spans="1:7" x14ac:dyDescent="0.2">
      <c r="A1854" s="12">
        <v>39596</v>
      </c>
      <c r="B1854" s="9">
        <v>453.65</v>
      </c>
      <c r="C1854" s="9">
        <v>447.85</v>
      </c>
      <c r="D1854" s="9">
        <v>451.02</v>
      </c>
      <c r="E1854" s="9">
        <f t="shared" si="85"/>
        <v>5.3131898459837399E-3</v>
      </c>
      <c r="F1854" s="9">
        <f t="shared" si="86"/>
        <v>6.7857994314117265E-2</v>
      </c>
      <c r="G1854" s="9">
        <f t="shared" si="87"/>
        <v>1.1182743814458745E-2</v>
      </c>
    </row>
    <row r="1855" spans="1:7" x14ac:dyDescent="0.2">
      <c r="A1855" s="12">
        <v>39597</v>
      </c>
      <c r="B1855" s="9">
        <v>454.67</v>
      </c>
      <c r="C1855" s="9">
        <v>449.59</v>
      </c>
      <c r="D1855" s="9">
        <v>452.36</v>
      </c>
      <c r="E1855" s="9">
        <f t="shared" si="85"/>
        <v>2.9666385856937784E-3</v>
      </c>
      <c r="F1855" s="9">
        <f t="shared" si="86"/>
        <v>7.8733767203598273E-2</v>
      </c>
      <c r="G1855" s="9">
        <f t="shared" si="87"/>
        <v>1.1016699340243366E-2</v>
      </c>
    </row>
    <row r="1856" spans="1:7" x14ac:dyDescent="0.2">
      <c r="A1856" s="12">
        <v>39598</v>
      </c>
      <c r="B1856" s="9">
        <v>461.18</v>
      </c>
      <c r="C1856" s="9">
        <v>452.46</v>
      </c>
      <c r="D1856" s="9">
        <v>460.29</v>
      </c>
      <c r="E1856" s="9">
        <f t="shared" si="85"/>
        <v>1.737840262209785E-2</v>
      </c>
      <c r="F1856" s="9">
        <f t="shared" si="86"/>
        <v>8.6424962247299675E-2</v>
      </c>
      <c r="G1856" s="9">
        <f t="shared" si="87"/>
        <v>1.12732317774918E-2</v>
      </c>
    </row>
    <row r="1857" spans="1:7" x14ac:dyDescent="0.2">
      <c r="A1857" s="12">
        <v>39601</v>
      </c>
      <c r="B1857" s="9">
        <v>460.29</v>
      </c>
      <c r="C1857" s="9">
        <v>455.14</v>
      </c>
      <c r="D1857" s="9">
        <v>456.1</v>
      </c>
      <c r="E1857" s="9">
        <f t="shared" si="85"/>
        <v>-9.1446419075692752E-3</v>
      </c>
      <c r="F1857" s="9">
        <f t="shared" si="86"/>
        <v>6.2234665322718818E-2</v>
      </c>
      <c r="G1857" s="9">
        <f t="shared" si="87"/>
        <v>1.1238189680690897E-2</v>
      </c>
    </row>
    <row r="1858" spans="1:7" x14ac:dyDescent="0.2">
      <c r="A1858" s="12">
        <v>39602</v>
      </c>
      <c r="B1858" s="9">
        <v>459.24</v>
      </c>
      <c r="C1858" s="9">
        <v>455.63</v>
      </c>
      <c r="D1858" s="9">
        <v>458.15</v>
      </c>
      <c r="E1858" s="9">
        <f t="shared" si="85"/>
        <v>4.4845576935674683E-3</v>
      </c>
      <c r="F1858" s="9">
        <f t="shared" si="86"/>
        <v>7.3649712006696511E-2</v>
      </c>
      <c r="G1858" s="9">
        <f t="shared" si="87"/>
        <v>1.1115360100436997E-2</v>
      </c>
    </row>
    <row r="1859" spans="1:7" x14ac:dyDescent="0.2">
      <c r="A1859" s="12">
        <v>39603</v>
      </c>
      <c r="B1859" s="9">
        <v>458.15</v>
      </c>
      <c r="C1859" s="9">
        <v>450.55</v>
      </c>
      <c r="D1859" s="9">
        <v>454.14</v>
      </c>
      <c r="E1859" s="9">
        <f t="shared" si="85"/>
        <v>-8.7911208620911063E-3</v>
      </c>
      <c r="F1859" s="9">
        <f t="shared" si="86"/>
        <v>7.7817531481596633E-2</v>
      </c>
      <c r="G1859" s="9">
        <f t="shared" si="87"/>
        <v>1.0940737553920799E-2</v>
      </c>
    </row>
    <row r="1860" spans="1:7" x14ac:dyDescent="0.2">
      <c r="A1860" s="12">
        <v>39605</v>
      </c>
      <c r="B1860" s="9">
        <v>460.72</v>
      </c>
      <c r="C1860" s="9">
        <v>446.06</v>
      </c>
      <c r="D1860" s="9">
        <v>447.41</v>
      </c>
      <c r="E1860" s="9">
        <f t="shared" ref="E1860:E1923" si="88">LN(D1860/D1859)</f>
        <v>-1.4930120379456562E-2</v>
      </c>
      <c r="F1860" s="9">
        <f t="shared" si="86"/>
        <v>6.7993967644918107E-2</v>
      </c>
      <c r="G1860" s="9">
        <f t="shared" si="87"/>
        <v>1.1319605008597942E-2</v>
      </c>
    </row>
    <row r="1861" spans="1:7" x14ac:dyDescent="0.2">
      <c r="A1861" s="12">
        <v>39608</v>
      </c>
      <c r="B1861" s="9">
        <v>448.55</v>
      </c>
      <c r="C1861" s="9">
        <v>442.25</v>
      </c>
      <c r="D1861" s="9">
        <v>446.08</v>
      </c>
      <c r="E1861" s="9">
        <f t="shared" si="88"/>
        <v>-2.9770920375701286E-3</v>
      </c>
      <c r="F1861" s="9">
        <f t="shared" si="86"/>
        <v>5.9529566121033217E-2</v>
      </c>
      <c r="G1861" s="9">
        <f t="shared" si="87"/>
        <v>1.1342023061989701E-2</v>
      </c>
    </row>
    <row r="1862" spans="1:7" x14ac:dyDescent="0.2">
      <c r="A1862" s="12">
        <v>39609</v>
      </c>
      <c r="B1862" s="9">
        <v>445.78</v>
      </c>
      <c r="C1862" s="9">
        <v>439.84</v>
      </c>
      <c r="D1862" s="9">
        <v>440.52</v>
      </c>
      <c r="E1862" s="9">
        <f t="shared" si="88"/>
        <v>-1.2542460835361126E-2</v>
      </c>
      <c r="F1862" s="9">
        <f t="shared" si="86"/>
        <v>4.1482417157961964E-2</v>
      </c>
      <c r="G1862" s="9">
        <f t="shared" si="87"/>
        <v>1.1623965735361277E-2</v>
      </c>
    </row>
    <row r="1863" spans="1:7" x14ac:dyDescent="0.2">
      <c r="A1863" s="12">
        <v>39610</v>
      </c>
      <c r="B1863" s="9">
        <v>443.32</v>
      </c>
      <c r="C1863" s="9">
        <v>435.28</v>
      </c>
      <c r="D1863" s="9">
        <v>436.07</v>
      </c>
      <c r="E1863" s="9">
        <f t="shared" si="88"/>
        <v>-1.0153066375838885E-2</v>
      </c>
      <c r="F1863" s="9">
        <f t="shared" si="86"/>
        <v>1.4389734500338392E-2</v>
      </c>
      <c r="G1863" s="9">
        <f t="shared" si="87"/>
        <v>1.1424372780322423E-2</v>
      </c>
    </row>
    <row r="1864" spans="1:7" x14ac:dyDescent="0.2">
      <c r="A1864" s="12">
        <v>39611</v>
      </c>
      <c r="B1864" s="9">
        <v>438.03</v>
      </c>
      <c r="C1864" s="9">
        <v>432.82</v>
      </c>
      <c r="D1864" s="9">
        <v>436.59</v>
      </c>
      <c r="E1864" s="9">
        <f t="shared" si="88"/>
        <v>1.1917586724400867E-3</v>
      </c>
      <c r="F1864" s="9">
        <f t="shared" si="86"/>
        <v>2.5377127263278509E-2</v>
      </c>
      <c r="G1864" s="9">
        <f t="shared" si="87"/>
        <v>1.1258519961247141E-2</v>
      </c>
    </row>
    <row r="1865" spans="1:7" x14ac:dyDescent="0.2">
      <c r="A1865" s="12">
        <v>39612</v>
      </c>
      <c r="B1865" s="9">
        <v>439.34</v>
      </c>
      <c r="C1865" s="9">
        <v>432.96</v>
      </c>
      <c r="D1865" s="9">
        <v>438.84</v>
      </c>
      <c r="E1865" s="9">
        <f t="shared" si="88"/>
        <v>5.1403423559455855E-3</v>
      </c>
      <c r="F1865" s="9">
        <f t="shared" si="86"/>
        <v>4.235752096771906E-2</v>
      </c>
      <c r="G1865" s="9">
        <f t="shared" si="87"/>
        <v>1.1023128480771697E-2</v>
      </c>
    </row>
    <row r="1866" spans="1:7" x14ac:dyDescent="0.2">
      <c r="A1866" s="12">
        <v>39615</v>
      </c>
      <c r="B1866" s="9">
        <v>442.78</v>
      </c>
      <c r="C1866" s="9">
        <v>439.13</v>
      </c>
      <c r="D1866" s="9">
        <v>441.72</v>
      </c>
      <c r="E1866" s="9">
        <f t="shared" si="88"/>
        <v>6.5413152296401409E-3</v>
      </c>
      <c r="F1866" s="9">
        <f t="shared" si="86"/>
        <v>3.3892183950305479E-2</v>
      </c>
      <c r="G1866" s="9">
        <f t="shared" si="87"/>
        <v>1.076853119451106E-2</v>
      </c>
    </row>
    <row r="1867" spans="1:7" x14ac:dyDescent="0.2">
      <c r="A1867" s="12">
        <v>39616</v>
      </c>
      <c r="B1867" s="9">
        <v>455.04</v>
      </c>
      <c r="C1867" s="9">
        <v>442.64</v>
      </c>
      <c r="D1867" s="9">
        <v>453.86</v>
      </c>
      <c r="E1867" s="9">
        <f t="shared" si="88"/>
        <v>2.7112583262546196E-2</v>
      </c>
      <c r="F1867" s="9">
        <f t="shared" si="86"/>
        <v>5.1611087191638247E-2</v>
      </c>
      <c r="G1867" s="9">
        <f t="shared" si="87"/>
        <v>1.1684393952504533E-2</v>
      </c>
    </row>
    <row r="1868" spans="1:7" x14ac:dyDescent="0.2">
      <c r="A1868" s="12">
        <v>39617</v>
      </c>
      <c r="B1868" s="9">
        <v>453.66</v>
      </c>
      <c r="C1868" s="9">
        <v>444.1</v>
      </c>
      <c r="D1868" s="9">
        <v>445.12</v>
      </c>
      <c r="E1868" s="9">
        <f t="shared" si="88"/>
        <v>-1.9444871706398231E-2</v>
      </c>
      <c r="F1868" s="9">
        <f t="shared" si="86"/>
        <v>2.5437633039852414E-2</v>
      </c>
      <c r="G1868" s="9">
        <f t="shared" si="87"/>
        <v>1.2260501552505553E-2</v>
      </c>
    </row>
    <row r="1869" spans="1:7" x14ac:dyDescent="0.2">
      <c r="A1869" s="12">
        <v>39618</v>
      </c>
      <c r="B1869" s="9">
        <v>447.9</v>
      </c>
      <c r="C1869" s="9">
        <v>442.22</v>
      </c>
      <c r="D1869" s="9">
        <v>444.78</v>
      </c>
      <c r="E1869" s="9">
        <f t="shared" si="88"/>
        <v>-7.6413083839475858E-4</v>
      </c>
      <c r="F1869" s="9">
        <f t="shared" si="86"/>
        <v>3.1100526983255623E-2</v>
      </c>
      <c r="G1869" s="9">
        <f t="shared" si="87"/>
        <v>1.2188012736533076E-2</v>
      </c>
    </row>
    <row r="1870" spans="1:7" x14ac:dyDescent="0.2">
      <c r="A1870" s="12">
        <v>39619</v>
      </c>
      <c r="B1870" s="9">
        <v>448.61</v>
      </c>
      <c r="C1870" s="9">
        <v>435.12</v>
      </c>
      <c r="D1870" s="9">
        <v>439.16</v>
      </c>
      <c r="E1870" s="9">
        <f t="shared" si="88"/>
        <v>-1.2715966530151678E-2</v>
      </c>
      <c r="F1870" s="9">
        <f t="shared" si="86"/>
        <v>1.7619476082624069E-2</v>
      </c>
      <c r="G1870" s="9">
        <f t="shared" si="87"/>
        <v>1.2444200502509679E-2</v>
      </c>
    </row>
    <row r="1871" spans="1:7" x14ac:dyDescent="0.2">
      <c r="A1871" s="12">
        <v>39622</v>
      </c>
      <c r="B1871" s="9">
        <v>442.99</v>
      </c>
      <c r="C1871" s="9">
        <v>436.94</v>
      </c>
      <c r="D1871" s="9">
        <v>438.12</v>
      </c>
      <c r="E1871" s="9">
        <f t="shared" si="88"/>
        <v>-2.3709659109859252E-3</v>
      </c>
      <c r="F1871" s="9">
        <f t="shared" si="86"/>
        <v>1.8733870366708582E-3</v>
      </c>
      <c r="G1871" s="9">
        <f t="shared" si="87"/>
        <v>1.2216219335412979E-2</v>
      </c>
    </row>
    <row r="1872" spans="1:7" x14ac:dyDescent="0.2">
      <c r="A1872" s="12">
        <v>39623</v>
      </c>
      <c r="B1872" s="9">
        <v>441.59</v>
      </c>
      <c r="C1872" s="9">
        <v>429.47</v>
      </c>
      <c r="D1872" s="9">
        <v>430.67</v>
      </c>
      <c r="E1872" s="9">
        <f t="shared" si="88"/>
        <v>-1.7150709872981014E-2</v>
      </c>
      <c r="F1872" s="9">
        <f t="shared" si="86"/>
        <v>-1.0302701433893882E-2</v>
      </c>
      <c r="G1872" s="9">
        <f t="shared" si="87"/>
        <v>1.2586011966124602E-2</v>
      </c>
    </row>
    <row r="1873" spans="1:7" x14ac:dyDescent="0.2">
      <c r="A1873" s="12">
        <v>39624</v>
      </c>
      <c r="B1873" s="9">
        <v>437.45</v>
      </c>
      <c r="C1873" s="9">
        <v>430.67</v>
      </c>
      <c r="D1873" s="9">
        <v>437.4</v>
      </c>
      <c r="E1873" s="9">
        <f t="shared" si="88"/>
        <v>1.550597266010262E-2</v>
      </c>
      <c r="F1873" s="9">
        <f t="shared" si="86"/>
        <v>-6.9261190027230047E-3</v>
      </c>
      <c r="G1873" s="9">
        <f t="shared" si="87"/>
        <v>1.2715827025080872E-2</v>
      </c>
    </row>
    <row r="1874" spans="1:7" x14ac:dyDescent="0.2">
      <c r="A1874" s="12">
        <v>39625</v>
      </c>
      <c r="B1874" s="9">
        <v>436.41</v>
      </c>
      <c r="C1874" s="9">
        <v>428.72</v>
      </c>
      <c r="D1874" s="9">
        <v>430.72</v>
      </c>
      <c r="E1874" s="9">
        <f t="shared" si="88"/>
        <v>-1.5389881226359104E-2</v>
      </c>
      <c r="F1874" s="9">
        <f t="shared" si="86"/>
        <v>-3.1289332746219818E-2</v>
      </c>
      <c r="G1874" s="9">
        <f t="shared" si="87"/>
        <v>1.2884591382970923E-2</v>
      </c>
    </row>
    <row r="1875" spans="1:7" x14ac:dyDescent="0.2">
      <c r="A1875" s="12">
        <v>39626</v>
      </c>
      <c r="B1875" s="9">
        <v>430.89</v>
      </c>
      <c r="C1875" s="9">
        <v>422.67</v>
      </c>
      <c r="D1875" s="9">
        <v>425.9</v>
      </c>
      <c r="E1875" s="9">
        <f t="shared" si="88"/>
        <v>-1.1253650087140561E-2</v>
      </c>
      <c r="F1875" s="9">
        <f t="shared" si="86"/>
        <v>-7.1921973422210211E-2</v>
      </c>
      <c r="G1875" s="9">
        <f t="shared" si="87"/>
        <v>1.1653172001353032E-2</v>
      </c>
    </row>
    <row r="1876" spans="1:7" x14ac:dyDescent="0.2">
      <c r="A1876" s="12">
        <v>39629</v>
      </c>
      <c r="B1876" s="9">
        <v>427.51</v>
      </c>
      <c r="C1876" s="9">
        <v>420.88</v>
      </c>
      <c r="D1876" s="9">
        <v>424.3</v>
      </c>
      <c r="E1876" s="9">
        <f t="shared" si="88"/>
        <v>-3.7638247208885726E-3</v>
      </c>
      <c r="F1876" s="9">
        <f t="shared" si="86"/>
        <v>-8.8689205037955743E-2</v>
      </c>
      <c r="G1876" s="9">
        <f t="shared" si="87"/>
        <v>1.1285338476143776E-2</v>
      </c>
    </row>
    <row r="1877" spans="1:7" x14ac:dyDescent="0.2">
      <c r="A1877" s="12">
        <v>39630</v>
      </c>
      <c r="B1877" s="9">
        <v>425.37</v>
      </c>
      <c r="C1877" s="9">
        <v>411.99</v>
      </c>
      <c r="D1877" s="9">
        <v>415.11</v>
      </c>
      <c r="E1877" s="9">
        <f t="shared" si="88"/>
        <v>-2.1897206858876455E-2</v>
      </c>
      <c r="F1877" s="9">
        <f t="shared" si="86"/>
        <v>-0.1213340135008583</v>
      </c>
      <c r="G1877" s="9">
        <f t="shared" si="87"/>
        <v>1.1490393100268597E-2</v>
      </c>
    </row>
    <row r="1878" spans="1:7" x14ac:dyDescent="0.2">
      <c r="A1878" s="12">
        <v>39631</v>
      </c>
      <c r="B1878" s="9">
        <v>423.77</v>
      </c>
      <c r="C1878" s="9">
        <v>415.09</v>
      </c>
      <c r="D1878" s="9">
        <v>416.52</v>
      </c>
      <c r="E1878" s="9">
        <f t="shared" si="88"/>
        <v>3.3909343122924276E-3</v>
      </c>
      <c r="F1878" s="9">
        <f t="shared" si="86"/>
        <v>-9.9205049518768809E-2</v>
      </c>
      <c r="G1878" s="9">
        <f t="shared" si="87"/>
        <v>1.1221755737871687E-2</v>
      </c>
    </row>
    <row r="1879" spans="1:7" x14ac:dyDescent="0.2">
      <c r="A1879" s="12">
        <v>39632</v>
      </c>
      <c r="B1879" s="9">
        <v>416.13</v>
      </c>
      <c r="C1879" s="9">
        <v>400.95</v>
      </c>
      <c r="D1879" s="9">
        <v>408.01</v>
      </c>
      <c r="E1879" s="9">
        <f t="shared" si="88"/>
        <v>-2.0642795753972251E-2</v>
      </c>
      <c r="F1879" s="9">
        <f t="shared" si="86"/>
        <v>-0.11767137638589269</v>
      </c>
      <c r="G1879" s="9">
        <f t="shared" si="87"/>
        <v>1.1655688593021208E-2</v>
      </c>
    </row>
    <row r="1880" spans="1:7" x14ac:dyDescent="0.2">
      <c r="A1880" s="12">
        <v>39633</v>
      </c>
      <c r="B1880" s="9">
        <v>412.13</v>
      </c>
      <c r="C1880" s="9">
        <v>403.17</v>
      </c>
      <c r="D1880" s="9">
        <v>404.67</v>
      </c>
      <c r="E1880" s="9">
        <f t="shared" si="88"/>
        <v>-8.2197637580248926E-3</v>
      </c>
      <c r="F1880" s="9">
        <f t="shared" si="86"/>
        <v>-0.11279813003449077</v>
      </c>
      <c r="G1880" s="9">
        <f t="shared" si="87"/>
        <v>1.1557014060686604E-2</v>
      </c>
    </row>
    <row r="1881" spans="1:7" x14ac:dyDescent="0.2">
      <c r="A1881" s="12">
        <v>39636</v>
      </c>
      <c r="B1881" s="9">
        <v>409.67</v>
      </c>
      <c r="C1881" s="9">
        <v>402.87</v>
      </c>
      <c r="D1881" s="9">
        <v>406.84</v>
      </c>
      <c r="E1881" s="9">
        <f t="shared" si="88"/>
        <v>5.3480676076972837E-3</v>
      </c>
      <c r="F1881" s="9">
        <f t="shared" si="86"/>
        <v>-0.1059477977015414</v>
      </c>
      <c r="G1881" s="9">
        <f t="shared" si="87"/>
        <v>1.167027920336325E-2</v>
      </c>
    </row>
    <row r="1882" spans="1:7" x14ac:dyDescent="0.2">
      <c r="A1882" s="12">
        <v>39637</v>
      </c>
      <c r="B1882" s="9">
        <v>406.04</v>
      </c>
      <c r="C1882" s="9">
        <v>393.17</v>
      </c>
      <c r="D1882" s="9">
        <v>393.77</v>
      </c>
      <c r="E1882" s="9">
        <f t="shared" si="88"/>
        <v>-3.2653005256712747E-2</v>
      </c>
      <c r="F1882" s="9">
        <f t="shared" si="86"/>
        <v>-0.1338138780538031</v>
      </c>
      <c r="G1882" s="9">
        <f t="shared" si="87"/>
        <v>1.282543797110627E-2</v>
      </c>
    </row>
    <row r="1883" spans="1:7" x14ac:dyDescent="0.2">
      <c r="A1883" s="12">
        <v>39638</v>
      </c>
      <c r="B1883" s="9">
        <v>409.86</v>
      </c>
      <c r="C1883" s="9">
        <v>394.76</v>
      </c>
      <c r="D1883" s="9">
        <v>408.41</v>
      </c>
      <c r="E1883" s="9">
        <f t="shared" si="88"/>
        <v>3.6504589288292727E-2</v>
      </c>
      <c r="F1883" s="9">
        <f t="shared" si="86"/>
        <v>-9.3926922782473485E-2</v>
      </c>
      <c r="G1883" s="9">
        <f t="shared" si="87"/>
        <v>1.4848899637293828E-2</v>
      </c>
    </row>
    <row r="1884" spans="1:7" x14ac:dyDescent="0.2">
      <c r="A1884" s="12">
        <v>39639</v>
      </c>
      <c r="B1884" s="9">
        <v>407.62</v>
      </c>
      <c r="C1884" s="9">
        <v>402.41</v>
      </c>
      <c r="D1884" s="9">
        <v>406.52</v>
      </c>
      <c r="E1884" s="9">
        <f t="shared" si="88"/>
        <v>-4.6384435194096211E-3</v>
      </c>
      <c r="F1884" s="9">
        <f t="shared" si="86"/>
        <v>-0.10387855614786681</v>
      </c>
      <c r="G1884" s="9">
        <f t="shared" si="87"/>
        <v>1.4764675587817796E-2</v>
      </c>
    </row>
    <row r="1885" spans="1:7" x14ac:dyDescent="0.2">
      <c r="A1885" s="12">
        <v>39640</v>
      </c>
      <c r="B1885" s="9">
        <v>406.99</v>
      </c>
      <c r="C1885" s="9">
        <v>395.11</v>
      </c>
      <c r="D1885" s="9">
        <v>395.36</v>
      </c>
      <c r="E1885" s="9">
        <f t="shared" si="88"/>
        <v>-2.783638602926566E-2</v>
      </c>
      <c r="F1885" s="9">
        <f t="shared" si="86"/>
        <v>-0.13468158076282633</v>
      </c>
      <c r="G1885" s="9">
        <f t="shared" si="87"/>
        <v>1.5361159440738776E-2</v>
      </c>
    </row>
    <row r="1886" spans="1:7" x14ac:dyDescent="0.2">
      <c r="A1886" s="12">
        <v>39643</v>
      </c>
      <c r="B1886" s="9">
        <v>401.97</v>
      </c>
      <c r="C1886" s="9">
        <v>396.46</v>
      </c>
      <c r="D1886" s="9">
        <v>397.13</v>
      </c>
      <c r="E1886" s="9">
        <f t="shared" si="88"/>
        <v>4.4669407642975384E-3</v>
      </c>
      <c r="F1886" s="9">
        <f t="shared" si="86"/>
        <v>-0.14759304262062659</v>
      </c>
      <c r="G1886" s="9">
        <f t="shared" si="87"/>
        <v>1.4901342347778032E-2</v>
      </c>
    </row>
    <row r="1887" spans="1:7" x14ac:dyDescent="0.2">
      <c r="A1887" s="12">
        <v>39644</v>
      </c>
      <c r="B1887" s="9">
        <v>396.83</v>
      </c>
      <c r="C1887" s="9">
        <v>383.57</v>
      </c>
      <c r="D1887" s="9">
        <v>386.84</v>
      </c>
      <c r="E1887" s="9">
        <f t="shared" si="88"/>
        <v>-2.6252512155835149E-2</v>
      </c>
      <c r="F1887" s="9">
        <f t="shared" si="86"/>
        <v>-0.16470091286889244</v>
      </c>
      <c r="G1887" s="9">
        <f t="shared" si="87"/>
        <v>1.5388005344234679E-2</v>
      </c>
    </row>
    <row r="1888" spans="1:7" x14ac:dyDescent="0.2">
      <c r="A1888" s="12">
        <v>39645</v>
      </c>
      <c r="B1888" s="9">
        <v>390.3</v>
      </c>
      <c r="C1888" s="9">
        <v>384.02</v>
      </c>
      <c r="D1888" s="9">
        <v>385.89</v>
      </c>
      <c r="E1888" s="9">
        <f t="shared" si="88"/>
        <v>-2.4588160900287028E-3</v>
      </c>
      <c r="F1888" s="9">
        <f t="shared" si="86"/>
        <v>-0.17164428665248846</v>
      </c>
      <c r="G1888" s="9">
        <f t="shared" si="87"/>
        <v>1.528467723058995E-2</v>
      </c>
    </row>
    <row r="1889" spans="1:7" x14ac:dyDescent="0.2">
      <c r="A1889" s="12">
        <v>39646</v>
      </c>
      <c r="B1889" s="9">
        <v>403.18</v>
      </c>
      <c r="C1889" s="9">
        <v>386.98</v>
      </c>
      <c r="D1889" s="9">
        <v>399.63</v>
      </c>
      <c r="E1889" s="9">
        <f t="shared" si="88"/>
        <v>3.4986764272747287E-2</v>
      </c>
      <c r="F1889" s="9">
        <f t="shared" ref="F1889:F1952" si="89">LN(D1889/D1859)</f>
        <v>-0.12786640151764997</v>
      </c>
      <c r="G1889" s="9">
        <f t="shared" si="87"/>
        <v>1.6977545076892902E-2</v>
      </c>
    </row>
    <row r="1890" spans="1:7" x14ac:dyDescent="0.2">
      <c r="A1890" s="12">
        <v>39647</v>
      </c>
      <c r="B1890" s="9">
        <v>401.33</v>
      </c>
      <c r="C1890" s="9">
        <v>393.7</v>
      </c>
      <c r="D1890" s="9">
        <v>398.74</v>
      </c>
      <c r="E1890" s="9">
        <f t="shared" si="88"/>
        <v>-2.2295436168002802E-3</v>
      </c>
      <c r="F1890" s="9">
        <f t="shared" si="89"/>
        <v>-0.11516582475499364</v>
      </c>
      <c r="G1890" s="9">
        <f t="shared" si="87"/>
        <v>1.6860303054243072E-2</v>
      </c>
    </row>
    <row r="1891" spans="1:7" x14ac:dyDescent="0.2">
      <c r="A1891" s="12">
        <v>39650</v>
      </c>
      <c r="B1891" s="9">
        <v>407.58</v>
      </c>
      <c r="C1891" s="9">
        <v>398.55</v>
      </c>
      <c r="D1891" s="9">
        <v>406.32</v>
      </c>
      <c r="E1891" s="9">
        <f t="shared" si="88"/>
        <v>1.8831451078308772E-2</v>
      </c>
      <c r="F1891" s="9">
        <f t="shared" si="89"/>
        <v>-9.3357281639114789E-2</v>
      </c>
      <c r="G1891" s="9">
        <f t="shared" si="87"/>
        <v>1.7361443009650545E-2</v>
      </c>
    </row>
    <row r="1892" spans="1:7" x14ac:dyDescent="0.2">
      <c r="A1892" s="12">
        <v>39651</v>
      </c>
      <c r="B1892" s="9">
        <v>405.53</v>
      </c>
      <c r="C1892" s="9">
        <v>397.51</v>
      </c>
      <c r="D1892" s="9">
        <v>405.01</v>
      </c>
      <c r="E1892" s="9">
        <f t="shared" si="88"/>
        <v>-3.2292683332523454E-3</v>
      </c>
      <c r="F1892" s="9">
        <f t="shared" si="89"/>
        <v>-8.4044089137005923E-2</v>
      </c>
      <c r="G1892" s="9">
        <f t="shared" si="87"/>
        <v>1.7270024544548995E-2</v>
      </c>
    </row>
    <row r="1893" spans="1:7" x14ac:dyDescent="0.2">
      <c r="A1893" s="12">
        <v>39652</v>
      </c>
      <c r="B1893" s="9">
        <v>415.13</v>
      </c>
      <c r="C1893" s="9">
        <v>405.11</v>
      </c>
      <c r="D1893" s="9">
        <v>415.13</v>
      </c>
      <c r="E1893" s="9">
        <f t="shared" si="88"/>
        <v>2.4679966029528374E-2</v>
      </c>
      <c r="F1893" s="9">
        <f t="shared" si="89"/>
        <v>-4.9211056731638732E-2</v>
      </c>
      <c r="G1893" s="9">
        <f t="shared" si="87"/>
        <v>1.7917528833523641E-2</v>
      </c>
    </row>
    <row r="1894" spans="1:7" x14ac:dyDescent="0.2">
      <c r="A1894" s="12">
        <v>39653</v>
      </c>
      <c r="B1894" s="9">
        <v>416.77</v>
      </c>
      <c r="C1894" s="9">
        <v>406.45</v>
      </c>
      <c r="D1894" s="9">
        <v>409.39</v>
      </c>
      <c r="E1894" s="9">
        <f t="shared" si="88"/>
        <v>-1.3923477249648278E-2</v>
      </c>
      <c r="F1894" s="9">
        <f t="shared" si="89"/>
        <v>-6.432629265372726E-2</v>
      </c>
      <c r="G1894" s="9">
        <f t="shared" si="87"/>
        <v>1.804719433866454E-2</v>
      </c>
    </row>
    <row r="1895" spans="1:7" x14ac:dyDescent="0.2">
      <c r="A1895" s="12">
        <v>39654</v>
      </c>
      <c r="B1895" s="9">
        <v>408.7</v>
      </c>
      <c r="C1895" s="9">
        <v>402.37</v>
      </c>
      <c r="D1895" s="9">
        <v>406.97</v>
      </c>
      <c r="E1895" s="9">
        <f t="shared" si="88"/>
        <v>-5.928774287453256E-3</v>
      </c>
      <c r="F1895" s="9">
        <f t="shared" si="89"/>
        <v>-7.539540929712614E-2</v>
      </c>
      <c r="G1895" s="9">
        <f t="shared" ref="G1895:G1958" si="90">STDEV(E1866:E1895)</f>
        <v>1.8006234104886994E-2</v>
      </c>
    </row>
    <row r="1896" spans="1:7" x14ac:dyDescent="0.2">
      <c r="A1896" s="12">
        <v>39657</v>
      </c>
      <c r="B1896" s="9">
        <v>407.3</v>
      </c>
      <c r="C1896" s="9">
        <v>402.99</v>
      </c>
      <c r="D1896" s="9">
        <v>403.26</v>
      </c>
      <c r="E1896" s="9">
        <f t="shared" si="88"/>
        <v>-9.1579574422345732E-3</v>
      </c>
      <c r="F1896" s="9">
        <f t="shared" si="89"/>
        <v>-9.1094681969000599E-2</v>
      </c>
      <c r="G1896" s="9">
        <f t="shared" si="90"/>
        <v>1.79620895164786E-2</v>
      </c>
    </row>
    <row r="1897" spans="1:7" x14ac:dyDescent="0.2">
      <c r="A1897" s="12">
        <v>39658</v>
      </c>
      <c r="B1897" s="9">
        <v>403.97</v>
      </c>
      <c r="C1897" s="9">
        <v>394.94</v>
      </c>
      <c r="D1897" s="9">
        <v>402.86</v>
      </c>
      <c r="E1897" s="9">
        <f t="shared" si="88"/>
        <v>-9.9240815965141098E-4</v>
      </c>
      <c r="F1897" s="9">
        <f t="shared" si="89"/>
        <v>-0.11919967339119832</v>
      </c>
      <c r="G1897" s="9">
        <f t="shared" si="90"/>
        <v>1.7044915446876661E-2</v>
      </c>
    </row>
    <row r="1898" spans="1:7" x14ac:dyDescent="0.2">
      <c r="A1898" s="12">
        <v>39659</v>
      </c>
      <c r="B1898" s="9">
        <v>412.66</v>
      </c>
      <c r="C1898" s="9">
        <v>404.45</v>
      </c>
      <c r="D1898" s="9">
        <v>412.2</v>
      </c>
      <c r="E1898" s="9">
        <f t="shared" si="88"/>
        <v>2.291956140608056E-2</v>
      </c>
      <c r="F1898" s="9">
        <f t="shared" si="89"/>
        <v>-7.6835240278719436E-2</v>
      </c>
      <c r="G1898" s="9">
        <f t="shared" si="90"/>
        <v>1.7468571444242506E-2</v>
      </c>
    </row>
    <row r="1899" spans="1:7" x14ac:dyDescent="0.2">
      <c r="A1899" s="12">
        <v>39660</v>
      </c>
      <c r="B1899" s="9">
        <v>417.87</v>
      </c>
      <c r="C1899" s="9">
        <v>409.24</v>
      </c>
      <c r="D1899" s="9">
        <v>417.43</v>
      </c>
      <c r="E1899" s="9">
        <f t="shared" si="88"/>
        <v>1.2608197106600666E-2</v>
      </c>
      <c r="F1899" s="9">
        <f t="shared" si="89"/>
        <v>-6.3462912333724003E-2</v>
      </c>
      <c r="G1899" s="9">
        <f t="shared" si="90"/>
        <v>1.7685273920850501E-2</v>
      </c>
    </row>
    <row r="1900" spans="1:7" x14ac:dyDescent="0.2">
      <c r="A1900" s="12">
        <v>39661</v>
      </c>
      <c r="B1900" s="9">
        <v>417.4</v>
      </c>
      <c r="C1900" s="9">
        <v>410.1</v>
      </c>
      <c r="D1900" s="9">
        <v>411.06</v>
      </c>
      <c r="E1900" s="9">
        <f t="shared" si="88"/>
        <v>-1.5377676320096595E-2</v>
      </c>
      <c r="F1900" s="9">
        <f t="shared" si="89"/>
        <v>-6.6124622123668986E-2</v>
      </c>
      <c r="G1900" s="9">
        <f t="shared" si="90"/>
        <v>1.7746858041408877E-2</v>
      </c>
    </row>
    <row r="1901" spans="1:7" x14ac:dyDescent="0.2">
      <c r="A1901" s="12">
        <v>39664</v>
      </c>
      <c r="B1901" s="9">
        <v>411.3</v>
      </c>
      <c r="C1901" s="9">
        <v>405.69</v>
      </c>
      <c r="D1901" s="9">
        <v>405.88</v>
      </c>
      <c r="E1901" s="9">
        <f t="shared" si="88"/>
        <v>-1.2681639831980592E-2</v>
      </c>
      <c r="F1901" s="9">
        <f t="shared" si="89"/>
        <v>-7.6435296044663731E-2</v>
      </c>
      <c r="G1901" s="9">
        <f t="shared" si="90"/>
        <v>1.7849740995942574E-2</v>
      </c>
    </row>
    <row r="1902" spans="1:7" x14ac:dyDescent="0.2">
      <c r="A1902" s="12">
        <v>39665</v>
      </c>
      <c r="B1902" s="9">
        <v>413.05</v>
      </c>
      <c r="C1902" s="9">
        <v>404.92</v>
      </c>
      <c r="D1902" s="9">
        <v>413.01</v>
      </c>
      <c r="E1902" s="9">
        <f t="shared" si="88"/>
        <v>1.7414256332079436E-2</v>
      </c>
      <c r="F1902" s="9">
        <f t="shared" si="89"/>
        <v>-4.1870329839603322E-2</v>
      </c>
      <c r="G1902" s="9">
        <f t="shared" si="90"/>
        <v>1.7989653630723697E-2</v>
      </c>
    </row>
    <row r="1903" spans="1:7" x14ac:dyDescent="0.2">
      <c r="A1903" s="12">
        <v>39666</v>
      </c>
      <c r="B1903" s="9">
        <v>420.2</v>
      </c>
      <c r="C1903" s="9">
        <v>413.65</v>
      </c>
      <c r="D1903" s="9">
        <v>417.62</v>
      </c>
      <c r="E1903" s="9">
        <f t="shared" si="88"/>
        <v>1.1100122398954245E-2</v>
      </c>
      <c r="F1903" s="9">
        <f t="shared" si="89"/>
        <v>-4.6276180100751609E-2</v>
      </c>
      <c r="G1903" s="9">
        <f t="shared" si="90"/>
        <v>1.7864464515032506E-2</v>
      </c>
    </row>
    <row r="1904" spans="1:7" x14ac:dyDescent="0.2">
      <c r="A1904" s="12">
        <v>39667</v>
      </c>
      <c r="B1904" s="9">
        <v>419</v>
      </c>
      <c r="C1904" s="9">
        <v>408.62</v>
      </c>
      <c r="D1904" s="9">
        <v>411.32</v>
      </c>
      <c r="E1904" s="9">
        <f t="shared" si="88"/>
        <v>-1.5200427780925924E-2</v>
      </c>
      <c r="F1904" s="9">
        <f t="shared" si="89"/>
        <v>-4.6086726655318495E-2</v>
      </c>
      <c r="G1904" s="9">
        <f t="shared" si="90"/>
        <v>1.785943344158946E-2</v>
      </c>
    </row>
    <row r="1905" spans="1:7" x14ac:dyDescent="0.2">
      <c r="A1905" s="12">
        <v>39668</v>
      </c>
      <c r="B1905" s="9">
        <v>414.52</v>
      </c>
      <c r="C1905" s="9">
        <v>407.09</v>
      </c>
      <c r="D1905" s="9">
        <v>414.51</v>
      </c>
      <c r="E1905" s="9">
        <f t="shared" si="88"/>
        <v>7.7255993756978839E-3</v>
      </c>
      <c r="F1905" s="9">
        <f t="shared" si="89"/>
        <v>-2.7107477192479936E-2</v>
      </c>
      <c r="G1905" s="9">
        <f t="shared" si="90"/>
        <v>1.7839483012083809E-2</v>
      </c>
    </row>
    <row r="1906" spans="1:7" x14ac:dyDescent="0.2">
      <c r="A1906" s="12">
        <v>39671</v>
      </c>
      <c r="B1906" s="9">
        <v>419.4</v>
      </c>
      <c r="C1906" s="9">
        <v>414.9</v>
      </c>
      <c r="D1906" s="9">
        <v>417.07</v>
      </c>
      <c r="E1906" s="9">
        <f t="shared" si="88"/>
        <v>6.1569736816764475E-3</v>
      </c>
      <c r="F1906" s="9">
        <f t="shared" si="89"/>
        <v>-1.7186678789915061E-2</v>
      </c>
      <c r="G1906" s="9">
        <f t="shared" si="90"/>
        <v>1.787654714609687E-2</v>
      </c>
    </row>
    <row r="1907" spans="1:7" x14ac:dyDescent="0.2">
      <c r="A1907" s="12">
        <v>39672</v>
      </c>
      <c r="B1907" s="9">
        <v>418.5</v>
      </c>
      <c r="C1907" s="9">
        <v>413.84</v>
      </c>
      <c r="D1907" s="9">
        <v>416.12</v>
      </c>
      <c r="E1907" s="9">
        <f t="shared" si="88"/>
        <v>-2.2803932156697172E-3</v>
      </c>
      <c r="F1907" s="9">
        <f t="shared" si="89"/>
        <v>2.4301348532916691E-3</v>
      </c>
      <c r="G1907" s="9">
        <f t="shared" si="90"/>
        <v>1.7422655618815872E-2</v>
      </c>
    </row>
    <row r="1908" spans="1:7" x14ac:dyDescent="0.2">
      <c r="A1908" s="12">
        <v>39673</v>
      </c>
      <c r="B1908" s="9">
        <v>415.92</v>
      </c>
      <c r="C1908" s="9">
        <v>406.91</v>
      </c>
      <c r="D1908" s="9">
        <v>408.02</v>
      </c>
      <c r="E1908" s="9">
        <f t="shared" si="88"/>
        <v>-1.9657487392111459E-2</v>
      </c>
      <c r="F1908" s="9">
        <f t="shared" si="89"/>
        <v>-2.0618286851112083E-2</v>
      </c>
      <c r="G1908" s="9">
        <f t="shared" si="90"/>
        <v>1.7776256640218948E-2</v>
      </c>
    </row>
    <row r="1909" spans="1:7" x14ac:dyDescent="0.2">
      <c r="A1909" s="12">
        <v>39674</v>
      </c>
      <c r="B1909" s="9">
        <v>416.72</v>
      </c>
      <c r="C1909" s="9">
        <v>408.32</v>
      </c>
      <c r="D1909" s="9">
        <v>413.47</v>
      </c>
      <c r="E1909" s="9">
        <f t="shared" si="88"/>
        <v>1.3268767630615323E-2</v>
      </c>
      <c r="F1909" s="9">
        <f t="shared" si="89"/>
        <v>1.3293276533475337E-2</v>
      </c>
      <c r="G1909" s="9">
        <f t="shared" si="90"/>
        <v>1.7540179457836275E-2</v>
      </c>
    </row>
    <row r="1910" spans="1:7" x14ac:dyDescent="0.2">
      <c r="A1910" s="12">
        <v>39675</v>
      </c>
      <c r="B1910" s="9">
        <v>419.79</v>
      </c>
      <c r="C1910" s="9">
        <v>413.27</v>
      </c>
      <c r="D1910" s="9">
        <v>419.26</v>
      </c>
      <c r="E1910" s="9">
        <f t="shared" si="88"/>
        <v>1.3906292094538019E-2</v>
      </c>
      <c r="F1910" s="9">
        <f t="shared" si="89"/>
        <v>3.5419332386038241E-2</v>
      </c>
      <c r="G1910" s="9">
        <f t="shared" si="90"/>
        <v>1.7628319836067705E-2</v>
      </c>
    </row>
    <row r="1911" spans="1:7" x14ac:dyDescent="0.2">
      <c r="A1911" s="12">
        <v>39678</v>
      </c>
      <c r="B1911" s="9">
        <v>418.96</v>
      </c>
      <c r="C1911" s="9">
        <v>415.56</v>
      </c>
      <c r="D1911" s="9">
        <v>417.1</v>
      </c>
      <c r="E1911" s="9">
        <f t="shared" si="88"/>
        <v>-5.1652513328367834E-3</v>
      </c>
      <c r="F1911" s="9">
        <f t="shared" si="89"/>
        <v>2.4906013445504267E-2</v>
      </c>
      <c r="G1911" s="9">
        <f t="shared" si="90"/>
        <v>1.7647106624812253E-2</v>
      </c>
    </row>
    <row r="1912" spans="1:7" x14ac:dyDescent="0.2">
      <c r="A1912" s="12">
        <v>39679</v>
      </c>
      <c r="B1912" s="9">
        <v>416.8</v>
      </c>
      <c r="C1912" s="9">
        <v>408.37</v>
      </c>
      <c r="D1912" s="9">
        <v>408.47</v>
      </c>
      <c r="E1912" s="9">
        <f t="shared" si="88"/>
        <v>-2.0907529012132317E-2</v>
      </c>
      <c r="F1912" s="9">
        <f t="shared" si="89"/>
        <v>3.665148969008452E-2</v>
      </c>
      <c r="G1912" s="9">
        <f t="shared" si="90"/>
        <v>1.6996953146843397E-2</v>
      </c>
    </row>
    <row r="1913" spans="1:7" x14ac:dyDescent="0.2">
      <c r="A1913" s="12">
        <v>39680</v>
      </c>
      <c r="B1913" s="9">
        <v>411.47</v>
      </c>
      <c r="C1913" s="9">
        <v>406.81</v>
      </c>
      <c r="D1913" s="9">
        <v>408.47</v>
      </c>
      <c r="E1913" s="9">
        <f t="shared" si="88"/>
        <v>0</v>
      </c>
      <c r="F1913" s="9">
        <f t="shared" si="89"/>
        <v>1.4690040179196349E-4</v>
      </c>
      <c r="G1913" s="9">
        <f t="shared" si="90"/>
        <v>1.5636151785138979E-2</v>
      </c>
    </row>
    <row r="1914" spans="1:7" x14ac:dyDescent="0.2">
      <c r="A1914" s="12">
        <v>39681</v>
      </c>
      <c r="B1914" s="9">
        <v>411.63</v>
      </c>
      <c r="C1914" s="9">
        <v>403.52</v>
      </c>
      <c r="D1914" s="9">
        <v>409.54</v>
      </c>
      <c r="E1914" s="9">
        <f t="shared" si="88"/>
        <v>2.6161064296468897E-3</v>
      </c>
      <c r="F1914" s="9">
        <f t="shared" si="89"/>
        <v>7.4014503508484653E-3</v>
      </c>
      <c r="G1914" s="9">
        <f t="shared" si="90"/>
        <v>1.5617951167864417E-2</v>
      </c>
    </row>
    <row r="1915" spans="1:7" x14ac:dyDescent="0.2">
      <c r="A1915" s="12">
        <v>39682</v>
      </c>
      <c r="B1915" s="9">
        <v>414.75</v>
      </c>
      <c r="C1915" s="9">
        <v>408.51</v>
      </c>
      <c r="D1915" s="9">
        <v>414.66</v>
      </c>
      <c r="E1915" s="9">
        <f t="shared" si="88"/>
        <v>1.2424328710943839E-2</v>
      </c>
      <c r="F1915" s="9">
        <f t="shared" si="89"/>
        <v>4.766216509105798E-2</v>
      </c>
      <c r="G1915" s="9">
        <f t="shared" si="90"/>
        <v>1.4831576792872919E-2</v>
      </c>
    </row>
    <row r="1916" spans="1:7" x14ac:dyDescent="0.2">
      <c r="A1916" s="12">
        <v>39685</v>
      </c>
      <c r="B1916" s="9">
        <v>414.96</v>
      </c>
      <c r="C1916" s="9">
        <v>411.64</v>
      </c>
      <c r="D1916" s="9">
        <v>412.85</v>
      </c>
      <c r="E1916" s="9">
        <f t="shared" si="88"/>
        <v>-4.3745764679203897E-3</v>
      </c>
      <c r="F1916" s="9">
        <f t="shared" si="89"/>
        <v>3.882064785884002E-2</v>
      </c>
      <c r="G1916" s="9">
        <f t="shared" si="90"/>
        <v>1.4860228997908984E-2</v>
      </c>
    </row>
    <row r="1917" spans="1:7" x14ac:dyDescent="0.2">
      <c r="A1917" s="12">
        <v>39686</v>
      </c>
      <c r="B1917" s="9">
        <v>412.45</v>
      </c>
      <c r="C1917" s="9">
        <v>406.48</v>
      </c>
      <c r="D1917" s="9">
        <v>411.62</v>
      </c>
      <c r="E1917" s="9">
        <f t="shared" si="88"/>
        <v>-2.9837372191234704E-3</v>
      </c>
      <c r="F1917" s="9">
        <f t="shared" si="89"/>
        <v>6.2089422795551782E-2</v>
      </c>
      <c r="G1917" s="9">
        <f t="shared" si="90"/>
        <v>1.395238900086081E-2</v>
      </c>
    </row>
    <row r="1918" spans="1:7" x14ac:dyDescent="0.2">
      <c r="A1918" s="12">
        <v>39687</v>
      </c>
      <c r="B1918" s="9">
        <v>420.12</v>
      </c>
      <c r="C1918" s="9">
        <v>408.28</v>
      </c>
      <c r="D1918" s="9">
        <v>419.32</v>
      </c>
      <c r="E1918" s="9">
        <f t="shared" si="88"/>
        <v>1.8533757940057776E-2</v>
      </c>
      <c r="F1918" s="9">
        <f t="shared" si="89"/>
        <v>8.3081996825638174E-2</v>
      </c>
      <c r="G1918" s="9">
        <f t="shared" si="90"/>
        <v>1.4240878452430354E-2</v>
      </c>
    </row>
    <row r="1919" spans="1:7" x14ac:dyDescent="0.2">
      <c r="A1919" s="12">
        <v>39688</v>
      </c>
      <c r="B1919" s="9">
        <v>425.58</v>
      </c>
      <c r="C1919" s="9">
        <v>417.83</v>
      </c>
      <c r="D1919" s="9">
        <v>425.31</v>
      </c>
      <c r="E1919" s="9">
        <f t="shared" si="88"/>
        <v>1.418396321327803E-2</v>
      </c>
      <c r="F1919" s="9">
        <f t="shared" si="89"/>
        <v>6.2279195766168756E-2</v>
      </c>
      <c r="G1919" s="9">
        <f t="shared" si="90"/>
        <v>1.3076939988396988E-2</v>
      </c>
    </row>
    <row r="1920" spans="1:7" x14ac:dyDescent="0.2">
      <c r="A1920" s="12">
        <v>39689</v>
      </c>
      <c r="B1920" s="9">
        <v>429.41</v>
      </c>
      <c r="C1920" s="9">
        <v>422.36</v>
      </c>
      <c r="D1920" s="9">
        <v>424.11</v>
      </c>
      <c r="E1920" s="9">
        <f t="shared" si="88"/>
        <v>-2.8254592505989533E-3</v>
      </c>
      <c r="F1920" s="9">
        <f t="shared" si="89"/>
        <v>6.1683280132370094E-2</v>
      </c>
      <c r="G1920" s="9">
        <f t="shared" si="90"/>
        <v>1.3084156188993428E-2</v>
      </c>
    </row>
    <row r="1921" spans="1:7" x14ac:dyDescent="0.2">
      <c r="A1921" s="12">
        <v>39692</v>
      </c>
      <c r="B1921" s="9">
        <v>424.45</v>
      </c>
      <c r="C1921" s="9">
        <v>418.67</v>
      </c>
      <c r="D1921" s="9">
        <v>424.07</v>
      </c>
      <c r="E1921" s="9">
        <f t="shared" si="88"/>
        <v>-9.4319602041241407E-5</v>
      </c>
      <c r="F1921" s="9">
        <f t="shared" si="89"/>
        <v>4.2757509452020177E-2</v>
      </c>
      <c r="G1921" s="9">
        <f t="shared" si="90"/>
        <v>1.2697993207018064E-2</v>
      </c>
    </row>
    <row r="1922" spans="1:7" x14ac:dyDescent="0.2">
      <c r="A1922" s="12">
        <v>39693</v>
      </c>
      <c r="B1922" s="9">
        <v>427.88</v>
      </c>
      <c r="C1922" s="9">
        <v>422.72</v>
      </c>
      <c r="D1922" s="9">
        <v>426.56</v>
      </c>
      <c r="E1922" s="9">
        <f t="shared" si="88"/>
        <v>5.8545010453341963E-3</v>
      </c>
      <c r="F1922" s="9">
        <f t="shared" si="89"/>
        <v>5.1841278830606644E-2</v>
      </c>
      <c r="G1922" s="9">
        <f t="shared" si="90"/>
        <v>1.2691478454846831E-2</v>
      </c>
    </row>
    <row r="1923" spans="1:7" x14ac:dyDescent="0.2">
      <c r="A1923" s="12">
        <v>39694</v>
      </c>
      <c r="B1923" s="9">
        <v>426.26</v>
      </c>
      <c r="C1923" s="9">
        <v>416.79</v>
      </c>
      <c r="D1923" s="9">
        <v>417.54</v>
      </c>
      <c r="E1923" s="9">
        <f t="shared" si="88"/>
        <v>-2.1372688905530065E-2</v>
      </c>
      <c r="F1923" s="9">
        <f t="shared" si="89"/>
        <v>5.7886238955481952E-3</v>
      </c>
      <c r="G1923" s="9">
        <f t="shared" si="90"/>
        <v>1.2604450834534299E-2</v>
      </c>
    </row>
    <row r="1924" spans="1:7" x14ac:dyDescent="0.2">
      <c r="A1924" s="12">
        <v>39695</v>
      </c>
      <c r="B1924" s="9">
        <v>417.27</v>
      </c>
      <c r="C1924" s="9">
        <v>403.01</v>
      </c>
      <c r="D1924" s="9">
        <v>403.57</v>
      </c>
      <c r="E1924" s="9">
        <f t="shared" ref="E1924:E1987" si="91">LN(D1924/D1923)</f>
        <v>-3.4030393388859818E-2</v>
      </c>
      <c r="F1924" s="9">
        <f t="shared" si="89"/>
        <v>-1.4318292243663254E-2</v>
      </c>
      <c r="G1924" s="9">
        <f t="shared" si="90"/>
        <v>1.3853644927622982E-2</v>
      </c>
    </row>
    <row r="1925" spans="1:7" x14ac:dyDescent="0.2">
      <c r="A1925" s="12">
        <v>39696</v>
      </c>
      <c r="B1925" s="9">
        <v>403.27</v>
      </c>
      <c r="C1925" s="9">
        <v>392.32</v>
      </c>
      <c r="D1925" s="9">
        <v>393.04</v>
      </c>
      <c r="E1925" s="9">
        <f t="shared" si="91"/>
        <v>-2.6438566835561124E-2</v>
      </c>
      <c r="F1925" s="9">
        <f t="shared" si="89"/>
        <v>-3.4828084791771186E-2</v>
      </c>
      <c r="G1925" s="9">
        <f t="shared" si="90"/>
        <v>1.4616982220136215E-2</v>
      </c>
    </row>
    <row r="1926" spans="1:7" x14ac:dyDescent="0.2">
      <c r="A1926" s="12">
        <v>39699</v>
      </c>
      <c r="B1926" s="9">
        <v>410.77</v>
      </c>
      <c r="C1926" s="9">
        <v>394.83</v>
      </c>
      <c r="D1926" s="9">
        <v>403.37</v>
      </c>
      <c r="E1926" s="9">
        <f t="shared" si="91"/>
        <v>2.5942867021212263E-2</v>
      </c>
      <c r="F1926" s="9">
        <f t="shared" si="89"/>
        <v>2.7273967167570136E-4</v>
      </c>
      <c r="G1926" s="9">
        <f t="shared" si="90"/>
        <v>1.5341653662272624E-2</v>
      </c>
    </row>
    <row r="1927" spans="1:7" x14ac:dyDescent="0.2">
      <c r="A1927" s="12">
        <v>39700</v>
      </c>
      <c r="B1927" s="9">
        <v>405.74</v>
      </c>
      <c r="C1927" s="9">
        <v>394.94</v>
      </c>
      <c r="D1927" s="9">
        <v>395.51</v>
      </c>
      <c r="E1927" s="9">
        <f t="shared" si="91"/>
        <v>-1.9678183543479728E-2</v>
      </c>
      <c r="F1927" s="9">
        <f t="shared" si="89"/>
        <v>-1.8413035712152612E-2</v>
      </c>
      <c r="G1927" s="9">
        <f t="shared" si="90"/>
        <v>1.5757396686142466E-2</v>
      </c>
    </row>
    <row r="1928" spans="1:7" x14ac:dyDescent="0.2">
      <c r="A1928" s="12">
        <v>39701</v>
      </c>
      <c r="B1928" s="9">
        <v>398.44</v>
      </c>
      <c r="C1928" s="9">
        <v>388.15</v>
      </c>
      <c r="D1928" s="9">
        <v>391.61</v>
      </c>
      <c r="E1928" s="9">
        <f t="shared" si="91"/>
        <v>-9.9096247463235053E-3</v>
      </c>
      <c r="F1928" s="9">
        <f t="shared" si="89"/>
        <v>-5.1242221864556785E-2</v>
      </c>
      <c r="G1928" s="9">
        <f t="shared" si="90"/>
        <v>1.5196688779980936E-2</v>
      </c>
    </row>
    <row r="1929" spans="1:7" x14ac:dyDescent="0.2">
      <c r="A1929" s="12">
        <v>39702</v>
      </c>
      <c r="B1929" s="9">
        <v>391.86</v>
      </c>
      <c r="C1929" s="9">
        <v>379.47</v>
      </c>
      <c r="D1929" s="9">
        <v>385.47</v>
      </c>
      <c r="E1929" s="9">
        <f t="shared" si="91"/>
        <v>-1.5803077628302846E-2</v>
      </c>
      <c r="F1929" s="9">
        <f t="shared" si="89"/>
        <v>-7.9653496599460194E-2</v>
      </c>
      <c r="G1929" s="9">
        <f t="shared" si="90"/>
        <v>1.5158982732841294E-2</v>
      </c>
    </row>
    <row r="1930" spans="1:7" x14ac:dyDescent="0.2">
      <c r="A1930" s="12">
        <v>39703</v>
      </c>
      <c r="B1930" s="9">
        <v>392.9</v>
      </c>
      <c r="C1930" s="9">
        <v>386.46</v>
      </c>
      <c r="D1930" s="9">
        <v>391.83</v>
      </c>
      <c r="E1930" s="9">
        <f t="shared" si="91"/>
        <v>1.6364703294040394E-2</v>
      </c>
      <c r="F1930" s="9">
        <f t="shared" si="89"/>
        <v>-4.7911116985323222E-2</v>
      </c>
      <c r="G1930" s="9">
        <f t="shared" si="90"/>
        <v>1.5346966488861743E-2</v>
      </c>
    </row>
    <row r="1931" spans="1:7" x14ac:dyDescent="0.2">
      <c r="A1931" s="12">
        <v>39706</v>
      </c>
      <c r="B1931" s="9">
        <v>390.83</v>
      </c>
      <c r="C1931" s="9">
        <v>374.6</v>
      </c>
      <c r="D1931" s="9">
        <v>379.7</v>
      </c>
      <c r="E1931" s="9">
        <f t="shared" si="91"/>
        <v>-3.1446605019782831E-2</v>
      </c>
      <c r="F1931" s="9">
        <f t="shared" si="89"/>
        <v>-6.6676082173125567E-2</v>
      </c>
      <c r="G1931" s="9">
        <f t="shared" si="90"/>
        <v>1.6174418766120822E-2</v>
      </c>
    </row>
    <row r="1932" spans="1:7" x14ac:dyDescent="0.2">
      <c r="A1932" s="12">
        <v>39707</v>
      </c>
      <c r="B1932" s="9">
        <v>379.5</v>
      </c>
      <c r="C1932" s="9">
        <v>368.16</v>
      </c>
      <c r="D1932" s="9">
        <v>374.25</v>
      </c>
      <c r="E1932" s="9">
        <f t="shared" si="91"/>
        <v>-1.4457443938018864E-2</v>
      </c>
      <c r="F1932" s="9">
        <f t="shared" si="89"/>
        <v>-9.8547782443223805E-2</v>
      </c>
      <c r="G1932" s="9">
        <f t="shared" si="90"/>
        <v>1.5884249441026392E-2</v>
      </c>
    </row>
    <row r="1933" spans="1:7" x14ac:dyDescent="0.2">
      <c r="A1933" s="12">
        <v>39708</v>
      </c>
      <c r="B1933" s="9">
        <v>384.72</v>
      </c>
      <c r="C1933" s="9">
        <v>368</v>
      </c>
      <c r="D1933" s="9">
        <v>369.97</v>
      </c>
      <c r="E1933" s="9">
        <f t="shared" si="91"/>
        <v>-1.1502102029797213E-2</v>
      </c>
      <c r="F1933" s="9">
        <f t="shared" si="89"/>
        <v>-0.12115000687197515</v>
      </c>
      <c r="G1933" s="9">
        <f t="shared" si="90"/>
        <v>1.5713529975733168E-2</v>
      </c>
    </row>
    <row r="1934" spans="1:7" x14ac:dyDescent="0.2">
      <c r="A1934" s="12">
        <v>39709</v>
      </c>
      <c r="B1934" s="9">
        <v>376.69</v>
      </c>
      <c r="C1934" s="9">
        <v>364.9</v>
      </c>
      <c r="D1934" s="9">
        <v>373.36</v>
      </c>
      <c r="E1934" s="9">
        <f t="shared" si="91"/>
        <v>9.1211803716195194E-3</v>
      </c>
      <c r="F1934" s="9">
        <f t="shared" si="89"/>
        <v>-9.6828398719429637E-2</v>
      </c>
      <c r="G1934" s="9">
        <f t="shared" si="90"/>
        <v>1.5745166903239492E-2</v>
      </c>
    </row>
    <row r="1935" spans="1:7" x14ac:dyDescent="0.2">
      <c r="A1935" s="12">
        <v>39710</v>
      </c>
      <c r="B1935" s="9">
        <v>400.9</v>
      </c>
      <c r="C1935" s="9">
        <v>375.15</v>
      </c>
      <c r="D1935" s="9">
        <v>398.8</v>
      </c>
      <c r="E1935" s="9">
        <f t="shared" si="91"/>
        <v>6.5916936446123175E-2</v>
      </c>
      <c r="F1935" s="9">
        <f t="shared" si="89"/>
        <v>-3.8637061649004552E-2</v>
      </c>
      <c r="G1935" s="9">
        <f t="shared" si="90"/>
        <v>2.0118202123490546E-2</v>
      </c>
    </row>
    <row r="1936" spans="1:7" x14ac:dyDescent="0.2">
      <c r="A1936" s="12">
        <v>39713</v>
      </c>
      <c r="B1936" s="9">
        <v>403.17</v>
      </c>
      <c r="C1936" s="9">
        <v>394.83</v>
      </c>
      <c r="D1936" s="9">
        <v>397.4</v>
      </c>
      <c r="E1936" s="9">
        <f t="shared" si="91"/>
        <v>-3.5167079699668659E-3</v>
      </c>
      <c r="F1936" s="9">
        <f t="shared" si="89"/>
        <v>-4.8310743300647767E-2</v>
      </c>
      <c r="G1936" s="9">
        <f t="shared" si="90"/>
        <v>2.0072233100528327E-2</v>
      </c>
    </row>
    <row r="1937" spans="1:7" x14ac:dyDescent="0.2">
      <c r="A1937" s="12">
        <v>39714</v>
      </c>
      <c r="B1937" s="9">
        <v>396.9</v>
      </c>
      <c r="C1937" s="9">
        <v>385.75</v>
      </c>
      <c r="D1937" s="9">
        <v>385.99</v>
      </c>
      <c r="E1937" s="9">
        <f t="shared" si="91"/>
        <v>-2.9131867724222132E-2</v>
      </c>
      <c r="F1937" s="9">
        <f t="shared" si="89"/>
        <v>-7.5162217809200182E-2</v>
      </c>
      <c r="G1937" s="9">
        <f t="shared" si="90"/>
        <v>2.0692238143785947E-2</v>
      </c>
    </row>
    <row r="1938" spans="1:7" x14ac:dyDescent="0.2">
      <c r="A1938" s="12">
        <v>39715</v>
      </c>
      <c r="B1938" s="9">
        <v>391.9</v>
      </c>
      <c r="C1938" s="9">
        <v>382.81</v>
      </c>
      <c r="D1938" s="9">
        <v>385.41</v>
      </c>
      <c r="E1938" s="9">
        <f t="shared" si="91"/>
        <v>-1.5037596818662875E-3</v>
      </c>
      <c r="F1938" s="9">
        <f t="shared" si="89"/>
        <v>-5.7008490098954971E-2</v>
      </c>
      <c r="G1938" s="9">
        <f t="shared" si="90"/>
        <v>2.0437218454546061E-2</v>
      </c>
    </row>
    <row r="1939" spans="1:7" x14ac:dyDescent="0.2">
      <c r="A1939" s="12">
        <v>39716</v>
      </c>
      <c r="B1939" s="9">
        <v>389.91</v>
      </c>
      <c r="C1939" s="9">
        <v>379.15</v>
      </c>
      <c r="D1939" s="9">
        <v>387.89</v>
      </c>
      <c r="E1939" s="9">
        <f t="shared" si="91"/>
        <v>6.4140915618227127E-3</v>
      </c>
      <c r="F1939" s="9">
        <f t="shared" si="89"/>
        <v>-6.3863166167747704E-2</v>
      </c>
      <c r="G1939" s="9">
        <f t="shared" si="90"/>
        <v>2.0299634406776089E-2</v>
      </c>
    </row>
    <row r="1940" spans="1:7" x14ac:dyDescent="0.2">
      <c r="A1940" s="12">
        <v>39717</v>
      </c>
      <c r="B1940" s="9">
        <v>387.39</v>
      </c>
      <c r="C1940" s="9">
        <v>373.81</v>
      </c>
      <c r="D1940" s="9">
        <v>378.87</v>
      </c>
      <c r="E1940" s="9">
        <f t="shared" si="91"/>
        <v>-2.3528655947262278E-2</v>
      </c>
      <c r="F1940" s="9">
        <f t="shared" si="89"/>
        <v>-0.10129811420954793</v>
      </c>
      <c r="G1940" s="9">
        <f t="shared" si="90"/>
        <v>2.0430115347539173E-2</v>
      </c>
    </row>
    <row r="1941" spans="1:7" x14ac:dyDescent="0.2">
      <c r="A1941" s="12">
        <v>39720</v>
      </c>
      <c r="B1941" s="9">
        <v>378.37</v>
      </c>
      <c r="C1941" s="9">
        <v>357.66</v>
      </c>
      <c r="D1941" s="9">
        <v>358.78</v>
      </c>
      <c r="E1941" s="9">
        <f t="shared" si="91"/>
        <v>-5.448375105524398E-2</v>
      </c>
      <c r="F1941" s="9">
        <f t="shared" si="89"/>
        <v>-0.15061661393195513</v>
      </c>
      <c r="G1941" s="9">
        <f t="shared" si="90"/>
        <v>2.2462200335168526E-2</v>
      </c>
    </row>
    <row r="1942" spans="1:7" x14ac:dyDescent="0.2">
      <c r="A1942" s="12">
        <v>39721</v>
      </c>
      <c r="B1942" s="9">
        <v>363.51</v>
      </c>
      <c r="C1942" s="9">
        <v>341.34</v>
      </c>
      <c r="D1942" s="9">
        <v>351.15</v>
      </c>
      <c r="E1942" s="9">
        <f t="shared" si="91"/>
        <v>-2.1495904665915007E-2</v>
      </c>
      <c r="F1942" s="9">
        <f t="shared" si="89"/>
        <v>-0.1512049895857378</v>
      </c>
      <c r="G1942" s="9">
        <f t="shared" si="90"/>
        <v>2.2476802246988468E-2</v>
      </c>
    </row>
    <row r="1943" spans="1:7" x14ac:dyDescent="0.2">
      <c r="A1943" s="12">
        <v>39722</v>
      </c>
      <c r="B1943" s="9">
        <v>362.44</v>
      </c>
      <c r="C1943" s="9">
        <v>350.32</v>
      </c>
      <c r="D1943" s="9">
        <v>351.55</v>
      </c>
      <c r="E1943" s="9">
        <f t="shared" si="91"/>
        <v>1.138466040141059E-3</v>
      </c>
      <c r="F1943" s="9">
        <f t="shared" si="89"/>
        <v>-0.15006652354559694</v>
      </c>
      <c r="G1943" s="9">
        <f t="shared" si="90"/>
        <v>2.2486564230643259E-2</v>
      </c>
    </row>
    <row r="1944" spans="1:7" x14ac:dyDescent="0.2">
      <c r="A1944" s="12">
        <v>39723</v>
      </c>
      <c r="B1944" s="9">
        <v>354.53</v>
      </c>
      <c r="C1944" s="9">
        <v>337.17</v>
      </c>
      <c r="D1944" s="9">
        <v>341.6</v>
      </c>
      <c r="E1944" s="9">
        <f t="shared" si="91"/>
        <v>-2.8711486730755492E-2</v>
      </c>
      <c r="F1944" s="9">
        <f t="shared" si="89"/>
        <v>-0.18139411670599928</v>
      </c>
      <c r="G1944" s="9">
        <f t="shared" si="90"/>
        <v>2.2845129421768071E-2</v>
      </c>
    </row>
    <row r="1945" spans="1:7" x14ac:dyDescent="0.2">
      <c r="A1945" s="12">
        <v>39724</v>
      </c>
      <c r="B1945" s="9">
        <v>351.48</v>
      </c>
      <c r="C1945" s="9">
        <v>331.79</v>
      </c>
      <c r="D1945" s="9">
        <v>351.47</v>
      </c>
      <c r="E1945" s="9">
        <f t="shared" si="91"/>
        <v>2.8483897187512611E-2</v>
      </c>
      <c r="F1945" s="9">
        <f t="shared" si="89"/>
        <v>-0.16533454822943047</v>
      </c>
      <c r="G1945" s="9">
        <f t="shared" si="90"/>
        <v>2.347241748144286E-2</v>
      </c>
    </row>
    <row r="1946" spans="1:7" x14ac:dyDescent="0.2">
      <c r="A1946" s="12">
        <v>39727</v>
      </c>
      <c r="B1946" s="9">
        <v>350.17</v>
      </c>
      <c r="C1946" s="9">
        <v>312.2</v>
      </c>
      <c r="D1946" s="9">
        <v>312.58999999999997</v>
      </c>
      <c r="E1946" s="9">
        <f t="shared" si="91"/>
        <v>-0.11723193138951055</v>
      </c>
      <c r="F1946" s="9">
        <f t="shared" si="89"/>
        <v>-0.27819190315102066</v>
      </c>
      <c r="G1946" s="9">
        <f t="shared" si="90"/>
        <v>3.109127746825199E-2</v>
      </c>
    </row>
    <row r="1947" spans="1:7" x14ac:dyDescent="0.2">
      <c r="A1947" s="12">
        <v>39728</v>
      </c>
      <c r="B1947" s="9">
        <v>324.76</v>
      </c>
      <c r="C1947" s="9">
        <v>304.64</v>
      </c>
      <c r="D1947" s="9">
        <v>307.70999999999998</v>
      </c>
      <c r="E1947" s="9">
        <f t="shared" si="91"/>
        <v>-1.5734646724987807E-2</v>
      </c>
      <c r="F1947" s="9">
        <f t="shared" si="89"/>
        <v>-0.29094281265688493</v>
      </c>
      <c r="G1947" s="9">
        <f t="shared" si="90"/>
        <v>3.1089490082883423E-2</v>
      </c>
    </row>
    <row r="1948" spans="1:7" x14ac:dyDescent="0.2">
      <c r="A1948" s="12">
        <v>39729</v>
      </c>
      <c r="B1948" s="9">
        <v>311.45999999999998</v>
      </c>
      <c r="C1948" s="9">
        <v>275.91000000000003</v>
      </c>
      <c r="D1948" s="9">
        <v>292.82</v>
      </c>
      <c r="E1948" s="9">
        <f t="shared" si="91"/>
        <v>-4.9599695222093121E-2</v>
      </c>
      <c r="F1948" s="9">
        <f t="shared" si="89"/>
        <v>-0.35907626581903573</v>
      </c>
      <c r="G1948" s="9">
        <f t="shared" si="90"/>
        <v>3.14426115709312E-2</v>
      </c>
    </row>
    <row r="1949" spans="1:7" x14ac:dyDescent="0.2">
      <c r="A1949" s="12">
        <v>39730</v>
      </c>
      <c r="B1949" s="9">
        <v>309.17</v>
      </c>
      <c r="C1949" s="9">
        <v>294.51</v>
      </c>
      <c r="D1949" s="9">
        <v>299.06</v>
      </c>
      <c r="E1949" s="9">
        <f t="shared" si="91"/>
        <v>2.1086136390361637E-2</v>
      </c>
      <c r="F1949" s="9">
        <f t="shared" si="89"/>
        <v>-0.35217409264195221</v>
      </c>
      <c r="G1949" s="9">
        <f t="shared" si="90"/>
        <v>3.1665044520422181E-2</v>
      </c>
    </row>
    <row r="1950" spans="1:7" x14ac:dyDescent="0.2">
      <c r="A1950" s="12">
        <v>39731</v>
      </c>
      <c r="B1950" s="9">
        <v>297.17</v>
      </c>
      <c r="C1950" s="9">
        <v>274.42</v>
      </c>
      <c r="D1950" s="9">
        <v>280.67</v>
      </c>
      <c r="E1950" s="9">
        <f t="shared" si="91"/>
        <v>-6.3464620167444863E-2</v>
      </c>
      <c r="F1950" s="9">
        <f t="shared" si="89"/>
        <v>-0.41281325355879811</v>
      </c>
      <c r="G1950" s="9">
        <f t="shared" si="90"/>
        <v>3.2984363096077871E-2</v>
      </c>
    </row>
    <row r="1951" spans="1:7" x14ac:dyDescent="0.2">
      <c r="A1951" s="12">
        <v>39734</v>
      </c>
      <c r="B1951" s="9">
        <v>311.41000000000003</v>
      </c>
      <c r="C1951" s="9">
        <v>282.56</v>
      </c>
      <c r="D1951" s="9">
        <v>308.63</v>
      </c>
      <c r="E1951" s="9">
        <f t="shared" si="91"/>
        <v>9.4963546436906784E-2</v>
      </c>
      <c r="F1951" s="9">
        <f t="shared" si="89"/>
        <v>-0.31775538751985016</v>
      </c>
      <c r="G1951" s="9">
        <f t="shared" si="90"/>
        <v>3.845464002598481E-2</v>
      </c>
    </row>
    <row r="1952" spans="1:7" x14ac:dyDescent="0.2">
      <c r="A1952" s="12">
        <v>39735</v>
      </c>
      <c r="B1952" s="9">
        <v>335.89</v>
      </c>
      <c r="C1952" s="9">
        <v>311.52</v>
      </c>
      <c r="D1952" s="9">
        <v>317.58999999999997</v>
      </c>
      <c r="E1952" s="9">
        <f t="shared" si="91"/>
        <v>2.8618094306026312E-2</v>
      </c>
      <c r="F1952" s="9">
        <f t="shared" si="89"/>
        <v>-0.29499179425915811</v>
      </c>
      <c r="G1952" s="9">
        <f t="shared" si="90"/>
        <v>3.9010911488372192E-2</v>
      </c>
    </row>
    <row r="1953" spans="1:7" x14ac:dyDescent="0.2">
      <c r="A1953" s="12">
        <v>39736</v>
      </c>
      <c r="B1953" s="9">
        <v>320.36</v>
      </c>
      <c r="C1953" s="9">
        <v>298.57</v>
      </c>
      <c r="D1953" s="9">
        <v>298.57</v>
      </c>
      <c r="E1953" s="9">
        <f t="shared" si="91"/>
        <v>-6.1756831528084241E-2</v>
      </c>
      <c r="F1953" s="9">
        <f t="shared" ref="F1953:F2016" si="92">LN(D1953/D1923)</f>
        <v>-0.33537593688171219</v>
      </c>
      <c r="G1953" s="9">
        <f t="shared" si="90"/>
        <v>4.0104276853714475E-2</v>
      </c>
    </row>
    <row r="1954" spans="1:7" x14ac:dyDescent="0.2">
      <c r="A1954" s="12">
        <v>39737</v>
      </c>
      <c r="B1954" s="9">
        <v>298.17</v>
      </c>
      <c r="C1954" s="9">
        <v>283.58</v>
      </c>
      <c r="D1954" s="9">
        <v>285.7</v>
      </c>
      <c r="E1954" s="9">
        <f t="shared" si="91"/>
        <v>-4.4062101966374112E-2</v>
      </c>
      <c r="F1954" s="9">
        <f t="shared" si="92"/>
        <v>-0.34540764545922659</v>
      </c>
      <c r="G1954" s="9">
        <f t="shared" si="90"/>
        <v>4.0342495510133837E-2</v>
      </c>
    </row>
    <row r="1955" spans="1:7" x14ac:dyDescent="0.2">
      <c r="A1955" s="12">
        <v>39738</v>
      </c>
      <c r="B1955" s="9">
        <v>301.89</v>
      </c>
      <c r="C1955" s="9">
        <v>287.23</v>
      </c>
      <c r="D1955" s="9">
        <v>295.95</v>
      </c>
      <c r="E1955" s="9">
        <f t="shared" si="91"/>
        <v>3.5248211900006668E-2</v>
      </c>
      <c r="F1955" s="9">
        <f t="shared" si="92"/>
        <v>-0.28372086672365887</v>
      </c>
      <c r="G1955" s="9">
        <f t="shared" si="90"/>
        <v>4.1120118567425437E-2</v>
      </c>
    </row>
    <row r="1956" spans="1:7" x14ac:dyDescent="0.2">
      <c r="A1956" s="12">
        <v>39741</v>
      </c>
      <c r="B1956" s="9">
        <v>308.94</v>
      </c>
      <c r="C1956" s="9">
        <v>297.74</v>
      </c>
      <c r="D1956" s="9">
        <v>306.77</v>
      </c>
      <c r="E1956" s="9">
        <f t="shared" si="91"/>
        <v>3.5907760002881955E-2</v>
      </c>
      <c r="F1956" s="9">
        <f t="shared" si="92"/>
        <v>-0.27375597374198918</v>
      </c>
      <c r="G1956" s="9">
        <f t="shared" si="90"/>
        <v>4.1454823143241532E-2</v>
      </c>
    </row>
    <row r="1957" spans="1:7" x14ac:dyDescent="0.2">
      <c r="A1957" s="12">
        <v>39742</v>
      </c>
      <c r="B1957" s="9">
        <v>313.07</v>
      </c>
      <c r="C1957" s="9">
        <v>301.76</v>
      </c>
      <c r="D1957" s="9">
        <v>302.54000000000002</v>
      </c>
      <c r="E1957" s="9">
        <f t="shared" si="91"/>
        <v>-1.3884781005562785E-2</v>
      </c>
      <c r="F1957" s="9">
        <f t="shared" si="92"/>
        <v>-0.26796257120407219</v>
      </c>
      <c r="G1957" s="9">
        <f t="shared" si="90"/>
        <v>4.1417445037276193E-2</v>
      </c>
    </row>
    <row r="1958" spans="1:7" x14ac:dyDescent="0.2">
      <c r="A1958" s="12">
        <v>39743</v>
      </c>
      <c r="B1958" s="9">
        <v>301.94</v>
      </c>
      <c r="C1958" s="9">
        <v>279.02</v>
      </c>
      <c r="D1958" s="9">
        <v>282.7</v>
      </c>
      <c r="E1958" s="9">
        <f t="shared" si="91"/>
        <v>-6.7827235434508679E-2</v>
      </c>
      <c r="F1958" s="9">
        <f t="shared" si="92"/>
        <v>-0.32588018189225731</v>
      </c>
      <c r="G1958" s="9">
        <f t="shared" si="90"/>
        <v>4.2791638701623801E-2</v>
      </c>
    </row>
    <row r="1959" spans="1:7" x14ac:dyDescent="0.2">
      <c r="A1959" s="12">
        <v>39744</v>
      </c>
      <c r="B1959" s="9">
        <v>288.17</v>
      </c>
      <c r="C1959" s="9">
        <v>268.36</v>
      </c>
      <c r="D1959" s="9">
        <v>272.49</v>
      </c>
      <c r="E1959" s="9">
        <f t="shared" si="91"/>
        <v>-3.6784348517312659E-2</v>
      </c>
      <c r="F1959" s="9">
        <f t="shared" si="92"/>
        <v>-0.34686145278126723</v>
      </c>
      <c r="G1959" s="9">
        <f t="shared" ref="G1959:G2022" si="93">STDEV(E1930:E1959)</f>
        <v>4.304586880913952E-2</v>
      </c>
    </row>
    <row r="1960" spans="1:7" x14ac:dyDescent="0.2">
      <c r="A1960" s="12">
        <v>39745</v>
      </c>
      <c r="B1960" s="9">
        <v>271.8</v>
      </c>
      <c r="C1960" s="9">
        <v>250.66</v>
      </c>
      <c r="D1960" s="9">
        <v>255.19</v>
      </c>
      <c r="E1960" s="9">
        <f t="shared" si="91"/>
        <v>-6.5593550432325495E-2</v>
      </c>
      <c r="F1960" s="9">
        <f t="shared" si="92"/>
        <v>-0.42881970650763307</v>
      </c>
      <c r="G1960" s="9">
        <f t="shared" si="93"/>
        <v>4.3806412848692723E-2</v>
      </c>
    </row>
    <row r="1961" spans="1:7" x14ac:dyDescent="0.2">
      <c r="A1961" s="12">
        <v>39748</v>
      </c>
      <c r="B1961" s="9">
        <v>254.59</v>
      </c>
      <c r="C1961" s="9">
        <v>240.05</v>
      </c>
      <c r="D1961" s="9">
        <v>246.21</v>
      </c>
      <c r="E1961" s="9">
        <f t="shared" si="91"/>
        <v>-3.5823535440176413E-2</v>
      </c>
      <c r="F1961" s="9">
        <f t="shared" si="92"/>
        <v>-0.43319663692802668</v>
      </c>
      <c r="G1961" s="9">
        <f t="shared" si="93"/>
        <v>4.3872748171855804E-2</v>
      </c>
    </row>
    <row r="1962" spans="1:7" x14ac:dyDescent="0.2">
      <c r="A1962" s="12">
        <v>39749</v>
      </c>
      <c r="B1962" s="9">
        <v>258.27</v>
      </c>
      <c r="C1962" s="9">
        <v>246.47</v>
      </c>
      <c r="D1962" s="9">
        <v>247.13</v>
      </c>
      <c r="E1962" s="9">
        <f t="shared" si="91"/>
        <v>3.7296836521444436E-3</v>
      </c>
      <c r="F1962" s="9">
        <f t="shared" si="92"/>
        <v>-0.41500950933786329</v>
      </c>
      <c r="G1962" s="9">
        <f t="shared" si="93"/>
        <v>4.3997974183041216E-2</v>
      </c>
    </row>
    <row r="1963" spans="1:7" x14ac:dyDescent="0.2">
      <c r="A1963" s="12">
        <v>39750</v>
      </c>
      <c r="B1963" s="9">
        <v>269.52</v>
      </c>
      <c r="C1963" s="9">
        <v>249.12</v>
      </c>
      <c r="D1963" s="9">
        <v>268.27</v>
      </c>
      <c r="E1963" s="9">
        <f t="shared" si="91"/>
        <v>8.2079422085611323E-2</v>
      </c>
      <c r="F1963" s="9">
        <f t="shared" si="92"/>
        <v>-0.32142798522245469</v>
      </c>
      <c r="G1963" s="9">
        <f t="shared" si="93"/>
        <v>4.7358061925736758E-2</v>
      </c>
    </row>
    <row r="1964" spans="1:7" x14ac:dyDescent="0.2">
      <c r="A1964" s="12">
        <v>39751</v>
      </c>
      <c r="B1964" s="9">
        <v>285.99</v>
      </c>
      <c r="C1964" s="9">
        <v>269.36</v>
      </c>
      <c r="D1964" s="9">
        <v>276.93</v>
      </c>
      <c r="E1964" s="9">
        <f t="shared" si="91"/>
        <v>3.1770830622684085E-2</v>
      </c>
      <c r="F1964" s="9">
        <f t="shared" si="92"/>
        <v>-0.29877833497139034</v>
      </c>
      <c r="G1964" s="9">
        <f t="shared" si="93"/>
        <v>4.7863034883593884E-2</v>
      </c>
    </row>
    <row r="1965" spans="1:7" x14ac:dyDescent="0.2">
      <c r="A1965" s="12">
        <v>39752</v>
      </c>
      <c r="B1965" s="9">
        <v>285.20999999999998</v>
      </c>
      <c r="C1965" s="9">
        <v>274.17</v>
      </c>
      <c r="D1965" s="9">
        <v>285.19</v>
      </c>
      <c r="E1965" s="9">
        <f t="shared" si="91"/>
        <v>2.9390858141641104E-2</v>
      </c>
      <c r="F1965" s="9">
        <f t="shared" si="92"/>
        <v>-0.33530441327587224</v>
      </c>
      <c r="G1965" s="9">
        <f t="shared" si="93"/>
        <v>4.630557970195983E-2</v>
      </c>
    </row>
    <row r="1966" spans="1:7" x14ac:dyDescent="0.2">
      <c r="A1966" s="12">
        <v>39755</v>
      </c>
      <c r="B1966" s="9">
        <v>294.22000000000003</v>
      </c>
      <c r="C1966" s="9">
        <v>282.85000000000002</v>
      </c>
      <c r="D1966" s="9">
        <v>289.98</v>
      </c>
      <c r="E1966" s="9">
        <f t="shared" si="91"/>
        <v>1.6656330273236788E-2</v>
      </c>
      <c r="F1966" s="9">
        <f t="shared" si="92"/>
        <v>-0.31513137503266869</v>
      </c>
      <c r="G1966" s="9">
        <f t="shared" si="93"/>
        <v>4.6566391710870667E-2</v>
      </c>
    </row>
    <row r="1967" spans="1:7" x14ac:dyDescent="0.2">
      <c r="A1967" s="12">
        <v>39756</v>
      </c>
      <c r="B1967" s="9">
        <v>312.92</v>
      </c>
      <c r="C1967" s="9">
        <v>290.08</v>
      </c>
      <c r="D1967" s="9">
        <v>312.88</v>
      </c>
      <c r="E1967" s="9">
        <f t="shared" si="91"/>
        <v>7.6007775362210928E-2</v>
      </c>
      <c r="F1967" s="9">
        <f t="shared" si="92"/>
        <v>-0.20999173194623563</v>
      </c>
      <c r="G1967" s="9">
        <f t="shared" si="93"/>
        <v>4.9008559305922364E-2</v>
      </c>
    </row>
    <row r="1968" spans="1:7" x14ac:dyDescent="0.2">
      <c r="A1968" s="12">
        <v>39757</v>
      </c>
      <c r="B1968" s="9">
        <v>316.98</v>
      </c>
      <c r="C1968" s="9">
        <v>297.49</v>
      </c>
      <c r="D1968" s="9">
        <v>301.2</v>
      </c>
      <c r="E1968" s="9">
        <f t="shared" si="91"/>
        <v>-3.8045234521520192E-2</v>
      </c>
      <c r="F1968" s="9">
        <f t="shared" si="92"/>
        <v>-0.24653320678588958</v>
      </c>
      <c r="G1968" s="9">
        <f t="shared" si="93"/>
        <v>4.9320358959838627E-2</v>
      </c>
    </row>
    <row r="1969" spans="1:7" x14ac:dyDescent="0.2">
      <c r="A1969" s="12">
        <v>39758</v>
      </c>
      <c r="B1969" s="9">
        <v>302.52</v>
      </c>
      <c r="C1969" s="9">
        <v>281.91000000000003</v>
      </c>
      <c r="D1969" s="9">
        <v>281.91000000000003</v>
      </c>
      <c r="E1969" s="9">
        <f t="shared" si="91"/>
        <v>-6.6186624862655058E-2</v>
      </c>
      <c r="F1969" s="9">
        <f t="shared" si="92"/>
        <v>-0.31913392321036727</v>
      </c>
      <c r="G1969" s="9">
        <f t="shared" si="93"/>
        <v>5.0348111359590997E-2</v>
      </c>
    </row>
    <row r="1970" spans="1:7" x14ac:dyDescent="0.2">
      <c r="A1970" s="12">
        <v>39759</v>
      </c>
      <c r="B1970" s="9">
        <v>290.95999999999998</v>
      </c>
      <c r="C1970" s="9">
        <v>280.62</v>
      </c>
      <c r="D1970" s="9">
        <v>281.99</v>
      </c>
      <c r="E1970" s="9">
        <f t="shared" si="91"/>
        <v>2.8373825336659253E-4</v>
      </c>
      <c r="F1970" s="9">
        <f t="shared" si="92"/>
        <v>-0.29532152900973846</v>
      </c>
      <c r="G1970" s="9">
        <f t="shared" si="93"/>
        <v>5.032557515021574E-2</v>
      </c>
    </row>
    <row r="1971" spans="1:7" x14ac:dyDescent="0.2">
      <c r="A1971" s="12">
        <v>39762</v>
      </c>
      <c r="B1971" s="9">
        <v>293.45</v>
      </c>
      <c r="C1971" s="9">
        <v>283.18</v>
      </c>
      <c r="D1971" s="9">
        <v>290.14999999999998</v>
      </c>
      <c r="E1971" s="9">
        <f t="shared" si="91"/>
        <v>2.8526421320167167E-2</v>
      </c>
      <c r="F1971" s="9">
        <f t="shared" si="92"/>
        <v>-0.21231135663432724</v>
      </c>
      <c r="G1971" s="9">
        <f t="shared" si="93"/>
        <v>5.0067934059099692E-2</v>
      </c>
    </row>
    <row r="1972" spans="1:7" x14ac:dyDescent="0.2">
      <c r="A1972" s="12">
        <v>39763</v>
      </c>
      <c r="B1972" s="9">
        <v>289.45999999999998</v>
      </c>
      <c r="C1972" s="9">
        <v>274.39999999999998</v>
      </c>
      <c r="D1972" s="9">
        <v>276.37</v>
      </c>
      <c r="E1972" s="9">
        <f t="shared" si="91"/>
        <v>-4.8657482984032413E-2</v>
      </c>
      <c r="F1972" s="9">
        <f t="shared" si="92"/>
        <v>-0.23947293495244462</v>
      </c>
      <c r="G1972" s="9">
        <f t="shared" si="93"/>
        <v>5.0580621951523491E-2</v>
      </c>
    </row>
    <row r="1973" spans="1:7" x14ac:dyDescent="0.2">
      <c r="A1973" s="12">
        <v>39764</v>
      </c>
      <c r="B1973" s="9">
        <v>279.83</v>
      </c>
      <c r="C1973" s="9">
        <v>265.10000000000002</v>
      </c>
      <c r="D1973" s="9">
        <v>266.8</v>
      </c>
      <c r="E1973" s="9">
        <f t="shared" si="91"/>
        <v>-3.5241233611116092E-2</v>
      </c>
      <c r="F1973" s="9">
        <f t="shared" si="92"/>
        <v>-0.27585263460370169</v>
      </c>
      <c r="G1973" s="9">
        <f t="shared" si="93"/>
        <v>5.0790073579852615E-2</v>
      </c>
    </row>
    <row r="1974" spans="1:7" x14ac:dyDescent="0.2">
      <c r="A1974" s="12">
        <v>39765</v>
      </c>
      <c r="B1974" s="9">
        <v>272.14999999999998</v>
      </c>
      <c r="C1974" s="9">
        <v>261.92</v>
      </c>
      <c r="D1974" s="9">
        <v>267.45</v>
      </c>
      <c r="E1974" s="9">
        <f t="shared" si="91"/>
        <v>2.4333189357903994E-3</v>
      </c>
      <c r="F1974" s="9">
        <f t="shared" si="92"/>
        <v>-0.24470782893715576</v>
      </c>
      <c r="G1974" s="9">
        <f t="shared" si="93"/>
        <v>5.0695613757441457E-2</v>
      </c>
    </row>
    <row r="1975" spans="1:7" x14ac:dyDescent="0.2">
      <c r="A1975" s="12">
        <v>39766</v>
      </c>
      <c r="B1975" s="9">
        <v>278.66000000000003</v>
      </c>
      <c r="C1975" s="9">
        <v>267.20999999999998</v>
      </c>
      <c r="D1975" s="9">
        <v>268.8</v>
      </c>
      <c r="E1975" s="9">
        <f t="shared" si="91"/>
        <v>5.0349756717353545E-3</v>
      </c>
      <c r="F1975" s="9">
        <f t="shared" si="92"/>
        <v>-0.26815675045293297</v>
      </c>
      <c r="G1975" s="9">
        <f t="shared" si="93"/>
        <v>5.0290350155829326E-2</v>
      </c>
    </row>
    <row r="1976" spans="1:7" x14ac:dyDescent="0.2">
      <c r="A1976" s="12">
        <v>39769</v>
      </c>
      <c r="B1976" s="9">
        <v>270.74</v>
      </c>
      <c r="C1976" s="9">
        <v>259.48</v>
      </c>
      <c r="D1976" s="9">
        <v>262.89</v>
      </c>
      <c r="E1976" s="9">
        <f t="shared" si="91"/>
        <v>-2.2231914913125633E-2</v>
      </c>
      <c r="F1976" s="9">
        <f t="shared" si="92"/>
        <v>-0.17315673397654807</v>
      </c>
      <c r="G1976" s="9">
        <f t="shared" si="93"/>
        <v>4.6048282566176921E-2</v>
      </c>
    </row>
    <row r="1977" spans="1:7" x14ac:dyDescent="0.2">
      <c r="A1977" s="12">
        <v>39770</v>
      </c>
      <c r="B1977" s="9">
        <v>263.27999999999997</v>
      </c>
      <c r="C1977" s="9">
        <v>252.43</v>
      </c>
      <c r="D1977" s="9">
        <v>259.08999999999997</v>
      </c>
      <c r="E1977" s="9">
        <f t="shared" si="91"/>
        <v>-1.4560202049628946E-2</v>
      </c>
      <c r="F1977" s="9">
        <f t="shared" si="92"/>
        <v>-0.17198228930118928</v>
      </c>
      <c r="G1977" s="9">
        <f t="shared" si="93"/>
        <v>4.6040019107809763E-2</v>
      </c>
    </row>
    <row r="1978" spans="1:7" x14ac:dyDescent="0.2">
      <c r="A1978" s="12">
        <v>39771</v>
      </c>
      <c r="B1978" s="9">
        <v>259.36</v>
      </c>
      <c r="C1978" s="9">
        <v>245.89</v>
      </c>
      <c r="D1978" s="9">
        <v>249.53</v>
      </c>
      <c r="E1978" s="9">
        <f t="shared" si="91"/>
        <v>-3.7596343242011949E-2</v>
      </c>
      <c r="F1978" s="9">
        <f t="shared" si="92"/>
        <v>-0.15997893732110802</v>
      </c>
      <c r="G1978" s="9">
        <f t="shared" si="93"/>
        <v>4.5696523018936903E-2</v>
      </c>
    </row>
    <row r="1979" spans="1:7" x14ac:dyDescent="0.2">
      <c r="A1979" s="12">
        <v>39772</v>
      </c>
      <c r="B1979" s="9">
        <v>248.53</v>
      </c>
      <c r="C1979" s="9">
        <v>231.03</v>
      </c>
      <c r="D1979" s="9">
        <v>236.79</v>
      </c>
      <c r="E1979" s="9">
        <f t="shared" si="91"/>
        <v>-5.240547605580733E-2</v>
      </c>
      <c r="F1979" s="9">
        <f t="shared" si="92"/>
        <v>-0.23347054976727694</v>
      </c>
      <c r="G1979" s="9">
        <f t="shared" si="93"/>
        <v>4.6198545206460592E-2</v>
      </c>
    </row>
    <row r="1980" spans="1:7" x14ac:dyDescent="0.2">
      <c r="A1980" s="12">
        <v>39773</v>
      </c>
      <c r="B1980" s="9">
        <v>243.49</v>
      </c>
      <c r="C1980" s="9">
        <v>233.26</v>
      </c>
      <c r="D1980" s="9">
        <v>233.95</v>
      </c>
      <c r="E1980" s="9">
        <f t="shared" si="91"/>
        <v>-1.2066255076195459E-2</v>
      </c>
      <c r="F1980" s="9">
        <f t="shared" si="92"/>
        <v>-0.18207218467602751</v>
      </c>
      <c r="G1980" s="9">
        <f t="shared" si="93"/>
        <v>4.4999861634923283E-2</v>
      </c>
    </row>
    <row r="1981" spans="1:7" x14ac:dyDescent="0.2">
      <c r="A1981" s="12">
        <v>39776</v>
      </c>
      <c r="B1981" s="9">
        <v>246.04</v>
      </c>
      <c r="C1981" s="9">
        <v>234.64</v>
      </c>
      <c r="D1981" s="9">
        <v>245.91</v>
      </c>
      <c r="E1981" s="9">
        <f t="shared" si="91"/>
        <v>4.985819802082378E-2</v>
      </c>
      <c r="F1981" s="9">
        <f t="shared" si="92"/>
        <v>-0.22717753309211053</v>
      </c>
      <c r="G1981" s="9">
        <f t="shared" si="93"/>
        <v>4.2172507764017306E-2</v>
      </c>
    </row>
    <row r="1982" spans="1:7" x14ac:dyDescent="0.2">
      <c r="A1982" s="12">
        <v>39777</v>
      </c>
      <c r="B1982" s="9">
        <v>255.55</v>
      </c>
      <c r="C1982" s="9">
        <v>246.01</v>
      </c>
      <c r="D1982" s="9">
        <v>252.12</v>
      </c>
      <c r="E1982" s="9">
        <f t="shared" si="91"/>
        <v>2.4939549311860435E-2</v>
      </c>
      <c r="F1982" s="9">
        <f t="shared" si="92"/>
        <v>-0.23085607808627631</v>
      </c>
      <c r="G1982" s="9">
        <f t="shared" si="93"/>
        <v>4.2068873938300388E-2</v>
      </c>
    </row>
    <row r="1983" spans="1:7" x14ac:dyDescent="0.2">
      <c r="A1983" s="12">
        <v>39778</v>
      </c>
      <c r="B1983" s="9">
        <v>255.74</v>
      </c>
      <c r="C1983" s="9">
        <v>247.79</v>
      </c>
      <c r="D1983" s="9">
        <v>250.3</v>
      </c>
      <c r="E1983" s="9">
        <f t="shared" si="91"/>
        <v>-7.24496620718083E-3</v>
      </c>
      <c r="F1983" s="9">
        <f t="shared" si="92"/>
        <v>-0.17634421276537288</v>
      </c>
      <c r="G1983" s="9">
        <f t="shared" si="93"/>
        <v>4.0811765553716711E-2</v>
      </c>
    </row>
    <row r="1984" spans="1:7" x14ac:dyDescent="0.2">
      <c r="A1984" s="12">
        <v>39779</v>
      </c>
      <c r="B1984" s="9">
        <v>261.25</v>
      </c>
      <c r="C1984" s="9">
        <v>251.09</v>
      </c>
      <c r="D1984" s="9">
        <v>261.2</v>
      </c>
      <c r="E1984" s="9">
        <f t="shared" si="91"/>
        <v>4.2626198964547363E-2</v>
      </c>
      <c r="F1984" s="9">
        <f t="shared" si="92"/>
        <v>-8.9655911834451429E-2</v>
      </c>
      <c r="G1984" s="9">
        <f t="shared" si="93"/>
        <v>4.1082997010468907E-2</v>
      </c>
    </row>
    <row r="1985" spans="1:7" x14ac:dyDescent="0.2">
      <c r="A1985" s="12">
        <v>39780</v>
      </c>
      <c r="B1985" s="9">
        <v>263.05</v>
      </c>
      <c r="C1985" s="9">
        <v>256.76</v>
      </c>
      <c r="D1985" s="9">
        <v>263.05</v>
      </c>
      <c r="E1985" s="9">
        <f t="shared" si="91"/>
        <v>7.0577307745404239E-3</v>
      </c>
      <c r="F1985" s="9">
        <f t="shared" si="92"/>
        <v>-0.11784639295991774</v>
      </c>
      <c r="G1985" s="9">
        <f t="shared" si="93"/>
        <v>4.0496468748627619E-2</v>
      </c>
    </row>
    <row r="1986" spans="1:7" x14ac:dyDescent="0.2">
      <c r="A1986" s="12">
        <v>39783</v>
      </c>
      <c r="B1986" s="9">
        <v>263.55</v>
      </c>
      <c r="C1986" s="9">
        <v>254.75</v>
      </c>
      <c r="D1986" s="9">
        <v>257.33</v>
      </c>
      <c r="E1986" s="9">
        <f t="shared" si="91"/>
        <v>-2.1984820271921137E-2</v>
      </c>
      <c r="F1986" s="9">
        <f t="shared" si="92"/>
        <v>-0.17573897323472085</v>
      </c>
      <c r="G1986" s="9">
        <f t="shared" si="93"/>
        <v>3.9907813339259877E-2</v>
      </c>
    </row>
    <row r="1987" spans="1:7" x14ac:dyDescent="0.2">
      <c r="A1987" s="12">
        <v>39784</v>
      </c>
      <c r="B1987" s="9">
        <v>256.14</v>
      </c>
      <c r="C1987" s="9">
        <v>244.64</v>
      </c>
      <c r="D1987" s="9">
        <v>255.64</v>
      </c>
      <c r="E1987" s="9">
        <f t="shared" si="91"/>
        <v>-6.5891031228141579E-3</v>
      </c>
      <c r="F1987" s="9">
        <f t="shared" si="92"/>
        <v>-0.16844329535197233</v>
      </c>
      <c r="G1987" s="9">
        <f t="shared" si="93"/>
        <v>3.987943207177741E-2</v>
      </c>
    </row>
    <row r="1988" spans="1:7" x14ac:dyDescent="0.2">
      <c r="A1988" s="12">
        <v>39785</v>
      </c>
      <c r="B1988" s="9">
        <v>256.41000000000003</v>
      </c>
      <c r="C1988" s="9">
        <v>251.17</v>
      </c>
      <c r="D1988" s="9">
        <v>254.22</v>
      </c>
      <c r="E1988" s="9">
        <f t="shared" ref="E1988:E2051" si="94">LN(D1988/D1987)</f>
        <v>-5.5701709155581529E-3</v>
      </c>
      <c r="F1988" s="9">
        <f t="shared" si="92"/>
        <v>-0.10618623083302173</v>
      </c>
      <c r="G1988" s="9">
        <f t="shared" si="93"/>
        <v>3.8111052720140086E-2</v>
      </c>
    </row>
    <row r="1989" spans="1:7" x14ac:dyDescent="0.2">
      <c r="A1989" s="12">
        <v>39786</v>
      </c>
      <c r="B1989" s="9">
        <v>261.17</v>
      </c>
      <c r="C1989" s="9">
        <v>252.61</v>
      </c>
      <c r="D1989" s="9">
        <v>255.06</v>
      </c>
      <c r="E1989" s="9">
        <f t="shared" si="94"/>
        <v>3.2987777322309305E-3</v>
      </c>
      <c r="F1989" s="9">
        <f t="shared" si="92"/>
        <v>-6.6103104583478164E-2</v>
      </c>
      <c r="G1989" s="9">
        <f t="shared" si="93"/>
        <v>3.7604616365759957E-2</v>
      </c>
    </row>
    <row r="1990" spans="1:7" x14ac:dyDescent="0.2">
      <c r="A1990" s="12">
        <v>39787</v>
      </c>
      <c r="B1990" s="9">
        <v>254.96</v>
      </c>
      <c r="C1990" s="9">
        <v>245.57</v>
      </c>
      <c r="D1990" s="9">
        <v>246.18</v>
      </c>
      <c r="E1990" s="9">
        <f t="shared" si="94"/>
        <v>-3.5435835916604007E-2</v>
      </c>
      <c r="F1990" s="9">
        <f t="shared" si="92"/>
        <v>-3.5945390067756669E-2</v>
      </c>
      <c r="G1990" s="9">
        <f t="shared" si="93"/>
        <v>3.6229573353633159E-2</v>
      </c>
    </row>
    <row r="1991" spans="1:7" x14ac:dyDescent="0.2">
      <c r="A1991" s="12">
        <v>39790</v>
      </c>
      <c r="B1991" s="9">
        <v>262.2</v>
      </c>
      <c r="C1991" s="9">
        <v>247.47</v>
      </c>
      <c r="D1991" s="9">
        <v>262.17</v>
      </c>
      <c r="E1991" s="9">
        <f t="shared" si="94"/>
        <v>6.2930172625412853E-2</v>
      </c>
      <c r="F1991" s="9">
        <f t="shared" si="92"/>
        <v>6.2808317997832722E-2</v>
      </c>
      <c r="G1991" s="9">
        <f t="shared" si="93"/>
        <v>3.7441140652146113E-2</v>
      </c>
    </row>
    <row r="1992" spans="1:7" x14ac:dyDescent="0.2">
      <c r="A1992" s="12">
        <v>39791</v>
      </c>
      <c r="B1992" s="9">
        <v>265.99</v>
      </c>
      <c r="C1992" s="9">
        <v>257.62</v>
      </c>
      <c r="D1992" s="9">
        <v>265.86</v>
      </c>
      <c r="E1992" s="9">
        <f t="shared" si="94"/>
        <v>1.3976706131890474E-2</v>
      </c>
      <c r="F1992" s="9">
        <f t="shared" si="92"/>
        <v>7.3055340477578584E-2</v>
      </c>
      <c r="G1992" s="9">
        <f t="shared" si="93"/>
        <v>3.7503270000912706E-2</v>
      </c>
    </row>
    <row r="1993" spans="1:7" x14ac:dyDescent="0.2">
      <c r="A1993" s="12">
        <v>39792</v>
      </c>
      <c r="B1993" s="9">
        <v>265.63</v>
      </c>
      <c r="C1993" s="9">
        <v>258.20999999999998</v>
      </c>
      <c r="D1993" s="9">
        <v>261.04000000000002</v>
      </c>
      <c r="E1993" s="9">
        <f t="shared" si="94"/>
        <v>-1.8296202154387962E-2</v>
      </c>
      <c r="F1993" s="9">
        <f t="shared" si="92"/>
        <v>-2.7320283762420638E-2</v>
      </c>
      <c r="G1993" s="9">
        <f t="shared" si="93"/>
        <v>3.451092024790485E-2</v>
      </c>
    </row>
    <row r="1994" spans="1:7" x14ac:dyDescent="0.2">
      <c r="A1994" s="12">
        <v>39793</v>
      </c>
      <c r="B1994" s="9">
        <v>261.31</v>
      </c>
      <c r="C1994" s="9">
        <v>255.56</v>
      </c>
      <c r="D1994" s="9">
        <v>257.41000000000003</v>
      </c>
      <c r="E1994" s="9">
        <f t="shared" si="94"/>
        <v>-1.4003507838832091E-2</v>
      </c>
      <c r="F1994" s="9">
        <f t="shared" si="92"/>
        <v>-7.3094622223936714E-2</v>
      </c>
      <c r="G1994" s="9">
        <f t="shared" si="93"/>
        <v>3.402463774225415E-2</v>
      </c>
    </row>
    <row r="1995" spans="1:7" x14ac:dyDescent="0.2">
      <c r="A1995" s="12">
        <v>39794</v>
      </c>
      <c r="B1995" s="9">
        <v>256.70999999999998</v>
      </c>
      <c r="C1995" s="9">
        <v>249.47</v>
      </c>
      <c r="D1995" s="9">
        <v>253.04</v>
      </c>
      <c r="E1995" s="9">
        <f t="shared" si="94"/>
        <v>-1.7122565448839885E-2</v>
      </c>
      <c r="F1995" s="9">
        <f t="shared" si="92"/>
        <v>-0.11960804581441768</v>
      </c>
      <c r="G1995" s="9">
        <f t="shared" si="93"/>
        <v>3.3581187044213652E-2</v>
      </c>
    </row>
    <row r="1996" spans="1:7" x14ac:dyDescent="0.2">
      <c r="A1996" s="12">
        <v>39797</v>
      </c>
      <c r="B1996" s="9">
        <v>258.77999999999997</v>
      </c>
      <c r="C1996" s="9">
        <v>253.66</v>
      </c>
      <c r="D1996" s="9">
        <v>254.96</v>
      </c>
      <c r="E1996" s="9">
        <f t="shared" si="94"/>
        <v>7.5590911116876986E-3</v>
      </c>
      <c r="F1996" s="9">
        <f t="shared" si="92"/>
        <v>-0.1287052849759667</v>
      </c>
      <c r="G1996" s="9">
        <f t="shared" si="93"/>
        <v>3.3429078420536863E-2</v>
      </c>
    </row>
    <row r="1997" spans="1:7" x14ac:dyDescent="0.2">
      <c r="A1997" s="12">
        <v>39798</v>
      </c>
      <c r="B1997" s="9">
        <v>255.04</v>
      </c>
      <c r="C1997" s="9">
        <v>251.22</v>
      </c>
      <c r="D1997" s="9">
        <v>252.66</v>
      </c>
      <c r="E1997" s="9">
        <f t="shared" si="94"/>
        <v>-9.061958707189597E-3</v>
      </c>
      <c r="F1997" s="9">
        <f t="shared" si="92"/>
        <v>-0.21377501904536725</v>
      </c>
      <c r="G1997" s="9">
        <f t="shared" si="93"/>
        <v>2.9793181047652301E-2</v>
      </c>
    </row>
    <row r="1998" spans="1:7" x14ac:dyDescent="0.2">
      <c r="A1998" s="12">
        <v>39799</v>
      </c>
      <c r="B1998" s="9">
        <v>257.45999999999998</v>
      </c>
      <c r="C1998" s="9">
        <v>249.95</v>
      </c>
      <c r="D1998" s="9">
        <v>253.13</v>
      </c>
      <c r="E1998" s="9">
        <f t="shared" si="94"/>
        <v>1.8584793502422971E-3</v>
      </c>
      <c r="F1998" s="9">
        <f t="shared" si="92"/>
        <v>-0.17387130517360486</v>
      </c>
      <c r="G1998" s="9">
        <f t="shared" si="93"/>
        <v>2.9250998890738997E-2</v>
      </c>
    </row>
    <row r="1999" spans="1:7" x14ac:dyDescent="0.2">
      <c r="A1999" s="12">
        <v>39800</v>
      </c>
      <c r="B1999" s="9">
        <v>253.43</v>
      </c>
      <c r="C1999" s="9">
        <v>248.39</v>
      </c>
      <c r="D1999" s="9">
        <v>250.03</v>
      </c>
      <c r="E1999" s="9">
        <f t="shared" si="94"/>
        <v>-1.2322280089311318E-2</v>
      </c>
      <c r="F1999" s="9">
        <f t="shared" si="92"/>
        <v>-0.120006960400261</v>
      </c>
      <c r="G1999" s="9">
        <f t="shared" si="93"/>
        <v>2.6981365491786372E-2</v>
      </c>
    </row>
    <row r="2000" spans="1:7" x14ac:dyDescent="0.2">
      <c r="A2000" s="12">
        <v>39801</v>
      </c>
      <c r="B2000" s="9">
        <v>250.04</v>
      </c>
      <c r="C2000" s="9">
        <v>246.71</v>
      </c>
      <c r="D2000" s="9">
        <v>248.85</v>
      </c>
      <c r="E2000" s="9">
        <f t="shared" si="94"/>
        <v>-4.7306053582592527E-3</v>
      </c>
      <c r="F2000" s="9">
        <f t="shared" si="92"/>
        <v>-0.12502130401188677</v>
      </c>
      <c r="G2000" s="9">
        <f t="shared" si="93"/>
        <v>2.6969440785900235E-2</v>
      </c>
    </row>
    <row r="2001" spans="1:7" x14ac:dyDescent="0.2">
      <c r="A2001" s="12">
        <v>39804</v>
      </c>
      <c r="B2001" s="9">
        <v>248.92</v>
      </c>
      <c r="C2001" s="9">
        <v>243.99</v>
      </c>
      <c r="D2001" s="9">
        <v>246.39</v>
      </c>
      <c r="E2001" s="9">
        <f t="shared" si="94"/>
        <v>-9.9346588843526335E-3</v>
      </c>
      <c r="F2001" s="9">
        <f t="shared" si="92"/>
        <v>-0.16348238421640668</v>
      </c>
      <c r="G2001" s="9">
        <f t="shared" si="93"/>
        <v>2.6266695820337336E-2</v>
      </c>
    </row>
    <row r="2002" spans="1:7" x14ac:dyDescent="0.2">
      <c r="A2002" s="12">
        <v>39805</v>
      </c>
      <c r="B2002" s="9">
        <v>247.1</v>
      </c>
      <c r="C2002" s="9">
        <v>244.23</v>
      </c>
      <c r="D2002" s="9">
        <v>245.95</v>
      </c>
      <c r="E2002" s="9">
        <f t="shared" si="94"/>
        <v>-1.7873831788617733E-3</v>
      </c>
      <c r="F2002" s="9">
        <f t="shared" si="92"/>
        <v>-0.11661228441123597</v>
      </c>
      <c r="G2002" s="9">
        <f t="shared" si="93"/>
        <v>2.4969972468759864E-2</v>
      </c>
    </row>
    <row r="2003" spans="1:7" x14ac:dyDescent="0.2">
      <c r="A2003" s="12">
        <v>39811</v>
      </c>
      <c r="B2003" s="9">
        <v>250.15</v>
      </c>
      <c r="C2003" s="9">
        <v>245.37</v>
      </c>
      <c r="D2003" s="9">
        <v>247.02</v>
      </c>
      <c r="E2003" s="9">
        <f t="shared" si="94"/>
        <v>4.3410417685194923E-3</v>
      </c>
      <c r="F2003" s="9">
        <f t="shared" si="92"/>
        <v>-7.7030009031600316E-2</v>
      </c>
      <c r="G2003" s="9">
        <f t="shared" si="93"/>
        <v>2.4292669352838768E-2</v>
      </c>
    </row>
    <row r="2004" spans="1:7" x14ac:dyDescent="0.2">
      <c r="A2004" s="12">
        <v>39812</v>
      </c>
      <c r="B2004" s="9">
        <v>250.27</v>
      </c>
      <c r="C2004" s="9">
        <v>247.02</v>
      </c>
      <c r="D2004" s="9">
        <v>247.72</v>
      </c>
      <c r="E2004" s="9">
        <f t="shared" si="94"/>
        <v>2.8297710599917412E-3</v>
      </c>
      <c r="F2004" s="9">
        <f t="shared" si="92"/>
        <v>-7.663355690739887E-2</v>
      </c>
      <c r="G2004" s="9">
        <f t="shared" si="93"/>
        <v>2.429559132876551E-2</v>
      </c>
    </row>
    <row r="2005" spans="1:7" x14ac:dyDescent="0.2">
      <c r="A2005" s="12">
        <v>39815</v>
      </c>
      <c r="B2005" s="9">
        <v>260.20999999999998</v>
      </c>
      <c r="C2005" s="9">
        <v>248.51</v>
      </c>
      <c r="D2005" s="9">
        <v>260.13</v>
      </c>
      <c r="E2005" s="9">
        <f t="shared" si="94"/>
        <v>4.8882429987318503E-2</v>
      </c>
      <c r="F2005" s="9">
        <f t="shared" si="92"/>
        <v>-3.278610259181574E-2</v>
      </c>
      <c r="G2005" s="9">
        <f t="shared" si="93"/>
        <v>2.6025228971734198E-2</v>
      </c>
    </row>
    <row r="2006" spans="1:7" x14ac:dyDescent="0.2">
      <c r="A2006" s="12">
        <v>39818</v>
      </c>
      <c r="B2006" s="9">
        <v>275.38</v>
      </c>
      <c r="C2006" s="9">
        <v>260.52999999999997</v>
      </c>
      <c r="D2006" s="9">
        <v>275.38</v>
      </c>
      <c r="E2006" s="9">
        <f t="shared" si="94"/>
        <v>5.6970455959047532E-2</v>
      </c>
      <c r="F2006" s="9">
        <f t="shared" si="92"/>
        <v>4.6416268280357331E-2</v>
      </c>
      <c r="G2006" s="9">
        <f t="shared" si="93"/>
        <v>2.7765926678267459E-2</v>
      </c>
    </row>
    <row r="2007" spans="1:7" x14ac:dyDescent="0.2">
      <c r="A2007" s="12">
        <v>39819</v>
      </c>
      <c r="B2007" s="9">
        <v>281.38</v>
      </c>
      <c r="C2007" s="9">
        <v>269.27999999999997</v>
      </c>
      <c r="D2007" s="9">
        <v>280.45</v>
      </c>
      <c r="E2007" s="9">
        <f t="shared" si="94"/>
        <v>1.8243493938119599E-2</v>
      </c>
      <c r="F2007" s="9">
        <f t="shared" si="92"/>
        <v>7.9219964268105861E-2</v>
      </c>
      <c r="G2007" s="9">
        <f t="shared" si="93"/>
        <v>2.7755646628287597E-2</v>
      </c>
    </row>
    <row r="2008" spans="1:7" x14ac:dyDescent="0.2">
      <c r="A2008" s="12">
        <v>39820</v>
      </c>
      <c r="B2008" s="9">
        <v>280.48</v>
      </c>
      <c r="C2008" s="9">
        <v>271.07</v>
      </c>
      <c r="D2008" s="9">
        <v>271.07</v>
      </c>
      <c r="E2008" s="9">
        <f t="shared" si="94"/>
        <v>-3.4018365845987809E-2</v>
      </c>
      <c r="F2008" s="9">
        <f t="shared" si="92"/>
        <v>8.2797941664130001E-2</v>
      </c>
      <c r="G2008" s="9">
        <f t="shared" si="93"/>
        <v>2.7583942510985487E-2</v>
      </c>
    </row>
    <row r="2009" spans="1:7" x14ac:dyDescent="0.2">
      <c r="A2009" s="12">
        <v>39821</v>
      </c>
      <c r="B2009" s="9">
        <v>273.95999999999998</v>
      </c>
      <c r="C2009" s="9">
        <v>265.77999999999997</v>
      </c>
      <c r="D2009" s="9">
        <v>272.14</v>
      </c>
      <c r="E2009" s="9">
        <f t="shared" si="94"/>
        <v>3.9395496543542068E-3</v>
      </c>
      <c r="F2009" s="9">
        <f t="shared" si="92"/>
        <v>0.1391429673742916</v>
      </c>
      <c r="G2009" s="9">
        <f t="shared" si="93"/>
        <v>2.5540830443351117E-2</v>
      </c>
    </row>
    <row r="2010" spans="1:7" x14ac:dyDescent="0.2">
      <c r="A2010" s="12">
        <v>39822</v>
      </c>
      <c r="B2010" s="9">
        <v>276.66000000000003</v>
      </c>
      <c r="C2010" s="9">
        <v>271.51</v>
      </c>
      <c r="D2010" s="9">
        <v>271.86</v>
      </c>
      <c r="E2010" s="9">
        <f t="shared" si="94"/>
        <v>-1.0294118556104519E-3</v>
      </c>
      <c r="F2010" s="9">
        <f t="shared" si="92"/>
        <v>0.15017981059487664</v>
      </c>
      <c r="G2010" s="9">
        <f t="shared" si="93"/>
        <v>2.5370843577733844E-2</v>
      </c>
    </row>
    <row r="2011" spans="1:7" x14ac:dyDescent="0.2">
      <c r="A2011" s="12">
        <v>39825</v>
      </c>
      <c r="B2011" s="9">
        <v>273.27999999999997</v>
      </c>
      <c r="C2011" s="9">
        <v>269.22000000000003</v>
      </c>
      <c r="D2011" s="9">
        <v>270.45999999999998</v>
      </c>
      <c r="E2011" s="9">
        <f t="shared" si="94"/>
        <v>-5.1630148618881742E-3</v>
      </c>
      <c r="F2011" s="9">
        <f t="shared" si="92"/>
        <v>9.51585977121647E-2</v>
      </c>
      <c r="G2011" s="9">
        <f t="shared" si="93"/>
        <v>2.3966563478309482E-2</v>
      </c>
    </row>
    <row r="2012" spans="1:7" x14ac:dyDescent="0.2">
      <c r="A2012" s="12">
        <v>39826</v>
      </c>
      <c r="B2012" s="9">
        <v>270.17</v>
      </c>
      <c r="C2012" s="9">
        <v>264.12</v>
      </c>
      <c r="D2012" s="9">
        <v>266.63</v>
      </c>
      <c r="E2012" s="9">
        <f t="shared" si="94"/>
        <v>-1.4262283499387728E-2</v>
      </c>
      <c r="F2012" s="9">
        <f t="shared" si="92"/>
        <v>5.5956764900916542E-2</v>
      </c>
      <c r="G2012" s="9">
        <f t="shared" si="93"/>
        <v>2.380697306855423E-2</v>
      </c>
    </row>
    <row r="2013" spans="1:7" x14ac:dyDescent="0.2">
      <c r="A2013" s="12">
        <v>39827</v>
      </c>
      <c r="B2013" s="9">
        <v>268.79000000000002</v>
      </c>
      <c r="C2013" s="9">
        <v>252.06</v>
      </c>
      <c r="D2013" s="9">
        <v>252.17</v>
      </c>
      <c r="E2013" s="9">
        <f t="shared" si="94"/>
        <v>-5.5758466302237929E-2</v>
      </c>
      <c r="F2013" s="9">
        <f t="shared" si="92"/>
        <v>7.4432648058595152E-3</v>
      </c>
      <c r="G2013" s="9">
        <f t="shared" si="93"/>
        <v>2.5994315895821251E-2</v>
      </c>
    </row>
    <row r="2014" spans="1:7" x14ac:dyDescent="0.2">
      <c r="A2014" s="12">
        <v>39828</v>
      </c>
      <c r="B2014" s="9">
        <v>261.14999999999998</v>
      </c>
      <c r="C2014" s="9">
        <v>250.09</v>
      </c>
      <c r="D2014" s="9">
        <v>255</v>
      </c>
      <c r="E2014" s="9">
        <f t="shared" si="94"/>
        <v>1.1160081914838098E-2</v>
      </c>
      <c r="F2014" s="9">
        <f t="shared" si="92"/>
        <v>-2.4022852243849802E-2</v>
      </c>
      <c r="G2014" s="9">
        <f t="shared" si="93"/>
        <v>2.4834343612149267E-2</v>
      </c>
    </row>
    <row r="2015" spans="1:7" x14ac:dyDescent="0.2">
      <c r="A2015" s="12">
        <v>39829</v>
      </c>
      <c r="B2015" s="9">
        <v>262.43</v>
      </c>
      <c r="C2015" s="9">
        <v>255.69</v>
      </c>
      <c r="D2015" s="9">
        <v>259.31</v>
      </c>
      <c r="E2015" s="9">
        <f t="shared" si="94"/>
        <v>1.6760712010867117E-2</v>
      </c>
      <c r="F2015" s="9">
        <f t="shared" si="92"/>
        <v>-1.4319871007522994E-2</v>
      </c>
      <c r="G2015" s="9">
        <f t="shared" si="93"/>
        <v>2.5002831047273494E-2</v>
      </c>
    </row>
    <row r="2016" spans="1:7" x14ac:dyDescent="0.2">
      <c r="A2016" s="12">
        <v>39832</v>
      </c>
      <c r="B2016" s="9">
        <v>263.73</v>
      </c>
      <c r="C2016" s="9">
        <v>253.63</v>
      </c>
      <c r="D2016" s="9">
        <v>254.53</v>
      </c>
      <c r="E2016" s="9">
        <f t="shared" si="94"/>
        <v>-1.8605549933269627E-2</v>
      </c>
      <c r="F2016" s="9">
        <f t="shared" si="92"/>
        <v>-1.0940600668871557E-2</v>
      </c>
      <c r="G2016" s="9">
        <f t="shared" si="93"/>
        <v>2.4910034548947645E-2</v>
      </c>
    </row>
    <row r="2017" spans="1:7" x14ac:dyDescent="0.2">
      <c r="A2017" s="12">
        <v>39833</v>
      </c>
      <c r="B2017" s="9">
        <v>258.02999999999997</v>
      </c>
      <c r="C2017" s="9">
        <v>249.4</v>
      </c>
      <c r="D2017" s="9">
        <v>250.34</v>
      </c>
      <c r="E2017" s="9">
        <f t="shared" si="94"/>
        <v>-1.6598713336146192E-2</v>
      </c>
      <c r="F2017" s="9">
        <f t="shared" ref="F2017:F2080" si="95">LN(D2017/D1987)</f>
        <v>-2.0950210882203522E-2</v>
      </c>
      <c r="G2017" s="9">
        <f t="shared" si="93"/>
        <v>2.5062848816856737E-2</v>
      </c>
    </row>
    <row r="2018" spans="1:7" x14ac:dyDescent="0.2">
      <c r="A2018" s="12">
        <v>39834</v>
      </c>
      <c r="B2018" s="9">
        <v>253.86</v>
      </c>
      <c r="C2018" s="9">
        <v>245.58</v>
      </c>
      <c r="D2018" s="9">
        <v>251.92</v>
      </c>
      <c r="E2018" s="9">
        <f t="shared" si="94"/>
        <v>6.2915828928916447E-3</v>
      </c>
      <c r="F2018" s="9">
        <f t="shared" si="95"/>
        <v>-9.0884570737536918E-3</v>
      </c>
      <c r="G2018" s="9">
        <f t="shared" si="93"/>
        <v>2.5076902126604961E-2</v>
      </c>
    </row>
    <row r="2019" spans="1:7" x14ac:dyDescent="0.2">
      <c r="A2019" s="12">
        <v>39835</v>
      </c>
      <c r="B2019" s="9">
        <v>258.22000000000003</v>
      </c>
      <c r="C2019" s="9">
        <v>250.37</v>
      </c>
      <c r="D2019" s="9">
        <v>251.81</v>
      </c>
      <c r="E2019" s="9">
        <f t="shared" si="94"/>
        <v>-4.3674191232785599E-4</v>
      </c>
      <c r="F2019" s="9">
        <f t="shared" si="95"/>
        <v>-1.2823976718312501E-2</v>
      </c>
      <c r="G2019" s="9">
        <f t="shared" si="93"/>
        <v>2.5067673866446153E-2</v>
      </c>
    </row>
    <row r="2020" spans="1:7" x14ac:dyDescent="0.2">
      <c r="A2020" s="12">
        <v>39836</v>
      </c>
      <c r="B2020" s="9">
        <v>251.82</v>
      </c>
      <c r="C2020" s="9">
        <v>245.5</v>
      </c>
      <c r="D2020" s="9">
        <v>247.51</v>
      </c>
      <c r="E2020" s="9">
        <f t="shared" si="94"/>
        <v>-1.7223849647513556E-2</v>
      </c>
      <c r="F2020" s="9">
        <f t="shared" si="95"/>
        <v>5.3880095507779389E-3</v>
      </c>
      <c r="G2020" s="9">
        <f t="shared" si="93"/>
        <v>2.4402329293236436E-2</v>
      </c>
    </row>
    <row r="2021" spans="1:7" x14ac:dyDescent="0.2">
      <c r="A2021" s="12">
        <v>39839</v>
      </c>
      <c r="B2021" s="9">
        <v>256.68</v>
      </c>
      <c r="C2021" s="9">
        <v>247.51</v>
      </c>
      <c r="D2021" s="9">
        <v>256.01</v>
      </c>
      <c r="E2021" s="9">
        <f t="shared" si="94"/>
        <v>3.3765520983715179E-2</v>
      </c>
      <c r="F2021" s="9">
        <f t="shared" si="95"/>
        <v>-2.3776642090919783E-2</v>
      </c>
      <c r="G2021" s="9">
        <f t="shared" si="93"/>
        <v>2.2307230737182354E-2</v>
      </c>
    </row>
    <row r="2022" spans="1:7" x14ac:dyDescent="0.2">
      <c r="A2022" s="12">
        <v>39840</v>
      </c>
      <c r="B2022" s="9">
        <v>258.68</v>
      </c>
      <c r="C2022" s="9">
        <v>252.14</v>
      </c>
      <c r="D2022" s="9">
        <v>253.38</v>
      </c>
      <c r="E2022" s="9">
        <f t="shared" si="94"/>
        <v>-1.032616804273564E-2</v>
      </c>
      <c r="F2022" s="9">
        <f t="shared" si="95"/>
        <v>-4.8079516265545949E-2</v>
      </c>
      <c r="G2022" s="9">
        <f t="shared" si="93"/>
        <v>2.2193378020868203E-2</v>
      </c>
    </row>
    <row r="2023" spans="1:7" x14ac:dyDescent="0.2">
      <c r="A2023" s="12">
        <v>39841</v>
      </c>
      <c r="B2023" s="9">
        <v>260.14999999999998</v>
      </c>
      <c r="C2023" s="9">
        <v>253.65</v>
      </c>
      <c r="D2023" s="9">
        <v>259.16000000000003</v>
      </c>
      <c r="E2023" s="9">
        <f t="shared" si="94"/>
        <v>2.255529340784947E-2</v>
      </c>
      <c r="F2023" s="9">
        <f t="shared" si="95"/>
        <v>-7.2280207033086925E-3</v>
      </c>
      <c r="G2023" s="9">
        <f t="shared" ref="G2023:G2086" si="96">STDEV(E1994:E2023)</f>
        <v>2.2386216699566728E-2</v>
      </c>
    </row>
    <row r="2024" spans="1:7" x14ac:dyDescent="0.2">
      <c r="A2024" s="12">
        <v>39842</v>
      </c>
      <c r="B2024" s="9">
        <v>261.25</v>
      </c>
      <c r="C2024" s="9">
        <v>253.39</v>
      </c>
      <c r="D2024" s="9">
        <v>256.23</v>
      </c>
      <c r="E2024" s="9">
        <f t="shared" si="94"/>
        <v>-1.1370152955590943E-2</v>
      </c>
      <c r="F2024" s="9">
        <f t="shared" si="95"/>
        <v>-4.5946658200675203E-3</v>
      </c>
      <c r="G2024" s="9">
        <f t="shared" si="96"/>
        <v>2.2335496852322494E-2</v>
      </c>
    </row>
    <row r="2025" spans="1:7" x14ac:dyDescent="0.2">
      <c r="A2025" s="12">
        <v>39843</v>
      </c>
      <c r="B2025" s="9">
        <v>261.8</v>
      </c>
      <c r="C2025" s="9">
        <v>254.98</v>
      </c>
      <c r="D2025" s="9">
        <v>261.79000000000002</v>
      </c>
      <c r="E2025" s="9">
        <f t="shared" si="94"/>
        <v>2.1467177023085652E-2</v>
      </c>
      <c r="F2025" s="9">
        <f t="shared" si="95"/>
        <v>3.3995076651857949E-2</v>
      </c>
      <c r="G2025" s="9">
        <f t="shared" si="96"/>
        <v>2.2435499222305644E-2</v>
      </c>
    </row>
    <row r="2026" spans="1:7" x14ac:dyDescent="0.2">
      <c r="A2026" s="12">
        <v>39846</v>
      </c>
      <c r="B2026" s="9">
        <v>261.5</v>
      </c>
      <c r="C2026" s="9">
        <v>256.19</v>
      </c>
      <c r="D2026" s="9">
        <v>257.04000000000002</v>
      </c>
      <c r="E2026" s="9">
        <f t="shared" si="94"/>
        <v>-1.8310940841648245E-2</v>
      </c>
      <c r="F2026" s="9">
        <f t="shared" si="95"/>
        <v>8.1250446985220819E-3</v>
      </c>
      <c r="G2026" s="9">
        <f t="shared" si="96"/>
        <v>2.2675879225509475E-2</v>
      </c>
    </row>
    <row r="2027" spans="1:7" x14ac:dyDescent="0.2">
      <c r="A2027" s="12">
        <v>39847</v>
      </c>
      <c r="B2027" s="9">
        <v>261.72000000000003</v>
      </c>
      <c r="C2027" s="9">
        <v>255.13</v>
      </c>
      <c r="D2027" s="9">
        <v>260.76</v>
      </c>
      <c r="E2027" s="9">
        <f t="shared" si="94"/>
        <v>1.436872924873551E-2</v>
      </c>
      <c r="F2027" s="9">
        <f t="shared" si="95"/>
        <v>3.1555732654447215E-2</v>
      </c>
      <c r="G2027" s="9">
        <f t="shared" si="96"/>
        <v>2.2746745995699043E-2</v>
      </c>
    </row>
    <row r="2028" spans="1:7" x14ac:dyDescent="0.2">
      <c r="A2028" s="12">
        <v>39848</v>
      </c>
      <c r="B2028" s="9">
        <v>268.73</v>
      </c>
      <c r="C2028" s="9">
        <v>260.05</v>
      </c>
      <c r="D2028" s="9">
        <v>268.31</v>
      </c>
      <c r="E2028" s="9">
        <f t="shared" si="94"/>
        <v>2.8542584391438523E-2</v>
      </c>
      <c r="F2028" s="9">
        <f t="shared" si="95"/>
        <v>5.8239837695643365E-2</v>
      </c>
      <c r="G2028" s="9">
        <f t="shared" si="96"/>
        <v>2.3294496793930895E-2</v>
      </c>
    </row>
    <row r="2029" spans="1:7" x14ac:dyDescent="0.2">
      <c r="A2029" s="12">
        <v>39849</v>
      </c>
      <c r="B2029" s="9">
        <v>270.24</v>
      </c>
      <c r="C2029" s="9">
        <v>260.68</v>
      </c>
      <c r="D2029" s="9">
        <v>264.10000000000002</v>
      </c>
      <c r="E2029" s="9">
        <f t="shared" si="94"/>
        <v>-1.5815209144690364E-2</v>
      </c>
      <c r="F2029" s="9">
        <f t="shared" si="95"/>
        <v>5.4746908640264269E-2</v>
      </c>
      <c r="G2029" s="9">
        <f t="shared" si="96"/>
        <v>2.3376831483172784E-2</v>
      </c>
    </row>
    <row r="2030" spans="1:7" x14ac:dyDescent="0.2">
      <c r="A2030" s="12">
        <v>39850</v>
      </c>
      <c r="B2030" s="9">
        <v>272.66000000000003</v>
      </c>
      <c r="C2030" s="9">
        <v>263.99</v>
      </c>
      <c r="D2030" s="9">
        <v>270.7</v>
      </c>
      <c r="E2030" s="9">
        <f t="shared" si="94"/>
        <v>2.4683377317168884E-2</v>
      </c>
      <c r="F2030" s="9">
        <f t="shared" si="95"/>
        <v>8.4160891315692363E-2</v>
      </c>
      <c r="G2030" s="9">
        <f t="shared" si="96"/>
        <v>2.3706908171810988E-2</v>
      </c>
    </row>
    <row r="2031" spans="1:7" x14ac:dyDescent="0.2">
      <c r="A2031" s="12">
        <v>39853</v>
      </c>
      <c r="B2031" s="9">
        <v>272.35000000000002</v>
      </c>
      <c r="C2031" s="9">
        <v>267.74</v>
      </c>
      <c r="D2031" s="9">
        <v>271.82</v>
      </c>
      <c r="E2031" s="9">
        <f t="shared" si="94"/>
        <v>4.1288859069457916E-3</v>
      </c>
      <c r="F2031" s="9">
        <f t="shared" si="95"/>
        <v>9.8224436106990679E-2</v>
      </c>
      <c r="G2031" s="9">
        <f t="shared" si="96"/>
        <v>2.3585031879949155E-2</v>
      </c>
    </row>
    <row r="2032" spans="1:7" x14ac:dyDescent="0.2">
      <c r="A2032" s="12">
        <v>39854</v>
      </c>
      <c r="B2032" s="9">
        <v>271.95999999999998</v>
      </c>
      <c r="C2032" s="9">
        <v>267.70999999999998</v>
      </c>
      <c r="D2032" s="9">
        <v>268.05</v>
      </c>
      <c r="E2032" s="9">
        <f t="shared" si="94"/>
        <v>-1.39665522536544E-2</v>
      </c>
      <c r="F2032" s="9">
        <f t="shared" si="95"/>
        <v>8.6045267032197975E-2</v>
      </c>
      <c r="G2032" s="9">
        <f t="shared" si="96"/>
        <v>2.3779182705030506E-2</v>
      </c>
    </row>
    <row r="2033" spans="1:7" x14ac:dyDescent="0.2">
      <c r="A2033" s="12">
        <v>39855</v>
      </c>
      <c r="B2033" s="9">
        <v>269.43</v>
      </c>
      <c r="C2033" s="9">
        <v>263.14999999999998</v>
      </c>
      <c r="D2033" s="9">
        <v>263.97000000000003</v>
      </c>
      <c r="E2033" s="9">
        <f t="shared" si="94"/>
        <v>-1.5338069947967619E-2</v>
      </c>
      <c r="F2033" s="9">
        <f t="shared" si="95"/>
        <v>6.6366155315710704E-2</v>
      </c>
      <c r="G2033" s="9">
        <f t="shared" si="96"/>
        <v>2.4007488414926396E-2</v>
      </c>
    </row>
    <row r="2034" spans="1:7" x14ac:dyDescent="0.2">
      <c r="A2034" s="12">
        <v>39856</v>
      </c>
      <c r="B2034" s="9">
        <v>265.14999999999998</v>
      </c>
      <c r="C2034" s="9">
        <v>260.83999999999997</v>
      </c>
      <c r="D2034" s="9">
        <v>264.89999999999998</v>
      </c>
      <c r="E2034" s="9">
        <f t="shared" si="94"/>
        <v>3.5169359524447425E-3</v>
      </c>
      <c r="F2034" s="9">
        <f t="shared" si="95"/>
        <v>6.705332020816368E-2</v>
      </c>
      <c r="G2034" s="9">
        <f t="shared" si="96"/>
        <v>2.4008425744190699E-2</v>
      </c>
    </row>
    <row r="2035" spans="1:7" x14ac:dyDescent="0.2">
      <c r="A2035" s="12">
        <v>39857</v>
      </c>
      <c r="B2035" s="9">
        <v>270.74</v>
      </c>
      <c r="C2035" s="9">
        <v>265.14</v>
      </c>
      <c r="D2035" s="9">
        <v>269.87</v>
      </c>
      <c r="E2035" s="9">
        <f t="shared" si="94"/>
        <v>1.858796528944108E-2</v>
      </c>
      <c r="F2035" s="9">
        <f t="shared" si="95"/>
        <v>3.6758855510286105E-2</v>
      </c>
      <c r="G2035" s="9">
        <f t="shared" si="96"/>
        <v>2.2572933387619541E-2</v>
      </c>
    </row>
    <row r="2036" spans="1:7" x14ac:dyDescent="0.2">
      <c r="A2036" s="12">
        <v>39860</v>
      </c>
      <c r="B2036" s="9">
        <v>269.81</v>
      </c>
      <c r="C2036" s="9">
        <v>266.92</v>
      </c>
      <c r="D2036" s="9">
        <v>268.08</v>
      </c>
      <c r="E2036" s="9">
        <f t="shared" si="94"/>
        <v>-6.6549181384100969E-3</v>
      </c>
      <c r="F2036" s="9">
        <f t="shared" si="95"/>
        <v>-2.6866518587171342E-2</v>
      </c>
      <c r="G2036" s="9">
        <f t="shared" si="96"/>
        <v>1.9996738987964183E-2</v>
      </c>
    </row>
    <row r="2037" spans="1:7" x14ac:dyDescent="0.2">
      <c r="A2037" s="12">
        <v>39861</v>
      </c>
      <c r="B2037" s="9">
        <v>267.69</v>
      </c>
      <c r="C2037" s="9">
        <v>261.64</v>
      </c>
      <c r="D2037" s="9">
        <v>261.98</v>
      </c>
      <c r="E2037" s="9">
        <f t="shared" si="94"/>
        <v>-2.3017278459552006E-2</v>
      </c>
      <c r="F2037" s="9">
        <f t="shared" si="95"/>
        <v>-6.8127290984842909E-2</v>
      </c>
      <c r="G2037" s="9">
        <f t="shared" si="96"/>
        <v>2.0053838718012192E-2</v>
      </c>
    </row>
    <row r="2038" spans="1:7" x14ac:dyDescent="0.2">
      <c r="A2038" s="12">
        <v>39862</v>
      </c>
      <c r="B2038" s="9">
        <v>264.8</v>
      </c>
      <c r="C2038" s="9">
        <v>257.52</v>
      </c>
      <c r="D2038" s="9">
        <v>258.3</v>
      </c>
      <c r="E2038" s="9">
        <f t="shared" si="94"/>
        <v>-1.4146464867708045E-2</v>
      </c>
      <c r="F2038" s="9">
        <f t="shared" si="95"/>
        <v>-4.8255390006563245E-2</v>
      </c>
      <c r="G2038" s="9">
        <f t="shared" si="96"/>
        <v>1.9282385860458537E-2</v>
      </c>
    </row>
    <row r="2039" spans="1:7" x14ac:dyDescent="0.2">
      <c r="A2039" s="12">
        <v>39863</v>
      </c>
      <c r="B2039" s="9">
        <v>261.76</v>
      </c>
      <c r="C2039" s="9">
        <v>258.04000000000002</v>
      </c>
      <c r="D2039" s="9">
        <v>258.98</v>
      </c>
      <c r="E2039" s="9">
        <f t="shared" si="94"/>
        <v>2.6291385388991701E-3</v>
      </c>
      <c r="F2039" s="9">
        <f t="shared" si="95"/>
        <v>-4.9565801122018215E-2</v>
      </c>
      <c r="G2039" s="9">
        <f t="shared" si="96"/>
        <v>1.9270865254254706E-2</v>
      </c>
    </row>
    <row r="2040" spans="1:7" x14ac:dyDescent="0.2">
      <c r="A2040" s="12">
        <v>39864</v>
      </c>
      <c r="B2040" s="9">
        <v>258.39</v>
      </c>
      <c r="C2040" s="9">
        <v>251.51</v>
      </c>
      <c r="D2040" s="9">
        <v>252.97</v>
      </c>
      <c r="E2040" s="9">
        <f t="shared" si="94"/>
        <v>-2.3479934019089894E-2</v>
      </c>
      <c r="F2040" s="9">
        <f t="shared" si="95"/>
        <v>-7.2016323285497605E-2</v>
      </c>
      <c r="G2040" s="9">
        <f t="shared" si="96"/>
        <v>1.9677470683001231E-2</v>
      </c>
    </row>
    <row r="2041" spans="1:7" x14ac:dyDescent="0.2">
      <c r="A2041" s="12">
        <v>39867</v>
      </c>
      <c r="B2041" s="9">
        <v>258.2</v>
      </c>
      <c r="C2041" s="9">
        <v>253.46</v>
      </c>
      <c r="D2041" s="9">
        <v>254.88</v>
      </c>
      <c r="E2041" s="9">
        <f t="shared" si="94"/>
        <v>7.521941540134235E-3</v>
      </c>
      <c r="F2041" s="9">
        <f t="shared" si="95"/>
        <v>-5.9331366883475317E-2</v>
      </c>
      <c r="G2041" s="9">
        <f t="shared" si="96"/>
        <v>1.9752209474644282E-2</v>
      </c>
    </row>
    <row r="2042" spans="1:7" x14ac:dyDescent="0.2">
      <c r="A2042" s="12">
        <v>39868</v>
      </c>
      <c r="B2042" s="9">
        <v>254.48</v>
      </c>
      <c r="C2042" s="9">
        <v>246.94</v>
      </c>
      <c r="D2042" s="9">
        <v>248.66</v>
      </c>
      <c r="E2042" s="9">
        <f t="shared" si="94"/>
        <v>-2.47063446369469E-2</v>
      </c>
      <c r="F2042" s="9">
        <f t="shared" si="95"/>
        <v>-6.9775428021034508E-2</v>
      </c>
      <c r="G2042" s="9">
        <f t="shared" si="96"/>
        <v>2.0065743399879175E-2</v>
      </c>
    </row>
    <row r="2043" spans="1:7" x14ac:dyDescent="0.2">
      <c r="A2043" s="12">
        <v>39869</v>
      </c>
      <c r="B2043" s="9">
        <v>253.69</v>
      </c>
      <c r="C2043" s="9">
        <v>243.08</v>
      </c>
      <c r="D2043" s="9">
        <v>243.34</v>
      </c>
      <c r="E2043" s="9">
        <f t="shared" si="94"/>
        <v>-2.1626859165488403E-2</v>
      </c>
      <c r="F2043" s="9">
        <f t="shared" si="95"/>
        <v>-3.5643820884284957E-2</v>
      </c>
      <c r="G2043" s="9">
        <f t="shared" si="96"/>
        <v>1.776769615538561E-2</v>
      </c>
    </row>
    <row r="2044" spans="1:7" x14ac:dyDescent="0.2">
      <c r="A2044" s="12">
        <v>39870</v>
      </c>
      <c r="B2044" s="9">
        <v>250.35</v>
      </c>
      <c r="C2044" s="9">
        <v>243.93</v>
      </c>
      <c r="D2044" s="9">
        <v>249.22</v>
      </c>
      <c r="E2044" s="9">
        <f t="shared" si="94"/>
        <v>2.3876398155418452E-2</v>
      </c>
      <c r="F2044" s="9">
        <f t="shared" si="95"/>
        <v>-2.2927504643704692E-2</v>
      </c>
      <c r="G2044" s="9">
        <f t="shared" si="96"/>
        <v>1.8218408446988733E-2</v>
      </c>
    </row>
    <row r="2045" spans="1:7" x14ac:dyDescent="0.2">
      <c r="A2045" s="12">
        <v>39871</v>
      </c>
      <c r="B2045" s="9">
        <v>248.92</v>
      </c>
      <c r="C2045" s="9">
        <v>238.23</v>
      </c>
      <c r="D2045" s="9">
        <v>241.48</v>
      </c>
      <c r="E2045" s="9">
        <f t="shared" si="94"/>
        <v>-3.1549386586496191E-2</v>
      </c>
      <c r="F2045" s="9">
        <f t="shared" si="95"/>
        <v>-7.1237603241067954E-2</v>
      </c>
      <c r="G2045" s="9">
        <f t="shared" si="96"/>
        <v>1.8743464690232827E-2</v>
      </c>
    </row>
    <row r="2046" spans="1:7" x14ac:dyDescent="0.2">
      <c r="A2046" s="12">
        <v>39874</v>
      </c>
      <c r="B2046" s="9">
        <v>240.69</v>
      </c>
      <c r="C2046" s="9">
        <v>233.28</v>
      </c>
      <c r="D2046" s="9">
        <v>233.64</v>
      </c>
      <c r="E2046" s="9">
        <f t="shared" si="94"/>
        <v>-3.3005184756116759E-2</v>
      </c>
      <c r="F2046" s="9">
        <f t="shared" si="95"/>
        <v>-8.5637238063915072E-2</v>
      </c>
      <c r="G2046" s="9">
        <f t="shared" si="96"/>
        <v>1.9348067984663823E-2</v>
      </c>
    </row>
    <row r="2047" spans="1:7" x14ac:dyDescent="0.2">
      <c r="A2047" s="12">
        <v>39875</v>
      </c>
      <c r="B2047" s="9">
        <v>234.85</v>
      </c>
      <c r="C2047" s="9">
        <v>225.67</v>
      </c>
      <c r="D2047" s="9">
        <v>225.75</v>
      </c>
      <c r="E2047" s="9">
        <f t="shared" si="94"/>
        <v>-3.4353276875013772E-2</v>
      </c>
      <c r="F2047" s="9">
        <f t="shared" si="95"/>
        <v>-0.1033918016027827</v>
      </c>
      <c r="G2047" s="9">
        <f t="shared" si="96"/>
        <v>2.0042062422743021E-2</v>
      </c>
    </row>
    <row r="2048" spans="1:7" x14ac:dyDescent="0.2">
      <c r="A2048" s="12">
        <v>39876</v>
      </c>
      <c r="B2048" s="9">
        <v>228.67</v>
      </c>
      <c r="C2048" s="9">
        <v>223.66</v>
      </c>
      <c r="D2048" s="9">
        <v>228.63</v>
      </c>
      <c r="E2048" s="9">
        <f t="shared" si="94"/>
        <v>1.2676784049040858E-2</v>
      </c>
      <c r="F2048" s="9">
        <f t="shared" si="95"/>
        <v>-9.7006600446633451E-2</v>
      </c>
      <c r="G2048" s="9">
        <f t="shared" si="96"/>
        <v>2.0182455133024454E-2</v>
      </c>
    </row>
    <row r="2049" spans="1:7" x14ac:dyDescent="0.2">
      <c r="A2049" s="12">
        <v>39877</v>
      </c>
      <c r="B2049" s="9">
        <v>231.72</v>
      </c>
      <c r="C2049" s="9">
        <v>218.34</v>
      </c>
      <c r="D2049" s="9">
        <v>218.76</v>
      </c>
      <c r="E2049" s="9">
        <f t="shared" si="94"/>
        <v>-4.412973786756378E-2</v>
      </c>
      <c r="F2049" s="9">
        <f t="shared" si="95"/>
        <v>-0.1406995964018693</v>
      </c>
      <c r="G2049" s="9">
        <f t="shared" si="96"/>
        <v>2.1506737665110437E-2</v>
      </c>
    </row>
    <row r="2050" spans="1:7" x14ac:dyDescent="0.2">
      <c r="A2050" s="12">
        <v>39878</v>
      </c>
      <c r="B2050" s="9">
        <v>219.05</v>
      </c>
      <c r="C2050" s="9">
        <v>212.65</v>
      </c>
      <c r="D2050" s="9">
        <v>213.11</v>
      </c>
      <c r="E2050" s="9">
        <f t="shared" si="94"/>
        <v>-2.6166774149337324E-2</v>
      </c>
      <c r="F2050" s="9">
        <f t="shared" si="95"/>
        <v>-0.14964252090369304</v>
      </c>
      <c r="G2050" s="9">
        <f t="shared" si="96"/>
        <v>2.1747090176413443E-2</v>
      </c>
    </row>
    <row r="2051" spans="1:7" x14ac:dyDescent="0.2">
      <c r="A2051" s="12">
        <v>39881</v>
      </c>
      <c r="B2051" s="9">
        <v>216.21</v>
      </c>
      <c r="C2051" s="9">
        <v>210.32</v>
      </c>
      <c r="D2051" s="9">
        <v>214.37</v>
      </c>
      <c r="E2051" s="9">
        <f t="shared" si="94"/>
        <v>5.8950297038095562E-3</v>
      </c>
      <c r="F2051" s="9">
        <f t="shared" si="95"/>
        <v>-0.1775130121835985</v>
      </c>
      <c r="G2051" s="9">
        <f t="shared" si="96"/>
        <v>2.0599506290754081E-2</v>
      </c>
    </row>
    <row r="2052" spans="1:7" x14ac:dyDescent="0.2">
      <c r="A2052" s="12">
        <v>39882</v>
      </c>
      <c r="B2052" s="9">
        <v>221.95</v>
      </c>
      <c r="C2052" s="9">
        <v>213.64</v>
      </c>
      <c r="D2052" s="9">
        <v>221.6</v>
      </c>
      <c r="E2052" s="9">
        <f t="shared" ref="E2052:E2115" si="97">LN(D2052/D2051)</f>
        <v>3.3170460840084355E-2</v>
      </c>
      <c r="F2052" s="9">
        <f t="shared" si="95"/>
        <v>-0.1340163833007785</v>
      </c>
      <c r="G2052" s="9">
        <f t="shared" si="96"/>
        <v>2.1775644783101161E-2</v>
      </c>
    </row>
    <row r="2053" spans="1:7" x14ac:dyDescent="0.2">
      <c r="A2053" s="12">
        <v>39883</v>
      </c>
      <c r="B2053" s="9">
        <v>230.97</v>
      </c>
      <c r="C2053" s="9">
        <v>222</v>
      </c>
      <c r="D2053" s="9">
        <v>225.33</v>
      </c>
      <c r="E2053" s="9">
        <f t="shared" si="97"/>
        <v>1.6692039492901371E-2</v>
      </c>
      <c r="F2053" s="9">
        <f t="shared" si="95"/>
        <v>-0.13987963721572647</v>
      </c>
      <c r="G2053" s="9">
        <f t="shared" si="96"/>
        <v>2.1549889716580398E-2</v>
      </c>
    </row>
    <row r="2054" spans="1:7" x14ac:dyDescent="0.2">
      <c r="A2054" s="12">
        <v>39884</v>
      </c>
      <c r="B2054" s="9">
        <v>225.36</v>
      </c>
      <c r="C2054" s="9">
        <v>220.65</v>
      </c>
      <c r="D2054" s="9">
        <v>224.23</v>
      </c>
      <c r="E2054" s="9">
        <f t="shared" si="97"/>
        <v>-4.8936835805908439E-3</v>
      </c>
      <c r="F2054" s="9">
        <f t="shared" si="95"/>
        <v>-0.13340316784072634</v>
      </c>
      <c r="G2054" s="9">
        <f t="shared" si="96"/>
        <v>2.1512786367712318E-2</v>
      </c>
    </row>
    <row r="2055" spans="1:7" x14ac:dyDescent="0.2">
      <c r="A2055" s="12">
        <v>39885</v>
      </c>
      <c r="B2055" s="9">
        <v>230.63</v>
      </c>
      <c r="C2055" s="9">
        <v>224.11</v>
      </c>
      <c r="D2055" s="9">
        <v>224.15</v>
      </c>
      <c r="E2055" s="9">
        <f t="shared" si="97"/>
        <v>-3.568401839906911E-4</v>
      </c>
      <c r="F2055" s="9">
        <f t="shared" si="95"/>
        <v>-0.15522718504780283</v>
      </c>
      <c r="G2055" s="9">
        <f t="shared" si="96"/>
        <v>2.0968381666044422E-2</v>
      </c>
    </row>
    <row r="2056" spans="1:7" x14ac:dyDescent="0.2">
      <c r="A2056" s="12">
        <v>39888</v>
      </c>
      <c r="B2056" s="9">
        <v>229.39</v>
      </c>
      <c r="C2056" s="9">
        <v>223.86</v>
      </c>
      <c r="D2056" s="9">
        <v>227.25</v>
      </c>
      <c r="E2056" s="9">
        <f t="shared" si="97"/>
        <v>1.3735262456139733E-2</v>
      </c>
      <c r="F2056" s="9">
        <f t="shared" si="95"/>
        <v>-0.12318098175001484</v>
      </c>
      <c r="G2056" s="9">
        <f t="shared" si="96"/>
        <v>2.1091984285390202E-2</v>
      </c>
    </row>
    <row r="2057" spans="1:7" x14ac:dyDescent="0.2">
      <c r="A2057" s="12">
        <v>39889</v>
      </c>
      <c r="B2057" s="9">
        <v>230.13</v>
      </c>
      <c r="C2057" s="9">
        <v>225.62</v>
      </c>
      <c r="D2057" s="9">
        <v>229.17</v>
      </c>
      <c r="E2057" s="9">
        <f t="shared" si="97"/>
        <v>8.4133531637897423E-3</v>
      </c>
      <c r="F2057" s="9">
        <f t="shared" si="95"/>
        <v>-0.12913635783496058</v>
      </c>
      <c r="G2057" s="9">
        <f t="shared" si="96"/>
        <v>2.0939583212262806E-2</v>
      </c>
    </row>
    <row r="2058" spans="1:7" x14ac:dyDescent="0.2">
      <c r="A2058" s="12">
        <v>39890</v>
      </c>
      <c r="B2058" s="9">
        <v>234.48</v>
      </c>
      <c r="C2058" s="9">
        <v>226.26</v>
      </c>
      <c r="D2058" s="9">
        <v>227.7</v>
      </c>
      <c r="E2058" s="9">
        <f t="shared" si="97"/>
        <v>-6.4351131516840448E-3</v>
      </c>
      <c r="F2058" s="9">
        <f t="shared" si="95"/>
        <v>-0.16411405537808313</v>
      </c>
      <c r="G2058" s="9">
        <f t="shared" si="96"/>
        <v>2.000029507564131E-2</v>
      </c>
    </row>
    <row r="2059" spans="1:7" x14ac:dyDescent="0.2">
      <c r="A2059" s="12">
        <v>39891</v>
      </c>
      <c r="B2059" s="9">
        <v>232.57</v>
      </c>
      <c r="C2059" s="9">
        <v>226.22</v>
      </c>
      <c r="D2059" s="9">
        <v>228.71</v>
      </c>
      <c r="E2059" s="9">
        <f t="shared" si="97"/>
        <v>4.4258524075739044E-3</v>
      </c>
      <c r="F2059" s="9">
        <f t="shared" si="95"/>
        <v>-0.14387299382581878</v>
      </c>
      <c r="G2059" s="9">
        <f t="shared" si="96"/>
        <v>1.9980688188003238E-2</v>
      </c>
    </row>
    <row r="2060" spans="1:7" x14ac:dyDescent="0.2">
      <c r="A2060" s="12">
        <v>39892</v>
      </c>
      <c r="B2060" s="9">
        <v>230.75</v>
      </c>
      <c r="C2060" s="9">
        <v>226.04</v>
      </c>
      <c r="D2060" s="9">
        <v>226.94</v>
      </c>
      <c r="E2060" s="9">
        <f t="shared" si="97"/>
        <v>-7.7691601144245339E-3</v>
      </c>
      <c r="F2060" s="9">
        <f t="shared" si="95"/>
        <v>-0.17632553125741215</v>
      </c>
      <c r="G2060" s="9">
        <f t="shared" si="96"/>
        <v>1.9192603363863699E-2</v>
      </c>
    </row>
    <row r="2061" spans="1:7" x14ac:dyDescent="0.2">
      <c r="A2061" s="12">
        <v>39895</v>
      </c>
      <c r="B2061" s="9">
        <v>231.09</v>
      </c>
      <c r="C2061" s="9">
        <v>226.38</v>
      </c>
      <c r="D2061" s="9">
        <v>229.54</v>
      </c>
      <c r="E2061" s="9">
        <f t="shared" si="97"/>
        <v>1.1391640889678843E-2</v>
      </c>
      <c r="F2061" s="9">
        <f t="shared" si="95"/>
        <v>-0.16906277627467894</v>
      </c>
      <c r="G2061" s="9">
        <f t="shared" si="96"/>
        <v>1.9368177031609798E-2</v>
      </c>
    </row>
    <row r="2062" spans="1:7" x14ac:dyDescent="0.2">
      <c r="A2062" s="12">
        <v>39896</v>
      </c>
      <c r="B2062" s="9">
        <v>234.67</v>
      </c>
      <c r="C2062" s="9">
        <v>228.02</v>
      </c>
      <c r="D2062" s="9">
        <v>229.34</v>
      </c>
      <c r="E2062" s="9">
        <f t="shared" si="97"/>
        <v>-8.7168764236388247E-4</v>
      </c>
      <c r="F2062" s="9">
        <f t="shared" si="95"/>
        <v>-0.15596791166338839</v>
      </c>
      <c r="G2062" s="9">
        <f t="shared" si="96"/>
        <v>1.9321447659613904E-2</v>
      </c>
    </row>
    <row r="2063" spans="1:7" x14ac:dyDescent="0.2">
      <c r="A2063" s="12">
        <v>39897</v>
      </c>
      <c r="B2063" s="9">
        <v>230.24</v>
      </c>
      <c r="C2063" s="9">
        <v>225.88</v>
      </c>
      <c r="D2063" s="9">
        <v>230.19</v>
      </c>
      <c r="E2063" s="9">
        <f t="shared" si="97"/>
        <v>3.6994362475252125E-3</v>
      </c>
      <c r="F2063" s="9">
        <f t="shared" si="95"/>
        <v>-0.13693040546789556</v>
      </c>
      <c r="G2063" s="9">
        <f t="shared" si="96"/>
        <v>1.9289562784372095E-2</v>
      </c>
    </row>
    <row r="2064" spans="1:7" x14ac:dyDescent="0.2">
      <c r="A2064" s="12">
        <v>39898</v>
      </c>
      <c r="B2064" s="9">
        <v>235.74</v>
      </c>
      <c r="C2064" s="9">
        <v>230.09</v>
      </c>
      <c r="D2064" s="9">
        <v>235.7</v>
      </c>
      <c r="E2064" s="9">
        <f t="shared" si="97"/>
        <v>2.3654755084401832E-2</v>
      </c>
      <c r="F2064" s="9">
        <f t="shared" si="95"/>
        <v>-0.11679258633593852</v>
      </c>
      <c r="G2064" s="9">
        <f t="shared" si="96"/>
        <v>1.9920551332947827E-2</v>
      </c>
    </row>
    <row r="2065" spans="1:7" x14ac:dyDescent="0.2">
      <c r="A2065" s="12">
        <v>39899</v>
      </c>
      <c r="B2065" s="9">
        <v>237.7</v>
      </c>
      <c r="C2065" s="9">
        <v>232.16</v>
      </c>
      <c r="D2065" s="9">
        <v>232.5</v>
      </c>
      <c r="E2065" s="9">
        <f t="shared" si="97"/>
        <v>-1.3669584914674422E-2</v>
      </c>
      <c r="F2065" s="9">
        <f t="shared" si="95"/>
        <v>-0.14905013654005395</v>
      </c>
      <c r="G2065" s="9">
        <f t="shared" si="96"/>
        <v>1.9532042517568789E-2</v>
      </c>
    </row>
    <row r="2066" spans="1:7" x14ac:dyDescent="0.2">
      <c r="A2066" s="12">
        <v>39902</v>
      </c>
      <c r="B2066" s="9">
        <v>232.11</v>
      </c>
      <c r="C2066" s="9">
        <v>227.37</v>
      </c>
      <c r="D2066" s="9">
        <v>227.89</v>
      </c>
      <c r="E2066" s="9">
        <f t="shared" si="97"/>
        <v>-2.0027168632731154E-2</v>
      </c>
      <c r="F2066" s="9">
        <f t="shared" si="95"/>
        <v>-0.16242238703437503</v>
      </c>
      <c r="G2066" s="9">
        <f t="shared" si="96"/>
        <v>1.972350525208268E-2</v>
      </c>
    </row>
    <row r="2067" spans="1:7" x14ac:dyDescent="0.2">
      <c r="A2067" s="12">
        <v>39903</v>
      </c>
      <c r="B2067" s="9">
        <v>231.9</v>
      </c>
      <c r="C2067" s="9">
        <v>224.59</v>
      </c>
      <c r="D2067" s="9">
        <v>228.36</v>
      </c>
      <c r="E2067" s="9">
        <f t="shared" si="97"/>
        <v>2.0602747013786335E-3</v>
      </c>
      <c r="F2067" s="9">
        <f t="shared" si="95"/>
        <v>-0.1373448338734444</v>
      </c>
      <c r="G2067" s="9">
        <f t="shared" si="96"/>
        <v>1.948165688527655E-2</v>
      </c>
    </row>
    <row r="2068" spans="1:7" x14ac:dyDescent="0.2">
      <c r="A2068" s="12">
        <v>39904</v>
      </c>
      <c r="B2068" s="9">
        <v>237.73</v>
      </c>
      <c r="C2068" s="9">
        <v>227.25</v>
      </c>
      <c r="D2068" s="9">
        <v>237.71</v>
      </c>
      <c r="E2068" s="9">
        <f t="shared" si="97"/>
        <v>4.0128112221106703E-2</v>
      </c>
      <c r="F2068" s="9">
        <f t="shared" si="95"/>
        <v>-8.3070256784629662E-2</v>
      </c>
      <c r="G2068" s="9">
        <f t="shared" si="96"/>
        <v>2.102168104493856E-2</v>
      </c>
    </row>
    <row r="2069" spans="1:7" x14ac:dyDescent="0.2">
      <c r="A2069" s="12">
        <v>39905</v>
      </c>
      <c r="B2069" s="9">
        <v>245.61</v>
      </c>
      <c r="C2069" s="9">
        <v>238.3</v>
      </c>
      <c r="D2069" s="9">
        <v>245.61</v>
      </c>
      <c r="E2069" s="9">
        <f t="shared" si="97"/>
        <v>3.2693468739301262E-2</v>
      </c>
      <c r="F2069" s="9">
        <f t="shared" si="95"/>
        <v>-5.3005926584227529E-2</v>
      </c>
      <c r="G2069" s="9">
        <f t="shared" si="96"/>
        <v>2.1982547662605864E-2</v>
      </c>
    </row>
    <row r="2070" spans="1:7" x14ac:dyDescent="0.2">
      <c r="A2070" s="12">
        <v>39906</v>
      </c>
      <c r="B2070" s="9">
        <v>245.59</v>
      </c>
      <c r="C2070" s="9">
        <v>236.45</v>
      </c>
      <c r="D2070" s="9">
        <v>238.66</v>
      </c>
      <c r="E2070" s="9">
        <f t="shared" si="97"/>
        <v>-2.8704967114956945E-2</v>
      </c>
      <c r="F2070" s="9">
        <f t="shared" si="95"/>
        <v>-5.8230959680094639E-2</v>
      </c>
      <c r="G2070" s="9">
        <f t="shared" si="96"/>
        <v>2.2180321820328038E-2</v>
      </c>
    </row>
    <row r="2071" spans="1:7" x14ac:dyDescent="0.2">
      <c r="A2071" s="12">
        <v>39909</v>
      </c>
      <c r="B2071" s="9">
        <v>245.26</v>
      </c>
      <c r="C2071" s="9">
        <v>238.66</v>
      </c>
      <c r="D2071" s="9">
        <v>243.51</v>
      </c>
      <c r="E2071" s="9">
        <f t="shared" si="97"/>
        <v>2.0118064499684438E-2</v>
      </c>
      <c r="F2071" s="9">
        <f t="shared" si="95"/>
        <v>-4.5634836720544414E-2</v>
      </c>
      <c r="G2071" s="9">
        <f t="shared" si="96"/>
        <v>2.2482790914349002E-2</v>
      </c>
    </row>
    <row r="2072" spans="1:7" x14ac:dyDescent="0.2">
      <c r="A2072" s="12">
        <v>39910</v>
      </c>
      <c r="B2072" s="9">
        <v>243.59</v>
      </c>
      <c r="C2072" s="9">
        <v>236.64</v>
      </c>
      <c r="D2072" s="9">
        <v>238.05</v>
      </c>
      <c r="E2072" s="9">
        <f t="shared" si="97"/>
        <v>-2.2677273800666128E-2</v>
      </c>
      <c r="F2072" s="9">
        <f t="shared" si="95"/>
        <v>-4.3605765884263702E-2</v>
      </c>
      <c r="G2072" s="9">
        <f t="shared" si="96"/>
        <v>2.2413582599582607E-2</v>
      </c>
    </row>
    <row r="2073" spans="1:7" x14ac:dyDescent="0.2">
      <c r="A2073" s="12">
        <v>39911</v>
      </c>
      <c r="B2073" s="9">
        <v>238.01</v>
      </c>
      <c r="C2073" s="9">
        <v>232.25</v>
      </c>
      <c r="D2073" s="9">
        <v>235.59</v>
      </c>
      <c r="E2073" s="9">
        <f t="shared" si="97"/>
        <v>-1.0387729585634884E-2</v>
      </c>
      <c r="F2073" s="9">
        <f t="shared" si="95"/>
        <v>-3.2366636304410078E-2</v>
      </c>
      <c r="G2073" s="9">
        <f t="shared" si="96"/>
        <v>2.2157226480941639E-2</v>
      </c>
    </row>
    <row r="2074" spans="1:7" x14ac:dyDescent="0.2">
      <c r="A2074" s="12">
        <v>39917</v>
      </c>
      <c r="B2074" s="9">
        <v>243.44</v>
      </c>
      <c r="C2074" s="9">
        <v>236.38</v>
      </c>
      <c r="D2074" s="9">
        <v>242.23</v>
      </c>
      <c r="E2074" s="9">
        <f t="shared" si="97"/>
        <v>2.779468196824738E-2</v>
      </c>
      <c r="F2074" s="9">
        <f t="shared" si="95"/>
        <v>-2.8448352491581126E-2</v>
      </c>
      <c r="G2074" s="9">
        <f t="shared" si="96"/>
        <v>2.2320350111746257E-2</v>
      </c>
    </row>
    <row r="2075" spans="1:7" x14ac:dyDescent="0.2">
      <c r="A2075" s="12">
        <v>39918</v>
      </c>
      <c r="B2075" s="9">
        <v>242.13</v>
      </c>
      <c r="C2075" s="9">
        <v>238.95</v>
      </c>
      <c r="D2075" s="9">
        <v>240.07</v>
      </c>
      <c r="E2075" s="9">
        <f t="shared" si="97"/>
        <v>-8.9571405409358245E-3</v>
      </c>
      <c r="F2075" s="9">
        <f t="shared" si="95"/>
        <v>-5.8561064460207783E-3</v>
      </c>
      <c r="G2075" s="9">
        <f t="shared" si="96"/>
        <v>2.1622500447765935E-2</v>
      </c>
    </row>
    <row r="2076" spans="1:7" x14ac:dyDescent="0.2">
      <c r="A2076" s="12">
        <v>39919</v>
      </c>
      <c r="B2076" s="9">
        <v>253.77</v>
      </c>
      <c r="C2076" s="9">
        <v>240.66</v>
      </c>
      <c r="D2076" s="9">
        <v>252.66</v>
      </c>
      <c r="E2076" s="9">
        <f t="shared" si="97"/>
        <v>5.1114163919686845E-2</v>
      </c>
      <c r="F2076" s="9">
        <f t="shared" si="95"/>
        <v>7.8263242229782773E-2</v>
      </c>
      <c r="G2076" s="9">
        <f t="shared" si="96"/>
        <v>2.2650820749762574E-2</v>
      </c>
    </row>
    <row r="2077" spans="1:7" x14ac:dyDescent="0.2">
      <c r="A2077" s="12">
        <v>39920</v>
      </c>
      <c r="B2077" s="9">
        <v>265.14999999999998</v>
      </c>
      <c r="C2077" s="9">
        <v>252.46</v>
      </c>
      <c r="D2077" s="9">
        <v>264.48</v>
      </c>
      <c r="E2077" s="9">
        <f t="shared" si="97"/>
        <v>4.5720922670822679E-2</v>
      </c>
      <c r="F2077" s="9">
        <f t="shared" si="95"/>
        <v>0.15833744177561929</v>
      </c>
      <c r="G2077" s="9">
        <f t="shared" si="96"/>
        <v>2.2862003962450545E-2</v>
      </c>
    </row>
    <row r="2078" spans="1:7" x14ac:dyDescent="0.2">
      <c r="A2078" s="12">
        <v>39923</v>
      </c>
      <c r="B2078" s="9">
        <v>266.55</v>
      </c>
      <c r="C2078" s="9">
        <v>256</v>
      </c>
      <c r="D2078" s="9">
        <v>256.38</v>
      </c>
      <c r="E2078" s="9">
        <f t="shared" si="97"/>
        <v>-3.1104915188725529E-2</v>
      </c>
      <c r="F2078" s="9">
        <f t="shared" si="95"/>
        <v>0.11455574253785285</v>
      </c>
      <c r="G2078" s="9">
        <f t="shared" si="96"/>
        <v>2.3753430244179138E-2</v>
      </c>
    </row>
    <row r="2079" spans="1:7" x14ac:dyDescent="0.2">
      <c r="A2079" s="12">
        <v>39924</v>
      </c>
      <c r="B2079" s="9">
        <v>257.7</v>
      </c>
      <c r="C2079" s="9">
        <v>251.45</v>
      </c>
      <c r="D2079" s="9">
        <v>254.65</v>
      </c>
      <c r="E2079" s="9">
        <f t="shared" si="97"/>
        <v>-6.7706655533748923E-3</v>
      </c>
      <c r="F2079" s="9">
        <f t="shared" si="95"/>
        <v>0.1519148148520417</v>
      </c>
      <c r="G2079" s="9">
        <f t="shared" si="96"/>
        <v>2.2072849387899138E-2</v>
      </c>
    </row>
    <row r="2080" spans="1:7" x14ac:dyDescent="0.2">
      <c r="A2080" s="12">
        <v>39925</v>
      </c>
      <c r="B2080" s="9">
        <v>261.85000000000002</v>
      </c>
      <c r="C2080" s="9">
        <v>255.04</v>
      </c>
      <c r="D2080" s="9">
        <v>261.8</v>
      </c>
      <c r="E2080" s="9">
        <f t="shared" si="97"/>
        <v>2.7690800145185983E-2</v>
      </c>
      <c r="F2080" s="9">
        <f t="shared" si="95"/>
        <v>0.20577238914656498</v>
      </c>
      <c r="G2080" s="9">
        <f t="shared" si="96"/>
        <v>2.1630957403396076E-2</v>
      </c>
    </row>
    <row r="2081" spans="1:7" x14ac:dyDescent="0.2">
      <c r="A2081" s="12">
        <v>39926</v>
      </c>
      <c r="B2081" s="9">
        <v>265.52999999999997</v>
      </c>
      <c r="C2081" s="9">
        <v>259.11</v>
      </c>
      <c r="D2081" s="9">
        <v>264.83</v>
      </c>
      <c r="E2081" s="9">
        <f t="shared" si="97"/>
        <v>1.1507257221239919E-2</v>
      </c>
      <c r="F2081" s="9">
        <f t="shared" ref="F2081:F2144" si="98">LN(D2081/D2051)</f>
        <v>0.21138461666399519</v>
      </c>
      <c r="G2081" s="9">
        <f t="shared" si="96"/>
        <v>2.1646595246134239E-2</v>
      </c>
    </row>
    <row r="2082" spans="1:7" x14ac:dyDescent="0.2">
      <c r="A2082" s="12">
        <v>39927</v>
      </c>
      <c r="B2082" s="9">
        <v>270.02999999999997</v>
      </c>
      <c r="C2082" s="9">
        <v>262.58</v>
      </c>
      <c r="D2082" s="9">
        <v>268.85000000000002</v>
      </c>
      <c r="E2082" s="9">
        <f t="shared" si="97"/>
        <v>1.5065492558647543E-2</v>
      </c>
      <c r="F2082" s="9">
        <f t="shared" si="98"/>
        <v>0.19327964838255846</v>
      </c>
      <c r="G2082" s="9">
        <f t="shared" si="96"/>
        <v>2.1139586607831235E-2</v>
      </c>
    </row>
    <row r="2083" spans="1:7" x14ac:dyDescent="0.2">
      <c r="A2083" s="12">
        <v>39930</v>
      </c>
      <c r="B2083" s="9">
        <v>268.07</v>
      </c>
      <c r="C2083" s="9">
        <v>263.3</v>
      </c>
      <c r="D2083" s="9">
        <v>265.69</v>
      </c>
      <c r="E2083" s="9">
        <f t="shared" si="97"/>
        <v>-1.1823387630253861E-2</v>
      </c>
      <c r="F2083" s="9">
        <f t="shared" si="98"/>
        <v>0.16476422125940304</v>
      </c>
      <c r="G2083" s="9">
        <f t="shared" si="96"/>
        <v>2.1303290700066663E-2</v>
      </c>
    </row>
    <row r="2084" spans="1:7" x14ac:dyDescent="0.2">
      <c r="A2084" s="12">
        <v>39931</v>
      </c>
      <c r="B2084" s="9">
        <v>265.39999999999998</v>
      </c>
      <c r="C2084" s="9">
        <v>260.33</v>
      </c>
      <c r="D2084" s="9">
        <v>263.36</v>
      </c>
      <c r="E2084" s="9">
        <f t="shared" si="97"/>
        <v>-8.8082981367282216E-3</v>
      </c>
      <c r="F2084" s="9">
        <f t="shared" si="98"/>
        <v>0.1608496067032657</v>
      </c>
      <c r="G2084" s="9">
        <f t="shared" si="96"/>
        <v>2.1380947079918625E-2</v>
      </c>
    </row>
    <row r="2085" spans="1:7" x14ac:dyDescent="0.2">
      <c r="A2085" s="12">
        <v>39932</v>
      </c>
      <c r="B2085" s="9">
        <v>268.81</v>
      </c>
      <c r="C2085" s="9">
        <v>263.42</v>
      </c>
      <c r="D2085" s="9">
        <v>268.45</v>
      </c>
      <c r="E2085" s="9">
        <f t="shared" si="97"/>
        <v>1.9142759379873454E-2</v>
      </c>
      <c r="F2085" s="9">
        <f t="shared" si="98"/>
        <v>0.18034920626713</v>
      </c>
      <c r="G2085" s="9">
        <f t="shared" si="96"/>
        <v>2.1497189287487554E-2</v>
      </c>
    </row>
    <row r="2086" spans="1:7" x14ac:dyDescent="0.2">
      <c r="A2086" s="12">
        <v>39933</v>
      </c>
      <c r="B2086" s="9">
        <v>278.07</v>
      </c>
      <c r="C2086" s="9">
        <v>269.43</v>
      </c>
      <c r="D2086" s="9">
        <v>274.79000000000002</v>
      </c>
      <c r="E2086" s="9">
        <f t="shared" si="97"/>
        <v>2.3342492715587831E-2</v>
      </c>
      <c r="F2086" s="9">
        <f t="shared" si="98"/>
        <v>0.18995643652657795</v>
      </c>
      <c r="G2086" s="9">
        <f t="shared" si="96"/>
        <v>2.1686936119654953E-2</v>
      </c>
    </row>
    <row r="2087" spans="1:7" x14ac:dyDescent="0.2">
      <c r="A2087" s="12">
        <v>39934</v>
      </c>
      <c r="B2087" s="9">
        <v>276.75</v>
      </c>
      <c r="C2087" s="9">
        <v>272.69</v>
      </c>
      <c r="D2087" s="9">
        <v>276.66000000000003</v>
      </c>
      <c r="E2087" s="9">
        <f t="shared" si="97"/>
        <v>6.7821458625031139E-3</v>
      </c>
      <c r="F2087" s="9">
        <f t="shared" si="98"/>
        <v>0.1883252292252913</v>
      </c>
      <c r="G2087" s="9">
        <f t="shared" ref="G2087:G2150" si="99">STDEV(E2058:E2087)</f>
        <v>2.1683582115710493E-2</v>
      </c>
    </row>
    <row r="2088" spans="1:7" x14ac:dyDescent="0.2">
      <c r="A2088" s="12">
        <v>39937</v>
      </c>
      <c r="B2088" s="9">
        <v>288.77</v>
      </c>
      <c r="C2088" s="9">
        <v>277.25</v>
      </c>
      <c r="D2088" s="9">
        <v>288.76</v>
      </c>
      <c r="E2088" s="9">
        <f t="shared" si="97"/>
        <v>4.2806577824290912E-2</v>
      </c>
      <c r="F2088" s="9">
        <f t="shared" si="98"/>
        <v>0.23756692020126641</v>
      </c>
      <c r="G2088" s="9">
        <f t="shared" si="99"/>
        <v>2.2535100364272798E-2</v>
      </c>
    </row>
    <row r="2089" spans="1:7" x14ac:dyDescent="0.2">
      <c r="A2089" s="12">
        <v>39938</v>
      </c>
      <c r="B2089" s="9">
        <v>297.19</v>
      </c>
      <c r="C2089" s="9">
        <v>288.27999999999997</v>
      </c>
      <c r="D2089" s="9">
        <v>289.64999999999998</v>
      </c>
      <c r="E2089" s="9">
        <f t="shared" si="97"/>
        <v>3.0774042716727318E-3</v>
      </c>
      <c r="F2089" s="9">
        <f t="shared" si="98"/>
        <v>0.2362184720653652</v>
      </c>
      <c r="G2089" s="9">
        <f t="shared" si="99"/>
        <v>2.2543650980376528E-2</v>
      </c>
    </row>
    <row r="2090" spans="1:7" x14ac:dyDescent="0.2">
      <c r="A2090" s="12">
        <v>39939</v>
      </c>
      <c r="B2090" s="9">
        <v>297.33</v>
      </c>
      <c r="C2090" s="9">
        <v>288.89</v>
      </c>
      <c r="D2090" s="9">
        <v>296.43</v>
      </c>
      <c r="E2090" s="9">
        <f t="shared" si="97"/>
        <v>2.3137805332348056E-2</v>
      </c>
      <c r="F2090" s="9">
        <f t="shared" si="98"/>
        <v>0.26712543751213774</v>
      </c>
      <c r="G2090" s="9">
        <f t="shared" si="99"/>
        <v>2.2510309422727786E-2</v>
      </c>
    </row>
    <row r="2091" spans="1:7" x14ac:dyDescent="0.2">
      <c r="A2091" s="12">
        <v>39940</v>
      </c>
      <c r="B2091" s="9">
        <v>302.58999999999997</v>
      </c>
      <c r="C2091" s="9">
        <v>294.63</v>
      </c>
      <c r="D2091" s="9">
        <v>294.81</v>
      </c>
      <c r="E2091" s="9">
        <f t="shared" si="97"/>
        <v>-5.4800218325359714E-3</v>
      </c>
      <c r="F2091" s="9">
        <f t="shared" si="98"/>
        <v>0.25025377478992289</v>
      </c>
      <c r="G2091" s="9">
        <f t="shared" si="99"/>
        <v>2.2656304815080987E-2</v>
      </c>
    </row>
    <row r="2092" spans="1:7" x14ac:dyDescent="0.2">
      <c r="A2092" s="12">
        <v>39941</v>
      </c>
      <c r="B2092" s="9">
        <v>0</v>
      </c>
      <c r="C2092" s="9">
        <v>0</v>
      </c>
      <c r="D2092" s="9">
        <v>0</v>
      </c>
      <c r="E2092" s="9" t="e">
        <f t="shared" si="97"/>
        <v>#NUM!</v>
      </c>
      <c r="F2092" s="9" t="e">
        <f t="shared" si="98"/>
        <v>#NUM!</v>
      </c>
      <c r="G2092" s="9" t="e">
        <f t="shared" si="99"/>
        <v>#NUM!</v>
      </c>
    </row>
    <row r="2093" spans="1:7" x14ac:dyDescent="0.2">
      <c r="A2093" s="12">
        <v>39944</v>
      </c>
      <c r="B2093" s="9">
        <v>301.27999999999997</v>
      </c>
      <c r="C2093" s="9">
        <v>291.22000000000003</v>
      </c>
      <c r="D2093" s="9">
        <v>295.41000000000003</v>
      </c>
      <c r="E2093" s="9" t="e">
        <f t="shared" si="97"/>
        <v>#DIV/0!</v>
      </c>
      <c r="F2093" s="9">
        <f t="shared" si="98"/>
        <v>0.24945916707013699</v>
      </c>
      <c r="G2093" s="9" t="e">
        <f t="shared" si="99"/>
        <v>#NUM!</v>
      </c>
    </row>
    <row r="2094" spans="1:7" x14ac:dyDescent="0.2">
      <c r="A2094" s="12">
        <v>39945</v>
      </c>
      <c r="B2094" s="9">
        <v>300.27</v>
      </c>
      <c r="C2094" s="9">
        <v>290.92</v>
      </c>
      <c r="D2094" s="9">
        <v>293.25</v>
      </c>
      <c r="E2094" s="9">
        <f t="shared" si="97"/>
        <v>-7.3387343942355821E-3</v>
      </c>
      <c r="F2094" s="9">
        <f t="shared" si="98"/>
        <v>0.21846567759149943</v>
      </c>
      <c r="G2094" s="9" t="e">
        <f t="shared" si="99"/>
        <v>#NUM!</v>
      </c>
    </row>
    <row r="2095" spans="1:7" x14ac:dyDescent="0.2">
      <c r="A2095" s="12">
        <v>39946</v>
      </c>
      <c r="B2095" s="9">
        <v>295.60000000000002</v>
      </c>
      <c r="C2095" s="9">
        <v>285.33</v>
      </c>
      <c r="D2095" s="9">
        <v>287.04000000000002</v>
      </c>
      <c r="E2095" s="9">
        <f t="shared" si="97"/>
        <v>-2.1403908663153493E-2</v>
      </c>
      <c r="F2095" s="9">
        <f t="shared" si="98"/>
        <v>0.21073135384302036</v>
      </c>
      <c r="G2095" s="9" t="e">
        <f t="shared" si="99"/>
        <v>#NUM!</v>
      </c>
    </row>
    <row r="2096" spans="1:7" x14ac:dyDescent="0.2">
      <c r="A2096" s="12">
        <v>39947</v>
      </c>
      <c r="B2096" s="9">
        <v>287.70999999999998</v>
      </c>
      <c r="C2096" s="9">
        <v>280.94</v>
      </c>
      <c r="D2096" s="9">
        <v>287.08</v>
      </c>
      <c r="E2096" s="9">
        <f t="shared" si="97"/>
        <v>1.3934369143963322E-4</v>
      </c>
      <c r="F2096" s="9">
        <f t="shared" si="98"/>
        <v>0.23089786616719127</v>
      </c>
      <c r="G2096" s="9" t="e">
        <f t="shared" si="99"/>
        <v>#NUM!</v>
      </c>
    </row>
    <row r="2097" spans="1:7" x14ac:dyDescent="0.2">
      <c r="A2097" s="12">
        <v>39948</v>
      </c>
      <c r="B2097" s="9">
        <v>293.79000000000002</v>
      </c>
      <c r="C2097" s="9">
        <v>287.86</v>
      </c>
      <c r="D2097" s="9">
        <v>293.52999999999997</v>
      </c>
      <c r="E2097" s="9">
        <f t="shared" si="97"/>
        <v>2.2218926133485108E-2</v>
      </c>
      <c r="F2097" s="9">
        <f t="shared" si="98"/>
        <v>0.2510565175992977</v>
      </c>
      <c r="G2097" s="9" t="e">
        <f t="shared" si="99"/>
        <v>#NUM!</v>
      </c>
    </row>
    <row r="2098" spans="1:7" x14ac:dyDescent="0.2">
      <c r="A2098" s="12">
        <v>39951</v>
      </c>
      <c r="B2098" s="9">
        <v>299.79000000000002</v>
      </c>
      <c r="C2098" s="9">
        <v>290.19</v>
      </c>
      <c r="D2098" s="9">
        <v>299.73</v>
      </c>
      <c r="E2098" s="9">
        <f t="shared" si="97"/>
        <v>2.0902220717680685E-2</v>
      </c>
      <c r="F2098" s="9">
        <f t="shared" si="98"/>
        <v>0.23183062609587177</v>
      </c>
      <c r="G2098" s="9" t="e">
        <f t="shared" si="99"/>
        <v>#NUM!</v>
      </c>
    </row>
    <row r="2099" spans="1:7" x14ac:dyDescent="0.2">
      <c r="A2099" s="12">
        <v>39952</v>
      </c>
      <c r="B2099" s="9">
        <v>308.12</v>
      </c>
      <c r="C2099" s="9">
        <v>300.32</v>
      </c>
      <c r="D2099" s="9">
        <v>304.82</v>
      </c>
      <c r="E2099" s="9">
        <f t="shared" si="97"/>
        <v>1.6839369044666663E-2</v>
      </c>
      <c r="F2099" s="9">
        <f t="shared" si="98"/>
        <v>0.21597652640123707</v>
      </c>
      <c r="G2099" s="9" t="e">
        <f t="shared" si="99"/>
        <v>#NUM!</v>
      </c>
    </row>
    <row r="2100" spans="1:7" x14ac:dyDescent="0.2">
      <c r="A2100" s="12">
        <v>39953</v>
      </c>
      <c r="B2100" s="9">
        <v>308.70999999999998</v>
      </c>
      <c r="C2100" s="9">
        <v>303.38</v>
      </c>
      <c r="D2100" s="9">
        <v>308.27</v>
      </c>
      <c r="E2100" s="9">
        <f t="shared" si="97"/>
        <v>1.1254583882627095E-2</v>
      </c>
      <c r="F2100" s="9">
        <f t="shared" si="98"/>
        <v>0.25593607739882096</v>
      </c>
      <c r="G2100" s="9" t="e">
        <f t="shared" si="99"/>
        <v>#NUM!</v>
      </c>
    </row>
    <row r="2101" spans="1:7" x14ac:dyDescent="0.2">
      <c r="A2101" s="12">
        <v>39955</v>
      </c>
      <c r="B2101" s="9">
        <v>0</v>
      </c>
      <c r="C2101" s="9">
        <v>0</v>
      </c>
      <c r="D2101" s="9">
        <v>0</v>
      </c>
      <c r="E2101" s="9" t="e">
        <f t="shared" si="97"/>
        <v>#NUM!</v>
      </c>
      <c r="F2101" s="9" t="e">
        <f t="shared" si="98"/>
        <v>#NUM!</v>
      </c>
      <c r="G2101" s="9" t="e">
        <f t="shared" si="99"/>
        <v>#NUM!</v>
      </c>
    </row>
    <row r="2102" spans="1:7" x14ac:dyDescent="0.2">
      <c r="A2102" s="12">
        <v>39958</v>
      </c>
      <c r="B2102" s="9">
        <v>307.58</v>
      </c>
      <c r="C2102" s="9">
        <v>301.86</v>
      </c>
      <c r="D2102" s="9">
        <v>304.33</v>
      </c>
      <c r="E2102" s="9" t="e">
        <f t="shared" si="97"/>
        <v>#DIV/0!</v>
      </c>
      <c r="F2102" s="9">
        <f t="shared" si="98"/>
        <v>0.24563190332382834</v>
      </c>
      <c r="G2102" s="9" t="e">
        <f t="shared" si="99"/>
        <v>#NUM!</v>
      </c>
    </row>
    <row r="2103" spans="1:7" x14ac:dyDescent="0.2">
      <c r="A2103" s="12">
        <v>39959</v>
      </c>
      <c r="B2103" s="9">
        <v>303.83999999999997</v>
      </c>
      <c r="C2103" s="9">
        <v>293.14</v>
      </c>
      <c r="D2103" s="9">
        <v>299.01</v>
      </c>
      <c r="E2103" s="9">
        <f t="shared" si="97"/>
        <v>-1.7635621316881546E-2</v>
      </c>
      <c r="F2103" s="9">
        <f t="shared" si="98"/>
        <v>0.23838401159258149</v>
      </c>
      <c r="G2103" s="9" t="e">
        <f t="shared" si="99"/>
        <v>#NUM!</v>
      </c>
    </row>
    <row r="2104" spans="1:7" x14ac:dyDescent="0.2">
      <c r="A2104" s="12">
        <v>39960</v>
      </c>
      <c r="B2104" s="9">
        <v>302.08999999999997</v>
      </c>
      <c r="C2104" s="9">
        <v>297.18</v>
      </c>
      <c r="D2104" s="9">
        <v>298.14</v>
      </c>
      <c r="E2104" s="9">
        <f t="shared" si="97"/>
        <v>-2.9138428051904064E-3</v>
      </c>
      <c r="F2104" s="9">
        <f t="shared" si="98"/>
        <v>0.20767548681914372</v>
      </c>
      <c r="G2104" s="9" t="e">
        <f t="shared" si="99"/>
        <v>#NUM!</v>
      </c>
    </row>
    <row r="2105" spans="1:7" x14ac:dyDescent="0.2">
      <c r="A2105" s="12">
        <v>39961</v>
      </c>
      <c r="B2105" s="9">
        <v>297.83999999999997</v>
      </c>
      <c r="C2105" s="9">
        <v>289.70999999999998</v>
      </c>
      <c r="D2105" s="9">
        <v>292.33999999999997</v>
      </c>
      <c r="E2105" s="9">
        <f t="shared" si="97"/>
        <v>-1.9645666381137589E-2</v>
      </c>
      <c r="F2105" s="9">
        <f t="shared" si="98"/>
        <v>0.19698696097894203</v>
      </c>
      <c r="G2105" s="9" t="e">
        <f t="shared" si="99"/>
        <v>#NUM!</v>
      </c>
    </row>
    <row r="2106" spans="1:7" x14ac:dyDescent="0.2">
      <c r="A2106" s="12">
        <v>39962</v>
      </c>
      <c r="B2106" s="9">
        <v>297.19</v>
      </c>
      <c r="C2106" s="9">
        <v>285.02999999999997</v>
      </c>
      <c r="D2106" s="9">
        <v>290.83</v>
      </c>
      <c r="E2106" s="9">
        <f t="shared" si="97"/>
        <v>-5.1786044364071073E-3</v>
      </c>
      <c r="F2106" s="9">
        <f t="shared" si="98"/>
        <v>0.14069419262284813</v>
      </c>
      <c r="G2106" s="9" t="e">
        <f t="shared" si="99"/>
        <v>#NUM!</v>
      </c>
    </row>
    <row r="2107" spans="1:7" x14ac:dyDescent="0.2">
      <c r="A2107" s="12">
        <v>39965</v>
      </c>
      <c r="B2107" s="9">
        <v>0</v>
      </c>
      <c r="C2107" s="9">
        <v>0</v>
      </c>
      <c r="D2107" s="9">
        <v>0</v>
      </c>
      <c r="E2107" s="9" t="e">
        <f t="shared" si="97"/>
        <v>#NUM!</v>
      </c>
      <c r="F2107" s="9" t="e">
        <f t="shared" si="98"/>
        <v>#NUM!</v>
      </c>
      <c r="G2107" s="9" t="e">
        <f t="shared" si="99"/>
        <v>#NUM!</v>
      </c>
    </row>
    <row r="2108" spans="1:7" x14ac:dyDescent="0.2">
      <c r="A2108" s="12">
        <v>39966</v>
      </c>
      <c r="B2108" s="9">
        <v>300.10000000000002</v>
      </c>
      <c r="C2108" s="9">
        <v>291.42</v>
      </c>
      <c r="D2108" s="9">
        <v>296.95</v>
      </c>
      <c r="E2108" s="9" t="e">
        <f t="shared" si="97"/>
        <v>#DIV/0!</v>
      </c>
      <c r="F2108" s="9">
        <f t="shared" si="98"/>
        <v>0.14690305557788058</v>
      </c>
      <c r="G2108" s="9" t="e">
        <f t="shared" si="99"/>
        <v>#NUM!</v>
      </c>
    </row>
    <row r="2109" spans="1:7" x14ac:dyDescent="0.2">
      <c r="A2109" s="12">
        <v>39967</v>
      </c>
      <c r="B2109" s="9">
        <v>298.14</v>
      </c>
      <c r="C2109" s="9">
        <v>290.45</v>
      </c>
      <c r="D2109" s="9">
        <v>292.58</v>
      </c>
      <c r="E2109" s="9">
        <f t="shared" si="97"/>
        <v>-1.4825640911929158E-2</v>
      </c>
      <c r="F2109" s="9">
        <f t="shared" si="98"/>
        <v>0.13884808021932629</v>
      </c>
      <c r="G2109" s="9" t="e">
        <f t="shared" si="99"/>
        <v>#NUM!</v>
      </c>
    </row>
    <row r="2110" spans="1:7" x14ac:dyDescent="0.2">
      <c r="A2110" s="12">
        <v>39968</v>
      </c>
      <c r="B2110" s="9">
        <v>294.99</v>
      </c>
      <c r="C2110" s="9">
        <v>291.45999999999998</v>
      </c>
      <c r="D2110" s="9">
        <v>294.13</v>
      </c>
      <c r="E2110" s="9">
        <f t="shared" si="97"/>
        <v>5.2837129281060333E-3</v>
      </c>
      <c r="F2110" s="9">
        <f t="shared" si="98"/>
        <v>0.11644099300224643</v>
      </c>
      <c r="G2110" s="9" t="e">
        <f t="shared" si="99"/>
        <v>#NUM!</v>
      </c>
    </row>
    <row r="2111" spans="1:7" x14ac:dyDescent="0.2">
      <c r="A2111" s="12">
        <v>39969</v>
      </c>
      <c r="B2111" s="9">
        <v>0</v>
      </c>
      <c r="C2111" s="9">
        <v>0</v>
      </c>
      <c r="D2111" s="9">
        <v>0</v>
      </c>
      <c r="E2111" s="9" t="e">
        <f t="shared" si="97"/>
        <v>#NUM!</v>
      </c>
      <c r="F2111" s="9" t="e">
        <f t="shared" si="98"/>
        <v>#NUM!</v>
      </c>
      <c r="G2111" s="9" t="e">
        <f t="shared" si="99"/>
        <v>#NUM!</v>
      </c>
    </row>
    <row r="2112" spans="1:7" x14ac:dyDescent="0.2">
      <c r="A2112" s="12">
        <v>39972</v>
      </c>
      <c r="B2112" s="9">
        <v>296.39</v>
      </c>
      <c r="C2112" s="9">
        <v>288.01</v>
      </c>
      <c r="D2112" s="9">
        <v>289.45999999999998</v>
      </c>
      <c r="E2112" s="9" t="e">
        <f t="shared" si="97"/>
        <v>#DIV/0!</v>
      </c>
      <c r="F2112" s="9">
        <f t="shared" si="98"/>
        <v>7.3863514953771359E-2</v>
      </c>
      <c r="G2112" s="9" t="e">
        <f t="shared" si="99"/>
        <v>#NUM!</v>
      </c>
    </row>
    <row r="2113" spans="1:7" x14ac:dyDescent="0.2">
      <c r="A2113" s="12">
        <v>39973</v>
      </c>
      <c r="B2113" s="9">
        <v>295.14</v>
      </c>
      <c r="C2113" s="9">
        <v>289.11</v>
      </c>
      <c r="D2113" s="9">
        <v>294.33999999999997</v>
      </c>
      <c r="E2113" s="9">
        <f t="shared" si="97"/>
        <v>1.6718443526508302E-2</v>
      </c>
      <c r="F2113" s="9">
        <f t="shared" si="98"/>
        <v>0.10240534611053335</v>
      </c>
      <c r="G2113" s="9" t="e">
        <f t="shared" si="99"/>
        <v>#NUM!</v>
      </c>
    </row>
    <row r="2114" spans="1:7" x14ac:dyDescent="0.2">
      <c r="A2114" s="12">
        <v>39974</v>
      </c>
      <c r="B2114" s="9">
        <v>302.29000000000002</v>
      </c>
      <c r="C2114" s="9">
        <v>294.64</v>
      </c>
      <c r="D2114" s="9">
        <v>300.64999999999998</v>
      </c>
      <c r="E2114" s="9">
        <f t="shared" si="97"/>
        <v>2.1211235749610778E-2</v>
      </c>
      <c r="F2114" s="9">
        <f t="shared" si="98"/>
        <v>0.13242487999687255</v>
      </c>
      <c r="G2114" s="9" t="e">
        <f t="shared" si="99"/>
        <v>#NUM!</v>
      </c>
    </row>
    <row r="2115" spans="1:7" x14ac:dyDescent="0.2">
      <c r="A2115" s="12">
        <v>39975</v>
      </c>
      <c r="B2115" s="9">
        <v>304.55</v>
      </c>
      <c r="C2115" s="9">
        <v>300.45</v>
      </c>
      <c r="D2115" s="9">
        <v>303.72000000000003</v>
      </c>
      <c r="E2115" s="9">
        <f t="shared" si="97"/>
        <v>1.0159426859455579E-2</v>
      </c>
      <c r="F2115" s="9">
        <f t="shared" si="98"/>
        <v>0.12344154747645471</v>
      </c>
      <c r="G2115" s="9" t="e">
        <f t="shared" si="99"/>
        <v>#NUM!</v>
      </c>
    </row>
    <row r="2116" spans="1:7" x14ac:dyDescent="0.2">
      <c r="A2116" s="12">
        <v>39976</v>
      </c>
      <c r="B2116" s="9">
        <v>307.19</v>
      </c>
      <c r="C2116" s="9">
        <v>302.73</v>
      </c>
      <c r="D2116" s="9">
        <v>303.67</v>
      </c>
      <c r="E2116" s="9">
        <f t="shared" ref="E2116:E2179" si="100">LN(D2116/D2115)</f>
        <v>-1.646388650223443E-4</v>
      </c>
      <c r="F2116" s="9">
        <f t="shared" si="98"/>
        <v>9.993441589584455E-2</v>
      </c>
      <c r="G2116" s="9" t="e">
        <f t="shared" si="99"/>
        <v>#NUM!</v>
      </c>
    </row>
    <row r="2117" spans="1:7" x14ac:dyDescent="0.2">
      <c r="A2117" s="12">
        <v>39979</v>
      </c>
      <c r="B2117" s="9">
        <v>304.49</v>
      </c>
      <c r="C2117" s="9">
        <v>300.20999999999998</v>
      </c>
      <c r="D2117" s="9">
        <v>300.61</v>
      </c>
      <c r="E2117" s="9">
        <f t="shared" si="100"/>
        <v>-1.01278419147305E-2</v>
      </c>
      <c r="F2117" s="9">
        <f t="shared" si="98"/>
        <v>8.3024428118610979E-2</v>
      </c>
      <c r="G2117" s="9" t="e">
        <f t="shared" si="99"/>
        <v>#NUM!</v>
      </c>
    </row>
    <row r="2118" spans="1:7" x14ac:dyDescent="0.2">
      <c r="A2118" s="12">
        <v>39980</v>
      </c>
      <c r="B2118" s="9">
        <v>301.45</v>
      </c>
      <c r="C2118" s="9">
        <v>297.02</v>
      </c>
      <c r="D2118" s="9">
        <v>299.02</v>
      </c>
      <c r="E2118" s="9">
        <f t="shared" si="100"/>
        <v>-5.3032827794986673E-3</v>
      </c>
      <c r="F2118" s="9">
        <f t="shared" si="98"/>
        <v>3.4914567514821374E-2</v>
      </c>
      <c r="G2118" s="9" t="e">
        <f t="shared" si="99"/>
        <v>#NUM!</v>
      </c>
    </row>
    <row r="2119" spans="1:7" x14ac:dyDescent="0.2">
      <c r="A2119" s="12">
        <v>39981</v>
      </c>
      <c r="B2119" s="9">
        <v>298.82</v>
      </c>
      <c r="C2119" s="9">
        <v>290.07</v>
      </c>
      <c r="D2119" s="9">
        <v>290.37</v>
      </c>
      <c r="E2119" s="9">
        <f t="shared" si="100"/>
        <v>-2.9354488956674789E-2</v>
      </c>
      <c r="F2119" s="9">
        <f t="shared" si="98"/>
        <v>2.4826742864738826E-3</v>
      </c>
      <c r="G2119" s="9" t="e">
        <f t="shared" si="99"/>
        <v>#NUM!</v>
      </c>
    </row>
    <row r="2120" spans="1:7" x14ac:dyDescent="0.2">
      <c r="A2120" s="12">
        <v>39982</v>
      </c>
      <c r="B2120" s="9">
        <v>294.88</v>
      </c>
      <c r="C2120" s="9">
        <v>286.67</v>
      </c>
      <c r="D2120" s="9">
        <v>291.88</v>
      </c>
      <c r="E2120" s="9">
        <f t="shared" si="100"/>
        <v>5.1867870683124659E-3</v>
      </c>
      <c r="F2120" s="9">
        <f t="shared" si="98"/>
        <v>-1.5468343977561833E-2</v>
      </c>
      <c r="G2120" s="9" t="e">
        <f t="shared" si="99"/>
        <v>#NUM!</v>
      </c>
    </row>
    <row r="2121" spans="1:7" x14ac:dyDescent="0.2">
      <c r="A2121" s="12">
        <v>39983</v>
      </c>
      <c r="B2121" s="9">
        <v>294.29000000000002</v>
      </c>
      <c r="C2121" s="9">
        <v>290.11</v>
      </c>
      <c r="D2121" s="9">
        <v>293.16000000000003</v>
      </c>
      <c r="E2121" s="9">
        <f t="shared" si="100"/>
        <v>4.3757761602300754E-3</v>
      </c>
      <c r="F2121" s="9">
        <f t="shared" si="98"/>
        <v>-5.6125459847956765E-3</v>
      </c>
      <c r="G2121" s="9" t="e">
        <f t="shared" si="99"/>
        <v>#NUM!</v>
      </c>
    </row>
    <row r="2122" spans="1:7" x14ac:dyDescent="0.2">
      <c r="A2122" s="12">
        <v>39986</v>
      </c>
      <c r="B2122" s="9">
        <v>293.45</v>
      </c>
      <c r="C2122" s="9">
        <v>283.45</v>
      </c>
      <c r="D2122" s="9">
        <v>284.38</v>
      </c>
      <c r="E2122" s="9">
        <f t="shared" si="100"/>
        <v>-3.0407163089421152E-2</v>
      </c>
      <c r="F2122" s="9" t="e">
        <f t="shared" si="98"/>
        <v>#DIV/0!</v>
      </c>
      <c r="G2122" s="9" t="e">
        <f t="shared" si="99"/>
        <v>#DIV/0!</v>
      </c>
    </row>
    <row r="2123" spans="1:7" x14ac:dyDescent="0.2">
      <c r="A2123" s="12">
        <v>39987</v>
      </c>
      <c r="B2123" s="9">
        <v>283.99</v>
      </c>
      <c r="C2123" s="9">
        <v>279.29000000000002</v>
      </c>
      <c r="D2123" s="9">
        <v>281.12</v>
      </c>
      <c r="E2123" s="9">
        <f t="shared" si="100"/>
        <v>-1.152974752944131E-2</v>
      </c>
      <c r="F2123" s="9">
        <f t="shared" si="98"/>
        <v>-4.9582597489033396E-2</v>
      </c>
      <c r="G2123" s="9" t="e">
        <f t="shared" si="99"/>
        <v>#NUM!</v>
      </c>
    </row>
    <row r="2124" spans="1:7" x14ac:dyDescent="0.2">
      <c r="A2124" s="12">
        <v>39988</v>
      </c>
      <c r="B2124" s="9">
        <v>289.06</v>
      </c>
      <c r="C2124" s="9">
        <v>280.83</v>
      </c>
      <c r="D2124" s="9">
        <v>289.05</v>
      </c>
      <c r="E2124" s="9">
        <f t="shared" si="100"/>
        <v>2.7818059089697995E-2</v>
      </c>
      <c r="F2124" s="9">
        <f t="shared" si="98"/>
        <v>-1.4425804005099758E-2</v>
      </c>
      <c r="G2124" s="9" t="e">
        <f t="shared" si="99"/>
        <v>#NUM!</v>
      </c>
    </row>
    <row r="2125" spans="1:7" x14ac:dyDescent="0.2">
      <c r="A2125" s="12">
        <v>39989</v>
      </c>
      <c r="B2125" s="9">
        <v>290.10000000000002</v>
      </c>
      <c r="C2125" s="9">
        <v>283.57</v>
      </c>
      <c r="D2125" s="9">
        <v>284.83999999999997</v>
      </c>
      <c r="E2125" s="9">
        <f t="shared" si="100"/>
        <v>-1.4672064414561181E-2</v>
      </c>
      <c r="F2125" s="9">
        <f t="shared" si="98"/>
        <v>-7.6939597565074593E-3</v>
      </c>
      <c r="G2125" s="9" t="e">
        <f t="shared" si="99"/>
        <v>#NUM!</v>
      </c>
    </row>
    <row r="2126" spans="1:7" x14ac:dyDescent="0.2">
      <c r="A2126" s="12">
        <v>39990</v>
      </c>
      <c r="B2126" s="9">
        <v>287.61</v>
      </c>
      <c r="C2126" s="9">
        <v>279.61</v>
      </c>
      <c r="D2126" s="9">
        <v>280.58</v>
      </c>
      <c r="E2126" s="9">
        <f t="shared" si="100"/>
        <v>-1.5068729823297718E-2</v>
      </c>
      <c r="F2126" s="9">
        <f t="shared" si="98"/>
        <v>-2.2902033271244931E-2</v>
      </c>
      <c r="G2126" s="9" t="e">
        <f t="shared" si="99"/>
        <v>#NUM!</v>
      </c>
    </row>
    <row r="2127" spans="1:7" x14ac:dyDescent="0.2">
      <c r="A2127" s="12">
        <v>39993</v>
      </c>
      <c r="B2127" s="9">
        <v>290.05</v>
      </c>
      <c r="C2127" s="9">
        <v>280.45</v>
      </c>
      <c r="D2127" s="9">
        <v>290.02</v>
      </c>
      <c r="E2127" s="9">
        <f t="shared" si="100"/>
        <v>3.3090996829122768E-2</v>
      </c>
      <c r="F2127" s="9">
        <f t="shared" si="98"/>
        <v>-1.2029962575607124E-2</v>
      </c>
      <c r="G2127" s="9" t="e">
        <f t="shared" si="99"/>
        <v>#NUM!</v>
      </c>
    </row>
    <row r="2128" spans="1:7" x14ac:dyDescent="0.2">
      <c r="A2128" s="12">
        <v>39994</v>
      </c>
      <c r="B2128" s="9">
        <v>292.95</v>
      </c>
      <c r="C2128" s="9">
        <v>289.62</v>
      </c>
      <c r="D2128" s="9">
        <v>290.7</v>
      </c>
      <c r="E2128" s="9">
        <f t="shared" si="100"/>
        <v>2.3419214450811246E-3</v>
      </c>
      <c r="F2128" s="9">
        <f t="shared" si="98"/>
        <v>-3.05902618482068E-2</v>
      </c>
      <c r="G2128" s="9" t="e">
        <f t="shared" si="99"/>
        <v>#NUM!</v>
      </c>
    </row>
    <row r="2129" spans="1:7" x14ac:dyDescent="0.2">
      <c r="A2129" s="12">
        <v>39995</v>
      </c>
      <c r="B2129" s="9">
        <v>294.57</v>
      </c>
      <c r="C2129" s="9">
        <v>290.43</v>
      </c>
      <c r="D2129" s="9">
        <v>294.56</v>
      </c>
      <c r="E2129" s="9">
        <f t="shared" si="100"/>
        <v>1.3190909919937429E-2</v>
      </c>
      <c r="F2129" s="9">
        <f t="shared" si="98"/>
        <v>-3.4238720972935746E-2</v>
      </c>
      <c r="G2129" s="9" t="e">
        <f t="shared" si="99"/>
        <v>#NUM!</v>
      </c>
    </row>
    <row r="2130" spans="1:7" x14ac:dyDescent="0.2">
      <c r="A2130" s="12">
        <v>39996</v>
      </c>
      <c r="B2130" s="9">
        <v>294.45999999999998</v>
      </c>
      <c r="C2130" s="9">
        <v>288.52999999999997</v>
      </c>
      <c r="D2130" s="9">
        <v>289.58</v>
      </c>
      <c r="E2130" s="9">
        <f t="shared" si="100"/>
        <v>-1.7051120131492115E-2</v>
      </c>
      <c r="F2130" s="9">
        <f t="shared" si="98"/>
        <v>-6.2544424987054981E-2</v>
      </c>
      <c r="G2130" s="9" t="e">
        <f t="shared" si="99"/>
        <v>#NUM!</v>
      </c>
    </row>
    <row r="2131" spans="1:7" x14ac:dyDescent="0.2">
      <c r="A2131" s="12">
        <v>39997</v>
      </c>
      <c r="B2131" s="9">
        <v>289.38</v>
      </c>
      <c r="C2131" s="9">
        <v>285.95</v>
      </c>
      <c r="D2131" s="9">
        <v>286.56</v>
      </c>
      <c r="E2131" s="9">
        <f t="shared" si="100"/>
        <v>-1.0483659040873871E-2</v>
      </c>
      <c r="F2131" s="9" t="e">
        <f t="shared" si="98"/>
        <v>#DIV/0!</v>
      </c>
      <c r="G2131" s="9" t="e">
        <f t="shared" si="99"/>
        <v>#DIV/0!</v>
      </c>
    </row>
    <row r="2132" spans="1:7" x14ac:dyDescent="0.2">
      <c r="A2132" s="12">
        <v>40000</v>
      </c>
      <c r="B2132" s="9">
        <v>286.56</v>
      </c>
      <c r="C2132" s="9">
        <v>281.58999999999997</v>
      </c>
      <c r="D2132" s="9">
        <v>282.62</v>
      </c>
      <c r="E2132" s="9">
        <f t="shared" si="100"/>
        <v>-1.3844699157801529E-2</v>
      </c>
      <c r="F2132" s="9">
        <f t="shared" si="98"/>
        <v>-7.4009399809755974E-2</v>
      </c>
      <c r="G2132" s="9" t="e">
        <f t="shared" si="99"/>
        <v>#NUM!</v>
      </c>
    </row>
    <row r="2133" spans="1:7" x14ac:dyDescent="0.2">
      <c r="A2133" s="12">
        <v>40001</v>
      </c>
      <c r="B2133" s="9">
        <v>286.75</v>
      </c>
      <c r="C2133" s="9">
        <v>282.47000000000003</v>
      </c>
      <c r="D2133" s="9">
        <v>282.47000000000003</v>
      </c>
      <c r="E2133" s="9">
        <f t="shared" si="100"/>
        <v>-5.3088889742519403E-4</v>
      </c>
      <c r="F2133" s="9">
        <f t="shared" si="98"/>
        <v>-5.6904667390299618E-2</v>
      </c>
      <c r="G2133" s="9" t="e">
        <f t="shared" si="99"/>
        <v>#NUM!</v>
      </c>
    </row>
    <row r="2134" spans="1:7" x14ac:dyDescent="0.2">
      <c r="A2134" s="12">
        <v>40002</v>
      </c>
      <c r="B2134" s="9">
        <v>283.60000000000002</v>
      </c>
      <c r="C2134" s="9">
        <v>280.16000000000003</v>
      </c>
      <c r="D2134" s="9">
        <v>282.35000000000002</v>
      </c>
      <c r="E2134" s="9">
        <f t="shared" si="100"/>
        <v>-4.2491413832910357E-4</v>
      </c>
      <c r="F2134" s="9">
        <f t="shared" si="98"/>
        <v>-5.441573872343837E-2</v>
      </c>
      <c r="G2134" s="9" t="e">
        <f t="shared" si="99"/>
        <v>#NUM!</v>
      </c>
    </row>
    <row r="2135" spans="1:7" x14ac:dyDescent="0.2">
      <c r="A2135" s="12">
        <v>40003</v>
      </c>
      <c r="B2135" s="9">
        <v>284.01</v>
      </c>
      <c r="C2135" s="9">
        <v>279.97000000000003</v>
      </c>
      <c r="D2135" s="9">
        <v>280.89999999999998</v>
      </c>
      <c r="E2135" s="9">
        <f t="shared" si="100"/>
        <v>-5.1487020086478878E-3</v>
      </c>
      <c r="F2135" s="9">
        <f t="shared" si="98"/>
        <v>-3.9918774350948726E-2</v>
      </c>
      <c r="G2135" s="9" t="e">
        <f t="shared" si="99"/>
        <v>#NUM!</v>
      </c>
    </row>
    <row r="2136" spans="1:7" x14ac:dyDescent="0.2">
      <c r="A2136" s="12">
        <v>40004</v>
      </c>
      <c r="B2136" s="9">
        <v>281.2</v>
      </c>
      <c r="C2136" s="9">
        <v>278.2</v>
      </c>
      <c r="D2136" s="9">
        <v>279.83999999999997</v>
      </c>
      <c r="E2136" s="9">
        <f t="shared" si="100"/>
        <v>-3.7807228399060443E-3</v>
      </c>
      <c r="F2136" s="9">
        <f t="shared" si="98"/>
        <v>-3.8520892754447596E-2</v>
      </c>
      <c r="G2136" s="9" t="e">
        <f t="shared" si="99"/>
        <v>#NUM!</v>
      </c>
    </row>
    <row r="2137" spans="1:7" x14ac:dyDescent="0.2">
      <c r="A2137" s="12">
        <v>40007</v>
      </c>
      <c r="B2137" s="9">
        <v>280.44</v>
      </c>
      <c r="C2137" s="9">
        <v>276.18</v>
      </c>
      <c r="D2137" s="9">
        <v>279.72000000000003</v>
      </c>
      <c r="E2137" s="9">
        <f t="shared" si="100"/>
        <v>-4.2890843462567788E-4</v>
      </c>
      <c r="F2137" s="9" t="e">
        <f t="shared" si="98"/>
        <v>#DIV/0!</v>
      </c>
      <c r="G2137" s="9" t="e">
        <f t="shared" si="99"/>
        <v>#DIV/0!</v>
      </c>
    </row>
    <row r="2138" spans="1:7" x14ac:dyDescent="0.2">
      <c r="A2138" s="12">
        <v>40008</v>
      </c>
      <c r="B2138" s="9">
        <v>284.10000000000002</v>
      </c>
      <c r="C2138" s="9">
        <v>280.20999999999998</v>
      </c>
      <c r="D2138" s="9">
        <v>282.52</v>
      </c>
      <c r="E2138" s="9">
        <f t="shared" si="100"/>
        <v>9.9602417050552138E-3</v>
      </c>
      <c r="F2138" s="9">
        <f t="shared" si="98"/>
        <v>-4.9814429921147707E-2</v>
      </c>
      <c r="G2138" s="9" t="e">
        <f t="shared" si="99"/>
        <v>#NUM!</v>
      </c>
    </row>
    <row r="2139" spans="1:7" x14ac:dyDescent="0.2">
      <c r="A2139" s="12">
        <v>40009</v>
      </c>
      <c r="B2139" s="9">
        <v>288.97000000000003</v>
      </c>
      <c r="C2139" s="9">
        <v>282.89999999999998</v>
      </c>
      <c r="D2139" s="9">
        <v>288.29000000000002</v>
      </c>
      <c r="E2139" s="9">
        <f t="shared" si="100"/>
        <v>2.0217573411181251E-2</v>
      </c>
      <c r="F2139" s="9">
        <f t="shared" si="98"/>
        <v>-1.4771215598037313E-2</v>
      </c>
      <c r="G2139" s="9" t="e">
        <f t="shared" si="99"/>
        <v>#NUM!</v>
      </c>
    </row>
    <row r="2140" spans="1:7" x14ac:dyDescent="0.2">
      <c r="A2140" s="12">
        <v>40010</v>
      </c>
      <c r="B2140" s="9">
        <v>292.01</v>
      </c>
      <c r="C2140" s="9">
        <v>288.58999999999997</v>
      </c>
      <c r="D2140" s="9">
        <v>291.02</v>
      </c>
      <c r="E2140" s="9">
        <f t="shared" si="100"/>
        <v>9.4250753802297971E-3</v>
      </c>
      <c r="F2140" s="9">
        <f t="shared" si="98"/>
        <v>-1.0629853145913476E-2</v>
      </c>
      <c r="G2140" s="9" t="e">
        <f t="shared" si="99"/>
        <v>#NUM!</v>
      </c>
    </row>
    <row r="2141" spans="1:7" x14ac:dyDescent="0.2">
      <c r="A2141" s="12">
        <v>40011</v>
      </c>
      <c r="B2141" s="9">
        <v>293.41000000000003</v>
      </c>
      <c r="C2141" s="9">
        <v>291</v>
      </c>
      <c r="D2141" s="9">
        <v>292.92</v>
      </c>
      <c r="E2141" s="9">
        <f t="shared" si="100"/>
        <v>6.5075408607364847E-3</v>
      </c>
      <c r="F2141" s="9" t="e">
        <f t="shared" si="98"/>
        <v>#DIV/0!</v>
      </c>
      <c r="G2141" s="9" t="e">
        <f t="shared" si="99"/>
        <v>#DIV/0!</v>
      </c>
    </row>
    <row r="2142" spans="1:7" x14ac:dyDescent="0.2">
      <c r="A2142" s="12">
        <v>40013</v>
      </c>
      <c r="B2142" s="9">
        <v>293.41000000000003</v>
      </c>
      <c r="C2142" s="9">
        <v>291</v>
      </c>
      <c r="D2142" s="9">
        <v>292.92</v>
      </c>
      <c r="E2142" s="9">
        <f t="shared" si="100"/>
        <v>0</v>
      </c>
      <c r="F2142" s="9">
        <f t="shared" si="98"/>
        <v>1.1882415983410667E-2</v>
      </c>
      <c r="G2142" s="9">
        <f t="shared" si="99"/>
        <v>1.5185645820423289E-2</v>
      </c>
    </row>
    <row r="2143" spans="1:7" x14ac:dyDescent="0.2">
      <c r="A2143" s="12">
        <v>40014</v>
      </c>
      <c r="B2143" s="9">
        <v>296.77</v>
      </c>
      <c r="C2143" s="9">
        <v>292.56</v>
      </c>
      <c r="D2143" s="9">
        <v>295.79000000000002</v>
      </c>
      <c r="E2143" s="9">
        <f t="shared" si="100"/>
        <v>9.750208886274871E-3</v>
      </c>
      <c r="F2143" s="9">
        <f t="shared" si="98"/>
        <v>4.9141813431772723E-3</v>
      </c>
      <c r="G2143" s="9">
        <f t="shared" si="99"/>
        <v>1.49792649455242E-2</v>
      </c>
    </row>
    <row r="2144" spans="1:7" x14ac:dyDescent="0.2">
      <c r="A2144" s="12">
        <v>40015</v>
      </c>
      <c r="B2144" s="9">
        <v>302.27999999999997</v>
      </c>
      <c r="C2144" s="9">
        <v>295.79000000000002</v>
      </c>
      <c r="D2144" s="9">
        <v>301.05</v>
      </c>
      <c r="E2144" s="9">
        <f t="shared" si="100"/>
        <v>1.762662083131291E-2</v>
      </c>
      <c r="F2144" s="9">
        <f t="shared" si="98"/>
        <v>1.3295664248793191E-3</v>
      </c>
      <c r="G2144" s="9">
        <f t="shared" si="99"/>
        <v>1.4819023489812217E-2</v>
      </c>
    </row>
    <row r="2145" spans="1:7" x14ac:dyDescent="0.2">
      <c r="A2145" s="12">
        <v>40016</v>
      </c>
      <c r="B2145" s="9">
        <v>302.38</v>
      </c>
      <c r="C2145" s="9">
        <v>296.33</v>
      </c>
      <c r="D2145" s="9">
        <v>299.75</v>
      </c>
      <c r="E2145" s="9">
        <f t="shared" si="100"/>
        <v>-4.3275700028332182E-3</v>
      </c>
      <c r="F2145" s="9">
        <f t="shared" ref="F2145:F2208" si="101">LN(D2145/D2115)</f>
        <v>-1.3157430437409461E-2</v>
      </c>
      <c r="G2145" s="9">
        <f t="shared" si="99"/>
        <v>1.4713707533756554E-2</v>
      </c>
    </row>
    <row r="2146" spans="1:7" x14ac:dyDescent="0.2">
      <c r="A2146" s="12">
        <v>40017</v>
      </c>
      <c r="B2146" s="9">
        <v>306.48</v>
      </c>
      <c r="C2146" s="9">
        <v>299.82</v>
      </c>
      <c r="D2146" s="9">
        <v>305.76</v>
      </c>
      <c r="E2146" s="9">
        <f t="shared" si="100"/>
        <v>1.9851686584339209E-2</v>
      </c>
      <c r="F2146" s="9">
        <f t="shared" si="101"/>
        <v>6.8588950119521696E-3</v>
      </c>
      <c r="G2146" s="9">
        <f t="shared" si="99"/>
        <v>1.5173215168263367E-2</v>
      </c>
    </row>
    <row r="2147" spans="1:7" x14ac:dyDescent="0.2">
      <c r="A2147" s="12">
        <v>40018</v>
      </c>
      <c r="B2147" s="9">
        <v>307.75</v>
      </c>
      <c r="C2147" s="9">
        <v>304.04000000000002</v>
      </c>
      <c r="D2147" s="9">
        <v>305.70999999999998</v>
      </c>
      <c r="E2147" s="9">
        <f t="shared" si="100"/>
        <v>-1.6354032123063714E-4</v>
      </c>
      <c r="F2147" s="9">
        <f t="shared" si="101"/>
        <v>1.6823196605451902E-2</v>
      </c>
      <c r="G2147" s="9">
        <f t="shared" si="99"/>
        <v>1.5047230254021869E-2</v>
      </c>
    </row>
    <row r="2148" spans="1:7" x14ac:dyDescent="0.2">
      <c r="A2148" s="12">
        <v>40019</v>
      </c>
      <c r="B2148" s="9">
        <v>307.75</v>
      </c>
      <c r="C2148" s="9">
        <v>304.04000000000002</v>
      </c>
      <c r="D2148" s="9">
        <v>305.70999999999998</v>
      </c>
      <c r="E2148" s="9">
        <f t="shared" si="100"/>
        <v>0</v>
      </c>
      <c r="F2148" s="9">
        <f t="shared" si="101"/>
        <v>2.2126479384950489E-2</v>
      </c>
      <c r="G2148" s="9">
        <f t="shared" si="99"/>
        <v>1.5007061362546781E-2</v>
      </c>
    </row>
    <row r="2149" spans="1:7" x14ac:dyDescent="0.2">
      <c r="A2149" s="12">
        <v>40021</v>
      </c>
      <c r="B2149" s="9">
        <v>309.27999999999997</v>
      </c>
      <c r="C2149" s="9">
        <v>305.42</v>
      </c>
      <c r="D2149" s="9">
        <v>306.61</v>
      </c>
      <c r="E2149" s="9">
        <f t="shared" si="100"/>
        <v>2.9396415211388554E-3</v>
      </c>
      <c r="F2149" s="9">
        <f t="shared" si="101"/>
        <v>5.4420609862764195E-2</v>
      </c>
      <c r="G2149" s="9">
        <f t="shared" si="99"/>
        <v>1.3890829992920781E-2</v>
      </c>
    </row>
    <row r="2150" spans="1:7" x14ac:dyDescent="0.2">
      <c r="A2150" s="12">
        <v>40022</v>
      </c>
      <c r="B2150" s="9">
        <v>310.14</v>
      </c>
      <c r="C2150" s="9">
        <v>306.41000000000003</v>
      </c>
      <c r="D2150" s="9">
        <v>308.14999999999998</v>
      </c>
      <c r="E2150" s="9">
        <f t="shared" si="100"/>
        <v>5.0100957163810318E-3</v>
      </c>
      <c r="F2150" s="9">
        <f t="shared" si="101"/>
        <v>5.4243918510832642E-2</v>
      </c>
      <c r="G2150" s="9">
        <f t="shared" si="99"/>
        <v>1.3889388011414844E-2</v>
      </c>
    </row>
    <row r="2151" spans="1:7" x14ac:dyDescent="0.2">
      <c r="A2151" s="12">
        <v>40023</v>
      </c>
      <c r="B2151" s="9">
        <v>307.47000000000003</v>
      </c>
      <c r="C2151" s="9">
        <v>299.64999999999998</v>
      </c>
      <c r="D2151" s="9">
        <v>301.24</v>
      </c>
      <c r="E2151" s="9">
        <f t="shared" si="100"/>
        <v>-2.2679388175101123E-2</v>
      </c>
      <c r="F2151" s="9">
        <f t="shared" si="101"/>
        <v>2.7188754175501432E-2</v>
      </c>
      <c r="G2151" s="9">
        <f t="shared" ref="G2151:G2214" si="102">STDEV(E2122:E2151)</f>
        <v>1.4578189018052986E-2</v>
      </c>
    </row>
    <row r="2152" spans="1:7" x14ac:dyDescent="0.2">
      <c r="A2152" s="12">
        <v>40024</v>
      </c>
      <c r="B2152" s="9">
        <v>310.22000000000003</v>
      </c>
      <c r="C2152" s="9">
        <v>301.54000000000002</v>
      </c>
      <c r="D2152" s="9">
        <v>310.13</v>
      </c>
      <c r="E2152" s="9">
        <f t="shared" si="100"/>
        <v>2.9084275180084961E-2</v>
      </c>
      <c r="F2152" s="9">
        <f t="shared" si="101"/>
        <v>8.6680192445007492E-2</v>
      </c>
      <c r="G2152" s="9">
        <f t="shared" si="102"/>
        <v>1.4213490643182189E-2</v>
      </c>
    </row>
    <row r="2153" spans="1:7" x14ac:dyDescent="0.2">
      <c r="A2153" s="12">
        <v>40025</v>
      </c>
      <c r="B2153" s="9">
        <v>312.04000000000002</v>
      </c>
      <c r="C2153" s="9">
        <v>307.62</v>
      </c>
      <c r="D2153" s="9">
        <v>311.23</v>
      </c>
      <c r="E2153" s="9">
        <f t="shared" si="100"/>
        <v>3.5406242729979381E-3</v>
      </c>
      <c r="F2153" s="9">
        <f t="shared" si="101"/>
        <v>0.10175056424744662</v>
      </c>
      <c r="G2153" s="9">
        <f t="shared" si="102"/>
        <v>1.3950181964439902E-2</v>
      </c>
    </row>
    <row r="2154" spans="1:7" x14ac:dyDescent="0.2">
      <c r="A2154" s="12">
        <v>40028</v>
      </c>
      <c r="B2154" s="9">
        <v>319.12</v>
      </c>
      <c r="C2154" s="9">
        <v>309.64999999999998</v>
      </c>
      <c r="D2154" s="9">
        <v>318.77999999999997</v>
      </c>
      <c r="E2154" s="9">
        <f t="shared" si="100"/>
        <v>2.3969021004673085E-2</v>
      </c>
      <c r="F2154" s="9">
        <f t="shared" si="101"/>
        <v>9.7901526162421593E-2</v>
      </c>
      <c r="G2154" s="9">
        <f t="shared" si="102"/>
        <v>1.3733805386522245E-2</v>
      </c>
    </row>
    <row r="2155" spans="1:7" x14ac:dyDescent="0.2">
      <c r="A2155" s="12">
        <v>40029</v>
      </c>
      <c r="B2155" s="9">
        <v>320.33999999999997</v>
      </c>
      <c r="C2155" s="9">
        <v>315.26</v>
      </c>
      <c r="D2155" s="9">
        <v>319.19</v>
      </c>
      <c r="E2155" s="9">
        <f t="shared" si="100"/>
        <v>1.2853270732027888E-3</v>
      </c>
      <c r="F2155" s="9">
        <f t="shared" si="101"/>
        <v>0.11385891765018574</v>
      </c>
      <c r="G2155" s="9">
        <f t="shared" si="102"/>
        <v>1.3317928478118203E-2</v>
      </c>
    </row>
    <row r="2156" spans="1:7" x14ac:dyDescent="0.2">
      <c r="A2156" s="12">
        <v>40030</v>
      </c>
      <c r="B2156" s="9">
        <v>325.16000000000003</v>
      </c>
      <c r="C2156" s="9">
        <v>318.33</v>
      </c>
      <c r="D2156" s="9">
        <v>322.48</v>
      </c>
      <c r="E2156" s="9">
        <f t="shared" si="100"/>
        <v>1.0254582044800743E-2</v>
      </c>
      <c r="F2156" s="9">
        <f t="shared" si="101"/>
        <v>0.13918222951828424</v>
      </c>
      <c r="G2156" s="9">
        <f t="shared" si="102"/>
        <v>1.287626059591784E-2</v>
      </c>
    </row>
    <row r="2157" spans="1:7" x14ac:dyDescent="0.2">
      <c r="A2157" s="12">
        <v>40031</v>
      </c>
      <c r="B2157" s="9">
        <v>327.3</v>
      </c>
      <c r="C2157" s="9">
        <v>321.33999999999997</v>
      </c>
      <c r="D2157" s="9">
        <v>323.91000000000003</v>
      </c>
      <c r="E2157" s="9">
        <f t="shared" si="100"/>
        <v>4.4245806182483076E-3</v>
      </c>
      <c r="F2157" s="9">
        <f t="shared" si="101"/>
        <v>0.11051581330740974</v>
      </c>
      <c r="G2157" s="9">
        <f t="shared" si="102"/>
        <v>1.1702203787455073E-2</v>
      </c>
    </row>
    <row r="2158" spans="1:7" x14ac:dyDescent="0.2">
      <c r="A2158" s="12">
        <v>40032</v>
      </c>
      <c r="B2158" s="9">
        <v>323.79000000000002</v>
      </c>
      <c r="C2158" s="9">
        <v>315.95</v>
      </c>
      <c r="D2158" s="9">
        <v>322.98</v>
      </c>
      <c r="E2158" s="9">
        <f t="shared" si="100"/>
        <v>-2.8752976262378447E-3</v>
      </c>
      <c r="F2158" s="9">
        <f t="shared" si="101"/>
        <v>0.10529859423609085</v>
      </c>
      <c r="G2158" s="9">
        <f t="shared" si="102"/>
        <v>1.1761450873474211E-2</v>
      </c>
    </row>
    <row r="2159" spans="1:7" x14ac:dyDescent="0.2">
      <c r="A2159" s="12">
        <v>40035</v>
      </c>
      <c r="B2159" s="9">
        <v>323.11</v>
      </c>
      <c r="C2159" s="9">
        <v>318.92</v>
      </c>
      <c r="D2159" s="9">
        <v>323.11</v>
      </c>
      <c r="E2159" s="9">
        <f t="shared" si="100"/>
        <v>4.0242072081105035E-4</v>
      </c>
      <c r="F2159" s="9">
        <f t="shared" si="101"/>
        <v>9.251010503696408E-2</v>
      </c>
      <c r="G2159" s="9">
        <f t="shared" si="102"/>
        <v>1.1629487478281176E-2</v>
      </c>
    </row>
    <row r="2160" spans="1:7" x14ac:dyDescent="0.2">
      <c r="A2160" s="12">
        <v>40036</v>
      </c>
      <c r="B2160" s="9">
        <v>323.44</v>
      </c>
      <c r="C2160" s="9">
        <v>317.98</v>
      </c>
      <c r="D2160" s="9">
        <v>318.56</v>
      </c>
      <c r="E2160" s="9">
        <f t="shared" si="100"/>
        <v>-1.4181982205845713E-2</v>
      </c>
      <c r="F2160" s="9">
        <f t="shared" si="101"/>
        <v>9.5379242962610605E-2</v>
      </c>
      <c r="G2160" s="9">
        <f t="shared" si="102"/>
        <v>1.1468882885041986E-2</v>
      </c>
    </row>
    <row r="2161" spans="1:7" x14ac:dyDescent="0.2">
      <c r="A2161" s="12">
        <v>40037</v>
      </c>
      <c r="B2161" s="9">
        <v>321.67</v>
      </c>
      <c r="C2161" s="9">
        <v>315.44</v>
      </c>
      <c r="D2161" s="9">
        <v>320.89</v>
      </c>
      <c r="E2161" s="9">
        <f t="shared" si="100"/>
        <v>7.287544958494656E-3</v>
      </c>
      <c r="F2161" s="9">
        <f t="shared" si="101"/>
        <v>0.11315044696197918</v>
      </c>
      <c r="G2161" s="9">
        <f t="shared" si="102"/>
        <v>1.119451330141487E-2</v>
      </c>
    </row>
    <row r="2162" spans="1:7" x14ac:dyDescent="0.2">
      <c r="A2162" s="12">
        <v>40038</v>
      </c>
      <c r="B2162" s="9">
        <v>327.38</v>
      </c>
      <c r="C2162" s="9">
        <v>320.98</v>
      </c>
      <c r="D2162" s="9">
        <v>327.32</v>
      </c>
      <c r="E2162" s="9">
        <f t="shared" si="100"/>
        <v>1.9839900384800106E-2</v>
      </c>
      <c r="F2162" s="9">
        <f t="shared" si="101"/>
        <v>0.14683504650458079</v>
      </c>
      <c r="G2162" s="9">
        <f t="shared" si="102"/>
        <v>1.1055074912501553E-2</v>
      </c>
    </row>
    <row r="2163" spans="1:7" x14ac:dyDescent="0.2">
      <c r="A2163" s="12">
        <v>40039</v>
      </c>
      <c r="B2163" s="9">
        <v>331.52</v>
      </c>
      <c r="C2163" s="9">
        <v>326.95</v>
      </c>
      <c r="D2163" s="9">
        <v>329.63</v>
      </c>
      <c r="E2163" s="9">
        <f t="shared" si="100"/>
        <v>7.0325276515955373E-3</v>
      </c>
      <c r="F2163" s="9">
        <f t="shared" si="101"/>
        <v>0.15439846305360161</v>
      </c>
      <c r="G2163" s="9">
        <f t="shared" si="102"/>
        <v>1.101324470663986E-2</v>
      </c>
    </row>
    <row r="2164" spans="1:7" x14ac:dyDescent="0.2">
      <c r="A2164" s="12">
        <v>40042</v>
      </c>
      <c r="B2164" s="9">
        <v>328.95</v>
      </c>
      <c r="C2164" s="9">
        <v>321.48</v>
      </c>
      <c r="D2164" s="9">
        <v>324.08999999999997</v>
      </c>
      <c r="E2164" s="9">
        <f t="shared" si="100"/>
        <v>-1.694955831377332E-2</v>
      </c>
      <c r="F2164" s="9">
        <f t="shared" si="101"/>
        <v>0.13787381887815733</v>
      </c>
      <c r="G2164" s="9">
        <f t="shared" si="102"/>
        <v>1.1693723683208279E-2</v>
      </c>
    </row>
    <row r="2165" spans="1:7" x14ac:dyDescent="0.2">
      <c r="A2165" s="12">
        <v>40043</v>
      </c>
      <c r="B2165" s="9">
        <v>326.86</v>
      </c>
      <c r="C2165" s="9">
        <v>320.77</v>
      </c>
      <c r="D2165" s="9">
        <v>321.22000000000003</v>
      </c>
      <c r="E2165" s="9">
        <f t="shared" si="100"/>
        <v>-8.8950083622519119E-3</v>
      </c>
      <c r="F2165" s="9">
        <f t="shared" si="101"/>
        <v>0.13412751252455329</v>
      </c>
      <c r="G2165" s="9">
        <f t="shared" si="102"/>
        <v>1.1820687231887292E-2</v>
      </c>
    </row>
    <row r="2166" spans="1:7" x14ac:dyDescent="0.2">
      <c r="A2166" s="12">
        <v>40044</v>
      </c>
      <c r="B2166" s="9">
        <v>321.27999999999997</v>
      </c>
      <c r="C2166" s="9">
        <v>316.29000000000002</v>
      </c>
      <c r="D2166" s="9">
        <v>316.52999999999997</v>
      </c>
      <c r="E2166" s="9">
        <f t="shared" si="100"/>
        <v>-1.4708222812640869E-2</v>
      </c>
      <c r="F2166" s="9">
        <f t="shared" si="101"/>
        <v>0.1232000125518186</v>
      </c>
      <c r="G2166" s="9">
        <f t="shared" si="102"/>
        <v>1.2244492437176771E-2</v>
      </c>
    </row>
    <row r="2167" spans="1:7" x14ac:dyDescent="0.2">
      <c r="A2167" s="12">
        <v>40045</v>
      </c>
      <c r="B2167" s="9">
        <v>322.57</v>
      </c>
      <c r="C2167" s="9">
        <v>316.92</v>
      </c>
      <c r="D2167" s="9">
        <v>322.43</v>
      </c>
      <c r="E2167" s="9">
        <f t="shared" si="100"/>
        <v>1.8468034590465005E-2</v>
      </c>
      <c r="F2167" s="9">
        <f t="shared" si="101"/>
        <v>0.14209695557690921</v>
      </c>
      <c r="G2167" s="9">
        <f t="shared" si="102"/>
        <v>1.2486785482765765E-2</v>
      </c>
    </row>
    <row r="2168" spans="1:7" x14ac:dyDescent="0.2">
      <c r="A2168" s="12">
        <v>40046</v>
      </c>
      <c r="B2168" s="9">
        <v>330.8</v>
      </c>
      <c r="C2168" s="9">
        <v>318.76</v>
      </c>
      <c r="D2168" s="9">
        <v>330.2</v>
      </c>
      <c r="E2168" s="9">
        <f t="shared" si="100"/>
        <v>2.381247307345213E-2</v>
      </c>
      <c r="F2168" s="9">
        <f t="shared" si="101"/>
        <v>0.15594918694530618</v>
      </c>
      <c r="G2168" s="9">
        <f t="shared" si="102"/>
        <v>1.2934692538162694E-2</v>
      </c>
    </row>
    <row r="2169" spans="1:7" x14ac:dyDescent="0.2">
      <c r="A2169" s="12">
        <v>40049</v>
      </c>
      <c r="B2169" s="9">
        <v>338.4</v>
      </c>
      <c r="C2169" s="9">
        <v>330.68</v>
      </c>
      <c r="D2169" s="9">
        <v>335.32</v>
      </c>
      <c r="E2169" s="9">
        <f t="shared" si="100"/>
        <v>1.5386768283629091E-2</v>
      </c>
      <c r="F2169" s="9">
        <f t="shared" si="101"/>
        <v>0.15111838181775386</v>
      </c>
      <c r="G2169" s="9">
        <f t="shared" si="102"/>
        <v>1.2770291957545641E-2</v>
      </c>
    </row>
    <row r="2170" spans="1:7" x14ac:dyDescent="0.2">
      <c r="A2170" s="12">
        <v>40050</v>
      </c>
      <c r="B2170" s="9">
        <v>337.55</v>
      </c>
      <c r="C2170" s="9">
        <v>332.63</v>
      </c>
      <c r="D2170" s="9">
        <v>336.52</v>
      </c>
      <c r="E2170" s="9">
        <f t="shared" si="100"/>
        <v>3.5722829129561477E-3</v>
      </c>
      <c r="F2170" s="9">
        <f t="shared" si="101"/>
        <v>0.1452655893504802</v>
      </c>
      <c r="G2170" s="9">
        <f t="shared" si="102"/>
        <v>1.2745630712464926E-2</v>
      </c>
    </row>
    <row r="2171" spans="1:7" x14ac:dyDescent="0.2">
      <c r="A2171" s="12">
        <v>40051</v>
      </c>
      <c r="B2171" s="9">
        <v>339.3</v>
      </c>
      <c r="C2171" s="9">
        <v>332.53</v>
      </c>
      <c r="D2171" s="9">
        <v>335.12</v>
      </c>
      <c r="E2171" s="9">
        <f t="shared" si="100"/>
        <v>-4.1689060438333016E-3</v>
      </c>
      <c r="F2171" s="9">
        <f t="shared" si="101"/>
        <v>0.1345891424459103</v>
      </c>
      <c r="G2171" s="9">
        <f t="shared" si="102"/>
        <v>1.2846183915515281E-2</v>
      </c>
    </row>
    <row r="2172" spans="1:7" x14ac:dyDescent="0.2">
      <c r="A2172" s="12">
        <v>40052</v>
      </c>
      <c r="B2172" s="9">
        <v>337.62</v>
      </c>
      <c r="C2172" s="9">
        <v>333.95</v>
      </c>
      <c r="D2172" s="9">
        <v>334.81</v>
      </c>
      <c r="E2172" s="9">
        <f t="shared" si="100"/>
        <v>-9.2546989126060899E-4</v>
      </c>
      <c r="F2172" s="9">
        <f t="shared" si="101"/>
        <v>0.1336636725546497</v>
      </c>
      <c r="G2172" s="9">
        <f t="shared" si="102"/>
        <v>1.2858434263003277E-2</v>
      </c>
    </row>
    <row r="2173" spans="1:7" x14ac:dyDescent="0.2">
      <c r="A2173" s="12">
        <v>40053</v>
      </c>
      <c r="B2173" s="9">
        <v>342.37</v>
      </c>
      <c r="C2173" s="9">
        <v>335.19</v>
      </c>
      <c r="D2173" s="9">
        <v>339.46</v>
      </c>
      <c r="E2173" s="9">
        <f t="shared" si="100"/>
        <v>1.3792912985866476E-2</v>
      </c>
      <c r="F2173" s="9">
        <f t="shared" si="101"/>
        <v>0.1377063766542414</v>
      </c>
      <c r="G2173" s="9">
        <f t="shared" si="102"/>
        <v>1.2936782009588687E-2</v>
      </c>
    </row>
    <row r="2174" spans="1:7" x14ac:dyDescent="0.2">
      <c r="A2174" s="12">
        <v>40056</v>
      </c>
      <c r="B2174" s="9">
        <v>338.88</v>
      </c>
      <c r="C2174" s="9">
        <v>334.05</v>
      </c>
      <c r="D2174" s="9">
        <v>335.03</v>
      </c>
      <c r="E2174" s="9">
        <f t="shared" si="100"/>
        <v>-1.3136039679075279E-2</v>
      </c>
      <c r="F2174" s="9">
        <f t="shared" si="101"/>
        <v>0.10694371614385309</v>
      </c>
      <c r="G2174" s="9">
        <f t="shared" si="102"/>
        <v>1.308615602035575E-2</v>
      </c>
    </row>
    <row r="2175" spans="1:7" x14ac:dyDescent="0.2">
      <c r="A2175" s="12">
        <v>40057</v>
      </c>
      <c r="B2175" s="9">
        <v>339.94</v>
      </c>
      <c r="C2175" s="9">
        <v>333.14</v>
      </c>
      <c r="D2175" s="9">
        <v>334.22</v>
      </c>
      <c r="E2175" s="9">
        <f t="shared" si="100"/>
        <v>-2.4206212790733365E-3</v>
      </c>
      <c r="F2175" s="9">
        <f t="shared" si="101"/>
        <v>0.10885066486761298</v>
      </c>
      <c r="G2175" s="9">
        <f t="shared" si="102"/>
        <v>1.3051081982999388E-2</v>
      </c>
    </row>
    <row r="2176" spans="1:7" x14ac:dyDescent="0.2">
      <c r="A2176" s="12">
        <v>40058</v>
      </c>
      <c r="B2176" s="9">
        <v>332.57</v>
      </c>
      <c r="C2176" s="9">
        <v>320.16000000000003</v>
      </c>
      <c r="D2176" s="9">
        <v>321.89999999999998</v>
      </c>
      <c r="E2176" s="9">
        <f t="shared" si="100"/>
        <v>-3.7558520470474283E-2</v>
      </c>
      <c r="F2176" s="9">
        <f t="shared" si="101"/>
        <v>5.1440457812799545E-2</v>
      </c>
      <c r="G2176" s="9">
        <f t="shared" si="102"/>
        <v>1.4695635490134442E-2</v>
      </c>
    </row>
    <row r="2177" spans="1:7" x14ac:dyDescent="0.2">
      <c r="A2177" s="12">
        <v>40059</v>
      </c>
      <c r="B2177" s="9">
        <v>325.49</v>
      </c>
      <c r="C2177" s="9">
        <v>319.97000000000003</v>
      </c>
      <c r="D2177" s="9">
        <v>321.5</v>
      </c>
      <c r="E2177" s="9">
        <f t="shared" si="100"/>
        <v>-1.2433946270883846E-3</v>
      </c>
      <c r="F2177" s="9">
        <f t="shared" si="101"/>
        <v>5.0360603506941812E-2</v>
      </c>
      <c r="G2177" s="9">
        <f t="shared" si="102"/>
        <v>1.4701715827475705E-2</v>
      </c>
    </row>
    <row r="2178" spans="1:7" x14ac:dyDescent="0.2">
      <c r="A2178" s="12">
        <v>40060</v>
      </c>
      <c r="B2178" s="9">
        <v>328.66</v>
      </c>
      <c r="C2178" s="9">
        <v>321.8</v>
      </c>
      <c r="D2178" s="9">
        <v>328.14</v>
      </c>
      <c r="E2178" s="9">
        <f t="shared" si="100"/>
        <v>2.0442802909062332E-2</v>
      </c>
      <c r="F2178" s="9">
        <f t="shared" si="101"/>
        <v>7.080340641600405E-2</v>
      </c>
      <c r="G2178" s="9">
        <f t="shared" si="102"/>
        <v>1.5089865052196488E-2</v>
      </c>
    </row>
    <row r="2179" spans="1:7" x14ac:dyDescent="0.2">
      <c r="A2179" s="12">
        <v>40063</v>
      </c>
      <c r="B2179" s="9">
        <v>331.93</v>
      </c>
      <c r="C2179" s="9">
        <v>328.24</v>
      </c>
      <c r="D2179" s="9">
        <v>331.42</v>
      </c>
      <c r="E2179" s="9">
        <f t="shared" si="100"/>
        <v>9.9461066149113663E-3</v>
      </c>
      <c r="F2179" s="9">
        <f t="shared" si="101"/>
        <v>7.7809871509776793E-2</v>
      </c>
      <c r="G2179" s="9">
        <f t="shared" si="102"/>
        <v>1.5153230994823571E-2</v>
      </c>
    </row>
    <row r="2180" spans="1:7" x14ac:dyDescent="0.2">
      <c r="A2180" s="12">
        <v>40064</v>
      </c>
      <c r="B2180" s="9">
        <v>332.94</v>
      </c>
      <c r="C2180" s="9">
        <v>330.42</v>
      </c>
      <c r="D2180" s="9">
        <v>332.67</v>
      </c>
      <c r="E2180" s="9">
        <f t="shared" ref="E2180:E2243" si="103">LN(D2180/D2179)</f>
        <v>3.7645544315864595E-3</v>
      </c>
      <c r="F2180" s="9">
        <f t="shared" si="101"/>
        <v>7.6564330224982088E-2</v>
      </c>
      <c r="G2180" s="9">
        <f t="shared" si="102"/>
        <v>1.5148087399008468E-2</v>
      </c>
    </row>
    <row r="2181" spans="1:7" x14ac:dyDescent="0.2">
      <c r="A2181" s="12">
        <v>40065</v>
      </c>
      <c r="B2181" s="9">
        <v>334.41</v>
      </c>
      <c r="C2181" s="9">
        <v>329.08</v>
      </c>
      <c r="D2181" s="9">
        <v>334.1</v>
      </c>
      <c r="E2181" s="9">
        <f t="shared" si="103"/>
        <v>4.2893417294767927E-3</v>
      </c>
      <c r="F2181" s="9">
        <f t="shared" si="101"/>
        <v>0.10353306012955991</v>
      </c>
      <c r="G2181" s="9">
        <f t="shared" si="102"/>
        <v>1.4379842067659732E-2</v>
      </c>
    </row>
    <row r="2182" spans="1:7" x14ac:dyDescent="0.2">
      <c r="A2182" s="12">
        <v>40066</v>
      </c>
      <c r="B2182" s="9">
        <v>337.41</v>
      </c>
      <c r="C2182" s="9">
        <v>332.89</v>
      </c>
      <c r="D2182" s="9">
        <v>335.3</v>
      </c>
      <c r="E2182" s="9">
        <f t="shared" si="103"/>
        <v>3.5853041094719932E-3</v>
      </c>
      <c r="F2182" s="9">
        <f t="shared" si="101"/>
        <v>7.8034089058947126E-2</v>
      </c>
      <c r="G2182" s="9">
        <f t="shared" si="102"/>
        <v>1.3541635758072759E-2</v>
      </c>
    </row>
    <row r="2183" spans="1:7" x14ac:dyDescent="0.2">
      <c r="A2183" s="12">
        <v>40067</v>
      </c>
      <c r="B2183" s="9">
        <v>336.88</v>
      </c>
      <c r="C2183" s="9">
        <v>333.04</v>
      </c>
      <c r="D2183" s="9">
        <v>333.43</v>
      </c>
      <c r="E2183" s="9">
        <f t="shared" si="103"/>
        <v>-5.5927052000275838E-3</v>
      </c>
      <c r="F2183" s="9">
        <f t="shared" si="101"/>
        <v>6.8900759585921525E-2</v>
      </c>
      <c r="G2183" s="9">
        <f t="shared" si="102"/>
        <v>1.3622214212891373E-2</v>
      </c>
    </row>
    <row r="2184" spans="1:7" x14ac:dyDescent="0.2">
      <c r="A2184" s="12">
        <v>40070</v>
      </c>
      <c r="B2184" s="9">
        <v>333.33</v>
      </c>
      <c r="C2184" s="9">
        <v>328.52</v>
      </c>
      <c r="D2184" s="9">
        <v>331.6</v>
      </c>
      <c r="E2184" s="9">
        <f t="shared" si="103"/>
        <v>-5.5035250110152542E-3</v>
      </c>
      <c r="F2184" s="9">
        <f t="shared" si="101"/>
        <v>3.9428213570233198E-2</v>
      </c>
      <c r="G2184" s="9">
        <f t="shared" si="102"/>
        <v>1.3056344812854033E-2</v>
      </c>
    </row>
    <row r="2185" spans="1:7" x14ac:dyDescent="0.2">
      <c r="A2185" s="12">
        <v>40071</v>
      </c>
      <c r="B2185" s="9">
        <v>332.43</v>
      </c>
      <c r="C2185" s="9">
        <v>329.44</v>
      </c>
      <c r="D2185" s="9">
        <v>331.61</v>
      </c>
      <c r="E2185" s="9">
        <f t="shared" si="103"/>
        <v>3.0156360732546164E-5</v>
      </c>
      <c r="F2185" s="9">
        <f t="shared" si="101"/>
        <v>3.8173042857763011E-2</v>
      </c>
      <c r="G2185" s="9">
        <f t="shared" si="102"/>
        <v>1.3058451696815311E-2</v>
      </c>
    </row>
    <row r="2186" spans="1:7" x14ac:dyDescent="0.2">
      <c r="A2186" s="12">
        <v>40072</v>
      </c>
      <c r="B2186" s="9">
        <v>338.48</v>
      </c>
      <c r="C2186" s="9">
        <v>331.51</v>
      </c>
      <c r="D2186" s="9">
        <v>338.24</v>
      </c>
      <c r="E2186" s="9">
        <f t="shared" si="103"/>
        <v>1.9796123060000313E-2</v>
      </c>
      <c r="F2186" s="9">
        <f t="shared" si="101"/>
        <v>4.771458387296245E-2</v>
      </c>
      <c r="G2186" s="9">
        <f t="shared" si="102"/>
        <v>1.3396583479807192E-2</v>
      </c>
    </row>
    <row r="2187" spans="1:7" x14ac:dyDescent="0.2">
      <c r="A2187" s="12">
        <v>40073</v>
      </c>
      <c r="B2187" s="9">
        <v>341.34</v>
      </c>
      <c r="C2187" s="9">
        <v>335.11</v>
      </c>
      <c r="D2187" s="9">
        <v>337.04</v>
      </c>
      <c r="E2187" s="9">
        <f t="shared" si="103"/>
        <v>-3.554085011111729E-3</v>
      </c>
      <c r="F2187" s="9">
        <f t="shared" si="101"/>
        <v>3.9735918243602265E-2</v>
      </c>
      <c r="G2187" s="9">
        <f t="shared" si="102"/>
        <v>1.3417561278852293E-2</v>
      </c>
    </row>
    <row r="2188" spans="1:7" x14ac:dyDescent="0.2">
      <c r="A2188" s="12">
        <v>40074</v>
      </c>
      <c r="B2188" s="9">
        <v>338.27</v>
      </c>
      <c r="C2188" s="9">
        <v>333.4</v>
      </c>
      <c r="D2188" s="9">
        <v>337.04</v>
      </c>
      <c r="E2188" s="9">
        <f t="shared" si="103"/>
        <v>0</v>
      </c>
      <c r="F2188" s="9">
        <f t="shared" si="101"/>
        <v>4.2611215869840117E-2</v>
      </c>
      <c r="G2188" s="9">
        <f t="shared" si="102"/>
        <v>1.3396780127474993E-2</v>
      </c>
    </row>
    <row r="2189" spans="1:7" x14ac:dyDescent="0.2">
      <c r="A2189" s="12">
        <v>40077</v>
      </c>
      <c r="B2189" s="9">
        <v>337.87</v>
      </c>
      <c r="C2189" s="9">
        <v>335.15</v>
      </c>
      <c r="D2189" s="9">
        <v>336.42</v>
      </c>
      <c r="E2189" s="9">
        <f t="shared" si="103"/>
        <v>-1.8412383071249217E-3</v>
      </c>
      <c r="F2189" s="9">
        <f t="shared" si="101"/>
        <v>4.0367556841904226E-2</v>
      </c>
      <c r="G2189" s="9">
        <f t="shared" si="102"/>
        <v>1.3408916103286754E-2</v>
      </c>
    </row>
    <row r="2190" spans="1:7" x14ac:dyDescent="0.2">
      <c r="A2190" s="12">
        <v>40078</v>
      </c>
      <c r="B2190" s="9">
        <v>340.51</v>
      </c>
      <c r="C2190" s="9">
        <v>336.52</v>
      </c>
      <c r="D2190" s="9">
        <v>339.84</v>
      </c>
      <c r="E2190" s="9">
        <f t="shared" si="103"/>
        <v>1.0114539249883125E-2</v>
      </c>
      <c r="F2190" s="9">
        <f t="shared" si="101"/>
        <v>6.4664078297633029E-2</v>
      </c>
      <c r="G2190" s="9">
        <f t="shared" si="102"/>
        <v>1.317034775539757E-2</v>
      </c>
    </row>
    <row r="2191" spans="1:7" x14ac:dyDescent="0.2">
      <c r="A2191" s="12">
        <v>40079</v>
      </c>
      <c r="B2191" s="9">
        <v>339.98</v>
      </c>
      <c r="C2191" s="9">
        <v>335.63</v>
      </c>
      <c r="D2191" s="9">
        <v>336.82</v>
      </c>
      <c r="E2191" s="9">
        <f t="shared" si="103"/>
        <v>-8.9262555856110433E-3</v>
      </c>
      <c r="F2191" s="9">
        <f t="shared" si="101"/>
        <v>4.8450277753527442E-2</v>
      </c>
      <c r="G2191" s="9">
        <f t="shared" si="102"/>
        <v>1.3284664809763886E-2</v>
      </c>
    </row>
    <row r="2192" spans="1:7" x14ac:dyDescent="0.2">
      <c r="A2192" s="12">
        <v>40080</v>
      </c>
      <c r="B2192" s="9">
        <v>336.63</v>
      </c>
      <c r="C2192" s="9">
        <v>328.27</v>
      </c>
      <c r="D2192" s="9">
        <v>328.87</v>
      </c>
      <c r="E2192" s="9">
        <f t="shared" si="103"/>
        <v>-2.3886127127759255E-2</v>
      </c>
      <c r="F2192" s="9">
        <f t="shared" si="101"/>
        <v>4.7242502409680165E-3</v>
      </c>
      <c r="G2192" s="9">
        <f t="shared" si="102"/>
        <v>1.3610868339640855E-2</v>
      </c>
    </row>
    <row r="2193" spans="1:7" x14ac:dyDescent="0.2">
      <c r="A2193" s="12">
        <v>40081</v>
      </c>
      <c r="B2193" s="9">
        <v>333.63</v>
      </c>
      <c r="C2193" s="9">
        <v>326.98</v>
      </c>
      <c r="D2193" s="9">
        <v>330.23</v>
      </c>
      <c r="E2193" s="9">
        <f t="shared" si="103"/>
        <v>4.1268454867634426E-3</v>
      </c>
      <c r="F2193" s="9">
        <f t="shared" si="101"/>
        <v>1.8185680761359339E-3</v>
      </c>
      <c r="G2193" s="9">
        <f t="shared" si="102"/>
        <v>1.3570536660031258E-2</v>
      </c>
    </row>
    <row r="2194" spans="1:7" x14ac:dyDescent="0.2">
      <c r="A2194" s="12">
        <v>40084</v>
      </c>
      <c r="B2194" s="9">
        <v>334.57</v>
      </c>
      <c r="C2194" s="9">
        <v>328.02</v>
      </c>
      <c r="D2194" s="9">
        <v>334.57</v>
      </c>
      <c r="E2194" s="9">
        <f t="shared" si="103"/>
        <v>1.3056743851496071E-2</v>
      </c>
      <c r="F2194" s="9">
        <f t="shared" si="101"/>
        <v>3.1824870241405429E-2</v>
      </c>
      <c r="G2194" s="9">
        <f t="shared" si="102"/>
        <v>1.3378012092802686E-2</v>
      </c>
    </row>
    <row r="2195" spans="1:7" x14ac:dyDescent="0.2">
      <c r="A2195" s="12">
        <v>40085</v>
      </c>
      <c r="B2195" s="9">
        <v>337.97</v>
      </c>
      <c r="C2195" s="9">
        <v>333.77</v>
      </c>
      <c r="D2195" s="9">
        <v>334.7</v>
      </c>
      <c r="E2195" s="9">
        <f t="shared" si="103"/>
        <v>3.8848297887236326E-4</v>
      </c>
      <c r="F2195" s="9">
        <f t="shared" si="101"/>
        <v>4.1108361582529673E-2</v>
      </c>
      <c r="G2195" s="9">
        <f t="shared" si="102"/>
        <v>1.3246503242981362E-2</v>
      </c>
    </row>
    <row r="2196" spans="1:7" x14ac:dyDescent="0.2">
      <c r="A2196" s="12">
        <v>40086</v>
      </c>
      <c r="B2196" s="9">
        <v>337.32</v>
      </c>
      <c r="C2196" s="9">
        <v>332.69</v>
      </c>
      <c r="D2196" s="9">
        <v>335.03</v>
      </c>
      <c r="E2196" s="9">
        <f t="shared" si="103"/>
        <v>9.8547183702911434E-4</v>
      </c>
      <c r="F2196" s="9">
        <f t="shared" si="101"/>
        <v>5.6802056232199548E-2</v>
      </c>
      <c r="G2196" s="9">
        <f t="shared" si="102"/>
        <v>1.2894860947205116E-2</v>
      </c>
    </row>
    <row r="2197" spans="1:7" x14ac:dyDescent="0.2">
      <c r="A2197" s="12">
        <v>40087</v>
      </c>
      <c r="B2197" s="9">
        <v>336.37</v>
      </c>
      <c r="C2197" s="9">
        <v>329.59</v>
      </c>
      <c r="D2197" s="9">
        <v>331.87</v>
      </c>
      <c r="E2197" s="9">
        <f t="shared" si="103"/>
        <v>-9.4767540849696481E-3</v>
      </c>
      <c r="F2197" s="9">
        <f t="shared" si="101"/>
        <v>2.8857267556764807E-2</v>
      </c>
      <c r="G2197" s="9">
        <f t="shared" si="102"/>
        <v>1.2663519897516917E-2</v>
      </c>
    </row>
    <row r="2198" spans="1:7" x14ac:dyDescent="0.2">
      <c r="A2198" s="12">
        <v>40088</v>
      </c>
      <c r="B2198" s="9">
        <v>331.48</v>
      </c>
      <c r="C2198" s="9">
        <v>322.98</v>
      </c>
      <c r="D2198" s="9">
        <v>325.49</v>
      </c>
      <c r="E2198" s="9">
        <f t="shared" si="103"/>
        <v>-1.9411586758851462E-2</v>
      </c>
      <c r="F2198" s="9">
        <f t="shared" si="101"/>
        <v>-1.4366792275538744E-2</v>
      </c>
      <c r="G2198" s="9">
        <f t="shared" si="102"/>
        <v>1.2430816937058392E-2</v>
      </c>
    </row>
    <row r="2199" spans="1:7" x14ac:dyDescent="0.2">
      <c r="A2199" s="12">
        <v>40091</v>
      </c>
      <c r="B2199" s="9">
        <v>328.28</v>
      </c>
      <c r="C2199" s="9">
        <v>324.26</v>
      </c>
      <c r="D2199" s="9">
        <v>326.33</v>
      </c>
      <c r="E2199" s="9">
        <f t="shared" si="103"/>
        <v>2.5774000951468692E-3</v>
      </c>
      <c r="F2199" s="9">
        <f t="shared" si="101"/>
        <v>-2.7176160464020879E-2</v>
      </c>
      <c r="G2199" s="9">
        <f t="shared" si="102"/>
        <v>1.2082166209469549E-2</v>
      </c>
    </row>
    <row r="2200" spans="1:7" x14ac:dyDescent="0.2">
      <c r="A2200" s="12">
        <v>40092</v>
      </c>
      <c r="B2200" s="9">
        <v>333.91</v>
      </c>
      <c r="C2200" s="9">
        <v>326.72000000000003</v>
      </c>
      <c r="D2200" s="9">
        <v>333.1</v>
      </c>
      <c r="E2200" s="9">
        <f t="shared" si="103"/>
        <v>2.0533605893998302E-2</v>
      </c>
      <c r="F2200" s="9">
        <f t="shared" si="101"/>
        <v>-1.0214837482978736E-2</v>
      </c>
      <c r="G2200" s="9">
        <f t="shared" si="102"/>
        <v>1.2680954034202913E-2</v>
      </c>
    </row>
    <row r="2201" spans="1:7" x14ac:dyDescent="0.2">
      <c r="A2201" s="12">
        <v>40093</v>
      </c>
      <c r="B2201" s="9">
        <v>334.91</v>
      </c>
      <c r="C2201" s="9">
        <v>329.62</v>
      </c>
      <c r="D2201" s="9">
        <v>330.6</v>
      </c>
      <c r="E2201" s="9">
        <f t="shared" si="103"/>
        <v>-7.5335598127101262E-3</v>
      </c>
      <c r="F2201" s="9">
        <f t="shared" si="101"/>
        <v>-1.3579491251855558E-2</v>
      </c>
      <c r="G2201" s="9">
        <f t="shared" si="102"/>
        <v>1.2730762838738975E-2</v>
      </c>
    </row>
    <row r="2202" spans="1:7" x14ac:dyDescent="0.2">
      <c r="A2202" s="12">
        <v>40094</v>
      </c>
      <c r="B2202" s="9">
        <v>335.16</v>
      </c>
      <c r="C2202" s="9">
        <v>331.18</v>
      </c>
      <c r="D2202" s="9">
        <v>333.04</v>
      </c>
      <c r="E2202" s="9">
        <f t="shared" si="103"/>
        <v>7.3534174997962392E-3</v>
      </c>
      <c r="F2202" s="9">
        <f t="shared" si="101"/>
        <v>-5.3006038607988169E-3</v>
      </c>
      <c r="G2202" s="9">
        <f t="shared" si="102"/>
        <v>1.2809645896318013E-2</v>
      </c>
    </row>
    <row r="2203" spans="1:7" x14ac:dyDescent="0.2">
      <c r="A2203" s="12">
        <v>40095</v>
      </c>
      <c r="B2203" s="9">
        <v>334.41</v>
      </c>
      <c r="C2203" s="9">
        <v>330.29</v>
      </c>
      <c r="D2203" s="9">
        <v>332.4</v>
      </c>
      <c r="E2203" s="9">
        <f t="shared" si="103"/>
        <v>-1.9235399054270555E-3</v>
      </c>
      <c r="F2203" s="9">
        <f t="shared" si="101"/>
        <v>-2.1017056752092245E-2</v>
      </c>
      <c r="G2203" s="9">
        <f t="shared" si="102"/>
        <v>1.2537106340467726E-2</v>
      </c>
    </row>
    <row r="2204" spans="1:7" x14ac:dyDescent="0.2">
      <c r="A2204" s="12">
        <v>40098</v>
      </c>
      <c r="B2204" s="9">
        <v>337.77</v>
      </c>
      <c r="C2204" s="9">
        <v>332.51</v>
      </c>
      <c r="D2204" s="9">
        <v>336.52</v>
      </c>
      <c r="E2204" s="9">
        <f t="shared" si="103"/>
        <v>1.2318519701319735E-2</v>
      </c>
      <c r="F2204" s="9">
        <f t="shared" si="101"/>
        <v>4.4375026283027504E-3</v>
      </c>
      <c r="G2204" s="9">
        <f t="shared" si="102"/>
        <v>1.2527830981211203E-2</v>
      </c>
    </row>
    <row r="2205" spans="1:7" x14ac:dyDescent="0.2">
      <c r="A2205" s="12">
        <v>40099</v>
      </c>
      <c r="B2205" s="9">
        <v>337.71</v>
      </c>
      <c r="C2205" s="9">
        <v>332.32</v>
      </c>
      <c r="D2205" s="9">
        <v>332.81</v>
      </c>
      <c r="E2205" s="9">
        <f t="shared" si="103"/>
        <v>-1.1085826110070618E-2</v>
      </c>
      <c r="F2205" s="9">
        <f t="shared" si="101"/>
        <v>-4.2277022026944791E-3</v>
      </c>
      <c r="G2205" s="9">
        <f t="shared" si="102"/>
        <v>1.2687961516219304E-2</v>
      </c>
    </row>
    <row r="2206" spans="1:7" x14ac:dyDescent="0.2">
      <c r="A2206" s="12">
        <v>40100</v>
      </c>
      <c r="B2206" s="9">
        <v>342.06</v>
      </c>
      <c r="C2206" s="9">
        <v>333.3</v>
      </c>
      <c r="D2206" s="9">
        <v>340.91</v>
      </c>
      <c r="E2206" s="9">
        <f t="shared" si="103"/>
        <v>2.404675625665505E-2</v>
      </c>
      <c r="F2206" s="9">
        <f t="shared" si="101"/>
        <v>5.7377574524434823E-2</v>
      </c>
      <c r="G2206" s="9">
        <f t="shared" si="102"/>
        <v>1.1336555046170859E-2</v>
      </c>
    </row>
    <row r="2207" spans="1:7" x14ac:dyDescent="0.2">
      <c r="A2207" s="12">
        <v>40101</v>
      </c>
      <c r="B2207" s="9">
        <v>345.02</v>
      </c>
      <c r="C2207" s="9">
        <v>339.72</v>
      </c>
      <c r="D2207" s="9">
        <v>340.3</v>
      </c>
      <c r="E2207" s="9">
        <f t="shared" si="103"/>
        <v>-1.7909313223371205E-3</v>
      </c>
      <c r="F2207" s="9">
        <f t="shared" si="101"/>
        <v>5.6830037829186088E-2</v>
      </c>
      <c r="G2207" s="9">
        <f t="shared" si="102"/>
        <v>1.1342250525563924E-2</v>
      </c>
    </row>
    <row r="2208" spans="1:7" x14ac:dyDescent="0.2">
      <c r="A2208" s="12">
        <v>40102</v>
      </c>
      <c r="B2208" s="9">
        <v>343.76</v>
      </c>
      <c r="C2208" s="9">
        <v>339.21</v>
      </c>
      <c r="D2208" s="9">
        <v>339.42</v>
      </c>
      <c r="E2208" s="9">
        <f t="shared" si="103"/>
        <v>-2.589302923740685E-3</v>
      </c>
      <c r="F2208" s="9">
        <f t="shared" si="101"/>
        <v>3.3797931996383083E-2</v>
      </c>
      <c r="G2208" s="9">
        <f t="shared" si="102"/>
        <v>1.0810479421708452E-2</v>
      </c>
    </row>
    <row r="2209" spans="1:7" x14ac:dyDescent="0.2">
      <c r="A2209" s="12">
        <v>40105</v>
      </c>
      <c r="B2209" s="9">
        <v>343.44</v>
      </c>
      <c r="C2209" s="9">
        <v>339.3</v>
      </c>
      <c r="D2209" s="9">
        <v>341.45</v>
      </c>
      <c r="E2209" s="9">
        <f t="shared" si="103"/>
        <v>5.9629768239789389E-3</v>
      </c>
      <c r="F2209" s="9">
        <f t="shared" ref="F2209:F2272" si="104">LN(D2209/D2179)</f>
        <v>2.9814802205450335E-2</v>
      </c>
      <c r="G2209" s="9">
        <f t="shared" si="102"/>
        <v>1.0722527809574412E-2</v>
      </c>
    </row>
    <row r="2210" spans="1:7" x14ac:dyDescent="0.2">
      <c r="A2210" s="12">
        <v>40106</v>
      </c>
      <c r="B2210" s="9">
        <v>343.26</v>
      </c>
      <c r="C2210" s="9">
        <v>339.93</v>
      </c>
      <c r="D2210" s="9">
        <v>339.98</v>
      </c>
      <c r="E2210" s="9">
        <f t="shared" si="103"/>
        <v>-4.3144630564745127E-3</v>
      </c>
      <c r="F2210" s="9">
        <f t="shared" si="104"/>
        <v>2.1735784717389427E-2</v>
      </c>
      <c r="G2210" s="9">
        <f t="shared" si="102"/>
        <v>1.0751953793087689E-2</v>
      </c>
    </row>
    <row r="2211" spans="1:7" x14ac:dyDescent="0.2">
      <c r="A2211" s="12">
        <v>40107</v>
      </c>
      <c r="B2211" s="9">
        <v>341.35</v>
      </c>
      <c r="C2211" s="9">
        <v>336.15</v>
      </c>
      <c r="D2211" s="9">
        <v>341.35</v>
      </c>
      <c r="E2211" s="9">
        <f t="shared" si="103"/>
        <v>4.0215515136657236E-3</v>
      </c>
      <c r="F2211" s="9">
        <f t="shared" si="104"/>
        <v>2.1467994501578384E-2</v>
      </c>
      <c r="G2211" s="9">
        <f t="shared" si="102"/>
        <v>1.0749002963294153E-2</v>
      </c>
    </row>
    <row r="2212" spans="1:7" x14ac:dyDescent="0.2">
      <c r="A2212" s="12">
        <v>40108</v>
      </c>
      <c r="B2212" s="9">
        <v>340.67</v>
      </c>
      <c r="C2212" s="9">
        <v>335.27</v>
      </c>
      <c r="D2212" s="9">
        <v>335.69</v>
      </c>
      <c r="E2212" s="9">
        <f t="shared" si="103"/>
        <v>-1.6720228823624748E-2</v>
      </c>
      <c r="F2212" s="9">
        <f t="shared" si="104"/>
        <v>1.1624615684817175E-3</v>
      </c>
      <c r="G2212" s="9">
        <f t="shared" si="102"/>
        <v>1.1192238646726884E-2</v>
      </c>
    </row>
    <row r="2213" spans="1:7" x14ac:dyDescent="0.2">
      <c r="A2213" s="12">
        <v>40109</v>
      </c>
      <c r="B2213" s="9">
        <v>340.45</v>
      </c>
      <c r="C2213" s="9">
        <v>336.08</v>
      </c>
      <c r="D2213" s="9">
        <v>338.97</v>
      </c>
      <c r="E2213" s="9">
        <f t="shared" si="103"/>
        <v>9.7234928486001192E-3</v>
      </c>
      <c r="F2213" s="9">
        <f t="shared" si="104"/>
        <v>1.6478659617109311E-2</v>
      </c>
      <c r="G2213" s="9">
        <f t="shared" si="102"/>
        <v>1.1275517323850404E-2</v>
      </c>
    </row>
    <row r="2214" spans="1:7" x14ac:dyDescent="0.2">
      <c r="A2214" s="12">
        <v>40112</v>
      </c>
      <c r="B2214" s="9">
        <v>339.73</v>
      </c>
      <c r="C2214" s="9">
        <v>333.44</v>
      </c>
      <c r="D2214" s="9">
        <v>333.52</v>
      </c>
      <c r="E2214" s="9">
        <f t="shared" si="103"/>
        <v>-1.6208774316723268E-2</v>
      </c>
      <c r="F2214" s="9">
        <f t="shared" si="104"/>
        <v>5.7734103114015032E-3</v>
      </c>
      <c r="G2214" s="9">
        <f t="shared" si="102"/>
        <v>1.1637272875226153E-2</v>
      </c>
    </row>
    <row r="2215" spans="1:7" x14ac:dyDescent="0.2">
      <c r="A2215" s="12">
        <v>40113</v>
      </c>
      <c r="B2215" s="9">
        <v>338.2</v>
      </c>
      <c r="C2215" s="9">
        <v>330.09</v>
      </c>
      <c r="D2215" s="9">
        <v>332.71</v>
      </c>
      <c r="E2215" s="9">
        <f t="shared" si="103"/>
        <v>-2.4315938913100502E-3</v>
      </c>
      <c r="F2215" s="9">
        <f t="shared" si="104"/>
        <v>3.3116600593587602E-3</v>
      </c>
      <c r="G2215" s="9">
        <f t="shared" ref="G2215:G2278" si="105">STDEV(E2186:E2215)</f>
        <v>1.1647131842376162E-2</v>
      </c>
    </row>
    <row r="2216" spans="1:7" x14ac:dyDescent="0.2">
      <c r="A2216" s="12">
        <v>40114</v>
      </c>
      <c r="B2216" s="9">
        <v>333.14</v>
      </c>
      <c r="C2216" s="9">
        <v>323.51</v>
      </c>
      <c r="D2216" s="9">
        <v>325.27999999999997</v>
      </c>
      <c r="E2216" s="9">
        <f t="shared" si="103"/>
        <v>-2.2584889801194916E-2</v>
      </c>
      <c r="F2216" s="9">
        <f t="shared" si="104"/>
        <v>-3.9069352801836446E-2</v>
      </c>
      <c r="G2216" s="9">
        <f t="shared" si="105"/>
        <v>1.1746885978721866E-2</v>
      </c>
    </row>
    <row r="2217" spans="1:7" x14ac:dyDescent="0.2">
      <c r="A2217" s="12">
        <v>40115</v>
      </c>
      <c r="B2217" s="9">
        <v>328.03</v>
      </c>
      <c r="C2217" s="9">
        <v>320.22000000000003</v>
      </c>
      <c r="D2217" s="9">
        <v>327.14999999999998</v>
      </c>
      <c r="E2217" s="9">
        <f t="shared" si="103"/>
        <v>5.7324314357113278E-3</v>
      </c>
      <c r="F2217" s="9">
        <f t="shared" si="104"/>
        <v>-2.9782836355013491E-2</v>
      </c>
      <c r="G2217" s="9">
        <f t="shared" si="105"/>
        <v>1.1807702130556872E-2</v>
      </c>
    </row>
    <row r="2218" spans="1:7" x14ac:dyDescent="0.2">
      <c r="A2218" s="12">
        <v>40116</v>
      </c>
      <c r="B2218" s="9">
        <v>331.28</v>
      </c>
      <c r="C2218" s="9">
        <v>323.89999999999998</v>
      </c>
      <c r="D2218" s="9">
        <v>324.16000000000003</v>
      </c>
      <c r="E2218" s="9">
        <f t="shared" si="103"/>
        <v>-9.1815602554289975E-3</v>
      </c>
      <c r="F2218" s="9">
        <f t="shared" si="104"/>
        <v>-3.8964396610442542E-2</v>
      </c>
      <c r="G2218" s="9">
        <f t="shared" si="105"/>
        <v>1.1899715844926656E-2</v>
      </c>
    </row>
    <row r="2219" spans="1:7" x14ac:dyDescent="0.2">
      <c r="A2219" s="12">
        <v>40119</v>
      </c>
      <c r="B2219" s="9">
        <v>326.82</v>
      </c>
      <c r="C2219" s="9">
        <v>321.45</v>
      </c>
      <c r="D2219" s="9">
        <v>326.49</v>
      </c>
      <c r="E2219" s="9">
        <f t="shared" si="103"/>
        <v>7.1620993157613042E-3</v>
      </c>
      <c r="F2219" s="9">
        <f t="shared" si="104"/>
        <v>-2.9961058987556185E-2</v>
      </c>
      <c r="G2219" s="9">
        <f t="shared" si="105"/>
        <v>1.1998684829559346E-2</v>
      </c>
    </row>
    <row r="2220" spans="1:7" x14ac:dyDescent="0.2">
      <c r="A2220" s="12">
        <v>40120</v>
      </c>
      <c r="B2220" s="9">
        <v>326.01</v>
      </c>
      <c r="C2220" s="9">
        <v>319.33</v>
      </c>
      <c r="D2220" s="9">
        <v>324.62</v>
      </c>
      <c r="E2220" s="9">
        <f t="shared" si="103"/>
        <v>-5.7440528991554701E-3</v>
      </c>
      <c r="F2220" s="9">
        <f t="shared" si="104"/>
        <v>-4.5819651136594766E-2</v>
      </c>
      <c r="G2220" s="9">
        <f t="shared" si="105"/>
        <v>1.1840485416206531E-2</v>
      </c>
    </row>
    <row r="2221" spans="1:7" x14ac:dyDescent="0.2">
      <c r="A2221" s="12">
        <v>40121</v>
      </c>
      <c r="B2221" s="9">
        <v>327.32</v>
      </c>
      <c r="C2221" s="9">
        <v>324.75</v>
      </c>
      <c r="D2221" s="9">
        <v>327.32</v>
      </c>
      <c r="E2221" s="9">
        <f t="shared" si="103"/>
        <v>8.2830181822565359E-3</v>
      </c>
      <c r="F2221" s="9">
        <f t="shared" si="104"/>
        <v>-2.8610377368727256E-2</v>
      </c>
      <c r="G2221" s="9">
        <f t="shared" si="105"/>
        <v>1.1886448858996257E-2</v>
      </c>
    </row>
    <row r="2222" spans="1:7" x14ac:dyDescent="0.2">
      <c r="A2222" s="12">
        <v>40122</v>
      </c>
      <c r="B2222" s="9">
        <v>329.73</v>
      </c>
      <c r="C2222" s="9">
        <v>323.56</v>
      </c>
      <c r="D2222" s="9">
        <v>329.73</v>
      </c>
      <c r="E2222" s="9">
        <f t="shared" si="103"/>
        <v>7.3358520897378278E-3</v>
      </c>
      <c r="F2222" s="9">
        <f t="shared" si="104"/>
        <v>2.6116018487699014E-3</v>
      </c>
      <c r="G2222" s="9">
        <f t="shared" si="105"/>
        <v>1.1153579538095903E-2</v>
      </c>
    </row>
    <row r="2223" spans="1:7" x14ac:dyDescent="0.2">
      <c r="A2223" s="12">
        <v>40123</v>
      </c>
      <c r="B2223" s="9">
        <v>332.24</v>
      </c>
      <c r="C2223" s="9">
        <v>327.5</v>
      </c>
      <c r="D2223" s="9">
        <v>328.55</v>
      </c>
      <c r="E2223" s="9">
        <f t="shared" si="103"/>
        <v>-3.58510440504181E-3</v>
      </c>
      <c r="F2223" s="9">
        <f t="shared" si="104"/>
        <v>-5.1003480430354122E-3</v>
      </c>
      <c r="G2223" s="9">
        <f t="shared" si="105"/>
        <v>1.1146129851391429E-2</v>
      </c>
    </row>
    <row r="2224" spans="1:7" x14ac:dyDescent="0.2">
      <c r="A2224" s="12">
        <v>40126</v>
      </c>
      <c r="B2224" s="9">
        <v>334.32</v>
      </c>
      <c r="C2224" s="9">
        <v>329.23</v>
      </c>
      <c r="D2224" s="9">
        <v>334.32</v>
      </c>
      <c r="E2224" s="9">
        <f t="shared" si="103"/>
        <v>1.7409584795783046E-2</v>
      </c>
      <c r="F2224" s="9">
        <f t="shared" si="104"/>
        <v>-7.4750709874862853E-4</v>
      </c>
      <c r="G2224" s="9">
        <f t="shared" si="105"/>
        <v>1.1350700547714733E-2</v>
      </c>
    </row>
    <row r="2225" spans="1:7" x14ac:dyDescent="0.2">
      <c r="A2225" s="12">
        <v>40127</v>
      </c>
      <c r="B2225" s="9">
        <v>334.73</v>
      </c>
      <c r="C2225" s="9">
        <v>331.62</v>
      </c>
      <c r="D2225" s="9">
        <v>332.51</v>
      </c>
      <c r="E2225" s="9">
        <f t="shared" si="103"/>
        <v>-5.4286833080306315E-3</v>
      </c>
      <c r="F2225" s="9">
        <f t="shared" si="104"/>
        <v>-6.564673385651516E-3</v>
      </c>
      <c r="G2225" s="9">
        <f t="shared" si="105"/>
        <v>1.139300374534254E-2</v>
      </c>
    </row>
    <row r="2226" spans="1:7" x14ac:dyDescent="0.2">
      <c r="A2226" s="12">
        <v>40128</v>
      </c>
      <c r="B2226" s="9">
        <v>336.74</v>
      </c>
      <c r="C2226" s="9">
        <v>332.7</v>
      </c>
      <c r="D2226" s="9">
        <v>335.6</v>
      </c>
      <c r="E2226" s="9">
        <f t="shared" si="103"/>
        <v>9.2500397614219011E-3</v>
      </c>
      <c r="F2226" s="9">
        <f t="shared" si="104"/>
        <v>1.6998945387411422E-3</v>
      </c>
      <c r="G2226" s="9">
        <f t="shared" si="105"/>
        <v>1.1522313814049797E-2</v>
      </c>
    </row>
    <row r="2227" spans="1:7" x14ac:dyDescent="0.2">
      <c r="A2227" s="12">
        <v>40129</v>
      </c>
      <c r="B2227" s="9">
        <v>334.14</v>
      </c>
      <c r="C2227" s="9">
        <v>330</v>
      </c>
      <c r="D2227" s="9">
        <v>331.81</v>
      </c>
      <c r="E2227" s="9">
        <f t="shared" si="103"/>
        <v>-1.1357458653133128E-2</v>
      </c>
      <c r="F2227" s="9">
        <f t="shared" si="104"/>
        <v>-1.8081002942216045E-4</v>
      </c>
      <c r="G2227" s="9">
        <f t="shared" si="105"/>
        <v>1.1580938536148876E-2</v>
      </c>
    </row>
    <row r="2228" spans="1:7" x14ac:dyDescent="0.2">
      <c r="A2228" s="12">
        <v>40130</v>
      </c>
      <c r="B2228" s="9">
        <v>331.62</v>
      </c>
      <c r="C2228" s="9">
        <v>329.29</v>
      </c>
      <c r="D2228" s="9">
        <v>331.62</v>
      </c>
      <c r="E2228" s="9">
        <f t="shared" si="103"/>
        <v>-5.7278086669150909E-4</v>
      </c>
      <c r="F2228" s="9">
        <f t="shared" si="104"/>
        <v>1.8657995862737805E-2</v>
      </c>
      <c r="G2228" s="9">
        <f t="shared" si="105"/>
        <v>1.0987989405590351E-2</v>
      </c>
    </row>
    <row r="2229" spans="1:7" x14ac:dyDescent="0.2">
      <c r="A2229" s="12">
        <v>40133</v>
      </c>
      <c r="B2229" s="9">
        <v>338.72</v>
      </c>
      <c r="C2229" s="9">
        <v>332.01</v>
      </c>
      <c r="D2229" s="9">
        <v>338.72</v>
      </c>
      <c r="E2229" s="9">
        <f t="shared" si="103"/>
        <v>2.1184072313328528E-2</v>
      </c>
      <c r="F2229" s="9">
        <f t="shared" si="104"/>
        <v>3.7264668080919425E-2</v>
      </c>
      <c r="G2229" s="9">
        <f t="shared" si="105"/>
        <v>1.1609714813416836E-2</v>
      </c>
    </row>
    <row r="2230" spans="1:7" x14ac:dyDescent="0.2">
      <c r="A2230" s="12">
        <v>40134</v>
      </c>
      <c r="B2230" s="9">
        <v>338.62</v>
      </c>
      <c r="C2230" s="9">
        <v>335.12</v>
      </c>
      <c r="D2230" s="9">
        <v>335.24</v>
      </c>
      <c r="E2230" s="9">
        <f t="shared" si="103"/>
        <v>-1.0327114155849628E-2</v>
      </c>
      <c r="F2230" s="9">
        <f t="shared" si="104"/>
        <v>6.4039480310715052E-3</v>
      </c>
      <c r="G2230" s="9">
        <f t="shared" si="105"/>
        <v>1.1201478777203946E-2</v>
      </c>
    </row>
    <row r="2231" spans="1:7" x14ac:dyDescent="0.2">
      <c r="A2231" s="12">
        <v>40135</v>
      </c>
      <c r="B2231" s="9">
        <v>340.65</v>
      </c>
      <c r="C2231" s="9">
        <v>335.34</v>
      </c>
      <c r="D2231" s="9">
        <v>338.04</v>
      </c>
      <c r="E2231" s="9">
        <f t="shared" si="103"/>
        <v>8.3175384455761916E-3</v>
      </c>
      <c r="F2231" s="9">
        <f t="shared" si="104"/>
        <v>2.2255046289357677E-2</v>
      </c>
      <c r="G2231" s="9">
        <f t="shared" si="105"/>
        <v>1.1197298085830089E-2</v>
      </c>
    </row>
    <row r="2232" spans="1:7" x14ac:dyDescent="0.2">
      <c r="A2232" s="12">
        <v>40136</v>
      </c>
      <c r="B2232" s="9">
        <v>337.98</v>
      </c>
      <c r="C2232" s="9">
        <v>333.44</v>
      </c>
      <c r="D2232" s="9">
        <v>333.84</v>
      </c>
      <c r="E2232" s="9">
        <f t="shared" si="103"/>
        <v>-1.250239539298457E-2</v>
      </c>
      <c r="F2232" s="9">
        <f t="shared" si="104"/>
        <v>2.3992333965770318E-3</v>
      </c>
      <c r="G2232" s="9">
        <f t="shared" si="105"/>
        <v>1.1378382228579021E-2</v>
      </c>
    </row>
    <row r="2233" spans="1:7" x14ac:dyDescent="0.2">
      <c r="A2233" s="12">
        <v>40137</v>
      </c>
      <c r="B2233" s="9">
        <v>336.24</v>
      </c>
      <c r="C2233" s="9">
        <v>331.98</v>
      </c>
      <c r="D2233" s="9">
        <v>332.58</v>
      </c>
      <c r="E2233" s="9">
        <f t="shared" si="103"/>
        <v>-3.7814036235287929E-3</v>
      </c>
      <c r="F2233" s="9">
        <f t="shared" si="104"/>
        <v>5.413696784752007E-4</v>
      </c>
      <c r="G2233" s="9">
        <f t="shared" si="105"/>
        <v>1.1394706874077003E-2</v>
      </c>
    </row>
    <row r="2234" spans="1:7" x14ac:dyDescent="0.2">
      <c r="A2234" s="12">
        <v>40140</v>
      </c>
      <c r="B2234" s="9">
        <v>337.26</v>
      </c>
      <c r="C2234" s="9">
        <v>332.96</v>
      </c>
      <c r="D2234" s="9">
        <v>337.02</v>
      </c>
      <c r="E2234" s="9">
        <f t="shared" si="103"/>
        <v>1.3261843112628062E-2</v>
      </c>
      <c r="F2234" s="9">
        <f t="shared" si="104"/>
        <v>1.4846930897834984E-3</v>
      </c>
      <c r="G2234" s="9">
        <f t="shared" si="105"/>
        <v>1.1431064518869384E-2</v>
      </c>
    </row>
    <row r="2235" spans="1:7" x14ac:dyDescent="0.2">
      <c r="A2235" s="12">
        <v>40141</v>
      </c>
      <c r="B2235" s="9">
        <v>336.82</v>
      </c>
      <c r="C2235" s="9">
        <v>331.43</v>
      </c>
      <c r="D2235" s="9">
        <v>331.59</v>
      </c>
      <c r="E2235" s="9">
        <f t="shared" si="103"/>
        <v>-1.6243009781422704E-2</v>
      </c>
      <c r="F2235" s="9">
        <f t="shared" si="104"/>
        <v>-3.6724905815685989E-3</v>
      </c>
      <c r="G2235" s="9">
        <f t="shared" si="105"/>
        <v>1.1641145185157256E-2</v>
      </c>
    </row>
    <row r="2236" spans="1:7" x14ac:dyDescent="0.2">
      <c r="A2236" s="12">
        <v>40142</v>
      </c>
      <c r="B2236" s="9">
        <v>333.12</v>
      </c>
      <c r="C2236" s="9">
        <v>329.32</v>
      </c>
      <c r="D2236" s="9">
        <v>330.3</v>
      </c>
      <c r="E2236" s="9">
        <f t="shared" si="103"/>
        <v>-3.8979335942296908E-3</v>
      </c>
      <c r="F2236" s="9">
        <f t="shared" si="104"/>
        <v>-3.1617180432453172E-2</v>
      </c>
      <c r="G2236" s="9">
        <f t="shared" si="105"/>
        <v>1.0722273002009796E-2</v>
      </c>
    </row>
    <row r="2237" spans="1:7" x14ac:dyDescent="0.2">
      <c r="A2237" s="12">
        <v>40143</v>
      </c>
      <c r="B2237" s="9">
        <v>330.3</v>
      </c>
      <c r="C2237" s="9">
        <v>325.43</v>
      </c>
      <c r="D2237" s="9">
        <v>325.79000000000002</v>
      </c>
      <c r="E2237" s="9">
        <f t="shared" si="103"/>
        <v>-1.3748330376962277E-2</v>
      </c>
      <c r="F2237" s="9">
        <f t="shared" si="104"/>
        <v>-4.3574579487078269E-2</v>
      </c>
      <c r="G2237" s="9">
        <f t="shared" si="105"/>
        <v>1.0970000212826115E-2</v>
      </c>
    </row>
    <row r="2238" spans="1:7" x14ac:dyDescent="0.2">
      <c r="A2238" s="12">
        <v>40144</v>
      </c>
      <c r="B2238" s="9">
        <v>327.27999999999997</v>
      </c>
      <c r="C2238" s="9">
        <v>319.47000000000003</v>
      </c>
      <c r="D2238" s="9">
        <v>327.27999999999997</v>
      </c>
      <c r="E2238" s="9">
        <f t="shared" si="103"/>
        <v>4.5630716013613489E-3</v>
      </c>
      <c r="F2238" s="9">
        <f t="shared" si="104"/>
        <v>-3.6422204961976345E-2</v>
      </c>
      <c r="G2238" s="9">
        <f t="shared" si="105"/>
        <v>1.1022039989426703E-2</v>
      </c>
    </row>
    <row r="2239" spans="1:7" x14ac:dyDescent="0.2">
      <c r="A2239" s="12">
        <v>40147</v>
      </c>
      <c r="B2239" s="9">
        <v>329.54</v>
      </c>
      <c r="C2239" s="9">
        <v>323.73</v>
      </c>
      <c r="D2239" s="9">
        <v>327.2</v>
      </c>
      <c r="E2239" s="9">
        <f t="shared" si="103"/>
        <v>-2.4446889255103684E-4</v>
      </c>
      <c r="F2239" s="9">
        <f t="shared" si="104"/>
        <v>-4.2629650678506312E-2</v>
      </c>
      <c r="G2239" s="9">
        <f t="shared" si="105"/>
        <v>1.0940625446000591E-2</v>
      </c>
    </row>
    <row r="2240" spans="1:7" x14ac:dyDescent="0.2">
      <c r="A2240" s="12">
        <v>40148</v>
      </c>
      <c r="B2240" s="9">
        <v>333.4</v>
      </c>
      <c r="C2240" s="9">
        <v>327.3</v>
      </c>
      <c r="D2240" s="9">
        <v>332.77</v>
      </c>
      <c r="E2240" s="9">
        <f t="shared" si="103"/>
        <v>1.6879955924456951E-2</v>
      </c>
      <c r="F2240" s="9">
        <f t="shared" si="104"/>
        <v>-2.1435231697574858E-2</v>
      </c>
      <c r="G2240" s="9">
        <f t="shared" si="105"/>
        <v>1.1421093897305921E-2</v>
      </c>
    </row>
    <row r="2241" spans="1:7" x14ac:dyDescent="0.2">
      <c r="A2241" s="12">
        <v>40149</v>
      </c>
      <c r="B2241" s="9">
        <v>337.44</v>
      </c>
      <c r="C2241" s="9">
        <v>332.97</v>
      </c>
      <c r="D2241" s="9">
        <v>337.1</v>
      </c>
      <c r="E2241" s="9">
        <f t="shared" si="103"/>
        <v>1.2928061586966201E-2</v>
      </c>
      <c r="F2241" s="9">
        <f t="shared" si="104"/>
        <v>-1.252872162427422E-2</v>
      </c>
      <c r="G2241" s="9">
        <f t="shared" si="105"/>
        <v>1.166167526768667E-2</v>
      </c>
    </row>
    <row r="2242" spans="1:7" x14ac:dyDescent="0.2">
      <c r="A2242" s="12">
        <v>40150</v>
      </c>
      <c r="B2242" s="9">
        <v>338.45</v>
      </c>
      <c r="C2242" s="9">
        <v>333.85</v>
      </c>
      <c r="D2242" s="9">
        <v>334.89</v>
      </c>
      <c r="E2242" s="9">
        <f t="shared" si="103"/>
        <v>-6.5775025452646484E-3</v>
      </c>
      <c r="F2242" s="9">
        <f t="shared" si="104"/>
        <v>-2.3859953459141412E-3</v>
      </c>
      <c r="G2242" s="9">
        <f t="shared" si="105"/>
        <v>1.131460065116322E-2</v>
      </c>
    </row>
    <row r="2243" spans="1:7" x14ac:dyDescent="0.2">
      <c r="A2243" s="12">
        <v>40151</v>
      </c>
      <c r="B2243" s="9">
        <v>338.87</v>
      </c>
      <c r="C2243" s="9">
        <v>332.67</v>
      </c>
      <c r="D2243" s="9">
        <v>337.62</v>
      </c>
      <c r="E2243" s="9">
        <f t="shared" si="103"/>
        <v>8.1188829784920487E-3</v>
      </c>
      <c r="F2243" s="9">
        <f t="shared" si="104"/>
        <v>-3.9906052160219776E-3</v>
      </c>
      <c r="G2243" s="9">
        <f t="shared" si="105"/>
        <v>1.1270367511369735E-2</v>
      </c>
    </row>
    <row r="2244" spans="1:7" x14ac:dyDescent="0.2">
      <c r="A2244" s="12">
        <v>40154</v>
      </c>
      <c r="B2244" s="9">
        <v>338.25</v>
      </c>
      <c r="C2244" s="9">
        <v>333.93</v>
      </c>
      <c r="D2244" s="9">
        <v>336.56</v>
      </c>
      <c r="E2244" s="9">
        <f t="shared" ref="E2244:E2307" si="106">LN(D2244/D2243)</f>
        <v>-3.1445633909772128E-3</v>
      </c>
      <c r="F2244" s="9">
        <f t="shared" si="104"/>
        <v>9.0736057097239795E-3</v>
      </c>
      <c r="G2244" s="9">
        <f t="shared" si="105"/>
        <v>1.0873195026506155E-2</v>
      </c>
    </row>
    <row r="2245" spans="1:7" x14ac:dyDescent="0.2">
      <c r="A2245" s="12">
        <v>40155</v>
      </c>
      <c r="B2245" s="9">
        <v>339.72</v>
      </c>
      <c r="C2245" s="9">
        <v>332.21</v>
      </c>
      <c r="D2245" s="9">
        <v>333.39</v>
      </c>
      <c r="E2245" s="9">
        <f t="shared" si="106"/>
        <v>-9.4634634166007141E-3</v>
      </c>
      <c r="F2245" s="9">
        <f t="shared" si="104"/>
        <v>2.0417361844333741E-3</v>
      </c>
      <c r="G2245" s="9">
        <f t="shared" si="105"/>
        <v>1.1009110038307641E-2</v>
      </c>
    </row>
    <row r="2246" spans="1:7" x14ac:dyDescent="0.2">
      <c r="A2246" s="12">
        <v>40156</v>
      </c>
      <c r="B2246" s="9">
        <v>334.25</v>
      </c>
      <c r="C2246" s="9">
        <v>330.62</v>
      </c>
      <c r="D2246" s="9">
        <v>332.32</v>
      </c>
      <c r="E2246" s="9">
        <f t="shared" si="106"/>
        <v>-3.2146157378626305E-3</v>
      </c>
      <c r="F2246" s="9">
        <f t="shared" si="104"/>
        <v>2.1412010247765699E-2</v>
      </c>
      <c r="G2246" s="9">
        <f t="shared" si="105"/>
        <v>1.0170829826961516E-2</v>
      </c>
    </row>
    <row r="2247" spans="1:7" x14ac:dyDescent="0.2">
      <c r="A2247" s="12">
        <v>40157</v>
      </c>
      <c r="B2247" s="9">
        <v>332.47</v>
      </c>
      <c r="C2247" s="9">
        <v>330.5</v>
      </c>
      <c r="D2247" s="9">
        <v>331.86</v>
      </c>
      <c r="E2247" s="9">
        <f t="shared" si="106"/>
        <v>-1.3851668931604911E-3</v>
      </c>
      <c r="F2247" s="9">
        <f t="shared" si="104"/>
        <v>1.4294411918894079E-2</v>
      </c>
      <c r="G2247" s="9">
        <f t="shared" si="105"/>
        <v>1.0132666505007821E-2</v>
      </c>
    </row>
    <row r="2248" spans="1:7" x14ac:dyDescent="0.2">
      <c r="A2248" s="12">
        <v>40158</v>
      </c>
      <c r="B2248" s="9">
        <v>333.8</v>
      </c>
      <c r="C2248" s="9">
        <v>331.84</v>
      </c>
      <c r="D2248" s="9">
        <v>332</v>
      </c>
      <c r="E2248" s="9">
        <f t="shared" si="106"/>
        <v>4.2177568184695611E-4</v>
      </c>
      <c r="F2248" s="9">
        <f t="shared" si="104"/>
        <v>2.3897747856169885E-2</v>
      </c>
      <c r="G2248" s="9">
        <f t="shared" si="105"/>
        <v>9.9673745246677999E-3</v>
      </c>
    </row>
    <row r="2249" spans="1:7" x14ac:dyDescent="0.2">
      <c r="A2249" s="12">
        <v>40161</v>
      </c>
      <c r="B2249" s="9">
        <v>334.35</v>
      </c>
      <c r="C2249" s="9">
        <v>330.49</v>
      </c>
      <c r="D2249" s="9">
        <v>331.27</v>
      </c>
      <c r="E2249" s="9">
        <f t="shared" si="106"/>
        <v>-2.2012160802054336E-3</v>
      </c>
      <c r="F2249" s="9">
        <f t="shared" si="104"/>
        <v>1.4534432460203138E-2</v>
      </c>
      <c r="G2249" s="9">
        <f t="shared" si="105"/>
        <v>9.9075952503182348E-3</v>
      </c>
    </row>
    <row r="2250" spans="1:7" x14ac:dyDescent="0.2">
      <c r="A2250" s="12">
        <v>40162</v>
      </c>
      <c r="B2250" s="9">
        <v>332.02</v>
      </c>
      <c r="C2250" s="9">
        <v>329.48</v>
      </c>
      <c r="D2250" s="9">
        <v>331.53</v>
      </c>
      <c r="E2250" s="9">
        <f t="shared" si="106"/>
        <v>7.8455043251743036E-4</v>
      </c>
      <c r="F2250" s="9">
        <f t="shared" si="104"/>
        <v>2.1063035791875934E-2</v>
      </c>
      <c r="G2250" s="9">
        <f t="shared" si="105"/>
        <v>9.8375205671401723E-3</v>
      </c>
    </row>
    <row r="2251" spans="1:7" x14ac:dyDescent="0.2">
      <c r="A2251" s="12">
        <v>40163</v>
      </c>
      <c r="B2251" s="9">
        <v>336.56</v>
      </c>
      <c r="C2251" s="9">
        <v>330.89</v>
      </c>
      <c r="D2251" s="9">
        <v>336.56</v>
      </c>
      <c r="E2251" s="9">
        <f t="shared" si="106"/>
        <v>1.5058136013464937E-2</v>
      </c>
      <c r="F2251" s="9">
        <f t="shared" si="104"/>
        <v>2.7838153623084432E-2</v>
      </c>
      <c r="G2251" s="9">
        <f t="shared" si="105"/>
        <v>1.009202976007954E-2</v>
      </c>
    </row>
    <row r="2252" spans="1:7" x14ac:dyDescent="0.2">
      <c r="A2252" s="12">
        <v>40164</v>
      </c>
      <c r="B2252" s="9">
        <v>336.86</v>
      </c>
      <c r="C2252" s="9">
        <v>333.6</v>
      </c>
      <c r="D2252" s="9">
        <v>334.34</v>
      </c>
      <c r="E2252" s="9">
        <f t="shared" si="106"/>
        <v>-6.6180000077808478E-3</v>
      </c>
      <c r="F2252" s="9">
        <f t="shared" si="104"/>
        <v>1.3884301525565818E-2</v>
      </c>
      <c r="G2252" s="9">
        <f t="shared" si="105"/>
        <v>1.0108058193470616E-2</v>
      </c>
    </row>
    <row r="2253" spans="1:7" x14ac:dyDescent="0.2">
      <c r="A2253" s="12">
        <v>40165</v>
      </c>
      <c r="B2253" s="9">
        <v>334.64</v>
      </c>
      <c r="C2253" s="9">
        <v>332.54</v>
      </c>
      <c r="D2253" s="9">
        <v>334.29</v>
      </c>
      <c r="E2253" s="9">
        <f t="shared" si="106"/>
        <v>-1.4955954741233826E-4</v>
      </c>
      <c r="F2253" s="9">
        <f t="shared" si="104"/>
        <v>1.7319846383195475E-2</v>
      </c>
      <c r="G2253" s="9">
        <f t="shared" si="105"/>
        <v>1.0080038871085792E-2</v>
      </c>
    </row>
    <row r="2254" spans="1:7" x14ac:dyDescent="0.2">
      <c r="A2254" s="12">
        <v>40168</v>
      </c>
      <c r="B2254" s="9">
        <v>334.29</v>
      </c>
      <c r="C2254" s="9">
        <v>329.94</v>
      </c>
      <c r="D2254" s="9">
        <v>331.41</v>
      </c>
      <c r="E2254" s="9">
        <f t="shared" si="106"/>
        <v>-8.6526001747788336E-3</v>
      </c>
      <c r="F2254" s="9">
        <f t="shared" si="104"/>
        <v>-8.7423385873664251E-3</v>
      </c>
      <c r="G2254" s="9">
        <f t="shared" si="105"/>
        <v>9.6950641414246686E-3</v>
      </c>
    </row>
    <row r="2255" spans="1:7" x14ac:dyDescent="0.2">
      <c r="A2255" s="12">
        <v>40169</v>
      </c>
      <c r="B2255" s="9">
        <v>334.25</v>
      </c>
      <c r="C2255" s="9">
        <v>330.81</v>
      </c>
      <c r="D2255" s="9">
        <v>334.25</v>
      </c>
      <c r="E2255" s="9">
        <f t="shared" si="106"/>
        <v>8.5329364297590301E-3</v>
      </c>
      <c r="F2255" s="9">
        <f t="shared" si="104"/>
        <v>5.2192811504231671E-3</v>
      </c>
      <c r="G2255" s="9">
        <f t="shared" si="105"/>
        <v>9.7747277595288274E-3</v>
      </c>
    </row>
    <row r="2256" spans="1:7" x14ac:dyDescent="0.2">
      <c r="A2256" s="12">
        <v>40170</v>
      </c>
      <c r="B2256" s="9">
        <v>335.78</v>
      </c>
      <c r="C2256" s="9">
        <v>334.02</v>
      </c>
      <c r="D2256" s="9">
        <v>335.08</v>
      </c>
      <c r="E2256" s="9">
        <f t="shared" si="106"/>
        <v>2.4800933035561824E-3</v>
      </c>
      <c r="F2256" s="9">
        <f t="shared" si="104"/>
        <v>-1.5506653074425264E-3</v>
      </c>
      <c r="G2256" s="9">
        <f t="shared" si="105"/>
        <v>9.6351176743913816E-3</v>
      </c>
    </row>
    <row r="2257" spans="1:7" x14ac:dyDescent="0.2">
      <c r="A2257" s="12">
        <v>40175</v>
      </c>
      <c r="B2257" s="9">
        <v>337.3</v>
      </c>
      <c r="C2257" s="9">
        <v>333.91</v>
      </c>
      <c r="D2257" s="9">
        <v>334.59</v>
      </c>
      <c r="E2257" s="9">
        <f t="shared" si="106"/>
        <v>-1.4634076110535148E-3</v>
      </c>
      <c r="F2257" s="9">
        <f t="shared" si="104"/>
        <v>8.3433857346370648E-3</v>
      </c>
      <c r="G2257" s="9">
        <f t="shared" si="105"/>
        <v>9.4012815146368549E-3</v>
      </c>
    </row>
    <row r="2258" spans="1:7" x14ac:dyDescent="0.2">
      <c r="A2258" s="12">
        <v>40176</v>
      </c>
      <c r="B2258" s="9">
        <v>337.51</v>
      </c>
      <c r="C2258" s="9">
        <v>334.65</v>
      </c>
      <c r="D2258" s="9">
        <v>336.29</v>
      </c>
      <c r="E2258" s="9">
        <f t="shared" si="106"/>
        <v>5.0679812742269372E-3</v>
      </c>
      <c r="F2258" s="9">
        <f t="shared" si="104"/>
        <v>1.3984147875555393E-2</v>
      </c>
      <c r="G2258" s="9">
        <f t="shared" si="105"/>
        <v>9.4400046430033954E-3</v>
      </c>
    </row>
    <row r="2259" spans="1:7" x14ac:dyDescent="0.2">
      <c r="A2259" s="12">
        <v>40177</v>
      </c>
      <c r="B2259" s="9">
        <v>337.75</v>
      </c>
      <c r="C2259" s="9">
        <v>335.62</v>
      </c>
      <c r="D2259" s="9">
        <v>336.69</v>
      </c>
      <c r="E2259" s="9">
        <f t="shared" si="106"/>
        <v>1.1887427474921361E-3</v>
      </c>
      <c r="F2259" s="9">
        <f t="shared" si="104"/>
        <v>-6.011181690280921E-3</v>
      </c>
      <c r="G2259" s="9">
        <f t="shared" si="105"/>
        <v>8.5948244274678728E-3</v>
      </c>
    </row>
    <row r="2260" spans="1:7" x14ac:dyDescent="0.2">
      <c r="A2260" s="12">
        <v>40182</v>
      </c>
      <c r="B2260" s="9">
        <v>347.85</v>
      </c>
      <c r="C2260" s="9">
        <v>336.75</v>
      </c>
      <c r="D2260" s="9">
        <v>347.85</v>
      </c>
      <c r="E2260" s="9">
        <f t="shared" si="106"/>
        <v>3.2608726673376352E-2</v>
      </c>
      <c r="F2260" s="9">
        <f t="shared" si="104"/>
        <v>3.6924659138945035E-2</v>
      </c>
      <c r="G2260" s="9">
        <f t="shared" si="105"/>
        <v>1.0263251761360224E-2</v>
      </c>
    </row>
    <row r="2261" spans="1:7" x14ac:dyDescent="0.2">
      <c r="A2261" s="12">
        <v>40183</v>
      </c>
      <c r="B2261" s="9">
        <v>348.36</v>
      </c>
      <c r="C2261" s="9">
        <v>343.5</v>
      </c>
      <c r="D2261" s="9">
        <v>345.14</v>
      </c>
      <c r="E2261" s="9">
        <f t="shared" si="106"/>
        <v>-7.8212205502175489E-3</v>
      </c>
      <c r="F2261" s="9">
        <f t="shared" si="104"/>
        <v>2.0785900143151154E-2</v>
      </c>
      <c r="G2261" s="9">
        <f t="shared" si="105"/>
        <v>1.0301877471152533E-2</v>
      </c>
    </row>
    <row r="2262" spans="1:7" x14ac:dyDescent="0.2">
      <c r="A2262" s="12">
        <v>40184</v>
      </c>
      <c r="B2262" s="9">
        <v>347.55</v>
      </c>
      <c r="C2262" s="9">
        <v>344.97</v>
      </c>
      <c r="D2262" s="9">
        <v>346.37</v>
      </c>
      <c r="E2262" s="9">
        <f t="shared" si="106"/>
        <v>3.5574360375792264E-3</v>
      </c>
      <c r="F2262" s="9">
        <f t="shared" si="104"/>
        <v>3.6845731573715131E-2</v>
      </c>
      <c r="G2262" s="9">
        <f t="shared" si="105"/>
        <v>1.0005559410520381E-2</v>
      </c>
    </row>
    <row r="2263" spans="1:7" x14ac:dyDescent="0.2">
      <c r="A2263" s="12">
        <v>40185</v>
      </c>
      <c r="B2263" s="9">
        <v>351.73</v>
      </c>
      <c r="C2263" s="9">
        <v>345.28</v>
      </c>
      <c r="D2263" s="9">
        <v>351.28</v>
      </c>
      <c r="E2263" s="9">
        <f t="shared" si="106"/>
        <v>1.4076058396449711E-2</v>
      </c>
      <c r="F2263" s="9">
        <f t="shared" si="104"/>
        <v>5.4703193593693571E-2</v>
      </c>
      <c r="G2263" s="9">
        <f t="shared" si="105"/>
        <v>1.0226010411618663E-2</v>
      </c>
    </row>
    <row r="2264" spans="1:7" x14ac:dyDescent="0.2">
      <c r="A2264" s="12">
        <v>40186</v>
      </c>
      <c r="B2264" s="9">
        <v>353.77</v>
      </c>
      <c r="C2264" s="9">
        <v>351.28</v>
      </c>
      <c r="D2264" s="9">
        <v>353.23</v>
      </c>
      <c r="E2264" s="9">
        <f t="shared" si="106"/>
        <v>5.5357765816841523E-3</v>
      </c>
      <c r="F2264" s="9">
        <f t="shared" si="104"/>
        <v>4.6977127062749639E-2</v>
      </c>
      <c r="G2264" s="9">
        <f t="shared" si="105"/>
        <v>1.0023286707574828E-2</v>
      </c>
    </row>
    <row r="2265" spans="1:7" x14ac:dyDescent="0.2">
      <c r="A2265" s="12">
        <v>40189</v>
      </c>
      <c r="B2265" s="9">
        <v>363</v>
      </c>
      <c r="C2265" s="9">
        <v>353.65</v>
      </c>
      <c r="D2265" s="9">
        <v>359.54</v>
      </c>
      <c r="E2265" s="9">
        <f t="shared" si="106"/>
        <v>1.7706033783124048E-2</v>
      </c>
      <c r="F2265" s="9">
        <f t="shared" si="104"/>
        <v>8.0926170627296359E-2</v>
      </c>
      <c r="G2265" s="9">
        <f t="shared" si="105"/>
        <v>9.8583947440757519E-3</v>
      </c>
    </row>
    <row r="2266" spans="1:7" x14ac:dyDescent="0.2">
      <c r="A2266" s="12">
        <v>40190</v>
      </c>
      <c r="B2266" s="9">
        <v>359.83</v>
      </c>
      <c r="C2266" s="9">
        <v>354.01</v>
      </c>
      <c r="D2266" s="9">
        <v>356.73</v>
      </c>
      <c r="E2266" s="9">
        <f t="shared" si="106"/>
        <v>-7.846243500672874E-3</v>
      </c>
      <c r="F2266" s="9">
        <f t="shared" si="104"/>
        <v>7.6977860720853192E-2</v>
      </c>
      <c r="G2266" s="9">
        <f t="shared" si="105"/>
        <v>9.975144823847806E-3</v>
      </c>
    </row>
    <row r="2267" spans="1:7" x14ac:dyDescent="0.2">
      <c r="A2267" s="12">
        <v>40191</v>
      </c>
      <c r="B2267" s="9">
        <v>358.98</v>
      </c>
      <c r="C2267" s="9">
        <v>353.3</v>
      </c>
      <c r="D2267" s="9">
        <v>356.53</v>
      </c>
      <c r="E2267" s="9">
        <f t="shared" si="106"/>
        <v>-5.6080533113245549E-4</v>
      </c>
      <c r="F2267" s="9">
        <f t="shared" si="104"/>
        <v>9.0165385766683051E-2</v>
      </c>
      <c r="G2267" s="9">
        <f t="shared" si="105"/>
        <v>9.5112026559866763E-3</v>
      </c>
    </row>
    <row r="2268" spans="1:7" x14ac:dyDescent="0.2">
      <c r="A2268" s="12">
        <v>40192</v>
      </c>
      <c r="B2268" s="9">
        <v>362.86</v>
      </c>
      <c r="C2268" s="9">
        <v>356.97</v>
      </c>
      <c r="D2268" s="9">
        <v>361.79</v>
      </c>
      <c r="E2268" s="9">
        <f t="shared" si="106"/>
        <v>1.4645545212871421E-2</v>
      </c>
      <c r="F2268" s="9">
        <f t="shared" si="104"/>
        <v>0.10024785937819314</v>
      </c>
      <c r="G2268" s="9">
        <f t="shared" si="105"/>
        <v>9.7434365608231911E-3</v>
      </c>
    </row>
    <row r="2269" spans="1:7" x14ac:dyDescent="0.2">
      <c r="A2269" s="12">
        <v>40193</v>
      </c>
      <c r="B2269" s="9">
        <v>363.84</v>
      </c>
      <c r="C2269" s="9">
        <v>358.43</v>
      </c>
      <c r="D2269" s="9">
        <v>359.27</v>
      </c>
      <c r="E2269" s="9">
        <f t="shared" si="106"/>
        <v>-6.9897380518782982E-3</v>
      </c>
      <c r="F2269" s="9">
        <f t="shared" si="104"/>
        <v>9.3502590218865922E-2</v>
      </c>
      <c r="G2269" s="9">
        <f t="shared" si="105"/>
        <v>9.905522832840262E-3</v>
      </c>
    </row>
    <row r="2270" spans="1:7" x14ac:dyDescent="0.2">
      <c r="A2270" s="12">
        <v>40196</v>
      </c>
      <c r="B2270" s="9">
        <v>362.12</v>
      </c>
      <c r="C2270" s="9">
        <v>359.25</v>
      </c>
      <c r="D2270" s="9">
        <v>359.95</v>
      </c>
      <c r="E2270" s="9">
        <f t="shared" si="106"/>
        <v>1.8909379678539967E-3</v>
      </c>
      <c r="F2270" s="9">
        <f t="shared" si="104"/>
        <v>7.8513572262263062E-2</v>
      </c>
      <c r="G2270" s="9">
        <f t="shared" si="105"/>
        <v>9.5593426789619077E-3</v>
      </c>
    </row>
    <row r="2271" spans="1:7" x14ac:dyDescent="0.2">
      <c r="A2271" s="12">
        <v>40197</v>
      </c>
      <c r="B2271" s="9">
        <v>360.8</v>
      </c>
      <c r="C2271" s="9">
        <v>355.11</v>
      </c>
      <c r="D2271" s="9">
        <v>360.47</v>
      </c>
      <c r="E2271" s="9">
        <f t="shared" si="106"/>
        <v>1.4436025937820441E-3</v>
      </c>
      <c r="F2271" s="9">
        <f t="shared" si="104"/>
        <v>6.7029113269078663E-2</v>
      </c>
      <c r="G2271" s="9">
        <f t="shared" si="105"/>
        <v>9.3600676390214813E-3</v>
      </c>
    </row>
    <row r="2272" spans="1:7" x14ac:dyDescent="0.2">
      <c r="A2272" s="12">
        <v>40198</v>
      </c>
      <c r="B2272" s="9">
        <v>361.03</v>
      </c>
      <c r="C2272" s="9">
        <v>356</v>
      </c>
      <c r="D2272" s="9">
        <v>356.31</v>
      </c>
      <c r="E2272" s="9">
        <f t="shared" si="106"/>
        <v>-1.1607597054835231E-2</v>
      </c>
      <c r="F2272" s="9">
        <f t="shared" si="104"/>
        <v>6.1999018759508182E-2</v>
      </c>
      <c r="G2272" s="9">
        <f t="shared" si="105"/>
        <v>9.5661436271134836E-3</v>
      </c>
    </row>
    <row r="2273" spans="1:7" x14ac:dyDescent="0.2">
      <c r="A2273" s="12">
        <v>40199</v>
      </c>
      <c r="B2273" s="9">
        <v>357.69</v>
      </c>
      <c r="C2273" s="9">
        <v>349.68</v>
      </c>
      <c r="D2273" s="9">
        <v>349.69</v>
      </c>
      <c r="E2273" s="9">
        <f t="shared" si="106"/>
        <v>-1.8754090733176798E-2</v>
      </c>
      <c r="F2273" s="9">
        <f t="shared" ref="F2273:F2336" si="107">LN(D2273/D2243)</f>
        <v>3.5126045047839179E-2</v>
      </c>
      <c r="G2273" s="9">
        <f t="shared" si="105"/>
        <v>1.0215983050407353E-2</v>
      </c>
    </row>
    <row r="2274" spans="1:7" x14ac:dyDescent="0.2">
      <c r="A2274" s="12">
        <v>40200</v>
      </c>
      <c r="B2274" s="9">
        <v>349.74</v>
      </c>
      <c r="C2274" s="9">
        <v>345</v>
      </c>
      <c r="D2274" s="9">
        <v>346.87</v>
      </c>
      <c r="E2274" s="9">
        <f t="shared" si="106"/>
        <v>-8.0969777386859839E-3</v>
      </c>
      <c r="F2274" s="9">
        <f t="shared" si="107"/>
        <v>3.0173630700130388E-2</v>
      </c>
      <c r="G2274" s="9">
        <f t="shared" si="105"/>
        <v>1.0327525076862519E-2</v>
      </c>
    </row>
    <row r="2275" spans="1:7" x14ac:dyDescent="0.2">
      <c r="A2275" s="12">
        <v>40203</v>
      </c>
      <c r="B2275" s="9">
        <v>352.24</v>
      </c>
      <c r="C2275" s="9">
        <v>344.97</v>
      </c>
      <c r="D2275" s="9">
        <v>349.86</v>
      </c>
      <c r="E2275" s="9">
        <f t="shared" si="106"/>
        <v>8.5830044797238457E-3</v>
      </c>
      <c r="F2275" s="9">
        <f t="shared" si="107"/>
        <v>4.8220098596454875E-2</v>
      </c>
      <c r="G2275" s="9">
        <f t="shared" si="105"/>
        <v>1.0221729076820571E-2</v>
      </c>
    </row>
    <row r="2276" spans="1:7" x14ac:dyDescent="0.2">
      <c r="A2276" s="12">
        <v>40204</v>
      </c>
      <c r="B2276" s="9">
        <v>353.85</v>
      </c>
      <c r="C2276" s="9">
        <v>348.63</v>
      </c>
      <c r="D2276" s="9">
        <v>348.97</v>
      </c>
      <c r="E2276" s="9">
        <f t="shared" si="106"/>
        <v>-2.5471158398419364E-3</v>
      </c>
      <c r="F2276" s="9">
        <f t="shared" si="107"/>
        <v>4.8887598494475562E-2</v>
      </c>
      <c r="G2276" s="9">
        <f t="shared" si="105"/>
        <v>1.0211592488031366E-2</v>
      </c>
    </row>
    <row r="2277" spans="1:7" x14ac:dyDescent="0.2">
      <c r="A2277" s="12">
        <v>40205</v>
      </c>
      <c r="B2277" s="9">
        <v>353.65</v>
      </c>
      <c r="C2277" s="9">
        <v>345.37</v>
      </c>
      <c r="D2277" s="9">
        <v>349.61</v>
      </c>
      <c r="E2277" s="9">
        <f t="shared" si="106"/>
        <v>1.8322888690057257E-3</v>
      </c>
      <c r="F2277" s="9">
        <f t="shared" si="107"/>
        <v>5.2105054256641886E-2</v>
      </c>
      <c r="G2277" s="9">
        <f t="shared" si="105"/>
        <v>1.0195721373068558E-2</v>
      </c>
    </row>
    <row r="2278" spans="1:7" x14ac:dyDescent="0.2">
      <c r="A2278" s="12">
        <v>40206</v>
      </c>
      <c r="B2278" s="9">
        <v>357.02</v>
      </c>
      <c r="C2278" s="9">
        <v>350.36</v>
      </c>
      <c r="D2278" s="9">
        <v>350.95</v>
      </c>
      <c r="E2278" s="9">
        <f t="shared" si="106"/>
        <v>3.8255156851468657E-3</v>
      </c>
      <c r="F2278" s="9">
        <f t="shared" si="107"/>
        <v>5.5508794259941839E-2</v>
      </c>
      <c r="G2278" s="9">
        <f t="shared" si="105"/>
        <v>1.0199520473337408E-2</v>
      </c>
    </row>
    <row r="2279" spans="1:7" x14ac:dyDescent="0.2">
      <c r="A2279" s="12">
        <v>40207</v>
      </c>
      <c r="B2279" s="9">
        <v>354.85</v>
      </c>
      <c r="C2279" s="9">
        <v>348.41</v>
      </c>
      <c r="D2279" s="9">
        <v>354.85</v>
      </c>
      <c r="E2279" s="9">
        <f t="shared" si="106"/>
        <v>1.1051401794561431E-2</v>
      </c>
      <c r="F2279" s="9">
        <f t="shared" si="107"/>
        <v>6.8761412134708794E-2</v>
      </c>
      <c r="G2279" s="9">
        <f t="shared" ref="G2279:G2342" si="108">STDEV(E2250:E2279)</f>
        <v>1.0304447643908842E-2</v>
      </c>
    </row>
    <row r="2280" spans="1:7" x14ac:dyDescent="0.2">
      <c r="A2280" s="12">
        <v>40210</v>
      </c>
      <c r="B2280" s="9">
        <v>358.51</v>
      </c>
      <c r="C2280" s="9">
        <v>351.58</v>
      </c>
      <c r="D2280" s="9">
        <v>358.43</v>
      </c>
      <c r="E2280" s="9">
        <f t="shared" si="106"/>
        <v>1.0038217983828448E-2</v>
      </c>
      <c r="F2280" s="9">
        <f t="shared" si="107"/>
        <v>7.8015079686019839E-2</v>
      </c>
      <c r="G2280" s="9">
        <f t="shared" si="108"/>
        <v>1.0395861027169061E-2</v>
      </c>
    </row>
    <row r="2281" spans="1:7" x14ac:dyDescent="0.2">
      <c r="A2281" s="12">
        <v>40211</v>
      </c>
      <c r="B2281" s="9">
        <v>361.84</v>
      </c>
      <c r="C2281" s="9">
        <v>356.82</v>
      </c>
      <c r="D2281" s="9">
        <v>358.17</v>
      </c>
      <c r="E2281" s="9">
        <f t="shared" si="106"/>
        <v>-7.2564892941364887E-4</v>
      </c>
      <c r="F2281" s="9">
        <f t="shared" si="107"/>
        <v>6.2231294743141131E-2</v>
      </c>
      <c r="G2281" s="9">
        <f t="shared" si="108"/>
        <v>1.0139901144963262E-2</v>
      </c>
    </row>
    <row r="2282" spans="1:7" x14ac:dyDescent="0.2">
      <c r="A2282" s="12">
        <v>40212</v>
      </c>
      <c r="B2282" s="9">
        <v>362.85</v>
      </c>
      <c r="C2282" s="9">
        <v>358.33</v>
      </c>
      <c r="D2282" s="9">
        <v>360.48</v>
      </c>
      <c r="E2282" s="9">
        <f t="shared" si="106"/>
        <v>6.4287426585276086E-3</v>
      </c>
      <c r="F2282" s="9">
        <f t="shared" si="107"/>
        <v>7.5278037409449688E-2</v>
      </c>
      <c r="G2282" s="9">
        <f t="shared" si="108"/>
        <v>1.0033460297491401E-2</v>
      </c>
    </row>
    <row r="2283" spans="1:7" x14ac:dyDescent="0.2">
      <c r="A2283" s="12">
        <v>40213</v>
      </c>
      <c r="B2283" s="9">
        <v>363.84</v>
      </c>
      <c r="C2283" s="9">
        <v>353.97</v>
      </c>
      <c r="D2283" s="9">
        <v>355.92</v>
      </c>
      <c r="E2283" s="9">
        <f t="shared" si="106"/>
        <v>-1.2730490186147947E-2</v>
      </c>
      <c r="F2283" s="9">
        <f t="shared" si="107"/>
        <v>6.2697106770714106E-2</v>
      </c>
      <c r="G2283" s="9">
        <f t="shared" si="108"/>
        <v>1.0404482307148927E-2</v>
      </c>
    </row>
    <row r="2284" spans="1:7" x14ac:dyDescent="0.2">
      <c r="A2284" s="12">
        <v>40214</v>
      </c>
      <c r="B2284" s="9">
        <v>355.54</v>
      </c>
      <c r="C2284" s="9">
        <v>347</v>
      </c>
      <c r="D2284" s="9">
        <v>350.75</v>
      </c>
      <c r="E2284" s="9">
        <f t="shared" si="106"/>
        <v>-1.46322675152161E-2</v>
      </c>
      <c r="F2284" s="9">
        <f t="shared" si="107"/>
        <v>5.6717439430276767E-2</v>
      </c>
      <c r="G2284" s="9">
        <f t="shared" si="108"/>
        <v>1.0671234373485855E-2</v>
      </c>
    </row>
    <row r="2285" spans="1:7" x14ac:dyDescent="0.2">
      <c r="A2285" s="12">
        <v>40217</v>
      </c>
      <c r="B2285" s="9">
        <v>352.46</v>
      </c>
      <c r="C2285" s="9">
        <v>342.71</v>
      </c>
      <c r="D2285" s="9">
        <v>345.43</v>
      </c>
      <c r="E2285" s="9">
        <f t="shared" si="106"/>
        <v>-1.5283701222400451E-2</v>
      </c>
      <c r="F2285" s="9">
        <f t="shared" si="107"/>
        <v>3.2900801778117321E-2</v>
      </c>
      <c r="G2285" s="9">
        <f t="shared" si="108"/>
        <v>1.1039598641452156E-2</v>
      </c>
    </row>
    <row r="2286" spans="1:7" x14ac:dyDescent="0.2">
      <c r="A2286" s="12">
        <v>40218</v>
      </c>
      <c r="B2286" s="9">
        <v>350</v>
      </c>
      <c r="C2286" s="9">
        <v>344.64</v>
      </c>
      <c r="D2286" s="9">
        <v>348.74</v>
      </c>
      <c r="E2286" s="9">
        <f t="shared" si="106"/>
        <v>9.5366411291778093E-3</v>
      </c>
      <c r="F2286" s="9">
        <f t="shared" si="107"/>
        <v>3.9957349603738909E-2</v>
      </c>
      <c r="G2286" s="9">
        <f t="shared" si="108"/>
        <v>1.1144766052125277E-2</v>
      </c>
    </row>
    <row r="2287" spans="1:7" x14ac:dyDescent="0.2">
      <c r="A2287" s="12">
        <v>40219</v>
      </c>
      <c r="B2287" s="9">
        <v>352.67</v>
      </c>
      <c r="C2287" s="9">
        <v>346.01</v>
      </c>
      <c r="D2287" s="9">
        <v>346.31</v>
      </c>
      <c r="E2287" s="9">
        <f t="shared" si="106"/>
        <v>-6.9923312013892942E-3</v>
      </c>
      <c r="F2287" s="9">
        <f t="shared" si="107"/>
        <v>3.4428426013403228E-2</v>
      </c>
      <c r="G2287" s="9">
        <f t="shared" si="108"/>
        <v>1.1237911118822153E-2</v>
      </c>
    </row>
    <row r="2288" spans="1:7" x14ac:dyDescent="0.2">
      <c r="A2288" s="12">
        <v>40220</v>
      </c>
      <c r="B2288" s="9">
        <v>351.58</v>
      </c>
      <c r="C2288" s="9">
        <v>347.13</v>
      </c>
      <c r="D2288" s="9">
        <v>348.53</v>
      </c>
      <c r="E2288" s="9">
        <f t="shared" si="106"/>
        <v>6.389982021446217E-3</v>
      </c>
      <c r="F2288" s="9">
        <f t="shared" si="107"/>
        <v>3.5750426760622574E-2</v>
      </c>
      <c r="G2288" s="9">
        <f t="shared" si="108"/>
        <v>1.1256390720156804E-2</v>
      </c>
    </row>
    <row r="2289" spans="1:7" x14ac:dyDescent="0.2">
      <c r="A2289" s="12">
        <v>40221</v>
      </c>
      <c r="B2289" s="9">
        <v>352.94</v>
      </c>
      <c r="C2289" s="9">
        <v>347.05</v>
      </c>
      <c r="D2289" s="9">
        <v>349.74</v>
      </c>
      <c r="E2289" s="9">
        <f t="shared" si="106"/>
        <v>3.4657115761089611E-3</v>
      </c>
      <c r="F2289" s="9">
        <f t="shared" si="107"/>
        <v>3.8027395589239323E-2</v>
      </c>
      <c r="G2289" s="9">
        <f t="shared" si="108"/>
        <v>1.1264044132963905E-2</v>
      </c>
    </row>
    <row r="2290" spans="1:7" x14ac:dyDescent="0.2">
      <c r="A2290" s="12">
        <v>40224</v>
      </c>
      <c r="B2290" s="9">
        <v>351.78</v>
      </c>
      <c r="C2290" s="9">
        <v>349.97</v>
      </c>
      <c r="D2290" s="9">
        <v>350.64</v>
      </c>
      <c r="E2290" s="9">
        <f t="shared" si="106"/>
        <v>2.5700348250403378E-3</v>
      </c>
      <c r="F2290" s="9">
        <f t="shared" si="107"/>
        <v>7.9887037409031806E-3</v>
      </c>
      <c r="G2290" s="9">
        <f t="shared" si="108"/>
        <v>9.5931611560079229E-3</v>
      </c>
    </row>
    <row r="2291" spans="1:7" x14ac:dyDescent="0.2">
      <c r="A2291" s="12">
        <v>40225</v>
      </c>
      <c r="B2291" s="9">
        <v>354.54</v>
      </c>
      <c r="C2291" s="9">
        <v>352.04</v>
      </c>
      <c r="D2291" s="9">
        <v>354.54</v>
      </c>
      <c r="E2291" s="9">
        <f t="shared" si="106"/>
        <v>1.1061118475084524E-2</v>
      </c>
      <c r="F2291" s="9">
        <f t="shared" si="107"/>
        <v>2.6871042766205396E-2</v>
      </c>
      <c r="G2291" s="9">
        <f t="shared" si="108"/>
        <v>9.6634205777600922E-3</v>
      </c>
    </row>
    <row r="2292" spans="1:7" x14ac:dyDescent="0.2">
      <c r="A2292" s="12">
        <v>40226</v>
      </c>
      <c r="B2292" s="9">
        <v>357.91</v>
      </c>
      <c r="C2292" s="9">
        <v>356.59</v>
      </c>
      <c r="D2292" s="9">
        <v>357.57</v>
      </c>
      <c r="E2292" s="9">
        <f t="shared" si="106"/>
        <v>8.5099725770886401E-3</v>
      </c>
      <c r="F2292" s="9">
        <f t="shared" si="107"/>
        <v>3.1823579305714833E-2</v>
      </c>
      <c r="G2292" s="9">
        <f t="shared" si="108"/>
        <v>9.7523541408525427E-3</v>
      </c>
    </row>
    <row r="2293" spans="1:7" x14ac:dyDescent="0.2">
      <c r="A2293" s="12">
        <v>40227</v>
      </c>
      <c r="B2293" s="9">
        <v>358.6</v>
      </c>
      <c r="C2293" s="9">
        <v>356.07</v>
      </c>
      <c r="D2293" s="9">
        <v>358.6</v>
      </c>
      <c r="E2293" s="9">
        <f t="shared" si="106"/>
        <v>2.8764140083057271E-3</v>
      </c>
      <c r="F2293" s="9">
        <f t="shared" si="107"/>
        <v>2.0623934917570721E-2</v>
      </c>
      <c r="G2293" s="9">
        <f t="shared" si="108"/>
        <v>9.4465137677197664E-3</v>
      </c>
    </row>
    <row r="2294" spans="1:7" x14ac:dyDescent="0.2">
      <c r="A2294" s="12">
        <v>40228</v>
      </c>
      <c r="B2294" s="9">
        <v>358.93</v>
      </c>
      <c r="C2294" s="9">
        <v>355.27</v>
      </c>
      <c r="D2294" s="9">
        <v>358.76</v>
      </c>
      <c r="E2294" s="9">
        <f t="shared" si="106"/>
        <v>4.4608007876983631E-4</v>
      </c>
      <c r="F2294" s="9">
        <f t="shared" si="107"/>
        <v>1.5534238414656343E-2</v>
      </c>
      <c r="G2294" s="9">
        <f t="shared" si="108"/>
        <v>9.4020369850286774E-3</v>
      </c>
    </row>
    <row r="2295" spans="1:7" x14ac:dyDescent="0.2">
      <c r="A2295" s="12">
        <v>40231</v>
      </c>
      <c r="B2295" s="9">
        <v>362.22</v>
      </c>
      <c r="C2295" s="9">
        <v>359.71</v>
      </c>
      <c r="D2295" s="9">
        <v>360.99</v>
      </c>
      <c r="E2295" s="9">
        <f t="shared" si="106"/>
        <v>6.1966158683786797E-3</v>
      </c>
      <c r="F2295" s="9">
        <f t="shared" si="107"/>
        <v>4.0248204999107457E-3</v>
      </c>
      <c r="G2295" s="9">
        <f t="shared" si="108"/>
        <v>8.8977891091459316E-3</v>
      </c>
    </row>
    <row r="2296" spans="1:7" x14ac:dyDescent="0.2">
      <c r="A2296" s="12">
        <v>40232</v>
      </c>
      <c r="B2296" s="9">
        <v>363.23</v>
      </c>
      <c r="C2296" s="9">
        <v>356.35</v>
      </c>
      <c r="D2296" s="9">
        <v>357.44</v>
      </c>
      <c r="E2296" s="9">
        <f t="shared" si="106"/>
        <v>-9.8827412373450191E-3</v>
      </c>
      <c r="F2296" s="9">
        <f t="shared" si="107"/>
        <v>1.9883227632386024E-3</v>
      </c>
      <c r="G2296" s="9">
        <f t="shared" si="108"/>
        <v>8.9682622561194532E-3</v>
      </c>
    </row>
    <row r="2297" spans="1:7" x14ac:dyDescent="0.2">
      <c r="A2297" s="12">
        <v>40233</v>
      </c>
      <c r="B2297" s="9">
        <v>358.88</v>
      </c>
      <c r="C2297" s="9">
        <v>355.25</v>
      </c>
      <c r="D2297" s="9">
        <v>358.05</v>
      </c>
      <c r="E2297" s="9">
        <f t="shared" si="106"/>
        <v>1.7051255721129395E-3</v>
      </c>
      <c r="F2297" s="9">
        <f t="shared" si="107"/>
        <v>4.2542536664840723E-3</v>
      </c>
      <c r="G2297" s="9">
        <f t="shared" si="108"/>
        <v>8.9723397773197409E-3</v>
      </c>
    </row>
    <row r="2298" spans="1:7" x14ac:dyDescent="0.2">
      <c r="A2298" s="12">
        <v>40234</v>
      </c>
      <c r="B2298" s="9">
        <v>357.83</v>
      </c>
      <c r="C2298" s="9">
        <v>352.94</v>
      </c>
      <c r="D2298" s="9">
        <v>353.95</v>
      </c>
      <c r="E2298" s="9">
        <f t="shared" si="106"/>
        <v>-1.1516981232750627E-2</v>
      </c>
      <c r="F2298" s="9">
        <f t="shared" si="107"/>
        <v>-2.1908272779137927E-2</v>
      </c>
      <c r="G2298" s="9">
        <f t="shared" si="108"/>
        <v>8.783481012176993E-3</v>
      </c>
    </row>
    <row r="2299" spans="1:7" x14ac:dyDescent="0.2">
      <c r="A2299" s="12">
        <v>40235</v>
      </c>
      <c r="B2299" s="9">
        <v>356</v>
      </c>
      <c r="C2299" s="9">
        <v>353.02</v>
      </c>
      <c r="D2299" s="9">
        <v>354.77</v>
      </c>
      <c r="E2299" s="9">
        <f t="shared" si="106"/>
        <v>2.314031961585528E-3</v>
      </c>
      <c r="F2299" s="9">
        <f t="shared" si="107"/>
        <v>-1.2604502765674156E-2</v>
      </c>
      <c r="G2299" s="9">
        <f t="shared" si="108"/>
        <v>8.7188622823760366E-3</v>
      </c>
    </row>
    <row r="2300" spans="1:7" x14ac:dyDescent="0.2">
      <c r="A2300" s="12">
        <v>40238</v>
      </c>
      <c r="B2300" s="9">
        <v>361.88</v>
      </c>
      <c r="C2300" s="9">
        <v>357.27</v>
      </c>
      <c r="D2300" s="9">
        <v>361.86</v>
      </c>
      <c r="E2300" s="9">
        <f t="shared" si="106"/>
        <v>1.9787704509166698E-2</v>
      </c>
      <c r="F2300" s="9">
        <f t="shared" si="107"/>
        <v>5.2922637756384954E-3</v>
      </c>
      <c r="G2300" s="9">
        <f t="shared" si="108"/>
        <v>9.462955013344005E-3</v>
      </c>
    </row>
    <row r="2301" spans="1:7" x14ac:dyDescent="0.2">
      <c r="A2301" s="12">
        <v>40239</v>
      </c>
      <c r="B2301" s="9">
        <v>365.02</v>
      </c>
      <c r="C2301" s="9">
        <v>361.3</v>
      </c>
      <c r="D2301" s="9">
        <v>364.37</v>
      </c>
      <c r="E2301" s="9">
        <f t="shared" si="106"/>
        <v>6.912438192727367E-3</v>
      </c>
      <c r="F2301" s="9">
        <f t="shared" si="107"/>
        <v>1.0761099374583992E-2</v>
      </c>
      <c r="G2301" s="9">
        <f t="shared" si="108"/>
        <v>9.5405656290476776E-3</v>
      </c>
    </row>
    <row r="2302" spans="1:7" x14ac:dyDescent="0.2">
      <c r="A2302" s="12">
        <v>40240</v>
      </c>
      <c r="B2302" s="9">
        <v>368.74</v>
      </c>
      <c r="C2302" s="9">
        <v>364.13</v>
      </c>
      <c r="D2302" s="9">
        <v>368.12</v>
      </c>
      <c r="E2302" s="9">
        <f t="shared" si="106"/>
        <v>1.0239137086978321E-2</v>
      </c>
      <c r="F2302" s="9">
        <f t="shared" si="107"/>
        <v>3.2607833516397601E-2</v>
      </c>
      <c r="G2302" s="9">
        <f t="shared" si="108"/>
        <v>9.4288089053084223E-3</v>
      </c>
    </row>
    <row r="2303" spans="1:7" x14ac:dyDescent="0.2">
      <c r="A2303" s="12">
        <v>40241</v>
      </c>
      <c r="B2303" s="9">
        <v>365.74</v>
      </c>
      <c r="C2303" s="9">
        <v>362.86</v>
      </c>
      <c r="D2303" s="9">
        <v>364.62</v>
      </c>
      <c r="E2303" s="9">
        <f t="shared" si="106"/>
        <v>-9.553256595337338E-3</v>
      </c>
      <c r="F2303" s="9">
        <f t="shared" si="107"/>
        <v>4.1808667654237033E-2</v>
      </c>
      <c r="G2303" s="9">
        <f t="shared" si="108"/>
        <v>8.8957493659658285E-3</v>
      </c>
    </row>
    <row r="2304" spans="1:7" x14ac:dyDescent="0.2">
      <c r="A2304" s="12">
        <v>40242</v>
      </c>
      <c r="B2304" s="9">
        <v>371.1</v>
      </c>
      <c r="C2304" s="9">
        <v>365.53</v>
      </c>
      <c r="D2304" s="9">
        <v>371.1</v>
      </c>
      <c r="E2304" s="9">
        <f t="shared" si="106"/>
        <v>1.7615852691233093E-2</v>
      </c>
      <c r="F2304" s="9">
        <f t="shared" si="107"/>
        <v>6.7521498084156126E-2</v>
      </c>
      <c r="G2304" s="9">
        <f t="shared" si="108"/>
        <v>9.1838450687086251E-3</v>
      </c>
    </row>
    <row r="2305" spans="1:7" x14ac:dyDescent="0.2">
      <c r="A2305" s="12">
        <v>40245</v>
      </c>
      <c r="B2305" s="9">
        <v>372.31</v>
      </c>
      <c r="C2305" s="9">
        <v>369.95</v>
      </c>
      <c r="D2305" s="9">
        <v>371.38</v>
      </c>
      <c r="E2305" s="9">
        <f t="shared" si="106"/>
        <v>7.5422910589766524E-4</v>
      </c>
      <c r="F2305" s="9">
        <f t="shared" si="107"/>
        <v>5.9692722710329806E-2</v>
      </c>
      <c r="G2305" s="9">
        <f t="shared" si="108"/>
        <v>9.1086277997034226E-3</v>
      </c>
    </row>
    <row r="2306" spans="1:7" x14ac:dyDescent="0.2">
      <c r="A2306" s="12">
        <v>40246</v>
      </c>
      <c r="B2306" s="9">
        <v>371.9</v>
      </c>
      <c r="C2306" s="9">
        <v>366.61</v>
      </c>
      <c r="D2306" s="9">
        <v>369.55</v>
      </c>
      <c r="E2306" s="9">
        <f t="shared" si="106"/>
        <v>-4.9397479415537642E-3</v>
      </c>
      <c r="F2306" s="9">
        <f t="shared" si="107"/>
        <v>5.7300090608618091E-2</v>
      </c>
      <c r="G2306" s="9">
        <f t="shared" si="108"/>
        <v>9.1600517881085686E-3</v>
      </c>
    </row>
    <row r="2307" spans="1:7" x14ac:dyDescent="0.2">
      <c r="A2307" s="12">
        <v>40247</v>
      </c>
      <c r="B2307" s="9">
        <v>374.21</v>
      </c>
      <c r="C2307" s="9">
        <v>367.78</v>
      </c>
      <c r="D2307" s="9">
        <v>374.02</v>
      </c>
      <c r="E2307" s="9">
        <f t="shared" si="106"/>
        <v>1.2023222689678006E-2</v>
      </c>
      <c r="F2307" s="9">
        <f t="shared" si="107"/>
        <v>6.7491024429290225E-2</v>
      </c>
      <c r="G2307" s="9">
        <f t="shared" si="108"/>
        <v>9.3441836028663773E-3</v>
      </c>
    </row>
    <row r="2308" spans="1:7" x14ac:dyDescent="0.2">
      <c r="A2308" s="12">
        <v>40248</v>
      </c>
      <c r="B2308" s="9">
        <v>374.87</v>
      </c>
      <c r="C2308" s="9">
        <v>371.58</v>
      </c>
      <c r="D2308" s="9">
        <v>372.06</v>
      </c>
      <c r="E2308" s="9">
        <f t="shared" ref="E2308:E2371" si="109">LN(D2308/D2307)</f>
        <v>-5.2541403307322923E-3</v>
      </c>
      <c r="F2308" s="9">
        <f t="shared" si="107"/>
        <v>5.8411368413411172E-2</v>
      </c>
      <c r="G2308" s="9">
        <f t="shared" si="108"/>
        <v>9.4379565351625002E-3</v>
      </c>
    </row>
    <row r="2309" spans="1:7" x14ac:dyDescent="0.2">
      <c r="A2309" s="12">
        <v>40249</v>
      </c>
      <c r="B2309" s="9">
        <v>374.81</v>
      </c>
      <c r="C2309" s="9">
        <v>371.87</v>
      </c>
      <c r="D2309" s="9">
        <v>372.34</v>
      </c>
      <c r="E2309" s="9">
        <f t="shared" si="109"/>
        <v>7.5228375390924728E-4</v>
      </c>
      <c r="F2309" s="9">
        <f t="shared" si="107"/>
        <v>4.8112250372758861E-2</v>
      </c>
      <c r="G2309" s="9">
        <f t="shared" si="108"/>
        <v>9.2813831273015519E-3</v>
      </c>
    </row>
    <row r="2310" spans="1:7" x14ac:dyDescent="0.2">
      <c r="A2310" s="12">
        <v>40252</v>
      </c>
      <c r="B2310" s="9">
        <v>372.8</v>
      </c>
      <c r="C2310" s="9">
        <v>369.46</v>
      </c>
      <c r="D2310" s="9">
        <v>371.01</v>
      </c>
      <c r="E2310" s="9">
        <f t="shared" si="109"/>
        <v>-3.5783989216754521E-3</v>
      </c>
      <c r="F2310" s="9">
        <f t="shared" si="107"/>
        <v>3.4495633467255059E-2</v>
      </c>
      <c r="G2310" s="9">
        <f t="shared" si="108"/>
        <v>9.1871572505735771E-3</v>
      </c>
    </row>
    <row r="2311" spans="1:7" x14ac:dyDescent="0.2">
      <c r="A2311" s="12">
        <v>40253</v>
      </c>
      <c r="B2311" s="9">
        <v>377.22</v>
      </c>
      <c r="C2311" s="9">
        <v>372.41</v>
      </c>
      <c r="D2311" s="9">
        <v>377.02</v>
      </c>
      <c r="E2311" s="9">
        <f t="shared" si="109"/>
        <v>1.6069220016690661E-2</v>
      </c>
      <c r="F2311" s="9">
        <f t="shared" si="107"/>
        <v>5.1290502413359362E-2</v>
      </c>
      <c r="G2311" s="9">
        <f t="shared" si="108"/>
        <v>9.5725534264807666E-3</v>
      </c>
    </row>
    <row r="2312" spans="1:7" x14ac:dyDescent="0.2">
      <c r="A2312" s="12">
        <v>40254</v>
      </c>
      <c r="B2312" s="9">
        <v>381.28</v>
      </c>
      <c r="C2312" s="9">
        <v>377.85</v>
      </c>
      <c r="D2312" s="9">
        <v>378.35</v>
      </c>
      <c r="E2312" s="9">
        <f t="shared" si="109"/>
        <v>3.5214567017644656E-3</v>
      </c>
      <c r="F2312" s="9">
        <f t="shared" si="107"/>
        <v>4.8383216456596351E-2</v>
      </c>
      <c r="G2312" s="9">
        <f t="shared" si="108"/>
        <v>9.5377848446685683E-3</v>
      </c>
    </row>
    <row r="2313" spans="1:7" x14ac:dyDescent="0.2">
      <c r="A2313" s="12">
        <v>40255</v>
      </c>
      <c r="B2313" s="9">
        <v>379.67</v>
      </c>
      <c r="C2313" s="9">
        <v>377.2</v>
      </c>
      <c r="D2313" s="9">
        <v>377.87</v>
      </c>
      <c r="E2313" s="9">
        <f t="shared" si="109"/>
        <v>-1.269472017302828E-3</v>
      </c>
      <c r="F2313" s="9">
        <f t="shared" si="107"/>
        <v>5.9844234625441466E-2</v>
      </c>
      <c r="G2313" s="9">
        <f t="shared" si="108"/>
        <v>9.1657354276016428E-3</v>
      </c>
    </row>
    <row r="2314" spans="1:7" x14ac:dyDescent="0.2">
      <c r="A2314" s="12">
        <v>40256</v>
      </c>
      <c r="B2314" s="9">
        <v>381.75</v>
      </c>
      <c r="C2314" s="9">
        <v>378.88</v>
      </c>
      <c r="D2314" s="9">
        <v>379.68</v>
      </c>
      <c r="E2314" s="9">
        <f t="shared" si="109"/>
        <v>4.7785715642257656E-3</v>
      </c>
      <c r="F2314" s="9">
        <f t="shared" si="107"/>
        <v>7.925507370488323E-2</v>
      </c>
      <c r="G2314" s="9">
        <f t="shared" si="108"/>
        <v>8.6204264685496891E-3</v>
      </c>
    </row>
    <row r="2315" spans="1:7" x14ac:dyDescent="0.2">
      <c r="A2315" s="12">
        <v>40259</v>
      </c>
      <c r="B2315" s="9">
        <v>378.69</v>
      </c>
      <c r="C2315" s="9">
        <v>374.8</v>
      </c>
      <c r="D2315" s="9">
        <v>378.16</v>
      </c>
      <c r="E2315" s="9">
        <f t="shared" si="109"/>
        <v>-4.0114062024724662E-3</v>
      </c>
      <c r="F2315" s="9">
        <f t="shared" si="107"/>
        <v>9.0527368724811028E-2</v>
      </c>
      <c r="G2315" s="9">
        <f t="shared" si="108"/>
        <v>8.0381548888140784E-3</v>
      </c>
    </row>
    <row r="2316" spans="1:7" x14ac:dyDescent="0.2">
      <c r="A2316" s="12">
        <v>40260</v>
      </c>
      <c r="B2316" s="9">
        <v>383.79</v>
      </c>
      <c r="C2316" s="9">
        <v>378.96</v>
      </c>
      <c r="D2316" s="9">
        <v>383.79</v>
      </c>
      <c r="E2316" s="9">
        <f t="shared" si="109"/>
        <v>1.4778141512072454E-2</v>
      </c>
      <c r="F2316" s="9">
        <f t="shared" si="107"/>
        <v>9.576886910770574E-2</v>
      </c>
      <c r="G2316" s="9">
        <f t="shared" si="108"/>
        <v>8.2391892992139167E-3</v>
      </c>
    </row>
    <row r="2317" spans="1:7" x14ac:dyDescent="0.2">
      <c r="A2317" s="12">
        <v>40261</v>
      </c>
      <c r="B2317" s="9">
        <v>387.29</v>
      </c>
      <c r="C2317" s="9">
        <v>384.13</v>
      </c>
      <c r="D2317" s="9">
        <v>386.71</v>
      </c>
      <c r="E2317" s="9">
        <f t="shared" si="109"/>
        <v>7.579530121507104E-3</v>
      </c>
      <c r="F2317" s="9">
        <f t="shared" si="107"/>
        <v>0.11034073043060208</v>
      </c>
      <c r="G2317" s="9">
        <f t="shared" si="108"/>
        <v>8.0453160502703611E-3</v>
      </c>
    </row>
    <row r="2318" spans="1:7" x14ac:dyDescent="0.2">
      <c r="A2318" s="12">
        <v>40262</v>
      </c>
      <c r="B2318" s="9">
        <v>390.3</v>
      </c>
      <c r="C2318" s="9">
        <v>385.34</v>
      </c>
      <c r="D2318" s="9">
        <v>388.48</v>
      </c>
      <c r="E2318" s="9">
        <f t="shared" si="109"/>
        <v>4.5666303125182746E-3</v>
      </c>
      <c r="F2318" s="9">
        <f t="shared" si="107"/>
        <v>0.10851737872167418</v>
      </c>
      <c r="G2318" s="9">
        <f t="shared" si="108"/>
        <v>8.0309966012471496E-3</v>
      </c>
    </row>
    <row r="2319" spans="1:7" x14ac:dyDescent="0.2">
      <c r="A2319" s="12">
        <v>40263</v>
      </c>
      <c r="B2319" s="9">
        <v>388.21</v>
      </c>
      <c r="C2319" s="9">
        <v>383.96</v>
      </c>
      <c r="D2319" s="9">
        <v>384.57</v>
      </c>
      <c r="E2319" s="9">
        <f t="shared" si="109"/>
        <v>-1.0115861438925854E-2</v>
      </c>
      <c r="F2319" s="9">
        <f t="shared" si="107"/>
        <v>9.4935805706639523E-2</v>
      </c>
      <c r="G2319" s="9">
        <f t="shared" si="108"/>
        <v>8.4135295894814336E-3</v>
      </c>
    </row>
    <row r="2320" spans="1:7" x14ac:dyDescent="0.2">
      <c r="A2320" s="12">
        <v>40266</v>
      </c>
      <c r="B2320" s="9">
        <v>386.31</v>
      </c>
      <c r="C2320" s="9">
        <v>381.64</v>
      </c>
      <c r="D2320" s="9">
        <v>382.89</v>
      </c>
      <c r="E2320" s="9">
        <f t="shared" si="109"/>
        <v>-4.3780853294438761E-3</v>
      </c>
      <c r="F2320" s="9">
        <f t="shared" si="107"/>
        <v>8.7987685552155359E-2</v>
      </c>
      <c r="G2320" s="9">
        <f t="shared" si="108"/>
        <v>8.5253481874505849E-3</v>
      </c>
    </row>
    <row r="2321" spans="1:7" x14ac:dyDescent="0.2">
      <c r="A2321" s="12">
        <v>40267</v>
      </c>
      <c r="B2321" s="9">
        <v>385.02</v>
      </c>
      <c r="C2321" s="9">
        <v>381.13</v>
      </c>
      <c r="D2321" s="9">
        <v>383.23</v>
      </c>
      <c r="E2321" s="9">
        <f t="shared" si="109"/>
        <v>8.8758946985182708E-4</v>
      </c>
      <c r="F2321" s="9">
        <f t="shared" si="107"/>
        <v>7.7814156546922544E-2</v>
      </c>
      <c r="G2321" s="9">
        <f t="shared" si="108"/>
        <v>8.3921784013279484E-3</v>
      </c>
    </row>
    <row r="2322" spans="1:7" x14ac:dyDescent="0.2">
      <c r="A2322" s="12">
        <v>40268</v>
      </c>
      <c r="B2322" s="9">
        <v>384.26</v>
      </c>
      <c r="C2322" s="9">
        <v>381.42</v>
      </c>
      <c r="D2322" s="9">
        <v>383.04</v>
      </c>
      <c r="E2322" s="9">
        <f t="shared" si="109"/>
        <v>-4.9590876295256721E-4</v>
      </c>
      <c r="F2322" s="9">
        <f t="shared" si="107"/>
        <v>6.8808275206881389E-2</v>
      </c>
      <c r="G2322" s="9">
        <f t="shared" si="108"/>
        <v>8.3341277134571443E-3</v>
      </c>
    </row>
    <row r="2323" spans="1:7" x14ac:dyDescent="0.2">
      <c r="A2323" s="12">
        <v>40274</v>
      </c>
      <c r="B2323" s="9">
        <v>392.65</v>
      </c>
      <c r="C2323" s="9">
        <v>388.69</v>
      </c>
      <c r="D2323" s="9">
        <v>391.65</v>
      </c>
      <c r="E2323" s="9">
        <f t="shared" si="109"/>
        <v>2.2229161443639192E-2</v>
      </c>
      <c r="F2323" s="9">
        <f t="shared" si="107"/>
        <v>8.8161022642214856E-2</v>
      </c>
      <c r="G2323" s="9">
        <f t="shared" si="108"/>
        <v>9.0950443990055335E-3</v>
      </c>
    </row>
    <row r="2324" spans="1:7" x14ac:dyDescent="0.2">
      <c r="A2324" s="12">
        <v>40275</v>
      </c>
      <c r="B2324" s="9">
        <v>397.68</v>
      </c>
      <c r="C2324" s="9">
        <v>391.4</v>
      </c>
      <c r="D2324" s="9">
        <v>397.24</v>
      </c>
      <c r="E2324" s="9">
        <f t="shared" si="109"/>
        <v>1.4172048221910444E-2</v>
      </c>
      <c r="F2324" s="9">
        <f t="shared" si="107"/>
        <v>0.10188699078535544</v>
      </c>
      <c r="G2324" s="9">
        <f t="shared" si="108"/>
        <v>9.3080795642878061E-3</v>
      </c>
    </row>
    <row r="2325" spans="1:7" x14ac:dyDescent="0.2">
      <c r="A2325" s="12">
        <v>40276</v>
      </c>
      <c r="B2325" s="9">
        <v>395</v>
      </c>
      <c r="C2325" s="9">
        <v>391.97</v>
      </c>
      <c r="D2325" s="9">
        <v>392.32</v>
      </c>
      <c r="E2325" s="9">
        <f t="shared" si="109"/>
        <v>-1.2462798727365935E-2</v>
      </c>
      <c r="F2325" s="9">
        <f t="shared" si="107"/>
        <v>8.3227576189611047E-2</v>
      </c>
      <c r="G2325" s="9">
        <f t="shared" si="108"/>
        <v>9.7284349707208173E-3</v>
      </c>
    </row>
    <row r="2326" spans="1:7" x14ac:dyDescent="0.2">
      <c r="A2326" s="12">
        <v>40277</v>
      </c>
      <c r="B2326" s="9">
        <v>395.99</v>
      </c>
      <c r="C2326" s="9">
        <v>393.47</v>
      </c>
      <c r="D2326" s="9">
        <v>393.99</v>
      </c>
      <c r="E2326" s="9">
        <f t="shared" si="109"/>
        <v>4.2476949573863792E-3</v>
      </c>
      <c r="F2326" s="9">
        <f t="shared" si="107"/>
        <v>9.7358012384342274E-2</v>
      </c>
      <c r="G2326" s="9">
        <f t="shared" si="108"/>
        <v>9.4320562401301756E-3</v>
      </c>
    </row>
    <row r="2327" spans="1:7" x14ac:dyDescent="0.2">
      <c r="A2327" s="12">
        <v>40280</v>
      </c>
      <c r="B2327" s="9">
        <v>397.95</v>
      </c>
      <c r="C2327" s="9">
        <v>395.1</v>
      </c>
      <c r="D2327" s="9">
        <v>397.76</v>
      </c>
      <c r="E2327" s="9">
        <f t="shared" si="109"/>
        <v>9.5232800571679443E-3</v>
      </c>
      <c r="F2327" s="9">
        <f t="shared" si="107"/>
        <v>0.10517616686939747</v>
      </c>
      <c r="G2327" s="9">
        <f t="shared" si="108"/>
        <v>9.4958263470005539E-3</v>
      </c>
    </row>
    <row r="2328" spans="1:7" x14ac:dyDescent="0.2">
      <c r="A2328" s="12">
        <v>40281</v>
      </c>
      <c r="B2328" s="9">
        <v>397.75</v>
      </c>
      <c r="C2328" s="9">
        <v>394.38</v>
      </c>
      <c r="D2328" s="9">
        <v>395.38</v>
      </c>
      <c r="E2328" s="9">
        <f t="shared" si="109"/>
        <v>-6.0014805545549419E-3</v>
      </c>
      <c r="F2328" s="9">
        <f t="shared" si="107"/>
        <v>0.11069166754759305</v>
      </c>
      <c r="G2328" s="9">
        <f t="shared" si="108"/>
        <v>9.2450180959761964E-3</v>
      </c>
    </row>
    <row r="2329" spans="1:7" x14ac:dyDescent="0.2">
      <c r="A2329" s="12">
        <v>40282</v>
      </c>
      <c r="B2329" s="9">
        <v>401.37</v>
      </c>
      <c r="C2329" s="9">
        <v>397.15</v>
      </c>
      <c r="D2329" s="9">
        <v>400.53</v>
      </c>
      <c r="E2329" s="9">
        <f t="shared" si="109"/>
        <v>1.2941342302321935E-2</v>
      </c>
      <c r="F2329" s="9">
        <f t="shared" si="107"/>
        <v>0.12131897788832953</v>
      </c>
      <c r="G2329" s="9">
        <f t="shared" si="108"/>
        <v>9.3929095057984531E-3</v>
      </c>
    </row>
    <row r="2330" spans="1:7" x14ac:dyDescent="0.2">
      <c r="A2330" s="12">
        <v>40283</v>
      </c>
      <c r="B2330" s="9">
        <v>405.24</v>
      </c>
      <c r="C2330" s="9">
        <v>401.45</v>
      </c>
      <c r="D2330" s="9">
        <v>405.22</v>
      </c>
      <c r="E2330" s="9">
        <f t="shared" si="109"/>
        <v>1.1641459427892001E-2</v>
      </c>
      <c r="F2330" s="9">
        <f t="shared" si="107"/>
        <v>0.11317273280705478</v>
      </c>
      <c r="G2330" s="9">
        <f t="shared" si="108"/>
        <v>9.0329288027360833E-3</v>
      </c>
    </row>
    <row r="2331" spans="1:7" x14ac:dyDescent="0.2">
      <c r="A2331" s="12">
        <v>40284</v>
      </c>
      <c r="B2331" s="9">
        <v>406.83</v>
      </c>
      <c r="C2331" s="9">
        <v>402.1</v>
      </c>
      <c r="D2331" s="9">
        <v>402.68</v>
      </c>
      <c r="E2331" s="9">
        <f t="shared" si="109"/>
        <v>-6.2879276367826479E-3</v>
      </c>
      <c r="F2331" s="9">
        <f t="shared" si="107"/>
        <v>9.9972366977544636E-2</v>
      </c>
      <c r="G2331" s="9">
        <f t="shared" si="108"/>
        <v>9.1947566676939194E-3</v>
      </c>
    </row>
    <row r="2332" spans="1:7" x14ac:dyDescent="0.2">
      <c r="A2332" s="12">
        <v>40287</v>
      </c>
      <c r="B2332" s="9">
        <v>401.34</v>
      </c>
      <c r="C2332" s="9">
        <v>396.97</v>
      </c>
      <c r="D2332" s="9">
        <v>399.28</v>
      </c>
      <c r="E2332" s="9">
        <f t="shared" si="109"/>
        <v>-8.479276699868879E-3</v>
      </c>
      <c r="F2332" s="9">
        <f t="shared" si="107"/>
        <v>8.125395319069767E-2</v>
      </c>
      <c r="G2332" s="9">
        <f t="shared" si="108"/>
        <v>9.3438100511696841E-3</v>
      </c>
    </row>
    <row r="2333" spans="1:7" x14ac:dyDescent="0.2">
      <c r="A2333" s="12">
        <v>40288</v>
      </c>
      <c r="B2333" s="9">
        <v>406.98</v>
      </c>
      <c r="C2333" s="9">
        <v>400.97</v>
      </c>
      <c r="D2333" s="9">
        <v>406.88</v>
      </c>
      <c r="E2333" s="9">
        <f t="shared" si="109"/>
        <v>1.8855376512455856E-2</v>
      </c>
      <c r="F2333" s="9">
        <f t="shared" si="107"/>
        <v>0.10966258629849071</v>
      </c>
      <c r="G2333" s="9">
        <f t="shared" si="108"/>
        <v>9.4965838678171023E-3</v>
      </c>
    </row>
    <row r="2334" spans="1:7" x14ac:dyDescent="0.2">
      <c r="A2334" s="12">
        <v>40289</v>
      </c>
      <c r="B2334" s="9">
        <v>409.45</v>
      </c>
      <c r="C2334" s="9">
        <v>406.18</v>
      </c>
      <c r="D2334" s="9">
        <v>407.88</v>
      </c>
      <c r="E2334" s="9">
        <f t="shared" si="109"/>
        <v>2.4547118222153562E-3</v>
      </c>
      <c r="F2334" s="9">
        <f t="shared" si="107"/>
        <v>9.4501445429473016E-2</v>
      </c>
      <c r="G2334" s="9">
        <f t="shared" si="108"/>
        <v>9.1241514457303576E-3</v>
      </c>
    </row>
    <row r="2335" spans="1:7" x14ac:dyDescent="0.2">
      <c r="A2335" s="12">
        <v>40290</v>
      </c>
      <c r="B2335" s="9">
        <v>409.76</v>
      </c>
      <c r="C2335" s="9">
        <v>401.2</v>
      </c>
      <c r="D2335" s="9">
        <v>401.2</v>
      </c>
      <c r="E2335" s="9">
        <f t="shared" si="109"/>
        <v>-1.6512957408244548E-2</v>
      </c>
      <c r="F2335" s="9">
        <f t="shared" si="107"/>
        <v>7.7234258915330825E-2</v>
      </c>
      <c r="G2335" s="9">
        <f t="shared" si="108"/>
        <v>9.8000868468325845E-3</v>
      </c>
    </row>
    <row r="2336" spans="1:7" x14ac:dyDescent="0.2">
      <c r="A2336" s="12">
        <v>40291</v>
      </c>
      <c r="B2336" s="9">
        <v>408.88</v>
      </c>
      <c r="C2336" s="9">
        <v>401.83</v>
      </c>
      <c r="D2336" s="9">
        <v>407.43</v>
      </c>
      <c r="E2336" s="9">
        <f t="shared" si="109"/>
        <v>1.5409082696306191E-2</v>
      </c>
      <c r="F2336" s="9">
        <f t="shared" si="107"/>
        <v>9.7583089553190769E-2</v>
      </c>
      <c r="G2336" s="9">
        <f t="shared" si="108"/>
        <v>9.9648874298923409E-3</v>
      </c>
    </row>
    <row r="2337" spans="1:7" x14ac:dyDescent="0.2">
      <c r="A2337" s="12">
        <v>40294</v>
      </c>
      <c r="B2337" s="9">
        <v>417.42</v>
      </c>
      <c r="C2337" s="9">
        <v>409.97</v>
      </c>
      <c r="D2337" s="9">
        <v>414.41</v>
      </c>
      <c r="E2337" s="9">
        <f t="shared" si="109"/>
        <v>1.6986683144163416E-2</v>
      </c>
      <c r="F2337" s="9">
        <f t="shared" ref="F2337:F2400" si="110">LN(D2337/D2307)</f>
        <v>0.10254655000767632</v>
      </c>
      <c r="G2337" s="9">
        <f t="shared" si="108"/>
        <v>1.0154918629123202E-2</v>
      </c>
    </row>
    <row r="2338" spans="1:7" x14ac:dyDescent="0.2">
      <c r="A2338" s="12">
        <v>40295</v>
      </c>
      <c r="B2338" s="9">
        <v>417.27</v>
      </c>
      <c r="C2338" s="9">
        <v>408.95</v>
      </c>
      <c r="D2338" s="9">
        <v>408.95</v>
      </c>
      <c r="E2338" s="9">
        <f t="shared" si="109"/>
        <v>-1.3262922747267069E-2</v>
      </c>
      <c r="F2338" s="9">
        <f t="shared" si="110"/>
        <v>9.4537767591141492E-2</v>
      </c>
      <c r="G2338" s="9">
        <f t="shared" si="108"/>
        <v>1.0490490672026282E-2</v>
      </c>
    </row>
    <row r="2339" spans="1:7" x14ac:dyDescent="0.2">
      <c r="A2339" s="12">
        <v>40296</v>
      </c>
      <c r="B2339" s="9">
        <v>405.67</v>
      </c>
      <c r="C2339" s="9">
        <v>396.64</v>
      </c>
      <c r="D2339" s="9">
        <v>401.8</v>
      </c>
      <c r="E2339" s="9">
        <f t="shared" si="109"/>
        <v>-1.7638446800148987E-2</v>
      </c>
      <c r="F2339" s="9">
        <f t="shared" si="110"/>
        <v>7.6147037037083171E-2</v>
      </c>
      <c r="G2339" s="9">
        <f t="shared" si="108"/>
        <v>1.1151997282149759E-2</v>
      </c>
    </row>
    <row r="2340" spans="1:7" x14ac:dyDescent="0.2">
      <c r="A2340" s="12">
        <v>40297</v>
      </c>
      <c r="B2340" s="9">
        <v>412.32</v>
      </c>
      <c r="C2340" s="9">
        <v>402.64</v>
      </c>
      <c r="D2340" s="9">
        <v>411.5</v>
      </c>
      <c r="E2340" s="9">
        <f t="shared" si="109"/>
        <v>2.385456773629047E-2</v>
      </c>
      <c r="F2340" s="9">
        <f t="shared" si="110"/>
        <v>0.10358000369504916</v>
      </c>
      <c r="G2340" s="9">
        <f t="shared" si="108"/>
        <v>1.17422483952486E-2</v>
      </c>
    </row>
    <row r="2341" spans="1:7" x14ac:dyDescent="0.2">
      <c r="A2341" s="12">
        <v>40301</v>
      </c>
      <c r="B2341" s="9">
        <v>414.84</v>
      </c>
      <c r="C2341" s="9">
        <v>408.42</v>
      </c>
      <c r="D2341" s="9">
        <v>413.48</v>
      </c>
      <c r="E2341" s="9">
        <f t="shared" si="109"/>
        <v>4.8001255831594718E-3</v>
      </c>
      <c r="F2341" s="9">
        <f t="shared" si="110"/>
        <v>9.2310909261517901E-2</v>
      </c>
      <c r="G2341" s="9">
        <f t="shared" si="108"/>
        <v>1.1502528463853535E-2</v>
      </c>
    </row>
    <row r="2342" spans="1:7" x14ac:dyDescent="0.2">
      <c r="A2342" s="12">
        <v>40302</v>
      </c>
      <c r="B2342" s="9">
        <v>418.06</v>
      </c>
      <c r="C2342" s="9">
        <v>403.1</v>
      </c>
      <c r="D2342" s="9">
        <v>405.51</v>
      </c>
      <c r="E2342" s="9">
        <f t="shared" si="109"/>
        <v>-1.9463611536437973E-2</v>
      </c>
      <c r="F2342" s="9">
        <f t="shared" si="110"/>
        <v>6.9325841023315446E-2</v>
      </c>
      <c r="G2342" s="9">
        <f t="shared" si="108"/>
        <v>1.2215322832786452E-2</v>
      </c>
    </row>
    <row r="2343" spans="1:7" x14ac:dyDescent="0.2">
      <c r="A2343" s="12">
        <v>40303</v>
      </c>
      <c r="B2343" s="9">
        <v>405.63</v>
      </c>
      <c r="C2343" s="9">
        <v>392.3</v>
      </c>
      <c r="D2343" s="9">
        <v>395.02</v>
      </c>
      <c r="E2343" s="9">
        <f t="shared" si="109"/>
        <v>-2.6209137633134361E-2</v>
      </c>
      <c r="F2343" s="9">
        <f t="shared" si="110"/>
        <v>4.4386175407483852E-2</v>
      </c>
      <c r="G2343" s="9">
        <f t="shared" ref="G2343:G2406" si="111">STDEV(E2314:E2343)</f>
        <v>1.3270459680531857E-2</v>
      </c>
    </row>
    <row r="2344" spans="1:7" x14ac:dyDescent="0.2">
      <c r="A2344" s="12">
        <v>40304</v>
      </c>
      <c r="B2344" s="9">
        <v>396.16</v>
      </c>
      <c r="C2344" s="9">
        <v>387.05</v>
      </c>
      <c r="D2344" s="9">
        <v>387.15</v>
      </c>
      <c r="E2344" s="9">
        <f t="shared" si="109"/>
        <v>-2.0124181697979141E-2</v>
      </c>
      <c r="F2344" s="9">
        <f t="shared" si="110"/>
        <v>1.9483422145279129E-2</v>
      </c>
      <c r="G2344" s="9">
        <f t="shared" si="111"/>
        <v>1.3824283325306375E-2</v>
      </c>
    </row>
    <row r="2345" spans="1:7" x14ac:dyDescent="0.2">
      <c r="A2345" s="12">
        <v>40305</v>
      </c>
      <c r="B2345" s="9">
        <v>381.43</v>
      </c>
      <c r="C2345" s="9">
        <v>370.65</v>
      </c>
      <c r="D2345" s="9">
        <v>371.12</v>
      </c>
      <c r="E2345" s="9">
        <f t="shared" si="109"/>
        <v>-4.2286754389244216E-2</v>
      </c>
      <c r="F2345" s="9">
        <f t="shared" si="110"/>
        <v>-1.8791926041492768E-2</v>
      </c>
      <c r="G2345" s="9">
        <f t="shared" si="111"/>
        <v>1.588229759843432E-2</v>
      </c>
    </row>
    <row r="2346" spans="1:7" x14ac:dyDescent="0.2">
      <c r="A2346" s="12">
        <v>40308</v>
      </c>
      <c r="B2346" s="9">
        <v>396.29</v>
      </c>
      <c r="C2346" s="9">
        <v>385.34</v>
      </c>
      <c r="D2346" s="9">
        <v>394.73</v>
      </c>
      <c r="E2346" s="9">
        <f t="shared" si="109"/>
        <v>6.1676526430915757E-2</v>
      </c>
      <c r="F2346" s="9">
        <f t="shared" si="110"/>
        <v>2.8106458877350849E-2</v>
      </c>
      <c r="G2346" s="9">
        <f t="shared" si="111"/>
        <v>1.9374897695814602E-2</v>
      </c>
    </row>
    <row r="2347" spans="1:7" x14ac:dyDescent="0.2">
      <c r="A2347" s="12">
        <v>40309</v>
      </c>
      <c r="B2347" s="9">
        <v>397.04</v>
      </c>
      <c r="C2347" s="9">
        <v>391.7</v>
      </c>
      <c r="D2347" s="9">
        <v>393.52</v>
      </c>
      <c r="E2347" s="9">
        <f t="shared" si="109"/>
        <v>-3.0700943873197806E-3</v>
      </c>
      <c r="F2347" s="9">
        <f t="shared" si="110"/>
        <v>1.745683436852391E-2</v>
      </c>
      <c r="G2347" s="9">
        <f t="shared" si="111"/>
        <v>1.9346534718201351E-2</v>
      </c>
    </row>
    <row r="2348" spans="1:7" x14ac:dyDescent="0.2">
      <c r="A2348" s="12">
        <v>40310</v>
      </c>
      <c r="B2348" s="9">
        <v>404.58</v>
      </c>
      <c r="C2348" s="9">
        <v>396.62</v>
      </c>
      <c r="D2348" s="9">
        <v>403.87</v>
      </c>
      <c r="E2348" s="9">
        <f t="shared" si="109"/>
        <v>2.596115151285407E-2</v>
      </c>
      <c r="F2348" s="9">
        <f t="shared" si="110"/>
        <v>3.8851355568859491E-2</v>
      </c>
      <c r="G2348" s="9">
        <f t="shared" si="111"/>
        <v>1.9885304583077471E-2</v>
      </c>
    </row>
    <row r="2349" spans="1:7" x14ac:dyDescent="0.2">
      <c r="A2349" s="12">
        <v>40315</v>
      </c>
      <c r="B2349" s="9">
        <v>401.6</v>
      </c>
      <c r="C2349" s="9">
        <v>392.64</v>
      </c>
      <c r="D2349" s="9">
        <v>400.8</v>
      </c>
      <c r="E2349" s="9">
        <f t="shared" si="109"/>
        <v>-7.6304942292832103E-3</v>
      </c>
      <c r="F2349" s="9">
        <f t="shared" si="110"/>
        <v>4.1336722778502137E-2</v>
      </c>
      <c r="G2349" s="9">
        <f t="shared" si="111"/>
        <v>1.9841253935860517E-2</v>
      </c>
    </row>
    <row r="2350" spans="1:7" x14ac:dyDescent="0.2">
      <c r="A2350" s="12">
        <v>40316</v>
      </c>
      <c r="B2350" s="9">
        <v>406.47</v>
      </c>
      <c r="C2350" s="9">
        <v>401.1</v>
      </c>
      <c r="D2350" s="9">
        <v>402.73</v>
      </c>
      <c r="E2350" s="9">
        <f t="shared" si="109"/>
        <v>4.8038124562550504E-3</v>
      </c>
      <c r="F2350" s="9">
        <f t="shared" si="110"/>
        <v>5.051862056420111E-2</v>
      </c>
      <c r="G2350" s="9">
        <f t="shared" si="111"/>
        <v>1.9820209828603795E-2</v>
      </c>
    </row>
    <row r="2351" spans="1:7" x14ac:dyDescent="0.2">
      <c r="A2351" s="12">
        <v>40317</v>
      </c>
      <c r="B2351" s="9">
        <v>399.11</v>
      </c>
      <c r="C2351" s="9">
        <v>390.02</v>
      </c>
      <c r="D2351" s="9">
        <v>391.85</v>
      </c>
      <c r="E2351" s="9">
        <f t="shared" si="109"/>
        <v>-2.7387248728036571E-2</v>
      </c>
      <c r="F2351" s="9">
        <f t="shared" si="110"/>
        <v>2.2243782366312758E-2</v>
      </c>
      <c r="G2351" s="9">
        <f t="shared" si="111"/>
        <v>2.0519320216269125E-2</v>
      </c>
    </row>
    <row r="2352" spans="1:7" x14ac:dyDescent="0.2">
      <c r="A2352" s="12">
        <v>40318</v>
      </c>
      <c r="B2352" s="9">
        <v>394.84</v>
      </c>
      <c r="C2352" s="9">
        <v>375.65</v>
      </c>
      <c r="D2352" s="9">
        <v>378.99</v>
      </c>
      <c r="E2352" s="9">
        <f t="shared" si="109"/>
        <v>-3.3369293988817869E-2</v>
      </c>
      <c r="F2352" s="9">
        <f t="shared" si="110"/>
        <v>-1.0629602859552554E-2</v>
      </c>
      <c r="G2352" s="9">
        <f t="shared" si="111"/>
        <v>2.144457410492517E-2</v>
      </c>
    </row>
    <row r="2353" spans="1:7" x14ac:dyDescent="0.2">
      <c r="A2353" s="12">
        <v>40319</v>
      </c>
      <c r="B2353" s="9">
        <v>382.31</v>
      </c>
      <c r="C2353" s="9">
        <v>368.9</v>
      </c>
      <c r="D2353" s="9">
        <v>375.91</v>
      </c>
      <c r="E2353" s="9">
        <f t="shared" si="109"/>
        <v>-8.1600664738732103E-3</v>
      </c>
      <c r="F2353" s="9">
        <f t="shared" si="110"/>
        <v>-4.1018830777064891E-2</v>
      </c>
      <c r="G2353" s="9">
        <f t="shared" si="111"/>
        <v>2.1055227485920761E-2</v>
      </c>
    </row>
    <row r="2354" spans="1:7" x14ac:dyDescent="0.2">
      <c r="A2354" s="12">
        <v>40323</v>
      </c>
      <c r="B2354" s="9">
        <v>370.29</v>
      </c>
      <c r="C2354" s="9">
        <v>362.49</v>
      </c>
      <c r="D2354" s="9">
        <v>367.83</v>
      </c>
      <c r="E2354" s="9">
        <f t="shared" si="109"/>
        <v>-2.1728878123777291E-2</v>
      </c>
      <c r="F2354" s="9">
        <f t="shared" si="110"/>
        <v>-7.6919757122752522E-2</v>
      </c>
      <c r="G2354" s="9">
        <f t="shared" si="111"/>
        <v>2.1161542790672637E-2</v>
      </c>
    </row>
    <row r="2355" spans="1:7" x14ac:dyDescent="0.2">
      <c r="A2355" s="12">
        <v>40324</v>
      </c>
      <c r="B2355" s="9">
        <v>382.8</v>
      </c>
      <c r="C2355" s="9">
        <v>373.12</v>
      </c>
      <c r="D2355" s="9">
        <v>381.11</v>
      </c>
      <c r="E2355" s="9">
        <f t="shared" si="109"/>
        <v>3.5467172455215933E-2</v>
      </c>
      <c r="F2355" s="9">
        <f t="shared" si="110"/>
        <v>-2.8989785940170588E-2</v>
      </c>
      <c r="G2355" s="9">
        <f t="shared" si="111"/>
        <v>2.2173549728970475E-2</v>
      </c>
    </row>
    <row r="2356" spans="1:7" x14ac:dyDescent="0.2">
      <c r="A2356" s="12">
        <v>40325</v>
      </c>
      <c r="B2356" s="9">
        <v>389.89</v>
      </c>
      <c r="C2356" s="9">
        <v>380.99</v>
      </c>
      <c r="D2356" s="9">
        <v>389.85</v>
      </c>
      <c r="E2356" s="9">
        <f t="shared" si="109"/>
        <v>2.2674002387987825E-2</v>
      </c>
      <c r="F2356" s="9">
        <f t="shared" si="110"/>
        <v>-1.0563478509569259E-2</v>
      </c>
      <c r="G2356" s="9">
        <f t="shared" si="111"/>
        <v>2.2574538916973547E-2</v>
      </c>
    </row>
    <row r="2357" spans="1:7" x14ac:dyDescent="0.2">
      <c r="A2357" s="12">
        <v>40326</v>
      </c>
      <c r="B2357" s="9">
        <v>395.42</v>
      </c>
      <c r="C2357" s="9">
        <v>385.65</v>
      </c>
      <c r="D2357" s="9">
        <v>387</v>
      </c>
      <c r="E2357" s="9">
        <f t="shared" si="109"/>
        <v>-7.3373567258271915E-3</v>
      </c>
      <c r="F2357" s="9">
        <f t="shared" si="110"/>
        <v>-2.7424115292564499E-2</v>
      </c>
      <c r="G2357" s="9">
        <f t="shared" si="111"/>
        <v>2.2530040114091182E-2</v>
      </c>
    </row>
    <row r="2358" spans="1:7" x14ac:dyDescent="0.2">
      <c r="A2358" s="12">
        <v>40329</v>
      </c>
      <c r="B2358" s="9">
        <v>389.76</v>
      </c>
      <c r="C2358" s="9">
        <v>385.66</v>
      </c>
      <c r="D2358" s="9">
        <v>388.69</v>
      </c>
      <c r="E2358" s="9">
        <f t="shared" si="109"/>
        <v>4.3574177158767022E-3</v>
      </c>
      <c r="F2358" s="9">
        <f t="shared" si="110"/>
        <v>-1.7065217022132768E-2</v>
      </c>
      <c r="G2358" s="9">
        <f t="shared" si="111"/>
        <v>2.2528763112981076E-2</v>
      </c>
    </row>
    <row r="2359" spans="1:7" x14ac:dyDescent="0.2">
      <c r="A2359" s="12">
        <v>40330</v>
      </c>
      <c r="B2359" s="9">
        <v>388.66</v>
      </c>
      <c r="C2359" s="9">
        <v>381.54</v>
      </c>
      <c r="D2359" s="9">
        <v>388.05</v>
      </c>
      <c r="E2359" s="9">
        <f t="shared" si="109"/>
        <v>-1.6479134455106626E-3</v>
      </c>
      <c r="F2359" s="9">
        <f t="shared" si="110"/>
        <v>-3.1654472769965414E-2</v>
      </c>
      <c r="G2359" s="9">
        <f t="shared" si="111"/>
        <v>2.2384072487222711E-2</v>
      </c>
    </row>
    <row r="2360" spans="1:7" x14ac:dyDescent="0.2">
      <c r="A2360" s="12">
        <v>40331</v>
      </c>
      <c r="B2360" s="9">
        <v>392.09</v>
      </c>
      <c r="C2360" s="9">
        <v>384.33</v>
      </c>
      <c r="D2360" s="9">
        <v>391.19</v>
      </c>
      <c r="E2360" s="9">
        <f t="shared" si="109"/>
        <v>8.0591781616033229E-3</v>
      </c>
      <c r="F2360" s="9">
        <f t="shared" si="110"/>
        <v>-3.5236754036254085E-2</v>
      </c>
      <c r="G2360" s="9">
        <f t="shared" si="111"/>
        <v>2.2323478955552572E-2</v>
      </c>
    </row>
    <row r="2361" spans="1:7" x14ac:dyDescent="0.2">
      <c r="A2361" s="12">
        <v>40332</v>
      </c>
      <c r="B2361" s="9">
        <v>401.25</v>
      </c>
      <c r="C2361" s="9">
        <v>396.34</v>
      </c>
      <c r="D2361" s="9">
        <v>401.25</v>
      </c>
      <c r="E2361" s="9">
        <f t="shared" si="109"/>
        <v>2.5391298982474598E-2</v>
      </c>
      <c r="F2361" s="9">
        <f t="shared" si="110"/>
        <v>-3.5575274169969639E-3</v>
      </c>
      <c r="G2361" s="9">
        <f t="shared" si="111"/>
        <v>2.2817068217232887E-2</v>
      </c>
    </row>
    <row r="2362" spans="1:7" x14ac:dyDescent="0.2">
      <c r="A2362" s="12">
        <v>40333</v>
      </c>
      <c r="B2362" s="9">
        <v>405.74</v>
      </c>
      <c r="C2362" s="9">
        <v>396.17</v>
      </c>
      <c r="D2362" s="9">
        <v>397.2</v>
      </c>
      <c r="E2362" s="9">
        <f t="shared" si="109"/>
        <v>-1.0144742273208104E-2</v>
      </c>
      <c r="F2362" s="9">
        <f t="shared" si="110"/>
        <v>-5.2229929903362671E-3</v>
      </c>
      <c r="G2362" s="9">
        <f t="shared" si="111"/>
        <v>2.2840126264940495E-2</v>
      </c>
    </row>
    <row r="2363" spans="1:7" x14ac:dyDescent="0.2">
      <c r="A2363" s="12">
        <v>40336</v>
      </c>
      <c r="B2363" s="9">
        <v>395.92</v>
      </c>
      <c r="C2363" s="9">
        <v>388.57</v>
      </c>
      <c r="D2363" s="9">
        <v>392.5</v>
      </c>
      <c r="E2363" s="9">
        <f t="shared" si="109"/>
        <v>-1.1903394948554408E-2</v>
      </c>
      <c r="F2363" s="9">
        <f t="shared" si="110"/>
        <v>-3.5981764451346362E-2</v>
      </c>
      <c r="G2363" s="9">
        <f t="shared" si="111"/>
        <v>2.2645992513041037E-2</v>
      </c>
    </row>
    <row r="2364" spans="1:7" x14ac:dyDescent="0.2">
      <c r="A2364" s="12">
        <v>40337</v>
      </c>
      <c r="B2364" s="9">
        <v>398.27</v>
      </c>
      <c r="C2364" s="9">
        <v>388.04</v>
      </c>
      <c r="D2364" s="9">
        <v>389.89</v>
      </c>
      <c r="E2364" s="9">
        <f t="shared" si="109"/>
        <v>-6.6718891647660535E-3</v>
      </c>
      <c r="F2364" s="9">
        <f t="shared" si="110"/>
        <v>-4.5108365438327871E-2</v>
      </c>
      <c r="G2364" s="9">
        <f t="shared" si="111"/>
        <v>2.2656511268579295E-2</v>
      </c>
    </row>
    <row r="2365" spans="1:7" x14ac:dyDescent="0.2">
      <c r="A2365" s="12">
        <v>40338</v>
      </c>
      <c r="B2365" s="9">
        <v>393.8</v>
      </c>
      <c r="C2365" s="9">
        <v>390.21</v>
      </c>
      <c r="D2365" s="9">
        <v>393.67</v>
      </c>
      <c r="E2365" s="9">
        <f t="shared" si="109"/>
        <v>9.6483468362153334E-3</v>
      </c>
      <c r="F2365" s="9">
        <f t="shared" si="110"/>
        <v>-1.8947061193867982E-2</v>
      </c>
      <c r="G2365" s="9">
        <f t="shared" si="111"/>
        <v>2.2562158992865636E-2</v>
      </c>
    </row>
    <row r="2366" spans="1:7" x14ac:dyDescent="0.2">
      <c r="A2366" s="12">
        <v>40339</v>
      </c>
      <c r="B2366" s="9">
        <v>401.94</v>
      </c>
      <c r="C2366" s="9">
        <v>391.19</v>
      </c>
      <c r="D2366" s="9">
        <v>401.82</v>
      </c>
      <c r="E2366" s="9">
        <f t="shared" si="109"/>
        <v>2.0491232256101326E-2</v>
      </c>
      <c r="F2366" s="9">
        <f t="shared" si="110"/>
        <v>-1.3864911634072783E-2</v>
      </c>
      <c r="G2366" s="9">
        <f t="shared" si="111"/>
        <v>2.2705375951423107E-2</v>
      </c>
    </row>
    <row r="2367" spans="1:7" x14ac:dyDescent="0.2">
      <c r="A2367" s="12">
        <v>40340</v>
      </c>
      <c r="B2367" s="9">
        <v>404.9</v>
      </c>
      <c r="C2367" s="9">
        <v>399.07</v>
      </c>
      <c r="D2367" s="9">
        <v>402.22</v>
      </c>
      <c r="E2367" s="9">
        <f t="shared" si="109"/>
        <v>9.9497545644298426E-4</v>
      </c>
      <c r="F2367" s="9">
        <f t="shared" si="110"/>
        <v>-2.9856619321793294E-2</v>
      </c>
      <c r="G2367" s="9">
        <f t="shared" si="111"/>
        <v>2.2468081055309119E-2</v>
      </c>
    </row>
    <row r="2368" spans="1:7" x14ac:dyDescent="0.2">
      <c r="A2368" s="12">
        <v>40343</v>
      </c>
      <c r="B2368" s="9">
        <v>411.45</v>
      </c>
      <c r="C2368" s="9">
        <v>406.55</v>
      </c>
      <c r="D2368" s="9">
        <v>410.66</v>
      </c>
      <c r="E2368" s="9">
        <f t="shared" si="109"/>
        <v>2.0766418920895899E-2</v>
      </c>
      <c r="F2368" s="9">
        <f t="shared" si="110"/>
        <v>4.1727223463696407E-3</v>
      </c>
      <c r="G2368" s="9">
        <f t="shared" si="111"/>
        <v>2.2685327093459363E-2</v>
      </c>
    </row>
    <row r="2369" spans="1:7" x14ac:dyDescent="0.2">
      <c r="A2369" s="12">
        <v>40344</v>
      </c>
      <c r="B2369" s="9">
        <v>411.28</v>
      </c>
      <c r="C2369" s="9">
        <v>406.87</v>
      </c>
      <c r="D2369" s="9">
        <v>411.12</v>
      </c>
      <c r="E2369" s="9">
        <f t="shared" si="109"/>
        <v>1.1195211566214633E-3</v>
      </c>
      <c r="F2369" s="9">
        <f t="shared" si="110"/>
        <v>2.2930690303140207E-2</v>
      </c>
      <c r="G2369" s="9">
        <f t="shared" si="111"/>
        <v>2.2435570268833457E-2</v>
      </c>
    </row>
    <row r="2370" spans="1:7" x14ac:dyDescent="0.2">
      <c r="A2370" s="12">
        <v>40345</v>
      </c>
      <c r="B2370" s="9">
        <v>415.27</v>
      </c>
      <c r="C2370" s="9">
        <v>381.05</v>
      </c>
      <c r="D2370" s="9">
        <v>408.98</v>
      </c>
      <c r="E2370" s="9">
        <f t="shared" si="109"/>
        <v>-5.2188875923056422E-3</v>
      </c>
      <c r="F2370" s="9">
        <f t="shared" si="110"/>
        <v>-6.142765025455992E-3</v>
      </c>
      <c r="G2370" s="9">
        <f t="shared" si="111"/>
        <v>2.2028003653929453E-2</v>
      </c>
    </row>
    <row r="2371" spans="1:7" x14ac:dyDescent="0.2">
      <c r="A2371" s="12">
        <v>40346</v>
      </c>
      <c r="B2371" s="9">
        <v>412.84</v>
      </c>
      <c r="C2371" s="9">
        <v>406.99</v>
      </c>
      <c r="D2371" s="9">
        <v>408.45</v>
      </c>
      <c r="E2371" s="9">
        <f t="shared" si="109"/>
        <v>-1.2967473037902803E-3</v>
      </c>
      <c r="F2371" s="9">
        <f t="shared" si="110"/>
        <v>-1.2239637912405798E-2</v>
      </c>
      <c r="G2371" s="9">
        <f t="shared" si="111"/>
        <v>2.2008352578344142E-2</v>
      </c>
    </row>
    <row r="2372" spans="1:7" x14ac:dyDescent="0.2">
      <c r="A2372" s="12">
        <v>40347</v>
      </c>
      <c r="B2372" s="9">
        <v>417.27</v>
      </c>
      <c r="C2372" s="9">
        <v>412.48</v>
      </c>
      <c r="D2372" s="9">
        <v>417.24</v>
      </c>
      <c r="E2372" s="9">
        <f t="shared" ref="E2372:E2435" si="112">LN(D2372/D2371)</f>
        <v>2.1292088019892203E-2</v>
      </c>
      <c r="F2372" s="9">
        <f t="shared" si="110"/>
        <v>2.8516061643924406E-2</v>
      </c>
      <c r="G2372" s="9">
        <f t="shared" si="111"/>
        <v>2.2049371599609419E-2</v>
      </c>
    </row>
    <row r="2373" spans="1:7" x14ac:dyDescent="0.2">
      <c r="A2373" s="12">
        <v>40350</v>
      </c>
      <c r="B2373" s="9">
        <v>423.95</v>
      </c>
      <c r="C2373" s="9">
        <v>420.8</v>
      </c>
      <c r="D2373" s="9">
        <v>421.23</v>
      </c>
      <c r="E2373" s="9">
        <f t="shared" si="112"/>
        <v>9.5174069868901711E-3</v>
      </c>
      <c r="F2373" s="9">
        <f t="shared" si="110"/>
        <v>6.4242606263948912E-2</v>
      </c>
      <c r="G2373" s="9">
        <f t="shared" si="111"/>
        <v>2.1489585369210435E-2</v>
      </c>
    </row>
    <row r="2374" spans="1:7" x14ac:dyDescent="0.2">
      <c r="A2374" s="12">
        <v>40351</v>
      </c>
      <c r="B2374" s="9">
        <v>421.85</v>
      </c>
      <c r="C2374" s="9">
        <v>416.35</v>
      </c>
      <c r="D2374" s="9">
        <v>416.97</v>
      </c>
      <c r="E2374" s="9">
        <f t="shared" si="112"/>
        <v>-1.0164726029884118E-2</v>
      </c>
      <c r="F2374" s="9">
        <f t="shared" si="110"/>
        <v>7.4202061932043942E-2</v>
      </c>
      <c r="G2374" s="9">
        <f t="shared" si="111"/>
        <v>2.1208849770694024E-2</v>
      </c>
    </row>
    <row r="2375" spans="1:7" x14ac:dyDescent="0.2">
      <c r="A2375" s="12">
        <v>40352</v>
      </c>
      <c r="B2375" s="9">
        <v>416.22</v>
      </c>
      <c r="C2375" s="9">
        <v>412.97</v>
      </c>
      <c r="D2375" s="9">
        <v>413.83</v>
      </c>
      <c r="E2375" s="9">
        <f t="shared" si="112"/>
        <v>-7.5590152895574003E-3</v>
      </c>
      <c r="F2375" s="9">
        <f t="shared" si="110"/>
        <v>0.10892980103173086</v>
      </c>
      <c r="G2375" s="9">
        <f t="shared" si="111"/>
        <v>1.9565646541238338E-2</v>
      </c>
    </row>
    <row r="2376" spans="1:7" x14ac:dyDescent="0.2">
      <c r="A2376" s="12">
        <v>40353</v>
      </c>
      <c r="B2376" s="9">
        <v>416.74</v>
      </c>
      <c r="C2376" s="9">
        <v>406.96</v>
      </c>
      <c r="D2376" s="9">
        <v>407.01</v>
      </c>
      <c r="E2376" s="9">
        <f t="shared" si="112"/>
        <v>-1.6617506309892161E-2</v>
      </c>
      <c r="F2376" s="9">
        <f t="shared" si="110"/>
        <v>3.06357682909228E-2</v>
      </c>
      <c r="G2376" s="9">
        <f t="shared" si="111"/>
        <v>1.654461803441281E-2</v>
      </c>
    </row>
    <row r="2377" spans="1:7" x14ac:dyDescent="0.2">
      <c r="A2377" s="12">
        <v>40354</v>
      </c>
      <c r="B2377" s="9">
        <v>409.21</v>
      </c>
      <c r="C2377" s="9">
        <v>403.06</v>
      </c>
      <c r="D2377" s="9">
        <v>403.36</v>
      </c>
      <c r="E2377" s="9">
        <f t="shared" si="112"/>
        <v>-9.0082917257171841E-3</v>
      </c>
      <c r="F2377" s="9">
        <f t="shared" si="110"/>
        <v>2.4697570952525356E-2</v>
      </c>
      <c r="G2377" s="9">
        <f t="shared" si="111"/>
        <v>1.6630553215924448E-2</v>
      </c>
    </row>
    <row r="2378" spans="1:7" x14ac:dyDescent="0.2">
      <c r="A2378" s="12">
        <v>40357</v>
      </c>
      <c r="B2378" s="9">
        <v>407.95</v>
      </c>
      <c r="C2378" s="9">
        <v>402.76</v>
      </c>
      <c r="D2378" s="9">
        <v>404.47</v>
      </c>
      <c r="E2378" s="9">
        <f t="shared" si="112"/>
        <v>2.748104671941495E-3</v>
      </c>
      <c r="F2378" s="9">
        <f t="shared" si="110"/>
        <v>1.4845241116129538E-3</v>
      </c>
      <c r="G2378" s="9">
        <f t="shared" si="111"/>
        <v>1.5946584622421708E-2</v>
      </c>
    </row>
    <row r="2379" spans="1:7" x14ac:dyDescent="0.2">
      <c r="A2379" s="12">
        <v>40358</v>
      </c>
      <c r="B2379" s="9">
        <v>402.18</v>
      </c>
      <c r="C2379" s="9">
        <v>390.49</v>
      </c>
      <c r="D2379" s="9">
        <v>391.07</v>
      </c>
      <c r="E2379" s="9">
        <f t="shared" si="112"/>
        <v>-3.3690996016816945E-2</v>
      </c>
      <c r="F2379" s="9">
        <f t="shared" si="110"/>
        <v>-2.4575977675920766E-2</v>
      </c>
      <c r="G2379" s="9">
        <f t="shared" si="111"/>
        <v>1.7050950909547377E-2</v>
      </c>
    </row>
    <row r="2380" spans="1:7" x14ac:dyDescent="0.2">
      <c r="A2380" s="12">
        <v>40359</v>
      </c>
      <c r="B2380" s="9">
        <v>397.99</v>
      </c>
      <c r="C2380" s="9">
        <v>390.58</v>
      </c>
      <c r="D2380" s="9">
        <v>393.02</v>
      </c>
      <c r="E2380" s="9">
        <f t="shared" si="112"/>
        <v>4.9739290648867255E-3</v>
      </c>
      <c r="F2380" s="9">
        <f t="shared" si="110"/>
        <v>-2.4405861067289172E-2</v>
      </c>
      <c r="G2380" s="9">
        <f t="shared" si="111"/>
        <v>1.7052913585665169E-2</v>
      </c>
    </row>
    <row r="2381" spans="1:7" x14ac:dyDescent="0.2">
      <c r="A2381" s="12">
        <v>40360</v>
      </c>
      <c r="B2381" s="9">
        <v>390.87</v>
      </c>
      <c r="C2381" s="9">
        <v>383.32</v>
      </c>
      <c r="D2381" s="9">
        <v>383.73</v>
      </c>
      <c r="E2381" s="9">
        <f t="shared" si="112"/>
        <v>-2.3921320880209519E-2</v>
      </c>
      <c r="F2381" s="9">
        <f t="shared" si="110"/>
        <v>-2.0939933219462113E-2</v>
      </c>
      <c r="G2381" s="9">
        <f t="shared" si="111"/>
        <v>1.6877511085213907E-2</v>
      </c>
    </row>
    <row r="2382" spans="1:7" x14ac:dyDescent="0.2">
      <c r="A2382" s="12">
        <v>40361</v>
      </c>
      <c r="B2382" s="9">
        <v>391.59</v>
      </c>
      <c r="C2382" s="9">
        <v>386.46</v>
      </c>
      <c r="D2382" s="9">
        <v>390.34</v>
      </c>
      <c r="E2382" s="9">
        <f t="shared" si="112"/>
        <v>1.7078973923644252E-2</v>
      </c>
      <c r="F2382" s="9">
        <f t="shared" si="110"/>
        <v>2.950833469299986E-2</v>
      </c>
      <c r="G2382" s="9">
        <f t="shared" si="111"/>
        <v>1.6000467558954071E-2</v>
      </c>
    </row>
    <row r="2383" spans="1:7" x14ac:dyDescent="0.2">
      <c r="A2383" s="12">
        <v>40364</v>
      </c>
      <c r="B2383" s="9">
        <v>393.87</v>
      </c>
      <c r="C2383" s="9">
        <v>390.17</v>
      </c>
      <c r="D2383" s="9">
        <v>391.45</v>
      </c>
      <c r="E2383" s="9">
        <f t="shared" si="112"/>
        <v>2.8396391508673526E-3</v>
      </c>
      <c r="F2383" s="9">
        <f t="shared" si="110"/>
        <v>4.05080403177406E-2</v>
      </c>
      <c r="G2383" s="9">
        <f t="shared" si="111"/>
        <v>1.5909484032138505E-2</v>
      </c>
    </row>
    <row r="2384" spans="1:7" x14ac:dyDescent="0.2">
      <c r="A2384" s="12">
        <v>40365</v>
      </c>
      <c r="B2384" s="9">
        <v>402.22</v>
      </c>
      <c r="C2384" s="9">
        <v>392.72</v>
      </c>
      <c r="D2384" s="9">
        <v>401.45</v>
      </c>
      <c r="E2384" s="9">
        <f t="shared" si="112"/>
        <v>2.5225199276769888E-2</v>
      </c>
      <c r="F2384" s="9">
        <f t="shared" si="110"/>
        <v>8.7462117718287727E-2</v>
      </c>
      <c r="G2384" s="9">
        <f t="shared" si="111"/>
        <v>1.5870287382784121E-2</v>
      </c>
    </row>
    <row r="2385" spans="1:7" x14ac:dyDescent="0.2">
      <c r="A2385" s="12">
        <v>40366</v>
      </c>
      <c r="B2385" s="9">
        <v>404.33</v>
      </c>
      <c r="C2385" s="9">
        <v>396.77</v>
      </c>
      <c r="D2385" s="9">
        <v>404.31</v>
      </c>
      <c r="E2385" s="9">
        <f t="shared" si="112"/>
        <v>7.0989178184846036E-3</v>
      </c>
      <c r="F2385" s="9">
        <f t="shared" si="110"/>
        <v>5.9093863081556258E-2</v>
      </c>
      <c r="G2385" s="9">
        <f t="shared" si="111"/>
        <v>1.4663082329176048E-2</v>
      </c>
    </row>
    <row r="2386" spans="1:7" x14ac:dyDescent="0.2">
      <c r="A2386" s="12">
        <v>40367</v>
      </c>
      <c r="B2386" s="9">
        <v>412.06</v>
      </c>
      <c r="C2386" s="9">
        <v>405.99</v>
      </c>
      <c r="D2386" s="9">
        <v>406.98</v>
      </c>
      <c r="E2386" s="9">
        <f t="shared" si="112"/>
        <v>6.5821337368656358E-3</v>
      </c>
      <c r="F2386" s="9">
        <f t="shared" si="110"/>
        <v>4.3001994430434155E-2</v>
      </c>
      <c r="G2386" s="9">
        <f t="shared" si="111"/>
        <v>1.4165464790963429E-2</v>
      </c>
    </row>
    <row r="2387" spans="1:7" x14ac:dyDescent="0.2">
      <c r="A2387" s="12">
        <v>40368</v>
      </c>
      <c r="B2387" s="9">
        <v>409.15</v>
      </c>
      <c r="C2387" s="9">
        <v>405.49</v>
      </c>
      <c r="D2387" s="9">
        <v>406.58</v>
      </c>
      <c r="E2387" s="9">
        <f t="shared" si="112"/>
        <v>-9.8333259312518889E-4</v>
      </c>
      <c r="F2387" s="9">
        <f t="shared" si="110"/>
        <v>4.9356018563136192E-2</v>
      </c>
      <c r="G2387" s="9">
        <f t="shared" si="111"/>
        <v>1.4077029500764454E-2</v>
      </c>
    </row>
    <row r="2388" spans="1:7" x14ac:dyDescent="0.2">
      <c r="A2388" s="12">
        <v>40371</v>
      </c>
      <c r="B2388" s="9">
        <v>408.44</v>
      </c>
      <c r="C2388" s="9">
        <v>405.17</v>
      </c>
      <c r="D2388" s="9">
        <v>407.99</v>
      </c>
      <c r="E2388" s="9">
        <f t="shared" si="112"/>
        <v>3.4619527069518733E-3</v>
      </c>
      <c r="F2388" s="9">
        <f t="shared" si="110"/>
        <v>4.846055355421152E-2</v>
      </c>
      <c r="G2388" s="9">
        <f t="shared" si="111"/>
        <v>1.407202870625269E-2</v>
      </c>
    </row>
    <row r="2389" spans="1:7" x14ac:dyDescent="0.2">
      <c r="A2389" s="12">
        <v>40372</v>
      </c>
      <c r="B2389" s="9">
        <v>411.63</v>
      </c>
      <c r="C2389" s="9">
        <v>407.65</v>
      </c>
      <c r="D2389" s="9">
        <v>410.64</v>
      </c>
      <c r="E2389" s="9">
        <f t="shared" si="112"/>
        <v>6.4742539521777439E-3</v>
      </c>
      <c r="F2389" s="9">
        <f t="shared" si="110"/>
        <v>5.658272095189984E-2</v>
      </c>
      <c r="G2389" s="9">
        <f t="shared" si="111"/>
        <v>1.4085207218074842E-2</v>
      </c>
    </row>
    <row r="2390" spans="1:7" x14ac:dyDescent="0.2">
      <c r="A2390" s="12">
        <v>40373</v>
      </c>
      <c r="B2390" s="9">
        <v>414.21</v>
      </c>
      <c r="C2390" s="9">
        <v>409.76</v>
      </c>
      <c r="D2390" s="9">
        <v>413.72</v>
      </c>
      <c r="E2390" s="9">
        <f t="shared" si="112"/>
        <v>7.4724982575552334E-3</v>
      </c>
      <c r="F2390" s="9">
        <f t="shared" si="110"/>
        <v>5.5996041047851733E-2</v>
      </c>
      <c r="G2390" s="9">
        <f t="shared" si="111"/>
        <v>1.4076745652004277E-2</v>
      </c>
    </row>
    <row r="2391" spans="1:7" x14ac:dyDescent="0.2">
      <c r="A2391" s="12">
        <v>40374</v>
      </c>
      <c r="B2391" s="9">
        <v>417.43</v>
      </c>
      <c r="C2391" s="9">
        <v>412.97</v>
      </c>
      <c r="D2391" s="9">
        <v>415.38</v>
      </c>
      <c r="E2391" s="9">
        <f t="shared" si="112"/>
        <v>4.0043474083860664E-3</v>
      </c>
      <c r="F2391" s="9">
        <f t="shared" si="110"/>
        <v>3.4609089473763364E-2</v>
      </c>
      <c r="G2391" s="9">
        <f t="shared" si="111"/>
        <v>1.336799737642798E-2</v>
      </c>
    </row>
    <row r="2392" spans="1:7" x14ac:dyDescent="0.2">
      <c r="A2392" s="12">
        <v>40375</v>
      </c>
      <c r="B2392" s="9">
        <v>417.94</v>
      </c>
      <c r="C2392" s="9">
        <v>407.89</v>
      </c>
      <c r="D2392" s="9">
        <v>409.33</v>
      </c>
      <c r="E2392" s="9">
        <f t="shared" si="112"/>
        <v>-1.4672087234643586E-2</v>
      </c>
      <c r="F2392" s="9">
        <f t="shared" si="110"/>
        <v>3.0081744512328021E-2</v>
      </c>
      <c r="G2392" s="9">
        <f t="shared" si="111"/>
        <v>1.352458068770683E-2</v>
      </c>
    </row>
    <row r="2393" spans="1:7" x14ac:dyDescent="0.2">
      <c r="A2393" s="12">
        <v>40378</v>
      </c>
      <c r="B2393" s="9">
        <v>408.48</v>
      </c>
      <c r="C2393" s="9">
        <v>403.96</v>
      </c>
      <c r="D2393" s="9">
        <v>405.55</v>
      </c>
      <c r="E2393" s="9">
        <f t="shared" si="112"/>
        <v>-9.2775061669916354E-3</v>
      </c>
      <c r="F2393" s="9">
        <f t="shared" si="110"/>
        <v>3.2707633293890662E-2</v>
      </c>
      <c r="G2393" s="9">
        <f t="shared" si="111"/>
        <v>1.3446444959206799E-2</v>
      </c>
    </row>
    <row r="2394" spans="1:7" x14ac:dyDescent="0.2">
      <c r="A2394" s="12">
        <v>40379</v>
      </c>
      <c r="B2394" s="9">
        <v>407.95</v>
      </c>
      <c r="C2394" s="9">
        <v>398.46</v>
      </c>
      <c r="D2394" s="9">
        <v>401.22</v>
      </c>
      <c r="E2394" s="9">
        <f t="shared" si="112"/>
        <v>-1.073426522241149E-2</v>
      </c>
      <c r="F2394" s="9">
        <f t="shared" si="110"/>
        <v>2.8645257236245232E-2</v>
      </c>
      <c r="G2394" s="9">
        <f t="shared" si="111"/>
        <v>1.3547385387744863E-2</v>
      </c>
    </row>
    <row r="2395" spans="1:7" x14ac:dyDescent="0.2">
      <c r="A2395" s="12">
        <v>40380</v>
      </c>
      <c r="B2395" s="9">
        <v>406.05</v>
      </c>
      <c r="C2395" s="9">
        <v>401.38</v>
      </c>
      <c r="D2395" s="9">
        <v>405.03</v>
      </c>
      <c r="E2395" s="9">
        <f t="shared" si="112"/>
        <v>9.4512331433221283E-3</v>
      </c>
      <c r="F2395" s="9">
        <f t="shared" si="110"/>
        <v>2.8448143543351921E-2</v>
      </c>
      <c r="G2395" s="9">
        <f t="shared" si="111"/>
        <v>1.3543070776215877E-2</v>
      </c>
    </row>
    <row r="2396" spans="1:7" x14ac:dyDescent="0.2">
      <c r="A2396" s="12">
        <v>40381</v>
      </c>
      <c r="B2396" s="9">
        <v>410.23</v>
      </c>
      <c r="C2396" s="9">
        <v>404.46</v>
      </c>
      <c r="D2396" s="9">
        <v>409.84</v>
      </c>
      <c r="E2396" s="9">
        <f t="shared" si="112"/>
        <v>1.1805701193682294E-2</v>
      </c>
      <c r="F2396" s="9">
        <f t="shared" si="110"/>
        <v>1.9762612480933035E-2</v>
      </c>
      <c r="G2396" s="9">
        <f t="shared" si="111"/>
        <v>1.3199360047233908E-2</v>
      </c>
    </row>
    <row r="2397" spans="1:7" x14ac:dyDescent="0.2">
      <c r="A2397" s="12">
        <v>40382</v>
      </c>
      <c r="B2397" s="9">
        <v>412.19</v>
      </c>
      <c r="C2397" s="9">
        <v>408.39</v>
      </c>
      <c r="D2397" s="9">
        <v>410.99</v>
      </c>
      <c r="E2397" s="9">
        <f t="shared" si="112"/>
        <v>2.8020436690433148E-3</v>
      </c>
      <c r="F2397" s="9">
        <f t="shared" si="110"/>
        <v>2.1569680693533235E-2</v>
      </c>
      <c r="G2397" s="9">
        <f t="shared" si="111"/>
        <v>1.3205069377706977E-2</v>
      </c>
    </row>
    <row r="2398" spans="1:7" x14ac:dyDescent="0.2">
      <c r="A2398" s="12">
        <v>40385</v>
      </c>
      <c r="B2398" s="9">
        <v>414.56</v>
      </c>
      <c r="C2398" s="9">
        <v>409.48</v>
      </c>
      <c r="D2398" s="9">
        <v>412.56</v>
      </c>
      <c r="E2398" s="9">
        <f t="shared" si="112"/>
        <v>3.8127664427133065E-3</v>
      </c>
      <c r="F2398" s="9">
        <f t="shared" si="110"/>
        <v>4.6160282153507653E-3</v>
      </c>
      <c r="G2398" s="9">
        <f t="shared" si="111"/>
        <v>1.2669448736891128E-2</v>
      </c>
    </row>
    <row r="2399" spans="1:7" x14ac:dyDescent="0.2">
      <c r="A2399" s="12">
        <v>40386</v>
      </c>
      <c r="B2399" s="9">
        <v>416.57</v>
      </c>
      <c r="C2399" s="9">
        <v>413.13</v>
      </c>
      <c r="D2399" s="9">
        <v>414.06</v>
      </c>
      <c r="E2399" s="9">
        <f t="shared" si="112"/>
        <v>3.6292411178619768E-3</v>
      </c>
      <c r="F2399" s="9">
        <f t="shared" si="110"/>
        <v>7.1257481765913018E-3</v>
      </c>
      <c r="G2399" s="9">
        <f t="shared" si="111"/>
        <v>1.2684322097865722E-2</v>
      </c>
    </row>
    <row r="2400" spans="1:7" x14ac:dyDescent="0.2">
      <c r="A2400" s="12">
        <v>40387</v>
      </c>
      <c r="B2400" s="9">
        <v>416.99</v>
      </c>
      <c r="C2400" s="9">
        <v>411.96</v>
      </c>
      <c r="D2400" s="9">
        <v>412.92</v>
      </c>
      <c r="E2400" s="9">
        <f t="shared" si="112"/>
        <v>-2.7570212631760718E-3</v>
      </c>
      <c r="F2400" s="9">
        <f t="shared" si="110"/>
        <v>9.5876145057207981E-3</v>
      </c>
      <c r="G2400" s="9">
        <f t="shared" si="111"/>
        <v>1.2655735551914449E-2</v>
      </c>
    </row>
    <row r="2401" spans="1:7" x14ac:dyDescent="0.2">
      <c r="A2401" s="12">
        <v>40388</v>
      </c>
      <c r="B2401" s="9">
        <v>417.1</v>
      </c>
      <c r="C2401" s="9">
        <v>413.26</v>
      </c>
      <c r="D2401" s="9">
        <v>415.06</v>
      </c>
      <c r="E2401" s="9">
        <f t="shared" si="112"/>
        <v>5.169218496124949E-3</v>
      </c>
      <c r="F2401" s="9">
        <f t="shared" ref="F2401:F2464" si="113">LN(D2401/D2371)</f>
        <v>1.6053580305636007E-2</v>
      </c>
      <c r="G2401" s="9">
        <f t="shared" si="111"/>
        <v>1.268229065539986E-2</v>
      </c>
    </row>
    <row r="2402" spans="1:7" x14ac:dyDescent="0.2">
      <c r="A2402" s="12">
        <v>40389</v>
      </c>
      <c r="B2402" s="9">
        <v>414.19</v>
      </c>
      <c r="C2402" s="9">
        <v>408.72</v>
      </c>
      <c r="D2402" s="9">
        <v>410.83</v>
      </c>
      <c r="E2402" s="9">
        <f t="shared" si="112"/>
        <v>-1.0243584467957818E-2</v>
      </c>
      <c r="F2402" s="9">
        <f t="shared" si="113"/>
        <v>-1.5482092182213922E-2</v>
      </c>
      <c r="G2402" s="9">
        <f t="shared" si="111"/>
        <v>1.2200272953920769E-2</v>
      </c>
    </row>
    <row r="2403" spans="1:7" x14ac:dyDescent="0.2">
      <c r="A2403" s="12">
        <v>40392</v>
      </c>
      <c r="B2403" s="9">
        <v>420.91</v>
      </c>
      <c r="C2403" s="9">
        <v>413.63</v>
      </c>
      <c r="D2403" s="9">
        <v>420.85</v>
      </c>
      <c r="E2403" s="9">
        <f t="shared" si="112"/>
        <v>2.4096972032028732E-2</v>
      </c>
      <c r="F2403" s="9">
        <f t="shared" si="113"/>
        <v>-9.0252713707540233E-4</v>
      </c>
      <c r="G2403" s="9">
        <f t="shared" si="111"/>
        <v>1.2884900086789728E-2</v>
      </c>
    </row>
    <row r="2404" spans="1:7" x14ac:dyDescent="0.2">
      <c r="A2404" s="12">
        <v>40393</v>
      </c>
      <c r="B2404" s="9">
        <v>426.38</v>
      </c>
      <c r="C2404" s="9">
        <v>421.27</v>
      </c>
      <c r="D2404" s="9">
        <v>425.52</v>
      </c>
      <c r="E2404" s="9">
        <f t="shared" si="112"/>
        <v>1.1035474776476975E-2</v>
      </c>
      <c r="F2404" s="9">
        <f t="shared" si="113"/>
        <v>2.0297673669285612E-2</v>
      </c>
      <c r="G2404" s="9">
        <f t="shared" si="111"/>
        <v>1.289125989944751E-2</v>
      </c>
    </row>
    <row r="2405" spans="1:7" x14ac:dyDescent="0.2">
      <c r="A2405" s="12">
        <v>40394</v>
      </c>
      <c r="B2405" s="9">
        <v>424.84</v>
      </c>
      <c r="C2405" s="9">
        <v>421.36</v>
      </c>
      <c r="D2405" s="9">
        <v>423.72</v>
      </c>
      <c r="E2405" s="9">
        <f t="shared" si="112"/>
        <v>-4.2390907057667099E-3</v>
      </c>
      <c r="F2405" s="9">
        <f t="shared" si="113"/>
        <v>2.3617598253076341E-2</v>
      </c>
      <c r="G2405" s="9">
        <f t="shared" si="111"/>
        <v>1.2832238769867719E-2</v>
      </c>
    </row>
    <row r="2406" spans="1:7" x14ac:dyDescent="0.2">
      <c r="A2406" s="12">
        <v>40395</v>
      </c>
      <c r="B2406" s="9">
        <v>429.09</v>
      </c>
      <c r="C2406" s="9">
        <v>424.81</v>
      </c>
      <c r="D2406" s="9">
        <v>424.84</v>
      </c>
      <c r="E2406" s="9">
        <f t="shared" si="112"/>
        <v>2.6397677250434661E-3</v>
      </c>
      <c r="F2406" s="9">
        <f t="shared" si="113"/>
        <v>4.2874872288012018E-2</v>
      </c>
      <c r="G2406" s="9">
        <f t="shared" si="111"/>
        <v>1.2406156615425084E-2</v>
      </c>
    </row>
    <row r="2407" spans="1:7" x14ac:dyDescent="0.2">
      <c r="A2407" s="12">
        <v>40396</v>
      </c>
      <c r="B2407" s="9">
        <v>427.56</v>
      </c>
      <c r="C2407" s="9">
        <v>419.1</v>
      </c>
      <c r="D2407" s="9">
        <v>419.48</v>
      </c>
      <c r="E2407" s="9">
        <f t="shared" si="112"/>
        <v>-1.2696778487134403E-2</v>
      </c>
      <c r="F2407" s="9">
        <f t="shared" si="113"/>
        <v>3.9186385526594772E-2</v>
      </c>
      <c r="G2407" s="9">
        <f t="shared" ref="G2407:G2470" si="114">STDEV(E2378:E2407)</f>
        <v>1.2530813327208115E-2</v>
      </c>
    </row>
    <row r="2408" spans="1:7" x14ac:dyDescent="0.2">
      <c r="A2408" s="12">
        <v>40399</v>
      </c>
      <c r="B2408" s="9">
        <v>425.49</v>
      </c>
      <c r="C2408" s="9">
        <v>423.04</v>
      </c>
      <c r="D2408" s="9">
        <v>425.49</v>
      </c>
      <c r="E2408" s="9">
        <f t="shared" si="112"/>
        <v>1.4225597008421426E-2</v>
      </c>
      <c r="F2408" s="9">
        <f t="shared" si="113"/>
        <v>5.0663877863074601E-2</v>
      </c>
      <c r="G2408" s="9">
        <f t="shared" si="114"/>
        <v>1.2749655218111252E-2</v>
      </c>
    </row>
    <row r="2409" spans="1:7" x14ac:dyDescent="0.2">
      <c r="A2409" s="12">
        <v>40400</v>
      </c>
      <c r="B2409" s="9">
        <v>425.04</v>
      </c>
      <c r="C2409" s="9">
        <v>419.47</v>
      </c>
      <c r="D2409" s="9">
        <v>420.2</v>
      </c>
      <c r="E2409" s="9">
        <f t="shared" si="112"/>
        <v>-1.2510657563725847E-2</v>
      </c>
      <c r="F2409" s="9">
        <f t="shared" si="113"/>
        <v>7.1844216316165693E-2</v>
      </c>
      <c r="G2409" s="9">
        <f t="shared" si="114"/>
        <v>1.1217287736460123E-2</v>
      </c>
    </row>
    <row r="2410" spans="1:7" x14ac:dyDescent="0.2">
      <c r="A2410" s="12">
        <v>40401</v>
      </c>
      <c r="B2410" s="9">
        <v>418.48</v>
      </c>
      <c r="C2410" s="9">
        <v>411.76</v>
      </c>
      <c r="D2410" s="9">
        <v>411.78</v>
      </c>
      <c r="E2410" s="9">
        <f t="shared" si="112"/>
        <v>-2.024156226230173E-2</v>
      </c>
      <c r="F2410" s="9">
        <f t="shared" si="113"/>
        <v>4.6628724988977154E-2</v>
      </c>
      <c r="G2410" s="9">
        <f t="shared" si="114"/>
        <v>1.1938864528484914E-2</v>
      </c>
    </row>
    <row r="2411" spans="1:7" x14ac:dyDescent="0.2">
      <c r="A2411" s="12">
        <v>40402</v>
      </c>
      <c r="B2411" s="9">
        <v>416.73</v>
      </c>
      <c r="C2411" s="9">
        <v>408.6</v>
      </c>
      <c r="D2411" s="9">
        <v>412.69</v>
      </c>
      <c r="E2411" s="9">
        <f t="shared" si="112"/>
        <v>2.2074796403343954E-3</v>
      </c>
      <c r="F2411" s="9">
        <f t="shared" si="113"/>
        <v>7.2757525509521165E-2</v>
      </c>
      <c r="G2411" s="9">
        <f t="shared" si="114"/>
        <v>1.0926432398102461E-2</v>
      </c>
    </row>
    <row r="2412" spans="1:7" x14ac:dyDescent="0.2">
      <c r="A2412" s="12">
        <v>40403</v>
      </c>
      <c r="B2412" s="9">
        <v>416.4</v>
      </c>
      <c r="C2412" s="9">
        <v>408.73</v>
      </c>
      <c r="D2412" s="9">
        <v>412.99</v>
      </c>
      <c r="E2412" s="9">
        <f t="shared" si="112"/>
        <v>7.2667380389837143E-4</v>
      </c>
      <c r="F2412" s="9">
        <f t="shared" si="113"/>
        <v>5.6405225389775222E-2</v>
      </c>
      <c r="G2412" s="9">
        <f t="shared" si="114"/>
        <v>1.0572347030595305E-2</v>
      </c>
    </row>
    <row r="2413" spans="1:7" x14ac:dyDescent="0.2">
      <c r="A2413" s="12">
        <v>40406</v>
      </c>
      <c r="B2413" s="9">
        <v>415.4</v>
      </c>
      <c r="C2413" s="9">
        <v>408.07</v>
      </c>
      <c r="D2413" s="9">
        <v>411.32</v>
      </c>
      <c r="E2413" s="9">
        <f t="shared" si="112"/>
        <v>-4.0518792318412098E-3</v>
      </c>
      <c r="F2413" s="9">
        <f t="shared" si="113"/>
        <v>4.951370700706665E-2</v>
      </c>
      <c r="G2413" s="9">
        <f t="shared" si="114"/>
        <v>1.0625516967734384E-2</v>
      </c>
    </row>
    <row r="2414" spans="1:7" x14ac:dyDescent="0.2">
      <c r="A2414" s="12">
        <v>40407</v>
      </c>
      <c r="B2414" s="9">
        <v>416.08</v>
      </c>
      <c r="C2414" s="9">
        <v>411.84</v>
      </c>
      <c r="D2414" s="9">
        <v>416.05</v>
      </c>
      <c r="E2414" s="9">
        <f t="shared" si="112"/>
        <v>1.1433944985449114E-2</v>
      </c>
      <c r="F2414" s="9">
        <f t="shared" si="113"/>
        <v>3.5722452715745964E-2</v>
      </c>
      <c r="G2414" s="9">
        <f t="shared" si="114"/>
        <v>9.8396714947489652E-3</v>
      </c>
    </row>
    <row r="2415" spans="1:7" x14ac:dyDescent="0.2">
      <c r="A2415" s="12">
        <v>40408</v>
      </c>
      <c r="B2415" s="9">
        <v>413.5</v>
      </c>
      <c r="C2415" s="9">
        <v>404.41</v>
      </c>
      <c r="D2415" s="9">
        <v>408.46</v>
      </c>
      <c r="E2415" s="9">
        <f t="shared" si="112"/>
        <v>-1.8411455057427174E-2</v>
      </c>
      <c r="F2415" s="9">
        <f t="shared" si="113"/>
        <v>1.0212079839834154E-2</v>
      </c>
      <c r="G2415" s="9">
        <f t="shared" si="114"/>
        <v>1.0397947736607151E-2</v>
      </c>
    </row>
    <row r="2416" spans="1:7" x14ac:dyDescent="0.2">
      <c r="A2416" s="12">
        <v>40409</v>
      </c>
      <c r="B2416" s="9">
        <v>412.43</v>
      </c>
      <c r="C2416" s="9">
        <v>403.86</v>
      </c>
      <c r="D2416" s="9">
        <v>404.4</v>
      </c>
      <c r="E2416" s="9">
        <f t="shared" si="112"/>
        <v>-9.9895031426954339E-3</v>
      </c>
      <c r="F2416" s="9">
        <f t="shared" si="113"/>
        <v>-6.3595570397269137E-3</v>
      </c>
      <c r="G2416" s="9">
        <f t="shared" si="114"/>
        <v>1.0494655408801193E-2</v>
      </c>
    </row>
    <row r="2417" spans="1:7" x14ac:dyDescent="0.2">
      <c r="A2417" s="12">
        <v>40410</v>
      </c>
      <c r="B2417" s="9">
        <v>404.52</v>
      </c>
      <c r="C2417" s="9">
        <v>394.76</v>
      </c>
      <c r="D2417" s="9">
        <v>398.29</v>
      </c>
      <c r="E2417" s="9">
        <f t="shared" si="112"/>
        <v>-1.5224103977386135E-2</v>
      </c>
      <c r="F2417" s="9">
        <f t="shared" si="113"/>
        <v>-2.0600328423987853E-2</v>
      </c>
      <c r="G2417" s="9">
        <f t="shared" si="114"/>
        <v>1.0846904403592142E-2</v>
      </c>
    </row>
    <row r="2418" spans="1:7" x14ac:dyDescent="0.2">
      <c r="A2418" s="12">
        <v>40413</v>
      </c>
      <c r="B2418" s="9">
        <v>401.39</v>
      </c>
      <c r="C2418" s="9">
        <v>396.95</v>
      </c>
      <c r="D2418" s="9">
        <v>399.92</v>
      </c>
      <c r="E2418" s="9">
        <f t="shared" si="112"/>
        <v>4.0841439363847615E-3</v>
      </c>
      <c r="F2418" s="9">
        <f t="shared" si="113"/>
        <v>-1.9978137194555001E-2</v>
      </c>
      <c r="G2418" s="9">
        <f t="shared" si="114"/>
        <v>1.0855701536664392E-2</v>
      </c>
    </row>
    <row r="2419" spans="1:7" x14ac:dyDescent="0.2">
      <c r="A2419" s="12">
        <v>40414</v>
      </c>
      <c r="B2419" s="9">
        <v>398.79</v>
      </c>
      <c r="C2419" s="9">
        <v>389.93</v>
      </c>
      <c r="D2419" s="9">
        <v>392.04</v>
      </c>
      <c r="E2419" s="9">
        <f t="shared" si="112"/>
        <v>-1.990065170433581E-2</v>
      </c>
      <c r="F2419" s="9">
        <f t="shared" si="113"/>
        <v>-4.6353042851068525E-2</v>
      </c>
      <c r="G2419" s="9">
        <f t="shared" si="114"/>
        <v>1.1315758678911351E-2</v>
      </c>
    </row>
    <row r="2420" spans="1:7" x14ac:dyDescent="0.2">
      <c r="A2420" s="12">
        <v>40415</v>
      </c>
      <c r="B2420" s="9">
        <v>392.06</v>
      </c>
      <c r="C2420" s="9">
        <v>382.36</v>
      </c>
      <c r="D2420" s="9">
        <v>384.65</v>
      </c>
      <c r="E2420" s="9">
        <f t="shared" si="112"/>
        <v>-1.90300454960355E-2</v>
      </c>
      <c r="F2420" s="9">
        <f t="shared" si="113"/>
        <v>-7.2855586604659281E-2</v>
      </c>
      <c r="G2420" s="9">
        <f t="shared" si="114"/>
        <v>1.1617968807785335E-2</v>
      </c>
    </row>
    <row r="2421" spans="1:7" x14ac:dyDescent="0.2">
      <c r="A2421" s="12">
        <v>40416</v>
      </c>
      <c r="B2421" s="9">
        <v>392.85</v>
      </c>
      <c r="C2421" s="9">
        <v>388.47</v>
      </c>
      <c r="D2421" s="9">
        <v>392.66</v>
      </c>
      <c r="E2421" s="9">
        <f t="shared" si="112"/>
        <v>2.0610267565659517E-2</v>
      </c>
      <c r="F2421" s="9">
        <f t="shared" si="113"/>
        <v>-5.6249666447385993E-2</v>
      </c>
      <c r="G2421" s="9">
        <f t="shared" si="114"/>
        <v>1.2310005498432119E-2</v>
      </c>
    </row>
    <row r="2422" spans="1:7" x14ac:dyDescent="0.2">
      <c r="A2422" s="12">
        <v>40417</v>
      </c>
      <c r="B2422" s="9">
        <v>395.64</v>
      </c>
      <c r="C2422" s="9">
        <v>390.09</v>
      </c>
      <c r="D2422" s="9">
        <v>393.45</v>
      </c>
      <c r="E2422" s="9">
        <f t="shared" si="112"/>
        <v>2.0098975103893541E-3</v>
      </c>
      <c r="F2422" s="9">
        <f t="shared" si="113"/>
        <v>-3.9567681702353134E-2</v>
      </c>
      <c r="G2422" s="9">
        <f t="shared" si="114"/>
        <v>1.2086757008686831E-2</v>
      </c>
    </row>
    <row r="2423" spans="1:7" x14ac:dyDescent="0.2">
      <c r="A2423" s="12">
        <v>40420</v>
      </c>
      <c r="B2423" s="9">
        <v>397.76</v>
      </c>
      <c r="C2423" s="9">
        <v>392.24</v>
      </c>
      <c r="D2423" s="9">
        <v>393.79</v>
      </c>
      <c r="E2423" s="9">
        <f t="shared" si="112"/>
        <v>8.6377730079737218E-4</v>
      </c>
      <c r="F2423" s="9">
        <f t="shared" si="113"/>
        <v>-2.9426398234564079E-2</v>
      </c>
      <c r="G2423" s="9">
        <f t="shared" si="114"/>
        <v>1.1997985600913769E-2</v>
      </c>
    </row>
    <row r="2424" spans="1:7" x14ac:dyDescent="0.2">
      <c r="A2424" s="12">
        <v>40421</v>
      </c>
      <c r="B2424" s="9">
        <v>396.38</v>
      </c>
      <c r="C2424" s="9">
        <v>387.92</v>
      </c>
      <c r="D2424" s="9">
        <v>396.38</v>
      </c>
      <c r="E2424" s="9">
        <f t="shared" si="112"/>
        <v>6.5555748144119387E-3</v>
      </c>
      <c r="F2424" s="9">
        <f t="shared" si="113"/>
        <v>-1.2136558197740652E-2</v>
      </c>
      <c r="G2424" s="9">
        <f t="shared" si="114"/>
        <v>1.1928382702179942E-2</v>
      </c>
    </row>
    <row r="2425" spans="1:7" x14ac:dyDescent="0.2">
      <c r="A2425" s="12">
        <v>40422</v>
      </c>
      <c r="B2425" s="9">
        <v>408.98</v>
      </c>
      <c r="C2425" s="9">
        <v>395.34</v>
      </c>
      <c r="D2425" s="9">
        <v>408.91</v>
      </c>
      <c r="E2425" s="9">
        <f t="shared" si="112"/>
        <v>3.1121735832533214E-2</v>
      </c>
      <c r="F2425" s="9">
        <f t="shared" si="113"/>
        <v>9.5339444914704849E-3</v>
      </c>
      <c r="G2425" s="9">
        <f t="shared" si="114"/>
        <v>1.3140382262776543E-2</v>
      </c>
    </row>
    <row r="2426" spans="1:7" x14ac:dyDescent="0.2">
      <c r="A2426" s="12">
        <v>40423</v>
      </c>
      <c r="B2426" s="9">
        <v>409.96</v>
      </c>
      <c r="C2426" s="9">
        <v>405.7</v>
      </c>
      <c r="D2426" s="9">
        <v>406.71</v>
      </c>
      <c r="E2426" s="9">
        <f t="shared" si="112"/>
        <v>-5.3946821693271821E-3</v>
      </c>
      <c r="F2426" s="9">
        <f t="shared" si="113"/>
        <v>-7.6664388715391623E-3</v>
      </c>
      <c r="G2426" s="9">
        <f t="shared" si="114"/>
        <v>1.2996310453176417E-2</v>
      </c>
    </row>
    <row r="2427" spans="1:7" x14ac:dyDescent="0.2">
      <c r="A2427" s="12">
        <v>40424</v>
      </c>
      <c r="B2427" s="9">
        <v>411.76</v>
      </c>
      <c r="C2427" s="9">
        <v>405.11</v>
      </c>
      <c r="D2427" s="9">
        <v>408.29</v>
      </c>
      <c r="E2427" s="9">
        <f t="shared" si="112"/>
        <v>3.8773054709449095E-3</v>
      </c>
      <c r="F2427" s="9">
        <f t="shared" si="113"/>
        <v>-6.5911770696375129E-3</v>
      </c>
      <c r="G2427" s="9">
        <f t="shared" si="114"/>
        <v>1.3006512357918157E-2</v>
      </c>
    </row>
    <row r="2428" spans="1:7" x14ac:dyDescent="0.2">
      <c r="A2428" s="12">
        <v>40427</v>
      </c>
      <c r="B2428" s="9">
        <v>411.1</v>
      </c>
      <c r="C2428" s="9">
        <v>406.37</v>
      </c>
      <c r="D2428" s="9">
        <v>407.48</v>
      </c>
      <c r="E2428" s="9">
        <f t="shared" si="112"/>
        <v>-1.9858545084869362E-3</v>
      </c>
      <c r="F2428" s="9">
        <f t="shared" si="113"/>
        <v>-1.2389798020837856E-2</v>
      </c>
      <c r="G2428" s="9">
        <f t="shared" si="114"/>
        <v>1.2987592481240838E-2</v>
      </c>
    </row>
    <row r="2429" spans="1:7" x14ac:dyDescent="0.2">
      <c r="A2429" s="12">
        <v>40428</v>
      </c>
      <c r="B2429" s="9">
        <v>408.02</v>
      </c>
      <c r="C2429" s="9">
        <v>405.16</v>
      </c>
      <c r="D2429" s="9">
        <v>407.65</v>
      </c>
      <c r="E2429" s="9">
        <f t="shared" si="112"/>
        <v>4.1711138705406134E-4</v>
      </c>
      <c r="F2429" s="9">
        <f t="shared" si="113"/>
        <v>-1.5601927751645744E-2</v>
      </c>
      <c r="G2429" s="9">
        <f t="shared" si="114"/>
        <v>1.2966341951246962E-2</v>
      </c>
    </row>
    <row r="2430" spans="1:7" x14ac:dyDescent="0.2">
      <c r="A2430" s="12">
        <v>40429</v>
      </c>
      <c r="B2430" s="9">
        <v>409.68</v>
      </c>
      <c r="C2430" s="9">
        <v>403.44</v>
      </c>
      <c r="D2430" s="9">
        <v>408.64</v>
      </c>
      <c r="E2430" s="9">
        <f t="shared" si="112"/>
        <v>2.4256097352545964E-3</v>
      </c>
      <c r="F2430" s="9">
        <f t="shared" si="113"/>
        <v>-1.0419296753214926E-2</v>
      </c>
      <c r="G2430" s="9">
        <f t="shared" si="114"/>
        <v>1.2970034935750895E-2</v>
      </c>
    </row>
    <row r="2431" spans="1:7" x14ac:dyDescent="0.2">
      <c r="A2431" s="12">
        <v>40430</v>
      </c>
      <c r="B2431" s="9">
        <v>415.65</v>
      </c>
      <c r="C2431" s="9">
        <v>407.25</v>
      </c>
      <c r="D2431" s="9">
        <v>415.37</v>
      </c>
      <c r="E2431" s="9">
        <f t="shared" si="112"/>
        <v>1.6335116442456353E-2</v>
      </c>
      <c r="F2431" s="9">
        <f t="shared" si="113"/>
        <v>7.4660119311636671E-4</v>
      </c>
      <c r="G2431" s="9">
        <f t="shared" si="114"/>
        <v>1.3290063353828253E-2</v>
      </c>
    </row>
    <row r="2432" spans="1:7" x14ac:dyDescent="0.2">
      <c r="A2432" s="12">
        <v>40431</v>
      </c>
      <c r="B2432" s="9">
        <v>420.59</v>
      </c>
      <c r="C2432" s="9">
        <v>414.19</v>
      </c>
      <c r="D2432" s="9">
        <v>416.34</v>
      </c>
      <c r="E2432" s="9">
        <f t="shared" si="112"/>
        <v>2.3325448528818049E-3</v>
      </c>
      <c r="F2432" s="9">
        <f t="shared" si="113"/>
        <v>1.3322730513955982E-2</v>
      </c>
      <c r="G2432" s="9">
        <f t="shared" si="114"/>
        <v>1.3152631246849707E-2</v>
      </c>
    </row>
    <row r="2433" spans="1:7" x14ac:dyDescent="0.2">
      <c r="A2433" s="12">
        <v>40434</v>
      </c>
      <c r="B2433" s="9">
        <v>422.25</v>
      </c>
      <c r="C2433" s="9">
        <v>418.84</v>
      </c>
      <c r="D2433" s="9">
        <v>419.74</v>
      </c>
      <c r="E2433" s="9">
        <f t="shared" si="112"/>
        <v>8.1332378297626715E-3</v>
      </c>
      <c r="F2433" s="9">
        <f t="shared" si="113"/>
        <v>-2.6410036883099011E-3</v>
      </c>
      <c r="G2433" s="9">
        <f t="shared" si="114"/>
        <v>1.2467791687740598E-2</v>
      </c>
    </row>
    <row r="2434" spans="1:7" x14ac:dyDescent="0.2">
      <c r="A2434" s="12">
        <v>40435</v>
      </c>
      <c r="B2434" s="9">
        <v>421.7</v>
      </c>
      <c r="C2434" s="9">
        <v>416.77</v>
      </c>
      <c r="D2434" s="9">
        <v>419.47</v>
      </c>
      <c r="E2434" s="9">
        <f t="shared" si="112"/>
        <v>-6.4346232603509348E-4</v>
      </c>
      <c r="F2434" s="9">
        <f t="shared" si="113"/>
        <v>-1.4319940790821998E-2</v>
      </c>
      <c r="G2434" s="9">
        <f t="shared" si="114"/>
        <v>1.2289550562185607E-2</v>
      </c>
    </row>
    <row r="2435" spans="1:7" x14ac:dyDescent="0.2">
      <c r="A2435" s="12">
        <v>40436</v>
      </c>
      <c r="B2435" s="9">
        <v>421.27</v>
      </c>
      <c r="C2435" s="9">
        <v>414.11</v>
      </c>
      <c r="D2435" s="9">
        <v>416.77</v>
      </c>
      <c r="E2435" s="9">
        <f t="shared" si="112"/>
        <v>-6.4574987619196479E-3</v>
      </c>
      <c r="F2435" s="9">
        <f t="shared" si="113"/>
        <v>-1.6538348846974974E-2</v>
      </c>
      <c r="G2435" s="9">
        <f t="shared" si="114"/>
        <v>1.2319603192640008E-2</v>
      </c>
    </row>
    <row r="2436" spans="1:7" x14ac:dyDescent="0.2">
      <c r="A2436" s="12">
        <v>40437</v>
      </c>
      <c r="B2436" s="9">
        <v>418.54</v>
      </c>
      <c r="C2436" s="9">
        <v>412.91</v>
      </c>
      <c r="D2436" s="9">
        <v>413.23</v>
      </c>
      <c r="E2436" s="9">
        <f t="shared" ref="E2436:E2499" si="115">LN(D2436/D2435)</f>
        <v>-8.5301722055568501E-3</v>
      </c>
      <c r="F2436" s="9">
        <f t="shared" si="113"/>
        <v>-2.7708288777575217E-2</v>
      </c>
      <c r="G2436" s="9">
        <f t="shared" si="114"/>
        <v>1.238843609377022E-2</v>
      </c>
    </row>
    <row r="2437" spans="1:7" x14ac:dyDescent="0.2">
      <c r="A2437" s="12">
        <v>40438</v>
      </c>
      <c r="B2437" s="9">
        <v>417.93</v>
      </c>
      <c r="C2437" s="9">
        <v>411.34</v>
      </c>
      <c r="D2437" s="9">
        <v>412.9</v>
      </c>
      <c r="E2437" s="9">
        <f t="shared" si="115"/>
        <v>-7.9890578371905464E-4</v>
      </c>
      <c r="F2437" s="9">
        <f t="shared" si="113"/>
        <v>-1.581041607415987E-2</v>
      </c>
      <c r="G2437" s="9">
        <f t="shared" si="114"/>
        <v>1.2187354266952728E-2</v>
      </c>
    </row>
    <row r="2438" spans="1:7" x14ac:dyDescent="0.2">
      <c r="A2438" s="12">
        <v>40441</v>
      </c>
      <c r="B2438" s="9">
        <v>415.42</v>
      </c>
      <c r="C2438" s="9">
        <v>412.64</v>
      </c>
      <c r="D2438" s="9">
        <v>415.4</v>
      </c>
      <c r="E2438" s="9">
        <f t="shared" si="115"/>
        <v>6.0364785499673812E-3</v>
      </c>
      <c r="F2438" s="9">
        <f t="shared" si="113"/>
        <v>-2.3999534532613984E-2</v>
      </c>
      <c r="G2438" s="9">
        <f t="shared" si="114"/>
        <v>1.1934622241172017E-2</v>
      </c>
    </row>
    <row r="2439" spans="1:7" x14ac:dyDescent="0.2">
      <c r="A2439" s="12">
        <v>40442</v>
      </c>
      <c r="B2439" s="9">
        <v>419.12</v>
      </c>
      <c r="C2439" s="9">
        <v>416.28</v>
      </c>
      <c r="D2439" s="9">
        <v>417.54</v>
      </c>
      <c r="E2439" s="9">
        <f t="shared" si="115"/>
        <v>5.1384366428017482E-3</v>
      </c>
      <c r="F2439" s="9">
        <f t="shared" si="113"/>
        <v>-6.3504403260862888E-3</v>
      </c>
      <c r="G2439" s="9">
        <f t="shared" si="114"/>
        <v>1.1771331329965554E-2</v>
      </c>
    </row>
    <row r="2440" spans="1:7" x14ac:dyDescent="0.2">
      <c r="A2440" s="12">
        <v>40443</v>
      </c>
      <c r="B2440" s="9">
        <v>419.85</v>
      </c>
      <c r="C2440" s="9">
        <v>415.18</v>
      </c>
      <c r="D2440" s="9">
        <v>417.61</v>
      </c>
      <c r="E2440" s="9">
        <f t="shared" si="115"/>
        <v>1.6763455705896051E-4</v>
      </c>
      <c r="F2440" s="9">
        <f t="shared" si="113"/>
        <v>1.4058756493274491E-2</v>
      </c>
      <c r="G2440" s="9">
        <f t="shared" si="114"/>
        <v>1.1147020999261065E-2</v>
      </c>
    </row>
    <row r="2441" spans="1:7" x14ac:dyDescent="0.2">
      <c r="A2441" s="12">
        <v>40444</v>
      </c>
      <c r="B2441" s="9">
        <v>419.94</v>
      </c>
      <c r="C2441" s="9">
        <v>412.17</v>
      </c>
      <c r="D2441" s="9">
        <v>416.09</v>
      </c>
      <c r="E2441" s="9">
        <f t="shared" si="115"/>
        <v>-3.646399626217601E-3</v>
      </c>
      <c r="F2441" s="9">
        <f t="shared" si="113"/>
        <v>8.204877226722411E-3</v>
      </c>
      <c r="G2441" s="9">
        <f t="shared" si="114"/>
        <v>1.1166751432209278E-2</v>
      </c>
    </row>
    <row r="2442" spans="1:7" x14ac:dyDescent="0.2">
      <c r="A2442" s="12">
        <v>40445</v>
      </c>
      <c r="B2442" s="9">
        <v>419.88</v>
      </c>
      <c r="C2442" s="9">
        <v>413.86</v>
      </c>
      <c r="D2442" s="9">
        <v>419.28</v>
      </c>
      <c r="E2442" s="9">
        <f t="shared" si="115"/>
        <v>7.637371478255676E-3</v>
      </c>
      <c r="F2442" s="9">
        <f t="shared" si="113"/>
        <v>1.5115574901079707E-2</v>
      </c>
      <c r="G2442" s="9">
        <f t="shared" si="114"/>
        <v>1.1247410671187308E-2</v>
      </c>
    </row>
    <row r="2443" spans="1:7" x14ac:dyDescent="0.2">
      <c r="A2443" s="12">
        <v>40448</v>
      </c>
      <c r="B2443" s="9">
        <v>421</v>
      </c>
      <c r="C2443" s="9">
        <v>416.45</v>
      </c>
      <c r="D2443" s="9">
        <v>417.05</v>
      </c>
      <c r="E2443" s="9">
        <f t="shared" si="115"/>
        <v>-5.3328358062898562E-3</v>
      </c>
      <c r="F2443" s="9">
        <f t="shared" si="113"/>
        <v>1.3834618326630983E-2</v>
      </c>
      <c r="G2443" s="9">
        <f t="shared" si="114"/>
        <v>1.1267715096156001E-2</v>
      </c>
    </row>
    <row r="2444" spans="1:7" x14ac:dyDescent="0.2">
      <c r="A2444" s="12">
        <v>40449</v>
      </c>
      <c r="B2444" s="9">
        <v>416.82</v>
      </c>
      <c r="C2444" s="9">
        <v>410.64</v>
      </c>
      <c r="D2444" s="9">
        <v>416.1</v>
      </c>
      <c r="E2444" s="9">
        <f t="shared" si="115"/>
        <v>-2.2805026987252177E-3</v>
      </c>
      <c r="F2444" s="9">
        <f t="shared" si="113"/>
        <v>1.2017064245669832E-4</v>
      </c>
      <c r="G2444" s="9">
        <f t="shared" si="114"/>
        <v>1.1083889680797729E-2</v>
      </c>
    </row>
    <row r="2445" spans="1:7" x14ac:dyDescent="0.2">
      <c r="A2445" s="12">
        <v>40450</v>
      </c>
      <c r="B2445" s="9">
        <v>418.39</v>
      </c>
      <c r="C2445" s="9">
        <v>414.22</v>
      </c>
      <c r="D2445" s="9">
        <v>415.12</v>
      </c>
      <c r="E2445" s="9">
        <f t="shared" si="115"/>
        <v>-2.3579809294114362E-3</v>
      </c>
      <c r="F2445" s="9">
        <f t="shared" si="113"/>
        <v>1.6173644770472444E-2</v>
      </c>
      <c r="G2445" s="9">
        <f t="shared" si="114"/>
        <v>1.053824728903258E-2</v>
      </c>
    </row>
    <row r="2446" spans="1:7" x14ac:dyDescent="0.2">
      <c r="A2446" s="12">
        <v>40451</v>
      </c>
      <c r="B2446" s="9">
        <v>418.08</v>
      </c>
      <c r="C2446" s="9">
        <v>411.99</v>
      </c>
      <c r="D2446" s="9">
        <v>416.96</v>
      </c>
      <c r="E2446" s="9">
        <f t="shared" si="115"/>
        <v>4.4226588769959553E-3</v>
      </c>
      <c r="F2446" s="9">
        <f t="shared" si="113"/>
        <v>3.0585806790164032E-2</v>
      </c>
      <c r="G2446" s="9">
        <f t="shared" si="114"/>
        <v>1.0368871297038907E-2</v>
      </c>
    </row>
    <row r="2447" spans="1:7" x14ac:dyDescent="0.2">
      <c r="A2447" s="12">
        <v>40452</v>
      </c>
      <c r="B2447" s="9">
        <v>417.28</v>
      </c>
      <c r="C2447" s="9">
        <v>411.19</v>
      </c>
      <c r="D2447" s="9">
        <v>412.1</v>
      </c>
      <c r="E2447" s="9">
        <f t="shared" si="115"/>
        <v>-1.1724255591708579E-2</v>
      </c>
      <c r="F2447" s="9">
        <f t="shared" si="113"/>
        <v>3.4085655175841487E-2</v>
      </c>
      <c r="G2447" s="9">
        <f t="shared" si="114"/>
        <v>1.019809214319015E-2</v>
      </c>
    </row>
    <row r="2448" spans="1:7" x14ac:dyDescent="0.2">
      <c r="A2448" s="12">
        <v>40455</v>
      </c>
      <c r="B2448" s="9">
        <v>413.08</v>
      </c>
      <c r="C2448" s="9">
        <v>407.72</v>
      </c>
      <c r="D2448" s="9">
        <v>408.35</v>
      </c>
      <c r="E2448" s="9">
        <f t="shared" si="115"/>
        <v>-9.1413885404870131E-3</v>
      </c>
      <c r="F2448" s="9">
        <f t="shared" si="113"/>
        <v>2.0860122698969877E-2</v>
      </c>
      <c r="G2448" s="9">
        <f t="shared" si="114"/>
        <v>1.0350977091780348E-2</v>
      </c>
    </row>
    <row r="2449" spans="1:7" x14ac:dyDescent="0.2">
      <c r="A2449" s="12">
        <v>40456</v>
      </c>
      <c r="B2449" s="9">
        <v>412.91</v>
      </c>
      <c r="C2449" s="9">
        <v>406.96</v>
      </c>
      <c r="D2449" s="9">
        <v>412.01</v>
      </c>
      <c r="E2449" s="9">
        <f t="shared" si="115"/>
        <v>8.9229710953452768E-3</v>
      </c>
      <c r="F2449" s="9">
        <f t="shared" si="113"/>
        <v>4.9683745498651032E-2</v>
      </c>
      <c r="G2449" s="9">
        <f t="shared" si="114"/>
        <v>9.6899252500611648E-3</v>
      </c>
    </row>
    <row r="2450" spans="1:7" x14ac:dyDescent="0.2">
      <c r="A2450" s="12">
        <v>40457</v>
      </c>
      <c r="B2450" s="9">
        <v>419.22</v>
      </c>
      <c r="C2450" s="9">
        <v>414</v>
      </c>
      <c r="D2450" s="9">
        <v>418.46</v>
      </c>
      <c r="E2450" s="9">
        <f t="shared" si="115"/>
        <v>1.5533685011474929E-2</v>
      </c>
      <c r="F2450" s="9">
        <f t="shared" si="113"/>
        <v>8.4247476006161406E-2</v>
      </c>
      <c r="G2450" s="9">
        <f t="shared" si="114"/>
        <v>9.187307973318572E-3</v>
      </c>
    </row>
    <row r="2451" spans="1:7" x14ac:dyDescent="0.2">
      <c r="A2451" s="12">
        <v>40458</v>
      </c>
      <c r="B2451" s="9">
        <v>419.9</v>
      </c>
      <c r="C2451" s="9">
        <v>415.31</v>
      </c>
      <c r="D2451" s="9">
        <v>418.77</v>
      </c>
      <c r="E2451" s="9">
        <f t="shared" si="115"/>
        <v>7.4053728167140797E-4</v>
      </c>
      <c r="F2451" s="9">
        <f t="shared" si="113"/>
        <v>6.4377745722173488E-2</v>
      </c>
      <c r="G2451" s="9">
        <f t="shared" si="114"/>
        <v>8.5540786294057338E-3</v>
      </c>
    </row>
    <row r="2452" spans="1:7" x14ac:dyDescent="0.2">
      <c r="A2452" s="12">
        <v>40459</v>
      </c>
      <c r="B2452" s="9">
        <v>418.16</v>
      </c>
      <c r="C2452" s="9">
        <v>413.72</v>
      </c>
      <c r="D2452" s="9">
        <v>415.66</v>
      </c>
      <c r="E2452" s="9">
        <f t="shared" si="115"/>
        <v>-7.4542248018493714E-3</v>
      </c>
      <c r="F2452" s="9">
        <f t="shared" si="113"/>
        <v>5.4913623409934817E-2</v>
      </c>
      <c r="G2452" s="9">
        <f t="shared" si="114"/>
        <v>8.7319356211787123E-3</v>
      </c>
    </row>
    <row r="2453" spans="1:7" x14ac:dyDescent="0.2">
      <c r="A2453" s="12">
        <v>40462</v>
      </c>
      <c r="B2453" s="9">
        <v>420.76</v>
      </c>
      <c r="C2453" s="9">
        <v>414.65</v>
      </c>
      <c r="D2453" s="9">
        <v>420.76</v>
      </c>
      <c r="E2453" s="9">
        <f t="shared" si="115"/>
        <v>1.2194981480146177E-2</v>
      </c>
      <c r="F2453" s="9">
        <f t="shared" si="113"/>
        <v>6.62448275892836E-2</v>
      </c>
      <c r="G2453" s="9">
        <f t="shared" si="114"/>
        <v>8.9314697049281359E-3</v>
      </c>
    </row>
    <row r="2454" spans="1:7" x14ac:dyDescent="0.2">
      <c r="A2454" s="12">
        <v>40463</v>
      </c>
      <c r="B2454" s="9">
        <v>421.66</v>
      </c>
      <c r="C2454" s="9">
        <v>416.72</v>
      </c>
      <c r="D2454" s="9">
        <v>420.66</v>
      </c>
      <c r="E2454" s="9">
        <f t="shared" si="115"/>
        <v>-2.3769342414204034E-4</v>
      </c>
      <c r="F2454" s="9">
        <f t="shared" si="113"/>
        <v>5.9451559350729606E-2</v>
      </c>
      <c r="G2454" s="9">
        <f t="shared" si="114"/>
        <v>8.9035198278022577E-3</v>
      </c>
    </row>
    <row r="2455" spans="1:7" x14ac:dyDescent="0.2">
      <c r="A2455" s="12">
        <v>40464</v>
      </c>
      <c r="B2455" s="9">
        <v>428.74</v>
      </c>
      <c r="C2455" s="9">
        <v>421.83</v>
      </c>
      <c r="D2455" s="9">
        <v>428.56</v>
      </c>
      <c r="E2455" s="9">
        <f t="shared" si="115"/>
        <v>1.8605845125773644E-2</v>
      </c>
      <c r="F2455" s="9">
        <f t="shared" si="113"/>
        <v>4.6935668643970002E-2</v>
      </c>
      <c r="G2455" s="9">
        <f t="shared" si="114"/>
        <v>7.7033505696110713E-3</v>
      </c>
    </row>
    <row r="2456" spans="1:7" x14ac:dyDescent="0.2">
      <c r="A2456" s="12">
        <v>40465</v>
      </c>
      <c r="B2456" s="9">
        <v>428.69</v>
      </c>
      <c r="C2456" s="9">
        <v>422.56</v>
      </c>
      <c r="D2456" s="9">
        <v>423.65</v>
      </c>
      <c r="E2456" s="9">
        <f t="shared" si="115"/>
        <v>-1.1523108928231846E-2</v>
      </c>
      <c r="F2456" s="9">
        <f t="shared" si="113"/>
        <v>4.0807241885065397E-2</v>
      </c>
      <c r="G2456" s="9">
        <f t="shared" si="114"/>
        <v>7.9708744244964859E-3</v>
      </c>
    </row>
    <row r="2457" spans="1:7" x14ac:dyDescent="0.2">
      <c r="A2457" s="12">
        <v>40466</v>
      </c>
      <c r="B2457" s="9">
        <v>424.82</v>
      </c>
      <c r="C2457" s="9">
        <v>419.65</v>
      </c>
      <c r="D2457" s="9">
        <v>420.47</v>
      </c>
      <c r="E2457" s="9">
        <f t="shared" si="115"/>
        <v>-7.5345094150742545E-3</v>
      </c>
      <c r="F2457" s="9">
        <f t="shared" si="113"/>
        <v>2.9395426999046122E-2</v>
      </c>
      <c r="G2457" s="9">
        <f t="shared" si="114"/>
        <v>8.1175636104318816E-3</v>
      </c>
    </row>
    <row r="2458" spans="1:7" x14ac:dyDescent="0.2">
      <c r="A2458" s="12">
        <v>40469</v>
      </c>
      <c r="B2458" s="9">
        <v>420.45</v>
      </c>
      <c r="C2458" s="9">
        <v>413.76</v>
      </c>
      <c r="D2458" s="9">
        <v>413.76</v>
      </c>
      <c r="E2458" s="9">
        <f t="shared" si="115"/>
        <v>-1.6087037645906195E-2</v>
      </c>
      <c r="F2458" s="9">
        <f t="shared" si="113"/>
        <v>1.5294243861627062E-2</v>
      </c>
      <c r="G2458" s="9">
        <f t="shared" si="114"/>
        <v>8.68372516595361E-3</v>
      </c>
    </row>
    <row r="2459" spans="1:7" x14ac:dyDescent="0.2">
      <c r="A2459" s="12">
        <v>40470</v>
      </c>
      <c r="B2459" s="9">
        <v>413.95</v>
      </c>
      <c r="C2459" s="9">
        <v>406.97</v>
      </c>
      <c r="D2459" s="9">
        <v>409.12</v>
      </c>
      <c r="E2459" s="9">
        <f t="shared" si="115"/>
        <v>-1.1277584040616153E-2</v>
      </c>
      <c r="F2459" s="9">
        <f t="shared" si="113"/>
        <v>3.5995484339568298E-3</v>
      </c>
      <c r="G2459" s="9">
        <f t="shared" si="114"/>
        <v>8.9465473172094575E-3</v>
      </c>
    </row>
    <row r="2460" spans="1:7" x14ac:dyDescent="0.2">
      <c r="A2460" s="12">
        <v>40471</v>
      </c>
      <c r="B2460" s="9">
        <v>423.51</v>
      </c>
      <c r="C2460" s="9">
        <v>414.8</v>
      </c>
      <c r="D2460" s="9">
        <v>421.93</v>
      </c>
      <c r="E2460" s="9">
        <f t="shared" si="115"/>
        <v>3.083091195680986E-2</v>
      </c>
      <c r="F2460" s="9">
        <f t="shared" si="113"/>
        <v>3.2004850655511966E-2</v>
      </c>
      <c r="G2460" s="9">
        <f t="shared" si="114"/>
        <v>1.0557119377580346E-2</v>
      </c>
    </row>
    <row r="2461" spans="1:7" x14ac:dyDescent="0.2">
      <c r="A2461" s="12">
        <v>40472</v>
      </c>
      <c r="B2461" s="9">
        <v>427.87</v>
      </c>
      <c r="C2461" s="9">
        <v>420.4</v>
      </c>
      <c r="D2461" s="9">
        <v>426.99</v>
      </c>
      <c r="E2461" s="9">
        <f t="shared" si="115"/>
        <v>1.1921170250957305E-2</v>
      </c>
      <c r="F2461" s="9">
        <f t="shared" si="113"/>
        <v>2.7590904464012959E-2</v>
      </c>
      <c r="G2461" s="9">
        <f t="shared" si="114"/>
        <v>1.0366020423508066E-2</v>
      </c>
    </row>
    <row r="2462" spans="1:7" x14ac:dyDescent="0.2">
      <c r="A2462" s="12">
        <v>40473</v>
      </c>
      <c r="B2462" s="9">
        <v>426.55</v>
      </c>
      <c r="C2462" s="9">
        <v>421.87</v>
      </c>
      <c r="D2462" s="9">
        <v>424.72</v>
      </c>
      <c r="E2462" s="9">
        <f t="shared" si="115"/>
        <v>-5.3304654752275599E-3</v>
      </c>
      <c r="F2462" s="9">
        <f t="shared" si="113"/>
        <v>1.9927894135903568E-2</v>
      </c>
      <c r="G2462" s="9">
        <f t="shared" si="114"/>
        <v>1.042425553675355E-2</v>
      </c>
    </row>
    <row r="2463" spans="1:7" x14ac:dyDescent="0.2">
      <c r="A2463" s="12">
        <v>40476</v>
      </c>
      <c r="B2463" s="9">
        <v>428.47</v>
      </c>
      <c r="C2463" s="9">
        <v>425.3</v>
      </c>
      <c r="D2463" s="9">
        <v>427.85</v>
      </c>
      <c r="E2463" s="9">
        <f t="shared" si="115"/>
        <v>7.3425385886477E-3</v>
      </c>
      <c r="F2463" s="9">
        <f t="shared" si="113"/>
        <v>1.9137194894788694E-2</v>
      </c>
      <c r="G2463" s="9">
        <f t="shared" si="114"/>
        <v>1.0405702914570221E-2</v>
      </c>
    </row>
    <row r="2464" spans="1:7" x14ac:dyDescent="0.2">
      <c r="A2464" s="12">
        <v>40477</v>
      </c>
      <c r="B2464" s="9">
        <v>430.09</v>
      </c>
      <c r="C2464" s="9">
        <v>420.12</v>
      </c>
      <c r="D2464" s="9">
        <v>420.93</v>
      </c>
      <c r="E2464" s="9">
        <f t="shared" si="115"/>
        <v>-1.6306117790049646E-2</v>
      </c>
      <c r="F2464" s="9">
        <f t="shared" si="113"/>
        <v>3.4745394307740692E-3</v>
      </c>
      <c r="G2464" s="9">
        <f t="shared" si="114"/>
        <v>1.085541609880346E-2</v>
      </c>
    </row>
    <row r="2465" spans="1:7" x14ac:dyDescent="0.2">
      <c r="A2465" s="12">
        <v>40478</v>
      </c>
      <c r="B2465" s="9">
        <v>425.56</v>
      </c>
      <c r="C2465" s="9">
        <v>419.64</v>
      </c>
      <c r="D2465" s="9">
        <v>422.76</v>
      </c>
      <c r="E2465" s="9">
        <f t="shared" si="115"/>
        <v>4.3380930671323434E-3</v>
      </c>
      <c r="F2465" s="9">
        <f t="shared" ref="F2465:F2528" si="116">LN(D2465/D2435)</f>
        <v>1.4270131259826039E-2</v>
      </c>
      <c r="G2465" s="9">
        <f t="shared" si="114"/>
        <v>1.080883417235993E-2</v>
      </c>
    </row>
    <row r="2466" spans="1:7" x14ac:dyDescent="0.2">
      <c r="A2466" s="12">
        <v>40479</v>
      </c>
      <c r="B2466" s="9">
        <v>426.17</v>
      </c>
      <c r="C2466" s="9">
        <v>422.2</v>
      </c>
      <c r="D2466" s="9">
        <v>425.69</v>
      </c>
      <c r="E2466" s="9">
        <f t="shared" si="115"/>
        <v>6.9067396958837346E-3</v>
      </c>
      <c r="F2466" s="9">
        <f t="shared" si="116"/>
        <v>2.9707043161266627E-2</v>
      </c>
      <c r="G2466" s="9">
        <f t="shared" si="114"/>
        <v>1.0732493596654796E-2</v>
      </c>
    </row>
    <row r="2467" spans="1:7" x14ac:dyDescent="0.2">
      <c r="A2467" s="12">
        <v>40480</v>
      </c>
      <c r="B2467" s="9">
        <v>425.59</v>
      </c>
      <c r="C2467" s="9">
        <v>420.62</v>
      </c>
      <c r="D2467" s="9">
        <v>424.2</v>
      </c>
      <c r="E2467" s="9">
        <f t="shared" si="115"/>
        <v>-3.5063397064482023E-3</v>
      </c>
      <c r="F2467" s="9">
        <f t="shared" si="116"/>
        <v>2.6999609238537475E-2</v>
      </c>
      <c r="G2467" s="9">
        <f t="shared" si="114"/>
        <v>1.075940641137501E-2</v>
      </c>
    </row>
    <row r="2468" spans="1:7" x14ac:dyDescent="0.2">
      <c r="A2468" s="12">
        <v>40483</v>
      </c>
      <c r="B2468" s="9">
        <v>426.27</v>
      </c>
      <c r="C2468" s="9">
        <v>422.55</v>
      </c>
      <c r="D2468" s="9">
        <v>424.79</v>
      </c>
      <c r="E2468" s="9">
        <f t="shared" si="115"/>
        <v>1.3898870304231363E-3</v>
      </c>
      <c r="F2468" s="9">
        <f t="shared" si="116"/>
        <v>2.2353017718993444E-2</v>
      </c>
      <c r="G2468" s="9">
        <f t="shared" si="114"/>
        <v>1.0716273036564401E-2</v>
      </c>
    </row>
    <row r="2469" spans="1:7" x14ac:dyDescent="0.2">
      <c r="A2469" s="12">
        <v>40484</v>
      </c>
      <c r="B2469" s="9">
        <v>429.03</v>
      </c>
      <c r="C2469" s="9">
        <v>423.56</v>
      </c>
      <c r="D2469" s="9">
        <v>427.55</v>
      </c>
      <c r="E2469" s="9">
        <f t="shared" si="115"/>
        <v>6.4763114409589735E-3</v>
      </c>
      <c r="F2469" s="9">
        <f t="shared" si="116"/>
        <v>2.369089251715064E-2</v>
      </c>
      <c r="G2469" s="9">
        <f t="shared" si="114"/>
        <v>1.0737948238073468E-2</v>
      </c>
    </row>
    <row r="2470" spans="1:7" x14ac:dyDescent="0.2">
      <c r="A2470" s="12">
        <v>40485</v>
      </c>
      <c r="B2470" s="9">
        <v>429.64</v>
      </c>
      <c r="C2470" s="9">
        <v>426.67</v>
      </c>
      <c r="D2470" s="9">
        <v>428</v>
      </c>
      <c r="E2470" s="9">
        <f t="shared" si="115"/>
        <v>1.0519549798324146E-3</v>
      </c>
      <c r="F2470" s="9">
        <f t="shared" si="116"/>
        <v>2.457521293992402E-2</v>
      </c>
      <c r="G2470" s="9">
        <f t="shared" si="114"/>
        <v>1.0737395480954488E-2</v>
      </c>
    </row>
    <row r="2471" spans="1:7" x14ac:dyDescent="0.2">
      <c r="A2471" s="12">
        <v>40486</v>
      </c>
      <c r="B2471" s="9">
        <v>435.03</v>
      </c>
      <c r="C2471" s="9">
        <v>431.16</v>
      </c>
      <c r="D2471" s="9">
        <v>432.77</v>
      </c>
      <c r="E2471" s="9">
        <f t="shared" si="115"/>
        <v>1.1083213466673514E-2</v>
      </c>
      <c r="F2471" s="9">
        <f t="shared" si="116"/>
        <v>3.930482603281512E-2</v>
      </c>
      <c r="G2471" s="9">
        <f t="shared" ref="G2471:G2534" si="117">STDEV(E2442:E2471)</f>
        <v>1.0862201632664466E-2</v>
      </c>
    </row>
    <row r="2472" spans="1:7" x14ac:dyDescent="0.2">
      <c r="A2472" s="12">
        <v>40487</v>
      </c>
      <c r="B2472" s="9">
        <v>435.58</v>
      </c>
      <c r="C2472" s="9">
        <v>428.02</v>
      </c>
      <c r="D2472" s="9">
        <v>431.32</v>
      </c>
      <c r="E2472" s="9">
        <f t="shared" si="115"/>
        <v>-3.3561350345986882E-3</v>
      </c>
      <c r="F2472" s="9">
        <f t="shared" si="116"/>
        <v>2.8311319519960847E-2</v>
      </c>
      <c r="G2472" s="9">
        <f t="shared" si="117"/>
        <v>1.0826766727599224E-2</v>
      </c>
    </row>
    <row r="2473" spans="1:7" x14ac:dyDescent="0.2">
      <c r="A2473" s="12">
        <v>40490</v>
      </c>
      <c r="B2473" s="9">
        <v>433.22</v>
      </c>
      <c r="C2473" s="9">
        <v>430.38</v>
      </c>
      <c r="D2473" s="9">
        <v>430.46</v>
      </c>
      <c r="E2473" s="9">
        <f t="shared" si="115"/>
        <v>-1.995869677838514E-3</v>
      </c>
      <c r="F2473" s="9">
        <f t="shared" si="116"/>
        <v>3.1648285648412253E-2</v>
      </c>
      <c r="G2473" s="9">
        <f t="shared" si="117"/>
        <v>1.0777086763968375E-2</v>
      </c>
    </row>
    <row r="2474" spans="1:7" x14ac:dyDescent="0.2">
      <c r="A2474" s="12">
        <v>40491</v>
      </c>
      <c r="B2474" s="9">
        <v>433.77</v>
      </c>
      <c r="C2474" s="9">
        <v>427.72</v>
      </c>
      <c r="D2474" s="9">
        <v>433.38</v>
      </c>
      <c r="E2474" s="9">
        <f t="shared" si="115"/>
        <v>6.7605369547774517E-3</v>
      </c>
      <c r="F2474" s="9">
        <f t="shared" si="116"/>
        <v>4.0689325301914721E-2</v>
      </c>
      <c r="G2474" s="9">
        <f t="shared" si="117"/>
        <v>1.0806968220553589E-2</v>
      </c>
    </row>
    <row r="2475" spans="1:7" x14ac:dyDescent="0.2">
      <c r="A2475" s="12">
        <v>40492</v>
      </c>
      <c r="B2475" s="9">
        <v>435.59</v>
      </c>
      <c r="C2475" s="9">
        <v>431.66</v>
      </c>
      <c r="D2475" s="9">
        <v>432.89</v>
      </c>
      <c r="E2475" s="9">
        <f t="shared" si="115"/>
        <v>-1.1312871327852413E-3</v>
      </c>
      <c r="F2475" s="9">
        <f t="shared" si="116"/>
        <v>4.191601909854091E-2</v>
      </c>
      <c r="G2475" s="9">
        <f t="shared" si="117"/>
        <v>1.0794743808021066E-2</v>
      </c>
    </row>
    <row r="2476" spans="1:7" x14ac:dyDescent="0.2">
      <c r="A2476" s="12">
        <v>40493</v>
      </c>
      <c r="B2476" s="9">
        <v>434.69</v>
      </c>
      <c r="C2476" s="9">
        <v>431.01</v>
      </c>
      <c r="D2476" s="9">
        <v>433.17</v>
      </c>
      <c r="E2476" s="9">
        <f t="shared" si="115"/>
        <v>6.4660649321223677E-4</v>
      </c>
      <c r="F2476" s="9">
        <f t="shared" si="116"/>
        <v>3.813996671475723E-2</v>
      </c>
      <c r="G2476" s="9">
        <f t="shared" si="117"/>
        <v>1.0780254988390997E-2</v>
      </c>
    </row>
    <row r="2477" spans="1:7" x14ac:dyDescent="0.2">
      <c r="A2477" s="12">
        <v>40494</v>
      </c>
      <c r="B2477" s="9">
        <v>433.07</v>
      </c>
      <c r="C2477" s="9">
        <v>427.06</v>
      </c>
      <c r="D2477" s="9">
        <v>431.58</v>
      </c>
      <c r="E2477" s="9">
        <f t="shared" si="115"/>
        <v>-3.677367543917572E-3</v>
      </c>
      <c r="F2477" s="9">
        <f t="shared" si="116"/>
        <v>4.6186854762548017E-2</v>
      </c>
      <c r="G2477" s="9">
        <f t="shared" si="117"/>
        <v>1.0543258908555193E-2</v>
      </c>
    </row>
    <row r="2478" spans="1:7" x14ac:dyDescent="0.2">
      <c r="A2478" s="12">
        <v>40497</v>
      </c>
      <c r="B2478" s="9">
        <v>434.05</v>
      </c>
      <c r="C2478" s="9">
        <v>429.36</v>
      </c>
      <c r="D2478" s="9">
        <v>433.89</v>
      </c>
      <c r="E2478" s="9">
        <f t="shared" si="115"/>
        <v>5.3381526464303395E-3</v>
      </c>
      <c r="F2478" s="9">
        <f t="shared" si="116"/>
        <v>6.0666395949465435E-2</v>
      </c>
      <c r="G2478" s="9">
        <f t="shared" si="117"/>
        <v>1.0367400773322218E-2</v>
      </c>
    </row>
    <row r="2479" spans="1:7" x14ac:dyDescent="0.2">
      <c r="A2479" s="12">
        <v>40498</v>
      </c>
      <c r="B2479" s="9">
        <v>433.1</v>
      </c>
      <c r="C2479" s="9">
        <v>428.24</v>
      </c>
      <c r="D2479" s="9">
        <v>428.37</v>
      </c>
      <c r="E2479" s="9">
        <f t="shared" si="115"/>
        <v>-1.2803737643436628E-2</v>
      </c>
      <c r="F2479" s="9">
        <f t="shared" si="116"/>
        <v>3.8939687210683409E-2</v>
      </c>
      <c r="G2479" s="9">
        <f t="shared" si="117"/>
        <v>1.0624403152567689E-2</v>
      </c>
    </row>
    <row r="2480" spans="1:7" x14ac:dyDescent="0.2">
      <c r="A2480" s="12">
        <v>40499</v>
      </c>
      <c r="B2480" s="9">
        <v>429.88</v>
      </c>
      <c r="C2480" s="9">
        <v>427.01</v>
      </c>
      <c r="D2480" s="9">
        <v>428.99</v>
      </c>
      <c r="E2480" s="9">
        <f t="shared" si="115"/>
        <v>1.4463005227105586E-3</v>
      </c>
      <c r="F2480" s="9">
        <f t="shared" si="116"/>
        <v>2.4852302721919038E-2</v>
      </c>
      <c r="G2480" s="9">
        <f t="shared" si="117"/>
        <v>1.0279226042440722E-2</v>
      </c>
    </row>
    <row r="2481" spans="1:7" x14ac:dyDescent="0.2">
      <c r="A2481" s="12">
        <v>40500</v>
      </c>
      <c r="B2481" s="9">
        <v>432.12</v>
      </c>
      <c r="C2481" s="9">
        <v>429.54</v>
      </c>
      <c r="D2481" s="9">
        <v>431.89</v>
      </c>
      <c r="E2481" s="9">
        <f t="shared" si="115"/>
        <v>6.7373175578281609E-3</v>
      </c>
      <c r="F2481" s="9">
        <f t="shared" si="116"/>
        <v>3.0849082998075993E-2</v>
      </c>
      <c r="G2481" s="9">
        <f t="shared" si="117"/>
        <v>1.0335611198056418E-2</v>
      </c>
    </row>
    <row r="2482" spans="1:7" x14ac:dyDescent="0.2">
      <c r="A2482" s="12">
        <v>40501</v>
      </c>
      <c r="B2482" s="9">
        <v>433.4</v>
      </c>
      <c r="C2482" s="9">
        <v>431.31</v>
      </c>
      <c r="D2482" s="9">
        <v>432.95</v>
      </c>
      <c r="E2482" s="9">
        <f t="shared" si="115"/>
        <v>2.4513217029577109E-3</v>
      </c>
      <c r="F2482" s="9">
        <f t="shared" si="116"/>
        <v>4.0754629502883E-2</v>
      </c>
      <c r="G2482" s="9">
        <f t="shared" si="117"/>
        <v>1.0212774207704943E-2</v>
      </c>
    </row>
    <row r="2483" spans="1:7" x14ac:dyDescent="0.2">
      <c r="A2483" s="12">
        <v>40504</v>
      </c>
      <c r="B2483" s="9">
        <v>436.06</v>
      </c>
      <c r="C2483" s="9">
        <v>430.36</v>
      </c>
      <c r="D2483" s="9">
        <v>431.78</v>
      </c>
      <c r="E2483" s="9">
        <f t="shared" si="115"/>
        <v>-2.7060486254972269E-3</v>
      </c>
      <c r="F2483" s="9">
        <f t="shared" si="116"/>
        <v>2.5853599397239534E-2</v>
      </c>
      <c r="G2483" s="9">
        <f t="shared" si="117"/>
        <v>1.0028255690297017E-2</v>
      </c>
    </row>
    <row r="2484" spans="1:7" x14ac:dyDescent="0.2">
      <c r="A2484" s="12">
        <v>40505</v>
      </c>
      <c r="B2484" s="9">
        <v>430.57</v>
      </c>
      <c r="C2484" s="9">
        <v>426.5</v>
      </c>
      <c r="D2484" s="9">
        <v>429.43</v>
      </c>
      <c r="E2484" s="9">
        <f t="shared" si="115"/>
        <v>-5.457451336266462E-3</v>
      </c>
      <c r="F2484" s="9">
        <f t="shared" si="116"/>
        <v>2.0633841485115274E-2</v>
      </c>
      <c r="G2484" s="9">
        <f t="shared" si="117"/>
        <v>1.0093062093051783E-2</v>
      </c>
    </row>
    <row r="2485" spans="1:7" x14ac:dyDescent="0.2">
      <c r="A2485" s="12">
        <v>40506</v>
      </c>
      <c r="B2485" s="9">
        <v>431.65</v>
      </c>
      <c r="C2485" s="9">
        <v>426.67</v>
      </c>
      <c r="D2485" s="9">
        <v>431.5</v>
      </c>
      <c r="E2485" s="9">
        <f t="shared" si="115"/>
        <v>4.8087625914360471E-3</v>
      </c>
      <c r="F2485" s="9">
        <f t="shared" si="116"/>
        <v>6.8367589507778333E-3</v>
      </c>
      <c r="G2485" s="9">
        <f t="shared" si="117"/>
        <v>9.5480774369979069E-3</v>
      </c>
    </row>
    <row r="2486" spans="1:7" x14ac:dyDescent="0.2">
      <c r="A2486" s="12">
        <v>40507</v>
      </c>
      <c r="B2486" s="9">
        <v>432.17</v>
      </c>
      <c r="C2486" s="9">
        <v>428.86</v>
      </c>
      <c r="D2486" s="9">
        <v>429.75</v>
      </c>
      <c r="E2486" s="9">
        <f t="shared" si="115"/>
        <v>-4.0638662605240088E-3</v>
      </c>
      <c r="F2486" s="9">
        <f t="shared" si="116"/>
        <v>1.4296001618485623E-2</v>
      </c>
      <c r="G2486" s="9">
        <f t="shared" si="117"/>
        <v>9.3260595025568931E-3</v>
      </c>
    </row>
    <row r="2487" spans="1:7" x14ac:dyDescent="0.2">
      <c r="A2487" s="12">
        <v>40508</v>
      </c>
      <c r="B2487" s="9">
        <v>430.12</v>
      </c>
      <c r="C2487" s="9">
        <v>426.73</v>
      </c>
      <c r="D2487" s="9">
        <v>428.54</v>
      </c>
      <c r="E2487" s="9">
        <f t="shared" si="115"/>
        <v>-2.81956169037884E-3</v>
      </c>
      <c r="F2487" s="9">
        <f t="shared" si="116"/>
        <v>1.9010949343180896E-2</v>
      </c>
      <c r="G2487" s="9">
        <f t="shared" si="117"/>
        <v>9.2255877321231871E-3</v>
      </c>
    </row>
    <row r="2488" spans="1:7" x14ac:dyDescent="0.2">
      <c r="A2488" s="12">
        <v>40511</v>
      </c>
      <c r="B2488" s="9">
        <v>431.9</v>
      </c>
      <c r="C2488" s="9">
        <v>423.17</v>
      </c>
      <c r="D2488" s="9">
        <v>423.17</v>
      </c>
      <c r="E2488" s="9">
        <f t="shared" si="115"/>
        <v>-1.2610093010005515E-2</v>
      </c>
      <c r="F2488" s="9">
        <f t="shared" si="116"/>
        <v>2.2487893979081644E-2</v>
      </c>
      <c r="G2488" s="9">
        <f t="shared" si="117"/>
        <v>9.0280112508790457E-3</v>
      </c>
    </row>
    <row r="2489" spans="1:7" x14ac:dyDescent="0.2">
      <c r="A2489" s="12">
        <v>40512</v>
      </c>
      <c r="B2489" s="9">
        <v>426.88</v>
      </c>
      <c r="C2489" s="9">
        <v>422.73</v>
      </c>
      <c r="D2489" s="9">
        <v>424.77</v>
      </c>
      <c r="E2489" s="9">
        <f t="shared" si="115"/>
        <v>3.7738564024148947E-3</v>
      </c>
      <c r="F2489" s="9">
        <f t="shared" si="116"/>
        <v>3.753933442211272E-2</v>
      </c>
      <c r="G2489" s="9">
        <f t="shared" si="117"/>
        <v>8.7505392460676887E-3</v>
      </c>
    </row>
    <row r="2490" spans="1:7" x14ac:dyDescent="0.2">
      <c r="A2490" s="12">
        <v>40513</v>
      </c>
      <c r="B2490" s="9">
        <v>434.07</v>
      </c>
      <c r="C2490" s="9">
        <v>424.58</v>
      </c>
      <c r="D2490" s="9">
        <v>434.07</v>
      </c>
      <c r="E2490" s="9">
        <f t="shared" si="115"/>
        <v>2.1657965452110711E-2</v>
      </c>
      <c r="F2490" s="9">
        <f t="shared" si="116"/>
        <v>2.8366387917413454E-2</v>
      </c>
      <c r="G2490" s="9">
        <f t="shared" si="117"/>
        <v>7.7887190013127168E-3</v>
      </c>
    </row>
    <row r="2491" spans="1:7" x14ac:dyDescent="0.2">
      <c r="A2491" s="12">
        <v>40514</v>
      </c>
      <c r="B2491" s="9">
        <v>440.57</v>
      </c>
      <c r="C2491" s="9">
        <v>434.89</v>
      </c>
      <c r="D2491" s="9">
        <v>440.57</v>
      </c>
      <c r="E2491" s="9">
        <f t="shared" si="115"/>
        <v>1.4863531663396852E-2</v>
      </c>
      <c r="F2491" s="9">
        <f t="shared" si="116"/>
        <v>3.1308749329852975E-2</v>
      </c>
      <c r="G2491" s="9">
        <f t="shared" si="117"/>
        <v>7.9485795291673027E-3</v>
      </c>
    </row>
    <row r="2492" spans="1:7" x14ac:dyDescent="0.2">
      <c r="A2492" s="12">
        <v>40515</v>
      </c>
      <c r="B2492" s="9">
        <v>440.22</v>
      </c>
      <c r="C2492" s="9">
        <v>434.49</v>
      </c>
      <c r="D2492" s="9">
        <v>437.43</v>
      </c>
      <c r="E2492" s="9">
        <f t="shared" si="115"/>
        <v>-7.1526500841930024E-3</v>
      </c>
      <c r="F2492" s="9">
        <f t="shared" si="116"/>
        <v>2.948656472088744E-2</v>
      </c>
      <c r="G2492" s="9">
        <f t="shared" si="117"/>
        <v>8.0057238072111844E-3</v>
      </c>
    </row>
    <row r="2493" spans="1:7" x14ac:dyDescent="0.2">
      <c r="A2493" s="12">
        <v>40518</v>
      </c>
      <c r="B2493" s="9">
        <v>439.81</v>
      </c>
      <c r="C2493" s="9">
        <v>436.79</v>
      </c>
      <c r="D2493" s="9">
        <v>439.29</v>
      </c>
      <c r="E2493" s="9">
        <f t="shared" si="115"/>
        <v>4.2430942389719735E-3</v>
      </c>
      <c r="F2493" s="9">
        <f t="shared" si="116"/>
        <v>2.6387120371211679E-2</v>
      </c>
      <c r="G2493" s="9">
        <f t="shared" si="117"/>
        <v>7.9405557689838004E-3</v>
      </c>
    </row>
    <row r="2494" spans="1:7" x14ac:dyDescent="0.2">
      <c r="A2494" s="12">
        <v>40519</v>
      </c>
      <c r="B2494" s="9">
        <v>445.03</v>
      </c>
      <c r="C2494" s="9">
        <v>438.18</v>
      </c>
      <c r="D2494" s="9">
        <v>442.04</v>
      </c>
      <c r="E2494" s="9">
        <f t="shared" si="115"/>
        <v>6.2405884853060072E-3</v>
      </c>
      <c r="F2494" s="9">
        <f t="shared" si="116"/>
        <v>4.8933826646567272E-2</v>
      </c>
      <c r="G2494" s="9">
        <f t="shared" si="117"/>
        <v>7.2989556251597731E-3</v>
      </c>
    </row>
    <row r="2495" spans="1:7" x14ac:dyDescent="0.2">
      <c r="A2495" s="12">
        <v>40520</v>
      </c>
      <c r="B2495" s="9">
        <v>443.73</v>
      </c>
      <c r="C2495" s="9">
        <v>439.93</v>
      </c>
      <c r="D2495" s="9">
        <v>442.81</v>
      </c>
      <c r="E2495" s="9">
        <f t="shared" si="115"/>
        <v>1.7404084180645827E-3</v>
      </c>
      <c r="F2495" s="9">
        <f t="shared" si="116"/>
        <v>4.6336141997499435E-2</v>
      </c>
      <c r="G2495" s="9">
        <f t="shared" si="117"/>
        <v>7.2811215296620137E-3</v>
      </c>
    </row>
    <row r="2496" spans="1:7" x14ac:dyDescent="0.2">
      <c r="A2496" s="12">
        <v>40521</v>
      </c>
      <c r="B2496" s="9">
        <v>445.12</v>
      </c>
      <c r="C2496" s="9">
        <v>437.25</v>
      </c>
      <c r="D2496" s="9">
        <v>438.04</v>
      </c>
      <c r="E2496" s="9">
        <f t="shared" si="115"/>
        <v>-1.0830553731087541E-2</v>
      </c>
      <c r="F2496" s="9">
        <f t="shared" si="116"/>
        <v>2.8598848570528211E-2</v>
      </c>
      <c r="G2496" s="9">
        <f t="shared" si="117"/>
        <v>7.5460193416799198E-3</v>
      </c>
    </row>
    <row r="2497" spans="1:7" x14ac:dyDescent="0.2">
      <c r="A2497" s="12">
        <v>40522</v>
      </c>
      <c r="B2497" s="9">
        <v>447.99</v>
      </c>
      <c r="C2497" s="9">
        <v>440.7</v>
      </c>
      <c r="D2497" s="9">
        <v>447.67</v>
      </c>
      <c r="E2497" s="9">
        <f t="shared" si="115"/>
        <v>2.174612343622935E-2</v>
      </c>
      <c r="F2497" s="9">
        <f t="shared" si="116"/>
        <v>5.3851311713205688E-2</v>
      </c>
      <c r="G2497" s="9">
        <f t="shared" si="117"/>
        <v>8.3923753870742013E-3</v>
      </c>
    </row>
    <row r="2498" spans="1:7" x14ac:dyDescent="0.2">
      <c r="A2498" s="12">
        <v>40525</v>
      </c>
      <c r="B2498" s="9">
        <v>450.97</v>
      </c>
      <c r="C2498" s="9">
        <v>448.38</v>
      </c>
      <c r="D2498" s="9">
        <v>449.74</v>
      </c>
      <c r="E2498" s="9">
        <f t="shared" si="115"/>
        <v>4.6132841648991747E-3</v>
      </c>
      <c r="F2498" s="9">
        <f t="shared" si="116"/>
        <v>5.7074708847681642E-2</v>
      </c>
      <c r="G2498" s="9">
        <f t="shared" si="117"/>
        <v>8.4076298656140074E-3</v>
      </c>
    </row>
    <row r="2499" spans="1:7" x14ac:dyDescent="0.2">
      <c r="A2499" s="12">
        <v>40526</v>
      </c>
      <c r="B2499" s="9">
        <v>451.21</v>
      </c>
      <c r="C2499" s="9">
        <v>447.87</v>
      </c>
      <c r="D2499" s="9">
        <v>450.14</v>
      </c>
      <c r="E2499" s="9">
        <f t="shared" si="115"/>
        <v>8.8900748176312639E-4</v>
      </c>
      <c r="F2499" s="9">
        <f t="shared" si="116"/>
        <v>5.1487404888485702E-2</v>
      </c>
      <c r="G2499" s="9">
        <f t="shared" si="117"/>
        <v>8.3645921792776124E-3</v>
      </c>
    </row>
    <row r="2500" spans="1:7" x14ac:dyDescent="0.2">
      <c r="A2500" s="12">
        <v>40527</v>
      </c>
      <c r="B2500" s="9">
        <v>452.23</v>
      </c>
      <c r="C2500" s="9">
        <v>449</v>
      </c>
      <c r="D2500" s="9">
        <v>451.45</v>
      </c>
      <c r="E2500" s="9">
        <f t="shared" ref="E2500:E2563" si="118">LN(D2500/D2499)</f>
        <v>2.9059792630382543E-3</v>
      </c>
      <c r="F2500" s="9">
        <f t="shared" si="116"/>
        <v>5.3341429171691358E-2</v>
      </c>
      <c r="G2500" s="9">
        <f t="shared" si="117"/>
        <v>8.366363826911527E-3</v>
      </c>
    </row>
    <row r="2501" spans="1:7" x14ac:dyDescent="0.2">
      <c r="A2501" s="12">
        <v>40528</v>
      </c>
      <c r="B2501" s="9">
        <v>451.08</v>
      </c>
      <c r="C2501" s="9">
        <v>449.33</v>
      </c>
      <c r="D2501" s="9">
        <v>450.29</v>
      </c>
      <c r="E2501" s="9">
        <f t="shared" si="118"/>
        <v>-2.5728051098278136E-3</v>
      </c>
      <c r="F2501" s="9">
        <f t="shared" si="116"/>
        <v>3.9685410595189936E-2</v>
      </c>
      <c r="G2501" s="9">
        <f t="shared" si="117"/>
        <v>8.2127168995538794E-3</v>
      </c>
    </row>
    <row r="2502" spans="1:7" x14ac:dyDescent="0.2">
      <c r="A2502" s="12">
        <v>40529</v>
      </c>
      <c r="B2502" s="9">
        <v>457.1</v>
      </c>
      <c r="C2502" s="9">
        <v>450.84</v>
      </c>
      <c r="D2502" s="9">
        <v>455.86</v>
      </c>
      <c r="E2502" s="9">
        <f t="shared" si="118"/>
        <v>1.2293925187331431E-2</v>
      </c>
      <c r="F2502" s="9">
        <f t="shared" si="116"/>
        <v>5.5335470817119974E-2</v>
      </c>
      <c r="G2502" s="9">
        <f t="shared" si="117"/>
        <v>8.4001649906226186E-3</v>
      </c>
    </row>
    <row r="2503" spans="1:7" x14ac:dyDescent="0.2">
      <c r="A2503" s="12">
        <v>40532</v>
      </c>
      <c r="B2503" s="9">
        <v>456.13</v>
      </c>
      <c r="C2503" s="9">
        <v>453.72</v>
      </c>
      <c r="D2503" s="9">
        <v>453.85</v>
      </c>
      <c r="E2503" s="9">
        <f t="shared" si="118"/>
        <v>-4.4189978583553842E-3</v>
      </c>
      <c r="F2503" s="9">
        <f t="shared" si="116"/>
        <v>5.2912342636603264E-2</v>
      </c>
      <c r="G2503" s="9">
        <f t="shared" si="117"/>
        <v>8.4498677975728721E-3</v>
      </c>
    </row>
    <row r="2504" spans="1:7" x14ac:dyDescent="0.2">
      <c r="A2504" s="12">
        <v>40533</v>
      </c>
      <c r="B2504" s="9">
        <v>456.29</v>
      </c>
      <c r="C2504" s="9">
        <v>454.95</v>
      </c>
      <c r="D2504" s="9">
        <v>455.54</v>
      </c>
      <c r="E2504" s="9">
        <f t="shared" si="118"/>
        <v>3.716781459080509E-3</v>
      </c>
      <c r="F2504" s="9">
        <f t="shared" si="116"/>
        <v>4.9868587140906341E-2</v>
      </c>
      <c r="G2504" s="9">
        <f t="shared" si="117"/>
        <v>8.4059611714402405E-3</v>
      </c>
    </row>
    <row r="2505" spans="1:7" x14ac:dyDescent="0.2">
      <c r="A2505" s="12">
        <v>40534</v>
      </c>
      <c r="B2505" s="9">
        <v>455.25</v>
      </c>
      <c r="C2505" s="9">
        <v>451.38</v>
      </c>
      <c r="D2505" s="9">
        <v>453.89</v>
      </c>
      <c r="E2505" s="9">
        <f t="shared" si="118"/>
        <v>-3.6286504964130779E-3</v>
      </c>
      <c r="F2505" s="9">
        <f t="shared" si="116"/>
        <v>4.7371223777278496E-2</v>
      </c>
      <c r="G2505" s="9">
        <f t="shared" si="117"/>
        <v>8.4468467458351602E-3</v>
      </c>
    </row>
    <row r="2506" spans="1:7" x14ac:dyDescent="0.2">
      <c r="A2506" s="12">
        <v>40535</v>
      </c>
      <c r="B2506" s="9">
        <v>460.42</v>
      </c>
      <c r="C2506" s="9">
        <v>454.66</v>
      </c>
      <c r="D2506" s="9">
        <v>459.3</v>
      </c>
      <c r="E2506" s="9">
        <f t="shared" si="118"/>
        <v>1.1848713396444015E-2</v>
      </c>
      <c r="F2506" s="9">
        <f t="shared" si="116"/>
        <v>5.8573330680510356E-2</v>
      </c>
      <c r="G2506" s="9">
        <f t="shared" si="117"/>
        <v>8.6493795143479709E-3</v>
      </c>
    </row>
    <row r="2507" spans="1:7" x14ac:dyDescent="0.2">
      <c r="A2507" s="12">
        <v>40539</v>
      </c>
      <c r="B2507" s="9">
        <v>460.28</v>
      </c>
      <c r="C2507" s="9">
        <v>456.4</v>
      </c>
      <c r="D2507" s="9">
        <v>457.32</v>
      </c>
      <c r="E2507" s="9">
        <f t="shared" si="118"/>
        <v>-4.3202266579786663E-3</v>
      </c>
      <c r="F2507" s="9">
        <f t="shared" si="116"/>
        <v>5.7930471566449385E-2</v>
      </c>
      <c r="G2507" s="9">
        <f t="shared" si="117"/>
        <v>8.664591156838871E-3</v>
      </c>
    </row>
    <row r="2508" spans="1:7" x14ac:dyDescent="0.2">
      <c r="A2508" s="12">
        <v>40540</v>
      </c>
      <c r="B2508" s="9">
        <v>461.41</v>
      </c>
      <c r="C2508" s="9">
        <v>456.74</v>
      </c>
      <c r="D2508" s="9">
        <v>460.1</v>
      </c>
      <c r="E2508" s="9">
        <f t="shared" si="118"/>
        <v>6.0604924876539058E-3</v>
      </c>
      <c r="F2508" s="9">
        <f t="shared" si="116"/>
        <v>5.865281140767277E-2</v>
      </c>
      <c r="G2508" s="9">
        <f t="shared" si="117"/>
        <v>8.6753826535616446E-3</v>
      </c>
    </row>
    <row r="2509" spans="1:7" x14ac:dyDescent="0.2">
      <c r="A2509" s="12">
        <v>40541</v>
      </c>
      <c r="B2509" s="9">
        <v>462.38</v>
      </c>
      <c r="C2509" s="9">
        <v>459.38</v>
      </c>
      <c r="D2509" s="9">
        <v>459.68</v>
      </c>
      <c r="E2509" s="9">
        <f t="shared" si="118"/>
        <v>-9.1326193044354302E-4</v>
      </c>
      <c r="F2509" s="9">
        <f t="shared" si="116"/>
        <v>7.0543287120665765E-2</v>
      </c>
      <c r="G2509" s="9">
        <f t="shared" si="117"/>
        <v>8.2384657971607735E-3</v>
      </c>
    </row>
    <row r="2510" spans="1:7" x14ac:dyDescent="0.2">
      <c r="A2510" s="12">
        <v>40542</v>
      </c>
      <c r="B2510" s="9">
        <v>460.62</v>
      </c>
      <c r="C2510" s="9">
        <v>457.58</v>
      </c>
      <c r="D2510" s="9">
        <v>457.58</v>
      </c>
      <c r="E2510" s="9">
        <f t="shared" si="118"/>
        <v>-4.5788624142455618E-3</v>
      </c>
      <c r="F2510" s="9">
        <f t="shared" si="116"/>
        <v>6.4518124183709696E-2</v>
      </c>
      <c r="G2510" s="9">
        <f t="shared" si="117"/>
        <v>8.3341776683726713E-3</v>
      </c>
    </row>
    <row r="2511" spans="1:7" x14ac:dyDescent="0.2">
      <c r="A2511" s="12">
        <v>40546</v>
      </c>
      <c r="B2511" s="9">
        <v>463.62</v>
      </c>
      <c r="C2511" s="9">
        <v>460.16</v>
      </c>
      <c r="D2511" s="9">
        <v>461.89</v>
      </c>
      <c r="E2511" s="9">
        <f t="shared" si="118"/>
        <v>9.3750346777384478E-3</v>
      </c>
      <c r="F2511" s="9">
        <f t="shared" si="116"/>
        <v>6.7155841303619984E-2</v>
      </c>
      <c r="G2511" s="9">
        <f t="shared" si="117"/>
        <v>8.3979052048616231E-3</v>
      </c>
    </row>
    <row r="2512" spans="1:7" x14ac:dyDescent="0.2">
      <c r="A2512" s="12">
        <v>40547</v>
      </c>
      <c r="B2512" s="9">
        <v>469.06</v>
      </c>
      <c r="C2512" s="9">
        <v>463.52</v>
      </c>
      <c r="D2512" s="9">
        <v>467.97</v>
      </c>
      <c r="E2512" s="9">
        <f t="shared" si="118"/>
        <v>1.3077423804414706E-2</v>
      </c>
      <c r="F2512" s="9">
        <f t="shared" si="116"/>
        <v>7.7781943405076964E-2</v>
      </c>
      <c r="G2512" s="9">
        <f t="shared" si="117"/>
        <v>8.6281258637723891E-3</v>
      </c>
    </row>
    <row r="2513" spans="1:7" x14ac:dyDescent="0.2">
      <c r="A2513" s="12">
        <v>40548</v>
      </c>
      <c r="B2513" s="9">
        <v>469.26</v>
      </c>
      <c r="C2513" s="9">
        <v>464.58</v>
      </c>
      <c r="D2513" s="9">
        <v>468.39</v>
      </c>
      <c r="E2513" s="9">
        <f t="shared" si="118"/>
        <v>8.9709092265160607E-4</v>
      </c>
      <c r="F2513" s="9">
        <f t="shared" si="116"/>
        <v>8.1385082953225621E-2</v>
      </c>
      <c r="G2513" s="9">
        <f t="shared" si="117"/>
        <v>8.5767478251375113E-3</v>
      </c>
    </row>
    <row r="2514" spans="1:7" x14ac:dyDescent="0.2">
      <c r="A2514" s="12">
        <v>40549</v>
      </c>
      <c r="B2514" s="9">
        <v>472.48</v>
      </c>
      <c r="C2514" s="9">
        <v>469.45</v>
      </c>
      <c r="D2514" s="9">
        <v>470.72</v>
      </c>
      <c r="E2514" s="9">
        <f t="shared" si="118"/>
        <v>4.9621551915341863E-3</v>
      </c>
      <c r="F2514" s="9">
        <f t="shared" si="116"/>
        <v>9.18046894810262E-2</v>
      </c>
      <c r="G2514" s="9">
        <f t="shared" si="117"/>
        <v>8.4444317381630642E-3</v>
      </c>
    </row>
    <row r="2515" spans="1:7" x14ac:dyDescent="0.2">
      <c r="A2515" s="12">
        <v>40550</v>
      </c>
      <c r="B2515" s="9">
        <v>469.53</v>
      </c>
      <c r="C2515" s="9">
        <v>464.9</v>
      </c>
      <c r="D2515" s="9">
        <v>465.56</v>
      </c>
      <c r="E2515" s="9">
        <f t="shared" si="118"/>
        <v>-1.1022455339297164E-2</v>
      </c>
      <c r="F2515" s="9">
        <f t="shared" si="116"/>
        <v>7.5973471550292992E-2</v>
      </c>
      <c r="G2515" s="9">
        <f t="shared" si="117"/>
        <v>8.8177964102720569E-3</v>
      </c>
    </row>
    <row r="2516" spans="1:7" x14ac:dyDescent="0.2">
      <c r="A2516" s="12">
        <v>40553</v>
      </c>
      <c r="B2516" s="9">
        <v>471.1</v>
      </c>
      <c r="C2516" s="9">
        <v>467.62</v>
      </c>
      <c r="D2516" s="9">
        <v>468.31</v>
      </c>
      <c r="E2516" s="9">
        <f t="shared" si="118"/>
        <v>5.8894877207436198E-3</v>
      </c>
      <c r="F2516" s="9">
        <f t="shared" si="116"/>
        <v>8.5926825531560669E-2</v>
      </c>
      <c r="G2516" s="9">
        <f t="shared" si="117"/>
        <v>8.7480214450113142E-3</v>
      </c>
    </row>
    <row r="2517" spans="1:7" x14ac:dyDescent="0.2">
      <c r="A2517" s="12">
        <v>40554</v>
      </c>
      <c r="B2517" s="9">
        <v>473.32</v>
      </c>
      <c r="C2517" s="9">
        <v>468.87</v>
      </c>
      <c r="D2517" s="9">
        <v>472.63</v>
      </c>
      <c r="E2517" s="9">
        <f t="shared" si="118"/>
        <v>9.1823715724668152E-3</v>
      </c>
      <c r="F2517" s="9">
        <f t="shared" si="116"/>
        <v>9.792875879440642E-2</v>
      </c>
      <c r="G2517" s="9">
        <f t="shared" si="117"/>
        <v>8.7535617079436846E-3</v>
      </c>
    </row>
    <row r="2518" spans="1:7" x14ac:dyDescent="0.2">
      <c r="A2518" s="12">
        <v>40555</v>
      </c>
      <c r="B2518" s="9">
        <v>476.1</v>
      </c>
      <c r="C2518" s="9">
        <v>469.97</v>
      </c>
      <c r="D2518" s="9">
        <v>471.14</v>
      </c>
      <c r="E2518" s="9">
        <f t="shared" si="118"/>
        <v>-3.1575516025257656E-3</v>
      </c>
      <c r="F2518" s="9">
        <f t="shared" si="116"/>
        <v>0.10738130020188603</v>
      </c>
      <c r="G2518" s="9">
        <f t="shared" si="117"/>
        <v>8.3219403820215272E-3</v>
      </c>
    </row>
    <row r="2519" spans="1:7" x14ac:dyDescent="0.2">
      <c r="A2519" s="12">
        <v>40556</v>
      </c>
      <c r="B2519" s="9">
        <v>472.15</v>
      </c>
      <c r="C2519" s="9">
        <v>460.83</v>
      </c>
      <c r="D2519" s="9">
        <v>463.18</v>
      </c>
      <c r="E2519" s="9">
        <f t="shared" si="118"/>
        <v>-1.7039542330785796E-2</v>
      </c>
      <c r="F2519" s="9">
        <f t="shared" si="116"/>
        <v>8.6567901468685537E-2</v>
      </c>
      <c r="G2519" s="9">
        <f t="shared" si="117"/>
        <v>9.1332060684558361E-3</v>
      </c>
    </row>
    <row r="2520" spans="1:7" x14ac:dyDescent="0.2">
      <c r="A2520" s="12">
        <v>40557</v>
      </c>
      <c r="B2520" s="9">
        <v>464.13</v>
      </c>
      <c r="C2520" s="9">
        <v>459.99</v>
      </c>
      <c r="D2520" s="9">
        <v>464.13</v>
      </c>
      <c r="E2520" s="9">
        <f t="shared" si="118"/>
        <v>2.0489379654123618E-3</v>
      </c>
      <c r="F2520" s="9">
        <f t="shared" si="116"/>
        <v>6.695887398198698E-2</v>
      </c>
      <c r="G2520" s="9">
        <f t="shared" si="117"/>
        <v>8.416996715385117E-3</v>
      </c>
    </row>
    <row r="2521" spans="1:7" x14ac:dyDescent="0.2">
      <c r="A2521" s="12">
        <v>40560</v>
      </c>
      <c r="B2521" s="9">
        <v>467.05</v>
      </c>
      <c r="C2521" s="9">
        <v>463.58</v>
      </c>
      <c r="D2521" s="9">
        <v>464.04</v>
      </c>
      <c r="E2521" s="9">
        <f t="shared" si="118"/>
        <v>-1.9392999188086471E-4</v>
      </c>
      <c r="F2521" s="9">
        <f t="shared" si="116"/>
        <v>5.1901412326709397E-2</v>
      </c>
      <c r="G2521" s="9">
        <f t="shared" si="117"/>
        <v>8.0799880923674919E-3</v>
      </c>
    </row>
    <row r="2522" spans="1:7" x14ac:dyDescent="0.2">
      <c r="A2522" s="12">
        <v>40561</v>
      </c>
      <c r="B2522" s="9">
        <v>476.35</v>
      </c>
      <c r="C2522" s="9">
        <v>465.73</v>
      </c>
      <c r="D2522" s="9">
        <v>475.02</v>
      </c>
      <c r="E2522" s="9">
        <f t="shared" si="118"/>
        <v>2.338615300419131E-2</v>
      </c>
      <c r="F2522" s="9">
        <f t="shared" si="116"/>
        <v>8.2440215415093734E-2</v>
      </c>
      <c r="G2522" s="9">
        <f t="shared" si="117"/>
        <v>8.8127989829717198E-3</v>
      </c>
    </row>
    <row r="2523" spans="1:7" x14ac:dyDescent="0.2">
      <c r="A2523" s="12">
        <v>40562</v>
      </c>
      <c r="B2523" s="9">
        <v>475.89</v>
      </c>
      <c r="C2523" s="9">
        <v>470.12</v>
      </c>
      <c r="D2523" s="9">
        <v>470.32</v>
      </c>
      <c r="E2523" s="9">
        <f t="shared" si="118"/>
        <v>-9.9435943173978945E-3</v>
      </c>
      <c r="F2523" s="9">
        <f t="shared" si="116"/>
        <v>6.8253526858723976E-2</v>
      </c>
      <c r="G2523" s="9">
        <f t="shared" si="117"/>
        <v>9.1055687338573738E-3</v>
      </c>
    </row>
    <row r="2524" spans="1:7" x14ac:dyDescent="0.2">
      <c r="A2524" s="12">
        <v>40563</v>
      </c>
      <c r="B2524" s="9">
        <v>471.09</v>
      </c>
      <c r="C2524" s="9">
        <v>463.65</v>
      </c>
      <c r="D2524" s="9">
        <v>463.67</v>
      </c>
      <c r="E2524" s="9">
        <f t="shared" si="118"/>
        <v>-1.4240221791897822E-2</v>
      </c>
      <c r="F2524" s="9">
        <f t="shared" si="116"/>
        <v>4.7772716581520207E-2</v>
      </c>
      <c r="G2524" s="9">
        <f t="shared" si="117"/>
        <v>9.554705343294825E-3</v>
      </c>
    </row>
    <row r="2525" spans="1:7" x14ac:dyDescent="0.2">
      <c r="A2525" s="12">
        <v>40564</v>
      </c>
      <c r="B2525" s="9">
        <v>464.04</v>
      </c>
      <c r="C2525" s="9">
        <v>459.15</v>
      </c>
      <c r="D2525" s="9">
        <v>459.87</v>
      </c>
      <c r="E2525" s="9">
        <f t="shared" si="118"/>
        <v>-8.2292514559758525E-3</v>
      </c>
      <c r="F2525" s="9">
        <f t="shared" si="116"/>
        <v>3.7803056707479729E-2</v>
      </c>
      <c r="G2525" s="9">
        <f t="shared" si="117"/>
        <v>9.7213056125301026E-3</v>
      </c>
    </row>
    <row r="2526" spans="1:7" x14ac:dyDescent="0.2">
      <c r="A2526" s="12">
        <v>40567</v>
      </c>
      <c r="B2526" s="9">
        <v>462.35</v>
      </c>
      <c r="C2526" s="9">
        <v>457.22</v>
      </c>
      <c r="D2526" s="9">
        <v>461.93</v>
      </c>
      <c r="E2526" s="9">
        <f t="shared" si="118"/>
        <v>4.4695236045178242E-3</v>
      </c>
      <c r="F2526" s="9">
        <f t="shared" si="116"/>
        <v>5.3103134043085032E-2</v>
      </c>
      <c r="G2526" s="9">
        <f t="shared" si="117"/>
        <v>9.4630370882200256E-3</v>
      </c>
    </row>
    <row r="2527" spans="1:7" x14ac:dyDescent="0.2">
      <c r="A2527" s="12">
        <v>40568</v>
      </c>
      <c r="B2527" s="9">
        <v>466.86</v>
      </c>
      <c r="C2527" s="9">
        <v>462.05</v>
      </c>
      <c r="D2527" s="9">
        <v>462.38</v>
      </c>
      <c r="E2527" s="9">
        <f t="shared" si="118"/>
        <v>9.7369937694789148E-4</v>
      </c>
      <c r="F2527" s="9">
        <f t="shared" si="116"/>
        <v>3.2330709983803795E-2</v>
      </c>
      <c r="G2527" s="9">
        <f t="shared" si="117"/>
        <v>8.6784172724118334E-3</v>
      </c>
    </row>
    <row r="2528" spans="1:7" x14ac:dyDescent="0.2">
      <c r="A2528" s="12">
        <v>40569</v>
      </c>
      <c r="B2528" s="9">
        <v>465.91</v>
      </c>
      <c r="C2528" s="9">
        <v>461.85</v>
      </c>
      <c r="D2528" s="9">
        <v>465.49</v>
      </c>
      <c r="E2528" s="9">
        <f t="shared" si="118"/>
        <v>6.7035503816614186E-3</v>
      </c>
      <c r="F2528" s="9">
        <f t="shared" si="116"/>
        <v>3.4420976200566111E-2</v>
      </c>
      <c r="G2528" s="9">
        <f t="shared" si="117"/>
        <v>8.7160911465697707E-3</v>
      </c>
    </row>
    <row r="2529" spans="1:7" x14ac:dyDescent="0.2">
      <c r="A2529" s="12">
        <v>40570</v>
      </c>
      <c r="B2529" s="9">
        <v>469.59</v>
      </c>
      <c r="C2529" s="9">
        <v>464.53</v>
      </c>
      <c r="D2529" s="9">
        <v>468.97</v>
      </c>
      <c r="E2529" s="9">
        <f t="shared" si="118"/>
        <v>7.448186306260522E-3</v>
      </c>
      <c r="F2529" s="9">
        <f t="shared" ref="F2529:F2592" si="119">LN(D2529/D2499)</f>
        <v>4.0980155025063594E-2</v>
      </c>
      <c r="G2529" s="9">
        <f t="shared" si="117"/>
        <v>8.7913291847900657E-3</v>
      </c>
    </row>
    <row r="2530" spans="1:7" x14ac:dyDescent="0.2">
      <c r="A2530" s="12">
        <v>40571</v>
      </c>
      <c r="B2530" s="9">
        <v>469.28</v>
      </c>
      <c r="C2530" s="9">
        <v>465.37</v>
      </c>
      <c r="D2530" s="9">
        <v>467.03</v>
      </c>
      <c r="E2530" s="9">
        <f t="shared" si="118"/>
        <v>-4.145305081211902E-3</v>
      </c>
      <c r="F2530" s="9">
        <f t="shared" si="119"/>
        <v>3.3928870680813551E-2</v>
      </c>
      <c r="G2530" s="9">
        <f t="shared" si="117"/>
        <v>8.8428468324652527E-3</v>
      </c>
    </row>
    <row r="2531" spans="1:7" x14ac:dyDescent="0.2">
      <c r="A2531" s="12">
        <v>40574</v>
      </c>
      <c r="B2531" s="9">
        <v>465.11</v>
      </c>
      <c r="C2531" s="9">
        <v>459.86</v>
      </c>
      <c r="D2531" s="9">
        <v>462.11</v>
      </c>
      <c r="E2531" s="9">
        <f t="shared" si="118"/>
        <v>-1.0590537454640317E-2</v>
      </c>
      <c r="F2531" s="9">
        <f t="shared" si="119"/>
        <v>2.5911138336000918E-2</v>
      </c>
      <c r="G2531" s="9">
        <f t="shared" si="117"/>
        <v>9.0767135292613987E-3</v>
      </c>
    </row>
    <row r="2532" spans="1:7" x14ac:dyDescent="0.2">
      <c r="A2532" s="12">
        <v>40575</v>
      </c>
      <c r="B2532" s="9">
        <v>468.78</v>
      </c>
      <c r="C2532" s="9">
        <v>463.22</v>
      </c>
      <c r="D2532" s="9">
        <v>468.06</v>
      </c>
      <c r="E2532" s="9">
        <f t="shared" si="118"/>
        <v>1.2793534848615512E-2</v>
      </c>
      <c r="F2532" s="9">
        <f t="shared" si="119"/>
        <v>2.641074799728518E-2</v>
      </c>
      <c r="G2532" s="9">
        <f t="shared" si="117"/>
        <v>9.0988398521998862E-3</v>
      </c>
    </row>
    <row r="2533" spans="1:7" x14ac:dyDescent="0.2">
      <c r="A2533" s="12">
        <v>40576</v>
      </c>
      <c r="B2533" s="9">
        <v>468.42</v>
      </c>
      <c r="C2533" s="9">
        <v>461.33</v>
      </c>
      <c r="D2533" s="9">
        <v>462.31</v>
      </c>
      <c r="E2533" s="9">
        <f t="shared" si="118"/>
        <v>-1.2360831092486171E-2</v>
      </c>
      <c r="F2533" s="9">
        <f t="shared" si="119"/>
        <v>1.846891476315431E-2</v>
      </c>
      <c r="G2533" s="9">
        <f t="shared" si="117"/>
        <v>9.3698364345379467E-3</v>
      </c>
    </row>
    <row r="2534" spans="1:7" x14ac:dyDescent="0.2">
      <c r="A2534" s="12">
        <v>40577</v>
      </c>
      <c r="B2534" s="9">
        <v>463.24</v>
      </c>
      <c r="C2534" s="9">
        <v>459.91</v>
      </c>
      <c r="D2534" s="9">
        <v>460.72</v>
      </c>
      <c r="E2534" s="9">
        <f t="shared" si="118"/>
        <v>-3.4451785373736223E-3</v>
      </c>
      <c r="F2534" s="9">
        <f t="shared" si="119"/>
        <v>1.1306954766700147E-2</v>
      </c>
      <c r="G2534" s="9">
        <f t="shared" si="117"/>
        <v>9.3793324759000839E-3</v>
      </c>
    </row>
    <row r="2535" spans="1:7" x14ac:dyDescent="0.2">
      <c r="A2535" s="12">
        <v>40578</v>
      </c>
      <c r="B2535" s="9">
        <v>461.83</v>
      </c>
      <c r="C2535" s="9">
        <v>459.56</v>
      </c>
      <c r="D2535" s="9">
        <v>460.44</v>
      </c>
      <c r="E2535" s="9">
        <f t="shared" si="118"/>
        <v>-6.0792915155565301E-4</v>
      </c>
      <c r="F2535" s="9">
        <f t="shared" si="119"/>
        <v>1.4327676111557599E-2</v>
      </c>
      <c r="G2535" s="9">
        <f t="shared" ref="G2535:G2598" si="120">STDEV(E2506:E2535)</f>
        <v>9.3510201496154102E-3</v>
      </c>
    </row>
    <row r="2536" spans="1:7" x14ac:dyDescent="0.2">
      <c r="A2536" s="12">
        <v>40581</v>
      </c>
      <c r="B2536" s="9">
        <v>462.76</v>
      </c>
      <c r="C2536" s="9">
        <v>460.2</v>
      </c>
      <c r="D2536" s="9">
        <v>462.69</v>
      </c>
      <c r="E2536" s="9">
        <f t="shared" si="118"/>
        <v>4.874729356771401E-3</v>
      </c>
      <c r="F2536" s="9">
        <f t="shared" si="119"/>
        <v>7.3536920718849713E-3</v>
      </c>
      <c r="G2536" s="9">
        <f t="shared" si="120"/>
        <v>9.142958319861923E-3</v>
      </c>
    </row>
    <row r="2537" spans="1:7" x14ac:dyDescent="0.2">
      <c r="A2537" s="12">
        <v>40582</v>
      </c>
      <c r="B2537" s="9">
        <v>464.31</v>
      </c>
      <c r="C2537" s="9">
        <v>459.38</v>
      </c>
      <c r="D2537" s="9">
        <v>461.93</v>
      </c>
      <c r="E2537" s="9">
        <f t="shared" si="118"/>
        <v>-1.6439189529891399E-3</v>
      </c>
      <c r="F2537" s="9">
        <f t="shared" si="119"/>
        <v>1.0029999776874418E-2</v>
      </c>
      <c r="G2537" s="9">
        <f t="shared" si="120"/>
        <v>9.1098738131545898E-3</v>
      </c>
    </row>
    <row r="2538" spans="1:7" x14ac:dyDescent="0.2">
      <c r="A2538" s="12">
        <v>40583</v>
      </c>
      <c r="B2538" s="9">
        <v>468.4</v>
      </c>
      <c r="C2538" s="9">
        <v>462.11</v>
      </c>
      <c r="D2538" s="9">
        <v>468.4</v>
      </c>
      <c r="E2538" s="9">
        <f t="shared" si="118"/>
        <v>1.3909267272918635E-2</v>
      </c>
      <c r="F2538" s="9">
        <f t="shared" si="119"/>
        <v>1.7878774562139266E-2</v>
      </c>
      <c r="G2538" s="9">
        <f t="shared" si="120"/>
        <v>9.3884388122123085E-3</v>
      </c>
    </row>
    <row r="2539" spans="1:7" x14ac:dyDescent="0.2">
      <c r="A2539" s="12">
        <v>40584</v>
      </c>
      <c r="B2539" s="9">
        <v>466.92</v>
      </c>
      <c r="C2539" s="9">
        <v>460.19</v>
      </c>
      <c r="D2539" s="9">
        <v>462.1</v>
      </c>
      <c r="E2539" s="9">
        <f t="shared" si="118"/>
        <v>-1.3541313847341431E-2</v>
      </c>
      <c r="F2539" s="9">
        <f t="shared" si="119"/>
        <v>5.250722645241292E-3</v>
      </c>
      <c r="G2539" s="9">
        <f t="shared" si="120"/>
        <v>9.7351298918640205E-3</v>
      </c>
    </row>
    <row r="2540" spans="1:7" x14ac:dyDescent="0.2">
      <c r="A2540" s="12">
        <v>40585</v>
      </c>
      <c r="B2540" s="9">
        <v>465.57</v>
      </c>
      <c r="C2540" s="9">
        <v>461.19</v>
      </c>
      <c r="D2540" s="9">
        <v>465.27</v>
      </c>
      <c r="E2540" s="9">
        <f t="shared" si="118"/>
        <v>6.8365643632502934E-3</v>
      </c>
      <c r="F2540" s="9">
        <f t="shared" si="119"/>
        <v>1.6666149422737236E-2</v>
      </c>
      <c r="G2540" s="9">
        <f t="shared" si="120"/>
        <v>9.7659556730075141E-3</v>
      </c>
    </row>
    <row r="2541" spans="1:7" x14ac:dyDescent="0.2">
      <c r="A2541" s="12">
        <v>40588</v>
      </c>
      <c r="B2541" s="9">
        <v>474.07</v>
      </c>
      <c r="C2541" s="9">
        <v>466.69</v>
      </c>
      <c r="D2541" s="9">
        <v>471.95</v>
      </c>
      <c r="E2541" s="9">
        <f t="shared" si="118"/>
        <v>1.4255165531482296E-2</v>
      </c>
      <c r="F2541" s="9">
        <f t="shared" si="119"/>
        <v>2.1546280276481051E-2</v>
      </c>
      <c r="G2541" s="9">
        <f t="shared" si="120"/>
        <v>9.9567084124211891E-3</v>
      </c>
    </row>
    <row r="2542" spans="1:7" x14ac:dyDescent="0.2">
      <c r="A2542" s="12">
        <v>40589</v>
      </c>
      <c r="B2542" s="9">
        <v>474.08</v>
      </c>
      <c r="C2542" s="9">
        <v>469.77</v>
      </c>
      <c r="D2542" s="9">
        <v>471.82</v>
      </c>
      <c r="E2542" s="9">
        <f t="shared" si="118"/>
        <v>-2.7549085226735357E-4</v>
      </c>
      <c r="F2542" s="9">
        <f t="shared" si="119"/>
        <v>8.1933656197988591E-3</v>
      </c>
      <c r="G2542" s="9">
        <f t="shared" si="120"/>
        <v>9.6797676367176826E-3</v>
      </c>
    </row>
    <row r="2543" spans="1:7" x14ac:dyDescent="0.2">
      <c r="A2543" s="12">
        <v>40590</v>
      </c>
      <c r="B2543" s="9">
        <v>471.97</v>
      </c>
      <c r="C2543" s="9">
        <v>466.77</v>
      </c>
      <c r="D2543" s="9">
        <v>471.52</v>
      </c>
      <c r="E2543" s="9">
        <f t="shared" si="118"/>
        <v>-6.3603792930142411E-4</v>
      </c>
      <c r="F2543" s="9">
        <f t="shared" si="119"/>
        <v>6.6602367678459846E-3</v>
      </c>
      <c r="G2543" s="9">
        <f t="shared" si="120"/>
        <v>9.6804067998872007E-3</v>
      </c>
    </row>
    <row r="2544" spans="1:7" x14ac:dyDescent="0.2">
      <c r="A2544" s="12">
        <v>40591</v>
      </c>
      <c r="B2544" s="9">
        <v>473.39</v>
      </c>
      <c r="C2544" s="9">
        <v>468.5</v>
      </c>
      <c r="D2544" s="9">
        <v>468.58</v>
      </c>
      <c r="E2544" s="9">
        <f t="shared" si="118"/>
        <v>-6.2546741508907851E-3</v>
      </c>
      <c r="F2544" s="9">
        <f t="shared" si="119"/>
        <v>-4.5565925745789078E-3</v>
      </c>
      <c r="G2544" s="9">
        <f t="shared" si="120"/>
        <v>9.7075912416144574E-3</v>
      </c>
    </row>
    <row r="2545" spans="1:7" x14ac:dyDescent="0.2">
      <c r="A2545" s="12">
        <v>40592</v>
      </c>
      <c r="B2545" s="9">
        <v>470.89</v>
      </c>
      <c r="C2545" s="9">
        <v>466.49</v>
      </c>
      <c r="D2545" s="9">
        <v>470.51</v>
      </c>
      <c r="E2545" s="9">
        <f t="shared" si="118"/>
        <v>4.1103679462000291E-3</v>
      </c>
      <c r="F2545" s="9">
        <f t="shared" si="119"/>
        <v>1.0576230710918176E-2</v>
      </c>
      <c r="G2545" s="9">
        <f t="shared" si="120"/>
        <v>9.5145018823140567E-3</v>
      </c>
    </row>
    <row r="2546" spans="1:7" x14ac:dyDescent="0.2">
      <c r="A2546" s="12">
        <v>40595</v>
      </c>
      <c r="B2546" s="9">
        <v>470.91</v>
      </c>
      <c r="C2546" s="9">
        <v>466.44</v>
      </c>
      <c r="D2546" s="9">
        <v>467.1</v>
      </c>
      <c r="E2546" s="9">
        <f t="shared" si="118"/>
        <v>-7.2738452766313803E-3</v>
      </c>
      <c r="F2546" s="9">
        <f t="shared" si="119"/>
        <v>-2.587102286456837E-3</v>
      </c>
      <c r="G2546" s="9">
        <f t="shared" si="120"/>
        <v>9.5537947820906206E-3</v>
      </c>
    </row>
    <row r="2547" spans="1:7" x14ac:dyDescent="0.2">
      <c r="A2547" s="12">
        <v>40596</v>
      </c>
      <c r="B2547" s="9">
        <v>468.06</v>
      </c>
      <c r="C2547" s="9">
        <v>461.76</v>
      </c>
      <c r="D2547" s="9">
        <v>466.29</v>
      </c>
      <c r="E2547" s="9">
        <f t="shared" si="118"/>
        <v>-1.7356093451460007E-3</v>
      </c>
      <c r="F2547" s="9">
        <f t="shared" si="119"/>
        <v>-1.350508320406984E-2</v>
      </c>
      <c r="G2547" s="9">
        <f t="shared" si="120"/>
        <v>9.3951835919089746E-3</v>
      </c>
    </row>
    <row r="2548" spans="1:7" x14ac:dyDescent="0.2">
      <c r="A2548" s="12">
        <v>40597</v>
      </c>
      <c r="B2548" s="9">
        <v>466.58</v>
      </c>
      <c r="C2548" s="9">
        <v>461.09</v>
      </c>
      <c r="D2548" s="9">
        <v>463.25</v>
      </c>
      <c r="E2548" s="9">
        <f t="shared" si="118"/>
        <v>-6.5408929974472181E-3</v>
      </c>
      <c r="F2548" s="9">
        <f t="shared" si="119"/>
        <v>-1.6888424598991269E-2</v>
      </c>
      <c r="G2548" s="9">
        <f t="shared" si="120"/>
        <v>9.4489557819165317E-3</v>
      </c>
    </row>
    <row r="2549" spans="1:7" x14ac:dyDescent="0.2">
      <c r="A2549" s="12">
        <v>40598</v>
      </c>
      <c r="B2549" s="9">
        <v>463.8</v>
      </c>
      <c r="C2549" s="9">
        <v>459.37</v>
      </c>
      <c r="D2549" s="9">
        <v>462.34</v>
      </c>
      <c r="E2549" s="9">
        <f t="shared" si="118"/>
        <v>-1.9663140120384287E-3</v>
      </c>
      <c r="F2549" s="9">
        <f t="shared" si="119"/>
        <v>-1.8151962802439082E-3</v>
      </c>
      <c r="G2549" s="9">
        <f t="shared" si="120"/>
        <v>8.9290653806217164E-3</v>
      </c>
    </row>
    <row r="2550" spans="1:7" x14ac:dyDescent="0.2">
      <c r="A2550" s="12">
        <v>40599</v>
      </c>
      <c r="B2550" s="9">
        <v>470.61</v>
      </c>
      <c r="C2550" s="9">
        <v>464.04</v>
      </c>
      <c r="D2550" s="9">
        <v>470.61</v>
      </c>
      <c r="E2550" s="9">
        <f t="shared" si="118"/>
        <v>1.7729174382827798E-2</v>
      </c>
      <c r="F2550" s="9">
        <f t="shared" si="119"/>
        <v>1.3865040137171752E-2</v>
      </c>
      <c r="G2550" s="9">
        <f t="shared" si="120"/>
        <v>9.4976319723780404E-3</v>
      </c>
    </row>
    <row r="2551" spans="1:7" x14ac:dyDescent="0.2">
      <c r="A2551" s="12">
        <v>40602</v>
      </c>
      <c r="B2551" s="9">
        <v>474.74</v>
      </c>
      <c r="C2551" s="9">
        <v>469.15</v>
      </c>
      <c r="D2551" s="9">
        <v>473.64</v>
      </c>
      <c r="E2551" s="9">
        <f t="shared" si="118"/>
        <v>6.4178139264974661E-3</v>
      </c>
      <c r="F2551" s="9">
        <f t="shared" si="119"/>
        <v>2.0476784055550052E-2</v>
      </c>
      <c r="G2551" s="9">
        <f t="shared" si="120"/>
        <v>9.5584002795958724E-3</v>
      </c>
    </row>
    <row r="2552" spans="1:7" x14ac:dyDescent="0.2">
      <c r="A2552" s="12">
        <v>40603</v>
      </c>
      <c r="B2552" s="9">
        <v>477.15</v>
      </c>
      <c r="C2552" s="9">
        <v>469.7</v>
      </c>
      <c r="D2552" s="9">
        <v>470.44</v>
      </c>
      <c r="E2552" s="9">
        <f t="shared" si="118"/>
        <v>-6.7791124799202228E-3</v>
      </c>
      <c r="F2552" s="9">
        <f t="shared" si="119"/>
        <v>-9.6884814285615097E-3</v>
      </c>
      <c r="G2552" s="9">
        <f t="shared" si="120"/>
        <v>8.629179464501268E-3</v>
      </c>
    </row>
    <row r="2553" spans="1:7" x14ac:dyDescent="0.2">
      <c r="A2553" s="12">
        <v>40604</v>
      </c>
      <c r="B2553" s="9">
        <v>468.63</v>
      </c>
      <c r="C2553" s="9">
        <v>464.78</v>
      </c>
      <c r="D2553" s="9">
        <v>467.3</v>
      </c>
      <c r="E2553" s="9">
        <f t="shared" si="118"/>
        <v>-6.6969772764552448E-3</v>
      </c>
      <c r="F2553" s="9">
        <f t="shared" si="119"/>
        <v>-6.441864387618939E-3</v>
      </c>
      <c r="G2553" s="9">
        <f t="shared" si="120"/>
        <v>8.5240824778079066E-3</v>
      </c>
    </row>
    <row r="2554" spans="1:7" x14ac:dyDescent="0.2">
      <c r="A2554" s="12">
        <v>40605</v>
      </c>
      <c r="B2554" s="9">
        <v>478.38</v>
      </c>
      <c r="C2554" s="9">
        <v>468.2</v>
      </c>
      <c r="D2554" s="9">
        <v>470.79</v>
      </c>
      <c r="E2554" s="9">
        <f t="shared" si="118"/>
        <v>7.4406850123586729E-3</v>
      </c>
      <c r="F2554" s="9">
        <f t="shared" si="119"/>
        <v>1.5239042416637451E-2</v>
      </c>
      <c r="G2554" s="9">
        <f t="shared" si="120"/>
        <v>8.207149246979014E-3</v>
      </c>
    </row>
    <row r="2555" spans="1:7" x14ac:dyDescent="0.2">
      <c r="A2555" s="12">
        <v>40606</v>
      </c>
      <c r="B2555" s="9">
        <v>475.63</v>
      </c>
      <c r="C2555" s="9">
        <v>469.43</v>
      </c>
      <c r="D2555" s="9">
        <v>469.45</v>
      </c>
      <c r="E2555" s="9">
        <f t="shared" si="118"/>
        <v>-2.8503380141826932E-3</v>
      </c>
      <c r="F2555" s="9">
        <f t="shared" si="119"/>
        <v>2.0617955858430733E-2</v>
      </c>
      <c r="G2555" s="9">
        <f t="shared" si="120"/>
        <v>8.0672527799215393E-3</v>
      </c>
    </row>
    <row r="2556" spans="1:7" x14ac:dyDescent="0.2">
      <c r="A2556" s="12">
        <v>40609</v>
      </c>
      <c r="B2556" s="9">
        <v>470.99</v>
      </c>
      <c r="C2556" s="9">
        <v>468.13</v>
      </c>
      <c r="D2556" s="9">
        <v>468.22</v>
      </c>
      <c r="E2556" s="9">
        <f t="shared" si="118"/>
        <v>-2.6235257723843694E-3</v>
      </c>
      <c r="F2556" s="9">
        <f t="shared" si="119"/>
        <v>1.3524906481528442E-2</v>
      </c>
      <c r="G2556" s="9">
        <f t="shared" si="120"/>
        <v>8.0565143233214537E-3</v>
      </c>
    </row>
    <row r="2557" spans="1:7" x14ac:dyDescent="0.2">
      <c r="A2557" s="12">
        <v>40610</v>
      </c>
      <c r="B2557" s="9">
        <v>470.58</v>
      </c>
      <c r="C2557" s="9">
        <v>465.3</v>
      </c>
      <c r="D2557" s="9">
        <v>468.83</v>
      </c>
      <c r="E2557" s="9">
        <f t="shared" si="118"/>
        <v>1.3019584572164812E-3</v>
      </c>
      <c r="F2557" s="9">
        <f t="shared" si="119"/>
        <v>1.3853165561796962E-2</v>
      </c>
      <c r="G2557" s="9">
        <f t="shared" si="120"/>
        <v>8.0574718023778882E-3</v>
      </c>
    </row>
    <row r="2558" spans="1:7" x14ac:dyDescent="0.2">
      <c r="A2558" s="12">
        <v>40611</v>
      </c>
      <c r="B2558" s="9">
        <v>471.64</v>
      </c>
      <c r="C2558" s="9">
        <v>468.51</v>
      </c>
      <c r="D2558" s="9">
        <v>470.57</v>
      </c>
      <c r="E2558" s="9">
        <f t="shared" si="118"/>
        <v>3.7044964655677942E-3</v>
      </c>
      <c r="F2558" s="9">
        <f t="shared" si="119"/>
        <v>1.0854111645703208E-2</v>
      </c>
      <c r="G2558" s="9">
        <f t="shared" si="120"/>
        <v>7.9957280801733338E-3</v>
      </c>
    </row>
    <row r="2559" spans="1:7" x14ac:dyDescent="0.2">
      <c r="A2559" s="12">
        <v>40612</v>
      </c>
      <c r="B2559" s="9">
        <v>470.63</v>
      </c>
      <c r="C2559" s="9">
        <v>464.77</v>
      </c>
      <c r="D2559" s="9">
        <v>466.68</v>
      </c>
      <c r="E2559" s="9">
        <f t="shared" si="118"/>
        <v>-8.3009278992999622E-3</v>
      </c>
      <c r="F2559" s="9">
        <f t="shared" si="119"/>
        <v>-4.8950025598573418E-3</v>
      </c>
      <c r="G2559" s="9">
        <f t="shared" si="120"/>
        <v>8.031353730279276E-3</v>
      </c>
    </row>
    <row r="2560" spans="1:7" x14ac:dyDescent="0.2">
      <c r="A2560" s="12">
        <v>40613</v>
      </c>
      <c r="B2560" s="9">
        <v>463.98</v>
      </c>
      <c r="C2560" s="9">
        <v>460.89</v>
      </c>
      <c r="D2560" s="9">
        <v>461.95</v>
      </c>
      <c r="E2560" s="9">
        <f t="shared" si="118"/>
        <v>-1.0187137838902167E-2</v>
      </c>
      <c r="F2560" s="9">
        <f t="shared" si="119"/>
        <v>-1.0936835317547442E-2</v>
      </c>
      <c r="G2560" s="9">
        <f t="shared" si="120"/>
        <v>8.2084532095917477E-3</v>
      </c>
    </row>
    <row r="2561" spans="1:7" x14ac:dyDescent="0.2">
      <c r="A2561" s="12">
        <v>40616</v>
      </c>
      <c r="B2561" s="9">
        <v>461.98</v>
      </c>
      <c r="C2561" s="9">
        <v>458.22</v>
      </c>
      <c r="D2561" s="9">
        <v>460.09</v>
      </c>
      <c r="E2561" s="9">
        <f t="shared" si="118"/>
        <v>-4.0345375970909092E-3</v>
      </c>
      <c r="F2561" s="9">
        <f t="shared" si="119"/>
        <v>-4.3808354599980323E-3</v>
      </c>
      <c r="G2561" s="9">
        <f t="shared" si="120"/>
        <v>8.0117324536410697E-3</v>
      </c>
    </row>
    <row r="2562" spans="1:7" x14ac:dyDescent="0.2">
      <c r="A2562" s="12">
        <v>40617</v>
      </c>
      <c r="B2562" s="9">
        <v>454.26</v>
      </c>
      <c r="C2562" s="9">
        <v>442.99</v>
      </c>
      <c r="D2562" s="9">
        <v>449.25</v>
      </c>
      <c r="E2562" s="9">
        <f t="shared" si="118"/>
        <v>-2.3842596855994852E-2</v>
      </c>
      <c r="F2562" s="9">
        <f t="shared" si="119"/>
        <v>-4.1016967164608356E-2</v>
      </c>
      <c r="G2562" s="9">
        <f t="shared" si="120"/>
        <v>8.7312414596987294E-3</v>
      </c>
    </row>
    <row r="2563" spans="1:7" x14ac:dyDescent="0.2">
      <c r="A2563" s="12">
        <v>40618</v>
      </c>
      <c r="B2563" s="9">
        <v>456.12</v>
      </c>
      <c r="C2563" s="9">
        <v>448.53</v>
      </c>
      <c r="D2563" s="9">
        <v>448.53</v>
      </c>
      <c r="E2563" s="9">
        <f t="shared" si="118"/>
        <v>-1.6039567697223541E-3</v>
      </c>
      <c r="F2563" s="9">
        <f t="shared" si="119"/>
        <v>-3.0260092841844555E-2</v>
      </c>
      <c r="G2563" s="9">
        <f t="shared" si="120"/>
        <v>8.4815063655579084E-3</v>
      </c>
    </row>
    <row r="2564" spans="1:7" x14ac:dyDescent="0.2">
      <c r="A2564" s="12">
        <v>40619</v>
      </c>
      <c r="B2564" s="9">
        <v>454.44</v>
      </c>
      <c r="C2564" s="9">
        <v>448.19</v>
      </c>
      <c r="D2564" s="9">
        <v>451.68</v>
      </c>
      <c r="E2564" s="9">
        <f t="shared" ref="E2564:E2627" si="121">LN(D2564/D2563)</f>
        <v>6.9983956112330166E-3</v>
      </c>
      <c r="F2564" s="9">
        <f t="shared" si="119"/>
        <v>-1.9816518693237736E-2</v>
      </c>
      <c r="G2564" s="9">
        <f t="shared" si="120"/>
        <v>8.5916628984828696E-3</v>
      </c>
    </row>
    <row r="2565" spans="1:7" x14ac:dyDescent="0.2">
      <c r="A2565" s="12">
        <v>40620</v>
      </c>
      <c r="B2565" s="9">
        <v>462.43</v>
      </c>
      <c r="C2565" s="9">
        <v>454.97</v>
      </c>
      <c r="D2565" s="9">
        <v>461.97</v>
      </c>
      <c r="E2565" s="9">
        <f t="shared" si="121"/>
        <v>2.2525989403251963E-2</v>
      </c>
      <c r="F2565" s="9">
        <f t="shared" si="119"/>
        <v>3.3173998615698345E-3</v>
      </c>
      <c r="G2565" s="9">
        <f t="shared" si="120"/>
        <v>9.5780947387780358E-3</v>
      </c>
    </row>
    <row r="2566" spans="1:7" x14ac:dyDescent="0.2">
      <c r="A2566" s="12">
        <v>40623</v>
      </c>
      <c r="B2566" s="9">
        <v>466.43</v>
      </c>
      <c r="C2566" s="9">
        <v>460.5</v>
      </c>
      <c r="D2566" s="9">
        <v>460.52</v>
      </c>
      <c r="E2566" s="9">
        <f t="shared" si="121"/>
        <v>-3.1436681029676371E-3</v>
      </c>
      <c r="F2566" s="9">
        <f t="shared" si="119"/>
        <v>-4.7009975981689755E-3</v>
      </c>
      <c r="G2566" s="9">
        <f t="shared" si="120"/>
        <v>9.5524088330156427E-3</v>
      </c>
    </row>
    <row r="2567" spans="1:7" x14ac:dyDescent="0.2">
      <c r="A2567" s="12">
        <v>40624</v>
      </c>
      <c r="B2567" s="9">
        <v>462.17</v>
      </c>
      <c r="C2567" s="9">
        <v>457.32</v>
      </c>
      <c r="D2567" s="9">
        <v>458.46</v>
      </c>
      <c r="E2567" s="9">
        <f t="shared" si="121"/>
        <v>-4.4832389179333618E-3</v>
      </c>
      <c r="F2567" s="9">
        <f t="shared" si="119"/>
        <v>-7.5403175631132378E-3</v>
      </c>
      <c r="G2567" s="9">
        <f t="shared" si="120"/>
        <v>9.5816730875300619E-3</v>
      </c>
    </row>
    <row r="2568" spans="1:7" x14ac:dyDescent="0.2">
      <c r="A2568" s="12">
        <v>40625</v>
      </c>
      <c r="B2568" s="9">
        <v>461.17</v>
      </c>
      <c r="C2568" s="9">
        <v>456.4</v>
      </c>
      <c r="D2568" s="9">
        <v>460.42</v>
      </c>
      <c r="E2568" s="9">
        <f t="shared" si="121"/>
        <v>4.2660695032201235E-3</v>
      </c>
      <c r="F2568" s="9">
        <f t="shared" si="119"/>
        <v>-1.7183515332811726E-2</v>
      </c>
      <c r="G2568" s="9">
        <f t="shared" si="120"/>
        <v>9.2461170255623872E-3</v>
      </c>
    </row>
    <row r="2569" spans="1:7" x14ac:dyDescent="0.2">
      <c r="A2569" s="12">
        <v>40626</v>
      </c>
      <c r="B2569" s="9">
        <v>462.06</v>
      </c>
      <c r="C2569" s="9">
        <v>456.95</v>
      </c>
      <c r="D2569" s="9">
        <v>462.06</v>
      </c>
      <c r="E2569" s="9">
        <f t="shared" si="121"/>
        <v>3.5556363884633106E-3</v>
      </c>
      <c r="F2569" s="9">
        <f t="shared" si="119"/>
        <v>-8.6565097007016646E-5</v>
      </c>
      <c r="G2569" s="9">
        <f t="shared" si="120"/>
        <v>8.9410854873394289E-3</v>
      </c>
    </row>
    <row r="2570" spans="1:7" x14ac:dyDescent="0.2">
      <c r="A2570" s="12">
        <v>40627</v>
      </c>
      <c r="B2570" s="9">
        <v>462.46</v>
      </c>
      <c r="C2570" s="9">
        <v>457.3</v>
      </c>
      <c r="D2570" s="9">
        <v>459.85</v>
      </c>
      <c r="E2570" s="9">
        <f t="shared" si="121"/>
        <v>-4.7944034305071118E-3</v>
      </c>
      <c r="F2570" s="9">
        <f t="shared" si="119"/>
        <v>-1.1717532890764465E-2</v>
      </c>
      <c r="G2570" s="9">
        <f t="shared" si="120"/>
        <v>8.886290364665702E-3</v>
      </c>
    </row>
    <row r="2571" spans="1:7" x14ac:dyDescent="0.2">
      <c r="A2571" s="12">
        <v>40630</v>
      </c>
      <c r="B2571" s="9">
        <v>460.45</v>
      </c>
      <c r="C2571" s="9">
        <v>457.54</v>
      </c>
      <c r="D2571" s="9">
        <v>459.35</v>
      </c>
      <c r="E2571" s="9">
        <f t="shared" si="121"/>
        <v>-1.0879026312311997E-3</v>
      </c>
      <c r="F2571" s="9">
        <f t="shared" si="119"/>
        <v>-2.7060601053477861E-2</v>
      </c>
      <c r="G2571" s="9">
        <f t="shared" si="120"/>
        <v>8.4448715437106942E-3</v>
      </c>
    </row>
    <row r="2572" spans="1:7" x14ac:dyDescent="0.2">
      <c r="A2572" s="12">
        <v>40631</v>
      </c>
      <c r="B2572" s="9">
        <v>460.3</v>
      </c>
      <c r="C2572" s="9">
        <v>457.12</v>
      </c>
      <c r="D2572" s="9">
        <v>460.05</v>
      </c>
      <c r="E2572" s="9">
        <f t="shared" si="121"/>
        <v>1.5227325108946722E-3</v>
      </c>
      <c r="F2572" s="9">
        <f t="shared" si="119"/>
        <v>-2.5262377690315734E-2</v>
      </c>
      <c r="G2572" s="9">
        <f t="shared" si="120"/>
        <v>8.4558465908813937E-3</v>
      </c>
    </row>
    <row r="2573" spans="1:7" x14ac:dyDescent="0.2">
      <c r="A2573" s="12">
        <v>40632</v>
      </c>
      <c r="B2573" s="9">
        <v>467.78</v>
      </c>
      <c r="C2573" s="9">
        <v>462.62</v>
      </c>
      <c r="D2573" s="9">
        <v>467.74</v>
      </c>
      <c r="E2573" s="9">
        <f t="shared" si="121"/>
        <v>1.6577406755553612E-2</v>
      </c>
      <c r="F2573" s="9">
        <f t="shared" si="119"/>
        <v>-8.048933005460699E-3</v>
      </c>
      <c r="G2573" s="9">
        <f t="shared" si="120"/>
        <v>9.0345280002785914E-3</v>
      </c>
    </row>
    <row r="2574" spans="1:7" x14ac:dyDescent="0.2">
      <c r="A2574" s="12">
        <v>40633</v>
      </c>
      <c r="B2574" s="9">
        <v>469.36</v>
      </c>
      <c r="C2574" s="9">
        <v>465.66</v>
      </c>
      <c r="D2574" s="9">
        <v>467.15</v>
      </c>
      <c r="E2574" s="9">
        <f t="shared" si="121"/>
        <v>-1.2621807449592485E-3</v>
      </c>
      <c r="F2574" s="9">
        <f t="shared" si="119"/>
        <v>-3.0564395995292541E-3</v>
      </c>
      <c r="G2574" s="9">
        <f t="shared" si="120"/>
        <v>8.966178707049851E-3</v>
      </c>
    </row>
    <row r="2575" spans="1:7" x14ac:dyDescent="0.2">
      <c r="A2575" s="12">
        <v>40634</v>
      </c>
      <c r="B2575" s="9">
        <v>470.23</v>
      </c>
      <c r="C2575" s="9">
        <v>464.61</v>
      </c>
      <c r="D2575" s="9">
        <v>469.16</v>
      </c>
      <c r="E2575" s="9">
        <f t="shared" si="121"/>
        <v>4.2934564143396799E-3</v>
      </c>
      <c r="F2575" s="9">
        <f t="shared" si="119"/>
        <v>-2.8733511313894116E-3</v>
      </c>
      <c r="G2575" s="9">
        <f t="shared" si="120"/>
        <v>8.9692064965110029E-3</v>
      </c>
    </row>
    <row r="2576" spans="1:7" x14ac:dyDescent="0.2">
      <c r="A2576" s="12">
        <v>40637</v>
      </c>
      <c r="B2576" s="9">
        <v>470.66</v>
      </c>
      <c r="C2576" s="9">
        <v>467.23</v>
      </c>
      <c r="D2576" s="9">
        <v>469.09</v>
      </c>
      <c r="E2576" s="9">
        <f t="shared" si="121"/>
        <v>-1.4921396244055521E-4</v>
      </c>
      <c r="F2576" s="9">
        <f t="shared" si="119"/>
        <v>4.2512801828015149E-3</v>
      </c>
      <c r="G2576" s="9">
        <f t="shared" si="120"/>
        <v>8.8663242949962879E-3</v>
      </c>
    </row>
    <row r="2577" spans="1:7" x14ac:dyDescent="0.2">
      <c r="A2577" s="12">
        <v>40638</v>
      </c>
      <c r="B2577" s="9">
        <v>470.96</v>
      </c>
      <c r="C2577" s="9">
        <v>467.34</v>
      </c>
      <c r="D2577" s="9">
        <v>470.96</v>
      </c>
      <c r="E2577" s="9">
        <f t="shared" si="121"/>
        <v>3.9785170291419666E-3</v>
      </c>
      <c r="F2577" s="9">
        <f t="shared" si="119"/>
        <v>9.9654065570895407E-3</v>
      </c>
      <c r="G2577" s="9">
        <f t="shared" si="120"/>
        <v>8.885959249535131E-3</v>
      </c>
    </row>
    <row r="2578" spans="1:7" x14ac:dyDescent="0.2">
      <c r="A2578" s="12">
        <v>40639</v>
      </c>
      <c r="B2578" s="9">
        <v>473.49</v>
      </c>
      <c r="C2578" s="9">
        <v>467.58</v>
      </c>
      <c r="D2578" s="9">
        <v>472.88</v>
      </c>
      <c r="E2578" s="9">
        <f t="shared" si="121"/>
        <v>4.0684917961080792E-3</v>
      </c>
      <c r="F2578" s="9">
        <f t="shared" si="119"/>
        <v>2.0574791350644953E-2</v>
      </c>
      <c r="G2578" s="9">
        <f t="shared" si="120"/>
        <v>8.8138151791013527E-3</v>
      </c>
    </row>
    <row r="2579" spans="1:7" x14ac:dyDescent="0.2">
      <c r="A2579" s="12">
        <v>40640</v>
      </c>
      <c r="B2579" s="9">
        <v>472.62</v>
      </c>
      <c r="C2579" s="9">
        <v>468.81</v>
      </c>
      <c r="D2579" s="9">
        <v>469.39</v>
      </c>
      <c r="E2579" s="9">
        <f t="shared" si="121"/>
        <v>-7.4076771181949188E-3</v>
      </c>
      <c r="F2579" s="9">
        <f t="shared" si="119"/>
        <v>1.5133428244488257E-2</v>
      </c>
      <c r="G2579" s="9">
        <f t="shared" si="120"/>
        <v>8.9255557245690575E-3</v>
      </c>
    </row>
    <row r="2580" spans="1:7" x14ac:dyDescent="0.2">
      <c r="A2580" s="12">
        <v>40641</v>
      </c>
      <c r="B2580" s="9">
        <v>472.03</v>
      </c>
      <c r="C2580" s="9">
        <v>468.41</v>
      </c>
      <c r="D2580" s="9">
        <v>470.97</v>
      </c>
      <c r="E2580" s="9">
        <f t="shared" si="121"/>
        <v>3.3604183224168727E-3</v>
      </c>
      <c r="F2580" s="9">
        <f t="shared" si="119"/>
        <v>7.6467218407733908E-4</v>
      </c>
      <c r="G2580" s="9">
        <f t="shared" si="120"/>
        <v>8.3353921833973759E-3</v>
      </c>
    </row>
    <row r="2581" spans="1:7" x14ac:dyDescent="0.2">
      <c r="A2581" s="12">
        <v>40644</v>
      </c>
      <c r="B2581" s="9">
        <v>471.3</v>
      </c>
      <c r="C2581" s="9">
        <v>468.15</v>
      </c>
      <c r="D2581" s="9">
        <v>470.04</v>
      </c>
      <c r="E2581" s="9">
        <f t="shared" si="121"/>
        <v>-1.976600254595584E-3</v>
      </c>
      <c r="F2581" s="9">
        <f t="shared" si="119"/>
        <v>-7.6297419970157866E-3</v>
      </c>
      <c r="G2581" s="9">
        <f t="shared" si="120"/>
        <v>8.2539056467508011E-3</v>
      </c>
    </row>
    <row r="2582" spans="1:7" x14ac:dyDescent="0.2">
      <c r="A2582" s="12">
        <v>40645</v>
      </c>
      <c r="B2582" s="9">
        <v>470.53</v>
      </c>
      <c r="C2582" s="9">
        <v>463.38</v>
      </c>
      <c r="D2582" s="9">
        <v>465.29</v>
      </c>
      <c r="E2582" s="9">
        <f t="shared" si="121"/>
        <v>-1.0156930356936497E-2</v>
      </c>
      <c r="F2582" s="9">
        <f t="shared" si="119"/>
        <v>-1.1007559874031967E-2</v>
      </c>
      <c r="G2582" s="9">
        <f t="shared" si="120"/>
        <v>8.3682285348868624E-3</v>
      </c>
    </row>
    <row r="2583" spans="1:7" x14ac:dyDescent="0.2">
      <c r="A2583" s="12">
        <v>40646</v>
      </c>
      <c r="B2583" s="9">
        <v>466.08</v>
      </c>
      <c r="C2583" s="9">
        <v>462.92</v>
      </c>
      <c r="D2583" s="9">
        <v>465.57</v>
      </c>
      <c r="E2583" s="9">
        <f t="shared" si="121"/>
        <v>6.0159424283923776E-4</v>
      </c>
      <c r="F2583" s="9">
        <f t="shared" si="119"/>
        <v>-3.7089883547374316E-3</v>
      </c>
      <c r="G2583" s="9">
        <f t="shared" si="120"/>
        <v>8.2835169786555484E-3</v>
      </c>
    </row>
    <row r="2584" spans="1:7" x14ac:dyDescent="0.2">
      <c r="A2584" s="12">
        <v>40647</v>
      </c>
      <c r="B2584" s="9">
        <v>465.8</v>
      </c>
      <c r="C2584" s="9">
        <v>460.77</v>
      </c>
      <c r="D2584" s="9">
        <v>462.28</v>
      </c>
      <c r="E2584" s="9">
        <f t="shared" si="121"/>
        <v>-7.0916932444025221E-3</v>
      </c>
      <c r="F2584" s="9">
        <f t="shared" si="119"/>
        <v>-1.8241366611498593E-2</v>
      </c>
      <c r="G2584" s="9">
        <f t="shared" si="120"/>
        <v>8.2507643187143959E-3</v>
      </c>
    </row>
    <row r="2585" spans="1:7" x14ac:dyDescent="0.2">
      <c r="A2585" s="12">
        <v>40648</v>
      </c>
      <c r="B2585" s="9">
        <v>464.55</v>
      </c>
      <c r="C2585" s="9">
        <v>459.7</v>
      </c>
      <c r="D2585" s="9">
        <v>462.1</v>
      </c>
      <c r="E2585" s="9">
        <f t="shared" si="121"/>
        <v>-3.894502310197526E-4</v>
      </c>
      <c r="F2585" s="9">
        <f t="shared" si="119"/>
        <v>-1.5780478828335651E-2</v>
      </c>
      <c r="G2585" s="9">
        <f t="shared" si="120"/>
        <v>8.2399286200881359E-3</v>
      </c>
    </row>
    <row r="2586" spans="1:7" x14ac:dyDescent="0.2">
      <c r="A2586" s="12">
        <v>40651</v>
      </c>
      <c r="B2586" s="9">
        <v>465.3</v>
      </c>
      <c r="C2586" s="9">
        <v>457.32</v>
      </c>
      <c r="D2586" s="9">
        <v>457.33</v>
      </c>
      <c r="E2586" s="9">
        <f t="shared" si="121"/>
        <v>-1.0376086914799763E-2</v>
      </c>
      <c r="F2586" s="9">
        <f t="shared" si="119"/>
        <v>-2.3533039970750968E-2</v>
      </c>
      <c r="G2586" s="9">
        <f t="shared" si="120"/>
        <v>8.4274126389732966E-3</v>
      </c>
    </row>
    <row r="2587" spans="1:7" x14ac:dyDescent="0.2">
      <c r="A2587" s="12">
        <v>40652</v>
      </c>
      <c r="B2587" s="9">
        <v>460.02</v>
      </c>
      <c r="C2587" s="9">
        <v>456.21</v>
      </c>
      <c r="D2587" s="9">
        <v>458.24</v>
      </c>
      <c r="E2587" s="9">
        <f t="shared" si="121"/>
        <v>1.9878333708050113E-3</v>
      </c>
      <c r="F2587" s="9">
        <f t="shared" si="119"/>
        <v>-2.2847165057162302E-2</v>
      </c>
      <c r="G2587" s="9">
        <f t="shared" si="120"/>
        <v>8.4341955502746438E-3</v>
      </c>
    </row>
    <row r="2588" spans="1:7" x14ac:dyDescent="0.2">
      <c r="A2588" s="12">
        <v>40653</v>
      </c>
      <c r="B2588" s="9">
        <v>467.76</v>
      </c>
      <c r="C2588" s="9">
        <v>460.36</v>
      </c>
      <c r="D2588" s="9">
        <v>466.27</v>
      </c>
      <c r="E2588" s="9">
        <f t="shared" si="121"/>
        <v>1.7371801148175273E-2</v>
      </c>
      <c r="F2588" s="9">
        <f t="shared" si="119"/>
        <v>-9.1798603745549146E-3</v>
      </c>
      <c r="G2588" s="9">
        <f t="shared" si="120"/>
        <v>9.0317083853550233E-3</v>
      </c>
    </row>
    <row r="2589" spans="1:7" x14ac:dyDescent="0.2">
      <c r="A2589" s="12">
        <v>40659</v>
      </c>
      <c r="B2589" s="9">
        <v>467.41</v>
      </c>
      <c r="C2589" s="9">
        <v>463.79</v>
      </c>
      <c r="D2589" s="9">
        <v>463.79</v>
      </c>
      <c r="E2589" s="9">
        <f t="shared" si="121"/>
        <v>-5.3330019090921466E-3</v>
      </c>
      <c r="F2589" s="9">
        <f t="shared" si="119"/>
        <v>-6.211934384347066E-3</v>
      </c>
      <c r="G2589" s="9">
        <f t="shared" si="120"/>
        <v>8.9570607158354354E-3</v>
      </c>
    </row>
    <row r="2590" spans="1:7" x14ac:dyDescent="0.2">
      <c r="A2590" s="12">
        <v>40660</v>
      </c>
      <c r="B2590" s="9">
        <v>463.88</v>
      </c>
      <c r="C2590" s="9">
        <v>457.19</v>
      </c>
      <c r="D2590" s="9">
        <v>458.03</v>
      </c>
      <c r="E2590" s="9">
        <f t="shared" si="121"/>
        <v>-1.2497179418892508E-2</v>
      </c>
      <c r="F2590" s="9">
        <f t="shared" si="119"/>
        <v>-8.5219759643374096E-3</v>
      </c>
      <c r="G2590" s="9">
        <f t="shared" si="120"/>
        <v>9.0552068235654915E-3</v>
      </c>
    </row>
    <row r="2591" spans="1:7" x14ac:dyDescent="0.2">
      <c r="A2591" s="12">
        <v>40661</v>
      </c>
      <c r="B2591" s="9">
        <v>461.8</v>
      </c>
      <c r="C2591" s="9">
        <v>455.81</v>
      </c>
      <c r="D2591" s="9">
        <v>457.99</v>
      </c>
      <c r="E2591" s="9">
        <f t="shared" si="121"/>
        <v>-8.7334337733656526E-5</v>
      </c>
      <c r="F2591" s="9">
        <f t="shared" si="119"/>
        <v>-4.5747727049802256E-3</v>
      </c>
      <c r="G2591" s="9">
        <f t="shared" si="120"/>
        <v>9.0274670252632073E-3</v>
      </c>
    </row>
    <row r="2592" spans="1:7" x14ac:dyDescent="0.2">
      <c r="A2592" s="12">
        <v>40662</v>
      </c>
      <c r="B2592" s="9">
        <v>462.81</v>
      </c>
      <c r="C2592" s="9">
        <v>458.48</v>
      </c>
      <c r="D2592" s="9">
        <v>462.81</v>
      </c>
      <c r="E2592" s="9">
        <f t="shared" si="121"/>
        <v>1.0469252877274743E-2</v>
      </c>
      <c r="F2592" s="9">
        <f t="shared" si="119"/>
        <v>2.9737077028289337E-2</v>
      </c>
      <c r="G2592" s="9">
        <f t="shared" si="120"/>
        <v>8.0423805377003218E-3</v>
      </c>
    </row>
    <row r="2593" spans="1:7" x14ac:dyDescent="0.2">
      <c r="A2593" s="12">
        <v>40665</v>
      </c>
      <c r="B2593" s="9">
        <v>467.62</v>
      </c>
      <c r="C2593" s="9">
        <v>463.45</v>
      </c>
      <c r="D2593" s="9">
        <v>467.61</v>
      </c>
      <c r="E2593" s="9">
        <f t="shared" si="121"/>
        <v>1.0318012477111569E-2</v>
      </c>
      <c r="F2593" s="9">
        <f t="shared" ref="F2593:F2656" si="122">LN(D2593/D2563)</f>
        <v>4.1659046275123339E-2</v>
      </c>
      <c r="G2593" s="9">
        <f t="shared" si="120"/>
        <v>8.2026753722830859E-3</v>
      </c>
    </row>
    <row r="2594" spans="1:7" x14ac:dyDescent="0.2">
      <c r="A2594" s="12">
        <v>40666</v>
      </c>
      <c r="B2594" s="9">
        <v>468.01</v>
      </c>
      <c r="C2594" s="9">
        <v>462.08</v>
      </c>
      <c r="D2594" s="9">
        <v>462.91</v>
      </c>
      <c r="E2594" s="9">
        <f t="shared" si="121"/>
        <v>-1.0101964427184997E-2</v>
      </c>
      <c r="F2594" s="9">
        <f t="shared" si="122"/>
        <v>2.4558686236705075E-2</v>
      </c>
      <c r="G2594" s="9">
        <f t="shared" si="120"/>
        <v>8.3913947322382509E-3</v>
      </c>
    </row>
    <row r="2595" spans="1:7" x14ac:dyDescent="0.2">
      <c r="A2595" s="12">
        <v>40667</v>
      </c>
      <c r="B2595" s="9">
        <v>461.46</v>
      </c>
      <c r="C2595" s="9">
        <v>456.15</v>
      </c>
      <c r="D2595" s="9">
        <v>457.76</v>
      </c>
      <c r="E2595" s="9">
        <f t="shared" si="121"/>
        <v>-1.1187621440084297E-2</v>
      </c>
      <c r="F2595" s="9">
        <f t="shared" si="122"/>
        <v>-9.1549246066311117E-3</v>
      </c>
      <c r="G2595" s="9">
        <f t="shared" si="120"/>
        <v>7.604678422569313E-3</v>
      </c>
    </row>
    <row r="2596" spans="1:7" x14ac:dyDescent="0.2">
      <c r="A2596" s="12">
        <v>40668</v>
      </c>
      <c r="B2596" s="9">
        <v>458.4</v>
      </c>
      <c r="C2596" s="9">
        <v>451.1</v>
      </c>
      <c r="D2596" s="9">
        <v>453.92</v>
      </c>
      <c r="E2596" s="9">
        <f t="shared" si="121"/>
        <v>-8.4240582412588218E-3</v>
      </c>
      <c r="F2596" s="9">
        <f t="shared" si="122"/>
        <v>-1.4435314744922354E-2</v>
      </c>
      <c r="G2596" s="9">
        <f t="shared" si="120"/>
        <v>7.7326731841489303E-3</v>
      </c>
    </row>
    <row r="2597" spans="1:7" x14ac:dyDescent="0.2">
      <c r="A2597" s="12">
        <v>40669</v>
      </c>
      <c r="B2597" s="9">
        <v>460.04</v>
      </c>
      <c r="C2597" s="9">
        <v>451.78</v>
      </c>
      <c r="D2597" s="9">
        <v>459.05</v>
      </c>
      <c r="E2597" s="9">
        <f t="shared" si="121"/>
        <v>1.1238165529167735E-2</v>
      </c>
      <c r="F2597" s="9">
        <f t="shared" si="122"/>
        <v>1.2860897021788489E-3</v>
      </c>
      <c r="G2597" s="9">
        <f t="shared" si="120"/>
        <v>7.9808403009756206E-3</v>
      </c>
    </row>
    <row r="2598" spans="1:7" x14ac:dyDescent="0.2">
      <c r="A2598" s="12">
        <v>40672</v>
      </c>
      <c r="B2598" s="9">
        <v>459.93</v>
      </c>
      <c r="C2598" s="9">
        <v>456.59</v>
      </c>
      <c r="D2598" s="9">
        <v>458.39</v>
      </c>
      <c r="E2598" s="9">
        <f t="shared" si="121"/>
        <v>-1.4387864358560694E-3</v>
      </c>
      <c r="F2598" s="9">
        <f t="shared" si="122"/>
        <v>-4.4187662368974949E-3</v>
      </c>
      <c r="G2598" s="9">
        <f t="shared" si="120"/>
        <v>7.9446264363278434E-3</v>
      </c>
    </row>
    <row r="2599" spans="1:7" x14ac:dyDescent="0.2">
      <c r="A2599" s="12">
        <v>40673</v>
      </c>
      <c r="B2599" s="9">
        <v>458.23</v>
      </c>
      <c r="C2599" s="9">
        <v>454.77</v>
      </c>
      <c r="D2599" s="9">
        <v>455.82</v>
      </c>
      <c r="E2599" s="9">
        <f t="shared" si="121"/>
        <v>-5.6223554106678546E-3</v>
      </c>
      <c r="F2599" s="9">
        <f t="shared" si="122"/>
        <v>-1.3596758036028523E-2</v>
      </c>
      <c r="G2599" s="9">
        <f t="shared" ref="G2599:G2662" si="123">STDEV(E2570:E2599)</f>
        <v>7.9737767907237991E-3</v>
      </c>
    </row>
    <row r="2600" spans="1:7" x14ac:dyDescent="0.2">
      <c r="A2600" s="12">
        <v>40674</v>
      </c>
      <c r="B2600" s="9">
        <v>460.78</v>
      </c>
      <c r="C2600" s="9">
        <v>457.06</v>
      </c>
      <c r="D2600" s="9">
        <v>459.21</v>
      </c>
      <c r="E2600" s="9">
        <f t="shared" si="121"/>
        <v>7.4096270285402381E-3</v>
      </c>
      <c r="F2600" s="9">
        <f t="shared" si="122"/>
        <v>-1.3927275769812272E-3</v>
      </c>
      <c r="G2600" s="9">
        <f t="shared" si="123"/>
        <v>8.055553619439151E-3</v>
      </c>
    </row>
    <row r="2601" spans="1:7" x14ac:dyDescent="0.2">
      <c r="A2601" s="12">
        <v>40675</v>
      </c>
      <c r="B2601" s="9">
        <v>459.75</v>
      </c>
      <c r="C2601" s="9">
        <v>455.93</v>
      </c>
      <c r="D2601" s="9">
        <v>459.69</v>
      </c>
      <c r="E2601" s="9">
        <f t="shared" si="121"/>
        <v>1.044727486469184E-3</v>
      </c>
      <c r="F2601" s="9">
        <f t="shared" si="122"/>
        <v>7.3990254071897303E-4</v>
      </c>
      <c r="G2601" s="9">
        <f t="shared" si="123"/>
        <v>8.0554558734656015E-3</v>
      </c>
    </row>
    <row r="2602" spans="1:7" x14ac:dyDescent="0.2">
      <c r="A2602" s="12">
        <v>40676</v>
      </c>
      <c r="B2602" s="9">
        <v>463.97</v>
      </c>
      <c r="C2602" s="9">
        <v>460.82</v>
      </c>
      <c r="D2602" s="9">
        <v>463.5</v>
      </c>
      <c r="E2602" s="9">
        <f t="shared" si="121"/>
        <v>8.2540357477153652E-3</v>
      </c>
      <c r="F2602" s="9">
        <f t="shared" si="122"/>
        <v>7.4712057775395578E-3</v>
      </c>
      <c r="G2602" s="9">
        <f t="shared" si="123"/>
        <v>8.1912247418555323E-3</v>
      </c>
    </row>
    <row r="2603" spans="1:7" x14ac:dyDescent="0.2">
      <c r="A2603" s="12">
        <v>40679</v>
      </c>
      <c r="B2603" s="9">
        <v>463.3</v>
      </c>
      <c r="C2603" s="9">
        <v>456.99</v>
      </c>
      <c r="D2603" s="9">
        <v>463.28</v>
      </c>
      <c r="E2603" s="9">
        <f t="shared" si="121"/>
        <v>-4.7476208837553063E-4</v>
      </c>
      <c r="F2603" s="9">
        <f t="shared" si="122"/>
        <v>-9.5809630663894994E-3</v>
      </c>
      <c r="G2603" s="9">
        <f t="shared" si="123"/>
        <v>7.5885678689780857E-3</v>
      </c>
    </row>
    <row r="2604" spans="1:7" x14ac:dyDescent="0.2">
      <c r="A2604" s="12">
        <v>40680</v>
      </c>
      <c r="B2604" s="9">
        <v>463.74</v>
      </c>
      <c r="C2604" s="9">
        <v>459.56</v>
      </c>
      <c r="D2604" s="9">
        <v>460.56</v>
      </c>
      <c r="E2604" s="9">
        <f t="shared" si="121"/>
        <v>-5.88848254998014E-3</v>
      </c>
      <c r="F2604" s="9">
        <f t="shared" si="122"/>
        <v>-1.4207264871410455E-2</v>
      </c>
      <c r="G2604" s="9">
        <f t="shared" si="123"/>
        <v>7.6551025336213463E-3</v>
      </c>
    </row>
    <row r="2605" spans="1:7" x14ac:dyDescent="0.2">
      <c r="A2605" s="12">
        <v>40681</v>
      </c>
      <c r="B2605" s="9">
        <v>462.22</v>
      </c>
      <c r="C2605" s="9">
        <v>459.71</v>
      </c>
      <c r="D2605" s="9">
        <v>460.56</v>
      </c>
      <c r="E2605" s="9">
        <f t="shared" si="121"/>
        <v>0</v>
      </c>
      <c r="F2605" s="9">
        <f t="shared" si="122"/>
        <v>-1.8500721285750182E-2</v>
      </c>
      <c r="G2605" s="9">
        <f t="shared" si="123"/>
        <v>7.6028635049981922E-3</v>
      </c>
    </row>
    <row r="2606" spans="1:7" x14ac:dyDescent="0.2">
      <c r="A2606" s="12">
        <v>40682</v>
      </c>
      <c r="B2606" s="9">
        <v>463.34</v>
      </c>
      <c r="C2606" s="9">
        <v>459.96</v>
      </c>
      <c r="D2606" s="9">
        <v>462.26</v>
      </c>
      <c r="E2606" s="9">
        <f t="shared" si="121"/>
        <v>3.6843629809888449E-3</v>
      </c>
      <c r="F2606" s="9">
        <f t="shared" si="122"/>
        <v>-1.466714434232084E-2</v>
      </c>
      <c r="G2606" s="9">
        <f t="shared" si="123"/>
        <v>7.6431017400643824E-3</v>
      </c>
    </row>
    <row r="2607" spans="1:7" x14ac:dyDescent="0.2">
      <c r="A2607" s="12">
        <v>40686</v>
      </c>
      <c r="B2607" s="9">
        <v>459.42</v>
      </c>
      <c r="C2607" s="9">
        <v>454.25</v>
      </c>
      <c r="D2607" s="9">
        <v>454.64</v>
      </c>
      <c r="E2607" s="9">
        <f t="shared" si="121"/>
        <v>-1.6621606359676924E-2</v>
      </c>
      <c r="F2607" s="9">
        <f t="shared" si="122"/>
        <v>-3.5267267731139883E-2</v>
      </c>
      <c r="G2607" s="9">
        <f t="shared" si="123"/>
        <v>8.1372998584772586E-3</v>
      </c>
    </row>
    <row r="2608" spans="1:7" x14ac:dyDescent="0.2">
      <c r="A2608" s="12">
        <v>40687</v>
      </c>
      <c r="B2608" s="9">
        <v>456.82</v>
      </c>
      <c r="C2608" s="9">
        <v>453.25</v>
      </c>
      <c r="D2608" s="9">
        <v>455.75</v>
      </c>
      <c r="E2608" s="9">
        <f t="shared" si="121"/>
        <v>2.4385165699063946E-3</v>
      </c>
      <c r="F2608" s="9">
        <f t="shared" si="122"/>
        <v>-3.6897242957341592E-2</v>
      </c>
      <c r="G2608" s="9">
        <f t="shared" si="123"/>
        <v>8.106461193483256E-3</v>
      </c>
    </row>
    <row r="2609" spans="1:7" x14ac:dyDescent="0.2">
      <c r="A2609" s="12">
        <v>40688</v>
      </c>
      <c r="B2609" s="9">
        <v>457.91</v>
      </c>
      <c r="C2609" s="9">
        <v>453.07</v>
      </c>
      <c r="D2609" s="9">
        <v>456.24</v>
      </c>
      <c r="E2609" s="9">
        <f t="shared" si="121"/>
        <v>1.0745732895110457E-3</v>
      </c>
      <c r="F2609" s="9">
        <f t="shared" si="122"/>
        <v>-2.8414992549635691E-2</v>
      </c>
      <c r="G2609" s="9">
        <f t="shared" si="123"/>
        <v>8.0311338101891287E-3</v>
      </c>
    </row>
    <row r="2610" spans="1:7" x14ac:dyDescent="0.2">
      <c r="A2610" s="12">
        <v>40689</v>
      </c>
      <c r="B2610" s="9">
        <v>458.15</v>
      </c>
      <c r="C2610" s="9">
        <v>449.73</v>
      </c>
      <c r="D2610" s="9">
        <v>451.3</v>
      </c>
      <c r="E2610" s="9">
        <f t="shared" si="121"/>
        <v>-1.088668001532795E-2</v>
      </c>
      <c r="F2610" s="9">
        <f t="shared" si="122"/>
        <v>-4.2662090887380405E-2</v>
      </c>
      <c r="G2610" s="9">
        <f t="shared" si="123"/>
        <v>8.1873469421495804E-3</v>
      </c>
    </row>
    <row r="2611" spans="1:7" x14ac:dyDescent="0.2">
      <c r="A2611" s="12">
        <v>40690</v>
      </c>
      <c r="B2611" s="9">
        <v>455.87</v>
      </c>
      <c r="C2611" s="9">
        <v>452.29</v>
      </c>
      <c r="D2611" s="9">
        <v>453.27</v>
      </c>
      <c r="E2611" s="9">
        <f t="shared" si="121"/>
        <v>4.3556675869036018E-3</v>
      </c>
      <c r="F2611" s="9">
        <f t="shared" si="122"/>
        <v>-3.6329823045881032E-2</v>
      </c>
      <c r="G2611" s="9">
        <f t="shared" si="123"/>
        <v>8.2539123541611765E-3</v>
      </c>
    </row>
    <row r="2612" spans="1:7" x14ac:dyDescent="0.2">
      <c r="A2612" s="12">
        <v>40693</v>
      </c>
      <c r="B2612" s="9">
        <v>456.1</v>
      </c>
      <c r="C2612" s="9">
        <v>453.49</v>
      </c>
      <c r="D2612" s="9">
        <v>454.4</v>
      </c>
      <c r="E2612" s="9">
        <f t="shared" si="121"/>
        <v>2.4898929870823942E-3</v>
      </c>
      <c r="F2612" s="9">
        <f t="shared" si="122"/>
        <v>-2.3682999701862311E-2</v>
      </c>
      <c r="G2612" s="9">
        <f t="shared" si="123"/>
        <v>8.1028313281096883E-3</v>
      </c>
    </row>
    <row r="2613" spans="1:7" x14ac:dyDescent="0.2">
      <c r="A2613" s="12">
        <v>40694</v>
      </c>
      <c r="B2613" s="9">
        <v>458.36</v>
      </c>
      <c r="C2613" s="9">
        <v>455.32</v>
      </c>
      <c r="D2613" s="9">
        <v>456.25</v>
      </c>
      <c r="E2613" s="9">
        <f t="shared" si="121"/>
        <v>4.0630374897597469E-3</v>
      </c>
      <c r="F2613" s="9">
        <f t="shared" si="122"/>
        <v>-2.0221556454941822E-2</v>
      </c>
      <c r="G2613" s="9">
        <f t="shared" si="123"/>
        <v>8.1478419385513177E-3</v>
      </c>
    </row>
    <row r="2614" spans="1:7" x14ac:dyDescent="0.2">
      <c r="A2614" s="12">
        <v>40695</v>
      </c>
      <c r="B2614" s="9">
        <v>457.06</v>
      </c>
      <c r="C2614" s="9">
        <v>453.78</v>
      </c>
      <c r="D2614" s="9">
        <v>454.55</v>
      </c>
      <c r="E2614" s="9">
        <f t="shared" si="121"/>
        <v>-3.7329863288340149E-3</v>
      </c>
      <c r="F2614" s="9">
        <f t="shared" si="122"/>
        <v>-1.6862849539373313E-2</v>
      </c>
      <c r="G2614" s="9">
        <f t="shared" si="123"/>
        <v>8.0794064486252003E-3</v>
      </c>
    </row>
    <row r="2615" spans="1:7" x14ac:dyDescent="0.2">
      <c r="A2615" s="12">
        <v>40700</v>
      </c>
      <c r="B2615" s="9">
        <v>454.14</v>
      </c>
      <c r="C2615" s="9">
        <v>449.08</v>
      </c>
      <c r="D2615" s="9">
        <v>449.52</v>
      </c>
      <c r="E2615" s="9">
        <f t="shared" si="121"/>
        <v>-1.1127571763924501E-2</v>
      </c>
      <c r="F2615" s="9">
        <f t="shared" si="122"/>
        <v>-2.7600971072278078E-2</v>
      </c>
      <c r="G2615" s="9">
        <f t="shared" si="123"/>
        <v>8.3061742023792552E-3</v>
      </c>
    </row>
    <row r="2616" spans="1:7" x14ac:dyDescent="0.2">
      <c r="A2616" s="12">
        <v>40701</v>
      </c>
      <c r="B2616" s="9">
        <v>451.4</v>
      </c>
      <c r="C2616" s="9">
        <v>446.48</v>
      </c>
      <c r="D2616" s="9">
        <v>447.24</v>
      </c>
      <c r="E2616" s="9">
        <f t="shared" si="121"/>
        <v>-5.084983524775326E-3</v>
      </c>
      <c r="F2616" s="9">
        <f t="shared" si="122"/>
        <v>-2.2309867682253633E-2</v>
      </c>
      <c r="G2616" s="9">
        <f t="shared" si="123"/>
        <v>8.1532308480425572E-3</v>
      </c>
    </row>
    <row r="2617" spans="1:7" x14ac:dyDescent="0.2">
      <c r="A2617" s="12">
        <v>40702</v>
      </c>
      <c r="B2617" s="9">
        <v>445.26</v>
      </c>
      <c r="C2617" s="9">
        <v>437.28</v>
      </c>
      <c r="D2617" s="9">
        <v>437.81</v>
      </c>
      <c r="E2617" s="9">
        <f t="shared" si="121"/>
        <v>-2.1310336971139519E-2</v>
      </c>
      <c r="F2617" s="9">
        <f t="shared" si="122"/>
        <v>-4.560803802419823E-2</v>
      </c>
      <c r="G2617" s="9">
        <f t="shared" si="123"/>
        <v>8.9543161884554755E-3</v>
      </c>
    </row>
    <row r="2618" spans="1:7" x14ac:dyDescent="0.2">
      <c r="A2618" s="12">
        <v>40703</v>
      </c>
      <c r="B2618" s="9">
        <v>441.28</v>
      </c>
      <c r="C2618" s="9">
        <v>437.46</v>
      </c>
      <c r="D2618" s="9">
        <v>439.76</v>
      </c>
      <c r="E2618" s="9">
        <f t="shared" si="121"/>
        <v>4.4440972443770856E-3</v>
      </c>
      <c r="F2618" s="9">
        <f t="shared" si="122"/>
        <v>-5.8535741927996418E-2</v>
      </c>
      <c r="G2618" s="9">
        <f t="shared" si="123"/>
        <v>8.3010304730344823E-3</v>
      </c>
    </row>
    <row r="2619" spans="1:7" x14ac:dyDescent="0.2">
      <c r="A2619" s="12">
        <v>40704</v>
      </c>
      <c r="B2619" s="9">
        <v>442.26</v>
      </c>
      <c r="C2619" s="9">
        <v>437.99</v>
      </c>
      <c r="D2619" s="9">
        <v>438.79</v>
      </c>
      <c r="E2619" s="9">
        <f t="shared" si="121"/>
        <v>-2.2081848367190402E-3</v>
      </c>
      <c r="F2619" s="9">
        <f t="shared" si="122"/>
        <v>-5.5410924855623336E-2</v>
      </c>
      <c r="G2619" s="9">
        <f t="shared" si="123"/>
        <v>8.2767018691246013E-3</v>
      </c>
    </row>
    <row r="2620" spans="1:7" x14ac:dyDescent="0.2">
      <c r="A2620" s="12">
        <v>40708</v>
      </c>
      <c r="B2620" s="9">
        <v>441.81</v>
      </c>
      <c r="C2620" s="9">
        <v>439.36</v>
      </c>
      <c r="D2620" s="9">
        <v>440.61</v>
      </c>
      <c r="E2620" s="9">
        <f t="shared" si="121"/>
        <v>4.1391917181949935E-3</v>
      </c>
      <c r="F2620" s="9">
        <f t="shared" si="122"/>
        <v>-3.8774553718535894E-2</v>
      </c>
      <c r="G2620" s="9">
        <f t="shared" si="123"/>
        <v>8.0938324503777807E-3</v>
      </c>
    </row>
    <row r="2621" spans="1:7" x14ac:dyDescent="0.2">
      <c r="A2621" s="12">
        <v>40709</v>
      </c>
      <c r="B2621" s="9">
        <v>440.9</v>
      </c>
      <c r="C2621" s="9">
        <v>431.14</v>
      </c>
      <c r="D2621" s="9">
        <v>432</v>
      </c>
      <c r="E2621" s="9">
        <f t="shared" si="121"/>
        <v>-1.9734542189770467E-2</v>
      </c>
      <c r="F2621" s="9">
        <f t="shared" si="122"/>
        <v>-5.8421761570572703E-2</v>
      </c>
      <c r="G2621" s="9">
        <f t="shared" si="123"/>
        <v>8.7603801999138579E-3</v>
      </c>
    </row>
    <row r="2622" spans="1:7" x14ac:dyDescent="0.2">
      <c r="A2622" s="12">
        <v>40710</v>
      </c>
      <c r="B2622" s="9">
        <v>430.03</v>
      </c>
      <c r="C2622" s="9">
        <v>418.86</v>
      </c>
      <c r="D2622" s="9">
        <v>422.57</v>
      </c>
      <c r="E2622" s="9">
        <f t="shared" si="121"/>
        <v>-2.2070474697002841E-2</v>
      </c>
      <c r="F2622" s="9">
        <f t="shared" si="122"/>
        <v>-9.0961489144850416E-2</v>
      </c>
      <c r="G2622" s="9">
        <f t="shared" si="123"/>
        <v>9.1746549265666315E-3</v>
      </c>
    </row>
    <row r="2623" spans="1:7" x14ac:dyDescent="0.2">
      <c r="A2623" s="12">
        <v>40711</v>
      </c>
      <c r="B2623" s="9">
        <v>425.07</v>
      </c>
      <c r="C2623" s="9">
        <v>417.87</v>
      </c>
      <c r="D2623" s="9">
        <v>423.19</v>
      </c>
      <c r="E2623" s="9">
        <f t="shared" si="121"/>
        <v>1.4661372281983102E-3</v>
      </c>
      <c r="F2623" s="9">
        <f t="shared" si="122"/>
        <v>-9.9813364393763565E-2</v>
      </c>
      <c r="G2623" s="9">
        <f t="shared" si="123"/>
        <v>8.8677100564537349E-3</v>
      </c>
    </row>
    <row r="2624" spans="1:7" x14ac:dyDescent="0.2">
      <c r="A2624" s="12">
        <v>40714</v>
      </c>
      <c r="B2624" s="9">
        <v>420.65</v>
      </c>
      <c r="C2624" s="9">
        <v>416.6</v>
      </c>
      <c r="D2624" s="9">
        <v>416.6</v>
      </c>
      <c r="E2624" s="9">
        <f t="shared" si="121"/>
        <v>-1.569472194843417E-2</v>
      </c>
      <c r="F2624" s="9">
        <f t="shared" si="122"/>
        <v>-0.10540612191501263</v>
      </c>
      <c r="G2624" s="9">
        <f t="shared" si="123"/>
        <v>9.0714951154888378E-3</v>
      </c>
    </row>
    <row r="2625" spans="1:7" x14ac:dyDescent="0.2">
      <c r="A2625" s="12">
        <v>40715</v>
      </c>
      <c r="B2625" s="9">
        <v>424.28</v>
      </c>
      <c r="C2625" s="9">
        <v>418.14</v>
      </c>
      <c r="D2625" s="9">
        <v>423.2</v>
      </c>
      <c r="E2625" s="9">
        <f t="shared" si="121"/>
        <v>1.5718351717217971E-2</v>
      </c>
      <c r="F2625" s="9">
        <f t="shared" si="122"/>
        <v>-7.8500148757710483E-2</v>
      </c>
      <c r="G2625" s="9">
        <f t="shared" si="123"/>
        <v>9.6012061596902169E-3</v>
      </c>
    </row>
    <row r="2626" spans="1:7" x14ac:dyDescent="0.2">
      <c r="A2626" s="12">
        <v>40716</v>
      </c>
      <c r="B2626" s="9">
        <v>425.55</v>
      </c>
      <c r="C2626" s="9">
        <v>419.94</v>
      </c>
      <c r="D2626" s="9">
        <v>420.53</v>
      </c>
      <c r="E2626" s="9">
        <f t="shared" si="121"/>
        <v>-6.3290600373976701E-3</v>
      </c>
      <c r="F2626" s="9">
        <f t="shared" si="122"/>
        <v>-7.6405150553849291E-2</v>
      </c>
      <c r="G2626" s="9">
        <f t="shared" si="123"/>
        <v>9.565061096723837E-3</v>
      </c>
    </row>
    <row r="2627" spans="1:7" x14ac:dyDescent="0.2">
      <c r="A2627" s="12">
        <v>40717</v>
      </c>
      <c r="B2627" s="9">
        <v>421.09</v>
      </c>
      <c r="C2627" s="9">
        <v>413.46</v>
      </c>
      <c r="D2627" s="9">
        <v>414.69</v>
      </c>
      <c r="E2627" s="9">
        <f t="shared" si="121"/>
        <v>-1.3984567362316368E-2</v>
      </c>
      <c r="F2627" s="9">
        <f t="shared" si="122"/>
        <v>-0.10162788344533341</v>
      </c>
      <c r="G2627" s="9">
        <f t="shared" si="123"/>
        <v>9.4190022975821231E-3</v>
      </c>
    </row>
    <row r="2628" spans="1:7" x14ac:dyDescent="0.2">
      <c r="A2628" s="12">
        <v>40718</v>
      </c>
      <c r="B2628" s="9">
        <v>419.73</v>
      </c>
      <c r="C2628" s="9">
        <v>414.62</v>
      </c>
      <c r="D2628" s="9">
        <v>415.93</v>
      </c>
      <c r="E2628" s="9">
        <f t="shared" ref="E2628:E2691" si="124">LN(D2628/D2627)</f>
        <v>2.9857237272630987E-3</v>
      </c>
      <c r="F2628" s="9">
        <f t="shared" si="122"/>
        <v>-9.7203373282214303E-2</v>
      </c>
      <c r="G2628" s="9">
        <f t="shared" si="123"/>
        <v>9.4849778285102989E-3</v>
      </c>
    </row>
    <row r="2629" spans="1:7" x14ac:dyDescent="0.2">
      <c r="A2629" s="12">
        <v>40721</v>
      </c>
      <c r="B2629" s="9">
        <v>419.47</v>
      </c>
      <c r="C2629" s="9">
        <v>414.12</v>
      </c>
      <c r="D2629" s="9">
        <v>414.92</v>
      </c>
      <c r="E2629" s="9">
        <f t="shared" si="124"/>
        <v>-2.4312463080113835E-3</v>
      </c>
      <c r="F2629" s="9">
        <f t="shared" si="122"/>
        <v>-9.4012264179557825E-2</v>
      </c>
      <c r="G2629" s="9">
        <f t="shared" si="123"/>
        <v>9.4752291782579171E-3</v>
      </c>
    </row>
    <row r="2630" spans="1:7" x14ac:dyDescent="0.2">
      <c r="A2630" s="12">
        <v>40722</v>
      </c>
      <c r="B2630" s="9">
        <v>417.2</v>
      </c>
      <c r="C2630" s="9">
        <v>413.88</v>
      </c>
      <c r="D2630" s="9">
        <v>415.59</v>
      </c>
      <c r="E2630" s="9">
        <f t="shared" si="124"/>
        <v>1.613466774270065E-3</v>
      </c>
      <c r="F2630" s="9">
        <f t="shared" si="122"/>
        <v>-9.9808424433828188E-2</v>
      </c>
      <c r="G2630" s="9">
        <f t="shared" si="123"/>
        <v>9.3104920077616057E-3</v>
      </c>
    </row>
    <row r="2631" spans="1:7" x14ac:dyDescent="0.2">
      <c r="A2631" s="12">
        <v>40723</v>
      </c>
      <c r="B2631" s="9">
        <v>424.2</v>
      </c>
      <c r="C2631" s="9">
        <v>417.54</v>
      </c>
      <c r="D2631" s="9">
        <v>423.86</v>
      </c>
      <c r="E2631" s="9">
        <f t="shared" si="124"/>
        <v>1.9704014690530805E-2</v>
      </c>
      <c r="F2631" s="9">
        <f t="shared" si="122"/>
        <v>-8.1149137229766577E-2</v>
      </c>
      <c r="G2631" s="9">
        <f t="shared" si="123"/>
        <v>1.01939478742121E-2</v>
      </c>
    </row>
    <row r="2632" spans="1:7" x14ac:dyDescent="0.2">
      <c r="A2632" s="12">
        <v>40724</v>
      </c>
      <c r="B2632" s="9">
        <v>431.06</v>
      </c>
      <c r="C2632" s="9">
        <v>425.06</v>
      </c>
      <c r="D2632" s="9">
        <v>431.06</v>
      </c>
      <c r="E2632" s="9">
        <f t="shared" si="124"/>
        <v>1.6844079523239547E-2</v>
      </c>
      <c r="F2632" s="9">
        <f t="shared" si="122"/>
        <v>-7.2559093454242204E-2</v>
      </c>
      <c r="G2632" s="9">
        <f t="shared" si="123"/>
        <v>1.0623958850090768E-2</v>
      </c>
    </row>
    <row r="2633" spans="1:7" x14ac:dyDescent="0.2">
      <c r="A2633" s="12">
        <v>40725</v>
      </c>
      <c r="B2633" s="9">
        <v>436.4</v>
      </c>
      <c r="C2633" s="9">
        <v>431.72</v>
      </c>
      <c r="D2633" s="9">
        <v>436.16</v>
      </c>
      <c r="E2633" s="9">
        <f t="shared" si="124"/>
        <v>1.1761856956500142E-2</v>
      </c>
      <c r="F2633" s="9">
        <f t="shared" si="122"/>
        <v>-6.0322474409366465E-2</v>
      </c>
      <c r="G2633" s="9">
        <f t="shared" si="123"/>
        <v>1.0931610494283704E-2</v>
      </c>
    </row>
    <row r="2634" spans="1:7" x14ac:dyDescent="0.2">
      <c r="A2634" s="12">
        <v>40728</v>
      </c>
      <c r="B2634" s="9">
        <v>441.75</v>
      </c>
      <c r="C2634" s="9">
        <v>436.99</v>
      </c>
      <c r="D2634" s="9">
        <v>440.81</v>
      </c>
      <c r="E2634" s="9">
        <f t="shared" si="124"/>
        <v>1.060479509862129E-2</v>
      </c>
      <c r="F2634" s="9">
        <f t="shared" si="122"/>
        <v>-4.3829196760765021E-2</v>
      </c>
      <c r="G2634" s="9">
        <f t="shared" si="123"/>
        <v>1.1142572391216372E-2</v>
      </c>
    </row>
    <row r="2635" spans="1:7" x14ac:dyDescent="0.2">
      <c r="A2635" s="12">
        <v>40729</v>
      </c>
      <c r="B2635" s="9">
        <v>441.8</v>
      </c>
      <c r="C2635" s="9">
        <v>438.91</v>
      </c>
      <c r="D2635" s="9">
        <v>439.83</v>
      </c>
      <c r="E2635" s="9">
        <f t="shared" si="124"/>
        <v>-2.2256549885062908E-3</v>
      </c>
      <c r="F2635" s="9">
        <f t="shared" si="122"/>
        <v>-4.605485174927134E-2</v>
      </c>
      <c r="G2635" s="9">
        <f t="shared" si="123"/>
        <v>1.1139918656826829E-2</v>
      </c>
    </row>
    <row r="2636" spans="1:7" x14ac:dyDescent="0.2">
      <c r="A2636" s="12">
        <v>40730</v>
      </c>
      <c r="B2636" s="9">
        <v>439.25</v>
      </c>
      <c r="C2636" s="9">
        <v>435.76</v>
      </c>
      <c r="D2636" s="9">
        <v>436.43</v>
      </c>
      <c r="E2636" s="9">
        <f t="shared" si="124"/>
        <v>-7.7602927508354895E-3</v>
      </c>
      <c r="F2636" s="9">
        <f t="shared" si="122"/>
        <v>-5.7499507481095675E-2</v>
      </c>
      <c r="G2636" s="9">
        <f t="shared" si="123"/>
        <v>1.1150968190601598E-2</v>
      </c>
    </row>
    <row r="2637" spans="1:7" x14ac:dyDescent="0.2">
      <c r="A2637" s="12">
        <v>40731</v>
      </c>
      <c r="B2637" s="9">
        <v>439.6</v>
      </c>
      <c r="C2637" s="9">
        <v>435.35</v>
      </c>
      <c r="D2637" s="9">
        <v>438.57</v>
      </c>
      <c r="E2637" s="9">
        <f t="shared" si="124"/>
        <v>4.8914383241868021E-3</v>
      </c>
      <c r="F2637" s="9">
        <f t="shared" si="122"/>
        <v>-3.5986462797231888E-2</v>
      </c>
      <c r="G2637" s="9">
        <f t="shared" si="123"/>
        <v>1.0860662892514058E-2</v>
      </c>
    </row>
    <row r="2638" spans="1:7" x14ac:dyDescent="0.2">
      <c r="A2638" s="12">
        <v>40732</v>
      </c>
      <c r="B2638" s="9">
        <v>440.7</v>
      </c>
      <c r="C2638" s="9">
        <v>435.8</v>
      </c>
      <c r="D2638" s="9">
        <v>437.94</v>
      </c>
      <c r="E2638" s="9">
        <f t="shared" si="124"/>
        <v>-1.4375195000382085E-3</v>
      </c>
      <c r="F2638" s="9">
        <f t="shared" si="122"/>
        <v>-3.9862498867176507E-2</v>
      </c>
      <c r="G2638" s="9">
        <f t="shared" si="123"/>
        <v>1.0838924551704553E-2</v>
      </c>
    </row>
    <row r="2639" spans="1:7" x14ac:dyDescent="0.2">
      <c r="A2639" s="12">
        <v>40735</v>
      </c>
      <c r="B2639" s="9">
        <v>436.66</v>
      </c>
      <c r="C2639" s="9">
        <v>431.71</v>
      </c>
      <c r="D2639" s="9">
        <v>431.82</v>
      </c>
      <c r="E2639" s="9">
        <f t="shared" si="124"/>
        <v>-1.4073079943828079E-2</v>
      </c>
      <c r="F2639" s="9">
        <f t="shared" si="122"/>
        <v>-5.5010152100515554E-2</v>
      </c>
      <c r="G2639" s="9">
        <f t="shared" si="123"/>
        <v>1.107339134696282E-2</v>
      </c>
    </row>
    <row r="2640" spans="1:7" x14ac:dyDescent="0.2">
      <c r="A2640" s="12">
        <v>40736</v>
      </c>
      <c r="B2640" s="9">
        <v>428.15</v>
      </c>
      <c r="C2640" s="9">
        <v>422.02</v>
      </c>
      <c r="D2640" s="9">
        <v>427.4</v>
      </c>
      <c r="E2640" s="9">
        <f t="shared" si="124"/>
        <v>-1.0288491862720742E-2</v>
      </c>
      <c r="F2640" s="9">
        <f t="shared" si="122"/>
        <v>-5.4411963947908329E-2</v>
      </c>
      <c r="G2640" s="9">
        <f t="shared" si="123"/>
        <v>1.1057054198021637E-2</v>
      </c>
    </row>
    <row r="2641" spans="1:7" x14ac:dyDescent="0.2">
      <c r="A2641" s="12">
        <v>40737</v>
      </c>
      <c r="B2641" s="9">
        <v>433.12</v>
      </c>
      <c r="C2641" s="9">
        <v>427.2</v>
      </c>
      <c r="D2641" s="9">
        <v>433.05</v>
      </c>
      <c r="E2641" s="9">
        <f t="shared" si="124"/>
        <v>1.3132851892006624E-2</v>
      </c>
      <c r="F2641" s="9">
        <f t="shared" si="122"/>
        <v>-4.5634779642805379E-2</v>
      </c>
      <c r="G2641" s="9">
        <f t="shared" si="123"/>
        <v>1.1338469601487962E-2</v>
      </c>
    </row>
    <row r="2642" spans="1:7" x14ac:dyDescent="0.2">
      <c r="A2642" s="12">
        <v>40738</v>
      </c>
      <c r="B2642" s="9">
        <v>434.32</v>
      </c>
      <c r="C2642" s="9">
        <v>429.56</v>
      </c>
      <c r="D2642" s="9">
        <v>430.4</v>
      </c>
      <c r="E2642" s="9">
        <f t="shared" si="124"/>
        <v>-6.1381859294792314E-3</v>
      </c>
      <c r="F2642" s="9">
        <f t="shared" si="122"/>
        <v>-5.4262858559366973E-2</v>
      </c>
      <c r="G2642" s="9">
        <f t="shared" si="123"/>
        <v>1.1342645847902087E-2</v>
      </c>
    </row>
    <row r="2643" spans="1:7" x14ac:dyDescent="0.2">
      <c r="A2643" s="12">
        <v>40739</v>
      </c>
      <c r="B2643" s="9">
        <v>433.2</v>
      </c>
      <c r="C2643" s="9">
        <v>427.39</v>
      </c>
      <c r="D2643" s="9">
        <v>432.51</v>
      </c>
      <c r="E2643" s="9">
        <f t="shared" si="124"/>
        <v>4.8904386443474925E-3</v>
      </c>
      <c r="F2643" s="9">
        <f t="shared" si="122"/>
        <v>-5.3435457404779216E-2</v>
      </c>
      <c r="G2643" s="9">
        <f t="shared" si="123"/>
        <v>1.135841063172423E-2</v>
      </c>
    </row>
    <row r="2644" spans="1:7" x14ac:dyDescent="0.2">
      <c r="A2644" s="12">
        <v>40742</v>
      </c>
      <c r="B2644" s="9">
        <v>434.69</v>
      </c>
      <c r="C2644" s="9">
        <v>428.77</v>
      </c>
      <c r="D2644" s="9">
        <v>429.11</v>
      </c>
      <c r="E2644" s="9">
        <f t="shared" si="124"/>
        <v>-7.8921511749863466E-3</v>
      </c>
      <c r="F2644" s="9">
        <f t="shared" si="122"/>
        <v>-5.7594622250931538E-2</v>
      </c>
      <c r="G2644" s="9">
        <f t="shared" si="123"/>
        <v>1.1408328859133043E-2</v>
      </c>
    </row>
    <row r="2645" spans="1:7" x14ac:dyDescent="0.2">
      <c r="A2645" s="12">
        <v>40743</v>
      </c>
      <c r="B2645" s="9">
        <v>433.14</v>
      </c>
      <c r="C2645" s="9">
        <v>429.31</v>
      </c>
      <c r="D2645" s="9">
        <v>431.34</v>
      </c>
      <c r="E2645" s="9">
        <f t="shared" si="124"/>
        <v>5.1833459068994624E-3</v>
      </c>
      <c r="F2645" s="9">
        <f t="shared" si="122"/>
        <v>-4.1283704580107571E-2</v>
      </c>
      <c r="G2645" s="9">
        <f t="shared" si="123"/>
        <v>1.1342859138683796E-2</v>
      </c>
    </row>
    <row r="2646" spans="1:7" x14ac:dyDescent="0.2">
      <c r="A2646" s="12">
        <v>40744</v>
      </c>
      <c r="B2646" s="9">
        <v>434.13</v>
      </c>
      <c r="C2646" s="9">
        <v>429.49</v>
      </c>
      <c r="D2646" s="9">
        <v>431.08</v>
      </c>
      <c r="E2646" s="9">
        <f t="shared" si="124"/>
        <v>-6.0295449520418338E-4</v>
      </c>
      <c r="F2646" s="9">
        <f t="shared" si="122"/>
        <v>-3.680167555053649E-2</v>
      </c>
      <c r="G2646" s="9">
        <f t="shared" si="123"/>
        <v>1.1321821587608845E-2</v>
      </c>
    </row>
    <row r="2647" spans="1:7" x14ac:dyDescent="0.2">
      <c r="A2647" s="12">
        <v>40745</v>
      </c>
      <c r="B2647" s="9">
        <v>434.72</v>
      </c>
      <c r="C2647" s="9">
        <v>426.54</v>
      </c>
      <c r="D2647" s="9">
        <v>433.84</v>
      </c>
      <c r="E2647" s="9">
        <f t="shared" si="124"/>
        <v>6.3821148041742432E-3</v>
      </c>
      <c r="F2647" s="9">
        <f t="shared" si="122"/>
        <v>-9.1092237752227172E-3</v>
      </c>
      <c r="G2647" s="9">
        <f t="shared" si="123"/>
        <v>1.0741967516310342E-2</v>
      </c>
    </row>
    <row r="2648" spans="1:7" x14ac:dyDescent="0.2">
      <c r="A2648" s="12">
        <v>40746</v>
      </c>
      <c r="B2648" s="9">
        <v>440.13</v>
      </c>
      <c r="C2648" s="9">
        <v>435.78</v>
      </c>
      <c r="D2648" s="9">
        <v>438.05</v>
      </c>
      <c r="E2648" s="9">
        <f t="shared" si="124"/>
        <v>9.6572565795677388E-3</v>
      </c>
      <c r="F2648" s="9">
        <f t="shared" si="122"/>
        <v>-3.8960644400320545E-3</v>
      </c>
      <c r="G2648" s="9">
        <f t="shared" si="123"/>
        <v>1.0862905365642437E-2</v>
      </c>
    </row>
    <row r="2649" spans="1:7" x14ac:dyDescent="0.2">
      <c r="A2649" s="12">
        <v>40749</v>
      </c>
      <c r="B2649" s="9">
        <v>438.57</v>
      </c>
      <c r="C2649" s="9">
        <v>434.23</v>
      </c>
      <c r="D2649" s="9">
        <v>435.81</v>
      </c>
      <c r="E2649" s="9">
        <f t="shared" si="124"/>
        <v>-5.1266905594710031E-3</v>
      </c>
      <c r="F2649" s="9">
        <f t="shared" si="122"/>
        <v>-6.8145701627839493E-3</v>
      </c>
      <c r="G2649" s="9">
        <f t="shared" si="123"/>
        <v>1.0895180180884522E-2</v>
      </c>
    </row>
    <row r="2650" spans="1:7" x14ac:dyDescent="0.2">
      <c r="A2650" s="12">
        <v>40750</v>
      </c>
      <c r="B2650" s="9">
        <v>437.54</v>
      </c>
      <c r="C2650" s="9">
        <v>429.77</v>
      </c>
      <c r="D2650" s="9">
        <v>431.07</v>
      </c>
      <c r="E2650" s="9">
        <f t="shared" si="124"/>
        <v>-1.0935878643676886E-2</v>
      </c>
      <c r="F2650" s="9">
        <f t="shared" si="122"/>
        <v>-2.1889640524655824E-2</v>
      </c>
      <c r="G2650" s="9">
        <f t="shared" si="123"/>
        <v>1.1033616633568631E-2</v>
      </c>
    </row>
    <row r="2651" spans="1:7" x14ac:dyDescent="0.2">
      <c r="A2651" s="12">
        <v>40751</v>
      </c>
      <c r="B2651" s="9">
        <v>432.93</v>
      </c>
      <c r="C2651" s="9">
        <v>426.38</v>
      </c>
      <c r="D2651" s="9">
        <v>427.78</v>
      </c>
      <c r="E2651" s="9">
        <f t="shared" si="124"/>
        <v>-7.6614451719125972E-3</v>
      </c>
      <c r="F2651" s="9">
        <f t="shared" si="122"/>
        <v>-9.8165435067979825E-3</v>
      </c>
      <c r="G2651" s="9">
        <f t="shared" si="123"/>
        <v>1.0524987507610401E-2</v>
      </c>
    </row>
    <row r="2652" spans="1:7" x14ac:dyDescent="0.2">
      <c r="A2652" s="12">
        <v>40752</v>
      </c>
      <c r="B2652" s="9">
        <v>427.18</v>
      </c>
      <c r="C2652" s="9">
        <v>423.94</v>
      </c>
      <c r="D2652" s="9">
        <v>425.91</v>
      </c>
      <c r="E2652" s="9">
        <f t="shared" si="124"/>
        <v>-4.380988393719986E-3</v>
      </c>
      <c r="F2652" s="9">
        <f t="shared" si="122"/>
        <v>7.8729427964849812E-3</v>
      </c>
      <c r="G2652" s="9">
        <f t="shared" si="123"/>
        <v>9.7303626261441654E-3</v>
      </c>
    </row>
    <row r="2653" spans="1:7" x14ac:dyDescent="0.2">
      <c r="A2653" s="12">
        <v>40753</v>
      </c>
      <c r="B2653" s="9">
        <v>426.33</v>
      </c>
      <c r="C2653" s="9">
        <v>417.72</v>
      </c>
      <c r="D2653" s="9">
        <v>420.54</v>
      </c>
      <c r="E2653" s="9">
        <f t="shared" si="124"/>
        <v>-1.2688456603303906E-2</v>
      </c>
      <c r="F2653" s="9">
        <f t="shared" si="122"/>
        <v>-6.281651035017371E-3</v>
      </c>
      <c r="G2653" s="9">
        <f t="shared" si="123"/>
        <v>1.0009162912061352E-2</v>
      </c>
    </row>
    <row r="2654" spans="1:7" x14ac:dyDescent="0.2">
      <c r="A2654" s="12">
        <v>40756</v>
      </c>
      <c r="B2654" s="9">
        <v>428.73</v>
      </c>
      <c r="C2654" s="9">
        <v>418.35</v>
      </c>
      <c r="D2654" s="9">
        <v>418.58</v>
      </c>
      <c r="E2654" s="9">
        <f t="shared" si="124"/>
        <v>-4.6715691784567949E-3</v>
      </c>
      <c r="F2654" s="9">
        <f t="shared" si="122"/>
        <v>4.7415017349600628E-3</v>
      </c>
      <c r="G2654" s="9">
        <f t="shared" si="123"/>
        <v>9.6156877843017012E-3</v>
      </c>
    </row>
    <row r="2655" spans="1:7" x14ac:dyDescent="0.2">
      <c r="A2655" s="12">
        <v>40757</v>
      </c>
      <c r="B2655" s="9">
        <v>412.93</v>
      </c>
      <c r="C2655" s="9">
        <v>405.97</v>
      </c>
      <c r="D2655" s="9">
        <v>406.28</v>
      </c>
      <c r="E2655" s="9">
        <f t="shared" si="124"/>
        <v>-2.9825453490531367E-2</v>
      </c>
      <c r="F2655" s="9">
        <f t="shared" si="122"/>
        <v>-4.0802303472789236E-2</v>
      </c>
      <c r="G2655" s="9">
        <f t="shared" si="123"/>
        <v>1.0617370801890302E-2</v>
      </c>
    </row>
    <row r="2656" spans="1:7" x14ac:dyDescent="0.2">
      <c r="A2656" s="12">
        <v>40758</v>
      </c>
      <c r="B2656" s="9">
        <v>406.57</v>
      </c>
      <c r="C2656" s="9">
        <v>397.77</v>
      </c>
      <c r="D2656" s="9">
        <v>397.77</v>
      </c>
      <c r="E2656" s="9">
        <f t="shared" si="124"/>
        <v>-2.1168628276563295E-2</v>
      </c>
      <c r="F2656" s="9">
        <f t="shared" si="122"/>
        <v>-5.5641871711954824E-2</v>
      </c>
      <c r="G2656" s="9">
        <f t="shared" si="123"/>
        <v>1.1187239977519459E-2</v>
      </c>
    </row>
    <row r="2657" spans="1:7" x14ac:dyDescent="0.2">
      <c r="A2657" s="12">
        <v>40759</v>
      </c>
      <c r="B2657" s="9">
        <v>406.8</v>
      </c>
      <c r="C2657" s="9">
        <v>389.29</v>
      </c>
      <c r="D2657" s="9">
        <v>389.5</v>
      </c>
      <c r="E2657" s="9">
        <f t="shared" si="124"/>
        <v>-2.10100834839341E-2</v>
      </c>
      <c r="F2657" s="9">
        <f t="shared" ref="F2657:F2720" si="125">LN(D2657/D2627)</f>
        <v>-6.2667387833572674E-2</v>
      </c>
      <c r="G2657" s="9">
        <f t="shared" si="123"/>
        <v>1.1518538542462957E-2</v>
      </c>
    </row>
    <row r="2658" spans="1:7" x14ac:dyDescent="0.2">
      <c r="A2658" s="12">
        <v>40760</v>
      </c>
      <c r="B2658" s="9">
        <v>387.42</v>
      </c>
      <c r="C2658" s="9">
        <v>367.37</v>
      </c>
      <c r="D2658" s="9">
        <v>375</v>
      </c>
      <c r="E2658" s="9">
        <f t="shared" si="124"/>
        <v>-3.7937839340392153E-2</v>
      </c>
      <c r="F2658" s="9">
        <f t="shared" si="125"/>
        <v>-0.10359095090122794</v>
      </c>
      <c r="G2658" s="9">
        <f t="shared" si="123"/>
        <v>1.3197693322170556E-2</v>
      </c>
    </row>
    <row r="2659" spans="1:7" x14ac:dyDescent="0.2">
      <c r="A2659" s="12">
        <v>40763</v>
      </c>
      <c r="B2659" s="9">
        <v>381.83</v>
      </c>
      <c r="C2659" s="9">
        <v>363.18</v>
      </c>
      <c r="D2659" s="9">
        <v>363.18</v>
      </c>
      <c r="E2659" s="9">
        <f t="shared" si="124"/>
        <v>-3.2027446838759938E-2</v>
      </c>
      <c r="F2659" s="9">
        <f t="shared" si="125"/>
        <v>-0.13318715143197643</v>
      </c>
      <c r="G2659" s="9">
        <f t="shared" si="123"/>
        <v>1.4187718682368093E-2</v>
      </c>
    </row>
    <row r="2660" spans="1:7" x14ac:dyDescent="0.2">
      <c r="A2660" s="12">
        <v>40764</v>
      </c>
      <c r="B2660" s="9">
        <v>374.07</v>
      </c>
      <c r="C2660" s="9">
        <v>346.24</v>
      </c>
      <c r="D2660" s="9">
        <v>370.94</v>
      </c>
      <c r="E2660" s="9">
        <f t="shared" si="124"/>
        <v>2.1141745329489852E-2</v>
      </c>
      <c r="F2660" s="9">
        <f t="shared" si="125"/>
        <v>-0.11365887287675643</v>
      </c>
      <c r="G2660" s="9">
        <f t="shared" si="123"/>
        <v>1.4904873304956641E-2</v>
      </c>
    </row>
    <row r="2661" spans="1:7" x14ac:dyDescent="0.2">
      <c r="A2661" s="12">
        <v>40765</v>
      </c>
      <c r="B2661" s="9">
        <v>383.92</v>
      </c>
      <c r="C2661" s="9">
        <v>360.42</v>
      </c>
      <c r="D2661" s="9">
        <v>362.59</v>
      </c>
      <c r="E2661" s="9">
        <f t="shared" si="124"/>
        <v>-2.2767605119693973E-2</v>
      </c>
      <c r="F2661" s="9">
        <f t="shared" si="125"/>
        <v>-0.15613049268698109</v>
      </c>
      <c r="G2661" s="9">
        <f t="shared" si="123"/>
        <v>1.4610661515931224E-2</v>
      </c>
    </row>
    <row r="2662" spans="1:7" x14ac:dyDescent="0.2">
      <c r="A2662" s="12">
        <v>40766</v>
      </c>
      <c r="B2662" s="9">
        <v>366.51</v>
      </c>
      <c r="C2662" s="9">
        <v>347.25</v>
      </c>
      <c r="D2662" s="9">
        <v>361.16</v>
      </c>
      <c r="E2662" s="9">
        <f t="shared" si="124"/>
        <v>-3.951645902168361E-3</v>
      </c>
      <c r="F2662" s="9">
        <f t="shared" si="125"/>
        <v>-0.17692621811238915</v>
      </c>
      <c r="G2662" s="9">
        <f t="shared" si="123"/>
        <v>1.4009469820362885E-2</v>
      </c>
    </row>
    <row r="2663" spans="1:7" x14ac:dyDescent="0.2">
      <c r="A2663" s="12">
        <v>40767</v>
      </c>
      <c r="B2663" s="9">
        <v>374.25</v>
      </c>
      <c r="C2663" s="9">
        <v>358.1</v>
      </c>
      <c r="D2663" s="9">
        <v>372.43</v>
      </c>
      <c r="E2663" s="9">
        <f t="shared" si="124"/>
        <v>3.072802725817389E-2</v>
      </c>
      <c r="F2663" s="9">
        <f t="shared" si="125"/>
        <v>-0.15796004781071557</v>
      </c>
      <c r="G2663" s="9">
        <f t="shared" ref="G2663:G2726" si="126">STDEV(E2634:E2663)</f>
        <v>1.5210340712669194E-2</v>
      </c>
    </row>
    <row r="2664" spans="1:7" x14ac:dyDescent="0.2">
      <c r="A2664" s="12">
        <v>40770</v>
      </c>
      <c r="B2664" s="9">
        <v>382.28</v>
      </c>
      <c r="C2664" s="9">
        <v>375.05</v>
      </c>
      <c r="D2664" s="9">
        <v>380.48</v>
      </c>
      <c r="E2664" s="9">
        <f t="shared" si="124"/>
        <v>2.1384512804964752E-2</v>
      </c>
      <c r="F2664" s="9">
        <f t="shared" si="125"/>
        <v>-0.14718033010437201</v>
      </c>
      <c r="G2664" s="9">
        <f t="shared" si="126"/>
        <v>1.5717066739491557E-2</v>
      </c>
    </row>
    <row r="2665" spans="1:7" x14ac:dyDescent="0.2">
      <c r="A2665" s="12">
        <v>40771</v>
      </c>
      <c r="B2665" s="9">
        <v>378.63</v>
      </c>
      <c r="C2665" s="9">
        <v>368.29</v>
      </c>
      <c r="D2665" s="9">
        <v>373.09</v>
      </c>
      <c r="E2665" s="9">
        <f t="shared" si="124"/>
        <v>-1.9613936100324334E-2</v>
      </c>
      <c r="F2665" s="9">
        <f t="shared" si="125"/>
        <v>-0.16456861121619001</v>
      </c>
      <c r="G2665" s="9">
        <f t="shared" si="126"/>
        <v>1.5933936632378853E-2</v>
      </c>
    </row>
    <row r="2666" spans="1:7" x14ac:dyDescent="0.2">
      <c r="A2666" s="12">
        <v>40772</v>
      </c>
      <c r="B2666" s="9">
        <v>371.21</v>
      </c>
      <c r="C2666" s="9">
        <v>366.2</v>
      </c>
      <c r="D2666" s="9">
        <v>370.02</v>
      </c>
      <c r="E2666" s="9">
        <f t="shared" si="124"/>
        <v>-8.2626191706363112E-3</v>
      </c>
      <c r="F2666" s="9">
        <f t="shared" si="125"/>
        <v>-0.16507093763599093</v>
      </c>
      <c r="G2666" s="9">
        <f t="shared" si="126"/>
        <v>1.5936673103221017E-2</v>
      </c>
    </row>
    <row r="2667" spans="1:7" x14ac:dyDescent="0.2">
      <c r="A2667" s="12">
        <v>40773</v>
      </c>
      <c r="B2667" s="9">
        <v>371.93</v>
      </c>
      <c r="C2667" s="9">
        <v>350.86</v>
      </c>
      <c r="D2667" s="9">
        <v>352.67</v>
      </c>
      <c r="E2667" s="9">
        <f t="shared" si="124"/>
        <v>-4.8024282730148096E-2</v>
      </c>
      <c r="F2667" s="9">
        <f t="shared" si="125"/>
        <v>-0.21798665869032594</v>
      </c>
      <c r="G2667" s="9">
        <f t="shared" si="126"/>
        <v>1.7589275276089177E-2</v>
      </c>
    </row>
    <row r="2668" spans="1:7" x14ac:dyDescent="0.2">
      <c r="A2668" s="12">
        <v>40774</v>
      </c>
      <c r="B2668" s="9">
        <v>350.62</v>
      </c>
      <c r="C2668" s="9">
        <v>336.38</v>
      </c>
      <c r="D2668" s="9">
        <v>348.93</v>
      </c>
      <c r="E2668" s="9">
        <f t="shared" si="124"/>
        <v>-1.0661446482251143E-2</v>
      </c>
      <c r="F2668" s="9">
        <f t="shared" si="125"/>
        <v>-0.2272105856725388</v>
      </c>
      <c r="G2668" s="9">
        <f t="shared" si="126"/>
        <v>1.7564475597095515E-2</v>
      </c>
    </row>
    <row r="2669" spans="1:7" x14ac:dyDescent="0.2">
      <c r="A2669" s="12">
        <v>40777</v>
      </c>
      <c r="B2669" s="9">
        <v>352.33</v>
      </c>
      <c r="C2669" s="9">
        <v>345.11</v>
      </c>
      <c r="D2669" s="9">
        <v>345.19</v>
      </c>
      <c r="E2669" s="9">
        <f t="shared" si="124"/>
        <v>-1.0776338943174686E-2</v>
      </c>
      <c r="F2669" s="9">
        <f t="shared" si="125"/>
        <v>-0.22391384467188546</v>
      </c>
      <c r="G2669" s="9">
        <f t="shared" si="126"/>
        <v>1.7532694453444884E-2</v>
      </c>
    </row>
    <row r="2670" spans="1:7" x14ac:dyDescent="0.2">
      <c r="A2670" s="12">
        <v>40778</v>
      </c>
      <c r="B2670" s="9">
        <v>350.32</v>
      </c>
      <c r="C2670" s="9">
        <v>338.06</v>
      </c>
      <c r="D2670" s="9">
        <v>338.9</v>
      </c>
      <c r="E2670" s="9">
        <f t="shared" si="124"/>
        <v>-1.8389911462876881E-2</v>
      </c>
      <c r="F2670" s="9">
        <f t="shared" si="125"/>
        <v>-0.23201526427204164</v>
      </c>
      <c r="G2670" s="9">
        <f t="shared" si="126"/>
        <v>1.7639766217426488E-2</v>
      </c>
    </row>
    <row r="2671" spans="1:7" x14ac:dyDescent="0.2">
      <c r="A2671" s="12">
        <v>40779</v>
      </c>
      <c r="B2671" s="9">
        <v>343.43</v>
      </c>
      <c r="C2671" s="9">
        <v>332.71</v>
      </c>
      <c r="D2671" s="9">
        <v>340.86</v>
      </c>
      <c r="E2671" s="9">
        <f t="shared" si="124"/>
        <v>5.7667571840850527E-3</v>
      </c>
      <c r="F2671" s="9">
        <f t="shared" si="125"/>
        <v>-0.23938135897996332</v>
      </c>
      <c r="G2671" s="9">
        <f t="shared" si="126"/>
        <v>1.7388777426404052E-2</v>
      </c>
    </row>
    <row r="2672" spans="1:7" x14ac:dyDescent="0.2">
      <c r="A2672" s="12">
        <v>40780</v>
      </c>
      <c r="B2672" s="9">
        <v>345.47</v>
      </c>
      <c r="C2672" s="9">
        <v>334.01</v>
      </c>
      <c r="D2672" s="9">
        <v>335.1</v>
      </c>
      <c r="E2672" s="9">
        <f t="shared" si="124"/>
        <v>-1.7042841053825773E-2</v>
      </c>
      <c r="F2672" s="9">
        <f t="shared" si="125"/>
        <v>-0.25028601410430978</v>
      </c>
      <c r="G2672" s="9">
        <f t="shared" si="126"/>
        <v>1.7462778618097398E-2</v>
      </c>
    </row>
    <row r="2673" spans="1:7" x14ac:dyDescent="0.2">
      <c r="A2673" s="12">
        <v>40781</v>
      </c>
      <c r="B2673" s="9">
        <v>339</v>
      </c>
      <c r="C2673" s="9">
        <v>331.42</v>
      </c>
      <c r="D2673" s="9">
        <v>337.12</v>
      </c>
      <c r="E2673" s="9">
        <f t="shared" si="124"/>
        <v>6.009955312614188E-3</v>
      </c>
      <c r="F2673" s="9">
        <f t="shared" si="125"/>
        <v>-0.24916649743604319</v>
      </c>
      <c r="G2673" s="9">
        <f t="shared" si="126"/>
        <v>1.7493202451228599E-2</v>
      </c>
    </row>
    <row r="2674" spans="1:7" x14ac:dyDescent="0.2">
      <c r="A2674" s="12">
        <v>40784</v>
      </c>
      <c r="B2674" s="9">
        <v>347.65</v>
      </c>
      <c r="C2674" s="9">
        <v>340.74</v>
      </c>
      <c r="D2674" s="9">
        <v>346.61</v>
      </c>
      <c r="E2674" s="9">
        <f t="shared" si="124"/>
        <v>2.7761278511674918E-2</v>
      </c>
      <c r="F2674" s="9">
        <f t="shared" si="125"/>
        <v>-0.21351306774938192</v>
      </c>
      <c r="G2674" s="9">
        <f t="shared" si="126"/>
        <v>1.8692267262759823E-2</v>
      </c>
    </row>
    <row r="2675" spans="1:7" x14ac:dyDescent="0.2">
      <c r="A2675" s="12">
        <v>40785</v>
      </c>
      <c r="B2675" s="9">
        <v>353.66</v>
      </c>
      <c r="C2675" s="9">
        <v>345.56</v>
      </c>
      <c r="D2675" s="9">
        <v>347.04</v>
      </c>
      <c r="E2675" s="9">
        <f t="shared" si="124"/>
        <v>1.239818511010491E-3</v>
      </c>
      <c r="F2675" s="9">
        <f t="shared" si="125"/>
        <v>-0.21745659514527088</v>
      </c>
      <c r="G2675" s="9">
        <f t="shared" si="126"/>
        <v>1.8616495768865204E-2</v>
      </c>
    </row>
    <row r="2676" spans="1:7" x14ac:dyDescent="0.2">
      <c r="A2676" s="12">
        <v>40786</v>
      </c>
      <c r="B2676" s="9">
        <v>360.33</v>
      </c>
      <c r="C2676" s="9">
        <v>349.6</v>
      </c>
      <c r="D2676" s="9">
        <v>359.41</v>
      </c>
      <c r="E2676" s="9">
        <f t="shared" si="124"/>
        <v>3.5023751035173377E-2</v>
      </c>
      <c r="F2676" s="9">
        <f t="shared" si="125"/>
        <v>-0.1818298896148933</v>
      </c>
      <c r="G2676" s="9">
        <f t="shared" si="126"/>
        <v>2.0129853031991111E-2</v>
      </c>
    </row>
    <row r="2677" spans="1:7" x14ac:dyDescent="0.2">
      <c r="A2677" s="12">
        <v>40787</v>
      </c>
      <c r="B2677" s="9">
        <v>365.97</v>
      </c>
      <c r="C2677" s="9">
        <v>354.81</v>
      </c>
      <c r="D2677" s="9">
        <v>362.53</v>
      </c>
      <c r="E2677" s="9">
        <f t="shared" si="124"/>
        <v>8.6434313773757921E-3</v>
      </c>
      <c r="F2677" s="9">
        <f t="shared" si="125"/>
        <v>-0.17956857304169177</v>
      </c>
      <c r="G2677" s="9">
        <f t="shared" si="126"/>
        <v>2.0182219246161252E-2</v>
      </c>
    </row>
    <row r="2678" spans="1:7" x14ac:dyDescent="0.2">
      <c r="A2678" s="12">
        <v>40788</v>
      </c>
      <c r="B2678" s="9">
        <v>359.22</v>
      </c>
      <c r="C2678" s="9">
        <v>351.01</v>
      </c>
      <c r="D2678" s="9">
        <v>351.78</v>
      </c>
      <c r="E2678" s="9">
        <f t="shared" si="124"/>
        <v>-3.0101249286934629E-2</v>
      </c>
      <c r="F2678" s="9">
        <f t="shared" si="125"/>
        <v>-0.21932707890819425</v>
      </c>
      <c r="G2678" s="9">
        <f t="shared" si="126"/>
        <v>2.042354118710657E-2</v>
      </c>
    </row>
    <row r="2679" spans="1:7" x14ac:dyDescent="0.2">
      <c r="A2679" s="12">
        <v>40791</v>
      </c>
      <c r="B2679" s="9">
        <v>347.64</v>
      </c>
      <c r="C2679" s="9">
        <v>340.73</v>
      </c>
      <c r="D2679" s="9">
        <v>341.18</v>
      </c>
      <c r="E2679" s="9">
        <f t="shared" si="124"/>
        <v>-3.059578295180514E-2</v>
      </c>
      <c r="F2679" s="9">
        <f t="shared" si="125"/>
        <v>-0.24479617130052833</v>
      </c>
      <c r="G2679" s="9">
        <f t="shared" si="126"/>
        <v>2.0854423482081604E-2</v>
      </c>
    </row>
    <row r="2680" spans="1:7" x14ac:dyDescent="0.2">
      <c r="A2680" s="12">
        <v>40792</v>
      </c>
      <c r="B2680" s="9">
        <v>345.95</v>
      </c>
      <c r="C2680" s="9">
        <v>339.55</v>
      </c>
      <c r="D2680" s="9">
        <v>342.08</v>
      </c>
      <c r="E2680" s="9">
        <f t="shared" si="124"/>
        <v>2.6344305843069033E-3</v>
      </c>
      <c r="F2680" s="9">
        <f t="shared" si="125"/>
        <v>-0.23122586207254459</v>
      </c>
      <c r="G2680" s="9">
        <f t="shared" si="126"/>
        <v>2.0939135695748758E-2</v>
      </c>
    </row>
    <row r="2681" spans="1:7" x14ac:dyDescent="0.2">
      <c r="A2681" s="12">
        <v>40793</v>
      </c>
      <c r="B2681" s="9">
        <v>354.15</v>
      </c>
      <c r="C2681" s="9">
        <v>346.23</v>
      </c>
      <c r="D2681" s="9">
        <v>353.7</v>
      </c>
      <c r="E2681" s="9">
        <f t="shared" si="124"/>
        <v>3.3404468374754533E-2</v>
      </c>
      <c r="F2681" s="9">
        <f t="shared" si="125"/>
        <v>-0.19015994852587739</v>
      </c>
      <c r="G2681" s="9">
        <f t="shared" si="126"/>
        <v>2.2243910633401948E-2</v>
      </c>
    </row>
    <row r="2682" spans="1:7" x14ac:dyDescent="0.2">
      <c r="A2682" s="12">
        <v>40794</v>
      </c>
      <c r="B2682" s="9">
        <v>360.63</v>
      </c>
      <c r="C2682" s="9">
        <v>353.7</v>
      </c>
      <c r="D2682" s="9">
        <v>356.67</v>
      </c>
      <c r="E2682" s="9">
        <f t="shared" si="124"/>
        <v>8.3618883271282477E-3</v>
      </c>
      <c r="F2682" s="9">
        <f t="shared" si="125"/>
        <v>-0.1774170718050293</v>
      </c>
      <c r="G2682" s="9">
        <f t="shared" si="126"/>
        <v>2.2403676053049073E-2</v>
      </c>
    </row>
    <row r="2683" spans="1:7" x14ac:dyDescent="0.2">
      <c r="A2683" s="12">
        <v>40795</v>
      </c>
      <c r="B2683" s="9">
        <v>356.28</v>
      </c>
      <c r="C2683" s="9">
        <v>344.09</v>
      </c>
      <c r="D2683" s="9">
        <v>347.15</v>
      </c>
      <c r="E2683" s="9">
        <f t="shared" si="124"/>
        <v>-2.7054021339280771E-2</v>
      </c>
      <c r="F2683" s="9">
        <f t="shared" si="125"/>
        <v>-0.19178263654100611</v>
      </c>
      <c r="G2683" s="9">
        <f t="shared" si="126"/>
        <v>2.2704964809209905E-2</v>
      </c>
    </row>
    <row r="2684" spans="1:7" x14ac:dyDescent="0.2">
      <c r="A2684" s="12">
        <v>40798</v>
      </c>
      <c r="B2684" s="9">
        <v>339.17</v>
      </c>
      <c r="C2684" s="9">
        <v>333.33</v>
      </c>
      <c r="D2684" s="9">
        <v>336.72</v>
      </c>
      <c r="E2684" s="9">
        <f t="shared" si="124"/>
        <v>-3.0505238736967009E-2</v>
      </c>
      <c r="F2684" s="9">
        <f t="shared" si="125"/>
        <v>-0.21761630609951643</v>
      </c>
      <c r="G2684" s="9">
        <f t="shared" si="126"/>
        <v>2.3123469826519395E-2</v>
      </c>
    </row>
    <row r="2685" spans="1:7" x14ac:dyDescent="0.2">
      <c r="A2685" s="12">
        <v>40799</v>
      </c>
      <c r="B2685" s="9">
        <v>339.69</v>
      </c>
      <c r="C2685" s="9">
        <v>331.13</v>
      </c>
      <c r="D2685" s="9">
        <v>337.48</v>
      </c>
      <c r="E2685" s="9">
        <f t="shared" si="124"/>
        <v>2.2545248351107496E-3</v>
      </c>
      <c r="F2685" s="9">
        <f t="shared" si="125"/>
        <v>-0.18553632777387427</v>
      </c>
      <c r="G2685" s="9">
        <f t="shared" si="126"/>
        <v>2.2782918822865966E-2</v>
      </c>
    </row>
    <row r="2686" spans="1:7" x14ac:dyDescent="0.2">
      <c r="A2686" s="12">
        <v>40800</v>
      </c>
      <c r="B2686" s="9">
        <v>341.57</v>
      </c>
      <c r="C2686" s="9">
        <v>335.84</v>
      </c>
      <c r="D2686" s="9">
        <v>340.34</v>
      </c>
      <c r="E2686" s="9">
        <f t="shared" si="124"/>
        <v>8.4388686458646035E-3</v>
      </c>
      <c r="F2686" s="9">
        <f t="shared" si="125"/>
        <v>-0.15592883085144651</v>
      </c>
      <c r="G2686" s="9">
        <f t="shared" si="126"/>
        <v>2.2752704738500721E-2</v>
      </c>
    </row>
    <row r="2687" spans="1:7" x14ac:dyDescent="0.2">
      <c r="A2687" s="12">
        <v>40801</v>
      </c>
      <c r="B2687" s="9">
        <v>350.4</v>
      </c>
      <c r="C2687" s="9">
        <v>343.08</v>
      </c>
      <c r="D2687" s="9">
        <v>349.32</v>
      </c>
      <c r="E2687" s="9">
        <f t="shared" si="124"/>
        <v>2.6043289602241587E-2</v>
      </c>
      <c r="F2687" s="9">
        <f t="shared" si="125"/>
        <v>-0.1088754577652708</v>
      </c>
      <c r="G2687" s="9">
        <f t="shared" si="126"/>
        <v>2.3241640771020321E-2</v>
      </c>
    </row>
    <row r="2688" spans="1:7" x14ac:dyDescent="0.2">
      <c r="A2688" s="12">
        <v>40802</v>
      </c>
      <c r="B2688" s="9">
        <v>353.44</v>
      </c>
      <c r="C2688" s="9">
        <v>344.7</v>
      </c>
      <c r="D2688" s="9">
        <v>347.59</v>
      </c>
      <c r="E2688" s="9">
        <f t="shared" si="124"/>
        <v>-4.9647832677769599E-3</v>
      </c>
      <c r="F2688" s="9">
        <f t="shared" si="125"/>
        <v>-7.5902401692655719E-2</v>
      </c>
      <c r="G2688" s="9">
        <f t="shared" si="126"/>
        <v>2.2324797729261076E-2</v>
      </c>
    </row>
    <row r="2689" spans="1:7" x14ac:dyDescent="0.2">
      <c r="A2689" s="12">
        <v>40805</v>
      </c>
      <c r="B2689" s="9">
        <v>344.46</v>
      </c>
      <c r="C2689" s="9">
        <v>339.81</v>
      </c>
      <c r="D2689" s="9">
        <v>340.98</v>
      </c>
      <c r="E2689" s="9">
        <f t="shared" si="124"/>
        <v>-1.9199799740669952E-2</v>
      </c>
      <c r="F2689" s="9">
        <f t="shared" si="125"/>
        <v>-6.3074754594565685E-2</v>
      </c>
      <c r="G2689" s="9">
        <f t="shared" si="126"/>
        <v>2.1858322152362508E-2</v>
      </c>
    </row>
    <row r="2690" spans="1:7" x14ac:dyDescent="0.2">
      <c r="A2690" s="12">
        <v>40806</v>
      </c>
      <c r="B2690" s="9">
        <v>348.48</v>
      </c>
      <c r="C2690" s="9">
        <v>339.29</v>
      </c>
      <c r="D2690" s="9">
        <v>348.42</v>
      </c>
      <c r="E2690" s="9">
        <f t="shared" si="124"/>
        <v>2.1584824074928295E-2</v>
      </c>
      <c r="F2690" s="9">
        <f t="shared" si="125"/>
        <v>-6.2631675849127322E-2</v>
      </c>
      <c r="G2690" s="9">
        <f t="shared" si="126"/>
        <v>2.1874713004511399E-2</v>
      </c>
    </row>
    <row r="2691" spans="1:7" x14ac:dyDescent="0.2">
      <c r="A2691" s="12">
        <v>40807</v>
      </c>
      <c r="B2691" s="9">
        <v>349.85</v>
      </c>
      <c r="C2691" s="9">
        <v>345.51</v>
      </c>
      <c r="D2691" s="9">
        <v>349.47</v>
      </c>
      <c r="E2691" s="9">
        <f t="shared" si="124"/>
        <v>3.0090724677819041E-3</v>
      </c>
      <c r="F2691" s="9">
        <f t="shared" si="125"/>
        <v>-3.6854998261651506E-2</v>
      </c>
      <c r="G2691" s="9">
        <f t="shared" si="126"/>
        <v>2.1538066440222169E-2</v>
      </c>
    </row>
    <row r="2692" spans="1:7" x14ac:dyDescent="0.2">
      <c r="A2692" s="12">
        <v>40808</v>
      </c>
      <c r="B2692" s="9">
        <v>342.8</v>
      </c>
      <c r="C2692" s="9">
        <v>337.65</v>
      </c>
      <c r="D2692" s="9">
        <v>338.99</v>
      </c>
      <c r="E2692" s="9">
        <f t="shared" ref="E2692:E2755" si="127">LN(D2692/D2691)</f>
        <v>-3.0447112659508953E-2</v>
      </c>
      <c r="F2692" s="9">
        <f t="shared" si="125"/>
        <v>-6.3350465018991969E-2</v>
      </c>
      <c r="G2692" s="9">
        <f t="shared" si="126"/>
        <v>2.2187035942455177E-2</v>
      </c>
    </row>
    <row r="2693" spans="1:7" x14ac:dyDescent="0.2">
      <c r="A2693" s="12">
        <v>40809</v>
      </c>
      <c r="B2693" s="9">
        <v>341.32</v>
      </c>
      <c r="C2693" s="9">
        <v>328.94</v>
      </c>
      <c r="D2693" s="9">
        <v>338.72</v>
      </c>
      <c r="E2693" s="9">
        <f t="shared" si="127"/>
        <v>-7.96801033731343E-4</v>
      </c>
      <c r="F2693" s="9">
        <f t="shared" si="125"/>
        <v>-9.4875293310897155E-2</v>
      </c>
      <c r="G2693" s="9">
        <f t="shared" si="126"/>
        <v>2.1307136242410686E-2</v>
      </c>
    </row>
    <row r="2694" spans="1:7" x14ac:dyDescent="0.2">
      <c r="A2694" s="12">
        <v>40812</v>
      </c>
      <c r="B2694" s="9">
        <v>347.9</v>
      </c>
      <c r="C2694" s="9">
        <v>333.49</v>
      </c>
      <c r="D2694" s="9">
        <v>341.62</v>
      </c>
      <c r="E2694" s="9">
        <f t="shared" si="127"/>
        <v>8.5252008233596271E-3</v>
      </c>
      <c r="F2694" s="9">
        <f t="shared" si="125"/>
        <v>-0.10773460529250238</v>
      </c>
      <c r="G2694" s="9">
        <f t="shared" si="126"/>
        <v>2.0922156040968472E-2</v>
      </c>
    </row>
    <row r="2695" spans="1:7" x14ac:dyDescent="0.2">
      <c r="A2695" s="12">
        <v>40813</v>
      </c>
      <c r="B2695" s="9">
        <v>355.78</v>
      </c>
      <c r="C2695" s="9">
        <v>348.4</v>
      </c>
      <c r="D2695" s="9">
        <v>355.52</v>
      </c>
      <c r="E2695" s="9">
        <f t="shared" si="127"/>
        <v>3.9882498241350442E-2</v>
      </c>
      <c r="F2695" s="9">
        <f t="shared" si="125"/>
        <v>-4.8238170950827594E-2</v>
      </c>
      <c r="G2695" s="9">
        <f t="shared" si="126"/>
        <v>2.2135629286466573E-2</v>
      </c>
    </row>
    <row r="2696" spans="1:7" x14ac:dyDescent="0.2">
      <c r="A2696" s="12">
        <v>40814</v>
      </c>
      <c r="B2696" s="9">
        <v>359.17</v>
      </c>
      <c r="C2696" s="9">
        <v>349.83</v>
      </c>
      <c r="D2696" s="9">
        <v>350.63</v>
      </c>
      <c r="E2696" s="9">
        <f t="shared" si="127"/>
        <v>-1.3849970026426437E-2</v>
      </c>
      <c r="F2696" s="9">
        <f t="shared" si="125"/>
        <v>-5.3825521806617656E-2</v>
      </c>
      <c r="G2696" s="9">
        <f t="shared" si="126"/>
        <v>2.2216907488429222E-2</v>
      </c>
    </row>
    <row r="2697" spans="1:7" x14ac:dyDescent="0.2">
      <c r="A2697" s="12">
        <v>40815</v>
      </c>
      <c r="B2697" s="9">
        <v>356.92</v>
      </c>
      <c r="C2697" s="9">
        <v>348.25</v>
      </c>
      <c r="D2697" s="9">
        <v>353.58</v>
      </c>
      <c r="E2697" s="9">
        <f t="shared" si="127"/>
        <v>8.378231653038146E-3</v>
      </c>
      <c r="F2697" s="9">
        <f t="shared" si="125"/>
        <v>2.5769925765686498E-3</v>
      </c>
      <c r="G2697" s="9">
        <f t="shared" si="126"/>
        <v>2.0489150144989567E-2</v>
      </c>
    </row>
    <row r="2698" spans="1:7" x14ac:dyDescent="0.2">
      <c r="A2698" s="12">
        <v>40816</v>
      </c>
      <c r="B2698" s="9">
        <v>355.17</v>
      </c>
      <c r="C2698" s="9">
        <v>348.55</v>
      </c>
      <c r="D2698" s="9">
        <v>350.34</v>
      </c>
      <c r="E2698" s="9">
        <f t="shared" si="127"/>
        <v>-9.2056565543757549E-3</v>
      </c>
      <c r="F2698" s="9">
        <f t="shared" si="125"/>
        <v>4.0327825044439158E-3</v>
      </c>
      <c r="G2698" s="9">
        <f t="shared" si="126"/>
        <v>2.0464527644467548E-2</v>
      </c>
    </row>
    <row r="2699" spans="1:7" x14ac:dyDescent="0.2">
      <c r="A2699" s="12">
        <v>40819</v>
      </c>
      <c r="B2699" s="9">
        <v>351.46</v>
      </c>
      <c r="C2699" s="9">
        <v>344.79</v>
      </c>
      <c r="D2699" s="9">
        <v>349.82</v>
      </c>
      <c r="E2699" s="9">
        <f t="shared" si="127"/>
        <v>-1.4853750445841128E-3</v>
      </c>
      <c r="F2699" s="9">
        <f t="shared" si="125"/>
        <v>1.3323746403034574E-2</v>
      </c>
      <c r="G2699" s="9">
        <f t="shared" si="126"/>
        <v>2.0363770585673985E-2</v>
      </c>
    </row>
    <row r="2700" spans="1:7" x14ac:dyDescent="0.2">
      <c r="A2700" s="12">
        <v>40820</v>
      </c>
      <c r="B2700" s="9">
        <v>346.96</v>
      </c>
      <c r="C2700" s="9">
        <v>339.06</v>
      </c>
      <c r="D2700" s="9">
        <v>342.02</v>
      </c>
      <c r="E2700" s="9">
        <f t="shared" si="127"/>
        <v>-2.2549521594009411E-2</v>
      </c>
      <c r="F2700" s="9">
        <f t="shared" si="125"/>
        <v>9.1641362719021412E-3</v>
      </c>
      <c r="G2700" s="9">
        <f t="shared" si="126"/>
        <v>2.0510066098437398E-2</v>
      </c>
    </row>
    <row r="2701" spans="1:7" x14ac:dyDescent="0.2">
      <c r="A2701" s="12">
        <v>40821</v>
      </c>
      <c r="B2701" s="9">
        <v>346.62</v>
      </c>
      <c r="C2701" s="9">
        <v>336.76</v>
      </c>
      <c r="D2701" s="9">
        <v>342.98</v>
      </c>
      <c r="E2701" s="9">
        <f t="shared" si="127"/>
        <v>2.8029215430933475E-3</v>
      </c>
      <c r="F2701" s="9">
        <f t="shared" si="125"/>
        <v>6.2003006309106013E-3</v>
      </c>
      <c r="G2701" s="9">
        <f t="shared" si="126"/>
        <v>2.0489981010452383E-2</v>
      </c>
    </row>
    <row r="2702" spans="1:7" x14ac:dyDescent="0.2">
      <c r="A2702" s="12">
        <v>40822</v>
      </c>
      <c r="B2702" s="9">
        <v>345.5</v>
      </c>
      <c r="C2702" s="9">
        <v>339.75</v>
      </c>
      <c r="D2702" s="9">
        <v>342.77</v>
      </c>
      <c r="E2702" s="9">
        <f t="shared" si="127"/>
        <v>-6.1246811976545918E-4</v>
      </c>
      <c r="F2702" s="9">
        <f t="shared" si="125"/>
        <v>2.2630673564970706E-2</v>
      </c>
      <c r="G2702" s="9">
        <f t="shared" si="126"/>
        <v>2.0230965423064479E-2</v>
      </c>
    </row>
    <row r="2703" spans="1:7" x14ac:dyDescent="0.2">
      <c r="A2703" s="12">
        <v>40823</v>
      </c>
      <c r="B2703" s="9">
        <v>346.55</v>
      </c>
      <c r="C2703" s="9">
        <v>338.21</v>
      </c>
      <c r="D2703" s="9">
        <v>343.55</v>
      </c>
      <c r="E2703" s="9">
        <f t="shared" si="127"/>
        <v>2.2729931688494852E-3</v>
      </c>
      <c r="F2703" s="9">
        <f t="shared" si="125"/>
        <v>1.8893711421206168E-2</v>
      </c>
      <c r="G2703" s="9">
        <f t="shared" si="126"/>
        <v>2.0208982582384304E-2</v>
      </c>
    </row>
    <row r="2704" spans="1:7" x14ac:dyDescent="0.2">
      <c r="A2704" s="12">
        <v>40826</v>
      </c>
      <c r="B2704" s="9">
        <v>349.64</v>
      </c>
      <c r="C2704" s="9">
        <v>343.62</v>
      </c>
      <c r="D2704" s="9">
        <v>349.61</v>
      </c>
      <c r="E2704" s="9">
        <f t="shared" si="127"/>
        <v>1.7485586014198452E-2</v>
      </c>
      <c r="F2704" s="9">
        <f t="shared" si="125"/>
        <v>8.6180189237298147E-3</v>
      </c>
      <c r="G2704" s="9">
        <f t="shared" si="126"/>
        <v>1.9816543828412723E-2</v>
      </c>
    </row>
    <row r="2705" spans="1:7" x14ac:dyDescent="0.2">
      <c r="A2705" s="12">
        <v>40827</v>
      </c>
      <c r="B2705" s="9">
        <v>350.12</v>
      </c>
      <c r="C2705" s="9">
        <v>344.19</v>
      </c>
      <c r="D2705" s="9">
        <v>346.09</v>
      </c>
      <c r="E2705" s="9">
        <f t="shared" si="127"/>
        <v>-1.0119390650822103E-2</v>
      </c>
      <c r="F2705" s="9">
        <f t="shared" si="125"/>
        <v>-2.7411902381028219E-3</v>
      </c>
      <c r="G2705" s="9">
        <f t="shared" si="126"/>
        <v>1.9906035292750517E-2</v>
      </c>
    </row>
    <row r="2706" spans="1:7" x14ac:dyDescent="0.2">
      <c r="A2706" s="12">
        <v>40828</v>
      </c>
      <c r="B2706" s="9">
        <v>354.42</v>
      </c>
      <c r="C2706" s="9">
        <v>343.43</v>
      </c>
      <c r="D2706" s="9">
        <v>353.91</v>
      </c>
      <c r="E2706" s="9">
        <f t="shared" si="127"/>
        <v>2.2343786681399511E-2</v>
      </c>
      <c r="F2706" s="9">
        <f t="shared" si="125"/>
        <v>-1.5421154591876729E-2</v>
      </c>
      <c r="G2706" s="9">
        <f t="shared" si="126"/>
        <v>1.9258819799244351E-2</v>
      </c>
    </row>
    <row r="2707" spans="1:7" x14ac:dyDescent="0.2">
      <c r="A2707" s="12">
        <v>40829</v>
      </c>
      <c r="B2707" s="9">
        <v>355.78</v>
      </c>
      <c r="C2707" s="9">
        <v>349.63</v>
      </c>
      <c r="D2707" s="9">
        <v>349.74</v>
      </c>
      <c r="E2707" s="9">
        <f t="shared" si="127"/>
        <v>-1.1852622236347411E-2</v>
      </c>
      <c r="F2707" s="9">
        <f t="shared" si="125"/>
        <v>-3.5917208205599842E-2</v>
      </c>
      <c r="G2707" s="9">
        <f t="shared" si="126"/>
        <v>1.9286285415239319E-2</v>
      </c>
    </row>
    <row r="2708" spans="1:7" x14ac:dyDescent="0.2">
      <c r="A2708" s="12">
        <v>40830</v>
      </c>
      <c r="B2708" s="9">
        <v>354.01</v>
      </c>
      <c r="C2708" s="9">
        <v>348.54</v>
      </c>
      <c r="D2708" s="9">
        <v>349.29</v>
      </c>
      <c r="E2708" s="9">
        <f t="shared" si="127"/>
        <v>-1.2874985684790984E-3</v>
      </c>
      <c r="F2708" s="9">
        <f t="shared" si="125"/>
        <v>-7.1034574871442517E-3</v>
      </c>
      <c r="G2708" s="9">
        <f t="shared" si="126"/>
        <v>1.8498606984137828E-2</v>
      </c>
    </row>
    <row r="2709" spans="1:7" x14ac:dyDescent="0.2">
      <c r="A2709" s="12">
        <v>40833</v>
      </c>
      <c r="B2709" s="9">
        <v>351.86</v>
      </c>
      <c r="C2709" s="9">
        <v>341.32</v>
      </c>
      <c r="D2709" s="9">
        <v>342.61</v>
      </c>
      <c r="E2709" s="9">
        <f t="shared" si="127"/>
        <v>-1.930974869490722E-2</v>
      </c>
      <c r="F2709" s="9">
        <f t="shared" si="125"/>
        <v>4.1825767697535312E-3</v>
      </c>
      <c r="G2709" s="9">
        <f t="shared" si="126"/>
        <v>1.7967037490285019E-2</v>
      </c>
    </row>
    <row r="2710" spans="1:7" x14ac:dyDescent="0.2">
      <c r="A2710" s="12">
        <v>40834</v>
      </c>
      <c r="B2710" s="9">
        <v>345.86</v>
      </c>
      <c r="C2710" s="9">
        <v>337.68</v>
      </c>
      <c r="D2710" s="9">
        <v>345.84</v>
      </c>
      <c r="E2710" s="9">
        <f t="shared" si="127"/>
        <v>9.3834663372491384E-3</v>
      </c>
      <c r="F2710" s="9">
        <f t="shared" si="125"/>
        <v>1.0931612522695994E-2</v>
      </c>
      <c r="G2710" s="9">
        <f t="shared" si="126"/>
        <v>1.8041453854505816E-2</v>
      </c>
    </row>
    <row r="2711" spans="1:7" x14ac:dyDescent="0.2">
      <c r="A2711" s="12">
        <v>40835</v>
      </c>
      <c r="B2711" s="9">
        <v>347.27</v>
      </c>
      <c r="C2711" s="9">
        <v>342.24</v>
      </c>
      <c r="D2711" s="9">
        <v>342.98</v>
      </c>
      <c r="E2711" s="9">
        <f t="shared" si="127"/>
        <v>-8.3041039313752271E-3</v>
      </c>
      <c r="F2711" s="9">
        <f t="shared" si="125"/>
        <v>-3.0776959783433866E-2</v>
      </c>
      <c r="G2711" s="9">
        <f t="shared" si="126"/>
        <v>1.698359917753775E-2</v>
      </c>
    </row>
    <row r="2712" spans="1:7" x14ac:dyDescent="0.2">
      <c r="A2712" s="12">
        <v>40836</v>
      </c>
      <c r="B2712" s="9">
        <v>344.71</v>
      </c>
      <c r="C2712" s="9">
        <v>340.7</v>
      </c>
      <c r="D2712" s="9">
        <v>342.43</v>
      </c>
      <c r="E2712" s="9">
        <f t="shared" si="127"/>
        <v>-1.6048791761136421E-3</v>
      </c>
      <c r="F2712" s="9">
        <f t="shared" si="125"/>
        <v>-4.0743727286675684E-2</v>
      </c>
      <c r="G2712" s="9">
        <f t="shared" si="126"/>
        <v>1.6890856584370232E-2</v>
      </c>
    </row>
    <row r="2713" spans="1:7" x14ac:dyDescent="0.2">
      <c r="A2713" s="12">
        <v>40837</v>
      </c>
      <c r="B2713" s="9">
        <v>350.03</v>
      </c>
      <c r="C2713" s="9">
        <v>342.48</v>
      </c>
      <c r="D2713" s="9">
        <v>349.47</v>
      </c>
      <c r="E2713" s="9">
        <f t="shared" si="127"/>
        <v>2.0350463827908085E-2</v>
      </c>
      <c r="F2713" s="9">
        <f t="shared" si="125"/>
        <v>6.6607578805130173E-3</v>
      </c>
      <c r="G2713" s="9">
        <f t="shared" si="126"/>
        <v>1.6619273753894256E-2</v>
      </c>
    </row>
    <row r="2714" spans="1:7" x14ac:dyDescent="0.2">
      <c r="A2714" s="12">
        <v>40840</v>
      </c>
      <c r="B2714" s="9">
        <v>354.54</v>
      </c>
      <c r="C2714" s="9">
        <v>348.7</v>
      </c>
      <c r="D2714" s="9">
        <v>354.35</v>
      </c>
      <c r="E2714" s="9">
        <f t="shared" si="127"/>
        <v>1.3867404176469623E-2</v>
      </c>
      <c r="F2714" s="9">
        <f t="shared" si="125"/>
        <v>5.1033400793949822E-2</v>
      </c>
      <c r="G2714" s="9">
        <f t="shared" si="126"/>
        <v>1.5741673341282032E-2</v>
      </c>
    </row>
    <row r="2715" spans="1:7" x14ac:dyDescent="0.2">
      <c r="A2715" s="12">
        <v>40841</v>
      </c>
      <c r="B2715" s="9">
        <v>358.36</v>
      </c>
      <c r="C2715" s="9">
        <v>352.91</v>
      </c>
      <c r="D2715" s="9">
        <v>355.8</v>
      </c>
      <c r="E2715" s="9">
        <f t="shared" si="127"/>
        <v>4.0836499754698342E-3</v>
      </c>
      <c r="F2715" s="9">
        <f t="shared" si="125"/>
        <v>5.286252593430877E-2</v>
      </c>
      <c r="G2715" s="9">
        <f t="shared" si="126"/>
        <v>1.5747431975751413E-2</v>
      </c>
    </row>
    <row r="2716" spans="1:7" x14ac:dyDescent="0.2">
      <c r="A2716" s="12">
        <v>40842</v>
      </c>
      <c r="B2716" s="9">
        <v>362.43</v>
      </c>
      <c r="C2716" s="9">
        <v>355.1</v>
      </c>
      <c r="D2716" s="9">
        <v>358.78</v>
      </c>
      <c r="E2716" s="9">
        <f t="shared" si="127"/>
        <v>8.3406120392096727E-3</v>
      </c>
      <c r="F2716" s="9">
        <f t="shared" si="125"/>
        <v>5.2764269327653844E-2</v>
      </c>
      <c r="G2716" s="9">
        <f t="shared" si="126"/>
        <v>1.5746005576980672E-2</v>
      </c>
    </row>
    <row r="2717" spans="1:7" x14ac:dyDescent="0.2">
      <c r="A2717" s="12">
        <v>40843</v>
      </c>
      <c r="B2717" s="9">
        <v>376.63</v>
      </c>
      <c r="C2717" s="9">
        <v>370.33</v>
      </c>
      <c r="D2717" s="9">
        <v>372.32</v>
      </c>
      <c r="E2717" s="9">
        <f t="shared" si="127"/>
        <v>3.7044312283037215E-2</v>
      </c>
      <c r="F2717" s="9">
        <f t="shared" si="125"/>
        <v>6.3765292008449381E-2</v>
      </c>
      <c r="G2717" s="9">
        <f t="shared" si="126"/>
        <v>1.6443697795240221E-2</v>
      </c>
    </row>
    <row r="2718" spans="1:7" x14ac:dyDescent="0.2">
      <c r="A2718" s="12">
        <v>40844</v>
      </c>
      <c r="B2718" s="9">
        <v>379.2</v>
      </c>
      <c r="C2718" s="9">
        <v>373.18</v>
      </c>
      <c r="D2718" s="9">
        <v>374.75</v>
      </c>
      <c r="E2718" s="9">
        <f t="shared" si="127"/>
        <v>6.5054374287254989E-3</v>
      </c>
      <c r="F2718" s="9">
        <f t="shared" si="125"/>
        <v>7.5235512704951879E-2</v>
      </c>
      <c r="G2718" s="9">
        <f t="shared" si="126"/>
        <v>1.6406460773152803E-2</v>
      </c>
    </row>
    <row r="2719" spans="1:7" x14ac:dyDescent="0.2">
      <c r="A2719" s="12">
        <v>40847</v>
      </c>
      <c r="B2719" s="9">
        <v>368.65</v>
      </c>
      <c r="C2719" s="9">
        <v>362.62</v>
      </c>
      <c r="D2719" s="9">
        <v>362.77</v>
      </c>
      <c r="E2719" s="9">
        <f t="shared" si="127"/>
        <v>-3.2490112348178772E-2</v>
      </c>
      <c r="F2719" s="9">
        <f t="shared" si="125"/>
        <v>6.1945200097443157E-2</v>
      </c>
      <c r="G2719" s="9">
        <f t="shared" si="126"/>
        <v>1.7174293413637159E-2</v>
      </c>
    </row>
    <row r="2720" spans="1:7" x14ac:dyDescent="0.2">
      <c r="A2720" s="12">
        <v>40848</v>
      </c>
      <c r="B2720" s="9">
        <v>354.08</v>
      </c>
      <c r="C2720" s="9">
        <v>344.65</v>
      </c>
      <c r="D2720" s="9">
        <v>353.64</v>
      </c>
      <c r="E2720" s="9">
        <f t="shared" si="127"/>
        <v>-2.5489578096924786E-2</v>
      </c>
      <c r="F2720" s="9">
        <f t="shared" si="125"/>
        <v>1.4870797925589979E-2</v>
      </c>
      <c r="G2720" s="9">
        <f t="shared" si="126"/>
        <v>1.7477161261932831E-2</v>
      </c>
    </row>
    <row r="2721" spans="1:7" x14ac:dyDescent="0.2">
      <c r="A2721" s="12">
        <v>40849</v>
      </c>
      <c r="B2721" s="9">
        <v>357.85</v>
      </c>
      <c r="C2721" s="9">
        <v>348.15</v>
      </c>
      <c r="D2721" s="9">
        <v>353.18</v>
      </c>
      <c r="E2721" s="9">
        <f t="shared" si="127"/>
        <v>-1.301604552625321E-3</v>
      </c>
      <c r="F2721" s="9">
        <f t="shared" ref="F2721:F2784" si="128">LN(D2721/D2691)</f>
        <v>1.0560120905182949E-2</v>
      </c>
      <c r="G2721" s="9">
        <f t="shared" si="126"/>
        <v>1.7473504685700449E-2</v>
      </c>
    </row>
    <row r="2722" spans="1:7" x14ac:dyDescent="0.2">
      <c r="A2722" s="12">
        <v>40850</v>
      </c>
      <c r="B2722" s="9">
        <v>362.33</v>
      </c>
      <c r="C2722" s="9">
        <v>347.87</v>
      </c>
      <c r="D2722" s="9">
        <v>361.36</v>
      </c>
      <c r="E2722" s="9">
        <f t="shared" si="127"/>
        <v>2.2896849361370545E-2</v>
      </c>
      <c r="F2722" s="9">
        <f t="shared" si="128"/>
        <v>6.3904082926062269E-2</v>
      </c>
      <c r="G2722" s="9">
        <f t="shared" si="126"/>
        <v>1.6937216180808876E-2</v>
      </c>
    </row>
    <row r="2723" spans="1:7" x14ac:dyDescent="0.2">
      <c r="A2723" s="12">
        <v>40851</v>
      </c>
      <c r="B2723" s="9">
        <v>365.93</v>
      </c>
      <c r="C2723" s="9">
        <v>359.05</v>
      </c>
      <c r="D2723" s="9">
        <v>362.52</v>
      </c>
      <c r="E2723" s="9">
        <f t="shared" si="127"/>
        <v>3.2049538402321169E-3</v>
      </c>
      <c r="F2723" s="9">
        <f t="shared" si="128"/>
        <v>6.7905837800025681E-2</v>
      </c>
      <c r="G2723" s="9">
        <f t="shared" si="126"/>
        <v>1.6929126031493383E-2</v>
      </c>
    </row>
    <row r="2724" spans="1:7" x14ac:dyDescent="0.2">
      <c r="A2724" s="12">
        <v>40854</v>
      </c>
      <c r="B2724" s="9">
        <v>368.2</v>
      </c>
      <c r="C2724" s="9">
        <v>359.22</v>
      </c>
      <c r="D2724" s="9">
        <v>364.81</v>
      </c>
      <c r="E2724" s="9">
        <f t="shared" si="127"/>
        <v>6.297024918587424E-3</v>
      </c>
      <c r="F2724" s="9">
        <f t="shared" si="128"/>
        <v>6.5677661895253675E-2</v>
      </c>
      <c r="G2724" s="9">
        <f t="shared" si="126"/>
        <v>1.6905578548547313E-2</v>
      </c>
    </row>
    <row r="2725" spans="1:7" x14ac:dyDescent="0.2">
      <c r="A2725" s="12">
        <v>40855</v>
      </c>
      <c r="B2725" s="9">
        <v>373.6</v>
      </c>
      <c r="C2725" s="9">
        <v>364.88</v>
      </c>
      <c r="D2725" s="9">
        <v>370.26</v>
      </c>
      <c r="E2725" s="9">
        <f t="shared" si="127"/>
        <v>1.4828791455862033E-2</v>
      </c>
      <c r="F2725" s="9">
        <f t="shared" si="128"/>
        <v>4.0623955109765408E-2</v>
      </c>
      <c r="G2725" s="9">
        <f t="shared" si="126"/>
        <v>1.5543280364969875E-2</v>
      </c>
    </row>
    <row r="2726" spans="1:7" x14ac:dyDescent="0.2">
      <c r="A2726" s="12">
        <v>40856</v>
      </c>
      <c r="B2726" s="9">
        <v>376.82</v>
      </c>
      <c r="C2726" s="9">
        <v>366.11</v>
      </c>
      <c r="D2726" s="9">
        <v>369.24</v>
      </c>
      <c r="E2726" s="9">
        <f t="shared" si="127"/>
        <v>-2.7586224390796399E-3</v>
      </c>
      <c r="F2726" s="9">
        <f t="shared" si="128"/>
        <v>5.1715302697112081E-2</v>
      </c>
      <c r="G2726" s="9">
        <f t="shared" si="126"/>
        <v>1.5299157972288036E-2</v>
      </c>
    </row>
    <row r="2727" spans="1:7" x14ac:dyDescent="0.2">
      <c r="A2727" s="12">
        <v>40857</v>
      </c>
      <c r="B2727" s="9">
        <v>370.55</v>
      </c>
      <c r="C2727" s="9">
        <v>361.13</v>
      </c>
      <c r="D2727" s="9">
        <v>365.28</v>
      </c>
      <c r="E2727" s="9">
        <f t="shared" si="127"/>
        <v>-1.0782656340465503E-2</v>
      </c>
      <c r="F2727" s="9">
        <f t="shared" si="128"/>
        <v>3.2554414703608453E-2</v>
      </c>
      <c r="G2727" s="9">
        <f t="shared" ref="G2727:G2790" si="129">STDEV(E2698:E2727)</f>
        <v>1.5411321936600724E-2</v>
      </c>
    </row>
    <row r="2728" spans="1:7" x14ac:dyDescent="0.2">
      <c r="A2728" s="12">
        <v>40858</v>
      </c>
      <c r="B2728" s="9">
        <v>373.17</v>
      </c>
      <c r="C2728" s="9">
        <v>366.03</v>
      </c>
      <c r="D2728" s="9">
        <v>373.08</v>
      </c>
      <c r="E2728" s="9">
        <f t="shared" si="127"/>
        <v>2.1128691077177353E-2</v>
      </c>
      <c r="F2728" s="9">
        <f t="shared" si="128"/>
        <v>6.2888762335161552E-2</v>
      </c>
      <c r="G2728" s="9">
        <f t="shared" si="129"/>
        <v>1.5705179314260107E-2</v>
      </c>
    </row>
    <row r="2729" spans="1:7" x14ac:dyDescent="0.2">
      <c r="A2729" s="12">
        <v>40861</v>
      </c>
      <c r="B2729" s="9">
        <v>376.46</v>
      </c>
      <c r="C2729" s="9">
        <v>373.23</v>
      </c>
      <c r="D2729" s="9">
        <v>375.54</v>
      </c>
      <c r="E2729" s="9">
        <f t="shared" si="127"/>
        <v>6.5721163060024658E-3</v>
      </c>
      <c r="F2729" s="9">
        <f t="shared" si="128"/>
        <v>7.0946253685748042E-2</v>
      </c>
      <c r="G2729" s="9">
        <f t="shared" si="129"/>
        <v>1.5710711938786419E-2</v>
      </c>
    </row>
    <row r="2730" spans="1:7" x14ac:dyDescent="0.2">
      <c r="A2730" s="12">
        <v>40862</v>
      </c>
      <c r="B2730" s="9">
        <v>377.9</v>
      </c>
      <c r="C2730" s="9">
        <v>370.74</v>
      </c>
      <c r="D2730" s="9">
        <v>376.41</v>
      </c>
      <c r="E2730" s="9">
        <f t="shared" si="127"/>
        <v>2.3139846750530406E-3</v>
      </c>
      <c r="F2730" s="9">
        <f t="shared" si="128"/>
        <v>9.5809759954810392E-2</v>
      </c>
      <c r="G2730" s="9">
        <f t="shared" si="129"/>
        <v>1.499038379158883E-2</v>
      </c>
    </row>
    <row r="2731" spans="1:7" x14ac:dyDescent="0.2">
      <c r="A2731" s="12">
        <v>40863</v>
      </c>
      <c r="B2731" s="9">
        <v>381.08</v>
      </c>
      <c r="C2731" s="9">
        <v>374.57</v>
      </c>
      <c r="D2731" s="9">
        <v>376.84</v>
      </c>
      <c r="E2731" s="9">
        <f t="shared" si="127"/>
        <v>1.1417193407488335E-3</v>
      </c>
      <c r="F2731" s="9">
        <f t="shared" si="128"/>
        <v>9.414855775246582E-2</v>
      </c>
      <c r="G2731" s="9">
        <f t="shared" si="129"/>
        <v>1.4994944404838832E-2</v>
      </c>
    </row>
    <row r="2732" spans="1:7" x14ac:dyDescent="0.2">
      <c r="A2732" s="12">
        <v>40864</v>
      </c>
      <c r="B2732" s="9">
        <v>376.64</v>
      </c>
      <c r="C2732" s="9">
        <v>370.73</v>
      </c>
      <c r="D2732" s="9">
        <v>376.05</v>
      </c>
      <c r="E2732" s="9">
        <f t="shared" si="127"/>
        <v>-2.0985809080548549E-3</v>
      </c>
      <c r="F2732" s="9">
        <f t="shared" si="128"/>
        <v>9.2662444964176541E-2</v>
      </c>
      <c r="G2732" s="9">
        <f t="shared" si="129"/>
        <v>1.5010209596800167E-2</v>
      </c>
    </row>
    <row r="2733" spans="1:7" x14ac:dyDescent="0.2">
      <c r="A2733" s="12">
        <v>40865</v>
      </c>
      <c r="B2733" s="9">
        <v>375.19</v>
      </c>
      <c r="C2733" s="9">
        <v>372.1</v>
      </c>
      <c r="D2733" s="9">
        <v>373.87</v>
      </c>
      <c r="E2733" s="9">
        <f t="shared" si="127"/>
        <v>-5.8139698654198447E-3</v>
      </c>
      <c r="F2733" s="9">
        <f t="shared" si="128"/>
        <v>8.4575481929907229E-2</v>
      </c>
      <c r="G2733" s="9">
        <f t="shared" si="129"/>
        <v>1.5097725723313226E-2</v>
      </c>
    </row>
    <row r="2734" spans="1:7" x14ac:dyDescent="0.2">
      <c r="A2734" s="12">
        <v>40868</v>
      </c>
      <c r="B2734" s="9">
        <v>374.15</v>
      </c>
      <c r="C2734" s="9">
        <v>365.69</v>
      </c>
      <c r="D2734" s="9">
        <v>367.58</v>
      </c>
      <c r="E2734" s="9">
        <f t="shared" si="127"/>
        <v>-1.6967161369664266E-2</v>
      </c>
      <c r="F2734" s="9">
        <f t="shared" si="128"/>
        <v>5.0122734546044483E-2</v>
      </c>
      <c r="G2734" s="9">
        <f t="shared" si="129"/>
        <v>1.5253182791289045E-2</v>
      </c>
    </row>
    <row r="2735" spans="1:7" x14ac:dyDescent="0.2">
      <c r="A2735" s="12">
        <v>40869</v>
      </c>
      <c r="B2735" s="9">
        <v>373.33</v>
      </c>
      <c r="C2735" s="9">
        <v>365.32</v>
      </c>
      <c r="D2735" s="9">
        <v>365.32</v>
      </c>
      <c r="E2735" s="9">
        <f t="shared" si="127"/>
        <v>-6.1673002138498056E-3</v>
      </c>
      <c r="F2735" s="9">
        <f t="shared" si="128"/>
        <v>5.4074824983016655E-2</v>
      </c>
      <c r="G2735" s="9">
        <f t="shared" si="129"/>
        <v>1.5164653652378457E-2</v>
      </c>
    </row>
    <row r="2736" spans="1:7" x14ac:dyDescent="0.2">
      <c r="A2736" s="12">
        <v>40870</v>
      </c>
      <c r="B2736" s="9">
        <v>367.83</v>
      </c>
      <c r="C2736" s="9">
        <v>361.73</v>
      </c>
      <c r="D2736" s="9">
        <v>363.45</v>
      </c>
      <c r="E2736" s="9">
        <f t="shared" si="127"/>
        <v>-5.1319458928337685E-3</v>
      </c>
      <c r="F2736" s="9">
        <f t="shared" si="128"/>
        <v>2.6599092408783637E-2</v>
      </c>
      <c r="G2736" s="9">
        <f t="shared" si="129"/>
        <v>1.4703990532188653E-2</v>
      </c>
    </row>
    <row r="2737" spans="1:7" x14ac:dyDescent="0.2">
      <c r="A2737" s="12">
        <v>40871</v>
      </c>
      <c r="B2737" s="9">
        <v>365.43</v>
      </c>
      <c r="C2737" s="9">
        <v>359.7</v>
      </c>
      <c r="D2737" s="9">
        <v>360.21</v>
      </c>
      <c r="E2737" s="9">
        <f t="shared" si="127"/>
        <v>-8.9545412199081523E-3</v>
      </c>
      <c r="F2737" s="9">
        <f t="shared" si="128"/>
        <v>2.9497173425222747E-2</v>
      </c>
      <c r="G2737" s="9">
        <f t="shared" si="129"/>
        <v>1.4626726710164522E-2</v>
      </c>
    </row>
    <row r="2738" spans="1:7" x14ac:dyDescent="0.2">
      <c r="A2738" s="12">
        <v>40872</v>
      </c>
      <c r="B2738" s="9">
        <v>364.26</v>
      </c>
      <c r="C2738" s="9">
        <v>356.99</v>
      </c>
      <c r="D2738" s="9">
        <v>363.41</v>
      </c>
      <c r="E2738" s="9">
        <f t="shared" si="127"/>
        <v>8.8444787593508697E-3</v>
      </c>
      <c r="F2738" s="9">
        <f t="shared" si="128"/>
        <v>3.9629150753052782E-2</v>
      </c>
      <c r="G2738" s="9">
        <f t="shared" si="129"/>
        <v>1.4689327387335936E-2</v>
      </c>
    </row>
    <row r="2739" spans="1:7" x14ac:dyDescent="0.2">
      <c r="A2739" s="12">
        <v>40875</v>
      </c>
      <c r="B2739" s="9">
        <v>371.74</v>
      </c>
      <c r="C2739" s="9">
        <v>365.66</v>
      </c>
      <c r="D2739" s="9">
        <v>371.02</v>
      </c>
      <c r="E2739" s="9">
        <f t="shared" si="127"/>
        <v>2.0724296040139992E-2</v>
      </c>
      <c r="F2739" s="9">
        <f t="shared" si="128"/>
        <v>7.96631954880999E-2</v>
      </c>
      <c r="G2739" s="9">
        <f t="shared" si="129"/>
        <v>1.4568449670014291E-2</v>
      </c>
    </row>
    <row r="2740" spans="1:7" x14ac:dyDescent="0.2">
      <c r="A2740" s="12">
        <v>40876</v>
      </c>
      <c r="B2740" s="9">
        <v>373.54</v>
      </c>
      <c r="C2740" s="9">
        <v>369.7</v>
      </c>
      <c r="D2740" s="9">
        <v>373.03</v>
      </c>
      <c r="E2740" s="9">
        <f t="shared" si="127"/>
        <v>5.4028758537771676E-3</v>
      </c>
      <c r="F2740" s="9">
        <f t="shared" si="128"/>
        <v>7.5682605004627812E-2</v>
      </c>
      <c r="G2740" s="9">
        <f t="shared" si="129"/>
        <v>1.452311586925586E-2</v>
      </c>
    </row>
    <row r="2741" spans="1:7" x14ac:dyDescent="0.2">
      <c r="A2741" s="12">
        <v>40877</v>
      </c>
      <c r="B2741" s="9">
        <v>385.19</v>
      </c>
      <c r="C2741" s="9">
        <v>369.11</v>
      </c>
      <c r="D2741" s="9">
        <v>385.19</v>
      </c>
      <c r="E2741" s="9">
        <f t="shared" si="127"/>
        <v>3.2077873683006415E-2</v>
      </c>
      <c r="F2741" s="9">
        <f t="shared" si="128"/>
        <v>0.11606458261900951</v>
      </c>
      <c r="G2741" s="9">
        <f t="shared" si="129"/>
        <v>1.5333795698655416E-2</v>
      </c>
    </row>
    <row r="2742" spans="1:7" x14ac:dyDescent="0.2">
      <c r="A2742" s="12">
        <v>40878</v>
      </c>
      <c r="B2742" s="9">
        <v>384.7</v>
      </c>
      <c r="C2742" s="9">
        <v>378.11</v>
      </c>
      <c r="D2742" s="9">
        <v>378.11</v>
      </c>
      <c r="E2742" s="9">
        <f t="shared" si="127"/>
        <v>-1.8551560470244543E-2</v>
      </c>
      <c r="F2742" s="9">
        <f t="shared" si="128"/>
        <v>9.9117901324878743E-2</v>
      </c>
      <c r="G2742" s="9">
        <f t="shared" si="129"/>
        <v>1.5845996430305914E-2</v>
      </c>
    </row>
    <row r="2743" spans="1:7" x14ac:dyDescent="0.2">
      <c r="A2743" s="12">
        <v>40879</v>
      </c>
      <c r="B2743" s="9">
        <v>383.85</v>
      </c>
      <c r="C2743" s="9">
        <v>379.47</v>
      </c>
      <c r="D2743" s="9">
        <v>382.84</v>
      </c>
      <c r="E2743" s="9">
        <f t="shared" si="127"/>
        <v>1.2431988750939553E-2</v>
      </c>
      <c r="F2743" s="9">
        <f t="shared" si="128"/>
        <v>9.1199426247910151E-2</v>
      </c>
      <c r="G2743" s="9">
        <f t="shared" si="129"/>
        <v>1.5616546872053863E-2</v>
      </c>
    </row>
    <row r="2744" spans="1:7" x14ac:dyDescent="0.2">
      <c r="A2744" s="12">
        <v>40882</v>
      </c>
      <c r="B2744" s="9">
        <v>386.11</v>
      </c>
      <c r="C2744" s="9">
        <v>381.55</v>
      </c>
      <c r="D2744" s="9">
        <v>384.73</v>
      </c>
      <c r="E2744" s="9">
        <f t="shared" si="127"/>
        <v>4.9246422338143463E-3</v>
      </c>
      <c r="F2744" s="9">
        <f t="shared" si="128"/>
        <v>8.2256664305254912E-2</v>
      </c>
      <c r="G2744" s="9">
        <f t="shared" si="129"/>
        <v>1.5487561902377704E-2</v>
      </c>
    </row>
    <row r="2745" spans="1:7" x14ac:dyDescent="0.2">
      <c r="A2745" s="12">
        <v>40883</v>
      </c>
      <c r="B2745" s="9">
        <v>385.74</v>
      </c>
      <c r="C2745" s="9">
        <v>380.16</v>
      </c>
      <c r="D2745" s="9">
        <v>385.02</v>
      </c>
      <c r="E2745" s="9">
        <f t="shared" si="127"/>
        <v>7.5349142895902619E-4</v>
      </c>
      <c r="F2745" s="9">
        <f t="shared" si="128"/>
        <v>7.892650575874402E-2</v>
      </c>
      <c r="G2745" s="9">
        <f t="shared" si="129"/>
        <v>1.5489547501952704E-2</v>
      </c>
    </row>
    <row r="2746" spans="1:7" x14ac:dyDescent="0.2">
      <c r="A2746" s="12">
        <v>40884</v>
      </c>
      <c r="B2746" s="9">
        <v>389.06</v>
      </c>
      <c r="C2746" s="9">
        <v>383.65</v>
      </c>
      <c r="D2746" s="9">
        <v>385.54</v>
      </c>
      <c r="E2746" s="9">
        <f t="shared" si="127"/>
        <v>1.3496679789665508E-3</v>
      </c>
      <c r="F2746" s="9">
        <f t="shared" si="128"/>
        <v>7.1935561698500988E-2</v>
      </c>
      <c r="G2746" s="9">
        <f t="shared" si="129"/>
        <v>1.5453230636737578E-2</v>
      </c>
    </row>
    <row r="2747" spans="1:7" x14ac:dyDescent="0.2">
      <c r="A2747" s="12">
        <v>40885</v>
      </c>
      <c r="B2747" s="9">
        <v>388.06</v>
      </c>
      <c r="C2747" s="9">
        <v>381.6</v>
      </c>
      <c r="D2747" s="9">
        <v>381.65</v>
      </c>
      <c r="E2747" s="9">
        <f t="shared" si="127"/>
        <v>-1.0140990724966064E-2</v>
      </c>
      <c r="F2747" s="9">
        <f t="shared" si="128"/>
        <v>2.4750258690497719E-2</v>
      </c>
      <c r="G2747" s="9">
        <f t="shared" si="129"/>
        <v>1.4151761257922297E-2</v>
      </c>
    </row>
    <row r="2748" spans="1:7" x14ac:dyDescent="0.2">
      <c r="A2748" s="12">
        <v>40886</v>
      </c>
      <c r="B2748" s="9">
        <v>382.21</v>
      </c>
      <c r="C2748" s="9">
        <v>377.13</v>
      </c>
      <c r="D2748" s="9">
        <v>380.19</v>
      </c>
      <c r="E2748" s="9">
        <f t="shared" si="127"/>
        <v>-3.8328304823968657E-3</v>
      </c>
      <c r="F2748" s="9">
        <f t="shared" si="128"/>
        <v>1.4411990779375316E-2</v>
      </c>
      <c r="G2748" s="9">
        <f t="shared" si="129"/>
        <v>1.4134530460230265E-2</v>
      </c>
    </row>
    <row r="2749" spans="1:7" x14ac:dyDescent="0.2">
      <c r="A2749" s="12">
        <v>40889</v>
      </c>
      <c r="B2749" s="9">
        <v>381.32</v>
      </c>
      <c r="C2749" s="9">
        <v>375.9</v>
      </c>
      <c r="D2749" s="9">
        <v>376.74</v>
      </c>
      <c r="E2749" s="9">
        <f t="shared" si="127"/>
        <v>-9.1158334080093818E-3</v>
      </c>
      <c r="F2749" s="9">
        <f t="shared" si="128"/>
        <v>3.7786269719544713E-2</v>
      </c>
      <c r="G2749" s="9">
        <f t="shared" si="129"/>
        <v>1.2839304843268545E-2</v>
      </c>
    </row>
    <row r="2750" spans="1:7" x14ac:dyDescent="0.2">
      <c r="A2750" s="12">
        <v>40890</v>
      </c>
      <c r="B2750" s="9">
        <v>381.64</v>
      </c>
      <c r="C2750" s="9">
        <v>375.38</v>
      </c>
      <c r="D2750" s="9">
        <v>380.45</v>
      </c>
      <c r="E2750" s="9">
        <f t="shared" si="127"/>
        <v>9.7994682684586065E-3</v>
      </c>
      <c r="F2750" s="9">
        <f t="shared" si="128"/>
        <v>7.3075316084928038E-2</v>
      </c>
      <c r="G2750" s="9">
        <f t="shared" si="129"/>
        <v>1.1885211107402942E-2</v>
      </c>
    </row>
    <row r="2751" spans="1:7" x14ac:dyDescent="0.2">
      <c r="A2751" s="12">
        <v>40891</v>
      </c>
      <c r="B2751" s="9">
        <v>380.06</v>
      </c>
      <c r="C2751" s="9">
        <v>371.34</v>
      </c>
      <c r="D2751" s="9">
        <v>371.36</v>
      </c>
      <c r="E2751" s="9">
        <f t="shared" si="127"/>
        <v>-2.4182820096404781E-2</v>
      </c>
      <c r="F2751" s="9">
        <f t="shared" si="128"/>
        <v>5.0194100541148673E-2</v>
      </c>
      <c r="G2751" s="9">
        <f t="shared" si="129"/>
        <v>1.282995166503657E-2</v>
      </c>
    </row>
    <row r="2752" spans="1:7" x14ac:dyDescent="0.2">
      <c r="A2752" s="12">
        <v>40892</v>
      </c>
      <c r="B2752" s="9">
        <v>374.9</v>
      </c>
      <c r="C2752" s="9">
        <v>371.35</v>
      </c>
      <c r="D2752" s="9">
        <v>374.08</v>
      </c>
      <c r="E2752" s="9">
        <f t="shared" si="127"/>
        <v>7.297735757576587E-3</v>
      </c>
      <c r="F2752" s="9">
        <f t="shared" si="128"/>
        <v>3.4594986937354806E-2</v>
      </c>
      <c r="G2752" s="9">
        <f t="shared" si="129"/>
        <v>1.2242803922787517E-2</v>
      </c>
    </row>
    <row r="2753" spans="1:7" x14ac:dyDescent="0.2">
      <c r="A2753" s="12">
        <v>40893</v>
      </c>
      <c r="B2753" s="9">
        <v>378.49</v>
      </c>
      <c r="C2753" s="9">
        <v>372.44</v>
      </c>
      <c r="D2753" s="9">
        <v>372.73</v>
      </c>
      <c r="E2753" s="9">
        <f t="shared" si="127"/>
        <v>-3.6153813432737787E-3</v>
      </c>
      <c r="F2753" s="9">
        <f t="shared" si="128"/>
        <v>2.7774651753848786E-2</v>
      </c>
      <c r="G2753" s="9">
        <f t="shared" si="129"/>
        <v>1.2266691424631953E-2</v>
      </c>
    </row>
    <row r="2754" spans="1:7" x14ac:dyDescent="0.2">
      <c r="A2754" s="12">
        <v>40896</v>
      </c>
      <c r="B2754" s="9">
        <v>378.58</v>
      </c>
      <c r="C2754" s="9">
        <v>370.61</v>
      </c>
      <c r="D2754" s="9">
        <v>374.78</v>
      </c>
      <c r="E2754" s="9">
        <f t="shared" si="127"/>
        <v>5.4848902070898558E-3</v>
      </c>
      <c r="F2754" s="9">
        <f t="shared" si="128"/>
        <v>2.6962517042351249E-2</v>
      </c>
      <c r="G2754" s="9">
        <f t="shared" si="129"/>
        <v>1.2255319932737027E-2</v>
      </c>
    </row>
    <row r="2755" spans="1:7" x14ac:dyDescent="0.2">
      <c r="A2755" s="12">
        <v>40897</v>
      </c>
      <c r="B2755" s="9">
        <v>380.02</v>
      </c>
      <c r="C2755" s="9">
        <v>373.45</v>
      </c>
      <c r="D2755" s="9">
        <v>380.02</v>
      </c>
      <c r="E2755" s="9">
        <f t="shared" si="127"/>
        <v>1.3884695766866196E-2</v>
      </c>
      <c r="F2755" s="9">
        <f t="shared" si="128"/>
        <v>2.6018421353355255E-2</v>
      </c>
      <c r="G2755" s="9">
        <f t="shared" si="129"/>
        <v>1.2219475912873302E-2</v>
      </c>
    </row>
    <row r="2756" spans="1:7" x14ac:dyDescent="0.2">
      <c r="A2756" s="12">
        <v>40898</v>
      </c>
      <c r="B2756" s="9">
        <v>384.4</v>
      </c>
      <c r="C2756" s="9">
        <v>377.05</v>
      </c>
      <c r="D2756" s="9">
        <v>380.01</v>
      </c>
      <c r="E2756" s="9">
        <f t="shared" ref="E2756:E2819" si="130">LN(D2756/D2755)</f>
        <v>-2.6314750734972942E-5</v>
      </c>
      <c r="F2756" s="9">
        <f t="shared" si="128"/>
        <v>2.8750729041700042E-2</v>
      </c>
      <c r="G2756" s="9">
        <f t="shared" si="129"/>
        <v>1.2201688188720193E-2</v>
      </c>
    </row>
    <row r="2757" spans="1:7" x14ac:dyDescent="0.2">
      <c r="A2757" s="12">
        <v>40899</v>
      </c>
      <c r="B2757" s="9">
        <v>381.62</v>
      </c>
      <c r="C2757" s="9">
        <v>376.05</v>
      </c>
      <c r="D2757" s="9">
        <v>377.62</v>
      </c>
      <c r="E2757" s="9">
        <f t="shared" si="130"/>
        <v>-6.309169193264721E-3</v>
      </c>
      <c r="F2757" s="9">
        <f t="shared" si="128"/>
        <v>3.3224216188900819E-2</v>
      </c>
      <c r="G2757" s="9">
        <f t="shared" si="129"/>
        <v>1.2079982176914522E-2</v>
      </c>
    </row>
    <row r="2758" spans="1:7" x14ac:dyDescent="0.2">
      <c r="A2758" s="12">
        <v>40900</v>
      </c>
      <c r="B2758" s="9">
        <v>384.07</v>
      </c>
      <c r="C2758" s="9">
        <v>379.27</v>
      </c>
      <c r="D2758" s="9">
        <v>382.6</v>
      </c>
      <c r="E2758" s="9">
        <f t="shared" si="130"/>
        <v>1.3101658035766362E-2</v>
      </c>
      <c r="F2758" s="9">
        <f t="shared" si="128"/>
        <v>2.5197183147489782E-2</v>
      </c>
      <c r="G2758" s="9">
        <f t="shared" si="129"/>
        <v>1.1704282523814172E-2</v>
      </c>
    </row>
    <row r="2759" spans="1:7" x14ac:dyDescent="0.2">
      <c r="A2759" s="12">
        <v>40904</v>
      </c>
      <c r="B2759" s="9">
        <v>384.38</v>
      </c>
      <c r="C2759" s="9">
        <v>382.26</v>
      </c>
      <c r="D2759" s="9">
        <v>383.36</v>
      </c>
      <c r="E2759" s="9">
        <f t="shared" si="130"/>
        <v>1.9844384808773976E-3</v>
      </c>
      <c r="F2759" s="9">
        <f t="shared" si="128"/>
        <v>2.060950532236476E-2</v>
      </c>
      <c r="G2759" s="9">
        <f t="shared" si="129"/>
        <v>1.1656679028893236E-2</v>
      </c>
    </row>
    <row r="2760" spans="1:7" x14ac:dyDescent="0.2">
      <c r="A2760" s="12">
        <v>40905</v>
      </c>
      <c r="B2760" s="9">
        <v>385.71</v>
      </c>
      <c r="C2760" s="9">
        <v>380.18</v>
      </c>
      <c r="D2760" s="9">
        <v>384.91</v>
      </c>
      <c r="E2760" s="9">
        <f t="shared" si="130"/>
        <v>4.0350452394032196E-3</v>
      </c>
      <c r="F2760" s="9">
        <f t="shared" si="128"/>
        <v>2.2330565886714941E-2</v>
      </c>
      <c r="G2760" s="9">
        <f t="shared" si="129"/>
        <v>1.1669190887449915E-2</v>
      </c>
    </row>
    <row r="2761" spans="1:7" x14ac:dyDescent="0.2">
      <c r="A2761" s="12">
        <v>40906</v>
      </c>
      <c r="B2761" s="9">
        <v>386.22</v>
      </c>
      <c r="C2761" s="9">
        <v>384.24</v>
      </c>
      <c r="D2761" s="9">
        <v>385.91</v>
      </c>
      <c r="E2761" s="9">
        <f t="shared" si="130"/>
        <v>2.5946409304724218E-3</v>
      </c>
      <c r="F2761" s="9">
        <f t="shared" si="128"/>
        <v>2.3783487476438599E-2</v>
      </c>
      <c r="G2761" s="9">
        <f t="shared" si="129"/>
        <v>1.1673911032104028E-2</v>
      </c>
    </row>
    <row r="2762" spans="1:7" x14ac:dyDescent="0.2">
      <c r="A2762" s="12">
        <v>40907</v>
      </c>
      <c r="B2762" s="9">
        <v>390.36</v>
      </c>
      <c r="C2762" s="9">
        <v>386.77</v>
      </c>
      <c r="D2762" s="9">
        <v>389.95</v>
      </c>
      <c r="E2762" s="9">
        <f t="shared" si="130"/>
        <v>1.0414344119601441E-2</v>
      </c>
      <c r="F2762" s="9">
        <f t="shared" si="128"/>
        <v>3.629641250409494E-2</v>
      </c>
      <c r="G2762" s="9">
        <f t="shared" si="129"/>
        <v>1.1790003232217437E-2</v>
      </c>
    </row>
    <row r="2763" spans="1:7" x14ac:dyDescent="0.2">
      <c r="A2763" s="12">
        <v>40910</v>
      </c>
      <c r="B2763" s="9">
        <v>398.61</v>
      </c>
      <c r="C2763" s="9">
        <v>391.05</v>
      </c>
      <c r="D2763" s="9">
        <v>398.1</v>
      </c>
      <c r="E2763" s="9">
        <f t="shared" si="130"/>
        <v>2.0684704229764456E-2</v>
      </c>
      <c r="F2763" s="9">
        <f t="shared" si="128"/>
        <v>6.279508659927921E-2</v>
      </c>
      <c r="G2763" s="9">
        <f t="shared" si="129"/>
        <v>1.2230049777232474E-2</v>
      </c>
    </row>
    <row r="2764" spans="1:7" x14ac:dyDescent="0.2">
      <c r="A2764" s="12">
        <v>40911</v>
      </c>
      <c r="B2764" s="9">
        <v>400.8</v>
      </c>
      <c r="C2764" s="9">
        <v>396.21</v>
      </c>
      <c r="D2764" s="9">
        <v>400.26</v>
      </c>
      <c r="E2764" s="9">
        <f t="shared" si="130"/>
        <v>5.4111059432074464E-3</v>
      </c>
      <c r="F2764" s="9">
        <f t="shared" si="128"/>
        <v>8.5173353912150959E-2</v>
      </c>
      <c r="G2764" s="9">
        <f t="shared" si="129"/>
        <v>1.1698318477924003E-2</v>
      </c>
    </row>
    <row r="2765" spans="1:7" x14ac:dyDescent="0.2">
      <c r="A2765" s="12">
        <v>40912</v>
      </c>
      <c r="B2765" s="9">
        <v>398.29</v>
      </c>
      <c r="C2765" s="9">
        <v>392.65</v>
      </c>
      <c r="D2765" s="9">
        <v>393.93</v>
      </c>
      <c r="E2765" s="9">
        <f t="shared" si="130"/>
        <v>-1.5941107410455704E-2</v>
      </c>
      <c r="F2765" s="9">
        <f t="shared" si="128"/>
        <v>7.5399546715545218E-2</v>
      </c>
      <c r="G2765" s="9">
        <f t="shared" si="129"/>
        <v>1.2087419983287512E-2</v>
      </c>
    </row>
    <row r="2766" spans="1:7" x14ac:dyDescent="0.2">
      <c r="A2766" s="12">
        <v>40913</v>
      </c>
      <c r="B2766" s="9">
        <v>400.67</v>
      </c>
      <c r="C2766" s="9">
        <v>393.37</v>
      </c>
      <c r="D2766" s="9">
        <v>399.66</v>
      </c>
      <c r="E2766" s="9">
        <f t="shared" si="130"/>
        <v>1.4440957114119695E-2</v>
      </c>
      <c r="F2766" s="9">
        <f t="shared" si="128"/>
        <v>9.4972449722498797E-2</v>
      </c>
      <c r="G2766" s="9">
        <f t="shared" si="129"/>
        <v>1.2188341643768016E-2</v>
      </c>
    </row>
    <row r="2767" spans="1:7" x14ac:dyDescent="0.2">
      <c r="A2767" s="12">
        <v>40914</v>
      </c>
      <c r="B2767" s="9">
        <v>402.14</v>
      </c>
      <c r="C2767" s="9">
        <v>398.18</v>
      </c>
      <c r="D2767" s="9">
        <v>398.42</v>
      </c>
      <c r="E2767" s="9">
        <f t="shared" si="130"/>
        <v>-3.1074603995051701E-3</v>
      </c>
      <c r="F2767" s="9">
        <f t="shared" si="128"/>
        <v>0.10081953054290155</v>
      </c>
      <c r="G2767" s="9">
        <f t="shared" si="129"/>
        <v>1.2033611843479806E-2</v>
      </c>
    </row>
    <row r="2768" spans="1:7" x14ac:dyDescent="0.2">
      <c r="A2768" s="12">
        <v>40917</v>
      </c>
      <c r="B2768" s="9">
        <v>404.59</v>
      </c>
      <c r="C2768" s="9">
        <v>398.73</v>
      </c>
      <c r="D2768" s="9">
        <v>403.55</v>
      </c>
      <c r="E2768" s="9">
        <f t="shared" si="130"/>
        <v>1.2793670516743358E-2</v>
      </c>
      <c r="F2768" s="9">
        <f t="shared" si="128"/>
        <v>0.10476872230029438</v>
      </c>
      <c r="G2768" s="9">
        <f t="shared" si="129"/>
        <v>1.211698185027198E-2</v>
      </c>
    </row>
    <row r="2769" spans="1:7" x14ac:dyDescent="0.2">
      <c r="A2769" s="12">
        <v>40918</v>
      </c>
      <c r="B2769" s="9">
        <v>406.66</v>
      </c>
      <c r="C2769" s="9">
        <v>403.48</v>
      </c>
      <c r="D2769" s="9">
        <v>406.01</v>
      </c>
      <c r="E2769" s="9">
        <f t="shared" si="130"/>
        <v>6.0773940698963949E-3</v>
      </c>
      <c r="F2769" s="9">
        <f t="shared" si="128"/>
        <v>9.0121820330050686E-2</v>
      </c>
      <c r="G2769" s="9">
        <f t="shared" si="129"/>
        <v>1.1686133723030626E-2</v>
      </c>
    </row>
    <row r="2770" spans="1:7" x14ac:dyDescent="0.2">
      <c r="A2770" s="12">
        <v>40919</v>
      </c>
      <c r="B2770" s="9">
        <v>407.7</v>
      </c>
      <c r="C2770" s="9">
        <v>401.66</v>
      </c>
      <c r="D2770" s="9">
        <v>402.1</v>
      </c>
      <c r="E2770" s="9">
        <f t="shared" si="130"/>
        <v>-9.6769759370493365E-3</v>
      </c>
      <c r="F2770" s="9">
        <f t="shared" si="128"/>
        <v>7.5041968539224346E-2</v>
      </c>
      <c r="G2770" s="9">
        <f t="shared" si="129"/>
        <v>1.1901724348299562E-2</v>
      </c>
    </row>
    <row r="2771" spans="1:7" x14ac:dyDescent="0.2">
      <c r="A2771" s="12">
        <v>40920</v>
      </c>
      <c r="B2771" s="9">
        <v>404.54</v>
      </c>
      <c r="C2771" s="9">
        <v>401.2</v>
      </c>
      <c r="D2771" s="9">
        <v>402.3</v>
      </c>
      <c r="E2771" s="9">
        <f t="shared" si="130"/>
        <v>4.9726505251418657E-4</v>
      </c>
      <c r="F2771" s="9">
        <f t="shared" si="128"/>
        <v>4.3461359908731852E-2</v>
      </c>
      <c r="G2771" s="9">
        <f t="shared" si="129"/>
        <v>1.0510888331233268E-2</v>
      </c>
    </row>
    <row r="2772" spans="1:7" x14ac:dyDescent="0.2">
      <c r="A2772" s="12">
        <v>40921</v>
      </c>
      <c r="B2772" s="9">
        <v>406.76</v>
      </c>
      <c r="C2772" s="9">
        <v>398.9</v>
      </c>
      <c r="D2772" s="9">
        <v>401.19</v>
      </c>
      <c r="E2772" s="9">
        <f t="shared" si="130"/>
        <v>-2.7629484029276993E-3</v>
      </c>
      <c r="F2772" s="9">
        <f t="shared" si="128"/>
        <v>5.9249971976048865E-2</v>
      </c>
      <c r="G2772" s="9">
        <f t="shared" si="129"/>
        <v>9.8493869475466608E-3</v>
      </c>
    </row>
    <row r="2773" spans="1:7" x14ac:dyDescent="0.2">
      <c r="A2773" s="12">
        <v>40924</v>
      </c>
      <c r="B2773" s="9">
        <v>405.5</v>
      </c>
      <c r="C2773" s="9">
        <v>400.31</v>
      </c>
      <c r="D2773" s="9">
        <v>405.5</v>
      </c>
      <c r="E2773" s="9">
        <f t="shared" si="130"/>
        <v>1.06857430026527E-2</v>
      </c>
      <c r="F2773" s="9">
        <f t="shared" si="128"/>
        <v>5.7503726227761925E-2</v>
      </c>
      <c r="G2773" s="9">
        <f t="shared" si="129"/>
        <v>9.7904405432280104E-3</v>
      </c>
    </row>
    <row r="2774" spans="1:7" x14ac:dyDescent="0.2">
      <c r="A2774" s="12">
        <v>40925</v>
      </c>
      <c r="B2774" s="9">
        <v>409.88</v>
      </c>
      <c r="C2774" s="9">
        <v>404.67</v>
      </c>
      <c r="D2774" s="9">
        <v>406.09</v>
      </c>
      <c r="E2774" s="9">
        <f t="shared" si="130"/>
        <v>1.4539363568672121E-3</v>
      </c>
      <c r="F2774" s="9">
        <f t="shared" si="128"/>
        <v>5.4033020350814906E-2</v>
      </c>
      <c r="G2774" s="9">
        <f t="shared" si="129"/>
        <v>9.7741647367704469E-3</v>
      </c>
    </row>
    <row r="2775" spans="1:7" x14ac:dyDescent="0.2">
      <c r="A2775" s="12">
        <v>40926</v>
      </c>
      <c r="B2775" s="9">
        <v>407.58</v>
      </c>
      <c r="C2775" s="9">
        <v>403.43</v>
      </c>
      <c r="D2775" s="9">
        <v>406.97</v>
      </c>
      <c r="E2775" s="9">
        <f t="shared" si="130"/>
        <v>2.164662739829131E-3</v>
      </c>
      <c r="F2775" s="9">
        <f t="shared" si="128"/>
        <v>5.5444191661685079E-2</v>
      </c>
      <c r="G2775" s="9">
        <f t="shared" si="129"/>
        <v>9.7723446959341806E-3</v>
      </c>
    </row>
    <row r="2776" spans="1:7" x14ac:dyDescent="0.2">
      <c r="A2776" s="12">
        <v>40927</v>
      </c>
      <c r="B2776" s="9">
        <v>409</v>
      </c>
      <c r="C2776" s="9">
        <v>405.27</v>
      </c>
      <c r="D2776" s="9">
        <v>409</v>
      </c>
      <c r="E2776" s="9">
        <f t="shared" si="130"/>
        <v>4.9756833906376479E-3</v>
      </c>
      <c r="F2776" s="9">
        <f t="shared" si="128"/>
        <v>5.9070207073356348E-2</v>
      </c>
      <c r="G2776" s="9">
        <f t="shared" si="129"/>
        <v>9.7883775096827049E-3</v>
      </c>
    </row>
    <row r="2777" spans="1:7" x14ac:dyDescent="0.2">
      <c r="A2777" s="12">
        <v>40928</v>
      </c>
      <c r="B2777" s="9">
        <v>410.67</v>
      </c>
      <c r="C2777" s="9">
        <v>405.24</v>
      </c>
      <c r="D2777" s="9">
        <v>405.46</v>
      </c>
      <c r="E2777" s="9">
        <f t="shared" si="130"/>
        <v>-8.692931002754074E-3</v>
      </c>
      <c r="F2777" s="9">
        <f t="shared" si="128"/>
        <v>6.0518266795568466E-2</v>
      </c>
      <c r="G2777" s="9">
        <f t="shared" si="129"/>
        <v>9.7299974755455949E-3</v>
      </c>
    </row>
    <row r="2778" spans="1:7" x14ac:dyDescent="0.2">
      <c r="A2778" s="12">
        <v>40931</v>
      </c>
      <c r="B2778" s="9">
        <v>406.19</v>
      </c>
      <c r="C2778" s="9">
        <v>402.65</v>
      </c>
      <c r="D2778" s="9">
        <v>406.19</v>
      </c>
      <c r="E2778" s="9">
        <f t="shared" si="130"/>
        <v>1.7988053886242592E-3</v>
      </c>
      <c r="F2778" s="9">
        <f t="shared" si="128"/>
        <v>6.6149902666589669E-2</v>
      </c>
      <c r="G2778" s="9">
        <f t="shared" si="129"/>
        <v>9.667363307827373E-3</v>
      </c>
    </row>
    <row r="2779" spans="1:7" x14ac:dyDescent="0.2">
      <c r="A2779" s="12">
        <v>40932</v>
      </c>
      <c r="B2779" s="9">
        <v>404.85</v>
      </c>
      <c r="C2779" s="9">
        <v>398.96</v>
      </c>
      <c r="D2779" s="9">
        <v>403.14</v>
      </c>
      <c r="E2779" s="9">
        <f t="shared" si="130"/>
        <v>-7.5371342685584706E-3</v>
      </c>
      <c r="F2779" s="9">
        <f t="shared" si="128"/>
        <v>6.77286018060404E-2</v>
      </c>
      <c r="G2779" s="9">
        <f t="shared" si="129"/>
        <v>9.6077273701831948E-3</v>
      </c>
    </row>
    <row r="2780" spans="1:7" x14ac:dyDescent="0.2">
      <c r="A2780" s="12">
        <v>40933</v>
      </c>
      <c r="B2780" s="9">
        <v>406.17</v>
      </c>
      <c r="C2780" s="9">
        <v>401.27</v>
      </c>
      <c r="D2780" s="9">
        <v>404.47</v>
      </c>
      <c r="E2780" s="9">
        <f t="shared" si="130"/>
        <v>3.2936719514377205E-3</v>
      </c>
      <c r="F2780" s="9">
        <f t="shared" si="128"/>
        <v>6.1222805489019524E-2</v>
      </c>
      <c r="G2780" s="9">
        <f t="shared" si="129"/>
        <v>9.5044951512203678E-3</v>
      </c>
    </row>
    <row r="2781" spans="1:7" x14ac:dyDescent="0.2">
      <c r="A2781" s="12">
        <v>40934</v>
      </c>
      <c r="B2781" s="9">
        <v>409.84</v>
      </c>
      <c r="C2781" s="9">
        <v>405.09</v>
      </c>
      <c r="D2781" s="9">
        <v>408.91</v>
      </c>
      <c r="E2781" s="9">
        <f t="shared" si="130"/>
        <v>1.0917514817183569E-2</v>
      </c>
      <c r="F2781" s="9">
        <f t="shared" si="128"/>
        <v>9.6323140402608032E-2</v>
      </c>
      <c r="G2781" s="9">
        <f t="shared" si="129"/>
        <v>8.2415688177915909E-3</v>
      </c>
    </row>
    <row r="2782" spans="1:7" x14ac:dyDescent="0.2">
      <c r="A2782" s="12">
        <v>40935</v>
      </c>
      <c r="B2782" s="9">
        <v>412.28</v>
      </c>
      <c r="C2782" s="9">
        <v>404.94</v>
      </c>
      <c r="D2782" s="9">
        <v>404.96</v>
      </c>
      <c r="E2782" s="9">
        <f t="shared" si="130"/>
        <v>-9.7067861319209501E-3</v>
      </c>
      <c r="F2782" s="9">
        <f t="shared" si="128"/>
        <v>7.9318618513110312E-2</v>
      </c>
      <c r="G2782" s="9">
        <f t="shared" si="129"/>
        <v>8.5304763885849563E-3</v>
      </c>
    </row>
    <row r="2783" spans="1:7" x14ac:dyDescent="0.2">
      <c r="A2783" s="12">
        <v>40938</v>
      </c>
      <c r="B2783" s="9">
        <v>403.58</v>
      </c>
      <c r="C2783" s="9">
        <v>399.95</v>
      </c>
      <c r="D2783" s="9">
        <v>401.65</v>
      </c>
      <c r="E2783" s="9">
        <f t="shared" si="130"/>
        <v>-8.2072341769924406E-3</v>
      </c>
      <c r="F2783" s="9">
        <f t="shared" si="128"/>
        <v>7.4726765679391641E-2</v>
      </c>
      <c r="G2783" s="9">
        <f t="shared" si="129"/>
        <v>8.6864300898033282E-3</v>
      </c>
    </row>
    <row r="2784" spans="1:7" x14ac:dyDescent="0.2">
      <c r="A2784" s="12">
        <v>40939</v>
      </c>
      <c r="B2784" s="9">
        <v>409.16</v>
      </c>
      <c r="C2784" s="9">
        <v>403.97</v>
      </c>
      <c r="D2784" s="9">
        <v>408.53</v>
      </c>
      <c r="E2784" s="9">
        <f t="shared" si="130"/>
        <v>1.6984288396179062E-2</v>
      </c>
      <c r="F2784" s="9">
        <f t="shared" si="128"/>
        <v>8.6226163868480893E-2</v>
      </c>
      <c r="G2784" s="9">
        <f t="shared" si="129"/>
        <v>9.0684268509271648E-3</v>
      </c>
    </row>
    <row r="2785" spans="1:7" x14ac:dyDescent="0.2">
      <c r="A2785" s="12">
        <v>40940</v>
      </c>
      <c r="B2785" s="9">
        <v>417.11</v>
      </c>
      <c r="C2785" s="9">
        <v>410.54</v>
      </c>
      <c r="D2785" s="9">
        <v>416.66</v>
      </c>
      <c r="E2785" s="9">
        <f t="shared" si="130"/>
        <v>1.9705190484235278E-2</v>
      </c>
      <c r="F2785" s="9">
        <f t="shared" ref="F2785:F2848" si="131">LN(D2785/D2755)</f>
        <v>9.2046658585849983E-2</v>
      </c>
      <c r="G2785" s="9">
        <f t="shared" si="129"/>
        <v>9.3693861151556146E-3</v>
      </c>
    </row>
    <row r="2786" spans="1:7" x14ac:dyDescent="0.2">
      <c r="A2786" s="12">
        <v>40941</v>
      </c>
      <c r="B2786" s="9">
        <v>427.43</v>
      </c>
      <c r="C2786" s="9">
        <v>422.67</v>
      </c>
      <c r="D2786" s="9">
        <v>424</v>
      </c>
      <c r="E2786" s="9">
        <f t="shared" si="130"/>
        <v>1.7462913731721919E-2</v>
      </c>
      <c r="F2786" s="9">
        <f t="shared" si="131"/>
        <v>0.10953588706830696</v>
      </c>
      <c r="G2786" s="9">
        <f t="shared" si="129"/>
        <v>9.708175922704761E-3</v>
      </c>
    </row>
    <row r="2787" spans="1:7" x14ac:dyDescent="0.2">
      <c r="A2787" s="12">
        <v>40942</v>
      </c>
      <c r="B2787" s="9">
        <v>434.08</v>
      </c>
      <c r="C2787" s="9">
        <v>423.91</v>
      </c>
      <c r="D2787" s="9">
        <v>432.89</v>
      </c>
      <c r="E2787" s="9">
        <f t="shared" si="130"/>
        <v>2.0750198926067383E-2</v>
      </c>
      <c r="F2787" s="9">
        <f t="shared" si="131"/>
        <v>0.13659525518763899</v>
      </c>
      <c r="G2787" s="9">
        <f t="shared" si="129"/>
        <v>1.0003398984535377E-2</v>
      </c>
    </row>
    <row r="2788" spans="1:7" x14ac:dyDescent="0.2">
      <c r="A2788" s="12">
        <v>40945</v>
      </c>
      <c r="B2788" s="9">
        <v>434.01</v>
      </c>
      <c r="C2788" s="9">
        <v>427.99</v>
      </c>
      <c r="D2788" s="9">
        <v>431.84</v>
      </c>
      <c r="E2788" s="9">
        <f t="shared" si="130"/>
        <v>-2.4285048883307216E-3</v>
      </c>
      <c r="F2788" s="9">
        <f t="shared" si="131"/>
        <v>0.12106509226354201</v>
      </c>
      <c r="G2788" s="9">
        <f t="shared" si="129"/>
        <v>9.9474472748239309E-3</v>
      </c>
    </row>
    <row r="2789" spans="1:7" x14ac:dyDescent="0.2">
      <c r="A2789" s="12">
        <v>40946</v>
      </c>
      <c r="B2789" s="9">
        <v>436.48</v>
      </c>
      <c r="C2789" s="9">
        <v>432.51</v>
      </c>
      <c r="D2789" s="9">
        <v>436.34</v>
      </c>
      <c r="E2789" s="9">
        <f t="shared" si="130"/>
        <v>1.0366606694183699E-2</v>
      </c>
      <c r="F2789" s="9">
        <f t="shared" si="131"/>
        <v>0.12944726047684837</v>
      </c>
      <c r="G2789" s="9">
        <f t="shared" si="129"/>
        <v>1.0005401116462791E-2</v>
      </c>
    </row>
    <row r="2790" spans="1:7" x14ac:dyDescent="0.2">
      <c r="A2790" s="12">
        <v>40947</v>
      </c>
      <c r="B2790" s="9">
        <v>439.24</v>
      </c>
      <c r="C2790" s="9">
        <v>435.05</v>
      </c>
      <c r="D2790" s="9">
        <v>437.35</v>
      </c>
      <c r="E2790" s="9">
        <f t="shared" si="130"/>
        <v>2.3120339019858439E-3</v>
      </c>
      <c r="F2790" s="9">
        <f t="shared" si="131"/>
        <v>0.12772424913943087</v>
      </c>
      <c r="G2790" s="9">
        <f t="shared" si="129"/>
        <v>1.0012006100336963E-2</v>
      </c>
    </row>
    <row r="2791" spans="1:7" x14ac:dyDescent="0.2">
      <c r="A2791" s="12">
        <v>40948</v>
      </c>
      <c r="B2791" s="9">
        <v>438.31</v>
      </c>
      <c r="C2791" s="9">
        <v>432.58</v>
      </c>
      <c r="D2791" s="9">
        <v>437.97</v>
      </c>
      <c r="E2791" s="9">
        <f t="shared" si="130"/>
        <v>1.4166250141343989E-3</v>
      </c>
      <c r="F2791" s="9">
        <f t="shared" si="131"/>
        <v>0.1265462332230928</v>
      </c>
      <c r="G2791" s="9">
        <f t="shared" ref="G2791:G2854" si="132">STDEV(E2762:E2791)</f>
        <v>1.0021058641320725E-2</v>
      </c>
    </row>
    <row r="2792" spans="1:7" x14ac:dyDescent="0.2">
      <c r="A2792" s="12">
        <v>40949</v>
      </c>
      <c r="B2792" s="9">
        <v>439.5</v>
      </c>
      <c r="C2792" s="9">
        <v>434.49</v>
      </c>
      <c r="D2792" s="9">
        <v>437.68</v>
      </c>
      <c r="E2792" s="9">
        <f t="shared" si="130"/>
        <v>-6.6236512442783126E-4</v>
      </c>
      <c r="F2792" s="9">
        <f t="shared" si="131"/>
        <v>0.11546952397906353</v>
      </c>
      <c r="G2792" s="9">
        <f t="shared" si="132"/>
        <v>9.988898969000683E-3</v>
      </c>
    </row>
    <row r="2793" spans="1:7" x14ac:dyDescent="0.2">
      <c r="A2793" s="12">
        <v>40952</v>
      </c>
      <c r="B2793" s="9">
        <v>444.97</v>
      </c>
      <c r="C2793" s="9">
        <v>439.26</v>
      </c>
      <c r="D2793" s="9">
        <v>444.97</v>
      </c>
      <c r="E2793" s="9">
        <f t="shared" si="130"/>
        <v>1.6518814407790308E-2</v>
      </c>
      <c r="F2793" s="9">
        <f t="shared" si="131"/>
        <v>0.1113036341570891</v>
      </c>
      <c r="G2793" s="9">
        <f t="shared" si="132"/>
        <v>9.7734150595358716E-3</v>
      </c>
    </row>
    <row r="2794" spans="1:7" x14ac:dyDescent="0.2">
      <c r="A2794" s="12">
        <v>40953</v>
      </c>
      <c r="B2794" s="9">
        <v>444.75</v>
      </c>
      <c r="C2794" s="9">
        <v>441.74</v>
      </c>
      <c r="D2794" s="9">
        <v>442.18</v>
      </c>
      <c r="E2794" s="9">
        <f t="shared" si="130"/>
        <v>-6.2898251662872277E-3</v>
      </c>
      <c r="F2794" s="9">
        <f t="shared" si="131"/>
        <v>9.9602703047594388E-2</v>
      </c>
      <c r="G2794" s="9">
        <f t="shared" si="132"/>
        <v>9.9353278868424717E-3</v>
      </c>
    </row>
    <row r="2795" spans="1:7" x14ac:dyDescent="0.2">
      <c r="A2795" s="12">
        <v>40954</v>
      </c>
      <c r="B2795" s="9">
        <v>453.7</v>
      </c>
      <c r="C2795" s="9">
        <v>444.99</v>
      </c>
      <c r="D2795" s="9">
        <v>453.12</v>
      </c>
      <c r="E2795" s="9">
        <f t="shared" si="130"/>
        <v>2.4439952068226776E-2</v>
      </c>
      <c r="F2795" s="9">
        <f t="shared" si="131"/>
        <v>0.13998376252627695</v>
      </c>
      <c r="G2795" s="9">
        <f t="shared" si="132"/>
        <v>9.9711860292908596E-3</v>
      </c>
    </row>
    <row r="2796" spans="1:7" x14ac:dyDescent="0.2">
      <c r="A2796" s="12">
        <v>40955</v>
      </c>
      <c r="B2796" s="9">
        <v>451.21</v>
      </c>
      <c r="C2796" s="9">
        <v>445.83</v>
      </c>
      <c r="D2796" s="9">
        <v>448.72</v>
      </c>
      <c r="E2796" s="9">
        <f t="shared" si="130"/>
        <v>-9.7579058652187012E-3</v>
      </c>
      <c r="F2796" s="9">
        <f t="shared" si="131"/>
        <v>0.11578489954693851</v>
      </c>
      <c r="G2796" s="9">
        <f t="shared" si="132"/>
        <v>1.013069391853055E-2</v>
      </c>
    </row>
    <row r="2797" spans="1:7" x14ac:dyDescent="0.2">
      <c r="A2797" s="12">
        <v>40956</v>
      </c>
      <c r="B2797" s="9">
        <v>452.54</v>
      </c>
      <c r="C2797" s="9">
        <v>449.55</v>
      </c>
      <c r="D2797" s="9">
        <v>450.81</v>
      </c>
      <c r="E2797" s="9">
        <f t="shared" si="130"/>
        <v>4.6468795056633424E-3</v>
      </c>
      <c r="F2797" s="9">
        <f t="shared" si="131"/>
        <v>0.12353923945210694</v>
      </c>
      <c r="G2797" s="9">
        <f t="shared" si="132"/>
        <v>1.0045371165658727E-2</v>
      </c>
    </row>
    <row r="2798" spans="1:7" x14ac:dyDescent="0.2">
      <c r="A2798" s="12">
        <v>40959</v>
      </c>
      <c r="B2798" s="9">
        <v>457.16</v>
      </c>
      <c r="C2798" s="9">
        <v>452.44</v>
      </c>
      <c r="D2798" s="9">
        <v>457.14</v>
      </c>
      <c r="E2798" s="9">
        <f t="shared" si="130"/>
        <v>1.3943725007228352E-2</v>
      </c>
      <c r="F2798" s="9">
        <f t="shared" si="131"/>
        <v>0.12468929394259184</v>
      </c>
      <c r="G2798" s="9">
        <f t="shared" si="132"/>
        <v>1.0081749570425668E-2</v>
      </c>
    </row>
    <row r="2799" spans="1:7" x14ac:dyDescent="0.2">
      <c r="A2799" s="12">
        <v>40960</v>
      </c>
      <c r="B2799" s="9">
        <v>457.85</v>
      </c>
      <c r="C2799" s="9">
        <v>453.47</v>
      </c>
      <c r="D2799" s="9">
        <v>453.9</v>
      </c>
      <c r="E2799" s="9">
        <f t="shared" si="130"/>
        <v>-7.1127802505533549E-3</v>
      </c>
      <c r="F2799" s="9">
        <f t="shared" si="131"/>
        <v>0.11149911962214221</v>
      </c>
      <c r="G2799" s="9">
        <f t="shared" si="132"/>
        <v>1.0280733615892622E-2</v>
      </c>
    </row>
    <row r="2800" spans="1:7" x14ac:dyDescent="0.2">
      <c r="A2800" s="12">
        <v>40961</v>
      </c>
      <c r="B2800" s="9">
        <v>454.45</v>
      </c>
      <c r="C2800" s="9">
        <v>449.99</v>
      </c>
      <c r="D2800" s="9">
        <v>451.26</v>
      </c>
      <c r="E2800" s="9">
        <f t="shared" si="130"/>
        <v>-5.8332393960532263E-3</v>
      </c>
      <c r="F2800" s="9">
        <f t="shared" si="131"/>
        <v>0.1153428561631383</v>
      </c>
      <c r="G2800" s="9">
        <f t="shared" si="132"/>
        <v>1.0130918566336048E-2</v>
      </c>
    </row>
    <row r="2801" spans="1:7" x14ac:dyDescent="0.2">
      <c r="A2801" s="12">
        <v>40962</v>
      </c>
      <c r="B2801" s="9">
        <v>458.62</v>
      </c>
      <c r="C2801" s="9">
        <v>450.89</v>
      </c>
      <c r="D2801" s="9">
        <v>452.97</v>
      </c>
      <c r="E2801" s="9">
        <f t="shared" si="130"/>
        <v>3.7822280581214581E-3</v>
      </c>
      <c r="F2801" s="9">
        <f t="shared" si="131"/>
        <v>0.11862781916874547</v>
      </c>
      <c r="G2801" s="9">
        <f t="shared" si="132"/>
        <v>1.0111223356279671E-2</v>
      </c>
    </row>
    <row r="2802" spans="1:7" x14ac:dyDescent="0.2">
      <c r="A2802" s="12">
        <v>40963</v>
      </c>
      <c r="B2802" s="9">
        <v>458.19</v>
      </c>
      <c r="C2802" s="9">
        <v>453.88</v>
      </c>
      <c r="D2802" s="9">
        <v>455.32</v>
      </c>
      <c r="E2802" s="9">
        <f t="shared" si="130"/>
        <v>5.1745703325277118E-3</v>
      </c>
      <c r="F2802" s="9">
        <f t="shared" si="131"/>
        <v>0.12656533790420099</v>
      </c>
      <c r="G2802" s="9">
        <f t="shared" si="132"/>
        <v>1.0032939565406702E-2</v>
      </c>
    </row>
    <row r="2803" spans="1:7" x14ac:dyDescent="0.2">
      <c r="A2803" s="12">
        <v>40966</v>
      </c>
      <c r="B2803" s="9">
        <v>454.11</v>
      </c>
      <c r="C2803" s="9">
        <v>448.11</v>
      </c>
      <c r="D2803" s="9">
        <v>449.34</v>
      </c>
      <c r="E2803" s="9">
        <f t="shared" si="130"/>
        <v>-1.322062896768518E-2</v>
      </c>
      <c r="F2803" s="9">
        <f t="shared" si="131"/>
        <v>0.10265896593386301</v>
      </c>
      <c r="G2803" s="9">
        <f t="shared" si="132"/>
        <v>1.044261889008889E-2</v>
      </c>
    </row>
    <row r="2804" spans="1:7" x14ac:dyDescent="0.2">
      <c r="A2804" s="12">
        <v>40967</v>
      </c>
      <c r="B2804" s="9">
        <v>455.08</v>
      </c>
      <c r="C2804" s="9">
        <v>448.8</v>
      </c>
      <c r="D2804" s="9">
        <v>454.54</v>
      </c>
      <c r="E2804" s="9">
        <f t="shared" si="130"/>
        <v>1.150607905653561E-2</v>
      </c>
      <c r="F2804" s="9">
        <f t="shared" si="131"/>
        <v>0.11271110863353166</v>
      </c>
      <c r="G2804" s="9">
        <f t="shared" si="132"/>
        <v>1.0538127747284772E-2</v>
      </c>
    </row>
    <row r="2805" spans="1:7" x14ac:dyDescent="0.2">
      <c r="A2805" s="12">
        <v>40968</v>
      </c>
      <c r="B2805" s="9">
        <v>455.43</v>
      </c>
      <c r="C2805" s="9">
        <v>451.71</v>
      </c>
      <c r="D2805" s="9">
        <v>453.77</v>
      </c>
      <c r="E2805" s="9">
        <f t="shared" si="130"/>
        <v>-1.695456803188039E-3</v>
      </c>
      <c r="F2805" s="9">
        <f t="shared" si="131"/>
        <v>0.10885098909051426</v>
      </c>
      <c r="G2805" s="9">
        <f t="shared" si="132"/>
        <v>1.0581716998682846E-2</v>
      </c>
    </row>
    <row r="2806" spans="1:7" x14ac:dyDescent="0.2">
      <c r="A2806" s="12">
        <v>40969</v>
      </c>
      <c r="B2806" s="9">
        <v>457.86</v>
      </c>
      <c r="C2806" s="9">
        <v>450.78</v>
      </c>
      <c r="D2806" s="9">
        <v>457.05</v>
      </c>
      <c r="E2806" s="9">
        <f t="shared" si="130"/>
        <v>7.2023323571494017E-3</v>
      </c>
      <c r="F2806" s="9">
        <f t="shared" si="131"/>
        <v>0.11107763805702597</v>
      </c>
      <c r="G2806" s="9">
        <f t="shared" si="132"/>
        <v>1.0599287564000701E-2</v>
      </c>
    </row>
    <row r="2807" spans="1:7" x14ac:dyDescent="0.2">
      <c r="A2807" s="12">
        <v>40970</v>
      </c>
      <c r="B2807" s="9">
        <v>459.6</v>
      </c>
      <c r="C2807" s="9">
        <v>456.96</v>
      </c>
      <c r="D2807" s="9">
        <v>457.04</v>
      </c>
      <c r="E2807" s="9">
        <f t="shared" si="130"/>
        <v>-2.1879683620661481E-5</v>
      </c>
      <c r="F2807" s="9">
        <f t="shared" si="131"/>
        <v>0.11974868937615937</v>
      </c>
      <c r="G2807" s="9">
        <f t="shared" si="132"/>
        <v>1.0365257853421538E-2</v>
      </c>
    </row>
    <row r="2808" spans="1:7" x14ac:dyDescent="0.2">
      <c r="A2808" s="12">
        <v>40973</v>
      </c>
      <c r="B2808" s="9">
        <v>457.04</v>
      </c>
      <c r="C2808" s="9">
        <v>453.64</v>
      </c>
      <c r="D2808" s="9">
        <v>455.05</v>
      </c>
      <c r="E2808" s="9">
        <f t="shared" si="130"/>
        <v>-4.3636113928424165E-3</v>
      </c>
      <c r="F2808" s="9">
        <f t="shared" si="131"/>
        <v>0.11358627259469264</v>
      </c>
      <c r="G2808" s="9">
        <f t="shared" si="132"/>
        <v>1.0470737857404875E-2</v>
      </c>
    </row>
    <row r="2809" spans="1:7" x14ac:dyDescent="0.2">
      <c r="A2809" s="12">
        <v>40974</v>
      </c>
      <c r="B2809" s="9">
        <v>454.66</v>
      </c>
      <c r="C2809" s="9">
        <v>442.86</v>
      </c>
      <c r="D2809" s="9">
        <v>443.68</v>
      </c>
      <c r="E2809" s="9">
        <f t="shared" si="130"/>
        <v>-2.5303721155896842E-2</v>
      </c>
      <c r="F2809" s="9">
        <f t="shared" si="131"/>
        <v>9.5819685707354288E-2</v>
      </c>
      <c r="G2809" s="9">
        <f t="shared" si="132"/>
        <v>1.1577234503208288E-2</v>
      </c>
    </row>
    <row r="2810" spans="1:7" x14ac:dyDescent="0.2">
      <c r="A2810" s="12">
        <v>40975</v>
      </c>
      <c r="B2810" s="9">
        <v>449.72</v>
      </c>
      <c r="C2810" s="9">
        <v>441.09</v>
      </c>
      <c r="D2810" s="9">
        <v>446.43</v>
      </c>
      <c r="E2810" s="9">
        <f t="shared" si="130"/>
        <v>6.1790312426006962E-3</v>
      </c>
      <c r="F2810" s="9">
        <f t="shared" si="131"/>
        <v>9.8705044998517261E-2</v>
      </c>
      <c r="G2810" s="9">
        <f t="shared" si="132"/>
        <v>1.1590069219784657E-2</v>
      </c>
    </row>
    <row r="2811" spans="1:7" x14ac:dyDescent="0.2">
      <c r="A2811" s="12">
        <v>40976</v>
      </c>
      <c r="B2811" s="9">
        <v>451.34</v>
      </c>
      <c r="C2811" s="9">
        <v>446.45</v>
      </c>
      <c r="D2811" s="9">
        <v>447.68</v>
      </c>
      <c r="E2811" s="9">
        <f t="shared" si="130"/>
        <v>2.796078367047808E-3</v>
      </c>
      <c r="F2811" s="9">
        <f t="shared" si="131"/>
        <v>9.0583608548381558E-2</v>
      </c>
      <c r="G2811" s="9">
        <f t="shared" si="132"/>
        <v>1.1500270683267555E-2</v>
      </c>
    </row>
    <row r="2812" spans="1:7" x14ac:dyDescent="0.2">
      <c r="A2812" s="12">
        <v>40977</v>
      </c>
      <c r="B2812" s="9">
        <v>456.52</v>
      </c>
      <c r="C2812" s="9">
        <v>450.15</v>
      </c>
      <c r="D2812" s="9">
        <v>456.16</v>
      </c>
      <c r="E2812" s="9">
        <f t="shared" si="130"/>
        <v>1.8764933687245543E-2</v>
      </c>
      <c r="F2812" s="9">
        <f t="shared" si="131"/>
        <v>0.11905532836754805</v>
      </c>
      <c r="G2812" s="9">
        <f t="shared" si="132"/>
        <v>1.1588300012142944E-2</v>
      </c>
    </row>
    <row r="2813" spans="1:7" x14ac:dyDescent="0.2">
      <c r="A2813" s="12">
        <v>40980</v>
      </c>
      <c r="B2813" s="9">
        <v>458.02</v>
      </c>
      <c r="C2813" s="9">
        <v>454.16</v>
      </c>
      <c r="D2813" s="9">
        <v>456.08</v>
      </c>
      <c r="E2813" s="9">
        <f t="shared" si="130"/>
        <v>-1.7539244103557749E-4</v>
      </c>
      <c r="F2813" s="9">
        <f t="shared" si="131"/>
        <v>0.12708717010350487</v>
      </c>
      <c r="G2813" s="9">
        <f t="shared" si="132"/>
        <v>1.138835617481682E-2</v>
      </c>
    </row>
    <row r="2814" spans="1:7" x14ac:dyDescent="0.2">
      <c r="A2814" s="12">
        <v>40981</v>
      </c>
      <c r="B2814" s="9">
        <v>460.44</v>
      </c>
      <c r="C2814" s="9">
        <v>454.65</v>
      </c>
      <c r="D2814" s="9">
        <v>459.94</v>
      </c>
      <c r="E2814" s="9">
        <f t="shared" si="130"/>
        <v>8.4278134698494971E-3</v>
      </c>
      <c r="F2814" s="9">
        <f t="shared" si="131"/>
        <v>0.11853069517717531</v>
      </c>
      <c r="G2814" s="9">
        <f t="shared" si="132"/>
        <v>1.1162994786736654E-2</v>
      </c>
    </row>
    <row r="2815" spans="1:7" x14ac:dyDescent="0.2">
      <c r="A2815" s="12">
        <v>40982</v>
      </c>
      <c r="B2815" s="9">
        <v>463.36</v>
      </c>
      <c r="C2815" s="9">
        <v>458.19</v>
      </c>
      <c r="D2815" s="9">
        <v>458.29</v>
      </c>
      <c r="E2815" s="9">
        <f t="shared" si="130"/>
        <v>-3.5938746848626227E-3</v>
      </c>
      <c r="F2815" s="9">
        <f t="shared" si="131"/>
        <v>9.523163000807755E-2</v>
      </c>
      <c r="G2815" s="9">
        <f t="shared" si="132"/>
        <v>1.08348065246787E-2</v>
      </c>
    </row>
    <row r="2816" spans="1:7" x14ac:dyDescent="0.2">
      <c r="A2816" s="12">
        <v>40983</v>
      </c>
      <c r="B2816" s="9">
        <v>459</v>
      </c>
      <c r="C2816" s="9">
        <v>455.89</v>
      </c>
      <c r="D2816" s="9">
        <v>457.64</v>
      </c>
      <c r="E2816" s="9">
        <f t="shared" si="130"/>
        <v>-1.4193226755702289E-3</v>
      </c>
      <c r="F2816" s="9">
        <f t="shared" si="131"/>
        <v>7.6349393600785451E-2</v>
      </c>
      <c r="G2816" s="9">
        <f t="shared" si="132"/>
        <v>1.0520019518804498E-2</v>
      </c>
    </row>
    <row r="2817" spans="1:7" x14ac:dyDescent="0.2">
      <c r="A2817" s="12">
        <v>40984</v>
      </c>
      <c r="B2817" s="9">
        <v>460.63</v>
      </c>
      <c r="C2817" s="9">
        <v>456.47</v>
      </c>
      <c r="D2817" s="9">
        <v>458.93</v>
      </c>
      <c r="E2817" s="9">
        <f t="shared" si="130"/>
        <v>2.8148441510408356E-3</v>
      </c>
      <c r="F2817" s="9">
        <f t="shared" si="131"/>
        <v>5.8414038825758845E-2</v>
      </c>
      <c r="G2817" s="9">
        <f t="shared" si="132"/>
        <v>9.9435887635114344E-3</v>
      </c>
    </row>
    <row r="2818" spans="1:7" x14ac:dyDescent="0.2">
      <c r="A2818" s="12">
        <v>40987</v>
      </c>
      <c r="B2818" s="9">
        <v>460.4</v>
      </c>
      <c r="C2818" s="9">
        <v>457.26</v>
      </c>
      <c r="D2818" s="9">
        <v>458.08</v>
      </c>
      <c r="E2818" s="9">
        <f t="shared" si="130"/>
        <v>-1.8538516339790582E-3</v>
      </c>
      <c r="F2818" s="9">
        <f t="shared" si="131"/>
        <v>5.8988692080110323E-2</v>
      </c>
      <c r="G2818" s="9">
        <f t="shared" si="132"/>
        <v>9.9354191124812856E-3</v>
      </c>
    </row>
    <row r="2819" spans="1:7" x14ac:dyDescent="0.2">
      <c r="A2819" s="12">
        <v>40988</v>
      </c>
      <c r="B2819" s="9">
        <v>457.82</v>
      </c>
      <c r="C2819" s="9">
        <v>454.42</v>
      </c>
      <c r="D2819" s="9">
        <v>456.98</v>
      </c>
      <c r="E2819" s="9">
        <f t="shared" si="130"/>
        <v>-2.404215089406568E-3</v>
      </c>
      <c r="F2819" s="9">
        <f t="shared" si="131"/>
        <v>4.6217870296520074E-2</v>
      </c>
      <c r="G2819" s="9">
        <f t="shared" si="132"/>
        <v>9.8361815547156686E-3</v>
      </c>
    </row>
    <row r="2820" spans="1:7" x14ac:dyDescent="0.2">
      <c r="A2820" s="12">
        <v>40989</v>
      </c>
      <c r="B2820" s="9">
        <v>458.2</v>
      </c>
      <c r="C2820" s="9">
        <v>455.45</v>
      </c>
      <c r="D2820" s="9">
        <v>456.62</v>
      </c>
      <c r="E2820" s="9">
        <f t="shared" ref="E2820:E2883" si="133">LN(D2820/D2819)</f>
        <v>-7.8809110909072266E-4</v>
      </c>
      <c r="F2820" s="9">
        <f t="shared" si="131"/>
        <v>4.311774528544373E-2</v>
      </c>
      <c r="G2820" s="9">
        <f t="shared" si="132"/>
        <v>9.844079028713263E-3</v>
      </c>
    </row>
    <row r="2821" spans="1:7" x14ac:dyDescent="0.2">
      <c r="A2821" s="12">
        <v>40990</v>
      </c>
      <c r="B2821" s="9">
        <v>453.47</v>
      </c>
      <c r="C2821" s="9">
        <v>449.18</v>
      </c>
      <c r="D2821" s="9">
        <v>449.85</v>
      </c>
      <c r="E2821" s="9">
        <f t="shared" si="133"/>
        <v>-1.493734128817981E-2</v>
      </c>
      <c r="F2821" s="9">
        <f t="shared" si="131"/>
        <v>2.6763778983129521E-2</v>
      </c>
      <c r="G2821" s="9">
        <f t="shared" si="132"/>
        <v>1.0288062841485007E-2</v>
      </c>
    </row>
    <row r="2822" spans="1:7" x14ac:dyDescent="0.2">
      <c r="A2822" s="12">
        <v>40991</v>
      </c>
      <c r="B2822" s="9">
        <v>450.96</v>
      </c>
      <c r="C2822" s="9">
        <v>445.91</v>
      </c>
      <c r="D2822" s="9">
        <v>447.66</v>
      </c>
      <c r="E2822" s="9">
        <f t="shared" si="133"/>
        <v>-4.8801781516497394E-3</v>
      </c>
      <c r="F2822" s="9">
        <f t="shared" si="131"/>
        <v>2.2545965955907504E-2</v>
      </c>
      <c r="G2822" s="9">
        <f t="shared" si="132"/>
        <v>1.0338733544686696E-2</v>
      </c>
    </row>
    <row r="2823" spans="1:7" x14ac:dyDescent="0.2">
      <c r="A2823" s="12">
        <v>40994</v>
      </c>
      <c r="B2823" s="9">
        <v>453.21</v>
      </c>
      <c r="C2823" s="9">
        <v>446.85</v>
      </c>
      <c r="D2823" s="9">
        <v>453.21</v>
      </c>
      <c r="E2823" s="9">
        <f t="shared" si="133"/>
        <v>1.2321578512265167E-2</v>
      </c>
      <c r="F2823" s="9">
        <f t="shared" si="131"/>
        <v>1.8348730060382575E-2</v>
      </c>
      <c r="G2823" s="9">
        <f t="shared" si="132"/>
        <v>1.0144583207330263E-2</v>
      </c>
    </row>
    <row r="2824" spans="1:7" x14ac:dyDescent="0.2">
      <c r="A2824" s="12">
        <v>40995</v>
      </c>
      <c r="B2824" s="9">
        <v>455.76</v>
      </c>
      <c r="C2824" s="9">
        <v>446.3</v>
      </c>
      <c r="D2824" s="9">
        <v>446.3</v>
      </c>
      <c r="E2824" s="9">
        <f t="shared" si="133"/>
        <v>-1.5364222588518908E-2</v>
      </c>
      <c r="F2824" s="9">
        <f t="shared" si="131"/>
        <v>9.2743326381508496E-3</v>
      </c>
      <c r="G2824" s="9">
        <f t="shared" si="132"/>
        <v>1.0486966199183314E-2</v>
      </c>
    </row>
    <row r="2825" spans="1:7" x14ac:dyDescent="0.2">
      <c r="A2825" s="12">
        <v>40996</v>
      </c>
      <c r="B2825" s="9">
        <v>452.24</v>
      </c>
      <c r="C2825" s="9">
        <v>444.99</v>
      </c>
      <c r="D2825" s="9">
        <v>449.64</v>
      </c>
      <c r="E2825" s="9">
        <f t="shared" si="133"/>
        <v>7.4558909583720438E-3</v>
      </c>
      <c r="F2825" s="9">
        <f t="shared" si="131"/>
        <v>-7.7097284717039891E-3</v>
      </c>
      <c r="G2825" s="9">
        <f t="shared" si="132"/>
        <v>9.5565146085991263E-3</v>
      </c>
    </row>
    <row r="2826" spans="1:7" x14ac:dyDescent="0.2">
      <c r="A2826" s="12">
        <v>40997</v>
      </c>
      <c r="B2826" s="9">
        <v>450.46</v>
      </c>
      <c r="C2826" s="9">
        <v>438.7</v>
      </c>
      <c r="D2826" s="9">
        <v>438.87</v>
      </c>
      <c r="E2826" s="9">
        <f t="shared" si="133"/>
        <v>-2.4244020935491856E-2</v>
      </c>
      <c r="F2826" s="9">
        <f t="shared" si="131"/>
        <v>-2.2195843541977067E-2</v>
      </c>
      <c r="G2826" s="9">
        <f t="shared" si="132"/>
        <v>1.0383337909481346E-2</v>
      </c>
    </row>
    <row r="2827" spans="1:7" x14ac:dyDescent="0.2">
      <c r="A2827" s="12">
        <v>40998</v>
      </c>
      <c r="B2827" s="9">
        <v>446.32</v>
      </c>
      <c r="C2827" s="9">
        <v>440.18</v>
      </c>
      <c r="D2827" s="9">
        <v>444.71</v>
      </c>
      <c r="E2827" s="9">
        <f t="shared" si="133"/>
        <v>1.3219142675650691E-2</v>
      </c>
      <c r="F2827" s="9">
        <f t="shared" si="131"/>
        <v>-1.3623580371989632E-2</v>
      </c>
      <c r="G2827" s="9">
        <f t="shared" si="132"/>
        <v>1.0651185525214591E-2</v>
      </c>
    </row>
    <row r="2828" spans="1:7" x14ac:dyDescent="0.2">
      <c r="A2828" s="12">
        <v>41001</v>
      </c>
      <c r="B2828" s="9">
        <v>459.26</v>
      </c>
      <c r="C2828" s="9">
        <v>447.24</v>
      </c>
      <c r="D2828" s="9">
        <v>459.26</v>
      </c>
      <c r="E2828" s="9">
        <f t="shared" si="133"/>
        <v>3.2194114156969052E-2</v>
      </c>
      <c r="F2828" s="9">
        <f t="shared" si="131"/>
        <v>4.6268087777509665E-3</v>
      </c>
      <c r="G2828" s="9">
        <f t="shared" si="132"/>
        <v>1.194454356991544E-2</v>
      </c>
    </row>
    <row r="2829" spans="1:7" x14ac:dyDescent="0.2">
      <c r="A2829" s="12">
        <v>41002</v>
      </c>
      <c r="B2829" s="9">
        <v>471.5</v>
      </c>
      <c r="C2829" s="9">
        <v>459.32</v>
      </c>
      <c r="D2829" s="9">
        <v>465.15</v>
      </c>
      <c r="E2829" s="9">
        <f t="shared" si="133"/>
        <v>1.2743435723843313E-2</v>
      </c>
      <c r="F2829" s="9">
        <f t="shared" si="131"/>
        <v>2.4483024752147718E-2</v>
      </c>
      <c r="G2829" s="9">
        <f t="shared" si="132"/>
        <v>1.2077376948627733E-2</v>
      </c>
    </row>
    <row r="2830" spans="1:7" x14ac:dyDescent="0.2">
      <c r="A2830" s="12">
        <v>41003</v>
      </c>
      <c r="B2830" s="9">
        <v>463.56</v>
      </c>
      <c r="C2830" s="9">
        <v>453.41</v>
      </c>
      <c r="D2830" s="9">
        <v>453.71</v>
      </c>
      <c r="E2830" s="9">
        <f t="shared" si="133"/>
        <v>-2.4901706791295556E-2</v>
      </c>
      <c r="F2830" s="9">
        <f t="shared" si="131"/>
        <v>5.4145573569054127E-3</v>
      </c>
      <c r="G2830" s="9">
        <f t="shared" si="132"/>
        <v>1.2912303238911037E-2</v>
      </c>
    </row>
    <row r="2831" spans="1:7" x14ac:dyDescent="0.2">
      <c r="A2831" s="12">
        <v>41009</v>
      </c>
      <c r="B2831" s="9">
        <v>455.01</v>
      </c>
      <c r="C2831" s="9">
        <v>449.11</v>
      </c>
      <c r="D2831" s="9">
        <v>449.12</v>
      </c>
      <c r="E2831" s="9">
        <f t="shared" si="133"/>
        <v>-1.0168114809699667E-2</v>
      </c>
      <c r="F2831" s="9">
        <f t="shared" si="131"/>
        <v>-8.5357855109157166E-3</v>
      </c>
      <c r="G2831" s="9">
        <f t="shared" si="132"/>
        <v>1.3028792486470597E-2</v>
      </c>
    </row>
    <row r="2832" spans="1:7" x14ac:dyDescent="0.2">
      <c r="A2832" s="12">
        <v>41010</v>
      </c>
      <c r="B2832" s="9">
        <v>450.4</v>
      </c>
      <c r="C2832" s="9">
        <v>445.03</v>
      </c>
      <c r="D2832" s="9">
        <v>448.12</v>
      </c>
      <c r="E2832" s="9">
        <f t="shared" si="133"/>
        <v>-2.2290589230497867E-3</v>
      </c>
      <c r="F2832" s="9">
        <f t="shared" si="131"/>
        <v>-1.5939414766493361E-2</v>
      </c>
      <c r="G2832" s="9">
        <f t="shared" si="132"/>
        <v>1.2991888616132345E-2</v>
      </c>
    </row>
    <row r="2833" spans="1:7" x14ac:dyDescent="0.2">
      <c r="A2833" s="12">
        <v>41011</v>
      </c>
      <c r="B2833" s="9">
        <v>454.36</v>
      </c>
      <c r="C2833" s="9">
        <v>450.59</v>
      </c>
      <c r="D2833" s="9">
        <v>454.36</v>
      </c>
      <c r="E2833" s="9">
        <f t="shared" si="133"/>
        <v>1.3828781672698335E-2</v>
      </c>
      <c r="F2833" s="9">
        <f t="shared" si="131"/>
        <v>1.1109995873890305E-2</v>
      </c>
      <c r="G2833" s="9">
        <f t="shared" si="132"/>
        <v>1.3019468880547764E-2</v>
      </c>
    </row>
    <row r="2834" spans="1:7" x14ac:dyDescent="0.2">
      <c r="A2834" s="12">
        <v>41012</v>
      </c>
      <c r="B2834" s="9">
        <v>454.43</v>
      </c>
      <c r="C2834" s="9">
        <v>449.93</v>
      </c>
      <c r="D2834" s="9">
        <v>451.04</v>
      </c>
      <c r="E2834" s="9">
        <f t="shared" si="133"/>
        <v>-7.3338079974183791E-3</v>
      </c>
      <c r="F2834" s="9">
        <f t="shared" si="131"/>
        <v>-7.7298911800638788E-3</v>
      </c>
      <c r="G2834" s="9">
        <f t="shared" si="132"/>
        <v>1.2917787930528094E-2</v>
      </c>
    </row>
    <row r="2835" spans="1:7" x14ac:dyDescent="0.2">
      <c r="A2835" s="12">
        <v>41015</v>
      </c>
      <c r="B2835" s="9">
        <v>458.98</v>
      </c>
      <c r="C2835" s="9">
        <v>451.23</v>
      </c>
      <c r="D2835" s="9">
        <v>455.97</v>
      </c>
      <c r="E2835" s="9">
        <f t="shared" si="133"/>
        <v>1.0870990510677017E-2</v>
      </c>
      <c r="F2835" s="9">
        <f t="shared" si="131"/>
        <v>4.8365561338012987E-3</v>
      </c>
      <c r="G2835" s="9">
        <f t="shared" si="132"/>
        <v>1.3072376681758761E-2</v>
      </c>
    </row>
    <row r="2836" spans="1:7" x14ac:dyDescent="0.2">
      <c r="A2836" s="12">
        <v>41016</v>
      </c>
      <c r="B2836" s="9">
        <v>461</v>
      </c>
      <c r="C2836" s="9">
        <v>454.78</v>
      </c>
      <c r="D2836" s="9">
        <v>461</v>
      </c>
      <c r="E2836" s="9">
        <f t="shared" si="133"/>
        <v>1.0971025120168981E-2</v>
      </c>
      <c r="F2836" s="9">
        <f t="shared" si="131"/>
        <v>8.605248896820664E-3</v>
      </c>
      <c r="G2836" s="9">
        <f t="shared" si="132"/>
        <v>1.3160186995418511E-2</v>
      </c>
    </row>
    <row r="2837" spans="1:7" x14ac:dyDescent="0.2">
      <c r="A2837" s="12">
        <v>41017</v>
      </c>
      <c r="B2837" s="9">
        <v>465.58</v>
      </c>
      <c r="C2837" s="9">
        <v>459.83</v>
      </c>
      <c r="D2837" s="9">
        <v>460.74</v>
      </c>
      <c r="E2837" s="9">
        <f t="shared" si="133"/>
        <v>-5.6415042614131117E-4</v>
      </c>
      <c r="F2837" s="9">
        <f t="shared" si="131"/>
        <v>8.0629781542999775E-3</v>
      </c>
      <c r="G2837" s="9">
        <f t="shared" si="132"/>
        <v>1.3160998033097253E-2</v>
      </c>
    </row>
    <row r="2838" spans="1:7" x14ac:dyDescent="0.2">
      <c r="A2838" s="12">
        <v>41018</v>
      </c>
      <c r="B2838" s="9">
        <v>466.89</v>
      </c>
      <c r="C2838" s="9">
        <v>461.39</v>
      </c>
      <c r="D2838" s="9">
        <v>463.76</v>
      </c>
      <c r="E2838" s="9">
        <f t="shared" si="133"/>
        <v>6.5332844609702467E-3</v>
      </c>
      <c r="F2838" s="9">
        <f t="shared" si="131"/>
        <v>1.8959874008112602E-2</v>
      </c>
      <c r="G2838" s="9">
        <f t="shared" si="132"/>
        <v>1.3179099705257573E-2</v>
      </c>
    </row>
    <row r="2839" spans="1:7" x14ac:dyDescent="0.2">
      <c r="A2839" s="12">
        <v>41019</v>
      </c>
      <c r="B2839" s="9">
        <v>462.98</v>
      </c>
      <c r="C2839" s="9">
        <v>456.73</v>
      </c>
      <c r="D2839" s="9">
        <v>462.98</v>
      </c>
      <c r="E2839" s="9">
        <f t="shared" si="133"/>
        <v>-1.6833204225173146E-3</v>
      </c>
      <c r="F2839" s="9">
        <f t="shared" si="131"/>
        <v>4.2580274741492154E-2</v>
      </c>
      <c r="G2839" s="9">
        <f t="shared" si="132"/>
        <v>1.2248959467438224E-2</v>
      </c>
    </row>
    <row r="2840" spans="1:7" x14ac:dyDescent="0.2">
      <c r="A2840" s="12">
        <v>41022</v>
      </c>
      <c r="B2840" s="9">
        <v>460.49</v>
      </c>
      <c r="C2840" s="9">
        <v>453.39</v>
      </c>
      <c r="D2840" s="9">
        <v>454.98</v>
      </c>
      <c r="E2840" s="9">
        <f t="shared" si="133"/>
        <v>-1.7430394668060917E-2</v>
      </c>
      <c r="F2840" s="9">
        <f t="shared" si="131"/>
        <v>1.8970848830830635E-2</v>
      </c>
      <c r="G2840" s="9">
        <f t="shared" si="132"/>
        <v>1.2683346426400737E-2</v>
      </c>
    </row>
    <row r="2841" spans="1:7" x14ac:dyDescent="0.2">
      <c r="A2841" s="12">
        <v>41023</v>
      </c>
      <c r="B2841" s="9">
        <v>458.97</v>
      </c>
      <c r="C2841" s="9">
        <v>453.08</v>
      </c>
      <c r="D2841" s="9">
        <v>456.19</v>
      </c>
      <c r="E2841" s="9">
        <f t="shared" si="133"/>
        <v>2.6559274587030341E-3</v>
      </c>
      <c r="F2841" s="9">
        <f t="shared" si="131"/>
        <v>1.8830697922485887E-2</v>
      </c>
      <c r="G2841" s="9">
        <f t="shared" si="132"/>
        <v>1.2682547762088978E-2</v>
      </c>
    </row>
    <row r="2842" spans="1:7" x14ac:dyDescent="0.2">
      <c r="A2842" s="12">
        <v>41024</v>
      </c>
      <c r="B2842" s="9">
        <v>458.02</v>
      </c>
      <c r="C2842" s="9">
        <v>454.53</v>
      </c>
      <c r="D2842" s="9">
        <v>457.43</v>
      </c>
      <c r="E2842" s="9">
        <f t="shared" si="133"/>
        <v>2.7144781449627174E-3</v>
      </c>
      <c r="F2842" s="9">
        <f t="shared" si="131"/>
        <v>2.7802423802029265E-3</v>
      </c>
      <c r="G2842" s="9">
        <f t="shared" si="132"/>
        <v>1.2221196045824253E-2</v>
      </c>
    </row>
    <row r="2843" spans="1:7" x14ac:dyDescent="0.2">
      <c r="A2843" s="12">
        <v>41025</v>
      </c>
      <c r="B2843" s="9">
        <v>460.61</v>
      </c>
      <c r="C2843" s="9">
        <v>453.36</v>
      </c>
      <c r="D2843" s="9">
        <v>456.98</v>
      </c>
      <c r="E2843" s="9">
        <f t="shared" si="133"/>
        <v>-9.842412841665764E-4</v>
      </c>
      <c r="F2843" s="9">
        <f t="shared" si="131"/>
        <v>1.9713935370718684E-3</v>
      </c>
      <c r="G2843" s="9">
        <f t="shared" si="132"/>
        <v>1.2222699954509761E-2</v>
      </c>
    </row>
    <row r="2844" spans="1:7" x14ac:dyDescent="0.2">
      <c r="A2844" s="12">
        <v>41026</v>
      </c>
      <c r="B2844" s="9">
        <v>457.55</v>
      </c>
      <c r="C2844" s="9">
        <v>446.73</v>
      </c>
      <c r="D2844" s="9">
        <v>454.59</v>
      </c>
      <c r="E2844" s="9">
        <f t="shared" si="133"/>
        <v>-5.2437124442177461E-3</v>
      </c>
      <c r="F2844" s="9">
        <f t="shared" si="131"/>
        <v>-1.1700132376995393E-2</v>
      </c>
      <c r="G2844" s="9">
        <f t="shared" si="132"/>
        <v>1.2154851953931211E-2</v>
      </c>
    </row>
    <row r="2845" spans="1:7" x14ac:dyDescent="0.2">
      <c r="A2845" s="12">
        <v>41029</v>
      </c>
      <c r="B2845" s="9">
        <v>462.03</v>
      </c>
      <c r="C2845" s="9">
        <v>456.21</v>
      </c>
      <c r="D2845" s="9">
        <v>458.75</v>
      </c>
      <c r="E2845" s="9">
        <f t="shared" si="133"/>
        <v>9.1094855525994094E-3</v>
      </c>
      <c r="F2845" s="9">
        <f t="shared" si="131"/>
        <v>1.0032278604666682E-3</v>
      </c>
      <c r="G2845" s="9">
        <f t="shared" si="132"/>
        <v>1.2260208555355291E-2</v>
      </c>
    </row>
    <row r="2846" spans="1:7" x14ac:dyDescent="0.2">
      <c r="A2846" s="12">
        <v>41030</v>
      </c>
      <c r="B2846" s="9">
        <v>460.47</v>
      </c>
      <c r="C2846" s="9">
        <v>457.86</v>
      </c>
      <c r="D2846" s="9">
        <v>459.52</v>
      </c>
      <c r="E2846" s="9">
        <f t="shared" si="133"/>
        <v>1.6770670510245574E-3</v>
      </c>
      <c r="F2846" s="9">
        <f t="shared" si="131"/>
        <v>4.0996175870615208E-3</v>
      </c>
      <c r="G2846" s="9">
        <f t="shared" si="132"/>
        <v>1.2260590211786056E-2</v>
      </c>
    </row>
    <row r="2847" spans="1:7" x14ac:dyDescent="0.2">
      <c r="A2847" s="12">
        <v>41031</v>
      </c>
      <c r="B2847" s="9">
        <v>462.28</v>
      </c>
      <c r="C2847" s="9">
        <v>456.37</v>
      </c>
      <c r="D2847" s="9">
        <v>459.38</v>
      </c>
      <c r="E2847" s="9">
        <f t="shared" si="133"/>
        <v>-3.0471215819620945E-4</v>
      </c>
      <c r="F2847" s="9">
        <f t="shared" si="131"/>
        <v>9.8006127782452072E-4</v>
      </c>
      <c r="G2847" s="9">
        <f t="shared" si="132"/>
        <v>1.2250317112403231E-2</v>
      </c>
    </row>
    <row r="2848" spans="1:7" x14ac:dyDescent="0.2">
      <c r="A2848" s="12">
        <v>41032</v>
      </c>
      <c r="B2848" s="9">
        <v>465.87</v>
      </c>
      <c r="C2848" s="9">
        <v>460.36</v>
      </c>
      <c r="D2848" s="9">
        <v>465.55</v>
      </c>
      <c r="E2848" s="9">
        <f t="shared" si="133"/>
        <v>1.3341748072930379E-2</v>
      </c>
      <c r="F2848" s="9">
        <f t="shared" si="131"/>
        <v>1.6175660984733848E-2</v>
      </c>
      <c r="G2848" s="9">
        <f t="shared" si="132"/>
        <v>1.2481591370089175E-2</v>
      </c>
    </row>
    <row r="2849" spans="1:7" x14ac:dyDescent="0.2">
      <c r="A2849" s="12">
        <v>41036</v>
      </c>
      <c r="B2849" s="9">
        <v>460.51</v>
      </c>
      <c r="C2849" s="9">
        <v>454.06</v>
      </c>
      <c r="D2849" s="9">
        <v>459.54</v>
      </c>
      <c r="E2849" s="9">
        <f t="shared" si="133"/>
        <v>-1.2993513184981586E-2</v>
      </c>
      <c r="F2849" s="9">
        <f t="shared" ref="F2849:F2912" si="134">LN(D2849/D2819)</f>
        <v>5.586362889158915E-3</v>
      </c>
      <c r="G2849" s="9">
        <f t="shared" si="132"/>
        <v>1.2715244978078914E-2</v>
      </c>
    </row>
    <row r="2850" spans="1:7" x14ac:dyDescent="0.2">
      <c r="A2850" s="12">
        <v>41037</v>
      </c>
      <c r="B2850" s="9">
        <v>462.07</v>
      </c>
      <c r="C2850" s="9">
        <v>456.27</v>
      </c>
      <c r="D2850" s="9">
        <v>457.38</v>
      </c>
      <c r="E2850" s="9">
        <f t="shared" si="133"/>
        <v>-4.711433921319781E-3</v>
      </c>
      <c r="F2850" s="9">
        <f t="shared" si="134"/>
        <v>1.6630200769297203E-3</v>
      </c>
      <c r="G2850" s="9">
        <f t="shared" si="132"/>
        <v>1.2745750844629868E-2</v>
      </c>
    </row>
    <row r="2851" spans="1:7" x14ac:dyDescent="0.2">
      <c r="A2851" s="12">
        <v>41038</v>
      </c>
      <c r="B2851" s="9">
        <v>458.44</v>
      </c>
      <c r="C2851" s="9">
        <v>448.17</v>
      </c>
      <c r="D2851" s="9">
        <v>449.25</v>
      </c>
      <c r="E2851" s="9">
        <f t="shared" si="133"/>
        <v>-1.793502956456898E-2</v>
      </c>
      <c r="F2851" s="9">
        <f t="shared" si="134"/>
        <v>-1.3346681994593722E-3</v>
      </c>
      <c r="G2851" s="9">
        <f t="shared" si="132"/>
        <v>1.2878403070599932E-2</v>
      </c>
    </row>
    <row r="2852" spans="1:7" x14ac:dyDescent="0.2">
      <c r="A2852" s="12">
        <v>41039</v>
      </c>
      <c r="B2852" s="9">
        <v>455.01</v>
      </c>
      <c r="C2852" s="9">
        <v>451.07</v>
      </c>
      <c r="D2852" s="9">
        <v>451.57</v>
      </c>
      <c r="E2852" s="9">
        <f t="shared" si="133"/>
        <v>5.1508739357950814E-3</v>
      </c>
      <c r="F2852" s="9">
        <f t="shared" si="134"/>
        <v>8.6963838879855152E-3</v>
      </c>
      <c r="G2852" s="9">
        <f t="shared" si="132"/>
        <v>1.2878742900488257E-2</v>
      </c>
    </row>
    <row r="2853" spans="1:7" x14ac:dyDescent="0.2">
      <c r="A2853" s="12">
        <v>41040</v>
      </c>
      <c r="B2853" s="9">
        <v>454.64</v>
      </c>
      <c r="C2853" s="9">
        <v>450.67</v>
      </c>
      <c r="D2853" s="9">
        <v>453.61</v>
      </c>
      <c r="E2853" s="9">
        <f t="shared" si="133"/>
        <v>4.5073984264516181E-3</v>
      </c>
      <c r="F2853" s="9">
        <f t="shared" si="134"/>
        <v>8.8220380217212324E-4</v>
      </c>
      <c r="G2853" s="9">
        <f t="shared" si="132"/>
        <v>1.2704857672744626E-2</v>
      </c>
    </row>
    <row r="2854" spans="1:7" x14ac:dyDescent="0.2">
      <c r="A2854" s="12">
        <v>41043</v>
      </c>
      <c r="B2854" s="9">
        <v>453.79</v>
      </c>
      <c r="C2854" s="9">
        <v>443.62</v>
      </c>
      <c r="D2854" s="9">
        <v>443.62</v>
      </c>
      <c r="E2854" s="9">
        <f t="shared" si="133"/>
        <v>-2.226945790327196E-2</v>
      </c>
      <c r="F2854" s="9">
        <f t="shared" si="134"/>
        <v>-6.0230315125809905E-3</v>
      </c>
      <c r="G2854" s="9">
        <f t="shared" si="132"/>
        <v>1.3051192280203584E-2</v>
      </c>
    </row>
    <row r="2855" spans="1:7" x14ac:dyDescent="0.2">
      <c r="A2855" s="12">
        <v>41044</v>
      </c>
      <c r="B2855" s="9">
        <v>445.44</v>
      </c>
      <c r="C2855" s="9">
        <v>438.85</v>
      </c>
      <c r="D2855" s="9">
        <v>439.41</v>
      </c>
      <c r="E2855" s="9">
        <f t="shared" si="133"/>
        <v>-9.5354221243177002E-3</v>
      </c>
      <c r="F2855" s="9">
        <f t="shared" si="134"/>
        <v>-2.3014344595270714E-2</v>
      </c>
      <c r="G2855" s="9">
        <f t="shared" ref="G2855:G2918" si="135">STDEV(E2826:E2855)</f>
        <v>1.3076120428376439E-2</v>
      </c>
    </row>
    <row r="2856" spans="1:7" x14ac:dyDescent="0.2">
      <c r="A2856" s="12">
        <v>41045</v>
      </c>
      <c r="B2856" s="9">
        <v>443.28</v>
      </c>
      <c r="C2856" s="9">
        <v>434</v>
      </c>
      <c r="D2856" s="9">
        <v>440.45</v>
      </c>
      <c r="E2856" s="9">
        <f t="shared" si="133"/>
        <v>2.364013557479127E-3</v>
      </c>
      <c r="F2856" s="9">
        <f t="shared" si="134"/>
        <v>3.593689897700245E-3</v>
      </c>
      <c r="G2856" s="9">
        <f t="shared" si="135"/>
        <v>1.2308678877509374E-2</v>
      </c>
    </row>
    <row r="2857" spans="1:7" x14ac:dyDescent="0.2">
      <c r="A2857" s="12">
        <v>41050</v>
      </c>
      <c r="B2857" s="9">
        <v>442.39</v>
      </c>
      <c r="C2857" s="9">
        <v>435.51</v>
      </c>
      <c r="D2857" s="9">
        <v>442.21</v>
      </c>
      <c r="E2857" s="9">
        <f t="shared" si="133"/>
        <v>3.9879508135626561E-3</v>
      </c>
      <c r="F2857" s="9">
        <f t="shared" si="134"/>
        <v>-5.6375019643877403E-3</v>
      </c>
      <c r="G2857" s="9">
        <f t="shared" si="135"/>
        <v>1.2083235494067921E-2</v>
      </c>
    </row>
    <row r="2858" spans="1:7" x14ac:dyDescent="0.2">
      <c r="A2858" s="12">
        <v>41051</v>
      </c>
      <c r="B2858" s="9">
        <v>447.4</v>
      </c>
      <c r="C2858" s="9">
        <v>441.67</v>
      </c>
      <c r="D2858" s="9">
        <v>447.2</v>
      </c>
      <c r="E2858" s="9">
        <f t="shared" si="133"/>
        <v>1.1221039471522061E-2</v>
      </c>
      <c r="F2858" s="9">
        <f t="shared" si="134"/>
        <v>-2.661057664983486E-2</v>
      </c>
      <c r="G2858" s="9">
        <f t="shared" si="135"/>
        <v>1.0669063961424766E-2</v>
      </c>
    </row>
    <row r="2859" spans="1:7" x14ac:dyDescent="0.2">
      <c r="A2859" s="12">
        <v>41052</v>
      </c>
      <c r="B2859" s="9">
        <v>445.6</v>
      </c>
      <c r="C2859" s="9">
        <v>437.87</v>
      </c>
      <c r="D2859" s="9">
        <v>437.87</v>
      </c>
      <c r="E2859" s="9">
        <f t="shared" si="133"/>
        <v>-2.1083859172332787E-2</v>
      </c>
      <c r="F2859" s="9">
        <f t="shared" si="134"/>
        <v>-6.0437871546011074E-2</v>
      </c>
      <c r="G2859" s="9">
        <f t="shared" si="135"/>
        <v>1.0962347829135178E-2</v>
      </c>
    </row>
    <row r="2860" spans="1:7" x14ac:dyDescent="0.2">
      <c r="A2860" s="12">
        <v>41053</v>
      </c>
      <c r="B2860" s="9">
        <v>441.55</v>
      </c>
      <c r="C2860" s="9">
        <v>437.28</v>
      </c>
      <c r="D2860" s="9">
        <v>439.67</v>
      </c>
      <c r="E2860" s="9">
        <f t="shared" si="133"/>
        <v>4.1023828530461085E-3</v>
      </c>
      <c r="F2860" s="9">
        <f t="shared" si="134"/>
        <v>-3.1433781901669261E-2</v>
      </c>
      <c r="G2860" s="9">
        <f t="shared" si="135"/>
        <v>1.0120950209093805E-2</v>
      </c>
    </row>
    <row r="2861" spans="1:7" x14ac:dyDescent="0.2">
      <c r="A2861" s="12">
        <v>41054</v>
      </c>
      <c r="B2861" s="9">
        <v>444.89</v>
      </c>
      <c r="C2861" s="9">
        <v>438.94</v>
      </c>
      <c r="D2861" s="9">
        <v>443.94</v>
      </c>
      <c r="E2861" s="9">
        <f t="shared" si="133"/>
        <v>9.6649726439118691E-3</v>
      </c>
      <c r="F2861" s="9">
        <f t="shared" si="134"/>
        <v>-1.1600694448057806E-2</v>
      </c>
      <c r="G2861" s="9">
        <f t="shared" si="135"/>
        <v>1.0152368020189349E-2</v>
      </c>
    </row>
    <row r="2862" spans="1:7" x14ac:dyDescent="0.2">
      <c r="A2862" s="12">
        <v>41058</v>
      </c>
      <c r="B2862" s="9">
        <v>445.88</v>
      </c>
      <c r="C2862" s="9">
        <v>440.53</v>
      </c>
      <c r="D2862" s="9">
        <v>444.09</v>
      </c>
      <c r="E2862" s="9">
        <f t="shared" si="133"/>
        <v>3.378264279957596E-4</v>
      </c>
      <c r="F2862" s="9">
        <f t="shared" si="134"/>
        <v>-9.0338090970122128E-3</v>
      </c>
      <c r="G2862" s="9">
        <f t="shared" si="135"/>
        <v>1.0147120682048712E-2</v>
      </c>
    </row>
    <row r="2863" spans="1:7" x14ac:dyDescent="0.2">
      <c r="A2863" s="12">
        <v>41059</v>
      </c>
      <c r="B2863" s="9">
        <v>442.31</v>
      </c>
      <c r="C2863" s="9">
        <v>435.71</v>
      </c>
      <c r="D2863" s="9">
        <v>435.72</v>
      </c>
      <c r="E2863" s="9">
        <f t="shared" si="133"/>
        <v>-1.9027409379265555E-2</v>
      </c>
      <c r="F2863" s="9">
        <f t="shared" si="134"/>
        <v>-4.189000014897612E-2</v>
      </c>
      <c r="G2863" s="9">
        <f t="shared" si="135"/>
        <v>1.0340734168045681E-2</v>
      </c>
    </row>
    <row r="2864" spans="1:7" x14ac:dyDescent="0.2">
      <c r="A2864" s="12">
        <v>41060</v>
      </c>
      <c r="B2864" s="9">
        <v>438.88</v>
      </c>
      <c r="C2864" s="9">
        <v>430.68</v>
      </c>
      <c r="D2864" s="9">
        <v>432.26</v>
      </c>
      <c r="E2864" s="9">
        <f t="shared" si="133"/>
        <v>-7.972576158472534E-3</v>
      </c>
      <c r="F2864" s="9">
        <f t="shared" si="134"/>
        <v>-4.2528768310030149E-2</v>
      </c>
      <c r="G2864" s="9">
        <f t="shared" si="135"/>
        <v>1.0354030490200724E-2</v>
      </c>
    </row>
    <row r="2865" spans="1:7" x14ac:dyDescent="0.2">
      <c r="A2865" s="12">
        <v>41061</v>
      </c>
      <c r="B2865" s="9">
        <v>435.61</v>
      </c>
      <c r="C2865" s="9">
        <v>419.26</v>
      </c>
      <c r="D2865" s="9">
        <v>419.65</v>
      </c>
      <c r="E2865" s="9">
        <f t="shared" si="133"/>
        <v>-2.9606228526935778E-2</v>
      </c>
      <c r="F2865" s="9">
        <f t="shared" si="134"/>
        <v>-8.3005987347643057E-2</v>
      </c>
      <c r="G2865" s="9">
        <f t="shared" si="135"/>
        <v>1.1292271103980201E-2</v>
      </c>
    </row>
    <row r="2866" spans="1:7" x14ac:dyDescent="0.2">
      <c r="A2866" s="12">
        <v>41064</v>
      </c>
      <c r="B2866" s="9">
        <v>420.17</v>
      </c>
      <c r="C2866" s="9">
        <v>415.15</v>
      </c>
      <c r="D2866" s="9">
        <v>415.45</v>
      </c>
      <c r="E2866" s="9">
        <f t="shared" si="133"/>
        <v>-1.0058760417846126E-2</v>
      </c>
      <c r="F2866" s="9">
        <f t="shared" si="134"/>
        <v>-0.10403577288565824</v>
      </c>
      <c r="G2866" s="9">
        <f t="shared" si="135"/>
        <v>1.1060408650603627E-2</v>
      </c>
    </row>
    <row r="2867" spans="1:7" x14ac:dyDescent="0.2">
      <c r="A2867" s="12">
        <v>41066</v>
      </c>
      <c r="B2867" s="9">
        <v>430.69</v>
      </c>
      <c r="C2867" s="9">
        <v>418.56</v>
      </c>
      <c r="D2867" s="9">
        <v>426.63</v>
      </c>
      <c r="E2867" s="9">
        <f t="shared" si="133"/>
        <v>2.6554856941724294E-2</v>
      </c>
      <c r="F2867" s="9">
        <f t="shared" si="134"/>
        <v>-7.6916765517792599E-2</v>
      </c>
      <c r="G2867" s="9">
        <f t="shared" si="135"/>
        <v>1.2340099780140352E-2</v>
      </c>
    </row>
    <row r="2868" spans="1:7" x14ac:dyDescent="0.2">
      <c r="A2868" s="12">
        <v>41067</v>
      </c>
      <c r="B2868" s="9">
        <v>435.02</v>
      </c>
      <c r="C2868" s="9">
        <v>426.1</v>
      </c>
      <c r="D2868" s="9">
        <v>433.51</v>
      </c>
      <c r="E2868" s="9">
        <f t="shared" si="133"/>
        <v>1.5997736952568283E-2</v>
      </c>
      <c r="F2868" s="9">
        <f t="shared" si="134"/>
        <v>-6.7452313026194533E-2</v>
      </c>
      <c r="G2868" s="9">
        <f t="shared" si="135"/>
        <v>1.269652872216614E-2</v>
      </c>
    </row>
    <row r="2869" spans="1:7" x14ac:dyDescent="0.2">
      <c r="A2869" s="12">
        <v>41068</v>
      </c>
      <c r="B2869" s="9">
        <v>427.48</v>
      </c>
      <c r="C2869" s="9">
        <v>422.59</v>
      </c>
      <c r="D2869" s="9">
        <v>426.59</v>
      </c>
      <c r="E2869" s="9">
        <f t="shared" si="133"/>
        <v>-1.6091499405462704E-2</v>
      </c>
      <c r="F2869" s="9">
        <f t="shared" si="134"/>
        <v>-8.1860492009139987E-2</v>
      </c>
      <c r="G2869" s="9">
        <f t="shared" si="135"/>
        <v>1.2944504009733538E-2</v>
      </c>
    </row>
    <row r="2870" spans="1:7" x14ac:dyDescent="0.2">
      <c r="A2870" s="12">
        <v>41071</v>
      </c>
      <c r="B2870" s="9">
        <v>438.74</v>
      </c>
      <c r="C2870" s="9">
        <v>431.81</v>
      </c>
      <c r="D2870" s="9">
        <v>432.37</v>
      </c>
      <c r="E2870" s="9">
        <f t="shared" si="133"/>
        <v>1.3458338554800093E-2</v>
      </c>
      <c r="F2870" s="9">
        <f t="shared" si="134"/>
        <v>-5.0971758786278853E-2</v>
      </c>
      <c r="G2870" s="9">
        <f t="shared" si="135"/>
        <v>1.296323832465706E-2</v>
      </c>
    </row>
    <row r="2871" spans="1:7" x14ac:dyDescent="0.2">
      <c r="A2871" s="12">
        <v>41072</v>
      </c>
      <c r="B2871" s="9">
        <v>433.8</v>
      </c>
      <c r="C2871" s="9">
        <v>430.02</v>
      </c>
      <c r="D2871" s="9">
        <v>431.21</v>
      </c>
      <c r="E2871" s="9">
        <f t="shared" si="133"/>
        <v>-2.6864927341225947E-3</v>
      </c>
      <c r="F2871" s="9">
        <f t="shared" si="134"/>
        <v>-5.6314178979104589E-2</v>
      </c>
      <c r="G2871" s="9">
        <f t="shared" si="135"/>
        <v>1.2938020192477445E-2</v>
      </c>
    </row>
    <row r="2872" spans="1:7" x14ac:dyDescent="0.2">
      <c r="A2872" s="12">
        <v>41073</v>
      </c>
      <c r="B2872" s="9">
        <v>434.43</v>
      </c>
      <c r="C2872" s="9">
        <v>429.18</v>
      </c>
      <c r="D2872" s="9">
        <v>431.24</v>
      </c>
      <c r="E2872" s="9">
        <f t="shared" si="133"/>
        <v>6.9569250419348206E-5</v>
      </c>
      <c r="F2872" s="9">
        <f t="shared" si="134"/>
        <v>-5.8959087873647759E-2</v>
      </c>
      <c r="G2872" s="9">
        <f t="shared" si="135"/>
        <v>1.2914643075396965E-2</v>
      </c>
    </row>
    <row r="2873" spans="1:7" x14ac:dyDescent="0.2">
      <c r="A2873" s="12">
        <v>41074</v>
      </c>
      <c r="B2873" s="9">
        <v>430.88</v>
      </c>
      <c r="C2873" s="9">
        <v>425.91</v>
      </c>
      <c r="D2873" s="9">
        <v>428.73</v>
      </c>
      <c r="E2873" s="9">
        <f t="shared" si="133"/>
        <v>-5.8374295091040192E-3</v>
      </c>
      <c r="F2873" s="9">
        <f t="shared" si="134"/>
        <v>-6.3812276098585224E-2</v>
      </c>
      <c r="G2873" s="9">
        <f t="shared" si="135"/>
        <v>1.2932314424634547E-2</v>
      </c>
    </row>
    <row r="2874" spans="1:7" x14ac:dyDescent="0.2">
      <c r="A2874" s="12">
        <v>41075</v>
      </c>
      <c r="B2874" s="9">
        <v>432.58</v>
      </c>
      <c r="C2874" s="9">
        <v>428.91</v>
      </c>
      <c r="D2874" s="9">
        <v>431.19</v>
      </c>
      <c r="E2874" s="9">
        <f t="shared" si="133"/>
        <v>5.7214780694371144E-3</v>
      </c>
      <c r="F2874" s="9">
        <f t="shared" si="134"/>
        <v>-5.2847085584930398E-2</v>
      </c>
      <c r="G2874" s="9">
        <f t="shared" si="135"/>
        <v>1.2995989386103178E-2</v>
      </c>
    </row>
    <row r="2875" spans="1:7" x14ac:dyDescent="0.2">
      <c r="A2875" s="12">
        <v>41078</v>
      </c>
      <c r="B2875" s="9">
        <v>436.04</v>
      </c>
      <c r="C2875" s="9">
        <v>431.27</v>
      </c>
      <c r="D2875" s="9">
        <v>432.98</v>
      </c>
      <c r="E2875" s="9">
        <f t="shared" si="133"/>
        <v>4.1427093280343068E-3</v>
      </c>
      <c r="F2875" s="9">
        <f t="shared" si="134"/>
        <v>-5.7813861809495631E-2</v>
      </c>
      <c r="G2875" s="9">
        <f t="shared" si="135"/>
        <v>1.2883877707109494E-2</v>
      </c>
    </row>
    <row r="2876" spans="1:7" x14ac:dyDescent="0.2">
      <c r="A2876" s="12">
        <v>41079</v>
      </c>
      <c r="B2876" s="9">
        <v>439.89</v>
      </c>
      <c r="C2876" s="9">
        <v>432.56</v>
      </c>
      <c r="D2876" s="9">
        <v>439.89</v>
      </c>
      <c r="E2876" s="9">
        <f t="shared" si="133"/>
        <v>1.5833158097813126E-2</v>
      </c>
      <c r="F2876" s="9">
        <f t="shared" si="134"/>
        <v>-4.3657770762707132E-2</v>
      </c>
      <c r="G2876" s="9">
        <f t="shared" si="135"/>
        <v>1.327376537387027E-2</v>
      </c>
    </row>
    <row r="2877" spans="1:7" x14ac:dyDescent="0.2">
      <c r="A2877" s="12">
        <v>41080</v>
      </c>
      <c r="B2877" s="9">
        <v>440.85</v>
      </c>
      <c r="C2877" s="9">
        <v>436.39</v>
      </c>
      <c r="D2877" s="9">
        <v>440.85</v>
      </c>
      <c r="E2877" s="9">
        <f t="shared" si="133"/>
        <v>2.1799858759385172E-3</v>
      </c>
      <c r="F2877" s="9">
        <f t="shared" si="134"/>
        <v>-4.1173072728572326E-2</v>
      </c>
      <c r="G2877" s="9">
        <f t="shared" si="135"/>
        <v>1.3288935020515039E-2</v>
      </c>
    </row>
    <row r="2878" spans="1:7" x14ac:dyDescent="0.2">
      <c r="A2878" s="12">
        <v>41081</v>
      </c>
      <c r="B2878" s="9">
        <v>441.88</v>
      </c>
      <c r="C2878" s="9">
        <v>438.4</v>
      </c>
      <c r="D2878" s="9">
        <v>439.99</v>
      </c>
      <c r="E2878" s="9">
        <f t="shared" si="133"/>
        <v>-1.9526821517248283E-3</v>
      </c>
      <c r="F2878" s="9">
        <f t="shared" si="134"/>
        <v>-5.6467502953227645E-2</v>
      </c>
      <c r="G2878" s="9">
        <f t="shared" si="135"/>
        <v>1.2995105425558609E-2</v>
      </c>
    </row>
    <row r="2879" spans="1:7" x14ac:dyDescent="0.2">
      <c r="A2879" s="12">
        <v>41082</v>
      </c>
      <c r="B2879" s="9">
        <v>439.38</v>
      </c>
      <c r="C2879" s="9">
        <v>436.47</v>
      </c>
      <c r="D2879" s="9">
        <v>438.64</v>
      </c>
      <c r="E2879" s="9">
        <f t="shared" si="133"/>
        <v>-3.0729682855181882E-3</v>
      </c>
      <c r="F2879" s="9">
        <f t="shared" si="134"/>
        <v>-4.6546958053764166E-2</v>
      </c>
      <c r="G2879" s="9">
        <f t="shared" si="135"/>
        <v>1.2827754465704175E-2</v>
      </c>
    </row>
    <row r="2880" spans="1:7" x14ac:dyDescent="0.2">
      <c r="A2880" s="12">
        <v>41085</v>
      </c>
      <c r="B2880" s="9">
        <v>438.43</v>
      </c>
      <c r="C2880" s="9">
        <v>431.78</v>
      </c>
      <c r="D2880" s="9">
        <v>432.08</v>
      </c>
      <c r="E2880" s="9">
        <f t="shared" si="133"/>
        <v>-1.5068274811157399E-2</v>
      </c>
      <c r="F2880" s="9">
        <f t="shared" si="134"/>
        <v>-5.690379894360173E-2</v>
      </c>
      <c r="G2880" s="9">
        <f t="shared" si="135"/>
        <v>1.3053112258720261E-2</v>
      </c>
    </row>
    <row r="2881" spans="1:7" x14ac:dyDescent="0.2">
      <c r="A2881" s="12">
        <v>41086</v>
      </c>
      <c r="B2881" s="9">
        <v>434.83</v>
      </c>
      <c r="C2881" s="9">
        <v>427.43</v>
      </c>
      <c r="D2881" s="9">
        <v>428.68</v>
      </c>
      <c r="E2881" s="9">
        <f t="shared" si="133"/>
        <v>-7.9000364398393013E-3</v>
      </c>
      <c r="F2881" s="9">
        <f t="shared" si="134"/>
        <v>-4.6868805818872143E-2</v>
      </c>
      <c r="G2881" s="9">
        <f t="shared" si="135"/>
        <v>1.275307353394434E-2</v>
      </c>
    </row>
    <row r="2882" spans="1:7" x14ac:dyDescent="0.2">
      <c r="A2882" s="12">
        <v>41087</v>
      </c>
      <c r="B2882" s="9">
        <v>434.87</v>
      </c>
      <c r="C2882" s="9">
        <v>430.32</v>
      </c>
      <c r="D2882" s="9">
        <v>433.63</v>
      </c>
      <c r="E2882" s="9">
        <f t="shared" si="133"/>
        <v>1.1480916079129447E-2</v>
      </c>
      <c r="F2882" s="9">
        <f t="shared" si="134"/>
        <v>-4.0538763675537777E-2</v>
      </c>
      <c r="G2882" s="9">
        <f t="shared" si="135"/>
        <v>1.2919256816418435E-2</v>
      </c>
    </row>
    <row r="2883" spans="1:7" x14ac:dyDescent="0.2">
      <c r="A2883" s="12">
        <v>41088</v>
      </c>
      <c r="B2883" s="9">
        <v>441.17</v>
      </c>
      <c r="C2883" s="9">
        <v>433.91</v>
      </c>
      <c r="D2883" s="9">
        <v>434.32</v>
      </c>
      <c r="E2883" s="9">
        <f t="shared" si="133"/>
        <v>1.5899536732698473E-3</v>
      </c>
      <c r="F2883" s="9">
        <f t="shared" si="134"/>
        <v>-4.3456208428719556E-2</v>
      </c>
      <c r="G2883" s="9">
        <f t="shared" si="135"/>
        <v>1.2884569305851879E-2</v>
      </c>
    </row>
    <row r="2884" spans="1:7" x14ac:dyDescent="0.2">
      <c r="A2884" s="12">
        <v>41089</v>
      </c>
      <c r="B2884" s="9">
        <v>446.24</v>
      </c>
      <c r="C2884" s="9">
        <v>440.14</v>
      </c>
      <c r="D2884" s="9">
        <v>446.04</v>
      </c>
      <c r="E2884" s="9">
        <f t="shared" ref="E2884:E2947" si="136">LN(D2884/D2883)</f>
        <v>2.6627044499965426E-2</v>
      </c>
      <c r="F2884" s="9">
        <f t="shared" si="134"/>
        <v>5.4402939745178984E-3</v>
      </c>
      <c r="G2884" s="9">
        <f t="shared" si="135"/>
        <v>1.324749021335473E-2</v>
      </c>
    </row>
    <row r="2885" spans="1:7" x14ac:dyDescent="0.2">
      <c r="A2885" s="12">
        <v>41092</v>
      </c>
      <c r="B2885" s="9">
        <v>451.41</v>
      </c>
      <c r="C2885" s="9">
        <v>445.87</v>
      </c>
      <c r="D2885" s="9">
        <v>451.39</v>
      </c>
      <c r="E2885" s="9">
        <f t="shared" si="136"/>
        <v>1.1923076740044378E-2</v>
      </c>
      <c r="F2885" s="9">
        <f t="shared" si="134"/>
        <v>2.6898792838879942E-2</v>
      </c>
      <c r="G2885" s="9">
        <f t="shared" si="135"/>
        <v>1.3284016565038564E-2</v>
      </c>
    </row>
    <row r="2886" spans="1:7" x14ac:dyDescent="0.2">
      <c r="A2886" s="12">
        <v>41093</v>
      </c>
      <c r="B2886" s="9">
        <v>458.82</v>
      </c>
      <c r="C2886" s="9">
        <v>453.86</v>
      </c>
      <c r="D2886" s="9">
        <v>458.25</v>
      </c>
      <c r="E2886" s="9">
        <f t="shared" si="136"/>
        <v>1.50831758826089E-2</v>
      </c>
      <c r="F2886" s="9">
        <f t="shared" si="134"/>
        <v>3.9617955164009705E-2</v>
      </c>
      <c r="G2886" s="9">
        <f t="shared" si="135"/>
        <v>1.3533101407764776E-2</v>
      </c>
    </row>
    <row r="2887" spans="1:7" x14ac:dyDescent="0.2">
      <c r="A2887" s="12">
        <v>41094</v>
      </c>
      <c r="B2887" s="9">
        <v>461.25</v>
      </c>
      <c r="C2887" s="9">
        <v>456.77</v>
      </c>
      <c r="D2887" s="9">
        <v>459.61</v>
      </c>
      <c r="E2887" s="9">
        <f t="shared" si="136"/>
        <v>2.9634170685619793E-3</v>
      </c>
      <c r="F2887" s="9">
        <f t="shared" si="134"/>
        <v>3.8593421419009108E-2</v>
      </c>
      <c r="G2887" s="9">
        <f t="shared" si="135"/>
        <v>1.3527429698500628E-2</v>
      </c>
    </row>
    <row r="2888" spans="1:7" x14ac:dyDescent="0.2">
      <c r="A2888" s="12">
        <v>41095</v>
      </c>
      <c r="B2888" s="9">
        <v>465.09</v>
      </c>
      <c r="C2888" s="9">
        <v>458.92</v>
      </c>
      <c r="D2888" s="9">
        <v>462.5</v>
      </c>
      <c r="E2888" s="9">
        <f t="shared" si="136"/>
        <v>6.2682531641035039E-3</v>
      </c>
      <c r="F2888" s="9">
        <f t="shared" si="134"/>
        <v>3.3640635111590524E-2</v>
      </c>
      <c r="G2888" s="9">
        <f t="shared" si="135"/>
        <v>1.3431889322391243E-2</v>
      </c>
    </row>
    <row r="2889" spans="1:7" x14ac:dyDescent="0.2">
      <c r="A2889" s="12">
        <v>41096</v>
      </c>
      <c r="B2889" s="9">
        <v>464.43</v>
      </c>
      <c r="C2889" s="9">
        <v>459.7</v>
      </c>
      <c r="D2889" s="9">
        <v>460.2</v>
      </c>
      <c r="E2889" s="9">
        <f t="shared" si="136"/>
        <v>-4.9853793512143517E-3</v>
      </c>
      <c r="F2889" s="9">
        <f t="shared" si="134"/>
        <v>4.9739114932708939E-2</v>
      </c>
      <c r="G2889" s="9">
        <f t="shared" si="135"/>
        <v>1.2821904552869828E-2</v>
      </c>
    </row>
    <row r="2890" spans="1:7" x14ac:dyDescent="0.2">
      <c r="A2890" s="12">
        <v>41099</v>
      </c>
      <c r="B2890" s="9">
        <v>460.6</v>
      </c>
      <c r="C2890" s="9">
        <v>454.62</v>
      </c>
      <c r="D2890" s="9">
        <v>458.03</v>
      </c>
      <c r="E2890" s="9">
        <f t="shared" si="136"/>
        <v>-4.7264934488487759E-3</v>
      </c>
      <c r="F2890" s="9">
        <f t="shared" si="134"/>
        <v>4.0910238630813951E-2</v>
      </c>
      <c r="G2890" s="9">
        <f t="shared" si="135"/>
        <v>1.2865114257309518E-2</v>
      </c>
    </row>
    <row r="2891" spans="1:7" x14ac:dyDescent="0.2">
      <c r="A2891" s="12">
        <v>41100</v>
      </c>
      <c r="B2891" s="9">
        <v>464.79</v>
      </c>
      <c r="C2891" s="9">
        <v>458.2</v>
      </c>
      <c r="D2891" s="9">
        <v>464.19</v>
      </c>
      <c r="E2891" s="9">
        <f t="shared" si="136"/>
        <v>1.3359267017274254E-2</v>
      </c>
      <c r="F2891" s="9">
        <f t="shared" si="134"/>
        <v>4.4604533004176446E-2</v>
      </c>
      <c r="G2891" s="9">
        <f t="shared" si="135"/>
        <v>1.2964609043398339E-2</v>
      </c>
    </row>
    <row r="2892" spans="1:7" x14ac:dyDescent="0.2">
      <c r="A2892" s="12">
        <v>41101</v>
      </c>
      <c r="B2892" s="9">
        <v>465.1</v>
      </c>
      <c r="C2892" s="9">
        <v>459.85</v>
      </c>
      <c r="D2892" s="9">
        <v>460.4</v>
      </c>
      <c r="E2892" s="9">
        <f t="shared" si="136"/>
        <v>-8.1982743219634596E-3</v>
      </c>
      <c r="F2892" s="9">
        <f t="shared" si="134"/>
        <v>3.6068432254217055E-2</v>
      </c>
      <c r="G2892" s="9">
        <f t="shared" si="135"/>
        <v>1.3083819351161452E-2</v>
      </c>
    </row>
    <row r="2893" spans="1:7" x14ac:dyDescent="0.2">
      <c r="A2893" s="12">
        <v>41102</v>
      </c>
      <c r="B2893" s="9">
        <v>460.8</v>
      </c>
      <c r="C2893" s="9">
        <v>457.28</v>
      </c>
      <c r="D2893" s="9">
        <v>459.11</v>
      </c>
      <c r="E2893" s="9">
        <f t="shared" si="136"/>
        <v>-2.8058440828738424E-3</v>
      </c>
      <c r="F2893" s="9">
        <f t="shared" si="134"/>
        <v>5.2289997550608897E-2</v>
      </c>
      <c r="G2893" s="9">
        <f t="shared" si="135"/>
        <v>1.2542970171512378E-2</v>
      </c>
    </row>
    <row r="2894" spans="1:7" x14ac:dyDescent="0.2">
      <c r="A2894" s="12">
        <v>41103</v>
      </c>
      <c r="B2894" s="9">
        <v>461.66</v>
      </c>
      <c r="C2894" s="9">
        <v>458.23</v>
      </c>
      <c r="D2894" s="9">
        <v>461.1</v>
      </c>
      <c r="E2894" s="9">
        <f t="shared" si="136"/>
        <v>4.3251064478062274E-3</v>
      </c>
      <c r="F2894" s="9">
        <f t="shared" si="134"/>
        <v>6.4587680156887525E-2</v>
      </c>
      <c r="G2894" s="9">
        <f t="shared" si="135"/>
        <v>1.2414800228493566E-2</v>
      </c>
    </row>
    <row r="2895" spans="1:7" x14ac:dyDescent="0.2">
      <c r="A2895" s="12">
        <v>41106</v>
      </c>
      <c r="B2895" s="9">
        <v>466.36</v>
      </c>
      <c r="C2895" s="9">
        <v>461.69</v>
      </c>
      <c r="D2895" s="9">
        <v>466.25</v>
      </c>
      <c r="E2895" s="9">
        <f t="shared" si="136"/>
        <v>1.1107031745365422E-2</v>
      </c>
      <c r="F2895" s="9">
        <f t="shared" si="134"/>
        <v>0.10530094042918883</v>
      </c>
      <c r="G2895" s="9">
        <f t="shared" si="135"/>
        <v>1.096384456604696E-2</v>
      </c>
    </row>
    <row r="2896" spans="1:7" x14ac:dyDescent="0.2">
      <c r="A2896" s="12">
        <v>41107</v>
      </c>
      <c r="B2896" s="9">
        <v>469.75</v>
      </c>
      <c r="C2896" s="9">
        <v>466.72</v>
      </c>
      <c r="D2896" s="9">
        <v>467.55</v>
      </c>
      <c r="E2896" s="9">
        <f t="shared" si="136"/>
        <v>2.7843239234305933E-3</v>
      </c>
      <c r="F2896" s="9">
        <f t="shared" si="134"/>
        <v>0.11814402477046547</v>
      </c>
      <c r="G2896" s="9">
        <f t="shared" si="135"/>
        <v>1.0662352595353955E-2</v>
      </c>
    </row>
    <row r="2897" spans="1:7" x14ac:dyDescent="0.2">
      <c r="A2897" s="12">
        <v>41108</v>
      </c>
      <c r="B2897" s="9">
        <v>470.23</v>
      </c>
      <c r="C2897" s="9">
        <v>465.49</v>
      </c>
      <c r="D2897" s="9">
        <v>470.23</v>
      </c>
      <c r="E2897" s="9">
        <f t="shared" si="136"/>
        <v>5.7156418263873731E-3</v>
      </c>
      <c r="F2897" s="9">
        <f t="shared" si="134"/>
        <v>9.7304809655128444E-2</v>
      </c>
      <c r="G2897" s="9">
        <f t="shared" si="135"/>
        <v>9.7804427379374163E-3</v>
      </c>
    </row>
    <row r="2898" spans="1:7" x14ac:dyDescent="0.2">
      <c r="A2898" s="12">
        <v>41109</v>
      </c>
      <c r="B2898" s="9">
        <v>477.05</v>
      </c>
      <c r="C2898" s="9">
        <v>471.7</v>
      </c>
      <c r="D2898" s="9">
        <v>477.04</v>
      </c>
      <c r="E2898" s="9">
        <f t="shared" si="136"/>
        <v>1.4378408107007431E-2</v>
      </c>
      <c r="F2898" s="9">
        <f t="shared" si="134"/>
        <v>9.568548080956768E-2</v>
      </c>
      <c r="G2898" s="9">
        <f t="shared" si="135"/>
        <v>9.7118536434860191E-3</v>
      </c>
    </row>
    <row r="2899" spans="1:7" x14ac:dyDescent="0.2">
      <c r="A2899" s="12">
        <v>41110</v>
      </c>
      <c r="B2899" s="9">
        <v>477.09</v>
      </c>
      <c r="C2899" s="9">
        <v>473.19</v>
      </c>
      <c r="D2899" s="9">
        <v>473.19</v>
      </c>
      <c r="E2899" s="9">
        <f t="shared" si="136"/>
        <v>-8.1033456473581771E-3</v>
      </c>
      <c r="F2899" s="9">
        <f t="shared" si="134"/>
        <v>0.10367363456767222</v>
      </c>
      <c r="G2899" s="9">
        <f t="shared" si="135"/>
        <v>9.2641822000880183E-3</v>
      </c>
    </row>
    <row r="2900" spans="1:7" x14ac:dyDescent="0.2">
      <c r="A2900" s="12">
        <v>41113</v>
      </c>
      <c r="B2900" s="9">
        <v>471.72</v>
      </c>
      <c r="C2900" s="9">
        <v>462.56</v>
      </c>
      <c r="D2900" s="9">
        <v>463.21</v>
      </c>
      <c r="E2900" s="9">
        <f t="shared" si="136"/>
        <v>-2.1316484195285482E-2</v>
      </c>
      <c r="F2900" s="9">
        <f t="shared" si="134"/>
        <v>6.8898811817586614E-2</v>
      </c>
      <c r="G2900" s="9">
        <f t="shared" si="135"/>
        <v>1.0106726870255697E-2</v>
      </c>
    </row>
    <row r="2901" spans="1:7" x14ac:dyDescent="0.2">
      <c r="A2901" s="12">
        <v>41114</v>
      </c>
      <c r="B2901" s="9">
        <v>466.84</v>
      </c>
      <c r="C2901" s="9">
        <v>463.19</v>
      </c>
      <c r="D2901" s="9">
        <v>464.37</v>
      </c>
      <c r="E2901" s="9">
        <f t="shared" si="136"/>
        <v>2.5011332816889061E-3</v>
      </c>
      <c r="F2901" s="9">
        <f t="shared" si="134"/>
        <v>7.4086437833398133E-2</v>
      </c>
      <c r="G2901" s="9">
        <f t="shared" si="135"/>
        <v>1.0062811706862372E-2</v>
      </c>
    </row>
    <row r="2902" spans="1:7" x14ac:dyDescent="0.2">
      <c r="A2902" s="12">
        <v>41115</v>
      </c>
      <c r="B2902" s="9">
        <v>469.53</v>
      </c>
      <c r="C2902" s="9">
        <v>463.46</v>
      </c>
      <c r="D2902" s="9">
        <v>466.58</v>
      </c>
      <c r="E2902" s="9">
        <f t="shared" si="136"/>
        <v>4.7478471485968791E-3</v>
      </c>
      <c r="F2902" s="9">
        <f t="shared" si="134"/>
        <v>7.8764715731575424E-2</v>
      </c>
      <c r="G2902" s="9">
        <f t="shared" si="135"/>
        <v>1.0060586139896296E-2</v>
      </c>
    </row>
    <row r="2903" spans="1:7" x14ac:dyDescent="0.2">
      <c r="A2903" s="12">
        <v>41116</v>
      </c>
      <c r="B2903" s="9">
        <v>474.06</v>
      </c>
      <c r="C2903" s="9">
        <v>465.96</v>
      </c>
      <c r="D2903" s="9">
        <v>472.48</v>
      </c>
      <c r="E2903" s="9">
        <f t="shared" si="136"/>
        <v>1.2565922593119887E-2</v>
      </c>
      <c r="F2903" s="9">
        <f t="shared" si="134"/>
        <v>9.7168067833799457E-2</v>
      </c>
      <c r="G2903" s="9">
        <f t="shared" si="135"/>
        <v>1.0087800996611518E-2</v>
      </c>
    </row>
    <row r="2904" spans="1:7" x14ac:dyDescent="0.2">
      <c r="A2904" s="12">
        <v>41117</v>
      </c>
      <c r="B2904" s="9">
        <v>483.01</v>
      </c>
      <c r="C2904" s="9">
        <v>473.95</v>
      </c>
      <c r="D2904" s="9">
        <v>482.98</v>
      </c>
      <c r="E2904" s="9">
        <f t="shared" si="136"/>
        <v>2.1979826932135856E-2</v>
      </c>
      <c r="F2904" s="9">
        <f t="shared" si="134"/>
        <v>0.11342641669649833</v>
      </c>
      <c r="G2904" s="9">
        <f t="shared" si="135"/>
        <v>1.0646992452464624E-2</v>
      </c>
    </row>
    <row r="2905" spans="1:7" x14ac:dyDescent="0.2">
      <c r="A2905" s="12">
        <v>41120</v>
      </c>
      <c r="B2905" s="9">
        <v>487.39</v>
      </c>
      <c r="C2905" s="9">
        <v>483.55</v>
      </c>
      <c r="D2905" s="9">
        <v>485.01</v>
      </c>
      <c r="E2905" s="9">
        <f t="shared" si="136"/>
        <v>4.1942643538760939E-3</v>
      </c>
      <c r="F2905" s="9">
        <f t="shared" si="134"/>
        <v>0.11347797172234023</v>
      </c>
      <c r="G2905" s="9">
        <f t="shared" si="135"/>
        <v>1.0647057028553727E-2</v>
      </c>
    </row>
    <row r="2906" spans="1:7" x14ac:dyDescent="0.2">
      <c r="A2906" s="12">
        <v>41121</v>
      </c>
      <c r="B2906" s="9">
        <v>486.41</v>
      </c>
      <c r="C2906" s="9">
        <v>482.21</v>
      </c>
      <c r="D2906" s="9">
        <v>484.14</v>
      </c>
      <c r="E2906" s="9">
        <f t="shared" si="136"/>
        <v>-1.7953881931545078E-3</v>
      </c>
      <c r="F2906" s="9">
        <f t="shared" si="134"/>
        <v>9.5849425431372745E-2</v>
      </c>
      <c r="G2906" s="9">
        <f t="shared" si="135"/>
        <v>1.0443565898278951E-2</v>
      </c>
    </row>
    <row r="2907" spans="1:7" x14ac:dyDescent="0.2">
      <c r="A2907" s="12">
        <v>41122</v>
      </c>
      <c r="B2907" s="9">
        <v>484.54</v>
      </c>
      <c r="C2907" s="9">
        <v>480.78</v>
      </c>
      <c r="D2907" s="9">
        <v>481.6</v>
      </c>
      <c r="E2907" s="9">
        <f t="shared" si="136"/>
        <v>-5.2602270938588531E-3</v>
      </c>
      <c r="F2907" s="9">
        <f t="shared" si="134"/>
        <v>8.840921246157521E-2</v>
      </c>
      <c r="G2907" s="9">
        <f t="shared" si="135"/>
        <v>1.0556235438547125E-2</v>
      </c>
    </row>
    <row r="2908" spans="1:7" x14ac:dyDescent="0.2">
      <c r="A2908" s="12">
        <v>41123</v>
      </c>
      <c r="B2908" s="9">
        <v>484.95</v>
      </c>
      <c r="C2908" s="9">
        <v>477.76</v>
      </c>
      <c r="D2908" s="9">
        <v>479.38</v>
      </c>
      <c r="E2908" s="9">
        <f t="shared" si="136"/>
        <v>-4.620291679767006E-3</v>
      </c>
      <c r="F2908" s="9">
        <f t="shared" si="134"/>
        <v>8.5741602933533195E-2</v>
      </c>
      <c r="G2908" s="9">
        <f t="shared" si="135"/>
        <v>1.0610029032140469E-2</v>
      </c>
    </row>
    <row r="2909" spans="1:7" x14ac:dyDescent="0.2">
      <c r="A2909" s="12">
        <v>41124</v>
      </c>
      <c r="B2909" s="9">
        <v>486.67</v>
      </c>
      <c r="C2909" s="9">
        <v>479.65</v>
      </c>
      <c r="D2909" s="9">
        <v>486.23</v>
      </c>
      <c r="E2909" s="9">
        <f t="shared" si="136"/>
        <v>1.4188160666506237E-2</v>
      </c>
      <c r="F2909" s="9">
        <f t="shared" si="134"/>
        <v>0.1030027318855576</v>
      </c>
      <c r="G2909" s="9">
        <f t="shared" si="135"/>
        <v>1.0744479777143557E-2</v>
      </c>
    </row>
    <row r="2910" spans="1:7" x14ac:dyDescent="0.2">
      <c r="A2910" s="12">
        <v>41127</v>
      </c>
      <c r="B2910" s="9">
        <v>491.58</v>
      </c>
      <c r="C2910" s="9">
        <v>487.32</v>
      </c>
      <c r="D2910" s="9">
        <v>488.3</v>
      </c>
      <c r="E2910" s="9">
        <f t="shared" si="136"/>
        <v>4.2482080862639984E-3</v>
      </c>
      <c r="F2910" s="9">
        <f t="shared" si="134"/>
        <v>0.12231921478297896</v>
      </c>
      <c r="G2910" s="9">
        <f t="shared" si="135"/>
        <v>1.0160411635159043E-2</v>
      </c>
    </row>
    <row r="2911" spans="1:7" x14ac:dyDescent="0.2">
      <c r="A2911" s="12">
        <v>41128</v>
      </c>
      <c r="B2911" s="9">
        <v>492.58</v>
      </c>
      <c r="C2911" s="9">
        <v>488.23</v>
      </c>
      <c r="D2911" s="9">
        <v>488.85</v>
      </c>
      <c r="E2911" s="9">
        <f t="shared" si="136"/>
        <v>1.1257228840657434E-3</v>
      </c>
      <c r="F2911" s="9">
        <f t="shared" si="134"/>
        <v>0.13134497410688395</v>
      </c>
      <c r="G2911" s="9">
        <f t="shared" si="135"/>
        <v>9.9244118832223747E-3</v>
      </c>
    </row>
    <row r="2912" spans="1:7" x14ac:dyDescent="0.2">
      <c r="A2912" s="12">
        <v>41129</v>
      </c>
      <c r="B2912" s="9">
        <v>488.25</v>
      </c>
      <c r="C2912" s="9">
        <v>483.88</v>
      </c>
      <c r="D2912" s="9">
        <v>487.71</v>
      </c>
      <c r="E2912" s="9">
        <f t="shared" si="136"/>
        <v>-2.3347270374381129E-3</v>
      </c>
      <c r="F2912" s="9">
        <f t="shared" si="134"/>
        <v>0.1175293309903163</v>
      </c>
      <c r="G2912" s="9">
        <f t="shared" si="135"/>
        <v>9.9039804860976237E-3</v>
      </c>
    </row>
    <row r="2913" spans="1:7" x14ac:dyDescent="0.2">
      <c r="A2913" s="12">
        <v>41130</v>
      </c>
      <c r="B2913" s="9">
        <v>501.21</v>
      </c>
      <c r="C2913" s="9">
        <v>491.33</v>
      </c>
      <c r="D2913" s="9">
        <v>492.22</v>
      </c>
      <c r="E2913" s="9">
        <f t="shared" si="136"/>
        <v>9.2048041058424377E-3</v>
      </c>
      <c r="F2913" s="9">
        <f t="shared" ref="F2913:F2976" si="137">LN(D2913/D2883)</f>
        <v>0.12514418142288902</v>
      </c>
      <c r="G2913" s="9">
        <f t="shared" si="135"/>
        <v>9.9397826657808084E-3</v>
      </c>
    </row>
    <row r="2914" spans="1:7" x14ac:dyDescent="0.2">
      <c r="A2914" s="12">
        <v>41131</v>
      </c>
      <c r="B2914" s="9">
        <v>492.24</v>
      </c>
      <c r="C2914" s="9">
        <v>486.02</v>
      </c>
      <c r="D2914" s="9">
        <v>489.16</v>
      </c>
      <c r="E2914" s="9">
        <f t="shared" si="136"/>
        <v>-6.2361366989154461E-3</v>
      </c>
      <c r="F2914" s="9">
        <f t="shared" si="137"/>
        <v>9.2281000224007953E-2</v>
      </c>
      <c r="G2914" s="9">
        <f t="shared" si="135"/>
        <v>9.1599674572005428E-3</v>
      </c>
    </row>
    <row r="2915" spans="1:7" x14ac:dyDescent="0.2">
      <c r="A2915" s="12">
        <v>41134</v>
      </c>
      <c r="B2915" s="9">
        <v>491</v>
      </c>
      <c r="C2915" s="9">
        <v>487.82</v>
      </c>
      <c r="D2915" s="9">
        <v>489.03</v>
      </c>
      <c r="E2915" s="9">
        <f t="shared" si="136"/>
        <v>-2.6579703486116063E-4</v>
      </c>
      <c r="F2915" s="9">
        <f t="shared" si="137"/>
        <v>8.0092126449102477E-2</v>
      </c>
      <c r="G2915" s="9">
        <f t="shared" si="135"/>
        <v>9.0233231815338572E-3</v>
      </c>
    </row>
    <row r="2916" spans="1:7" x14ac:dyDescent="0.2">
      <c r="A2916" s="12">
        <v>41135</v>
      </c>
      <c r="B2916" s="9">
        <v>497.59</v>
      </c>
      <c r="C2916" s="9">
        <v>490.93</v>
      </c>
      <c r="D2916" s="9">
        <v>497.59</v>
      </c>
      <c r="E2916" s="9">
        <f t="shared" si="136"/>
        <v>1.7352607473702465E-2</v>
      </c>
      <c r="F2916" s="9">
        <f t="shared" si="137"/>
        <v>8.2361558040196126E-2</v>
      </c>
      <c r="G2916" s="9">
        <f t="shared" si="135"/>
        <v>9.1397427273749148E-3</v>
      </c>
    </row>
    <row r="2917" spans="1:7" x14ac:dyDescent="0.2">
      <c r="A2917" s="12">
        <v>41136</v>
      </c>
      <c r="B2917" s="9">
        <v>501.67</v>
      </c>
      <c r="C2917" s="9">
        <v>494.87</v>
      </c>
      <c r="D2917" s="9">
        <v>500.37</v>
      </c>
      <c r="E2917" s="9">
        <f t="shared" si="136"/>
        <v>5.5713799971809251E-3</v>
      </c>
      <c r="F2917" s="9">
        <f t="shared" si="137"/>
        <v>8.496952096881509E-2</v>
      </c>
      <c r="G2917" s="9">
        <f t="shared" si="135"/>
        <v>9.1542792126863906E-3</v>
      </c>
    </row>
    <row r="2918" spans="1:7" x14ac:dyDescent="0.2">
      <c r="A2918" s="12">
        <v>41137</v>
      </c>
      <c r="B2918" s="9">
        <v>500.6</v>
      </c>
      <c r="C2918" s="9">
        <v>495.2</v>
      </c>
      <c r="D2918" s="9">
        <v>496.85</v>
      </c>
      <c r="E2918" s="9">
        <f t="shared" si="136"/>
        <v>-7.0596550798190712E-3</v>
      </c>
      <c r="F2918" s="9">
        <f t="shared" si="137"/>
        <v>7.1641612724892445E-2</v>
      </c>
      <c r="G2918" s="9">
        <f t="shared" si="135"/>
        <v>9.3039635021962136E-3</v>
      </c>
    </row>
    <row r="2919" spans="1:7" x14ac:dyDescent="0.2">
      <c r="A2919" s="12">
        <v>41138</v>
      </c>
      <c r="B2919" s="9">
        <v>498.24</v>
      </c>
      <c r="C2919" s="9">
        <v>493.42</v>
      </c>
      <c r="D2919" s="9">
        <v>493.87</v>
      </c>
      <c r="E2919" s="9">
        <f t="shared" si="136"/>
        <v>-6.0158450163014365E-3</v>
      </c>
      <c r="F2919" s="9">
        <f t="shared" si="137"/>
        <v>7.0611147059805521E-2</v>
      </c>
      <c r="G2919" s="9">
        <f t="shared" ref="G2919:G2982" si="138">STDEV(E2890:E2919)</f>
        <v>9.3339775535427501E-3</v>
      </c>
    </row>
    <row r="2920" spans="1:7" x14ac:dyDescent="0.2">
      <c r="A2920" s="12">
        <v>41141</v>
      </c>
      <c r="B2920" s="9">
        <v>498.33</v>
      </c>
      <c r="C2920" s="9">
        <v>493.58</v>
      </c>
      <c r="D2920" s="9">
        <v>494.49</v>
      </c>
      <c r="E2920" s="9">
        <f t="shared" si="136"/>
        <v>1.2546037503033615E-3</v>
      </c>
      <c r="F2920" s="9">
        <f t="shared" si="137"/>
        <v>7.6592244258957679E-2</v>
      </c>
      <c r="G2920" s="9">
        <f t="shared" si="138"/>
        <v>9.2409458688796336E-3</v>
      </c>
    </row>
    <row r="2921" spans="1:7" x14ac:dyDescent="0.2">
      <c r="A2921" s="12">
        <v>41142</v>
      </c>
      <c r="B2921" s="9">
        <v>496.88</v>
      </c>
      <c r="C2921" s="9">
        <v>493.69</v>
      </c>
      <c r="D2921" s="9">
        <v>494.14</v>
      </c>
      <c r="E2921" s="9">
        <f t="shared" si="136"/>
        <v>-7.0805056415908381E-4</v>
      </c>
      <c r="F2921" s="9">
        <f t="shared" si="137"/>
        <v>6.2524926677524309E-2</v>
      </c>
      <c r="G2921" s="9">
        <f t="shared" si="138"/>
        <v>9.0281593390959414E-3</v>
      </c>
    </row>
    <row r="2922" spans="1:7" x14ac:dyDescent="0.2">
      <c r="A2922" s="12">
        <v>41143</v>
      </c>
      <c r="B2922" s="9">
        <v>493.2</v>
      </c>
      <c r="C2922" s="9">
        <v>488.85</v>
      </c>
      <c r="D2922" s="9">
        <v>490.54</v>
      </c>
      <c r="E2922" s="9">
        <f t="shared" si="136"/>
        <v>-7.3120527274245523E-3</v>
      </c>
      <c r="F2922" s="9">
        <f t="shared" si="137"/>
        <v>6.3411148272063039E-2</v>
      </c>
      <c r="G2922" s="9">
        <f t="shared" si="138"/>
        <v>8.9947424134333032E-3</v>
      </c>
    </row>
    <row r="2923" spans="1:7" x14ac:dyDescent="0.2">
      <c r="A2923" s="12">
        <v>41144</v>
      </c>
      <c r="B2923" s="9">
        <v>495.73</v>
      </c>
      <c r="C2923" s="9">
        <v>490.23</v>
      </c>
      <c r="D2923" s="9">
        <v>491.09</v>
      </c>
      <c r="E2923" s="9">
        <f t="shared" si="136"/>
        <v>1.1205852664515476E-3</v>
      </c>
      <c r="F2923" s="9">
        <f t="shared" si="137"/>
        <v>6.7337577621388561E-2</v>
      </c>
      <c r="G2923" s="9">
        <f t="shared" si="138"/>
        <v>8.9491413007456271E-3</v>
      </c>
    </row>
    <row r="2924" spans="1:7" x14ac:dyDescent="0.2">
      <c r="A2924" s="12">
        <v>41145</v>
      </c>
      <c r="B2924" s="9">
        <v>491.34</v>
      </c>
      <c r="C2924" s="9">
        <v>486.25</v>
      </c>
      <c r="D2924" s="9">
        <v>487.55</v>
      </c>
      <c r="E2924" s="9">
        <f t="shared" si="136"/>
        <v>-7.2345611051141548E-3</v>
      </c>
      <c r="F2924" s="9">
        <f t="shared" si="137"/>
        <v>5.5777910068468148E-2</v>
      </c>
      <c r="G2924" s="9">
        <f t="shared" si="138"/>
        <v>9.1039935082378627E-3</v>
      </c>
    </row>
    <row r="2925" spans="1:7" x14ac:dyDescent="0.2">
      <c r="A2925" s="12">
        <v>41148</v>
      </c>
      <c r="B2925" s="9">
        <v>490.95</v>
      </c>
      <c r="C2925" s="9">
        <v>487.76</v>
      </c>
      <c r="D2925" s="9">
        <v>489.87</v>
      </c>
      <c r="E2925" s="9">
        <f t="shared" si="136"/>
        <v>4.7472005012001127E-3</v>
      </c>
      <c r="F2925" s="9">
        <f t="shared" si="137"/>
        <v>4.9418078824302679E-2</v>
      </c>
      <c r="G2925" s="9">
        <f t="shared" si="138"/>
        <v>8.9540377184637743E-3</v>
      </c>
    </row>
    <row r="2926" spans="1:7" x14ac:dyDescent="0.2">
      <c r="A2926" s="12">
        <v>41149</v>
      </c>
      <c r="B2926" s="9">
        <v>490.72</v>
      </c>
      <c r="C2926" s="9">
        <v>486.95</v>
      </c>
      <c r="D2926" s="9">
        <v>487.29</v>
      </c>
      <c r="E2926" s="9">
        <f t="shared" si="136"/>
        <v>-5.2806213829138726E-3</v>
      </c>
      <c r="F2926" s="9">
        <f t="shared" si="137"/>
        <v>4.1353133517958343E-2</v>
      </c>
      <c r="G2926" s="9">
        <f t="shared" si="138"/>
        <v>9.0393843569419596E-3</v>
      </c>
    </row>
    <row r="2927" spans="1:7" x14ac:dyDescent="0.2">
      <c r="A2927" s="12">
        <v>41150</v>
      </c>
      <c r="B2927" s="9">
        <v>491.34</v>
      </c>
      <c r="C2927" s="9">
        <v>486.65</v>
      </c>
      <c r="D2927" s="9">
        <v>489.53</v>
      </c>
      <c r="E2927" s="9">
        <f t="shared" si="136"/>
        <v>4.5863187207568689E-3</v>
      </c>
      <c r="F2927" s="9">
        <f t="shared" si="137"/>
        <v>4.0223810412327816E-2</v>
      </c>
      <c r="G2927" s="9">
        <f t="shared" si="138"/>
        <v>9.0230361620464473E-3</v>
      </c>
    </row>
    <row r="2928" spans="1:7" x14ac:dyDescent="0.2">
      <c r="A2928" s="12">
        <v>41151</v>
      </c>
      <c r="B2928" s="9">
        <v>489.99</v>
      </c>
      <c r="C2928" s="9">
        <v>487.85</v>
      </c>
      <c r="D2928" s="9">
        <v>488.04</v>
      </c>
      <c r="E2928" s="9">
        <f t="shared" si="136"/>
        <v>-3.0483774130375518E-3</v>
      </c>
      <c r="F2928" s="9">
        <f t="shared" si="137"/>
        <v>2.2797024892283115E-2</v>
      </c>
      <c r="G2928" s="9">
        <f t="shared" si="138"/>
        <v>8.7102844557426021E-3</v>
      </c>
    </row>
    <row r="2929" spans="1:7" x14ac:dyDescent="0.2">
      <c r="A2929" s="12">
        <v>41152</v>
      </c>
      <c r="B2929" s="9">
        <v>490.16</v>
      </c>
      <c r="C2929" s="9">
        <v>487.2</v>
      </c>
      <c r="D2929" s="9">
        <v>490.16</v>
      </c>
      <c r="E2929" s="9">
        <f t="shared" si="136"/>
        <v>4.3344987102656952E-3</v>
      </c>
      <c r="F2929" s="9">
        <f t="shared" si="137"/>
        <v>3.5234869249906799E-2</v>
      </c>
      <c r="G2929" s="9">
        <f t="shared" si="138"/>
        <v>8.5687212860255466E-3</v>
      </c>
    </row>
    <row r="2930" spans="1:7" x14ac:dyDescent="0.2">
      <c r="A2930" s="12">
        <v>41155</v>
      </c>
      <c r="B2930" s="9">
        <v>494.29</v>
      </c>
      <c r="C2930" s="9">
        <v>491.45</v>
      </c>
      <c r="D2930" s="9">
        <v>494.23</v>
      </c>
      <c r="E2930" s="9">
        <f t="shared" si="136"/>
        <v>8.2691274630399009E-3</v>
      </c>
      <c r="F2930" s="9">
        <f t="shared" si="137"/>
        <v>6.4820480908232184E-2</v>
      </c>
      <c r="G2930" s="9">
        <f t="shared" si="138"/>
        <v>7.5305795657003381E-3</v>
      </c>
    </row>
    <row r="2931" spans="1:7" x14ac:dyDescent="0.2">
      <c r="A2931" s="12">
        <v>41156</v>
      </c>
      <c r="B2931" s="9">
        <v>495.42</v>
      </c>
      <c r="C2931" s="9">
        <v>489.77</v>
      </c>
      <c r="D2931" s="9">
        <v>489.88</v>
      </c>
      <c r="E2931" s="9">
        <f t="shared" si="136"/>
        <v>-8.8405327273526207E-3</v>
      </c>
      <c r="F2931" s="9">
        <f t="shared" si="137"/>
        <v>5.3478814899190763E-2</v>
      </c>
      <c r="G2931" s="9">
        <f t="shared" si="138"/>
        <v>7.7930169534824222E-3</v>
      </c>
    </row>
    <row r="2932" spans="1:7" x14ac:dyDescent="0.2">
      <c r="A2932" s="12">
        <v>41157</v>
      </c>
      <c r="B2932" s="9">
        <v>493.41</v>
      </c>
      <c r="C2932" s="9">
        <v>490.08</v>
      </c>
      <c r="D2932" s="9">
        <v>492.97</v>
      </c>
      <c r="E2932" s="9">
        <f t="shared" si="136"/>
        <v>6.2878571110723553E-3</v>
      </c>
      <c r="F2932" s="9">
        <f t="shared" si="137"/>
        <v>5.5018824861666198E-2</v>
      </c>
      <c r="G2932" s="9">
        <f t="shared" si="138"/>
        <v>7.818254053364582E-3</v>
      </c>
    </row>
    <row r="2933" spans="1:7" x14ac:dyDescent="0.2">
      <c r="A2933" s="12">
        <v>41158</v>
      </c>
      <c r="B2933" s="9">
        <v>500.14</v>
      </c>
      <c r="C2933" s="9">
        <v>494.03</v>
      </c>
      <c r="D2933" s="9">
        <v>499.82</v>
      </c>
      <c r="E2933" s="9">
        <f t="shared" si="136"/>
        <v>1.3799713342476781E-2</v>
      </c>
      <c r="F2933" s="9">
        <f t="shared" si="137"/>
        <v>5.6252615611023016E-2</v>
      </c>
      <c r="G2933" s="9">
        <f t="shared" si="138"/>
        <v>7.8796579775089436E-3</v>
      </c>
    </row>
    <row r="2934" spans="1:7" x14ac:dyDescent="0.2">
      <c r="A2934" s="12">
        <v>41159</v>
      </c>
      <c r="B2934" s="9">
        <v>501.95</v>
      </c>
      <c r="C2934" s="9">
        <v>496.31</v>
      </c>
      <c r="D2934" s="9">
        <v>496.63</v>
      </c>
      <c r="E2934" s="9">
        <f t="shared" si="136"/>
        <v>-6.4027515638327591E-3</v>
      </c>
      <c r="F2934" s="9">
        <f t="shared" si="137"/>
        <v>2.7870037115054369E-2</v>
      </c>
      <c r="G2934" s="9">
        <f t="shared" si="138"/>
        <v>7.0418722551169105E-3</v>
      </c>
    </row>
    <row r="2935" spans="1:7" x14ac:dyDescent="0.2">
      <c r="A2935" s="12">
        <v>41162</v>
      </c>
      <c r="B2935" s="9">
        <v>497.73</v>
      </c>
      <c r="C2935" s="9">
        <v>492.76</v>
      </c>
      <c r="D2935" s="9">
        <v>494.79</v>
      </c>
      <c r="E2935" s="9">
        <f t="shared" si="136"/>
        <v>-3.7118519146322605E-3</v>
      </c>
      <c r="F2935" s="9">
        <f t="shared" si="137"/>
        <v>1.9963920846545923E-2</v>
      </c>
      <c r="G2935" s="9">
        <f t="shared" si="138"/>
        <v>7.0633659061589789E-3</v>
      </c>
    </row>
    <row r="2936" spans="1:7" x14ac:dyDescent="0.2">
      <c r="A2936" s="12">
        <v>41163</v>
      </c>
      <c r="B2936" s="9">
        <v>495.95</v>
      </c>
      <c r="C2936" s="9">
        <v>492.52</v>
      </c>
      <c r="D2936" s="9">
        <v>495.37</v>
      </c>
      <c r="E2936" s="9">
        <f t="shared" si="136"/>
        <v>1.171527967876678E-3</v>
      </c>
      <c r="F2936" s="9">
        <f t="shared" si="137"/>
        <v>2.2930837007577195E-2</v>
      </c>
      <c r="G2936" s="9">
        <f t="shared" si="138"/>
        <v>7.048477182423225E-3</v>
      </c>
    </row>
    <row r="2937" spans="1:7" x14ac:dyDescent="0.2">
      <c r="A2937" s="12">
        <v>41164</v>
      </c>
      <c r="B2937" s="9">
        <v>494.82</v>
      </c>
      <c r="C2937" s="9">
        <v>484.68</v>
      </c>
      <c r="D2937" s="9">
        <v>489.7</v>
      </c>
      <c r="E2937" s="9">
        <f t="shared" si="136"/>
        <v>-1.1511999387775616E-2</v>
      </c>
      <c r="F2937" s="9">
        <f t="shared" si="137"/>
        <v>1.667906471366036E-2</v>
      </c>
      <c r="G2937" s="9">
        <f t="shared" si="138"/>
        <v>7.319931295230106E-3</v>
      </c>
    </row>
    <row r="2938" spans="1:7" x14ac:dyDescent="0.2">
      <c r="A2938" s="12">
        <v>41165</v>
      </c>
      <c r="B2938" s="9">
        <v>490.11</v>
      </c>
      <c r="C2938" s="9">
        <v>484.73</v>
      </c>
      <c r="D2938" s="9">
        <v>485.06</v>
      </c>
      <c r="E2938" s="9">
        <f t="shared" si="136"/>
        <v>-9.520364082199086E-3</v>
      </c>
      <c r="F2938" s="9">
        <f t="shared" si="137"/>
        <v>1.1778992311228227E-2</v>
      </c>
      <c r="G2938" s="9">
        <f t="shared" si="138"/>
        <v>7.4920622037626941E-3</v>
      </c>
    </row>
    <row r="2939" spans="1:7" x14ac:dyDescent="0.2">
      <c r="A2939" s="12">
        <v>41166</v>
      </c>
      <c r="B2939" s="9">
        <v>491.37</v>
      </c>
      <c r="C2939" s="9">
        <v>484.8</v>
      </c>
      <c r="D2939" s="9">
        <v>488.49</v>
      </c>
      <c r="E2939" s="9">
        <f t="shared" si="136"/>
        <v>7.0464058181658948E-3</v>
      </c>
      <c r="F2939" s="9">
        <f t="shared" si="137"/>
        <v>4.6372374628880246E-3</v>
      </c>
      <c r="G2939" s="9">
        <f t="shared" si="138"/>
        <v>7.1439746512052095E-3</v>
      </c>
    </row>
    <row r="2940" spans="1:7" x14ac:dyDescent="0.2">
      <c r="A2940" s="12">
        <v>41169</v>
      </c>
      <c r="B2940" s="9">
        <v>489.94</v>
      </c>
      <c r="C2940" s="9">
        <v>485.86</v>
      </c>
      <c r="D2940" s="9">
        <v>486.27</v>
      </c>
      <c r="E2940" s="9">
        <f t="shared" si="136"/>
        <v>-4.5549752520448348E-3</v>
      </c>
      <c r="F2940" s="9">
        <f t="shared" si="137"/>
        <v>-4.1659458754207982E-3</v>
      </c>
      <c r="G2940" s="9">
        <f t="shared" si="138"/>
        <v>7.1508226289225983E-3</v>
      </c>
    </row>
    <row r="2941" spans="1:7" x14ac:dyDescent="0.2">
      <c r="A2941" s="12">
        <v>41170</v>
      </c>
      <c r="B2941" s="9">
        <v>487.86</v>
      </c>
      <c r="C2941" s="9">
        <v>482.76</v>
      </c>
      <c r="D2941" s="9">
        <v>486.82</v>
      </c>
      <c r="E2941" s="9">
        <f t="shared" si="136"/>
        <v>1.1304197115745774E-3</v>
      </c>
      <c r="F2941" s="9">
        <f t="shared" si="137"/>
        <v>-4.1612490479119553E-3</v>
      </c>
      <c r="G2941" s="9">
        <f t="shared" si="138"/>
        <v>7.1508513220332444E-3</v>
      </c>
    </row>
    <row r="2942" spans="1:7" x14ac:dyDescent="0.2">
      <c r="A2942" s="12">
        <v>41171</v>
      </c>
      <c r="B2942" s="9">
        <v>491.63</v>
      </c>
      <c r="C2942" s="9">
        <v>486.99</v>
      </c>
      <c r="D2942" s="9">
        <v>488.72</v>
      </c>
      <c r="E2942" s="9">
        <f t="shared" si="136"/>
        <v>3.8952834377431649E-3</v>
      </c>
      <c r="F2942" s="9">
        <f t="shared" si="137"/>
        <v>2.0687614272694773E-3</v>
      </c>
      <c r="G2942" s="9">
        <f t="shared" si="138"/>
        <v>7.1752985944015003E-3</v>
      </c>
    </row>
    <row r="2943" spans="1:7" x14ac:dyDescent="0.2">
      <c r="A2943" s="12">
        <v>41172</v>
      </c>
      <c r="B2943" s="9">
        <v>495.74</v>
      </c>
      <c r="C2943" s="9">
        <v>488.52</v>
      </c>
      <c r="D2943" s="9">
        <v>494.5</v>
      </c>
      <c r="E2943" s="9">
        <f t="shared" si="136"/>
        <v>1.1757422721255165E-2</v>
      </c>
      <c r="F2943" s="9">
        <f t="shared" si="137"/>
        <v>4.6213800426821872E-3</v>
      </c>
      <c r="G2943" s="9">
        <f t="shared" si="138"/>
        <v>7.3013973912334469E-3</v>
      </c>
    </row>
    <row r="2944" spans="1:7" x14ac:dyDescent="0.2">
      <c r="A2944" s="12">
        <v>41173</v>
      </c>
      <c r="B2944" s="9">
        <v>499.81</v>
      </c>
      <c r="C2944" s="9">
        <v>497.15</v>
      </c>
      <c r="D2944" s="9">
        <v>498.93</v>
      </c>
      <c r="E2944" s="9">
        <f t="shared" si="136"/>
        <v>8.9186542873913952E-3</v>
      </c>
      <c r="F2944" s="9">
        <f t="shared" si="137"/>
        <v>1.9776171028989122E-2</v>
      </c>
      <c r="G2944" s="9">
        <f t="shared" si="138"/>
        <v>7.3679877145197093E-3</v>
      </c>
    </row>
    <row r="2945" spans="1:7" x14ac:dyDescent="0.2">
      <c r="A2945" s="12">
        <v>41176</v>
      </c>
      <c r="B2945" s="9">
        <v>500</v>
      </c>
      <c r="C2945" s="9">
        <v>496.19</v>
      </c>
      <c r="D2945" s="9">
        <v>498.97</v>
      </c>
      <c r="E2945" s="9">
        <f t="shared" si="136"/>
        <v>8.0168353585341909E-5</v>
      </c>
      <c r="F2945" s="9">
        <f t="shared" si="137"/>
        <v>2.012213641743555E-2</v>
      </c>
      <c r="G2945" s="9">
        <f t="shared" si="138"/>
        <v>7.3667606466630096E-3</v>
      </c>
    </row>
    <row r="2946" spans="1:7" x14ac:dyDescent="0.2">
      <c r="A2946" s="12">
        <v>41177</v>
      </c>
      <c r="B2946" s="9">
        <v>500.96</v>
      </c>
      <c r="C2946" s="9">
        <v>497.25</v>
      </c>
      <c r="D2946" s="9">
        <v>500.9</v>
      </c>
      <c r="E2946" s="9">
        <f t="shared" si="136"/>
        <v>3.860506659827379E-3</v>
      </c>
      <c r="F2946" s="9">
        <f t="shared" si="137"/>
        <v>6.6300356035604788E-3</v>
      </c>
      <c r="G2946" s="9">
        <f t="shared" si="138"/>
        <v>6.6943817650279369E-3</v>
      </c>
    </row>
    <row r="2947" spans="1:7" x14ac:dyDescent="0.2">
      <c r="A2947" s="12">
        <v>41178</v>
      </c>
      <c r="B2947" s="9">
        <v>498.41</v>
      </c>
      <c r="C2947" s="9">
        <v>493.36</v>
      </c>
      <c r="D2947" s="9">
        <v>494.04</v>
      </c>
      <c r="E2947" s="9">
        <f t="shared" si="136"/>
        <v>-1.3789994793757386E-2</v>
      </c>
      <c r="F2947" s="9">
        <f t="shared" si="137"/>
        <v>-1.2731339187377799E-2</v>
      </c>
      <c r="G2947" s="9">
        <f t="shared" si="138"/>
        <v>7.0827953190645051E-3</v>
      </c>
    </row>
    <row r="2948" spans="1:7" x14ac:dyDescent="0.2">
      <c r="A2948" s="12">
        <v>41179</v>
      </c>
      <c r="B2948" s="9">
        <v>495.87</v>
      </c>
      <c r="C2948" s="9">
        <v>493.72</v>
      </c>
      <c r="D2948" s="9">
        <v>494.1</v>
      </c>
      <c r="E2948" s="9">
        <f t="shared" ref="E2948:E3011" si="139">LN(D2948/D2947)</f>
        <v>1.2144028189072152E-4</v>
      </c>
      <c r="F2948" s="9">
        <f t="shared" si="137"/>
        <v>-5.5502438256680173E-3</v>
      </c>
      <c r="G2948" s="9">
        <f t="shared" si="138"/>
        <v>6.9712853760028727E-3</v>
      </c>
    </row>
    <row r="2949" spans="1:7" x14ac:dyDescent="0.2">
      <c r="A2949" s="12">
        <v>41180</v>
      </c>
      <c r="B2949" s="9">
        <v>497.81</v>
      </c>
      <c r="C2949" s="9">
        <v>492.34</v>
      </c>
      <c r="D2949" s="9">
        <v>493.22</v>
      </c>
      <c r="E2949" s="9">
        <f t="shared" si="139"/>
        <v>-1.782603883299387E-3</v>
      </c>
      <c r="F2949" s="9">
        <f t="shared" si="137"/>
        <v>-1.3170026926660628E-3</v>
      </c>
      <c r="G2949" s="9">
        <f t="shared" si="138"/>
        <v>6.8915792770951499E-3</v>
      </c>
    </row>
    <row r="2950" spans="1:7" x14ac:dyDescent="0.2">
      <c r="A2950" s="12">
        <v>41183</v>
      </c>
      <c r="B2950" s="9">
        <v>500.17</v>
      </c>
      <c r="C2950" s="9">
        <v>490.93</v>
      </c>
      <c r="D2950" s="9">
        <v>499.78</v>
      </c>
      <c r="E2950" s="9">
        <f t="shared" si="139"/>
        <v>1.321267962538262E-2</v>
      </c>
      <c r="F2950" s="9">
        <f t="shared" si="137"/>
        <v>1.0641073182413419E-2</v>
      </c>
      <c r="G2950" s="9">
        <f t="shared" si="138"/>
        <v>7.3028250491953368E-3</v>
      </c>
    </row>
    <row r="2951" spans="1:7" x14ac:dyDescent="0.2">
      <c r="A2951" s="12">
        <v>41184</v>
      </c>
      <c r="B2951" s="9">
        <v>505.64</v>
      </c>
      <c r="C2951" s="9">
        <v>498.36</v>
      </c>
      <c r="D2951" s="9">
        <v>500.44</v>
      </c>
      <c r="E2951" s="9">
        <f t="shared" si="139"/>
        <v>1.3197098554115232E-3</v>
      </c>
      <c r="F2951" s="9">
        <f t="shared" si="137"/>
        <v>1.266883360198412E-2</v>
      </c>
      <c r="G2951" s="9">
        <f t="shared" si="138"/>
        <v>7.3020334726402016E-3</v>
      </c>
    </row>
    <row r="2952" spans="1:7" x14ac:dyDescent="0.2">
      <c r="A2952" s="12">
        <v>41185</v>
      </c>
      <c r="B2952" s="9">
        <v>500.74</v>
      </c>
      <c r="C2952" s="9">
        <v>499</v>
      </c>
      <c r="D2952" s="9">
        <v>499.69</v>
      </c>
      <c r="E2952" s="9">
        <f t="shared" si="139"/>
        <v>-1.4998053064871689E-3</v>
      </c>
      <c r="F2952" s="9">
        <f t="shared" si="137"/>
        <v>1.8481081022921488E-2</v>
      </c>
      <c r="G2952" s="9">
        <f t="shared" si="138"/>
        <v>7.1655770983074926E-3</v>
      </c>
    </row>
    <row r="2953" spans="1:7" x14ac:dyDescent="0.2">
      <c r="A2953" s="12">
        <v>41186</v>
      </c>
      <c r="B2953" s="9">
        <v>502.77</v>
      </c>
      <c r="C2953" s="9">
        <v>500.52</v>
      </c>
      <c r="D2953" s="9">
        <v>502.39</v>
      </c>
      <c r="E2953" s="9">
        <f t="shared" si="139"/>
        <v>5.3888043545817846E-3</v>
      </c>
      <c r="F2953" s="9">
        <f t="shared" si="137"/>
        <v>2.2749300111051557E-2</v>
      </c>
      <c r="G2953" s="9">
        <f t="shared" si="138"/>
        <v>7.2181209954463943E-3</v>
      </c>
    </row>
    <row r="2954" spans="1:7" x14ac:dyDescent="0.2">
      <c r="A2954" s="12">
        <v>41187</v>
      </c>
      <c r="B2954" s="9">
        <v>506.14</v>
      </c>
      <c r="C2954" s="9">
        <v>500.59</v>
      </c>
      <c r="D2954" s="9">
        <v>505.34</v>
      </c>
      <c r="E2954" s="9">
        <f t="shared" si="139"/>
        <v>5.854759562028901E-3</v>
      </c>
      <c r="F2954" s="9">
        <f t="shared" si="137"/>
        <v>3.5838620778194726E-2</v>
      </c>
      <c r="G2954" s="9">
        <f t="shared" si="138"/>
        <v>7.113158398016896E-3</v>
      </c>
    </row>
    <row r="2955" spans="1:7" x14ac:dyDescent="0.2">
      <c r="A2955" s="12">
        <v>41190</v>
      </c>
      <c r="B2955" s="9">
        <v>505.36</v>
      </c>
      <c r="C2955" s="9">
        <v>501.48</v>
      </c>
      <c r="D2955" s="9">
        <v>504.23</v>
      </c>
      <c r="E2955" s="9">
        <f t="shared" si="139"/>
        <v>-2.1989568772358375E-3</v>
      </c>
      <c r="F2955" s="9">
        <f t="shared" si="137"/>
        <v>2.8892463399758934E-2</v>
      </c>
      <c r="G2955" s="9">
        <f t="shared" si="138"/>
        <v>7.1065799803065313E-3</v>
      </c>
    </row>
    <row r="2956" spans="1:7" x14ac:dyDescent="0.2">
      <c r="A2956" s="12">
        <v>41191</v>
      </c>
      <c r="B2956" s="9">
        <v>505.11</v>
      </c>
      <c r="C2956" s="9">
        <v>499.39</v>
      </c>
      <c r="D2956" s="9">
        <v>499.97</v>
      </c>
      <c r="E2956" s="9">
        <f t="shared" si="139"/>
        <v>-8.4844165599670916E-3</v>
      </c>
      <c r="F2956" s="9">
        <f t="shared" si="137"/>
        <v>2.5688668222705685E-2</v>
      </c>
      <c r="G2956" s="9">
        <f t="shared" si="138"/>
        <v>7.2266989312858871E-3</v>
      </c>
    </row>
    <row r="2957" spans="1:7" x14ac:dyDescent="0.2">
      <c r="A2957" s="12">
        <v>41192</v>
      </c>
      <c r="B2957" s="9">
        <v>499.23</v>
      </c>
      <c r="C2957" s="9">
        <v>495.19</v>
      </c>
      <c r="D2957" s="9">
        <v>496.1</v>
      </c>
      <c r="E2957" s="9">
        <f t="shared" si="139"/>
        <v>-7.770577315116549E-3</v>
      </c>
      <c r="F2957" s="9">
        <f t="shared" si="137"/>
        <v>1.3331772186832229E-2</v>
      </c>
      <c r="G2957" s="9">
        <f t="shared" si="138"/>
        <v>7.357731290240959E-3</v>
      </c>
    </row>
    <row r="2958" spans="1:7" x14ac:dyDescent="0.2">
      <c r="A2958" s="12">
        <v>41193</v>
      </c>
      <c r="B2958" s="9">
        <v>496.04</v>
      </c>
      <c r="C2958" s="9">
        <v>493.32</v>
      </c>
      <c r="D2958" s="9">
        <v>495.21</v>
      </c>
      <c r="E2958" s="9">
        <f t="shared" si="139"/>
        <v>-1.795604279444018E-3</v>
      </c>
      <c r="F2958" s="9">
        <f t="shared" si="137"/>
        <v>1.4584545320425756E-2</v>
      </c>
      <c r="G2958" s="9">
        <f t="shared" si="138"/>
        <v>7.3407598777474221E-3</v>
      </c>
    </row>
    <row r="2959" spans="1:7" x14ac:dyDescent="0.2">
      <c r="A2959" s="12">
        <v>41194</v>
      </c>
      <c r="B2959" s="9">
        <v>494.94</v>
      </c>
      <c r="C2959" s="9">
        <v>490.96</v>
      </c>
      <c r="D2959" s="9">
        <v>491.41</v>
      </c>
      <c r="E2959" s="9">
        <f t="shared" si="139"/>
        <v>-7.703105127189365E-3</v>
      </c>
      <c r="F2959" s="9">
        <f t="shared" si="137"/>
        <v>2.5469414829708357E-3</v>
      </c>
      <c r="G2959" s="9">
        <f t="shared" si="138"/>
        <v>7.4513130752285241E-3</v>
      </c>
    </row>
    <row r="2960" spans="1:7" x14ac:dyDescent="0.2">
      <c r="A2960" s="12">
        <v>41197</v>
      </c>
      <c r="B2960" s="9">
        <v>497.06</v>
      </c>
      <c r="C2960" s="9">
        <v>492.27</v>
      </c>
      <c r="D2960" s="9">
        <v>496.66</v>
      </c>
      <c r="E2960" s="9">
        <f t="shared" si="139"/>
        <v>1.0626877462146352E-2</v>
      </c>
      <c r="F2960" s="9">
        <f t="shared" si="137"/>
        <v>4.9046914820771691E-3</v>
      </c>
      <c r="G2960" s="9">
        <f t="shared" si="138"/>
        <v>7.5523605561866169E-3</v>
      </c>
    </row>
    <row r="2961" spans="1:7" x14ac:dyDescent="0.2">
      <c r="A2961" s="12">
        <v>41198</v>
      </c>
      <c r="B2961" s="9">
        <v>502.88</v>
      </c>
      <c r="C2961" s="9">
        <v>498.14</v>
      </c>
      <c r="D2961" s="9">
        <v>501.82</v>
      </c>
      <c r="E2961" s="9">
        <f t="shared" si="139"/>
        <v>1.0335802292096139E-2</v>
      </c>
      <c r="F2961" s="9">
        <f t="shared" si="137"/>
        <v>2.4081026501525812E-2</v>
      </c>
      <c r="G2961" s="9">
        <f t="shared" si="138"/>
        <v>7.5754871122288257E-3</v>
      </c>
    </row>
    <row r="2962" spans="1:7" x14ac:dyDescent="0.2">
      <c r="A2962" s="12">
        <v>41199</v>
      </c>
      <c r="B2962" s="9">
        <v>502.49</v>
      </c>
      <c r="C2962" s="9">
        <v>499.41</v>
      </c>
      <c r="D2962" s="9">
        <v>500.55</v>
      </c>
      <c r="E2962" s="9">
        <f t="shared" si="139"/>
        <v>-2.5339957891197633E-3</v>
      </c>
      <c r="F2962" s="9">
        <f t="shared" si="137"/>
        <v>1.5259173601333905E-2</v>
      </c>
      <c r="G2962" s="9">
        <f t="shared" si="138"/>
        <v>7.5262863051400106E-3</v>
      </c>
    </row>
    <row r="2963" spans="1:7" x14ac:dyDescent="0.2">
      <c r="A2963" s="12">
        <v>41200</v>
      </c>
      <c r="B2963" s="9">
        <v>501.82</v>
      </c>
      <c r="C2963" s="9">
        <v>498.3</v>
      </c>
      <c r="D2963" s="9">
        <v>501.53</v>
      </c>
      <c r="E2963" s="9">
        <f t="shared" si="139"/>
        <v>1.9559322857051883E-3</v>
      </c>
      <c r="F2963" s="9">
        <f t="shared" si="137"/>
        <v>3.415392544562326E-3</v>
      </c>
      <c r="G2963" s="9">
        <f t="shared" si="138"/>
        <v>7.1038375885693235E-3</v>
      </c>
    </row>
    <row r="2964" spans="1:7" x14ac:dyDescent="0.2">
      <c r="A2964" s="12">
        <v>41201</v>
      </c>
      <c r="B2964" s="9">
        <v>505.41</v>
      </c>
      <c r="C2964" s="9">
        <v>501.14</v>
      </c>
      <c r="D2964" s="9">
        <v>504.66</v>
      </c>
      <c r="E2964" s="9">
        <f t="shared" si="139"/>
        <v>6.2215090512029317E-3</v>
      </c>
      <c r="F2964" s="9">
        <f t="shared" si="137"/>
        <v>1.603965315959811E-2</v>
      </c>
      <c r="G2964" s="9">
        <f t="shared" si="138"/>
        <v>7.0783687997740359E-3</v>
      </c>
    </row>
    <row r="2965" spans="1:7" x14ac:dyDescent="0.2">
      <c r="A2965" s="12">
        <v>41204</v>
      </c>
      <c r="B2965" s="9">
        <v>506.51</v>
      </c>
      <c r="C2965" s="9">
        <v>501.76</v>
      </c>
      <c r="D2965" s="9">
        <v>503.28</v>
      </c>
      <c r="E2965" s="9">
        <f t="shared" si="139"/>
        <v>-2.7382599406268128E-3</v>
      </c>
      <c r="F2965" s="9">
        <f t="shared" si="137"/>
        <v>1.7013245133603624E-2</v>
      </c>
      <c r="G2965" s="9">
        <f t="shared" si="138"/>
        <v>7.0604371166964166E-3</v>
      </c>
    </row>
    <row r="2966" spans="1:7" x14ac:dyDescent="0.2">
      <c r="A2966" s="12">
        <v>41205</v>
      </c>
      <c r="B2966" s="9">
        <v>503.92</v>
      </c>
      <c r="C2966" s="9">
        <v>496.94</v>
      </c>
      <c r="D2966" s="9">
        <v>497.71</v>
      </c>
      <c r="E2966" s="9">
        <f t="shared" si="139"/>
        <v>-1.1129097173960096E-2</v>
      </c>
      <c r="F2966" s="9">
        <f t="shared" si="137"/>
        <v>4.7126199917667151E-3</v>
      </c>
      <c r="G2966" s="9">
        <f t="shared" si="138"/>
        <v>7.3743165192119518E-3</v>
      </c>
    </row>
    <row r="2967" spans="1:7" x14ac:dyDescent="0.2">
      <c r="A2967" s="12">
        <v>41206</v>
      </c>
      <c r="B2967" s="9">
        <v>499.57</v>
      </c>
      <c r="C2967" s="9">
        <v>495.97</v>
      </c>
      <c r="D2967" s="9">
        <v>496.96</v>
      </c>
      <c r="E2967" s="9">
        <f t="shared" si="139"/>
        <v>-1.5080381274919241E-3</v>
      </c>
      <c r="F2967" s="9">
        <f t="shared" si="137"/>
        <v>1.4716581252050567E-2</v>
      </c>
      <c r="G2967" s="9">
        <f t="shared" si="138"/>
        <v>7.0473885181445411E-3</v>
      </c>
    </row>
    <row r="2968" spans="1:7" x14ac:dyDescent="0.2">
      <c r="A2968" s="12">
        <v>41207</v>
      </c>
      <c r="B2968" s="9">
        <v>501.98</v>
      </c>
      <c r="C2968" s="9">
        <v>497.89</v>
      </c>
      <c r="D2968" s="9">
        <v>499.41</v>
      </c>
      <c r="E2968" s="9">
        <f t="shared" si="139"/>
        <v>4.9178617137070517E-3</v>
      </c>
      <c r="F2968" s="9">
        <f t="shared" si="137"/>
        <v>2.9154807047956758E-2</v>
      </c>
      <c r="G2968" s="9">
        <f t="shared" si="138"/>
        <v>6.8297996320728161E-3</v>
      </c>
    </row>
    <row r="2969" spans="1:7" x14ac:dyDescent="0.2">
      <c r="A2969" s="12">
        <v>41208</v>
      </c>
      <c r="B2969" s="9">
        <v>494.6</v>
      </c>
      <c r="C2969" s="9">
        <v>487.67</v>
      </c>
      <c r="D2969" s="9">
        <v>491.78</v>
      </c>
      <c r="E2969" s="9">
        <f t="shared" si="139"/>
        <v>-1.5395939656639089E-2</v>
      </c>
      <c r="F2969" s="9">
        <f t="shared" si="137"/>
        <v>6.7124615731515612E-3</v>
      </c>
      <c r="G2969" s="9">
        <f t="shared" si="138"/>
        <v>7.3507057402000071E-3</v>
      </c>
    </row>
    <row r="2970" spans="1:7" x14ac:dyDescent="0.2">
      <c r="A2970" s="12">
        <v>41211</v>
      </c>
      <c r="B2970" s="9">
        <v>493.28</v>
      </c>
      <c r="C2970" s="9">
        <v>490.45</v>
      </c>
      <c r="D2970" s="9">
        <v>493.16</v>
      </c>
      <c r="E2970" s="9">
        <f t="shared" si="139"/>
        <v>2.802202982961818E-3</v>
      </c>
      <c r="F2970" s="9">
        <f t="shared" si="137"/>
        <v>1.4069639808158299E-2</v>
      </c>
      <c r="G2970" s="9">
        <f t="shared" si="138"/>
        <v>7.3083828251203466E-3</v>
      </c>
    </row>
    <row r="2971" spans="1:7" x14ac:dyDescent="0.2">
      <c r="A2971" s="12">
        <v>41212</v>
      </c>
      <c r="B2971" s="9">
        <v>491.86</v>
      </c>
      <c r="C2971" s="9">
        <v>488.45</v>
      </c>
      <c r="D2971" s="9">
        <v>488.47</v>
      </c>
      <c r="E2971" s="9">
        <f t="shared" si="139"/>
        <v>-9.5556078905442883E-3</v>
      </c>
      <c r="F2971" s="9">
        <f t="shared" si="137"/>
        <v>3.3836122060393395E-3</v>
      </c>
      <c r="G2971" s="9">
        <f t="shared" si="138"/>
        <v>7.5320235498196704E-3</v>
      </c>
    </row>
    <row r="2972" spans="1:7" x14ac:dyDescent="0.2">
      <c r="A2972" s="12">
        <v>41213</v>
      </c>
      <c r="B2972" s="9">
        <v>491.15</v>
      </c>
      <c r="C2972" s="9">
        <v>484.46</v>
      </c>
      <c r="D2972" s="9">
        <v>485.28</v>
      </c>
      <c r="E2972" s="9">
        <f t="shared" si="139"/>
        <v>-6.5520131695368002E-3</v>
      </c>
      <c r="F2972" s="9">
        <f t="shared" si="137"/>
        <v>-7.0636844012405995E-3</v>
      </c>
      <c r="G2972" s="9">
        <f t="shared" si="138"/>
        <v>7.5923829052488854E-3</v>
      </c>
    </row>
    <row r="2973" spans="1:7" x14ac:dyDescent="0.2">
      <c r="A2973" s="12">
        <v>41214</v>
      </c>
      <c r="B2973" s="9">
        <v>486.88</v>
      </c>
      <c r="C2973" s="9">
        <v>483.55</v>
      </c>
      <c r="D2973" s="9">
        <v>484.83</v>
      </c>
      <c r="E2973" s="9">
        <f t="shared" si="139"/>
        <v>-9.2772991160921863E-4</v>
      </c>
      <c r="F2973" s="9">
        <f t="shared" si="137"/>
        <v>-1.974883703410512E-2</v>
      </c>
      <c r="G2973" s="9">
        <f t="shared" si="138"/>
        <v>7.2468076127992888E-3</v>
      </c>
    </row>
    <row r="2974" spans="1:7" x14ac:dyDescent="0.2">
      <c r="A2974" s="12">
        <v>41215</v>
      </c>
      <c r="B2974" s="9">
        <v>489.83</v>
      </c>
      <c r="C2974" s="9">
        <v>486</v>
      </c>
      <c r="D2974" s="9">
        <v>489.13</v>
      </c>
      <c r="E2974" s="9">
        <f t="shared" si="139"/>
        <v>8.8299887854709075E-3</v>
      </c>
      <c r="F2974" s="9">
        <f t="shared" si="137"/>
        <v>-1.9837502536025727E-2</v>
      </c>
      <c r="G2974" s="9">
        <f t="shared" si="138"/>
        <v>7.2427840577184545E-3</v>
      </c>
    </row>
    <row r="2975" spans="1:7" x14ac:dyDescent="0.2">
      <c r="A2975" s="12">
        <v>41218</v>
      </c>
      <c r="B2975" s="9">
        <v>488.87</v>
      </c>
      <c r="C2975" s="9">
        <v>485.57</v>
      </c>
      <c r="D2975" s="9">
        <v>488.36</v>
      </c>
      <c r="E2975" s="9">
        <f t="shared" si="139"/>
        <v>-1.575464013477779E-3</v>
      </c>
      <c r="F2975" s="9">
        <f t="shared" si="137"/>
        <v>-2.1493134903088934E-2</v>
      </c>
      <c r="G2975" s="9">
        <f t="shared" si="138"/>
        <v>7.2432475605646316E-3</v>
      </c>
    </row>
    <row r="2976" spans="1:7" x14ac:dyDescent="0.2">
      <c r="A2976" s="12">
        <v>41219</v>
      </c>
      <c r="B2976" s="9">
        <v>494.6</v>
      </c>
      <c r="C2976" s="9">
        <v>473.64</v>
      </c>
      <c r="D2976" s="9">
        <v>473.8</v>
      </c>
      <c r="E2976" s="9">
        <f t="shared" si="139"/>
        <v>-3.026754707596957E-2</v>
      </c>
      <c r="F2976" s="9">
        <f t="shared" si="137"/>
        <v>-5.5621188638885988E-2</v>
      </c>
      <c r="G2976" s="9">
        <f t="shared" si="138"/>
        <v>8.9730822045189715E-3</v>
      </c>
    </row>
    <row r="2977" spans="1:7" x14ac:dyDescent="0.2">
      <c r="A2977" s="12">
        <v>41220</v>
      </c>
      <c r="B2977" s="9">
        <v>483.46</v>
      </c>
      <c r="C2977" s="9">
        <v>472.58</v>
      </c>
      <c r="D2977" s="9">
        <v>476.61</v>
      </c>
      <c r="E2977" s="9">
        <f t="shared" si="139"/>
        <v>5.9132546753568119E-3</v>
      </c>
      <c r="F2977" s="9">
        <f t="shared" ref="F2977:F3040" si="140">LN(D2977/D2947)</f>
        <v>-3.5917939169771818E-2</v>
      </c>
      <c r="G2977" s="9">
        <f t="shared" si="138"/>
        <v>8.7884978841135976E-3</v>
      </c>
    </row>
    <row r="2978" spans="1:7" x14ac:dyDescent="0.2">
      <c r="A2978" s="12">
        <v>41221</v>
      </c>
      <c r="B2978" s="9">
        <v>477.06</v>
      </c>
      <c r="C2978" s="9">
        <v>471.18</v>
      </c>
      <c r="D2978" s="9">
        <v>473.69</v>
      </c>
      <c r="E2978" s="9">
        <f t="shared" si="139"/>
        <v>-6.145447100594446E-3</v>
      </c>
      <c r="F2978" s="9">
        <f t="shared" si="140"/>
        <v>-4.218482655225695E-2</v>
      </c>
      <c r="G2978" s="9">
        <f t="shared" si="138"/>
        <v>8.8304519243689091E-3</v>
      </c>
    </row>
    <row r="2979" spans="1:7" x14ac:dyDescent="0.2">
      <c r="A2979" s="12">
        <v>41222</v>
      </c>
      <c r="B2979" s="9">
        <v>496.58</v>
      </c>
      <c r="C2979" s="9">
        <v>486.26</v>
      </c>
      <c r="D2979" s="9">
        <v>489.75</v>
      </c>
      <c r="E2979" s="9">
        <f t="shared" si="139"/>
        <v>3.3341957525202609E-2</v>
      </c>
      <c r="F2979" s="9">
        <f t="shared" si="140"/>
        <v>-7.0602651437548436E-3</v>
      </c>
      <c r="G2979" s="9">
        <f t="shared" si="138"/>
        <v>1.0871498777471319E-2</v>
      </c>
    </row>
    <row r="2980" spans="1:7" x14ac:dyDescent="0.2">
      <c r="A2980" s="12">
        <v>41225</v>
      </c>
      <c r="B2980" s="9">
        <v>490.56</v>
      </c>
      <c r="C2980" s="9">
        <v>487.12</v>
      </c>
      <c r="D2980" s="9">
        <v>487.12</v>
      </c>
      <c r="E2980" s="9">
        <f t="shared" si="139"/>
        <v>-5.3845575243315199E-3</v>
      </c>
      <c r="F2980" s="9">
        <f t="shared" si="140"/>
        <v>-2.5657502293469026E-2</v>
      </c>
      <c r="G2980" s="9">
        <f t="shared" si="138"/>
        <v>1.0605190073846747E-2</v>
      </c>
    </row>
    <row r="2981" spans="1:7" x14ac:dyDescent="0.2">
      <c r="A2981" s="12">
        <v>41226</v>
      </c>
      <c r="B2981" s="9">
        <v>486.47</v>
      </c>
      <c r="C2981" s="9">
        <v>484.23</v>
      </c>
      <c r="D2981" s="9">
        <v>485.54</v>
      </c>
      <c r="E2981" s="9">
        <f t="shared" si="139"/>
        <v>-3.2488256733577137E-3</v>
      </c>
      <c r="F2981" s="9">
        <f t="shared" si="140"/>
        <v>-3.0226037822238358E-2</v>
      </c>
      <c r="G2981" s="9">
        <f t="shared" si="138"/>
        <v>1.0605682723270664E-2</v>
      </c>
    </row>
    <row r="2982" spans="1:7" x14ac:dyDescent="0.2">
      <c r="A2982" s="12">
        <v>41227</v>
      </c>
      <c r="B2982" s="9">
        <v>487.1</v>
      </c>
      <c r="C2982" s="9">
        <v>484.29</v>
      </c>
      <c r="D2982" s="9">
        <v>484.61</v>
      </c>
      <c r="E2982" s="9">
        <f t="shared" si="139"/>
        <v>-1.9172298817135502E-3</v>
      </c>
      <c r="F2982" s="9">
        <f t="shared" si="140"/>
        <v>-3.064346239746478E-2</v>
      </c>
      <c r="G2982" s="9">
        <f t="shared" si="138"/>
        <v>1.0606624608082451E-2</v>
      </c>
    </row>
    <row r="2983" spans="1:7" x14ac:dyDescent="0.2">
      <c r="A2983" s="12">
        <v>41228</v>
      </c>
      <c r="B2983" s="9">
        <v>483.25</v>
      </c>
      <c r="C2983" s="9">
        <v>476.14</v>
      </c>
      <c r="D2983" s="9">
        <v>477.23</v>
      </c>
      <c r="E2983" s="9">
        <f t="shared" si="139"/>
        <v>-1.5345888774967655E-2</v>
      </c>
      <c r="F2983" s="9">
        <f t="shared" si="140"/>
        <v>-5.1378155527014059E-2</v>
      </c>
      <c r="G2983" s="9">
        <f t="shared" ref="G2983:G3046" si="141">STDEV(E2954:E2983)</f>
        <v>1.0847344188537323E-2</v>
      </c>
    </row>
    <row r="2984" spans="1:7" x14ac:dyDescent="0.2">
      <c r="A2984" s="12">
        <v>41229</v>
      </c>
      <c r="B2984" s="9">
        <v>479.23</v>
      </c>
      <c r="C2984" s="9">
        <v>474.61</v>
      </c>
      <c r="D2984" s="9">
        <v>475.7</v>
      </c>
      <c r="E2984" s="9">
        <f t="shared" si="139"/>
        <v>-3.2111515320439798E-3</v>
      </c>
      <c r="F2984" s="9">
        <f t="shared" si="140"/>
        <v>-6.044406662108695E-2</v>
      </c>
      <c r="G2984" s="9">
        <f t="shared" si="141"/>
        <v>1.0755146871953227E-2</v>
      </c>
    </row>
    <row r="2985" spans="1:7" x14ac:dyDescent="0.2">
      <c r="A2985" s="12">
        <v>41232</v>
      </c>
      <c r="B2985" s="9">
        <v>479.89</v>
      </c>
      <c r="C2985" s="9">
        <v>477.62</v>
      </c>
      <c r="D2985" s="9">
        <v>478.52</v>
      </c>
      <c r="E2985" s="9">
        <f t="shared" si="139"/>
        <v>5.910603864467674E-3</v>
      </c>
      <c r="F2985" s="9">
        <f t="shared" si="140"/>
        <v>-5.23345058793835E-2</v>
      </c>
      <c r="G2985" s="9">
        <f t="shared" si="141"/>
        <v>1.0851836529316389E-2</v>
      </c>
    </row>
    <row r="2986" spans="1:7" x14ac:dyDescent="0.2">
      <c r="A2986" s="12">
        <v>41233</v>
      </c>
      <c r="B2986" s="9">
        <v>482.17</v>
      </c>
      <c r="C2986" s="9">
        <v>477.14</v>
      </c>
      <c r="D2986" s="9">
        <v>482.16</v>
      </c>
      <c r="E2986" s="9">
        <f t="shared" si="139"/>
        <v>7.5780018720853042E-3</v>
      </c>
      <c r="F2986" s="9">
        <f t="shared" si="140"/>
        <v>-3.627208744733109E-2</v>
      </c>
      <c r="G2986" s="9">
        <f t="shared" si="141"/>
        <v>1.0903954233165172E-2</v>
      </c>
    </row>
    <row r="2987" spans="1:7" x14ac:dyDescent="0.2">
      <c r="A2987" s="12">
        <v>41234</v>
      </c>
      <c r="B2987" s="9">
        <v>486.06</v>
      </c>
      <c r="C2987" s="9">
        <v>481.61</v>
      </c>
      <c r="D2987" s="9">
        <v>483.11</v>
      </c>
      <c r="E2987" s="9">
        <f t="shared" si="139"/>
        <v>1.9683618194435209E-3</v>
      </c>
      <c r="F2987" s="9">
        <f t="shared" si="140"/>
        <v>-2.6533148312771038E-2</v>
      </c>
      <c r="G2987" s="9">
        <f t="shared" si="141"/>
        <v>1.0846692554375512E-2</v>
      </c>
    </row>
    <row r="2988" spans="1:7" x14ac:dyDescent="0.2">
      <c r="A2988" s="12">
        <v>41235</v>
      </c>
      <c r="B2988" s="9">
        <v>488.1</v>
      </c>
      <c r="C2988" s="9">
        <v>483.49</v>
      </c>
      <c r="D2988" s="9">
        <v>488.1</v>
      </c>
      <c r="E2988" s="9">
        <f t="shared" si="139"/>
        <v>1.0275931898869573E-2</v>
      </c>
      <c r="F2988" s="9">
        <f t="shared" si="140"/>
        <v>-1.4461612134457463E-2</v>
      </c>
      <c r="G2988" s="9">
        <f t="shared" si="141"/>
        <v>1.1034018996380979E-2</v>
      </c>
    </row>
    <row r="2989" spans="1:7" x14ac:dyDescent="0.2">
      <c r="A2989" s="12">
        <v>41236</v>
      </c>
      <c r="B2989" s="9">
        <v>490.32</v>
      </c>
      <c r="C2989" s="9">
        <v>486.58</v>
      </c>
      <c r="D2989" s="9">
        <v>490.27</v>
      </c>
      <c r="E2989" s="9">
        <f t="shared" si="139"/>
        <v>4.4359568637330109E-3</v>
      </c>
      <c r="F2989" s="9">
        <f t="shared" si="140"/>
        <v>-2.3225501435349852E-3</v>
      </c>
      <c r="G2989" s="9">
        <f t="shared" si="141"/>
        <v>1.0982539484093804E-2</v>
      </c>
    </row>
    <row r="2990" spans="1:7" x14ac:dyDescent="0.2">
      <c r="A2990" s="12">
        <v>41239</v>
      </c>
      <c r="B2990" s="9">
        <v>489.44</v>
      </c>
      <c r="C2990" s="9">
        <v>485.18</v>
      </c>
      <c r="D2990" s="9">
        <v>487.22</v>
      </c>
      <c r="E2990" s="9">
        <f t="shared" si="139"/>
        <v>-6.240493300593032E-3</v>
      </c>
      <c r="F2990" s="9">
        <f t="shared" si="140"/>
        <v>-1.9189920906274509E-2</v>
      </c>
      <c r="G2990" s="9">
        <f t="shared" si="141"/>
        <v>1.0846558281294421E-2</v>
      </c>
    </row>
    <row r="2991" spans="1:7" x14ac:dyDescent="0.2">
      <c r="A2991" s="12">
        <v>41240</v>
      </c>
      <c r="B2991" s="9">
        <v>489.93</v>
      </c>
      <c r="C2991" s="9">
        <v>487.58</v>
      </c>
      <c r="D2991" s="9">
        <v>488.88</v>
      </c>
      <c r="E2991" s="9">
        <f t="shared" si="139"/>
        <v>3.4012941304182196E-3</v>
      </c>
      <c r="F2991" s="9">
        <f t="shared" si="140"/>
        <v>-2.6124429067952426E-2</v>
      </c>
      <c r="G2991" s="9">
        <f t="shared" si="141"/>
        <v>1.0677163090788706E-2</v>
      </c>
    </row>
    <row r="2992" spans="1:7" x14ac:dyDescent="0.2">
      <c r="A2992" s="12">
        <v>41241</v>
      </c>
      <c r="B2992" s="9">
        <v>488.6</v>
      </c>
      <c r="C2992" s="9">
        <v>484.52</v>
      </c>
      <c r="D2992" s="9">
        <v>486.44</v>
      </c>
      <c r="E2992" s="9">
        <f t="shared" si="139"/>
        <v>-5.0034964738612624E-3</v>
      </c>
      <c r="F2992" s="9">
        <f t="shared" si="140"/>
        <v>-2.8593929752694001E-2</v>
      </c>
      <c r="G2992" s="9">
        <f t="shared" si="141"/>
        <v>1.0699922891284949E-2</v>
      </c>
    </row>
    <row r="2993" spans="1:7" x14ac:dyDescent="0.2">
      <c r="A2993" s="12">
        <v>41242</v>
      </c>
      <c r="B2993" s="9">
        <v>492.07</v>
      </c>
      <c r="C2993" s="9">
        <v>487.77</v>
      </c>
      <c r="D2993" s="9">
        <v>490.77</v>
      </c>
      <c r="E2993" s="9">
        <f t="shared" si="139"/>
        <v>8.8620221613908076E-3</v>
      </c>
      <c r="F2993" s="9">
        <f t="shared" si="140"/>
        <v>-2.1687839877008421E-2</v>
      </c>
      <c r="G2993" s="9">
        <f t="shared" si="141"/>
        <v>1.0838066576197023E-2</v>
      </c>
    </row>
    <row r="2994" spans="1:7" x14ac:dyDescent="0.2">
      <c r="A2994" s="12">
        <v>41243</v>
      </c>
      <c r="B2994" s="9">
        <v>492.84</v>
      </c>
      <c r="C2994" s="9">
        <v>488.44</v>
      </c>
      <c r="D2994" s="9">
        <v>490.93</v>
      </c>
      <c r="E2994" s="9">
        <f t="shared" si="139"/>
        <v>3.2596516535965685E-4</v>
      </c>
      <c r="F2994" s="9">
        <f t="shared" si="140"/>
        <v>-2.758338376285191E-2</v>
      </c>
      <c r="G2994" s="9">
        <f t="shared" si="141"/>
        <v>1.0760982066287467E-2</v>
      </c>
    </row>
    <row r="2995" spans="1:7" x14ac:dyDescent="0.2">
      <c r="A2995" s="12">
        <v>41246</v>
      </c>
      <c r="B2995" s="9">
        <v>494.87</v>
      </c>
      <c r="C2995" s="9">
        <v>490.21</v>
      </c>
      <c r="D2995" s="9">
        <v>493.98</v>
      </c>
      <c r="E2995" s="9">
        <f t="shared" si="139"/>
        <v>6.1934790988405338E-3</v>
      </c>
      <c r="F2995" s="9">
        <f t="shared" si="140"/>
        <v>-1.8651644723384403E-2</v>
      </c>
      <c r="G2995" s="9">
        <f t="shared" si="141"/>
        <v>1.083224709821564E-2</v>
      </c>
    </row>
    <row r="2996" spans="1:7" x14ac:dyDescent="0.2">
      <c r="A2996" s="12">
        <v>41247</v>
      </c>
      <c r="B2996" s="9">
        <v>495.38</v>
      </c>
      <c r="C2996" s="9">
        <v>491.52</v>
      </c>
      <c r="D2996" s="9">
        <v>492.97</v>
      </c>
      <c r="E2996" s="9">
        <f t="shared" si="139"/>
        <v>-2.0467102742308375E-3</v>
      </c>
      <c r="F2996" s="9">
        <f t="shared" si="140"/>
        <v>-9.5692578236552962E-3</v>
      </c>
      <c r="G2996" s="9">
        <f t="shared" si="141"/>
        <v>1.0653906082455179E-2</v>
      </c>
    </row>
    <row r="2997" spans="1:7" x14ac:dyDescent="0.2">
      <c r="A2997" s="12">
        <v>41248</v>
      </c>
      <c r="B2997" s="9">
        <v>496.11</v>
      </c>
      <c r="C2997" s="9">
        <v>492.97</v>
      </c>
      <c r="D2997" s="9">
        <v>494.23</v>
      </c>
      <c r="E2997" s="9">
        <f t="shared" si="139"/>
        <v>2.5526756162802459E-3</v>
      </c>
      <c r="F2997" s="9">
        <f t="shared" si="140"/>
        <v>-5.5085440798830097E-3</v>
      </c>
      <c r="G2997" s="9">
        <f t="shared" si="141"/>
        <v>1.0664068886591865E-2</v>
      </c>
    </row>
    <row r="2998" spans="1:7" x14ac:dyDescent="0.2">
      <c r="A2998" s="12">
        <v>41249</v>
      </c>
      <c r="B2998" s="9">
        <v>498.46</v>
      </c>
      <c r="C2998" s="9">
        <v>495.54</v>
      </c>
      <c r="D2998" s="9">
        <v>497.07</v>
      </c>
      <c r="E2998" s="9">
        <f t="shared" si="139"/>
        <v>5.7298653688764682E-3</v>
      </c>
      <c r="F2998" s="9">
        <f t="shared" si="140"/>
        <v>-4.6965404247137649E-3</v>
      </c>
      <c r="G2998" s="9">
        <f t="shared" si="141"/>
        <v>1.0678484335651042E-2</v>
      </c>
    </row>
    <row r="2999" spans="1:7" x14ac:dyDescent="0.2">
      <c r="A2999" s="12">
        <v>41250</v>
      </c>
      <c r="B2999" s="9">
        <v>498.88</v>
      </c>
      <c r="C2999" s="9">
        <v>496.32</v>
      </c>
      <c r="D2999" s="9">
        <v>498.57</v>
      </c>
      <c r="E2999" s="9">
        <f t="shared" si="139"/>
        <v>3.0131395582260823E-3</v>
      </c>
      <c r="F2999" s="9">
        <f t="shared" si="140"/>
        <v>1.3712538790151324E-2</v>
      </c>
      <c r="G2999" s="9">
        <f t="shared" si="141"/>
        <v>1.0294595694100954E-2</v>
      </c>
    </row>
    <row r="3000" spans="1:7" x14ac:dyDescent="0.2">
      <c r="A3000" s="12">
        <v>41253</v>
      </c>
      <c r="B3000" s="9">
        <v>499.45</v>
      </c>
      <c r="C3000" s="9">
        <v>496.93</v>
      </c>
      <c r="D3000" s="9">
        <v>499.44</v>
      </c>
      <c r="E3000" s="9">
        <f t="shared" si="139"/>
        <v>1.7434699459471673E-3</v>
      </c>
      <c r="F3000" s="9">
        <f t="shared" si="140"/>
        <v>1.2653805753136516E-2</v>
      </c>
      <c r="G3000" s="9">
        <f t="shared" si="141"/>
        <v>1.0288091807042977E-2</v>
      </c>
    </row>
    <row r="3001" spans="1:7" x14ac:dyDescent="0.2">
      <c r="A3001" s="12">
        <v>41254</v>
      </c>
      <c r="B3001" s="9">
        <v>502.97</v>
      </c>
      <c r="C3001" s="9">
        <v>499.46</v>
      </c>
      <c r="D3001" s="9">
        <v>502.48</v>
      </c>
      <c r="E3001" s="9">
        <f t="shared" si="139"/>
        <v>6.068367392636791E-3</v>
      </c>
      <c r="F3001" s="9">
        <f t="shared" si="140"/>
        <v>2.8277781036317628E-2</v>
      </c>
      <c r="G3001" s="9">
        <f t="shared" si="141"/>
        <v>1.0160264831349767E-2</v>
      </c>
    </row>
    <row r="3002" spans="1:7" x14ac:dyDescent="0.2">
      <c r="A3002" s="12">
        <v>41255</v>
      </c>
      <c r="B3002" s="9">
        <v>503.28</v>
      </c>
      <c r="C3002" s="9">
        <v>498.78</v>
      </c>
      <c r="D3002" s="9">
        <v>500.84</v>
      </c>
      <c r="E3002" s="9">
        <f t="shared" si="139"/>
        <v>-3.269149345378519E-3</v>
      </c>
      <c r="F3002" s="9">
        <f t="shared" si="140"/>
        <v>3.1560644860475988E-2</v>
      </c>
      <c r="G3002" s="9">
        <f t="shared" si="141"/>
        <v>1.0094226543667033E-2</v>
      </c>
    </row>
    <row r="3003" spans="1:7" x14ac:dyDescent="0.2">
      <c r="A3003" s="12">
        <v>41256</v>
      </c>
      <c r="B3003" s="9">
        <v>501.68</v>
      </c>
      <c r="C3003" s="9">
        <v>497.77</v>
      </c>
      <c r="D3003" s="9">
        <v>497.77</v>
      </c>
      <c r="E3003" s="9">
        <f t="shared" si="139"/>
        <v>-6.1485658500069883E-3</v>
      </c>
      <c r="F3003" s="9">
        <f t="shared" si="140"/>
        <v>2.6339808922078194E-2</v>
      </c>
      <c r="G3003" s="9">
        <f t="shared" si="141"/>
        <v>1.0174222578935972E-2</v>
      </c>
    </row>
    <row r="3004" spans="1:7" x14ac:dyDescent="0.2">
      <c r="A3004" s="12">
        <v>41257</v>
      </c>
      <c r="B3004" s="9">
        <v>502.11</v>
      </c>
      <c r="C3004" s="9">
        <v>498.11</v>
      </c>
      <c r="D3004" s="9">
        <v>498.76</v>
      </c>
      <c r="E3004" s="9">
        <f t="shared" si="139"/>
        <v>1.9868951776454624E-3</v>
      </c>
      <c r="F3004" s="9">
        <f t="shared" si="140"/>
        <v>1.9496715314252771E-2</v>
      </c>
      <c r="G3004" s="9">
        <f t="shared" si="141"/>
        <v>1.0065927252595523E-2</v>
      </c>
    </row>
    <row r="3005" spans="1:7" x14ac:dyDescent="0.2">
      <c r="A3005" s="12">
        <v>41260</v>
      </c>
      <c r="B3005" s="9">
        <v>499.05</v>
      </c>
      <c r="C3005" s="9">
        <v>493.15</v>
      </c>
      <c r="D3005" s="9">
        <v>493.23</v>
      </c>
      <c r="E3005" s="9">
        <f t="shared" si="139"/>
        <v>-1.1149421437490014E-2</v>
      </c>
      <c r="F3005" s="9">
        <f t="shared" si="140"/>
        <v>9.9227578902407326E-3</v>
      </c>
      <c r="G3005" s="9">
        <f t="shared" si="141"/>
        <v>1.0288225704929127E-2</v>
      </c>
    </row>
    <row r="3006" spans="1:7" x14ac:dyDescent="0.2">
      <c r="A3006" s="12">
        <v>41261</v>
      </c>
      <c r="B3006" s="9">
        <v>495.81</v>
      </c>
      <c r="C3006" s="9">
        <v>492.18</v>
      </c>
      <c r="D3006" s="9">
        <v>492.4</v>
      </c>
      <c r="E3006" s="9">
        <f t="shared" si="139"/>
        <v>-1.6842023805969076E-3</v>
      </c>
      <c r="F3006" s="9">
        <f t="shared" si="140"/>
        <v>3.8506102585613357E-2</v>
      </c>
      <c r="G3006" s="9">
        <f t="shared" si="141"/>
        <v>8.530170042708167E-3</v>
      </c>
    </row>
    <row r="3007" spans="1:7" x14ac:dyDescent="0.2">
      <c r="A3007" s="12">
        <v>41262</v>
      </c>
      <c r="B3007" s="9">
        <v>494.16</v>
      </c>
      <c r="C3007" s="9">
        <v>492.68</v>
      </c>
      <c r="D3007" s="9">
        <v>493.74</v>
      </c>
      <c r="E3007" s="9">
        <f t="shared" si="139"/>
        <v>2.7176685353780755E-3</v>
      </c>
      <c r="F3007" s="9">
        <f t="shared" si="140"/>
        <v>3.5310516445634627E-2</v>
      </c>
      <c r="G3007" s="9">
        <f t="shared" si="141"/>
        <v>8.4902221272602999E-3</v>
      </c>
    </row>
    <row r="3008" spans="1:7" x14ac:dyDescent="0.2">
      <c r="A3008" s="12">
        <v>41263</v>
      </c>
      <c r="B3008" s="9">
        <v>495.77</v>
      </c>
      <c r="C3008" s="9">
        <v>492.11</v>
      </c>
      <c r="D3008" s="9">
        <v>495.72</v>
      </c>
      <c r="E3008" s="9">
        <f t="shared" si="139"/>
        <v>4.0021883509969731E-3</v>
      </c>
      <c r="F3008" s="9">
        <f t="shared" si="140"/>
        <v>4.5458151897226066E-2</v>
      </c>
      <c r="G3008" s="9">
        <f t="shared" si="141"/>
        <v>8.3899835726386554E-3</v>
      </c>
    </row>
    <row r="3009" spans="1:7" x14ac:dyDescent="0.2">
      <c r="A3009" s="12">
        <v>41264</v>
      </c>
      <c r="B3009" s="9">
        <v>497.16</v>
      </c>
      <c r="C3009" s="9">
        <v>493.7</v>
      </c>
      <c r="D3009" s="9">
        <v>496.97</v>
      </c>
      <c r="E3009" s="9">
        <f t="shared" si="139"/>
        <v>2.5184109050477542E-3</v>
      </c>
      <c r="F3009" s="9">
        <f t="shared" si="140"/>
        <v>1.4634605277071099E-2</v>
      </c>
      <c r="G3009" s="9">
        <f t="shared" si="141"/>
        <v>5.8656262409075809E-3</v>
      </c>
    </row>
    <row r="3010" spans="1:7" x14ac:dyDescent="0.2">
      <c r="A3010" s="12">
        <v>41270</v>
      </c>
      <c r="B3010" s="9">
        <v>499.24</v>
      </c>
      <c r="C3010" s="9">
        <v>497.36</v>
      </c>
      <c r="D3010" s="9">
        <v>497.93</v>
      </c>
      <c r="E3010" s="9">
        <f t="shared" si="139"/>
        <v>1.9298427941368613E-3</v>
      </c>
      <c r="F3010" s="9">
        <f t="shared" si="140"/>
        <v>2.1949005595539504E-2</v>
      </c>
      <c r="G3010" s="9">
        <f t="shared" si="141"/>
        <v>5.764256167341655E-3</v>
      </c>
    </row>
    <row r="3011" spans="1:7" x14ac:dyDescent="0.2">
      <c r="A3011" s="12">
        <v>41271</v>
      </c>
      <c r="B3011" s="9">
        <v>498.34</v>
      </c>
      <c r="C3011" s="9">
        <v>495.75</v>
      </c>
      <c r="D3011" s="9">
        <v>496.16</v>
      </c>
      <c r="E3011" s="9">
        <f t="shared" si="139"/>
        <v>-3.561049543719367E-3</v>
      </c>
      <c r="F3011" s="9">
        <f t="shared" si="140"/>
        <v>2.1636781725177863E-2</v>
      </c>
      <c r="G3011" s="9">
        <f t="shared" si="141"/>
        <v>5.771967478929111E-3</v>
      </c>
    </row>
    <row r="3012" spans="1:7" x14ac:dyDescent="0.2">
      <c r="A3012" s="12">
        <v>41276</v>
      </c>
      <c r="B3012" s="9">
        <v>506.82</v>
      </c>
      <c r="C3012" s="9">
        <v>500.69</v>
      </c>
      <c r="D3012" s="9">
        <v>506.42</v>
      </c>
      <c r="E3012" s="9">
        <f t="shared" ref="E3012:E3075" si="142">LN(D3012/D3011)</f>
        <v>2.0467909168715586E-2</v>
      </c>
      <c r="F3012" s="9">
        <f t="shared" si="140"/>
        <v>4.4021920775607105E-2</v>
      </c>
      <c r="G3012" s="9">
        <f t="shared" si="141"/>
        <v>6.7783111124161011E-3</v>
      </c>
    </row>
    <row r="3013" spans="1:7" x14ac:dyDescent="0.2">
      <c r="A3013" s="12">
        <v>41277</v>
      </c>
      <c r="B3013" s="9">
        <v>508.66</v>
      </c>
      <c r="C3013" s="9">
        <v>505.97</v>
      </c>
      <c r="D3013" s="9">
        <v>508.41</v>
      </c>
      <c r="E3013" s="9">
        <f t="shared" si="142"/>
        <v>3.9218441525357651E-3</v>
      </c>
      <c r="F3013" s="9">
        <f t="shared" si="140"/>
        <v>6.3289653703110557E-2</v>
      </c>
      <c r="G3013" s="9">
        <f t="shared" si="141"/>
        <v>5.9982250590879371E-3</v>
      </c>
    </row>
    <row r="3014" spans="1:7" x14ac:dyDescent="0.2">
      <c r="A3014" s="12">
        <v>41278</v>
      </c>
      <c r="B3014" s="9">
        <v>513.09</v>
      </c>
      <c r="C3014" s="9">
        <v>508.84</v>
      </c>
      <c r="D3014" s="9">
        <v>513.09</v>
      </c>
      <c r="E3014" s="9">
        <f t="shared" si="142"/>
        <v>9.1630597063198753E-3</v>
      </c>
      <c r="F3014" s="9">
        <f t="shared" si="140"/>
        <v>7.5663864941474077E-2</v>
      </c>
      <c r="G3014" s="9">
        <f t="shared" si="141"/>
        <v>6.0449976694244888E-3</v>
      </c>
    </row>
    <row r="3015" spans="1:7" x14ac:dyDescent="0.2">
      <c r="A3015" s="12">
        <v>41281</v>
      </c>
      <c r="B3015" s="9">
        <v>515.03</v>
      </c>
      <c r="C3015" s="9">
        <v>512.17999999999995</v>
      </c>
      <c r="D3015" s="9">
        <v>513.85</v>
      </c>
      <c r="E3015" s="9">
        <f t="shared" si="142"/>
        <v>1.4801256913722597E-3</v>
      </c>
      <c r="F3015" s="9">
        <f t="shared" si="140"/>
        <v>7.1233386768378731E-2</v>
      </c>
      <c r="G3015" s="9">
        <f t="shared" si="141"/>
        <v>6.0133977165063163E-3</v>
      </c>
    </row>
    <row r="3016" spans="1:7" x14ac:dyDescent="0.2">
      <c r="A3016" s="12">
        <v>41282</v>
      </c>
      <c r="B3016" s="9">
        <v>518.16</v>
      </c>
      <c r="C3016" s="9">
        <v>513.45000000000005</v>
      </c>
      <c r="D3016" s="9">
        <v>517.98</v>
      </c>
      <c r="E3016" s="9">
        <f t="shared" si="142"/>
        <v>8.0052374044041006E-3</v>
      </c>
      <c r="F3016" s="9">
        <f t="shared" si="140"/>
        <v>7.1660622300697641E-2</v>
      </c>
      <c r="G3016" s="9">
        <f t="shared" si="141"/>
        <v>6.026637263312434E-3</v>
      </c>
    </row>
    <row r="3017" spans="1:7" x14ac:dyDescent="0.2">
      <c r="A3017" s="12">
        <v>41283</v>
      </c>
      <c r="B3017" s="9">
        <v>521.07000000000005</v>
      </c>
      <c r="C3017" s="9">
        <v>516.24</v>
      </c>
      <c r="D3017" s="9">
        <v>521.07000000000005</v>
      </c>
      <c r="E3017" s="9">
        <f t="shared" si="142"/>
        <v>5.9477582585447854E-3</v>
      </c>
      <c r="F3017" s="9">
        <f t="shared" si="140"/>
        <v>7.5640018739798809E-2</v>
      </c>
      <c r="G3017" s="9">
        <f t="shared" si="141"/>
        <v>6.0607635882438237E-3</v>
      </c>
    </row>
    <row r="3018" spans="1:7" x14ac:dyDescent="0.2">
      <c r="A3018" s="12">
        <v>41284</v>
      </c>
      <c r="B3018" s="9">
        <v>523.29</v>
      </c>
      <c r="C3018" s="9">
        <v>520.39</v>
      </c>
      <c r="D3018" s="9">
        <v>522.47</v>
      </c>
      <c r="E3018" s="9">
        <f t="shared" si="142"/>
        <v>2.6831761886155158E-3</v>
      </c>
      <c r="F3018" s="9">
        <f t="shared" si="140"/>
        <v>6.8047263029544572E-2</v>
      </c>
      <c r="G3018" s="9">
        <f t="shared" si="141"/>
        <v>5.8816592250396683E-3</v>
      </c>
    </row>
    <row r="3019" spans="1:7" x14ac:dyDescent="0.2">
      <c r="A3019" s="12">
        <v>41285</v>
      </c>
      <c r="B3019" s="9">
        <v>524.79</v>
      </c>
      <c r="C3019" s="9">
        <v>521.13</v>
      </c>
      <c r="D3019" s="9">
        <v>523.48</v>
      </c>
      <c r="E3019" s="9">
        <f t="shared" si="142"/>
        <v>1.93125926463344E-3</v>
      </c>
      <c r="F3019" s="9">
        <f t="shared" si="140"/>
        <v>6.554256543044501E-2</v>
      </c>
      <c r="G3019" s="9">
        <f t="shared" si="141"/>
        <v>5.8675877528445042E-3</v>
      </c>
    </row>
    <row r="3020" spans="1:7" x14ac:dyDescent="0.2">
      <c r="A3020" s="12">
        <v>41288</v>
      </c>
      <c r="B3020" s="9">
        <v>524.6</v>
      </c>
      <c r="C3020" s="9">
        <v>522.04</v>
      </c>
      <c r="D3020" s="9">
        <v>522.1</v>
      </c>
      <c r="E3020" s="9">
        <f t="shared" si="142"/>
        <v>-2.6396847707732172E-3</v>
      </c>
      <c r="F3020" s="9">
        <f t="shared" si="140"/>
        <v>6.9143373960264709E-2</v>
      </c>
      <c r="G3020" s="9">
        <f t="shared" si="141"/>
        <v>5.7243798986261855E-3</v>
      </c>
    </row>
    <row r="3021" spans="1:7" x14ac:dyDescent="0.2">
      <c r="A3021" s="12">
        <v>41289</v>
      </c>
      <c r="B3021" s="9">
        <v>526.98</v>
      </c>
      <c r="C3021" s="9">
        <v>520.51</v>
      </c>
      <c r="D3021" s="9">
        <v>526.42999999999995</v>
      </c>
      <c r="E3021" s="9">
        <f t="shared" si="142"/>
        <v>8.2592288521409034E-3</v>
      </c>
      <c r="F3021" s="9">
        <f t="shared" si="140"/>
        <v>7.4001308681987704E-2</v>
      </c>
      <c r="G3021" s="9">
        <f t="shared" si="141"/>
        <v>5.8243061058538227E-3</v>
      </c>
    </row>
    <row r="3022" spans="1:7" x14ac:dyDescent="0.2">
      <c r="A3022" s="12">
        <v>41290</v>
      </c>
      <c r="B3022" s="9">
        <v>529.44000000000005</v>
      </c>
      <c r="C3022" s="9">
        <v>523.07000000000005</v>
      </c>
      <c r="D3022" s="9">
        <v>529.22</v>
      </c>
      <c r="E3022" s="9">
        <f t="shared" si="142"/>
        <v>5.2858551529551658E-3</v>
      </c>
      <c r="F3022" s="9">
        <f t="shared" si="140"/>
        <v>8.4290660308804097E-2</v>
      </c>
      <c r="G3022" s="9">
        <f t="shared" si="141"/>
        <v>5.6701525560931831E-3</v>
      </c>
    </row>
    <row r="3023" spans="1:7" x14ac:dyDescent="0.2">
      <c r="A3023" s="12">
        <v>41291</v>
      </c>
      <c r="B3023" s="9">
        <v>531.46</v>
      </c>
      <c r="C3023" s="9">
        <v>527.87</v>
      </c>
      <c r="D3023" s="9">
        <v>531.42999999999995</v>
      </c>
      <c r="E3023" s="9">
        <f t="shared" si="142"/>
        <v>4.1672619587057964E-3</v>
      </c>
      <c r="F3023" s="9">
        <f t="shared" si="140"/>
        <v>7.9595900106119152E-2</v>
      </c>
      <c r="G3023" s="9">
        <f t="shared" si="141"/>
        <v>5.5610897047838155E-3</v>
      </c>
    </row>
    <row r="3024" spans="1:7" x14ac:dyDescent="0.2">
      <c r="A3024" s="12">
        <v>41292</v>
      </c>
      <c r="B3024" s="9">
        <v>534.46</v>
      </c>
      <c r="C3024" s="9">
        <v>530.16999999999996</v>
      </c>
      <c r="D3024" s="9">
        <v>530.26</v>
      </c>
      <c r="E3024" s="9">
        <f t="shared" si="142"/>
        <v>-2.2040340845860865E-3</v>
      </c>
      <c r="F3024" s="9">
        <f t="shared" si="140"/>
        <v>7.7065900856173528E-2</v>
      </c>
      <c r="G3024" s="9">
        <f t="shared" si="141"/>
        <v>5.616506348612829E-3</v>
      </c>
    </row>
    <row r="3025" spans="1:7" x14ac:dyDescent="0.2">
      <c r="A3025" s="12">
        <v>41295</v>
      </c>
      <c r="B3025" s="9">
        <v>535.4</v>
      </c>
      <c r="C3025" s="9">
        <v>530.08000000000004</v>
      </c>
      <c r="D3025" s="9">
        <v>534.77</v>
      </c>
      <c r="E3025" s="9">
        <f t="shared" si="142"/>
        <v>8.4692956219169016E-3</v>
      </c>
      <c r="F3025" s="9">
        <f t="shared" si="140"/>
        <v>7.9341717379249679E-2</v>
      </c>
      <c r="G3025" s="9">
        <f t="shared" si="141"/>
        <v>5.6821371048650596E-3</v>
      </c>
    </row>
    <row r="3026" spans="1:7" x14ac:dyDescent="0.2">
      <c r="A3026" s="12">
        <v>41296</v>
      </c>
      <c r="B3026" s="9">
        <v>538.17999999999995</v>
      </c>
      <c r="C3026" s="9">
        <v>533.67999999999995</v>
      </c>
      <c r="D3026" s="9">
        <v>535.30999999999995</v>
      </c>
      <c r="E3026" s="9">
        <f t="shared" si="142"/>
        <v>1.0092704206006986E-3</v>
      </c>
      <c r="F3026" s="9">
        <f t="shared" si="140"/>
        <v>8.2397698074081219E-2</v>
      </c>
      <c r="G3026" s="9">
        <f t="shared" si="141"/>
        <v>5.6222085274894498E-3</v>
      </c>
    </row>
    <row r="3027" spans="1:7" x14ac:dyDescent="0.2">
      <c r="A3027" s="12">
        <v>41297</v>
      </c>
      <c r="B3027" s="9">
        <v>539.19000000000005</v>
      </c>
      <c r="C3027" s="9">
        <v>533.48</v>
      </c>
      <c r="D3027" s="9">
        <v>537.91999999999996</v>
      </c>
      <c r="E3027" s="9">
        <f t="shared" si="142"/>
        <v>4.8638318820107525E-3</v>
      </c>
      <c r="F3027" s="9">
        <f t="shared" si="140"/>
        <v>8.4708854339811443E-2</v>
      </c>
      <c r="G3027" s="9">
        <f t="shared" si="141"/>
        <v>5.6352789474654035E-3</v>
      </c>
    </row>
    <row r="3028" spans="1:7" x14ac:dyDescent="0.2">
      <c r="A3028" s="12">
        <v>41298</v>
      </c>
      <c r="B3028" s="9">
        <v>537.91999999999996</v>
      </c>
      <c r="C3028" s="9">
        <v>534.20000000000005</v>
      </c>
      <c r="D3028" s="9">
        <v>536.63</v>
      </c>
      <c r="E3028" s="9">
        <f t="shared" si="142"/>
        <v>-2.4010062253394322E-3</v>
      </c>
      <c r="F3028" s="9">
        <f t="shared" si="140"/>
        <v>7.6577982745595782E-2</v>
      </c>
      <c r="G3028" s="9">
        <f t="shared" si="141"/>
        <v>5.6859827287104583E-3</v>
      </c>
    </row>
    <row r="3029" spans="1:7" x14ac:dyDescent="0.2">
      <c r="A3029" s="12">
        <v>41299</v>
      </c>
      <c r="B3029" s="9">
        <v>542.27</v>
      </c>
      <c r="C3029" s="9">
        <v>536.76</v>
      </c>
      <c r="D3029" s="9">
        <v>541.83000000000004</v>
      </c>
      <c r="E3029" s="9">
        <f t="shared" si="142"/>
        <v>9.643455108770526E-3</v>
      </c>
      <c r="F3029" s="9">
        <f t="shared" si="140"/>
        <v>8.320829829614039E-2</v>
      </c>
      <c r="G3029" s="9">
        <f t="shared" si="141"/>
        <v>5.8314969858508847E-3</v>
      </c>
    </row>
    <row r="3030" spans="1:7" x14ac:dyDescent="0.2">
      <c r="A3030" s="12">
        <v>41302</v>
      </c>
      <c r="B3030" s="9">
        <v>543.11</v>
      </c>
      <c r="C3030" s="9">
        <v>537.67999999999995</v>
      </c>
      <c r="D3030" s="9">
        <v>539.03</v>
      </c>
      <c r="E3030" s="9">
        <f t="shared" si="142"/>
        <v>-5.1810711164814944E-3</v>
      </c>
      <c r="F3030" s="9">
        <f t="shared" si="140"/>
        <v>7.6283757233711807E-2</v>
      </c>
      <c r="G3030" s="9">
        <f t="shared" si="141"/>
        <v>6.0080457812172108E-3</v>
      </c>
    </row>
    <row r="3031" spans="1:7" x14ac:dyDescent="0.2">
      <c r="A3031" s="12">
        <v>41303</v>
      </c>
      <c r="B3031" s="9">
        <v>540.25</v>
      </c>
      <c r="C3031" s="9">
        <v>537.74</v>
      </c>
      <c r="D3031" s="9">
        <v>539.49</v>
      </c>
      <c r="E3031" s="9">
        <f t="shared" si="142"/>
        <v>8.5302085801488442E-4</v>
      </c>
      <c r="F3031" s="9">
        <f t="shared" si="140"/>
        <v>7.1068410699089882E-2</v>
      </c>
      <c r="G3031" s="9">
        <f t="shared" si="141"/>
        <v>5.9778925808933485E-3</v>
      </c>
    </row>
    <row r="3032" spans="1:7" x14ac:dyDescent="0.2">
      <c r="A3032" s="12">
        <v>41304</v>
      </c>
      <c r="B3032" s="9">
        <v>542.59</v>
      </c>
      <c r="C3032" s="9">
        <v>537.69000000000005</v>
      </c>
      <c r="D3032" s="9">
        <v>541.04999999999995</v>
      </c>
      <c r="E3032" s="9">
        <f t="shared" si="142"/>
        <v>2.8874471724424249E-3</v>
      </c>
      <c r="F3032" s="9">
        <f t="shared" si="140"/>
        <v>7.7225007216910724E-2</v>
      </c>
      <c r="G3032" s="9">
        <f t="shared" si="141"/>
        <v>5.8825810874773366E-3</v>
      </c>
    </row>
    <row r="3033" spans="1:7" x14ac:dyDescent="0.2">
      <c r="A3033" s="12">
        <v>41305</v>
      </c>
      <c r="B3033" s="9">
        <v>546.30999999999995</v>
      </c>
      <c r="C3033" s="9">
        <v>535.73</v>
      </c>
      <c r="D3033" s="9">
        <v>535.73</v>
      </c>
      <c r="E3033" s="9">
        <f t="shared" si="142"/>
        <v>-9.8813932053948093E-3</v>
      </c>
      <c r="F3033" s="9">
        <f t="shared" si="140"/>
        <v>7.3492179861522886E-2</v>
      </c>
      <c r="G3033" s="9">
        <f t="shared" si="141"/>
        <v>6.1085821244626533E-3</v>
      </c>
    </row>
    <row r="3034" spans="1:7" x14ac:dyDescent="0.2">
      <c r="A3034" s="12">
        <v>41306</v>
      </c>
      <c r="B3034" s="9">
        <v>549.26</v>
      </c>
      <c r="C3034" s="9">
        <v>536.5</v>
      </c>
      <c r="D3034" s="9">
        <v>547.66</v>
      </c>
      <c r="E3034" s="9">
        <f t="shared" si="142"/>
        <v>2.2024353628271383E-2</v>
      </c>
      <c r="F3034" s="9">
        <f t="shared" si="140"/>
        <v>9.3529638312148736E-2</v>
      </c>
      <c r="G3034" s="9">
        <f t="shared" si="141"/>
        <v>7.0752030971960459E-3</v>
      </c>
    </row>
    <row r="3035" spans="1:7" x14ac:dyDescent="0.2">
      <c r="A3035" s="12">
        <v>41309</v>
      </c>
      <c r="B3035" s="9">
        <v>554.70000000000005</v>
      </c>
      <c r="C3035" s="9">
        <v>546.61</v>
      </c>
      <c r="D3035" s="9">
        <v>547.74</v>
      </c>
      <c r="E3035" s="9">
        <f t="shared" si="142"/>
        <v>1.4606536451034424E-4</v>
      </c>
      <c r="F3035" s="9">
        <f t="shared" si="140"/>
        <v>0.10482512511414906</v>
      </c>
      <c r="G3035" s="9">
        <f t="shared" si="141"/>
        <v>6.5724724176719424E-3</v>
      </c>
    </row>
    <row r="3036" spans="1:7" x14ac:dyDescent="0.2">
      <c r="A3036" s="12">
        <v>41310</v>
      </c>
      <c r="B3036" s="9">
        <v>553.55999999999995</v>
      </c>
      <c r="C3036" s="9">
        <v>545.54</v>
      </c>
      <c r="D3036" s="9">
        <v>552.39</v>
      </c>
      <c r="E3036" s="9">
        <f t="shared" si="142"/>
        <v>8.4535967421940379E-3</v>
      </c>
      <c r="F3036" s="9">
        <f t="shared" si="140"/>
        <v>0.11496292423693996</v>
      </c>
      <c r="G3036" s="9">
        <f t="shared" si="141"/>
        <v>6.5576460781652524E-3</v>
      </c>
    </row>
    <row r="3037" spans="1:7" x14ac:dyDescent="0.2">
      <c r="A3037" s="12">
        <v>41311</v>
      </c>
      <c r="B3037" s="9">
        <v>559.63</v>
      </c>
      <c r="C3037" s="9">
        <v>549.57000000000005</v>
      </c>
      <c r="D3037" s="9">
        <v>551.70000000000005</v>
      </c>
      <c r="E3037" s="9">
        <f t="shared" si="142"/>
        <v>-1.2498982688532473E-3</v>
      </c>
      <c r="F3037" s="9">
        <f t="shared" si="140"/>
        <v>0.11099535743270869</v>
      </c>
      <c r="G3037" s="9">
        <f t="shared" si="141"/>
        <v>6.6206025088839174E-3</v>
      </c>
    </row>
    <row r="3038" spans="1:7" x14ac:dyDescent="0.2">
      <c r="A3038" s="12">
        <v>41312</v>
      </c>
      <c r="B3038" s="9">
        <v>562.26</v>
      </c>
      <c r="C3038" s="9">
        <v>552.9</v>
      </c>
      <c r="D3038" s="9">
        <v>553.46</v>
      </c>
      <c r="E3038" s="9">
        <f t="shared" si="142"/>
        <v>3.1850618695522209E-3</v>
      </c>
      <c r="F3038" s="9">
        <f t="shared" si="140"/>
        <v>0.11017823095126404</v>
      </c>
      <c r="G3038" s="9">
        <f t="shared" si="141"/>
        <v>6.6209966014346604E-3</v>
      </c>
    </row>
    <row r="3039" spans="1:7" x14ac:dyDescent="0.2">
      <c r="A3039" s="12">
        <v>41313</v>
      </c>
      <c r="B3039" s="9">
        <v>556.92999999999995</v>
      </c>
      <c r="C3039" s="9">
        <v>554.08000000000004</v>
      </c>
      <c r="D3039" s="9">
        <v>556.88</v>
      </c>
      <c r="E3039" s="9">
        <f t="shared" si="142"/>
        <v>6.1602947124736332E-3</v>
      </c>
      <c r="F3039" s="9">
        <f t="shared" si="140"/>
        <v>0.11382011475868985</v>
      </c>
      <c r="G3039" s="9">
        <f t="shared" si="141"/>
        <v>6.6324816953711356E-3</v>
      </c>
    </row>
    <row r="3040" spans="1:7" x14ac:dyDescent="0.2">
      <c r="A3040" s="12">
        <v>41316</v>
      </c>
      <c r="B3040" s="9">
        <v>526.35</v>
      </c>
      <c r="C3040" s="9">
        <v>511.09</v>
      </c>
      <c r="D3040" s="9">
        <v>520.37</v>
      </c>
      <c r="E3040" s="9">
        <f t="shared" si="142"/>
        <v>-6.7809679846873749E-2</v>
      </c>
      <c r="F3040" s="9">
        <f t="shared" si="140"/>
        <v>4.4080592117678959E-2</v>
      </c>
      <c r="G3040" s="9">
        <f t="shared" si="141"/>
        <v>1.4665461389072447E-2</v>
      </c>
    </row>
    <row r="3041" spans="1:7" x14ac:dyDescent="0.2">
      <c r="A3041" s="12">
        <v>41317</v>
      </c>
      <c r="B3041" s="9">
        <v>523.96</v>
      </c>
      <c r="C3041" s="9">
        <v>520.66</v>
      </c>
      <c r="D3041" s="9">
        <v>522.44000000000005</v>
      </c>
      <c r="E3041" s="9">
        <f t="shared" si="142"/>
        <v>3.9700476957833198E-3</v>
      </c>
      <c r="F3041" s="9">
        <f t="shared" ref="F3041:F3104" si="143">LN(D3041/D3011)</f>
        <v>5.1611689357181634E-2</v>
      </c>
      <c r="G3041" s="9">
        <f t="shared" si="141"/>
        <v>1.4640820258216804E-2</v>
      </c>
    </row>
    <row r="3042" spans="1:7" x14ac:dyDescent="0.2">
      <c r="A3042" s="12">
        <v>41318</v>
      </c>
      <c r="B3042" s="9">
        <v>527.39</v>
      </c>
      <c r="C3042" s="9">
        <v>523.28</v>
      </c>
      <c r="D3042" s="9">
        <v>527.35</v>
      </c>
      <c r="E3042" s="9">
        <f t="shared" si="142"/>
        <v>9.3543200133028026E-3</v>
      </c>
      <c r="F3042" s="9">
        <f t="shared" si="143"/>
        <v>4.0498100201768882E-2</v>
      </c>
      <c r="G3042" s="9">
        <f t="shared" si="141"/>
        <v>1.4286411749510198E-2</v>
      </c>
    </row>
    <row r="3043" spans="1:7" x14ac:dyDescent="0.2">
      <c r="A3043" s="12">
        <v>41319</v>
      </c>
      <c r="B3043" s="9">
        <v>532.96</v>
      </c>
      <c r="C3043" s="9">
        <v>527.54999999999995</v>
      </c>
      <c r="D3043" s="9">
        <v>531.54</v>
      </c>
      <c r="E3043" s="9">
        <f t="shared" si="142"/>
        <v>7.9139889293725375E-3</v>
      </c>
      <c r="F3043" s="9">
        <f t="shared" si="143"/>
        <v>4.4490244978605736E-2</v>
      </c>
      <c r="G3043" s="9">
        <f t="shared" si="141"/>
        <v>1.4329720854048638E-2</v>
      </c>
    </row>
    <row r="3044" spans="1:7" x14ac:dyDescent="0.2">
      <c r="A3044" s="12">
        <v>41320</v>
      </c>
      <c r="B3044" s="9">
        <v>532.20000000000005</v>
      </c>
      <c r="C3044" s="9">
        <v>529.32000000000005</v>
      </c>
      <c r="D3044" s="9">
        <v>531.89</v>
      </c>
      <c r="E3044" s="9">
        <f t="shared" si="142"/>
        <v>6.5824739312902113E-4</v>
      </c>
      <c r="F3044" s="9">
        <f t="shared" si="143"/>
        <v>3.5985432665415019E-2</v>
      </c>
      <c r="G3044" s="9">
        <f t="shared" si="141"/>
        <v>1.4256483183983218E-2</v>
      </c>
    </row>
    <row r="3045" spans="1:7" x14ac:dyDescent="0.2">
      <c r="A3045" s="12">
        <v>41323</v>
      </c>
      <c r="B3045" s="9">
        <v>529.55999999999995</v>
      </c>
      <c r="C3045" s="9">
        <v>527.03</v>
      </c>
      <c r="D3045" s="9">
        <v>528.85</v>
      </c>
      <c r="E3045" s="9">
        <f t="shared" si="142"/>
        <v>-5.731863271063108E-3</v>
      </c>
      <c r="F3045" s="9">
        <f t="shared" si="143"/>
        <v>2.8773443702979757E-2</v>
      </c>
      <c r="G3045" s="9">
        <f t="shared" si="141"/>
        <v>1.4312285011220191E-2</v>
      </c>
    </row>
    <row r="3046" spans="1:7" x14ac:dyDescent="0.2">
      <c r="A3046" s="12">
        <v>41324</v>
      </c>
      <c r="B3046" s="9">
        <v>534.28</v>
      </c>
      <c r="C3046" s="9">
        <v>528.71</v>
      </c>
      <c r="D3046" s="9">
        <v>534.16999999999996</v>
      </c>
      <c r="E3046" s="9">
        <f t="shared" si="142"/>
        <v>1.0009302582793117E-2</v>
      </c>
      <c r="F3046" s="9">
        <f t="shared" si="143"/>
        <v>3.077750888136873E-2</v>
      </c>
      <c r="G3046" s="9">
        <f t="shared" si="141"/>
        <v>1.4350931417938409E-2</v>
      </c>
    </row>
    <row r="3047" spans="1:7" x14ac:dyDescent="0.2">
      <c r="A3047" s="12">
        <v>41325</v>
      </c>
      <c r="B3047" s="9">
        <v>540.39</v>
      </c>
      <c r="C3047" s="9">
        <v>533.67999999999995</v>
      </c>
      <c r="D3047" s="9">
        <v>540.29999999999995</v>
      </c>
      <c r="E3047" s="9">
        <f t="shared" si="142"/>
        <v>1.1410400493165052E-2</v>
      </c>
      <c r="F3047" s="9">
        <f t="shared" si="143"/>
        <v>3.6240151115989029E-2</v>
      </c>
      <c r="G3047" s="9">
        <f t="shared" ref="G3047:G3110" si="144">STDEV(E3018:E3047)</f>
        <v>1.4449849108811919E-2</v>
      </c>
    </row>
    <row r="3048" spans="1:7" x14ac:dyDescent="0.2">
      <c r="A3048" s="12">
        <v>41326</v>
      </c>
      <c r="B3048" s="9">
        <v>542.02</v>
      </c>
      <c r="C3048" s="9">
        <v>534.95000000000005</v>
      </c>
      <c r="D3048" s="9">
        <v>536.13</v>
      </c>
      <c r="E3048" s="9">
        <f t="shared" si="142"/>
        <v>-7.7478718732045563E-3</v>
      </c>
      <c r="F3048" s="9">
        <f t="shared" si="143"/>
        <v>2.5809103054168839E-2</v>
      </c>
      <c r="G3048" s="9">
        <f t="shared" si="144"/>
        <v>1.4538356815491173E-2</v>
      </c>
    </row>
    <row r="3049" spans="1:7" x14ac:dyDescent="0.2">
      <c r="A3049" s="12">
        <v>41327</v>
      </c>
      <c r="B3049" s="9">
        <v>541.82000000000005</v>
      </c>
      <c r="C3049" s="9">
        <v>534.85</v>
      </c>
      <c r="D3049" s="9">
        <v>539.49</v>
      </c>
      <c r="E3049" s="9">
        <f t="shared" si="142"/>
        <v>6.2475798683998014E-3</v>
      </c>
      <c r="F3049" s="9">
        <f t="shared" si="143"/>
        <v>3.0125423657935326E-2</v>
      </c>
      <c r="G3049" s="9">
        <f t="shared" si="144"/>
        <v>1.457064305036827E-2</v>
      </c>
    </row>
    <row r="3050" spans="1:7" x14ac:dyDescent="0.2">
      <c r="A3050" s="12">
        <v>41330</v>
      </c>
      <c r="B3050" s="9">
        <v>546.08000000000004</v>
      </c>
      <c r="C3050" s="9">
        <v>542.26</v>
      </c>
      <c r="D3050" s="9">
        <v>543.41</v>
      </c>
      <c r="E3050" s="9">
        <f t="shared" si="142"/>
        <v>7.2398506276869579E-3</v>
      </c>
      <c r="F3050" s="9">
        <f t="shared" si="143"/>
        <v>4.0004959056395416E-2</v>
      </c>
      <c r="G3050" s="9">
        <f t="shared" si="144"/>
        <v>1.4597068485735691E-2</v>
      </c>
    </row>
    <row r="3051" spans="1:7" x14ac:dyDescent="0.2">
      <c r="A3051" s="12">
        <v>41331</v>
      </c>
      <c r="B3051" s="9">
        <v>544.91</v>
      </c>
      <c r="C3051" s="9">
        <v>536.32000000000005</v>
      </c>
      <c r="D3051" s="9">
        <v>544.78</v>
      </c>
      <c r="E3051" s="9">
        <f t="shared" si="142"/>
        <v>2.517943969015383E-3</v>
      </c>
      <c r="F3051" s="9">
        <f t="shared" si="143"/>
        <v>3.4263674173269705E-2</v>
      </c>
      <c r="G3051" s="9">
        <f t="shared" si="144"/>
        <v>1.4540663872314435E-2</v>
      </c>
    </row>
    <row r="3052" spans="1:7" x14ac:dyDescent="0.2">
      <c r="A3052" s="12">
        <v>41332</v>
      </c>
      <c r="B3052" s="9">
        <v>544.87</v>
      </c>
      <c r="C3052" s="9">
        <v>540.46</v>
      </c>
      <c r="D3052" s="9">
        <v>543.04</v>
      </c>
      <c r="E3052" s="9">
        <f t="shared" si="142"/>
        <v>-3.1990613960560877E-3</v>
      </c>
      <c r="F3052" s="9">
        <f t="shared" si="143"/>
        <v>2.5778757624258453E-2</v>
      </c>
      <c r="G3052" s="9">
        <f t="shared" si="144"/>
        <v>1.4539804856639671E-2</v>
      </c>
    </row>
    <row r="3053" spans="1:7" x14ac:dyDescent="0.2">
      <c r="A3053" s="12">
        <v>41333</v>
      </c>
      <c r="B3053" s="9">
        <v>547.66</v>
      </c>
      <c r="C3053" s="9">
        <v>544.74</v>
      </c>
      <c r="D3053" s="9">
        <v>546.54999999999995</v>
      </c>
      <c r="E3053" s="9">
        <f t="shared" si="142"/>
        <v>6.4428126939829302E-3</v>
      </c>
      <c r="F3053" s="9">
        <f t="shared" si="143"/>
        <v>2.8054308359535689E-2</v>
      </c>
      <c r="G3053" s="9">
        <f t="shared" si="144"/>
        <v>1.4563573200812066E-2</v>
      </c>
    </row>
    <row r="3054" spans="1:7" x14ac:dyDescent="0.2">
      <c r="A3054" s="12">
        <v>41334</v>
      </c>
      <c r="B3054" s="9">
        <v>551.58000000000004</v>
      </c>
      <c r="C3054" s="9">
        <v>547</v>
      </c>
      <c r="D3054" s="9">
        <v>549.11</v>
      </c>
      <c r="E3054" s="9">
        <f t="shared" si="142"/>
        <v>4.672990998166017E-3</v>
      </c>
      <c r="F3054" s="9">
        <f t="shared" si="143"/>
        <v>3.4931333442287715E-2</v>
      </c>
      <c r="G3054" s="9">
        <f t="shared" si="144"/>
        <v>1.4566580651266516E-2</v>
      </c>
    </row>
    <row r="3055" spans="1:7" x14ac:dyDescent="0.2">
      <c r="A3055" s="12">
        <v>41337</v>
      </c>
      <c r="B3055" s="9">
        <v>556.65</v>
      </c>
      <c r="C3055" s="9">
        <v>547.75</v>
      </c>
      <c r="D3055" s="9">
        <v>556.55999999999995</v>
      </c>
      <c r="E3055" s="9">
        <f t="shared" si="142"/>
        <v>1.3476195877375327E-2</v>
      </c>
      <c r="F3055" s="9">
        <f t="shared" si="143"/>
        <v>3.9938233697746364E-2</v>
      </c>
      <c r="G3055" s="9">
        <f t="shared" si="144"/>
        <v>1.4681393677844466E-2</v>
      </c>
    </row>
    <row r="3056" spans="1:7" x14ac:dyDescent="0.2">
      <c r="A3056" s="12">
        <v>41338</v>
      </c>
      <c r="B3056" s="9">
        <v>564.61</v>
      </c>
      <c r="C3056" s="9">
        <v>557.55999999999995</v>
      </c>
      <c r="D3056" s="9">
        <v>562.54999999999995</v>
      </c>
      <c r="E3056" s="9">
        <f t="shared" si="142"/>
        <v>1.0705037401694976E-2</v>
      </c>
      <c r="F3056" s="9">
        <f t="shared" si="143"/>
        <v>4.9634000678840731E-2</v>
      </c>
      <c r="G3056" s="9">
        <f t="shared" si="144"/>
        <v>1.4780446586931718E-2</v>
      </c>
    </row>
    <row r="3057" spans="1:7" x14ac:dyDescent="0.2">
      <c r="A3057" s="12">
        <v>41339</v>
      </c>
      <c r="B3057" s="9">
        <v>562.70000000000005</v>
      </c>
      <c r="C3057" s="9">
        <v>557.61</v>
      </c>
      <c r="D3057" s="9">
        <v>557.76</v>
      </c>
      <c r="E3057" s="9">
        <f t="shared" si="142"/>
        <v>-8.5512566854247119E-3</v>
      </c>
      <c r="F3057" s="9">
        <f t="shared" si="143"/>
        <v>3.6218912111405321E-2</v>
      </c>
      <c r="G3057" s="9">
        <f t="shared" si="144"/>
        <v>1.4882579937844682E-2</v>
      </c>
    </row>
    <row r="3058" spans="1:7" x14ac:dyDescent="0.2">
      <c r="A3058" s="12">
        <v>41340</v>
      </c>
      <c r="B3058" s="9">
        <v>560.02</v>
      </c>
      <c r="C3058" s="9">
        <v>551.25</v>
      </c>
      <c r="D3058" s="9">
        <v>552.03</v>
      </c>
      <c r="E3058" s="9">
        <f t="shared" si="142"/>
        <v>-1.0326369705263419E-2</v>
      </c>
      <c r="F3058" s="9">
        <f t="shared" si="143"/>
        <v>2.8293548631481306E-2</v>
      </c>
      <c r="G3058" s="9">
        <f t="shared" si="144"/>
        <v>1.5018558962881802E-2</v>
      </c>
    </row>
    <row r="3059" spans="1:7" x14ac:dyDescent="0.2">
      <c r="A3059" s="12">
        <v>41341</v>
      </c>
      <c r="B3059" s="9">
        <v>555.02</v>
      </c>
      <c r="C3059" s="9">
        <v>551.64</v>
      </c>
      <c r="D3059" s="9">
        <v>552.76</v>
      </c>
      <c r="E3059" s="9">
        <f t="shared" si="142"/>
        <v>1.3215183088913271E-3</v>
      </c>
      <c r="F3059" s="9">
        <f t="shared" si="143"/>
        <v>1.9971611831601916E-2</v>
      </c>
      <c r="G3059" s="9">
        <f t="shared" si="144"/>
        <v>1.492890637882587E-2</v>
      </c>
    </row>
    <row r="3060" spans="1:7" x14ac:dyDescent="0.2">
      <c r="A3060" s="12">
        <v>41344</v>
      </c>
      <c r="B3060" s="9">
        <v>556.32000000000005</v>
      </c>
      <c r="C3060" s="9">
        <v>553.96</v>
      </c>
      <c r="D3060" s="9">
        <v>554.94000000000005</v>
      </c>
      <c r="E3060" s="9">
        <f t="shared" si="142"/>
        <v>3.9360888589399599E-3</v>
      </c>
      <c r="F3060" s="9">
        <f t="shared" si="143"/>
        <v>2.9088771807023326E-2</v>
      </c>
      <c r="G3060" s="9">
        <f t="shared" si="144"/>
        <v>1.4898547383198775E-2</v>
      </c>
    </row>
    <row r="3061" spans="1:7" x14ac:dyDescent="0.2">
      <c r="A3061" s="12">
        <v>41345</v>
      </c>
      <c r="B3061" s="9">
        <v>556.66</v>
      </c>
      <c r="C3061" s="9">
        <v>553.54999999999995</v>
      </c>
      <c r="D3061" s="9">
        <v>554.46</v>
      </c>
      <c r="E3061" s="9">
        <f t="shared" si="142"/>
        <v>-8.653326662197093E-4</v>
      </c>
      <c r="F3061" s="9">
        <f t="shared" si="143"/>
        <v>2.7370418282788841E-2</v>
      </c>
      <c r="G3061" s="9">
        <f t="shared" si="144"/>
        <v>1.4902313822581472E-2</v>
      </c>
    </row>
    <row r="3062" spans="1:7" x14ac:dyDescent="0.2">
      <c r="A3062" s="12">
        <v>41346</v>
      </c>
      <c r="B3062" s="9">
        <v>556.29999999999995</v>
      </c>
      <c r="C3062" s="9">
        <v>553.05999999999995</v>
      </c>
      <c r="D3062" s="9">
        <v>555.82000000000005</v>
      </c>
      <c r="E3062" s="9">
        <f t="shared" si="142"/>
        <v>2.4498336999512964E-3</v>
      </c>
      <c r="F3062" s="9">
        <f t="shared" si="143"/>
        <v>2.6932804810297688E-2</v>
      </c>
      <c r="G3062" s="9">
        <f t="shared" si="144"/>
        <v>1.4900527903306199E-2</v>
      </c>
    </row>
    <row r="3063" spans="1:7" x14ac:dyDescent="0.2">
      <c r="A3063" s="12">
        <v>41347</v>
      </c>
      <c r="B3063" s="9">
        <v>559.25</v>
      </c>
      <c r="C3063" s="9">
        <v>552.27</v>
      </c>
      <c r="D3063" s="9">
        <v>554.80999999999995</v>
      </c>
      <c r="E3063" s="9">
        <f t="shared" si="142"/>
        <v>-1.8187880363803954E-3</v>
      </c>
      <c r="F3063" s="9">
        <f t="shared" si="143"/>
        <v>3.4995409979312206E-2</v>
      </c>
      <c r="G3063" s="9">
        <f t="shared" si="144"/>
        <v>1.4771558010346939E-2</v>
      </c>
    </row>
    <row r="3064" spans="1:7" x14ac:dyDescent="0.2">
      <c r="A3064" s="12">
        <v>41348</v>
      </c>
      <c r="B3064" s="9">
        <v>556.95000000000005</v>
      </c>
      <c r="C3064" s="9">
        <v>553.52</v>
      </c>
      <c r="D3064" s="9">
        <v>554.75</v>
      </c>
      <c r="E3064" s="9">
        <f t="shared" si="142"/>
        <v>-1.0815097887168985E-4</v>
      </c>
      <c r="F3064" s="9">
        <f t="shared" si="143"/>
        <v>1.2862905372169062E-2</v>
      </c>
      <c r="G3064" s="9">
        <f t="shared" si="144"/>
        <v>1.4236930944614099E-2</v>
      </c>
    </row>
    <row r="3065" spans="1:7" x14ac:dyDescent="0.2">
      <c r="A3065" s="12">
        <v>41351</v>
      </c>
      <c r="B3065" s="9">
        <v>550.04999999999995</v>
      </c>
      <c r="C3065" s="9">
        <v>541.04999999999995</v>
      </c>
      <c r="D3065" s="9">
        <v>543.70000000000005</v>
      </c>
      <c r="E3065" s="9">
        <f t="shared" si="142"/>
        <v>-2.0119937660828282E-2</v>
      </c>
      <c r="F3065" s="9">
        <f t="shared" si="143"/>
        <v>-7.4030976531693667E-3</v>
      </c>
      <c r="G3065" s="9">
        <f t="shared" si="144"/>
        <v>1.4723303974655256E-2</v>
      </c>
    </row>
    <row r="3066" spans="1:7" x14ac:dyDescent="0.2">
      <c r="A3066" s="12">
        <v>41352</v>
      </c>
      <c r="B3066" s="9">
        <v>547.74</v>
      </c>
      <c r="C3066" s="9">
        <v>542.03</v>
      </c>
      <c r="D3066" s="9">
        <v>544.66</v>
      </c>
      <c r="E3066" s="9">
        <f t="shared" si="142"/>
        <v>1.7641226229743292E-3</v>
      </c>
      <c r="F3066" s="9">
        <f t="shared" si="143"/>
        <v>-1.4092571772388941E-2</v>
      </c>
      <c r="G3066" s="9">
        <f t="shared" si="144"/>
        <v>1.4637399419537882E-2</v>
      </c>
    </row>
    <row r="3067" spans="1:7" x14ac:dyDescent="0.2">
      <c r="A3067" s="12">
        <v>41353</v>
      </c>
      <c r="B3067" s="9">
        <v>547.5</v>
      </c>
      <c r="C3067" s="9">
        <v>541.80999999999995</v>
      </c>
      <c r="D3067" s="9">
        <v>541.85</v>
      </c>
      <c r="E3067" s="9">
        <f t="shared" si="142"/>
        <v>-5.1725364058451753E-3</v>
      </c>
      <c r="F3067" s="9">
        <f t="shared" si="143"/>
        <v>-1.8015209909380974E-2</v>
      </c>
      <c r="G3067" s="9">
        <f t="shared" si="144"/>
        <v>1.466210813996823E-2</v>
      </c>
    </row>
    <row r="3068" spans="1:7" x14ac:dyDescent="0.2">
      <c r="A3068" s="12">
        <v>41354</v>
      </c>
      <c r="B3068" s="9">
        <v>541.17999999999995</v>
      </c>
      <c r="C3068" s="9">
        <v>535.54</v>
      </c>
      <c r="D3068" s="9">
        <v>537.05999999999995</v>
      </c>
      <c r="E3068" s="9">
        <f t="shared" si="142"/>
        <v>-8.879390258101796E-3</v>
      </c>
      <c r="F3068" s="9">
        <f t="shared" si="143"/>
        <v>-3.0079662037034986E-2</v>
      </c>
      <c r="G3068" s="9">
        <f t="shared" si="144"/>
        <v>1.47200341013148E-2</v>
      </c>
    </row>
    <row r="3069" spans="1:7" x14ac:dyDescent="0.2">
      <c r="A3069" s="12">
        <v>41355</v>
      </c>
      <c r="B3069" s="9">
        <v>536.04</v>
      </c>
      <c r="C3069" s="9">
        <v>530.12</v>
      </c>
      <c r="D3069" s="9">
        <v>534.24</v>
      </c>
      <c r="E3069" s="9">
        <f t="shared" si="142"/>
        <v>-5.2646439155580611E-3</v>
      </c>
      <c r="F3069" s="9">
        <f t="shared" si="143"/>
        <v>-4.150460066506656E-2</v>
      </c>
      <c r="G3069" s="9">
        <f t="shared" si="144"/>
        <v>1.4676051841583476E-2</v>
      </c>
    </row>
    <row r="3070" spans="1:7" x14ac:dyDescent="0.2">
      <c r="A3070" s="12">
        <v>41358</v>
      </c>
      <c r="B3070" s="9">
        <v>541.27</v>
      </c>
      <c r="C3070" s="9">
        <v>534.86</v>
      </c>
      <c r="D3070" s="9">
        <v>536.21</v>
      </c>
      <c r="E3070" s="9">
        <f t="shared" si="142"/>
        <v>3.6806991901632683E-3</v>
      </c>
      <c r="F3070" s="9">
        <f t="shared" si="143"/>
        <v>2.9985778371970258E-2</v>
      </c>
      <c r="G3070" s="9">
        <f t="shared" si="144"/>
        <v>7.6317232579706865E-3</v>
      </c>
    </row>
    <row r="3071" spans="1:7" x14ac:dyDescent="0.2">
      <c r="A3071" s="12">
        <v>41359</v>
      </c>
      <c r="B3071" s="9">
        <v>538.78</v>
      </c>
      <c r="C3071" s="9">
        <v>534.46</v>
      </c>
      <c r="D3071" s="9">
        <v>538.77</v>
      </c>
      <c r="E3071" s="9">
        <f t="shared" si="142"/>
        <v>4.7628883132471858E-3</v>
      </c>
      <c r="F3071" s="9">
        <f t="shared" si="143"/>
        <v>3.0778618989434032E-2</v>
      </c>
      <c r="G3071" s="9">
        <f t="shared" si="144"/>
        <v>7.6437279682707608E-3</v>
      </c>
    </row>
    <row r="3072" spans="1:7" x14ac:dyDescent="0.2">
      <c r="A3072" s="12">
        <v>41360</v>
      </c>
      <c r="B3072" s="9">
        <v>541.4</v>
      </c>
      <c r="C3072" s="9">
        <v>531.78</v>
      </c>
      <c r="D3072" s="9">
        <v>534.47</v>
      </c>
      <c r="E3072" s="9">
        <f t="shared" si="142"/>
        <v>-8.0131620305487171E-3</v>
      </c>
      <c r="F3072" s="9">
        <f t="shared" si="143"/>
        <v>1.3411136945582693E-2</v>
      </c>
      <c r="G3072" s="9">
        <f t="shared" si="144"/>
        <v>7.6488907532711228E-3</v>
      </c>
    </row>
    <row r="3073" spans="1:7" x14ac:dyDescent="0.2">
      <c r="A3073" s="12">
        <v>41366</v>
      </c>
      <c r="B3073" s="9">
        <v>541.9</v>
      </c>
      <c r="C3073" s="9">
        <v>535.39</v>
      </c>
      <c r="D3073" s="9">
        <v>540.62</v>
      </c>
      <c r="E3073" s="9">
        <f t="shared" si="142"/>
        <v>1.1441027420256234E-2</v>
      </c>
      <c r="F3073" s="9">
        <f t="shared" si="143"/>
        <v>1.6938175436466505E-2</v>
      </c>
      <c r="G3073" s="9">
        <f t="shared" si="144"/>
        <v>7.7933617732507078E-3</v>
      </c>
    </row>
    <row r="3074" spans="1:7" x14ac:dyDescent="0.2">
      <c r="A3074" s="12">
        <v>41367</v>
      </c>
      <c r="B3074" s="9">
        <v>547.16999999999996</v>
      </c>
      <c r="C3074" s="9">
        <v>540.45000000000005</v>
      </c>
      <c r="D3074" s="9">
        <v>543.5</v>
      </c>
      <c r="E3074" s="9">
        <f t="shared" si="142"/>
        <v>5.3130774728018387E-3</v>
      </c>
      <c r="F3074" s="9">
        <f t="shared" si="143"/>
        <v>2.159300551613913E-2</v>
      </c>
      <c r="G3074" s="9">
        <f t="shared" si="144"/>
        <v>7.8414792545036301E-3</v>
      </c>
    </row>
    <row r="3075" spans="1:7" x14ac:dyDescent="0.2">
      <c r="A3075" s="12">
        <v>41368</v>
      </c>
      <c r="B3075" s="9">
        <v>544.22</v>
      </c>
      <c r="C3075" s="9">
        <v>534.88</v>
      </c>
      <c r="D3075" s="9">
        <v>535.6</v>
      </c>
      <c r="E3075" s="9">
        <f t="shared" si="142"/>
        <v>-1.4642092744246597E-2</v>
      </c>
      <c r="F3075" s="9">
        <f t="shared" si="143"/>
        <v>1.2682776042955621E-2</v>
      </c>
      <c r="G3075" s="9">
        <f t="shared" si="144"/>
        <v>8.2522554967814112E-3</v>
      </c>
    </row>
    <row r="3076" spans="1:7" x14ac:dyDescent="0.2">
      <c r="A3076" s="12">
        <v>41369</v>
      </c>
      <c r="B3076" s="9">
        <v>536.89</v>
      </c>
      <c r="C3076" s="9">
        <v>526.45000000000005</v>
      </c>
      <c r="D3076" s="9">
        <v>527.08000000000004</v>
      </c>
      <c r="E3076" s="9">
        <f t="shared" ref="E3076:E3139" si="145">LN(D3076/D3075)</f>
        <v>-1.6035274139965909E-2</v>
      </c>
      <c r="F3076" s="9">
        <f t="shared" si="143"/>
        <v>-1.3361800679803538E-2</v>
      </c>
      <c r="G3076" s="9">
        <f t="shared" si="144"/>
        <v>8.5727038432045505E-3</v>
      </c>
    </row>
    <row r="3077" spans="1:7" x14ac:dyDescent="0.2">
      <c r="A3077" s="12">
        <v>41372</v>
      </c>
      <c r="B3077" s="9">
        <v>533.16999999999996</v>
      </c>
      <c r="C3077" s="9">
        <v>529.59</v>
      </c>
      <c r="D3077" s="9">
        <v>532.91</v>
      </c>
      <c r="E3077" s="9">
        <f t="shared" si="145"/>
        <v>1.1000214696383027E-2</v>
      </c>
      <c r="F3077" s="9">
        <f t="shared" si="143"/>
        <v>-1.3771986476585523E-2</v>
      </c>
      <c r="G3077" s="9">
        <f t="shared" si="144"/>
        <v>8.5534481286536294E-3</v>
      </c>
    </row>
    <row r="3078" spans="1:7" x14ac:dyDescent="0.2">
      <c r="A3078" s="12">
        <v>41373</v>
      </c>
      <c r="B3078" s="9">
        <v>535.96</v>
      </c>
      <c r="C3078" s="9">
        <v>530.01</v>
      </c>
      <c r="D3078" s="9">
        <v>532.32000000000005</v>
      </c>
      <c r="E3078" s="9">
        <f t="shared" si="145"/>
        <v>-1.1077421032677965E-3</v>
      </c>
      <c r="F3078" s="9">
        <f t="shared" si="143"/>
        <v>-7.131856706648735E-3</v>
      </c>
      <c r="G3078" s="9">
        <f t="shared" si="144"/>
        <v>8.4435389571685653E-3</v>
      </c>
    </row>
    <row r="3079" spans="1:7" x14ac:dyDescent="0.2">
      <c r="A3079" s="12">
        <v>41374</v>
      </c>
      <c r="B3079" s="9">
        <v>537.44000000000005</v>
      </c>
      <c r="C3079" s="9">
        <v>532.59</v>
      </c>
      <c r="D3079" s="9">
        <v>537.44000000000005</v>
      </c>
      <c r="E3079" s="9">
        <f t="shared" si="145"/>
        <v>9.5723135938160144E-3</v>
      </c>
      <c r="F3079" s="9">
        <f t="shared" si="143"/>
        <v>-3.8071229812325419E-3</v>
      </c>
      <c r="G3079" s="9">
        <f t="shared" si="144"/>
        <v>8.5527095793883155E-3</v>
      </c>
    </row>
    <row r="3080" spans="1:7" x14ac:dyDescent="0.2">
      <c r="A3080" s="12">
        <v>41375</v>
      </c>
      <c r="B3080" s="9">
        <v>543.13</v>
      </c>
      <c r="C3080" s="9">
        <v>537.29999999999995</v>
      </c>
      <c r="D3080" s="9">
        <v>541.45000000000005</v>
      </c>
      <c r="E3080" s="9">
        <f t="shared" si="145"/>
        <v>7.4336002104058545E-3</v>
      </c>
      <c r="F3080" s="9">
        <f t="shared" si="143"/>
        <v>-3.6133733985137034E-3</v>
      </c>
      <c r="G3080" s="9">
        <f t="shared" si="144"/>
        <v>8.5585353489232401E-3</v>
      </c>
    </row>
    <row r="3081" spans="1:7" x14ac:dyDescent="0.2">
      <c r="A3081" s="12">
        <v>41376</v>
      </c>
      <c r="B3081" s="9">
        <v>540.30999999999995</v>
      </c>
      <c r="C3081" s="9">
        <v>535.48</v>
      </c>
      <c r="D3081" s="9">
        <v>535.48</v>
      </c>
      <c r="E3081" s="9">
        <f t="shared" si="145"/>
        <v>-1.1087185156691571E-2</v>
      </c>
      <c r="F3081" s="9">
        <f t="shared" si="143"/>
        <v>-1.7218502524220469E-2</v>
      </c>
      <c r="G3081" s="9">
        <f t="shared" si="144"/>
        <v>8.7717131180124423E-3</v>
      </c>
    </row>
    <row r="3082" spans="1:7" x14ac:dyDescent="0.2">
      <c r="A3082" s="12">
        <v>41379</v>
      </c>
      <c r="B3082" s="9">
        <v>537.6</v>
      </c>
      <c r="C3082" s="9">
        <v>532.33000000000004</v>
      </c>
      <c r="D3082" s="9">
        <v>534.41999999999996</v>
      </c>
      <c r="E3082" s="9">
        <f t="shared" si="145"/>
        <v>-1.9814942458639059E-3</v>
      </c>
      <c r="F3082" s="9">
        <f t="shared" si="143"/>
        <v>-1.6000935374028382E-2</v>
      </c>
      <c r="G3082" s="9">
        <f t="shared" si="144"/>
        <v>8.7619595809051466E-3</v>
      </c>
    </row>
    <row r="3083" spans="1:7" x14ac:dyDescent="0.2">
      <c r="A3083" s="12">
        <v>41380</v>
      </c>
      <c r="B3083" s="9">
        <v>536.97</v>
      </c>
      <c r="C3083" s="9">
        <v>530.69000000000005</v>
      </c>
      <c r="D3083" s="9">
        <v>530.71</v>
      </c>
      <c r="E3083" s="9">
        <f t="shared" si="145"/>
        <v>-6.9663139780138626E-3</v>
      </c>
      <c r="F3083" s="9">
        <f t="shared" si="143"/>
        <v>-2.9410062046025184E-2</v>
      </c>
      <c r="G3083" s="9">
        <f t="shared" si="144"/>
        <v>8.7357932675056846E-3</v>
      </c>
    </row>
    <row r="3084" spans="1:7" x14ac:dyDescent="0.2">
      <c r="A3084" s="12">
        <v>41381</v>
      </c>
      <c r="B3084" s="9">
        <v>533.66</v>
      </c>
      <c r="C3084" s="9">
        <v>524.52</v>
      </c>
      <c r="D3084" s="9">
        <v>524.52</v>
      </c>
      <c r="E3084" s="9">
        <f t="shared" si="145"/>
        <v>-1.173217403059577E-2</v>
      </c>
      <c r="F3084" s="9">
        <f t="shared" si="143"/>
        <v>-4.5815227074786934E-2</v>
      </c>
      <c r="G3084" s="9">
        <f t="shared" si="144"/>
        <v>8.8819448584123873E-3</v>
      </c>
    </row>
    <row r="3085" spans="1:7" x14ac:dyDescent="0.2">
      <c r="A3085" s="12">
        <v>41382</v>
      </c>
      <c r="B3085" s="9">
        <v>527.9</v>
      </c>
      <c r="C3085" s="9">
        <v>522.63</v>
      </c>
      <c r="D3085" s="9">
        <v>523.21</v>
      </c>
      <c r="E3085" s="9">
        <f t="shared" si="145"/>
        <v>-2.5006455530412566E-3</v>
      </c>
      <c r="F3085" s="9">
        <f t="shared" si="143"/>
        <v>-6.1792068505203634E-2</v>
      </c>
      <c r="G3085" s="9">
        <f t="shared" si="144"/>
        <v>8.4182012831880062E-3</v>
      </c>
    </row>
    <row r="3086" spans="1:7" x14ac:dyDescent="0.2">
      <c r="A3086" s="12">
        <v>41383</v>
      </c>
      <c r="B3086" s="9">
        <v>528.99</v>
      </c>
      <c r="C3086" s="9">
        <v>523.16</v>
      </c>
      <c r="D3086" s="9">
        <v>524.88</v>
      </c>
      <c r="E3086" s="9">
        <f t="shared" si="145"/>
        <v>3.1867519264398032E-3</v>
      </c>
      <c r="F3086" s="9">
        <f t="shared" si="143"/>
        <v>-6.9310353980458747E-2</v>
      </c>
      <c r="G3086" s="9">
        <f t="shared" si="144"/>
        <v>8.1321399820201146E-3</v>
      </c>
    </row>
    <row r="3087" spans="1:7" x14ac:dyDescent="0.2">
      <c r="A3087" s="12">
        <v>41386</v>
      </c>
      <c r="B3087" s="9">
        <v>529.75</v>
      </c>
      <c r="C3087" s="9">
        <v>524.16</v>
      </c>
      <c r="D3087" s="9">
        <v>524.65</v>
      </c>
      <c r="E3087" s="9">
        <f t="shared" si="145"/>
        <v>-4.3829143270209274E-4</v>
      </c>
      <c r="F3087" s="9">
        <f t="shared" si="143"/>
        <v>-6.1197388727736099E-2</v>
      </c>
      <c r="G3087" s="9">
        <f t="shared" si="144"/>
        <v>8.0519454088258807E-3</v>
      </c>
    </row>
    <row r="3088" spans="1:7" x14ac:dyDescent="0.2">
      <c r="A3088" s="12">
        <v>41387</v>
      </c>
      <c r="B3088" s="9">
        <v>530.55999999999995</v>
      </c>
      <c r="C3088" s="9">
        <v>523.14</v>
      </c>
      <c r="D3088" s="9">
        <v>530.55999999999995</v>
      </c>
      <c r="E3088" s="9">
        <f t="shared" si="145"/>
        <v>1.1201678902955309E-2</v>
      </c>
      <c r="F3088" s="9">
        <f t="shared" si="143"/>
        <v>-3.9669340119517241E-2</v>
      </c>
      <c r="G3088" s="9">
        <f t="shared" si="144"/>
        <v>8.2449707725006476E-3</v>
      </c>
    </row>
    <row r="3089" spans="1:7" x14ac:dyDescent="0.2">
      <c r="A3089" s="12">
        <v>41388</v>
      </c>
      <c r="B3089" s="9">
        <v>538.22</v>
      </c>
      <c r="C3089" s="9">
        <v>529.67999999999995</v>
      </c>
      <c r="D3089" s="9">
        <v>536.14</v>
      </c>
      <c r="E3089" s="9">
        <f t="shared" si="145"/>
        <v>1.0462268488555344E-2</v>
      </c>
      <c r="F3089" s="9">
        <f t="shared" si="143"/>
        <v>-3.0528589939853253E-2</v>
      </c>
      <c r="G3089" s="9">
        <f t="shared" si="144"/>
        <v>8.510658883190662E-3</v>
      </c>
    </row>
    <row r="3090" spans="1:7" x14ac:dyDescent="0.2">
      <c r="A3090" s="12">
        <v>41389</v>
      </c>
      <c r="B3090" s="9">
        <v>539.61</v>
      </c>
      <c r="C3090" s="9">
        <v>535.04999999999995</v>
      </c>
      <c r="D3090" s="9">
        <v>537.94000000000005</v>
      </c>
      <c r="E3090" s="9">
        <f t="shared" si="145"/>
        <v>3.3517087835032212E-3</v>
      </c>
      <c r="F3090" s="9">
        <f t="shared" si="143"/>
        <v>-3.1112970015289988E-2</v>
      </c>
      <c r="G3090" s="9">
        <f t="shared" si="144"/>
        <v>8.4995913568511813E-3</v>
      </c>
    </row>
    <row r="3091" spans="1:7" x14ac:dyDescent="0.2">
      <c r="A3091" s="12">
        <v>41393</v>
      </c>
      <c r="B3091" s="9">
        <v>541.13</v>
      </c>
      <c r="C3091" s="9">
        <v>537.97</v>
      </c>
      <c r="D3091" s="9">
        <v>538.92999999999995</v>
      </c>
      <c r="E3091" s="9">
        <f t="shared" si="145"/>
        <v>1.8386625663375602E-3</v>
      </c>
      <c r="F3091" s="9">
        <f t="shared" si="143"/>
        <v>-2.8408974782732733E-2</v>
      </c>
      <c r="G3091" s="9">
        <f t="shared" si="144"/>
        <v>8.5157973385211558E-3</v>
      </c>
    </row>
    <row r="3092" spans="1:7" x14ac:dyDescent="0.2">
      <c r="A3092" s="12">
        <v>41394</v>
      </c>
      <c r="B3092" s="9">
        <v>542.64</v>
      </c>
      <c r="C3092" s="9">
        <v>538.30999999999995</v>
      </c>
      <c r="D3092" s="9">
        <v>539.28</v>
      </c>
      <c r="E3092" s="9">
        <f t="shared" si="145"/>
        <v>6.4922419991192057E-4</v>
      </c>
      <c r="F3092" s="9">
        <f t="shared" si="143"/>
        <v>-3.0209584282771998E-2</v>
      </c>
      <c r="G3092" s="9">
        <f t="shared" si="144"/>
        <v>8.4973562368026931E-3</v>
      </c>
    </row>
    <row r="3093" spans="1:7" x14ac:dyDescent="0.2">
      <c r="A3093" s="12">
        <v>41395</v>
      </c>
      <c r="B3093" s="9">
        <v>541.71</v>
      </c>
      <c r="C3093" s="9">
        <v>536.66</v>
      </c>
      <c r="D3093" s="9">
        <v>536.69000000000005</v>
      </c>
      <c r="E3093" s="9">
        <f t="shared" si="145"/>
        <v>-4.8142699190668846E-3</v>
      </c>
      <c r="F3093" s="9">
        <f t="shared" si="143"/>
        <v>-3.3205066165458506E-2</v>
      </c>
      <c r="G3093" s="9">
        <f t="shared" si="144"/>
        <v>8.5247795356681033E-3</v>
      </c>
    </row>
    <row r="3094" spans="1:7" x14ac:dyDescent="0.2">
      <c r="A3094" s="12">
        <v>41396</v>
      </c>
      <c r="B3094" s="9">
        <v>539.59</v>
      </c>
      <c r="C3094" s="9">
        <v>532.28</v>
      </c>
      <c r="D3094" s="9">
        <v>538.01</v>
      </c>
      <c r="E3094" s="9">
        <f t="shared" si="145"/>
        <v>2.456500723519888E-3</v>
      </c>
      <c r="F3094" s="9">
        <f t="shared" si="143"/>
        <v>-3.0640414463066992E-2</v>
      </c>
      <c r="G3094" s="9">
        <f t="shared" si="144"/>
        <v>8.5479678253308402E-3</v>
      </c>
    </row>
    <row r="3095" spans="1:7" x14ac:dyDescent="0.2">
      <c r="A3095" s="12">
        <v>41397</v>
      </c>
      <c r="B3095" s="9">
        <v>541.24</v>
      </c>
      <c r="C3095" s="9">
        <v>537.16999999999996</v>
      </c>
      <c r="D3095" s="9">
        <v>538.96</v>
      </c>
      <c r="E3095" s="9">
        <f t="shared" si="145"/>
        <v>1.7642093027680685E-3</v>
      </c>
      <c r="F3095" s="9">
        <f t="shared" si="143"/>
        <v>-8.7562674994706279E-3</v>
      </c>
      <c r="G3095" s="9">
        <f t="shared" si="144"/>
        <v>7.7593195724551421E-3</v>
      </c>
    </row>
    <row r="3096" spans="1:7" x14ac:dyDescent="0.2">
      <c r="A3096" s="12">
        <v>41400</v>
      </c>
      <c r="B3096" s="9">
        <v>541.94000000000005</v>
      </c>
      <c r="C3096" s="9">
        <v>538.91</v>
      </c>
      <c r="D3096" s="9">
        <v>541.94000000000005</v>
      </c>
      <c r="E3096" s="9">
        <f t="shared" si="145"/>
        <v>5.5139375524110457E-3</v>
      </c>
      <c r="F3096" s="9">
        <f t="shared" si="143"/>
        <v>-5.0064525700339755E-3</v>
      </c>
      <c r="G3096" s="9">
        <f t="shared" si="144"/>
        <v>7.8235184791320203E-3</v>
      </c>
    </row>
    <row r="3097" spans="1:7" x14ac:dyDescent="0.2">
      <c r="A3097" s="12">
        <v>41401</v>
      </c>
      <c r="B3097" s="9">
        <v>547.87</v>
      </c>
      <c r="C3097" s="9">
        <v>541.58000000000004</v>
      </c>
      <c r="D3097" s="9">
        <v>542.22</v>
      </c>
      <c r="E3097" s="9">
        <f t="shared" si="145"/>
        <v>5.1652893710409846E-4</v>
      </c>
      <c r="F3097" s="9">
        <f t="shared" si="143"/>
        <v>6.8261277291518571E-4</v>
      </c>
      <c r="G3097" s="9">
        <f t="shared" si="144"/>
        <v>7.7667448097434623E-3</v>
      </c>
    </row>
    <row r="3098" spans="1:7" x14ac:dyDescent="0.2">
      <c r="A3098" s="12">
        <v>41402</v>
      </c>
      <c r="B3098" s="9">
        <v>546.34</v>
      </c>
      <c r="C3098" s="9">
        <v>541.72</v>
      </c>
      <c r="D3098" s="9">
        <v>546.03</v>
      </c>
      <c r="E3098" s="9">
        <f t="shared" si="145"/>
        <v>7.0020961485063949E-3</v>
      </c>
      <c r="F3098" s="9">
        <f t="shared" si="143"/>
        <v>1.6564099179523391E-2</v>
      </c>
      <c r="G3098" s="9">
        <f t="shared" si="144"/>
        <v>7.6798057813089772E-3</v>
      </c>
    </row>
    <row r="3099" spans="1:7" x14ac:dyDescent="0.2">
      <c r="A3099" s="12">
        <v>41407</v>
      </c>
      <c r="B3099" s="9">
        <v>551.97</v>
      </c>
      <c r="C3099" s="9">
        <v>547.09</v>
      </c>
      <c r="D3099" s="9">
        <v>550.66</v>
      </c>
      <c r="E3099" s="9">
        <f t="shared" si="145"/>
        <v>8.4436395115729309E-3</v>
      </c>
      <c r="F3099" s="9">
        <f t="shared" si="143"/>
        <v>3.0272382606654141E-2</v>
      </c>
      <c r="G3099" s="9">
        <f t="shared" si="144"/>
        <v>7.7294333751571336E-3</v>
      </c>
    </row>
    <row r="3100" spans="1:7" x14ac:dyDescent="0.2">
      <c r="A3100" s="12">
        <v>41408</v>
      </c>
      <c r="B3100" s="9">
        <v>555.69000000000005</v>
      </c>
      <c r="C3100" s="9">
        <v>551.24</v>
      </c>
      <c r="D3100" s="9">
        <v>555.69000000000005</v>
      </c>
      <c r="E3100" s="9">
        <f t="shared" si="145"/>
        <v>9.0930260007428265E-3</v>
      </c>
      <c r="F3100" s="9">
        <f t="shared" si="143"/>
        <v>3.5684709417233972E-2</v>
      </c>
      <c r="G3100" s="9">
        <f t="shared" si="144"/>
        <v>7.8560678637895828E-3</v>
      </c>
    </row>
    <row r="3101" spans="1:7" x14ac:dyDescent="0.2">
      <c r="A3101" s="12">
        <v>41409</v>
      </c>
      <c r="B3101" s="9">
        <v>559.07000000000005</v>
      </c>
      <c r="C3101" s="9">
        <v>555.72</v>
      </c>
      <c r="D3101" s="9">
        <v>556.79</v>
      </c>
      <c r="E3101" s="9">
        <f t="shared" si="145"/>
        <v>1.9775642860749027E-3</v>
      </c>
      <c r="F3101" s="9">
        <f t="shared" si="143"/>
        <v>3.2899385390061618E-2</v>
      </c>
      <c r="G3101" s="9">
        <f t="shared" si="144"/>
        <v>7.8287920248000242E-3</v>
      </c>
    </row>
    <row r="3102" spans="1:7" x14ac:dyDescent="0.2">
      <c r="A3102" s="12">
        <v>41410</v>
      </c>
      <c r="B3102" s="9">
        <v>558.15</v>
      </c>
      <c r="C3102" s="9">
        <v>550.09</v>
      </c>
      <c r="D3102" s="9">
        <v>552.34</v>
      </c>
      <c r="E3102" s="9">
        <f t="shared" si="145"/>
        <v>-8.0243503971699302E-3</v>
      </c>
      <c r="F3102" s="9">
        <f t="shared" si="143"/>
        <v>3.2888197023440431E-2</v>
      </c>
      <c r="G3102" s="9">
        <f t="shared" si="144"/>
        <v>7.8292412131011103E-3</v>
      </c>
    </row>
    <row r="3103" spans="1:7" x14ac:dyDescent="0.2">
      <c r="A3103" s="12">
        <v>41411</v>
      </c>
      <c r="B3103" s="9">
        <v>553.61</v>
      </c>
      <c r="C3103" s="9">
        <v>550.25</v>
      </c>
      <c r="D3103" s="9">
        <v>551.23</v>
      </c>
      <c r="E3103" s="9">
        <f t="shared" si="145"/>
        <v>-2.0116537679068158E-3</v>
      </c>
      <c r="F3103" s="9">
        <f t="shared" si="143"/>
        <v>1.9435515835277212E-2</v>
      </c>
      <c r="G3103" s="9">
        <f t="shared" si="144"/>
        <v>7.5981538242861123E-3</v>
      </c>
    </row>
    <row r="3104" spans="1:7" x14ac:dyDescent="0.2">
      <c r="A3104" s="12">
        <v>41415</v>
      </c>
      <c r="B3104" s="9">
        <v>552.58000000000004</v>
      </c>
      <c r="C3104" s="9">
        <v>548.91999999999996</v>
      </c>
      <c r="D3104" s="9">
        <v>551.95000000000005</v>
      </c>
      <c r="E3104" s="9">
        <f t="shared" si="145"/>
        <v>1.3053175406213112E-3</v>
      </c>
      <c r="F3104" s="9">
        <f t="shared" si="143"/>
        <v>1.5427755903096587E-2</v>
      </c>
      <c r="G3104" s="9">
        <f t="shared" si="144"/>
        <v>7.5483700463834218E-3</v>
      </c>
    </row>
    <row r="3105" spans="1:7" x14ac:dyDescent="0.2">
      <c r="A3105" s="12">
        <v>41416</v>
      </c>
      <c r="B3105" s="9">
        <v>554.67999999999995</v>
      </c>
      <c r="C3105" s="9">
        <v>551.67999999999995</v>
      </c>
      <c r="D3105" s="9">
        <v>553.85</v>
      </c>
      <c r="E3105" s="9">
        <f t="shared" si="145"/>
        <v>3.4364294985810974E-3</v>
      </c>
      <c r="F3105" s="9">
        <f t="shared" ref="F3105:F3168" si="146">LN(D3105/D3075)</f>
        <v>3.3506278145924419E-2</v>
      </c>
      <c r="G3105" s="9">
        <f t="shared" si="144"/>
        <v>6.9982472863799284E-3</v>
      </c>
    </row>
    <row r="3106" spans="1:7" x14ac:dyDescent="0.2">
      <c r="A3106" s="12">
        <v>41417</v>
      </c>
      <c r="B3106" s="9">
        <v>549.74</v>
      </c>
      <c r="C3106" s="9">
        <v>543.23</v>
      </c>
      <c r="D3106" s="9">
        <v>543.23</v>
      </c>
      <c r="E3106" s="9">
        <f t="shared" si="145"/>
        <v>-1.9361088966602862E-2</v>
      </c>
      <c r="F3106" s="9">
        <f t="shared" si="146"/>
        <v>3.0180463319287518E-2</v>
      </c>
      <c r="G3106" s="9">
        <f t="shared" si="144"/>
        <v>7.2991983032182507E-3</v>
      </c>
    </row>
    <row r="3107" spans="1:7" x14ac:dyDescent="0.2">
      <c r="A3107" s="12">
        <v>41418</v>
      </c>
      <c r="B3107" s="9">
        <v>550.35</v>
      </c>
      <c r="C3107" s="9">
        <v>542.36</v>
      </c>
      <c r="D3107" s="9">
        <v>544.48</v>
      </c>
      <c r="E3107" s="9">
        <f t="shared" si="145"/>
        <v>2.2984077562566885E-3</v>
      </c>
      <c r="F3107" s="9">
        <f t="shared" si="146"/>
        <v>2.1478656379161062E-2</v>
      </c>
      <c r="G3107" s="9">
        <f t="shared" si="144"/>
        <v>7.0572359326887086E-3</v>
      </c>
    </row>
    <row r="3108" spans="1:7" x14ac:dyDescent="0.2">
      <c r="A3108" s="12">
        <v>41421</v>
      </c>
      <c r="B3108" s="9">
        <v>547.95000000000005</v>
      </c>
      <c r="C3108" s="9">
        <v>545.51</v>
      </c>
      <c r="D3108" s="9">
        <v>547.07000000000005</v>
      </c>
      <c r="E3108" s="9">
        <f t="shared" si="145"/>
        <v>4.745554231370702E-3</v>
      </c>
      <c r="F3108" s="9">
        <f t="shared" si="146"/>
        <v>2.7331952713799811E-2</v>
      </c>
      <c r="G3108" s="9">
        <f t="shared" si="144"/>
        <v>7.0859320358852588E-3</v>
      </c>
    </row>
    <row r="3109" spans="1:7" x14ac:dyDescent="0.2">
      <c r="A3109" s="12">
        <v>41422</v>
      </c>
      <c r="B3109" s="9">
        <v>555.6</v>
      </c>
      <c r="C3109" s="9">
        <v>549.04</v>
      </c>
      <c r="D3109" s="9">
        <v>552.21</v>
      </c>
      <c r="E3109" s="9">
        <f t="shared" si="145"/>
        <v>9.3516437287740704E-3</v>
      </c>
      <c r="F3109" s="9">
        <f t="shared" si="146"/>
        <v>2.7111282848757835E-2</v>
      </c>
      <c r="G3109" s="9">
        <f t="shared" si="144"/>
        <v>7.0767396317164086E-3</v>
      </c>
    </row>
    <row r="3110" spans="1:7" x14ac:dyDescent="0.2">
      <c r="A3110" s="12">
        <v>41423</v>
      </c>
      <c r="B3110" s="9">
        <v>552.05999999999995</v>
      </c>
      <c r="C3110" s="9">
        <v>542.87</v>
      </c>
      <c r="D3110" s="9">
        <v>542.9</v>
      </c>
      <c r="E3110" s="9">
        <f t="shared" si="145"/>
        <v>-1.7003267801335074E-2</v>
      </c>
      <c r="F3110" s="9">
        <f t="shared" si="146"/>
        <v>2.6744148370169288E-3</v>
      </c>
      <c r="G3110" s="9">
        <f t="shared" si="144"/>
        <v>7.6798933180150346E-3</v>
      </c>
    </row>
    <row r="3111" spans="1:7" x14ac:dyDescent="0.2">
      <c r="A3111" s="12">
        <v>41424</v>
      </c>
      <c r="B3111" s="9">
        <v>545.98</v>
      </c>
      <c r="C3111" s="9">
        <v>542.22</v>
      </c>
      <c r="D3111" s="9">
        <v>543.91</v>
      </c>
      <c r="E3111" s="9">
        <f t="shared" si="145"/>
        <v>1.8586510811656562E-3</v>
      </c>
      <c r="F3111" s="9">
        <f t="shared" si="146"/>
        <v>1.5620251074873854E-2</v>
      </c>
      <c r="G3111" s="9">
        <f t="shared" ref="G3111:G3174" si="147">STDEV(E3082:E3111)</f>
        <v>7.388426015833784E-3</v>
      </c>
    </row>
    <row r="3112" spans="1:7" x14ac:dyDescent="0.2">
      <c r="A3112" s="12">
        <v>41425</v>
      </c>
      <c r="B3112" s="9">
        <v>545.9</v>
      </c>
      <c r="C3112" s="9">
        <v>535.20000000000005</v>
      </c>
      <c r="D3112" s="9">
        <v>535.37</v>
      </c>
      <c r="E3112" s="9">
        <f t="shared" si="145"/>
        <v>-1.5825695348837439E-2</v>
      </c>
      <c r="F3112" s="9">
        <f t="shared" si="146"/>
        <v>1.7760499719004989E-3</v>
      </c>
      <c r="G3112" s="9">
        <f t="shared" si="147"/>
        <v>7.960312275652413E-3</v>
      </c>
    </row>
    <row r="3113" spans="1:7" x14ac:dyDescent="0.2">
      <c r="A3113" s="12">
        <v>41428</v>
      </c>
      <c r="B3113" s="9">
        <v>538.57000000000005</v>
      </c>
      <c r="C3113" s="9">
        <v>531.58000000000004</v>
      </c>
      <c r="D3113" s="9">
        <v>533.48</v>
      </c>
      <c r="E3113" s="9">
        <f t="shared" si="145"/>
        <v>-3.5365148895397294E-3</v>
      </c>
      <c r="F3113" s="9">
        <f t="shared" si="146"/>
        <v>5.205849060374558E-3</v>
      </c>
      <c r="G3113" s="9">
        <f t="shared" si="147"/>
        <v>7.8801578934461613E-3</v>
      </c>
    </row>
    <row r="3114" spans="1:7" x14ac:dyDescent="0.2">
      <c r="A3114" s="12">
        <v>41429</v>
      </c>
      <c r="B3114" s="9">
        <v>538.32000000000005</v>
      </c>
      <c r="C3114" s="9">
        <v>534.67999999999995</v>
      </c>
      <c r="D3114" s="9">
        <v>537.26</v>
      </c>
      <c r="E3114" s="9">
        <f t="shared" si="145"/>
        <v>7.0605669037161201E-3</v>
      </c>
      <c r="F3114" s="9">
        <f t="shared" si="146"/>
        <v>2.3998589994686507E-2</v>
      </c>
      <c r="G3114" s="9">
        <f t="shared" si="147"/>
        <v>7.6445226727951416E-3</v>
      </c>
    </row>
    <row r="3115" spans="1:7" x14ac:dyDescent="0.2">
      <c r="A3115" s="12">
        <v>41431</v>
      </c>
      <c r="B3115" s="9">
        <v>536.36</v>
      </c>
      <c r="C3115" s="9">
        <v>527.14</v>
      </c>
      <c r="D3115" s="9">
        <v>527.66999999999996</v>
      </c>
      <c r="E3115" s="9">
        <f t="shared" si="145"/>
        <v>-1.8011060345566921E-2</v>
      </c>
      <c r="F3115" s="9">
        <f t="shared" si="146"/>
        <v>8.4881752021609014E-3</v>
      </c>
      <c r="G3115" s="9">
        <f t="shared" si="147"/>
        <v>8.3659083504660885E-3</v>
      </c>
    </row>
    <row r="3116" spans="1:7" x14ac:dyDescent="0.2">
      <c r="A3116" s="12">
        <v>41432</v>
      </c>
      <c r="B3116" s="9">
        <v>528.16</v>
      </c>
      <c r="C3116" s="9">
        <v>518.37</v>
      </c>
      <c r="D3116" s="9">
        <v>526.30999999999995</v>
      </c>
      <c r="E3116" s="9">
        <f t="shared" si="145"/>
        <v>-2.5806955631012592E-3</v>
      </c>
      <c r="F3116" s="9">
        <f t="shared" si="146"/>
        <v>2.7207277126195385E-3</v>
      </c>
      <c r="G3116" s="9">
        <f t="shared" si="147"/>
        <v>8.3631452321318665E-3</v>
      </c>
    </row>
    <row r="3117" spans="1:7" x14ac:dyDescent="0.2">
      <c r="A3117" s="12">
        <v>41435</v>
      </c>
      <c r="B3117" s="9">
        <v>529.57000000000005</v>
      </c>
      <c r="C3117" s="9">
        <v>521.91999999999996</v>
      </c>
      <c r="D3117" s="9">
        <v>528.78</v>
      </c>
      <c r="E3117" s="9">
        <f t="shared" si="145"/>
        <v>4.6820735903823352E-3</v>
      </c>
      <c r="F3117" s="9">
        <f t="shared" si="146"/>
        <v>7.8410927357041669E-3</v>
      </c>
      <c r="G3117" s="9">
        <f t="shared" si="147"/>
        <v>8.4041262065311824E-3</v>
      </c>
    </row>
    <row r="3118" spans="1:7" x14ac:dyDescent="0.2">
      <c r="A3118" s="12">
        <v>41436</v>
      </c>
      <c r="B3118" s="9">
        <v>529.33000000000004</v>
      </c>
      <c r="C3118" s="9">
        <v>525.24</v>
      </c>
      <c r="D3118" s="9">
        <v>525.28</v>
      </c>
      <c r="E3118" s="9">
        <f t="shared" si="145"/>
        <v>-6.6410125863415673E-3</v>
      </c>
      <c r="F3118" s="9">
        <f t="shared" si="146"/>
        <v>-1.000159875359289E-2</v>
      </c>
      <c r="G3118" s="9">
        <f t="shared" si="147"/>
        <v>8.2328007652029394E-3</v>
      </c>
    </row>
    <row r="3119" spans="1:7" x14ac:dyDescent="0.2">
      <c r="A3119" s="12">
        <v>41437</v>
      </c>
      <c r="B3119" s="9">
        <v>532.22</v>
      </c>
      <c r="C3119" s="9">
        <v>525.54</v>
      </c>
      <c r="D3119" s="9">
        <v>527.27</v>
      </c>
      <c r="E3119" s="9">
        <f t="shared" si="145"/>
        <v>3.781297555687665E-3</v>
      </c>
      <c r="F3119" s="9">
        <f t="shared" si="146"/>
        <v>-1.668256968646066E-2</v>
      </c>
      <c r="G3119" s="9">
        <f t="shared" si="147"/>
        <v>8.0182719257161309E-3</v>
      </c>
    </row>
    <row r="3120" spans="1:7" x14ac:dyDescent="0.2">
      <c r="A3120" s="12">
        <v>41438</v>
      </c>
      <c r="B3120" s="9">
        <v>526.14</v>
      </c>
      <c r="C3120" s="9">
        <v>519.83000000000004</v>
      </c>
      <c r="D3120" s="9">
        <v>526.14</v>
      </c>
      <c r="E3120" s="9">
        <f t="shared" si="145"/>
        <v>-2.1454142896508129E-3</v>
      </c>
      <c r="F3120" s="9">
        <f t="shared" si="146"/>
        <v>-2.2179692759614525E-2</v>
      </c>
      <c r="G3120" s="9">
        <f t="shared" si="147"/>
        <v>7.9886464369711262E-3</v>
      </c>
    </row>
    <row r="3121" spans="1:7" x14ac:dyDescent="0.2">
      <c r="A3121" s="12">
        <v>41439</v>
      </c>
      <c r="B3121" s="9">
        <v>531.63</v>
      </c>
      <c r="C3121" s="9">
        <v>526.77</v>
      </c>
      <c r="D3121" s="9">
        <v>526.84</v>
      </c>
      <c r="E3121" s="9">
        <f t="shared" si="145"/>
        <v>1.3295601115266707E-3</v>
      </c>
      <c r="F3121" s="9">
        <f t="shared" si="146"/>
        <v>-2.26887952144256E-2</v>
      </c>
      <c r="G3121" s="9">
        <f t="shared" si="147"/>
        <v>7.9835203390094516E-3</v>
      </c>
    </row>
    <row r="3122" spans="1:7" x14ac:dyDescent="0.2">
      <c r="A3122" s="12">
        <v>41442</v>
      </c>
      <c r="B3122" s="9">
        <v>526.94000000000005</v>
      </c>
      <c r="C3122" s="9">
        <v>520.77</v>
      </c>
      <c r="D3122" s="9">
        <v>522.11</v>
      </c>
      <c r="E3122" s="9">
        <f t="shared" si="145"/>
        <v>-9.0186034788782617E-3</v>
      </c>
      <c r="F3122" s="9">
        <f t="shared" si="146"/>
        <v>-3.2356622893215781E-2</v>
      </c>
      <c r="G3122" s="9">
        <f t="shared" si="147"/>
        <v>8.1188075447663887E-3</v>
      </c>
    </row>
    <row r="3123" spans="1:7" x14ac:dyDescent="0.2">
      <c r="A3123" s="12">
        <v>41443</v>
      </c>
      <c r="B3123" s="9">
        <v>523.45000000000005</v>
      </c>
      <c r="C3123" s="9">
        <v>516.49</v>
      </c>
      <c r="D3123" s="9">
        <v>521.25</v>
      </c>
      <c r="E3123" s="9">
        <f t="shared" si="145"/>
        <v>-1.6485205389563866E-3</v>
      </c>
      <c r="F3123" s="9">
        <f t="shared" si="146"/>
        <v>-2.9190873513105248E-2</v>
      </c>
      <c r="G3123" s="9">
        <f t="shared" si="147"/>
        <v>8.0890971021662633E-3</v>
      </c>
    </row>
    <row r="3124" spans="1:7" x14ac:dyDescent="0.2">
      <c r="A3124" s="12">
        <v>41444</v>
      </c>
      <c r="B3124" s="9">
        <v>520.58000000000004</v>
      </c>
      <c r="C3124" s="9">
        <v>513.41</v>
      </c>
      <c r="D3124" s="9">
        <v>515.64</v>
      </c>
      <c r="E3124" s="9">
        <f t="shared" si="145"/>
        <v>-1.0820925538107165E-2</v>
      </c>
      <c r="F3124" s="9">
        <f t="shared" si="146"/>
        <v>-4.2468299774732356E-2</v>
      </c>
      <c r="G3124" s="9">
        <f t="shared" si="147"/>
        <v>8.2564798376441144E-3</v>
      </c>
    </row>
    <row r="3125" spans="1:7" x14ac:dyDescent="0.2">
      <c r="A3125" s="12">
        <v>41445</v>
      </c>
      <c r="B3125" s="9">
        <v>513.80999999999995</v>
      </c>
      <c r="C3125" s="9">
        <v>506.66</v>
      </c>
      <c r="D3125" s="9">
        <v>506.66</v>
      </c>
      <c r="E3125" s="9">
        <f t="shared" si="145"/>
        <v>-1.7568680383994277E-2</v>
      </c>
      <c r="F3125" s="9">
        <f t="shared" si="146"/>
        <v>-6.1801189461494717E-2</v>
      </c>
      <c r="G3125" s="9">
        <f t="shared" si="147"/>
        <v>8.740050628830244E-3</v>
      </c>
    </row>
    <row r="3126" spans="1:7" x14ac:dyDescent="0.2">
      <c r="A3126" s="12">
        <v>41446</v>
      </c>
      <c r="B3126" s="9">
        <v>511.19</v>
      </c>
      <c r="C3126" s="9">
        <v>504.22</v>
      </c>
      <c r="D3126" s="9">
        <v>504.57</v>
      </c>
      <c r="E3126" s="9">
        <f t="shared" si="145"/>
        <v>-4.1335857834585796E-3</v>
      </c>
      <c r="F3126" s="9">
        <f t="shared" si="146"/>
        <v>-7.1448712797364256E-2</v>
      </c>
      <c r="G3126" s="9">
        <f t="shared" si="147"/>
        <v>8.6285373307044781E-3</v>
      </c>
    </row>
    <row r="3127" spans="1:7" x14ac:dyDescent="0.2">
      <c r="A3127" s="12">
        <v>41449</v>
      </c>
      <c r="B3127" s="9">
        <v>503.98</v>
      </c>
      <c r="C3127" s="9">
        <v>492.99</v>
      </c>
      <c r="D3127" s="9">
        <v>493.9</v>
      </c>
      <c r="E3127" s="9">
        <f t="shared" si="145"/>
        <v>-2.1373513860872075E-2</v>
      </c>
      <c r="F3127" s="9">
        <f t="shared" si="146"/>
        <v>-9.3338755595340411E-2</v>
      </c>
      <c r="G3127" s="9">
        <f t="shared" si="147"/>
        <v>9.2762547665332096E-3</v>
      </c>
    </row>
    <row r="3128" spans="1:7" x14ac:dyDescent="0.2">
      <c r="A3128" s="12">
        <v>41450</v>
      </c>
      <c r="B3128" s="9">
        <v>505.2</v>
      </c>
      <c r="C3128" s="9">
        <v>496.38</v>
      </c>
      <c r="D3128" s="9">
        <v>503.1</v>
      </c>
      <c r="E3128" s="9">
        <f t="shared" si="145"/>
        <v>1.8455889950693857E-2</v>
      </c>
      <c r="F3128" s="9">
        <f t="shared" si="146"/>
        <v>-8.1884961793152841E-2</v>
      </c>
      <c r="G3128" s="9">
        <f t="shared" si="147"/>
        <v>9.9202125718588965E-3</v>
      </c>
    </row>
    <row r="3129" spans="1:7" x14ac:dyDescent="0.2">
      <c r="A3129" s="12">
        <v>41451</v>
      </c>
      <c r="B3129" s="9">
        <v>511.99</v>
      </c>
      <c r="C3129" s="9">
        <v>500.87</v>
      </c>
      <c r="D3129" s="9">
        <v>510.8</v>
      </c>
      <c r="E3129" s="9">
        <f t="shared" si="145"/>
        <v>1.5189166661111406E-2</v>
      </c>
      <c r="F3129" s="9">
        <f t="shared" si="146"/>
        <v>-7.5139434643614389E-2</v>
      </c>
      <c r="G3129" s="9">
        <f t="shared" si="147"/>
        <v>1.0253057945796977E-2</v>
      </c>
    </row>
    <row r="3130" spans="1:7" x14ac:dyDescent="0.2">
      <c r="A3130" s="12">
        <v>41452</v>
      </c>
      <c r="B3130" s="9">
        <v>519.21</v>
      </c>
      <c r="C3130" s="9">
        <v>511.66</v>
      </c>
      <c r="D3130" s="9">
        <v>518.66999999999996</v>
      </c>
      <c r="E3130" s="9">
        <f t="shared" si="145"/>
        <v>1.5289718626410117E-2</v>
      </c>
      <c r="F3130" s="9">
        <f t="shared" si="146"/>
        <v>-6.8942742017947201E-2</v>
      </c>
      <c r="G3130" s="9">
        <f t="shared" si="147"/>
        <v>1.0552796969493435E-2</v>
      </c>
    </row>
    <row r="3131" spans="1:7" x14ac:dyDescent="0.2">
      <c r="A3131" s="12">
        <v>41453</v>
      </c>
      <c r="B3131" s="9">
        <v>520.66999999999996</v>
      </c>
      <c r="C3131" s="9">
        <v>508</v>
      </c>
      <c r="D3131" s="9">
        <v>512.03</v>
      </c>
      <c r="E3131" s="9">
        <f t="shared" si="145"/>
        <v>-1.2884625711833225E-2</v>
      </c>
      <c r="F3131" s="9">
        <f t="shared" si="146"/>
        <v>-8.3804932015855219E-2</v>
      </c>
      <c r="G3131" s="9">
        <f t="shared" si="147"/>
        <v>1.0693076791215297E-2</v>
      </c>
    </row>
    <row r="3132" spans="1:7" x14ac:dyDescent="0.2">
      <c r="A3132" s="12">
        <v>41456</v>
      </c>
      <c r="B3132" s="9">
        <v>518.97</v>
      </c>
      <c r="C3132" s="9">
        <v>513.86</v>
      </c>
      <c r="D3132" s="9">
        <v>518.97</v>
      </c>
      <c r="E3132" s="9">
        <f t="shared" si="145"/>
        <v>1.3462860954034823E-2</v>
      </c>
      <c r="F3132" s="9">
        <f t="shared" si="146"/>
        <v>-6.2317720664650557E-2</v>
      </c>
      <c r="G3132" s="9">
        <f t="shared" si="147"/>
        <v>1.1044474693550629E-2</v>
      </c>
    </row>
    <row r="3133" spans="1:7" x14ac:dyDescent="0.2">
      <c r="A3133" s="12">
        <v>41457</v>
      </c>
      <c r="B3133" s="9">
        <v>520.03</v>
      </c>
      <c r="C3133" s="9">
        <v>516.80999999999995</v>
      </c>
      <c r="D3133" s="9">
        <v>519.71</v>
      </c>
      <c r="E3133" s="9">
        <f t="shared" si="145"/>
        <v>1.4248856725878924E-3</v>
      </c>
      <c r="F3133" s="9">
        <f t="shared" si="146"/>
        <v>-5.88811812241559E-2</v>
      </c>
      <c r="G3133" s="9">
        <f t="shared" si="147"/>
        <v>1.1062984660391167E-2</v>
      </c>
    </row>
    <row r="3134" spans="1:7" x14ac:dyDescent="0.2">
      <c r="A3134" s="12">
        <v>41458</v>
      </c>
      <c r="B3134" s="9">
        <v>517.85</v>
      </c>
      <c r="C3134" s="9">
        <v>512.59</v>
      </c>
      <c r="D3134" s="9">
        <v>516.22</v>
      </c>
      <c r="E3134" s="9">
        <f t="shared" si="145"/>
        <v>-6.7379324930179757E-3</v>
      </c>
      <c r="F3134" s="9">
        <f t="shared" si="146"/>
        <v>-6.6924431257795167E-2</v>
      </c>
      <c r="G3134" s="9">
        <f t="shared" si="147"/>
        <v>1.1078506069857927E-2</v>
      </c>
    </row>
    <row r="3135" spans="1:7" x14ac:dyDescent="0.2">
      <c r="A3135" s="12">
        <v>41459</v>
      </c>
      <c r="B3135" s="9">
        <v>527.08000000000004</v>
      </c>
      <c r="C3135" s="9">
        <v>518.38</v>
      </c>
      <c r="D3135" s="9">
        <v>525.76</v>
      </c>
      <c r="E3135" s="9">
        <f t="shared" si="145"/>
        <v>1.8311803642337688E-2</v>
      </c>
      <c r="F3135" s="9">
        <f t="shared" si="146"/>
        <v>-5.2049057114038677E-2</v>
      </c>
      <c r="G3135" s="9">
        <f t="shared" si="147"/>
        <v>1.1658608208594835E-2</v>
      </c>
    </row>
    <row r="3136" spans="1:7" x14ac:dyDescent="0.2">
      <c r="A3136" s="12">
        <v>41460</v>
      </c>
      <c r="B3136" s="9">
        <v>532.99</v>
      </c>
      <c r="C3136" s="9">
        <v>525.62</v>
      </c>
      <c r="D3136" s="9">
        <v>526.64</v>
      </c>
      <c r="E3136" s="9">
        <f t="shared" si="145"/>
        <v>1.6723683107179724E-3</v>
      </c>
      <c r="F3136" s="9">
        <f t="shared" si="146"/>
        <v>-3.1015599836717814E-2</v>
      </c>
      <c r="G3136" s="9">
        <f t="shared" si="147"/>
        <v>1.1184894620355938E-2</v>
      </c>
    </row>
    <row r="3137" spans="1:7" x14ac:dyDescent="0.2">
      <c r="A3137" s="12">
        <v>41463</v>
      </c>
      <c r="B3137" s="9">
        <v>533.91999999999996</v>
      </c>
      <c r="C3137" s="9">
        <v>528.62</v>
      </c>
      <c r="D3137" s="9">
        <v>533.01</v>
      </c>
      <c r="E3137" s="9">
        <f t="shared" si="145"/>
        <v>1.2022982556303123E-2</v>
      </c>
      <c r="F3137" s="9">
        <f t="shared" si="146"/>
        <v>-2.1291025036671241E-2</v>
      </c>
      <c r="G3137" s="9">
        <f t="shared" si="147"/>
        <v>1.1423175047171517E-2</v>
      </c>
    </row>
    <row r="3138" spans="1:7" x14ac:dyDescent="0.2">
      <c r="A3138" s="12">
        <v>41464</v>
      </c>
      <c r="B3138" s="9">
        <v>536.1</v>
      </c>
      <c r="C3138" s="9">
        <v>531.28</v>
      </c>
      <c r="D3138" s="9">
        <v>531.69000000000005</v>
      </c>
      <c r="E3138" s="9">
        <f t="shared" si="145"/>
        <v>-2.4795729807661863E-3</v>
      </c>
      <c r="F3138" s="9">
        <f t="shared" si="146"/>
        <v>-2.8516152248808335E-2</v>
      </c>
      <c r="G3138" s="9">
        <f t="shared" si="147"/>
        <v>1.1380278576772148E-2</v>
      </c>
    </row>
    <row r="3139" spans="1:7" x14ac:dyDescent="0.2">
      <c r="A3139" s="12">
        <v>41465</v>
      </c>
      <c r="B3139" s="9">
        <v>537.57000000000005</v>
      </c>
      <c r="C3139" s="9">
        <v>528.99</v>
      </c>
      <c r="D3139" s="9">
        <v>537.47</v>
      </c>
      <c r="E3139" s="9">
        <f t="shared" si="145"/>
        <v>1.0812331755514822E-2</v>
      </c>
      <c r="F3139" s="9">
        <f t="shared" si="146"/>
        <v>-2.7055464222067539E-2</v>
      </c>
      <c r="G3139" s="9">
        <f t="shared" si="147"/>
        <v>1.142889639504497E-2</v>
      </c>
    </row>
    <row r="3140" spans="1:7" x14ac:dyDescent="0.2">
      <c r="A3140" s="12">
        <v>41466</v>
      </c>
      <c r="B3140" s="9">
        <v>542.32000000000005</v>
      </c>
      <c r="C3140" s="9">
        <v>538.04</v>
      </c>
      <c r="D3140" s="9">
        <v>539.95000000000005</v>
      </c>
      <c r="E3140" s="9">
        <f t="shared" ref="E3140:E3203" si="148">LN(D3140/D3139)</f>
        <v>4.6035981880959195E-3</v>
      </c>
      <c r="F3140" s="9">
        <f t="shared" si="146"/>
        <v>-5.4485982326365296E-3</v>
      </c>
      <c r="G3140" s="9">
        <f t="shared" si="147"/>
        <v>1.1053885064969892E-2</v>
      </c>
    </row>
    <row r="3141" spans="1:7" x14ac:dyDescent="0.2">
      <c r="A3141" s="12">
        <v>41467</v>
      </c>
      <c r="B3141" s="9">
        <v>543.05999999999995</v>
      </c>
      <c r="C3141" s="9">
        <v>539.28</v>
      </c>
      <c r="D3141" s="9">
        <v>540.62</v>
      </c>
      <c r="E3141" s="9">
        <f t="shared" si="148"/>
        <v>1.2400864096935181E-3</v>
      </c>
      <c r="F3141" s="9">
        <f t="shared" si="146"/>
        <v>-6.0671629041085641E-3</v>
      </c>
      <c r="G3141" s="9">
        <f t="shared" si="147"/>
        <v>1.1050524507579563E-2</v>
      </c>
    </row>
    <row r="3142" spans="1:7" x14ac:dyDescent="0.2">
      <c r="A3142" s="12">
        <v>41470</v>
      </c>
      <c r="B3142" s="9">
        <v>543.85</v>
      </c>
      <c r="C3142" s="9">
        <v>538.32000000000005</v>
      </c>
      <c r="D3142" s="9">
        <v>539.11</v>
      </c>
      <c r="E3142" s="9">
        <f t="shared" si="148"/>
        <v>-2.796997368635657E-3</v>
      </c>
      <c r="F3142" s="9">
        <f t="shared" si="146"/>
        <v>6.9615350760932728E-3</v>
      </c>
      <c r="G3142" s="9">
        <f t="shared" si="147"/>
        <v>1.0664622160663058E-2</v>
      </c>
    </row>
    <row r="3143" spans="1:7" x14ac:dyDescent="0.2">
      <c r="A3143" s="12">
        <v>41471</v>
      </c>
      <c r="B3143" s="9">
        <v>541.05999999999995</v>
      </c>
      <c r="C3143" s="9">
        <v>534</v>
      </c>
      <c r="D3143" s="9">
        <v>534.05999999999995</v>
      </c>
      <c r="E3143" s="9">
        <f t="shared" si="148"/>
        <v>-9.4114395209317012E-3</v>
      </c>
      <c r="F3143" s="9">
        <f t="shared" si="146"/>
        <v>1.0866104447011513E-3</v>
      </c>
      <c r="G3143" s="9">
        <f t="shared" si="147"/>
        <v>1.0789418731425327E-2</v>
      </c>
    </row>
    <row r="3144" spans="1:7" x14ac:dyDescent="0.2">
      <c r="A3144" s="12">
        <v>41472</v>
      </c>
      <c r="B3144" s="9">
        <v>540.12</v>
      </c>
      <c r="C3144" s="9">
        <v>531.29999999999995</v>
      </c>
      <c r="D3144" s="9">
        <v>540.1</v>
      </c>
      <c r="E3144" s="9">
        <f t="shared" si="148"/>
        <v>1.1246115399950471E-2</v>
      </c>
      <c r="F3144" s="9">
        <f t="shared" si="146"/>
        <v>5.2721589409356374E-3</v>
      </c>
      <c r="G3144" s="9">
        <f t="shared" si="147"/>
        <v>1.0909773350624773E-2</v>
      </c>
    </row>
    <row r="3145" spans="1:7" x14ac:dyDescent="0.2">
      <c r="A3145" s="12">
        <v>41473</v>
      </c>
      <c r="B3145" s="9">
        <v>541.74</v>
      </c>
      <c r="C3145" s="9">
        <v>536.15</v>
      </c>
      <c r="D3145" s="9">
        <v>540.9</v>
      </c>
      <c r="E3145" s="9">
        <f t="shared" si="148"/>
        <v>1.4801112785358024E-3</v>
      </c>
      <c r="F3145" s="9">
        <f t="shared" si="146"/>
        <v>2.4763330565038277E-2</v>
      </c>
      <c r="G3145" s="9">
        <f t="shared" si="147"/>
        <v>1.0355657603395463E-2</v>
      </c>
    </row>
    <row r="3146" spans="1:7" x14ac:dyDescent="0.2">
      <c r="A3146" s="12">
        <v>41474</v>
      </c>
      <c r="B3146" s="9">
        <v>541.32000000000005</v>
      </c>
      <c r="C3146" s="9">
        <v>537.89</v>
      </c>
      <c r="D3146" s="9">
        <v>538.70000000000005</v>
      </c>
      <c r="E3146" s="9">
        <f t="shared" si="148"/>
        <v>-4.0755891908931296E-3</v>
      </c>
      <c r="F3146" s="9">
        <f t="shared" si="146"/>
        <v>2.3268436937246364E-2</v>
      </c>
      <c r="G3146" s="9">
        <f t="shared" si="147"/>
        <v>1.0376188819301255E-2</v>
      </c>
    </row>
    <row r="3147" spans="1:7" x14ac:dyDescent="0.2">
      <c r="A3147" s="12">
        <v>41477</v>
      </c>
      <c r="B3147" s="9">
        <v>539.97</v>
      </c>
      <c r="C3147" s="9">
        <v>536.51</v>
      </c>
      <c r="D3147" s="9">
        <v>537.53</v>
      </c>
      <c r="E3147" s="9">
        <f t="shared" si="148"/>
        <v>-2.174257288722723E-3</v>
      </c>
      <c r="F3147" s="9">
        <f t="shared" si="146"/>
        <v>1.6412106058141279E-2</v>
      </c>
      <c r="G3147" s="9">
        <f t="shared" si="147"/>
        <v>1.0362678198725281E-2</v>
      </c>
    </row>
    <row r="3148" spans="1:7" x14ac:dyDescent="0.2">
      <c r="A3148" s="12">
        <v>41478</v>
      </c>
      <c r="B3148" s="9">
        <v>543.14</v>
      </c>
      <c r="C3148" s="9">
        <v>538.29999999999995</v>
      </c>
      <c r="D3148" s="9">
        <v>541.48</v>
      </c>
      <c r="E3148" s="9">
        <f t="shared" si="148"/>
        <v>7.32155891982012E-3</v>
      </c>
      <c r="F3148" s="9">
        <f t="shared" si="146"/>
        <v>3.0374677564303072E-2</v>
      </c>
      <c r="G3148" s="9">
        <f t="shared" si="147"/>
        <v>1.0342237803113715E-2</v>
      </c>
    </row>
    <row r="3149" spans="1:7" x14ac:dyDescent="0.2">
      <c r="A3149" s="12">
        <v>41479</v>
      </c>
      <c r="B3149" s="9">
        <v>549.76</v>
      </c>
      <c r="C3149" s="9">
        <v>542.4</v>
      </c>
      <c r="D3149" s="9">
        <v>546.80999999999995</v>
      </c>
      <c r="E3149" s="9">
        <f t="shared" si="148"/>
        <v>9.7952615873662455E-3</v>
      </c>
      <c r="F3149" s="9">
        <f t="shared" si="146"/>
        <v>3.6388641595981694E-2</v>
      </c>
      <c r="G3149" s="9">
        <f t="shared" si="147"/>
        <v>1.0455422283835804E-2</v>
      </c>
    </row>
    <row r="3150" spans="1:7" x14ac:dyDescent="0.2">
      <c r="A3150" s="12">
        <v>41480</v>
      </c>
      <c r="B3150" s="9">
        <v>548.38</v>
      </c>
      <c r="C3150" s="9">
        <v>540.79</v>
      </c>
      <c r="D3150" s="9">
        <v>543.88</v>
      </c>
      <c r="E3150" s="9">
        <f t="shared" si="148"/>
        <v>-5.372758617466394E-3</v>
      </c>
      <c r="F3150" s="9">
        <f t="shared" si="146"/>
        <v>3.3161297268166086E-2</v>
      </c>
      <c r="G3150" s="9">
        <f t="shared" si="147"/>
        <v>1.0507641857748167E-2</v>
      </c>
    </row>
    <row r="3151" spans="1:7" x14ac:dyDescent="0.2">
      <c r="A3151" s="12">
        <v>41481</v>
      </c>
      <c r="B3151" s="9">
        <v>547.01</v>
      </c>
      <c r="C3151" s="9">
        <v>542.84</v>
      </c>
      <c r="D3151" s="9">
        <v>542.87</v>
      </c>
      <c r="E3151" s="9">
        <f t="shared" si="148"/>
        <v>-1.8587536982615695E-3</v>
      </c>
      <c r="F3151" s="9">
        <f t="shared" si="146"/>
        <v>2.9972983458377827E-2</v>
      </c>
      <c r="G3151" s="9">
        <f t="shared" si="147"/>
        <v>1.0521410928888275E-2</v>
      </c>
    </row>
    <row r="3152" spans="1:7" x14ac:dyDescent="0.2">
      <c r="A3152" s="12">
        <v>41484</v>
      </c>
      <c r="B3152" s="9">
        <v>546.96</v>
      </c>
      <c r="C3152" s="9">
        <v>542.37</v>
      </c>
      <c r="D3152" s="9">
        <v>545.09</v>
      </c>
      <c r="E3152" s="9">
        <f t="shared" si="148"/>
        <v>4.0810380549843837E-3</v>
      </c>
      <c r="F3152" s="9">
        <f t="shared" si="146"/>
        <v>4.3072624992240495E-2</v>
      </c>
      <c r="G3152" s="9">
        <f t="shared" si="147"/>
        <v>1.0361943805553745E-2</v>
      </c>
    </row>
    <row r="3153" spans="1:7" x14ac:dyDescent="0.2">
      <c r="A3153" s="12">
        <v>41485</v>
      </c>
      <c r="B3153" s="9">
        <v>548.29</v>
      </c>
      <c r="C3153" s="9">
        <v>544.87</v>
      </c>
      <c r="D3153" s="9">
        <v>547.16</v>
      </c>
      <c r="E3153" s="9">
        <f t="shared" si="148"/>
        <v>3.7903455770353974E-3</v>
      </c>
      <c r="F3153" s="9">
        <f t="shared" si="146"/>
        <v>4.8511491108232253E-2</v>
      </c>
      <c r="G3153" s="9">
        <f t="shared" si="147"/>
        <v>1.035369634403953E-2</v>
      </c>
    </row>
    <row r="3154" spans="1:7" x14ac:dyDescent="0.2">
      <c r="A3154" s="12">
        <v>41486</v>
      </c>
      <c r="B3154" s="9">
        <v>548.26</v>
      </c>
      <c r="C3154" s="9">
        <v>544.99</v>
      </c>
      <c r="D3154" s="9">
        <v>546.91999999999996</v>
      </c>
      <c r="E3154" s="9">
        <f t="shared" si="148"/>
        <v>-4.387247803626246E-4</v>
      </c>
      <c r="F3154" s="9">
        <f t="shared" si="146"/>
        <v>5.8893691865976719E-2</v>
      </c>
      <c r="G3154" s="9">
        <f t="shared" si="147"/>
        <v>1.0093872824097173E-2</v>
      </c>
    </row>
    <row r="3155" spans="1:7" x14ac:dyDescent="0.2">
      <c r="A3155" s="12">
        <v>41487</v>
      </c>
      <c r="B3155" s="9">
        <v>560.72</v>
      </c>
      <c r="C3155" s="9">
        <v>549.96</v>
      </c>
      <c r="D3155" s="9">
        <v>560.72</v>
      </c>
      <c r="E3155" s="9">
        <f t="shared" si="148"/>
        <v>2.4919132751188469E-2</v>
      </c>
      <c r="F3155" s="9">
        <f t="shared" si="146"/>
        <v>0.10138150500115971</v>
      </c>
      <c r="G3155" s="9">
        <f t="shared" si="147"/>
        <v>1.0238559663029339E-2</v>
      </c>
    </row>
    <row r="3156" spans="1:7" x14ac:dyDescent="0.2">
      <c r="A3156" s="12">
        <v>41488</v>
      </c>
      <c r="B3156" s="9">
        <v>565.86</v>
      </c>
      <c r="C3156" s="9">
        <v>558.5</v>
      </c>
      <c r="D3156" s="9">
        <v>560.58000000000004</v>
      </c>
      <c r="E3156" s="9">
        <f t="shared" si="148"/>
        <v>-2.4971015915000453E-4</v>
      </c>
      <c r="F3156" s="9">
        <f t="shared" si="146"/>
        <v>0.10526538062546816</v>
      </c>
      <c r="G3156" s="9">
        <f t="shared" si="147"/>
        <v>1.0164573048062377E-2</v>
      </c>
    </row>
    <row r="3157" spans="1:7" x14ac:dyDescent="0.2">
      <c r="A3157" s="12">
        <v>41491</v>
      </c>
      <c r="B3157" s="9">
        <v>565.27</v>
      </c>
      <c r="C3157" s="9">
        <v>562.20000000000005</v>
      </c>
      <c r="D3157" s="9">
        <v>563.99</v>
      </c>
      <c r="E3157" s="9">
        <f t="shared" si="148"/>
        <v>6.06455881149859E-3</v>
      </c>
      <c r="F3157" s="9">
        <f t="shared" si="146"/>
        <v>0.13270345329783872</v>
      </c>
      <c r="G3157" s="9">
        <f t="shared" si="147"/>
        <v>9.0182625421301003E-3</v>
      </c>
    </row>
    <row r="3158" spans="1:7" x14ac:dyDescent="0.2">
      <c r="A3158" s="12">
        <v>41492</v>
      </c>
      <c r="B3158" s="9">
        <v>564.6</v>
      </c>
      <c r="C3158" s="9">
        <v>557.72</v>
      </c>
      <c r="D3158" s="9">
        <v>557.78</v>
      </c>
      <c r="E3158" s="9">
        <f t="shared" si="148"/>
        <v>-1.1071901439053821E-2</v>
      </c>
      <c r="F3158" s="9">
        <f t="shared" si="146"/>
        <v>0.1031756619080913</v>
      </c>
      <c r="G3158" s="9">
        <f t="shared" si="147"/>
        <v>9.0452429046549657E-3</v>
      </c>
    </row>
    <row r="3159" spans="1:7" x14ac:dyDescent="0.2">
      <c r="A3159" s="12">
        <v>41493</v>
      </c>
      <c r="B3159" s="9">
        <v>557.14</v>
      </c>
      <c r="C3159" s="9">
        <v>553.20000000000005</v>
      </c>
      <c r="D3159" s="9">
        <v>554.36</v>
      </c>
      <c r="E3159" s="9">
        <f t="shared" si="148"/>
        <v>-6.150324204762388E-3</v>
      </c>
      <c r="F3159" s="9">
        <f t="shared" si="146"/>
        <v>8.183617104221759E-2</v>
      </c>
      <c r="G3159" s="9">
        <f t="shared" si="147"/>
        <v>8.9276668088862313E-3</v>
      </c>
    </row>
    <row r="3160" spans="1:7" x14ac:dyDescent="0.2">
      <c r="A3160" s="12">
        <v>41494</v>
      </c>
      <c r="B3160" s="9">
        <v>564.61</v>
      </c>
      <c r="C3160" s="9">
        <v>555.74</v>
      </c>
      <c r="D3160" s="9">
        <v>557.15</v>
      </c>
      <c r="E3160" s="9">
        <f t="shared" si="148"/>
        <v>5.020208292461149E-3</v>
      </c>
      <c r="F3160" s="9">
        <f t="shared" si="146"/>
        <v>7.1566660708268559E-2</v>
      </c>
      <c r="G3160" s="9">
        <f t="shared" si="147"/>
        <v>8.6210112202948393E-3</v>
      </c>
    </row>
    <row r="3161" spans="1:7" x14ac:dyDescent="0.2">
      <c r="A3161" s="12">
        <v>41495</v>
      </c>
      <c r="B3161" s="9">
        <v>560.78</v>
      </c>
      <c r="C3161" s="9">
        <v>556.11</v>
      </c>
      <c r="D3161" s="9">
        <v>560.42999999999995</v>
      </c>
      <c r="E3161" s="9">
        <f t="shared" si="148"/>
        <v>5.8698427275169773E-3</v>
      </c>
      <c r="F3161" s="9">
        <f t="shared" si="146"/>
        <v>9.032112914761882E-2</v>
      </c>
      <c r="G3161" s="9">
        <f t="shared" si="147"/>
        <v>8.1422073846521559E-3</v>
      </c>
    </row>
    <row r="3162" spans="1:7" x14ac:dyDescent="0.2">
      <c r="A3162" s="12">
        <v>41498</v>
      </c>
      <c r="B3162" s="9">
        <v>563.41999999999996</v>
      </c>
      <c r="C3162" s="9">
        <v>559.39</v>
      </c>
      <c r="D3162" s="9">
        <v>562.73</v>
      </c>
      <c r="E3162" s="9">
        <f t="shared" si="148"/>
        <v>4.0955931746029951E-3</v>
      </c>
      <c r="F3162" s="9">
        <f t="shared" si="146"/>
        <v>8.0953861368187136E-2</v>
      </c>
      <c r="G3162" s="9">
        <f t="shared" si="147"/>
        <v>7.9036771017491989E-3</v>
      </c>
    </row>
    <row r="3163" spans="1:7" x14ac:dyDescent="0.2">
      <c r="A3163" s="12">
        <v>41499</v>
      </c>
      <c r="B3163" s="9">
        <v>568.07000000000005</v>
      </c>
      <c r="C3163" s="9">
        <v>562.70000000000005</v>
      </c>
      <c r="D3163" s="9">
        <v>568.07000000000005</v>
      </c>
      <c r="E3163" s="9">
        <f t="shared" si="148"/>
        <v>9.4447111692327595E-3</v>
      </c>
      <c r="F3163" s="9">
        <f t="shared" si="146"/>
        <v>8.8973686864832091E-2</v>
      </c>
      <c r="G3163" s="9">
        <f t="shared" si="147"/>
        <v>7.9942246406705542E-3</v>
      </c>
    </row>
    <row r="3164" spans="1:7" x14ac:dyDescent="0.2">
      <c r="A3164" s="12">
        <v>41500</v>
      </c>
      <c r="B3164" s="9">
        <v>569.45000000000005</v>
      </c>
      <c r="C3164" s="9">
        <v>565.72</v>
      </c>
      <c r="D3164" s="9">
        <v>566.70000000000005</v>
      </c>
      <c r="E3164" s="9">
        <f t="shared" si="148"/>
        <v>-2.4145873888420152E-3</v>
      </c>
      <c r="F3164" s="9">
        <f t="shared" si="146"/>
        <v>9.3297031969008112E-2</v>
      </c>
      <c r="G3164" s="9">
        <f t="shared" si="147"/>
        <v>7.8509485286972387E-3</v>
      </c>
    </row>
    <row r="3165" spans="1:7" x14ac:dyDescent="0.2">
      <c r="A3165" s="12">
        <v>41501</v>
      </c>
      <c r="B3165" s="9">
        <v>566.82000000000005</v>
      </c>
      <c r="C3165" s="9">
        <v>561</v>
      </c>
      <c r="D3165" s="9">
        <v>563.44000000000005</v>
      </c>
      <c r="E3165" s="9">
        <f t="shared" si="148"/>
        <v>-5.7692127384186883E-3</v>
      </c>
      <c r="F3165" s="9">
        <f t="shared" si="146"/>
        <v>6.9216015588251786E-2</v>
      </c>
      <c r="G3165" s="9">
        <f t="shared" si="147"/>
        <v>7.4646185347331797E-3</v>
      </c>
    </row>
    <row r="3166" spans="1:7" x14ac:dyDescent="0.2">
      <c r="A3166" s="12">
        <v>41502</v>
      </c>
      <c r="B3166" s="9">
        <v>570.25</v>
      </c>
      <c r="C3166" s="9">
        <v>565.35</v>
      </c>
      <c r="D3166" s="9">
        <v>570.25</v>
      </c>
      <c r="E3166" s="9">
        <f t="shared" si="148"/>
        <v>1.2014010727342364E-2</v>
      </c>
      <c r="F3166" s="9">
        <f t="shared" si="146"/>
        <v>7.9557658004876186E-2</v>
      </c>
      <c r="G3166" s="9">
        <f t="shared" si="147"/>
        <v>7.6702504861384984E-3</v>
      </c>
    </row>
    <row r="3167" spans="1:7" x14ac:dyDescent="0.2">
      <c r="A3167" s="12">
        <v>41505</v>
      </c>
      <c r="B3167" s="9">
        <v>571.16</v>
      </c>
      <c r="C3167" s="9">
        <v>568.41</v>
      </c>
      <c r="D3167" s="9">
        <v>570.37</v>
      </c>
      <c r="E3167" s="9">
        <f t="shared" si="148"/>
        <v>2.1041188203378469E-4</v>
      </c>
      <c r="F3167" s="9">
        <f t="shared" si="146"/>
        <v>6.7745087330606857E-2</v>
      </c>
      <c r="G3167" s="9">
        <f t="shared" si="147"/>
        <v>7.473268452860401E-3</v>
      </c>
    </row>
    <row r="3168" spans="1:7" x14ac:dyDescent="0.2">
      <c r="A3168" s="12">
        <v>41506</v>
      </c>
      <c r="B3168" s="9">
        <v>568.05999999999995</v>
      </c>
      <c r="C3168" s="9">
        <v>563.39</v>
      </c>
      <c r="D3168" s="9">
        <v>567.59</v>
      </c>
      <c r="E3168" s="9">
        <f t="shared" si="148"/>
        <v>-4.8859459567170199E-3</v>
      </c>
      <c r="F3168" s="9">
        <f t="shared" si="146"/>
        <v>6.5338714354656158E-2</v>
      </c>
      <c r="G3168" s="9">
        <f t="shared" si="147"/>
        <v>7.5385026887851122E-3</v>
      </c>
    </row>
    <row r="3169" spans="1:7" x14ac:dyDescent="0.2">
      <c r="A3169" s="12">
        <v>41507</v>
      </c>
      <c r="B3169" s="9">
        <v>571.45000000000005</v>
      </c>
      <c r="C3169" s="9">
        <v>565.34</v>
      </c>
      <c r="D3169" s="9">
        <v>565.34</v>
      </c>
      <c r="E3169" s="9">
        <f t="shared" si="148"/>
        <v>-3.9720070227758095E-3</v>
      </c>
      <c r="F3169" s="9">
        <f t="shared" ref="F3169:F3232" si="149">LN(D3169/D3139)</f>
        <v>5.0554375576365627E-2</v>
      </c>
      <c r="G3169" s="9">
        <f t="shared" si="147"/>
        <v>7.4371513969346747E-3</v>
      </c>
    </row>
    <row r="3170" spans="1:7" x14ac:dyDescent="0.2">
      <c r="A3170" s="12">
        <v>41508</v>
      </c>
      <c r="B3170" s="9">
        <v>568.04</v>
      </c>
      <c r="C3170" s="9">
        <v>564.21</v>
      </c>
      <c r="D3170" s="9">
        <v>566.51</v>
      </c>
      <c r="E3170" s="9">
        <f t="shared" si="148"/>
        <v>2.0674124958852489E-3</v>
      </c>
      <c r="F3170" s="9">
        <f t="shared" si="149"/>
        <v>4.8018189884154995E-2</v>
      </c>
      <c r="G3170" s="9">
        <f t="shared" si="147"/>
        <v>7.4172207871388588E-3</v>
      </c>
    </row>
    <row r="3171" spans="1:7" x14ac:dyDescent="0.2">
      <c r="A3171" s="12">
        <v>41509</v>
      </c>
      <c r="B3171" s="9">
        <v>568.13</v>
      </c>
      <c r="C3171" s="9">
        <v>564.11</v>
      </c>
      <c r="D3171" s="9">
        <v>565.49</v>
      </c>
      <c r="E3171" s="9">
        <f t="shared" si="148"/>
        <v>-1.8021206290622939E-3</v>
      </c>
      <c r="F3171" s="9">
        <f t="shared" si="149"/>
        <v>4.497598284539913E-2</v>
      </c>
      <c r="G3171" s="9">
        <f t="shared" si="147"/>
        <v>7.4430709209690306E-3</v>
      </c>
    </row>
    <row r="3172" spans="1:7" x14ac:dyDescent="0.2">
      <c r="A3172" s="12">
        <v>41512</v>
      </c>
      <c r="B3172" s="9">
        <v>568.59</v>
      </c>
      <c r="C3172" s="9">
        <v>564.79</v>
      </c>
      <c r="D3172" s="9">
        <v>565.85</v>
      </c>
      <c r="E3172" s="9">
        <f t="shared" si="148"/>
        <v>6.3641347808920761E-4</v>
      </c>
      <c r="F3172" s="9">
        <f t="shared" si="149"/>
        <v>4.8409393692123971E-2</v>
      </c>
      <c r="G3172" s="9">
        <f t="shared" si="147"/>
        <v>7.4010110826349916E-3</v>
      </c>
    </row>
    <row r="3173" spans="1:7" x14ac:dyDescent="0.2">
      <c r="A3173" s="12">
        <v>41513</v>
      </c>
      <c r="B3173" s="9">
        <v>565.51</v>
      </c>
      <c r="C3173" s="9">
        <v>556.29</v>
      </c>
      <c r="D3173" s="9">
        <v>557.54</v>
      </c>
      <c r="E3173" s="9">
        <f t="shared" si="148"/>
        <v>-1.4794775772580791E-2</v>
      </c>
      <c r="F3173" s="9">
        <f t="shared" si="149"/>
        <v>4.3026057440474871E-2</v>
      </c>
      <c r="G3173" s="9">
        <f t="shared" si="147"/>
        <v>7.7352568894855618E-3</v>
      </c>
    </row>
    <row r="3174" spans="1:7" x14ac:dyDescent="0.2">
      <c r="A3174" s="12">
        <v>41514</v>
      </c>
      <c r="B3174" s="9">
        <v>556.80999999999995</v>
      </c>
      <c r="C3174" s="9">
        <v>553.24</v>
      </c>
      <c r="D3174" s="9">
        <v>553.99</v>
      </c>
      <c r="E3174" s="9">
        <f t="shared" si="148"/>
        <v>-6.3876135965152507E-3</v>
      </c>
      <c r="F3174" s="9">
        <f t="shared" si="149"/>
        <v>2.5392328444009099E-2</v>
      </c>
      <c r="G3174" s="9">
        <f t="shared" si="147"/>
        <v>7.6332620140563186E-3</v>
      </c>
    </row>
    <row r="3175" spans="1:7" x14ac:dyDescent="0.2">
      <c r="A3175" s="12">
        <v>41515</v>
      </c>
      <c r="B3175" s="9">
        <v>558.29999999999995</v>
      </c>
      <c r="C3175" s="9">
        <v>554.29</v>
      </c>
      <c r="D3175" s="9">
        <v>557.26</v>
      </c>
      <c r="E3175" s="9">
        <f t="shared" si="148"/>
        <v>5.8852813290451401E-3</v>
      </c>
      <c r="F3175" s="9">
        <f t="shared" si="149"/>
        <v>2.9797498494518373E-2</v>
      </c>
      <c r="G3175" s="9">
        <f t="shared" ref="G3175:G3238" si="150">STDEV(E3146:E3175)</f>
        <v>7.6880466289900445E-3</v>
      </c>
    </row>
    <row r="3176" spans="1:7" x14ac:dyDescent="0.2">
      <c r="A3176" s="12">
        <v>41516</v>
      </c>
      <c r="B3176" s="9">
        <v>559</v>
      </c>
      <c r="C3176" s="9">
        <v>549.14</v>
      </c>
      <c r="D3176" s="9">
        <v>551.76</v>
      </c>
      <c r="E3176" s="9">
        <f t="shared" si="148"/>
        <v>-9.9187482488639189E-3</v>
      </c>
      <c r="F3176" s="9">
        <f t="shared" si="149"/>
        <v>2.3954339436547588E-2</v>
      </c>
      <c r="G3176" s="9">
        <f t="shared" si="150"/>
        <v>7.8921966239407174E-3</v>
      </c>
    </row>
    <row r="3177" spans="1:7" x14ac:dyDescent="0.2">
      <c r="A3177" s="12">
        <v>41519</v>
      </c>
      <c r="B3177" s="9">
        <v>560.91999999999996</v>
      </c>
      <c r="C3177" s="9">
        <v>554.66999999999996</v>
      </c>
      <c r="D3177" s="9">
        <v>560.91999999999996</v>
      </c>
      <c r="E3177" s="9">
        <f t="shared" si="148"/>
        <v>1.646512373541429E-2</v>
      </c>
      <c r="F3177" s="9">
        <f t="shared" si="149"/>
        <v>4.2593720460684513E-2</v>
      </c>
      <c r="G3177" s="9">
        <f t="shared" si="150"/>
        <v>8.3693653387161213E-3</v>
      </c>
    </row>
    <row r="3178" spans="1:7" x14ac:dyDescent="0.2">
      <c r="A3178" s="12">
        <v>41520</v>
      </c>
      <c r="B3178" s="9">
        <v>557.04</v>
      </c>
      <c r="C3178" s="9">
        <v>549.89</v>
      </c>
      <c r="D3178" s="9">
        <v>555.54</v>
      </c>
      <c r="E3178" s="9">
        <f t="shared" si="148"/>
        <v>-9.6376791704393273E-3</v>
      </c>
      <c r="F3178" s="9">
        <f t="shared" si="149"/>
        <v>2.5634482370425083E-2</v>
      </c>
      <c r="G3178" s="9">
        <f t="shared" si="150"/>
        <v>8.5282321981329616E-3</v>
      </c>
    </row>
    <row r="3179" spans="1:7" x14ac:dyDescent="0.2">
      <c r="A3179" s="12">
        <v>41521</v>
      </c>
      <c r="B3179" s="9">
        <v>559.37</v>
      </c>
      <c r="C3179" s="9">
        <v>551.26</v>
      </c>
      <c r="D3179" s="9">
        <v>554.34</v>
      </c>
      <c r="E3179" s="9">
        <f t="shared" si="148"/>
        <v>-2.1623967773018362E-3</v>
      </c>
      <c r="F3179" s="9">
        <f t="shared" si="149"/>
        <v>1.3676824005757168E-2</v>
      </c>
      <c r="G3179" s="9">
        <f t="shared" si="150"/>
        <v>8.3739938925077185E-3</v>
      </c>
    </row>
    <row r="3180" spans="1:7" x14ac:dyDescent="0.2">
      <c r="A3180" s="12">
        <v>41522</v>
      </c>
      <c r="B3180" s="9">
        <v>555.95000000000005</v>
      </c>
      <c r="C3180" s="9">
        <v>551.57000000000005</v>
      </c>
      <c r="D3180" s="9">
        <v>554.64</v>
      </c>
      <c r="E3180" s="9">
        <f t="shared" si="148"/>
        <v>5.4103772352617969E-4</v>
      </c>
      <c r="F3180" s="9">
        <f t="shared" si="149"/>
        <v>1.9590620346749649E-2</v>
      </c>
      <c r="G3180" s="9">
        <f t="shared" si="150"/>
        <v>8.3013453997684734E-3</v>
      </c>
    </row>
    <row r="3181" spans="1:7" x14ac:dyDescent="0.2">
      <c r="A3181" s="12">
        <v>41523</v>
      </c>
      <c r="B3181" s="9">
        <v>555.04</v>
      </c>
      <c r="C3181" s="9">
        <v>551.66</v>
      </c>
      <c r="D3181" s="9">
        <v>552.83000000000004</v>
      </c>
      <c r="E3181" s="9">
        <f t="shared" si="148"/>
        <v>-3.2687144781845864E-3</v>
      </c>
      <c r="F3181" s="9">
        <f t="shared" si="149"/>
        <v>1.8180659566826615E-2</v>
      </c>
      <c r="G3181" s="9">
        <f t="shared" si="150"/>
        <v>8.3200266448237546E-3</v>
      </c>
    </row>
    <row r="3182" spans="1:7" x14ac:dyDescent="0.2">
      <c r="A3182" s="12">
        <v>41526</v>
      </c>
      <c r="B3182" s="9">
        <v>557.16</v>
      </c>
      <c r="C3182" s="9">
        <v>552.67999999999995</v>
      </c>
      <c r="D3182" s="9">
        <v>556.41999999999996</v>
      </c>
      <c r="E3182" s="9">
        <f t="shared" si="148"/>
        <v>6.4728646102665969E-3</v>
      </c>
      <c r="F3182" s="9">
        <f t="shared" si="149"/>
        <v>2.0572486122108866E-2</v>
      </c>
      <c r="G3182" s="9">
        <f t="shared" si="150"/>
        <v>8.3658086341047103E-3</v>
      </c>
    </row>
    <row r="3183" spans="1:7" x14ac:dyDescent="0.2">
      <c r="A3183" s="12">
        <v>41527</v>
      </c>
      <c r="B3183" s="9">
        <v>566.04</v>
      </c>
      <c r="C3183" s="9">
        <v>559.45000000000005</v>
      </c>
      <c r="D3183" s="9">
        <v>566.04</v>
      </c>
      <c r="E3183" s="9">
        <f t="shared" si="148"/>
        <v>1.7141342317853789E-2</v>
      </c>
      <c r="F3183" s="9">
        <f t="shared" si="149"/>
        <v>3.3923482862927054E-2</v>
      </c>
      <c r="G3183" s="9">
        <f t="shared" si="150"/>
        <v>8.8762026849510366E-3</v>
      </c>
    </row>
    <row r="3184" spans="1:7" x14ac:dyDescent="0.2">
      <c r="A3184" s="12">
        <v>41528</v>
      </c>
      <c r="B3184" s="9">
        <v>566.82000000000005</v>
      </c>
      <c r="C3184" s="9">
        <v>562.76</v>
      </c>
      <c r="D3184" s="9">
        <v>565.61</v>
      </c>
      <c r="E3184" s="9">
        <f t="shared" si="148"/>
        <v>-7.5995231864035438E-4</v>
      </c>
      <c r="F3184" s="9">
        <f t="shared" si="149"/>
        <v>3.3602255324649395E-2</v>
      </c>
      <c r="G3184" s="9">
        <f t="shared" si="150"/>
        <v>8.8783547999776065E-3</v>
      </c>
    </row>
    <row r="3185" spans="1:7" x14ac:dyDescent="0.2">
      <c r="A3185" s="12">
        <v>41529</v>
      </c>
      <c r="B3185" s="9">
        <v>569.30999999999995</v>
      </c>
      <c r="C3185" s="9">
        <v>564.69000000000005</v>
      </c>
      <c r="D3185" s="9">
        <v>565.25</v>
      </c>
      <c r="E3185" s="9">
        <f t="shared" si="148"/>
        <v>-6.3668360745091984E-4</v>
      </c>
      <c r="F3185" s="9">
        <f t="shared" si="149"/>
        <v>8.0464389660097942E-3</v>
      </c>
      <c r="G3185" s="9">
        <f t="shared" si="150"/>
        <v>7.6583319581330382E-3</v>
      </c>
    </row>
    <row r="3186" spans="1:7" x14ac:dyDescent="0.2">
      <c r="A3186" s="12">
        <v>41530</v>
      </c>
      <c r="B3186" s="9">
        <v>565.64</v>
      </c>
      <c r="C3186" s="9">
        <v>562.21</v>
      </c>
      <c r="D3186" s="9">
        <v>563.41999999999996</v>
      </c>
      <c r="E3186" s="9">
        <f t="shared" si="148"/>
        <v>-3.2427575883296053E-3</v>
      </c>
      <c r="F3186" s="9">
        <f t="shared" si="149"/>
        <v>5.0533915368303232E-3</v>
      </c>
      <c r="G3186" s="9">
        <f t="shared" si="150"/>
        <v>7.6847620648213908E-3</v>
      </c>
    </row>
    <row r="3187" spans="1:7" x14ac:dyDescent="0.2">
      <c r="A3187" s="12">
        <v>41533</v>
      </c>
      <c r="B3187" s="9">
        <v>570.83000000000004</v>
      </c>
      <c r="C3187" s="9">
        <v>567.16</v>
      </c>
      <c r="D3187" s="9">
        <v>569.29999999999995</v>
      </c>
      <c r="E3187" s="9">
        <f t="shared" si="148"/>
        <v>1.0382182387286479E-2</v>
      </c>
      <c r="F3187" s="9">
        <f t="shared" si="149"/>
        <v>9.371015112618163E-3</v>
      </c>
      <c r="G3187" s="9">
        <f t="shared" si="150"/>
        <v>7.8378971876452638E-3</v>
      </c>
    </row>
    <row r="3188" spans="1:7" x14ac:dyDescent="0.2">
      <c r="A3188" s="12">
        <v>41534</v>
      </c>
      <c r="B3188" s="9">
        <v>568.30999999999995</v>
      </c>
      <c r="C3188" s="9">
        <v>565.24</v>
      </c>
      <c r="D3188" s="9">
        <v>568.29999999999995</v>
      </c>
      <c r="E3188" s="9">
        <f t="shared" si="148"/>
        <v>-1.7580876539603865E-3</v>
      </c>
      <c r="F3188" s="9">
        <f t="shared" si="149"/>
        <v>1.8684828897711531E-2</v>
      </c>
      <c r="G3188" s="9">
        <f t="shared" si="150"/>
        <v>7.5506107948834864E-3</v>
      </c>
    </row>
    <row r="3189" spans="1:7" x14ac:dyDescent="0.2">
      <c r="A3189" s="12">
        <v>41535</v>
      </c>
      <c r="B3189" s="9">
        <v>570.52</v>
      </c>
      <c r="C3189" s="9">
        <v>566.17999999999995</v>
      </c>
      <c r="D3189" s="9">
        <v>568.9</v>
      </c>
      <c r="E3189" s="9">
        <f t="shared" si="148"/>
        <v>1.0552234535260122E-3</v>
      </c>
      <c r="F3189" s="9">
        <f t="shared" si="149"/>
        <v>2.5890376555999971E-2</v>
      </c>
      <c r="G3189" s="9">
        <f t="shared" si="150"/>
        <v>7.4415439035124932E-3</v>
      </c>
    </row>
    <row r="3190" spans="1:7" x14ac:dyDescent="0.2">
      <c r="A3190" s="12">
        <v>41536</v>
      </c>
      <c r="B3190" s="9">
        <v>577.47</v>
      </c>
      <c r="C3190" s="9">
        <v>573.79999999999995</v>
      </c>
      <c r="D3190" s="9">
        <v>576.84</v>
      </c>
      <c r="E3190" s="9">
        <f t="shared" si="148"/>
        <v>1.386025993726793E-2</v>
      </c>
      <c r="F3190" s="9">
        <f t="shared" si="149"/>
        <v>3.4730428200806761E-2</v>
      </c>
      <c r="G3190" s="9">
        <f t="shared" si="150"/>
        <v>7.7791985531962963E-3</v>
      </c>
    </row>
    <row r="3191" spans="1:7" x14ac:dyDescent="0.2">
      <c r="A3191" s="12">
        <v>41537</v>
      </c>
      <c r="B3191" s="9">
        <v>578.27</v>
      </c>
      <c r="C3191" s="9">
        <v>573.53</v>
      </c>
      <c r="D3191" s="9">
        <v>577.47</v>
      </c>
      <c r="E3191" s="9">
        <f t="shared" si="148"/>
        <v>1.0915613007842048E-3</v>
      </c>
      <c r="F3191" s="9">
        <f t="shared" si="149"/>
        <v>2.9952146774073988E-2</v>
      </c>
      <c r="G3191" s="9">
        <f t="shared" si="150"/>
        <v>7.7281411671597583E-3</v>
      </c>
    </row>
    <row r="3192" spans="1:7" x14ac:dyDescent="0.2">
      <c r="A3192" s="12">
        <v>41540</v>
      </c>
      <c r="B3192" s="9">
        <v>577.16999999999996</v>
      </c>
      <c r="C3192" s="9">
        <v>569.24</v>
      </c>
      <c r="D3192" s="9">
        <v>569.64</v>
      </c>
      <c r="E3192" s="9">
        <f t="shared" si="148"/>
        <v>-1.36519106434269E-2</v>
      </c>
      <c r="F3192" s="9">
        <f t="shared" si="149"/>
        <v>1.2204642956044256E-2</v>
      </c>
      <c r="G3192" s="9">
        <f t="shared" si="150"/>
        <v>8.1506099864970174E-3</v>
      </c>
    </row>
    <row r="3193" spans="1:7" x14ac:dyDescent="0.2">
      <c r="A3193" s="12">
        <v>41541</v>
      </c>
      <c r="B3193" s="9">
        <v>571.64</v>
      </c>
      <c r="C3193" s="9">
        <v>568.75</v>
      </c>
      <c r="D3193" s="9">
        <v>570.46</v>
      </c>
      <c r="E3193" s="9">
        <f t="shared" si="148"/>
        <v>1.4384705576619798E-3</v>
      </c>
      <c r="F3193" s="9">
        <f t="shared" si="149"/>
        <v>4.1984023444733383E-3</v>
      </c>
      <c r="G3193" s="9">
        <f t="shared" si="150"/>
        <v>7.9736311925813329E-3</v>
      </c>
    </row>
    <row r="3194" spans="1:7" x14ac:dyDescent="0.2">
      <c r="A3194" s="12">
        <v>41542</v>
      </c>
      <c r="B3194" s="9">
        <v>569.99</v>
      </c>
      <c r="C3194" s="9">
        <v>565.41999999999996</v>
      </c>
      <c r="D3194" s="9">
        <v>565.80999999999995</v>
      </c>
      <c r="E3194" s="9">
        <f t="shared" si="148"/>
        <v>-8.1847201078227225E-3</v>
      </c>
      <c r="F3194" s="9">
        <f t="shared" si="149"/>
        <v>-1.5717303745073998E-3</v>
      </c>
      <c r="G3194" s="9">
        <f t="shared" si="150"/>
        <v>8.1058719810985155E-3</v>
      </c>
    </row>
    <row r="3195" spans="1:7" x14ac:dyDescent="0.2">
      <c r="A3195" s="12">
        <v>41543</v>
      </c>
      <c r="B3195" s="9">
        <v>568.98</v>
      </c>
      <c r="C3195" s="9">
        <v>565.66</v>
      </c>
      <c r="D3195" s="9">
        <v>567.53</v>
      </c>
      <c r="E3195" s="9">
        <f t="shared" si="148"/>
        <v>3.0352785933926282E-3</v>
      </c>
      <c r="F3195" s="9">
        <f t="shared" si="149"/>
        <v>7.2327609573039214E-3</v>
      </c>
      <c r="G3195" s="9">
        <f t="shared" si="150"/>
        <v>8.0509526972627563E-3</v>
      </c>
    </row>
    <row r="3196" spans="1:7" x14ac:dyDescent="0.2">
      <c r="A3196" s="12">
        <v>41544</v>
      </c>
      <c r="B3196" s="9">
        <v>571.22</v>
      </c>
      <c r="C3196" s="9">
        <v>567.72</v>
      </c>
      <c r="D3196" s="9">
        <v>569.24</v>
      </c>
      <c r="E3196" s="9">
        <f t="shared" si="148"/>
        <v>3.0085264210003592E-3</v>
      </c>
      <c r="F3196" s="9">
        <f t="shared" si="149"/>
        <v>-1.7727233490382416E-3</v>
      </c>
      <c r="G3196" s="9">
        <f t="shared" si="150"/>
        <v>7.7594683598004406E-3</v>
      </c>
    </row>
    <row r="3197" spans="1:7" x14ac:dyDescent="0.2">
      <c r="A3197" s="12">
        <v>41547</v>
      </c>
      <c r="B3197" s="9">
        <v>566.46</v>
      </c>
      <c r="C3197" s="9">
        <v>563.96</v>
      </c>
      <c r="D3197" s="9">
        <v>565.85</v>
      </c>
      <c r="E3197" s="9">
        <f t="shared" si="148"/>
        <v>-5.9731124035085443E-3</v>
      </c>
      <c r="F3197" s="9">
        <f t="shared" si="149"/>
        <v>-7.956247634580655E-3</v>
      </c>
      <c r="G3197" s="9">
        <f t="shared" si="150"/>
        <v>7.833833815583946E-3</v>
      </c>
    </row>
    <row r="3198" spans="1:7" x14ac:dyDescent="0.2">
      <c r="A3198" s="12">
        <v>41548</v>
      </c>
      <c r="B3198" s="9">
        <v>567.77</v>
      </c>
      <c r="C3198" s="9">
        <v>565.15</v>
      </c>
      <c r="D3198" s="9">
        <v>567.29999999999995</v>
      </c>
      <c r="E3198" s="9">
        <f t="shared" si="148"/>
        <v>2.5592389205708558E-3</v>
      </c>
      <c r="F3198" s="9">
        <f t="shared" si="149"/>
        <v>-5.110627572928614E-4</v>
      </c>
      <c r="G3198" s="9">
        <f t="shared" si="150"/>
        <v>7.8002612856149607E-3</v>
      </c>
    </row>
    <row r="3199" spans="1:7" x14ac:dyDescent="0.2">
      <c r="A3199" s="12">
        <v>41549</v>
      </c>
      <c r="B3199" s="9">
        <v>566.88</v>
      </c>
      <c r="C3199" s="9">
        <v>563.29999999999995</v>
      </c>
      <c r="D3199" s="9">
        <v>564.82000000000005</v>
      </c>
      <c r="E3199" s="9">
        <f t="shared" si="148"/>
        <v>-4.3811680155628648E-3</v>
      </c>
      <c r="F3199" s="9">
        <f t="shared" si="149"/>
        <v>-9.2022375007986721E-4</v>
      </c>
      <c r="G3199" s="9">
        <f t="shared" si="150"/>
        <v>7.8077690753741765E-3</v>
      </c>
    </row>
    <row r="3200" spans="1:7" x14ac:dyDescent="0.2">
      <c r="A3200" s="12">
        <v>41550</v>
      </c>
      <c r="B3200" s="9">
        <v>568.11</v>
      </c>
      <c r="C3200" s="9">
        <v>565.98</v>
      </c>
      <c r="D3200" s="9">
        <v>566.59</v>
      </c>
      <c r="E3200" s="9">
        <f t="shared" si="148"/>
        <v>3.1288417885174972E-3</v>
      </c>
      <c r="F3200" s="9">
        <f t="shared" si="149"/>
        <v>1.4120554255232762E-4</v>
      </c>
      <c r="G3200" s="9">
        <f t="shared" si="150"/>
        <v>7.8199997773855095E-3</v>
      </c>
    </row>
    <row r="3201" spans="1:7" x14ac:dyDescent="0.2">
      <c r="A3201" s="12">
        <v>41551</v>
      </c>
      <c r="B3201" s="9">
        <v>567.64</v>
      </c>
      <c r="C3201" s="9">
        <v>564.75</v>
      </c>
      <c r="D3201" s="9">
        <v>564.91</v>
      </c>
      <c r="E3201" s="9">
        <f t="shared" si="148"/>
        <v>-2.9695116827571162E-3</v>
      </c>
      <c r="F3201" s="9">
        <f t="shared" si="149"/>
        <v>-1.0261855111426035E-3</v>
      </c>
      <c r="G3201" s="9">
        <f t="shared" si="150"/>
        <v>7.8321957608383022E-3</v>
      </c>
    </row>
    <row r="3202" spans="1:7" x14ac:dyDescent="0.2">
      <c r="A3202" s="12">
        <v>41554</v>
      </c>
      <c r="B3202" s="9">
        <v>565.51</v>
      </c>
      <c r="C3202" s="9">
        <v>562.72</v>
      </c>
      <c r="D3202" s="9">
        <v>565.22</v>
      </c>
      <c r="E3202" s="9">
        <f t="shared" si="148"/>
        <v>5.4860946576967557E-4</v>
      </c>
      <c r="F3202" s="9">
        <f t="shared" si="149"/>
        <v>-1.113989523461995E-3</v>
      </c>
      <c r="G3202" s="9">
        <f t="shared" si="150"/>
        <v>7.8319529185043139E-3</v>
      </c>
    </row>
    <row r="3203" spans="1:7" x14ac:dyDescent="0.2">
      <c r="A3203" s="12">
        <v>41555</v>
      </c>
      <c r="B3203" s="9">
        <v>566.73</v>
      </c>
      <c r="C3203" s="9">
        <v>563.26</v>
      </c>
      <c r="D3203" s="9">
        <v>563.27</v>
      </c>
      <c r="E3203" s="9">
        <f t="shared" si="148"/>
        <v>-3.4559489952625893E-3</v>
      </c>
      <c r="F3203" s="9">
        <f t="shared" si="149"/>
        <v>1.0224837253856301E-2</v>
      </c>
      <c r="G3203" s="9">
        <f t="shared" si="150"/>
        <v>7.3542381826540047E-3</v>
      </c>
    </row>
    <row r="3204" spans="1:7" x14ac:dyDescent="0.2">
      <c r="A3204" s="12">
        <v>41556</v>
      </c>
      <c r="B3204" s="9">
        <v>562.64</v>
      </c>
      <c r="C3204" s="9">
        <v>558.32000000000005</v>
      </c>
      <c r="D3204" s="9">
        <v>558.83000000000004</v>
      </c>
      <c r="E3204" s="9">
        <f t="shared" ref="E3204:E3267" si="151">LN(D3204/D3203)</f>
        <v>-7.9137744804769102E-3</v>
      </c>
      <c r="F3204" s="9">
        <f t="shared" si="149"/>
        <v>8.6986763698946312E-3</v>
      </c>
      <c r="G3204" s="9">
        <f t="shared" si="150"/>
        <v>7.4074721240321648E-3</v>
      </c>
    </row>
    <row r="3205" spans="1:7" x14ac:dyDescent="0.2">
      <c r="A3205" s="12">
        <v>41557</v>
      </c>
      <c r="B3205" s="9">
        <v>569.42999999999995</v>
      </c>
      <c r="C3205" s="9">
        <v>560.47</v>
      </c>
      <c r="D3205" s="9">
        <v>568.88</v>
      </c>
      <c r="E3205" s="9">
        <f t="shared" si="151"/>
        <v>1.7824203162513447E-2</v>
      </c>
      <c r="F3205" s="9">
        <f t="shared" si="149"/>
        <v>2.0637598203362723E-2</v>
      </c>
      <c r="G3205" s="9">
        <f t="shared" si="150"/>
        <v>8.0142966087776088E-3</v>
      </c>
    </row>
    <row r="3206" spans="1:7" x14ac:dyDescent="0.2">
      <c r="A3206" s="12">
        <v>41558</v>
      </c>
      <c r="B3206" s="9">
        <v>571.37</v>
      </c>
      <c r="C3206" s="9">
        <v>568.47</v>
      </c>
      <c r="D3206" s="9">
        <v>569.44000000000005</v>
      </c>
      <c r="E3206" s="9">
        <f t="shared" si="151"/>
        <v>9.8390618662010315E-4</v>
      </c>
      <c r="F3206" s="9">
        <f t="shared" si="149"/>
        <v>3.1540252638846966E-2</v>
      </c>
      <c r="G3206" s="9">
        <f t="shared" si="150"/>
        <v>7.7598957716062053E-3</v>
      </c>
    </row>
    <row r="3207" spans="1:7" x14ac:dyDescent="0.2">
      <c r="A3207" s="12">
        <v>41561</v>
      </c>
      <c r="B3207" s="9">
        <v>570.86</v>
      </c>
      <c r="C3207" s="9">
        <v>565.89</v>
      </c>
      <c r="D3207" s="9">
        <v>570.39</v>
      </c>
      <c r="E3207" s="9">
        <f t="shared" si="151"/>
        <v>1.6669156277218065E-3</v>
      </c>
      <c r="F3207" s="9">
        <f t="shared" si="149"/>
        <v>1.6742044531154313E-2</v>
      </c>
      <c r="G3207" s="9">
        <f t="shared" si="150"/>
        <v>7.1961632018488061E-3</v>
      </c>
    </row>
    <row r="3208" spans="1:7" x14ac:dyDescent="0.2">
      <c r="A3208" s="12">
        <v>41562</v>
      </c>
      <c r="B3208" s="9">
        <v>575.54999999999995</v>
      </c>
      <c r="C3208" s="9">
        <v>569.86</v>
      </c>
      <c r="D3208" s="9">
        <v>569.86</v>
      </c>
      <c r="E3208" s="9">
        <f t="shared" si="151"/>
        <v>-9.2962076416320313E-4</v>
      </c>
      <c r="F3208" s="9">
        <f t="shared" si="149"/>
        <v>2.5450102937430417E-2</v>
      </c>
      <c r="G3208" s="9">
        <f t="shared" si="150"/>
        <v>6.9418532227660569E-3</v>
      </c>
    </row>
    <row r="3209" spans="1:7" x14ac:dyDescent="0.2">
      <c r="A3209" s="12">
        <v>41563</v>
      </c>
      <c r="B3209" s="9">
        <v>578.76</v>
      </c>
      <c r="C3209" s="9">
        <v>569.21</v>
      </c>
      <c r="D3209" s="9">
        <v>578.76</v>
      </c>
      <c r="E3209" s="9">
        <f t="shared" si="151"/>
        <v>1.5497167243439703E-2</v>
      </c>
      <c r="F3209" s="9">
        <f t="shared" si="149"/>
        <v>4.3109666958171942E-2</v>
      </c>
      <c r="G3209" s="9">
        <f t="shared" si="150"/>
        <v>7.4106606265097671E-3</v>
      </c>
    </row>
    <row r="3210" spans="1:7" x14ac:dyDescent="0.2">
      <c r="A3210" s="12">
        <v>41564</v>
      </c>
      <c r="B3210" s="9">
        <v>581.03</v>
      </c>
      <c r="C3210" s="9">
        <v>577.47</v>
      </c>
      <c r="D3210" s="9">
        <v>580.14</v>
      </c>
      <c r="E3210" s="9">
        <f t="shared" si="151"/>
        <v>2.3815698546304108E-3</v>
      </c>
      <c r="F3210" s="9">
        <f t="shared" si="149"/>
        <v>4.4950199089276215E-2</v>
      </c>
      <c r="G3210" s="9">
        <f t="shared" si="150"/>
        <v>7.4106061522625586E-3</v>
      </c>
    </row>
    <row r="3211" spans="1:7" x14ac:dyDescent="0.2">
      <c r="A3211" s="12">
        <v>41565</v>
      </c>
      <c r="B3211" s="9">
        <v>581.62</v>
      </c>
      <c r="C3211" s="9">
        <v>578.45000000000005</v>
      </c>
      <c r="D3211" s="9">
        <v>581.54</v>
      </c>
      <c r="E3211" s="9">
        <f t="shared" si="151"/>
        <v>2.4103034876769118E-3</v>
      </c>
      <c r="F3211" s="9">
        <f t="shared" si="149"/>
        <v>5.0629217055137628E-2</v>
      </c>
      <c r="G3211" s="9">
        <f t="shared" si="150"/>
        <v>7.3569747592110591E-3</v>
      </c>
    </row>
    <row r="3212" spans="1:7" x14ac:dyDescent="0.2">
      <c r="A3212" s="12">
        <v>41568</v>
      </c>
      <c r="B3212" s="9">
        <v>586.03</v>
      </c>
      <c r="C3212" s="9">
        <v>581.95000000000005</v>
      </c>
      <c r="D3212" s="9">
        <v>584.91</v>
      </c>
      <c r="E3212" s="9">
        <f t="shared" si="151"/>
        <v>5.7782320312888755E-3</v>
      </c>
      <c r="F3212" s="9">
        <f t="shared" si="149"/>
        <v>4.9934584476159886E-2</v>
      </c>
      <c r="G3212" s="9">
        <f t="shared" si="150"/>
        <v>7.3424738295565081E-3</v>
      </c>
    </row>
    <row r="3213" spans="1:7" x14ac:dyDescent="0.2">
      <c r="A3213" s="12">
        <v>41569</v>
      </c>
      <c r="B3213" s="9">
        <v>593.69000000000005</v>
      </c>
      <c r="C3213" s="9">
        <v>586.1</v>
      </c>
      <c r="D3213" s="9">
        <v>592.53</v>
      </c>
      <c r="E3213" s="9">
        <f t="shared" si="151"/>
        <v>1.2943515396399104E-2</v>
      </c>
      <c r="F3213" s="9">
        <f t="shared" si="149"/>
        <v>4.5736757554705409E-2</v>
      </c>
      <c r="G3213" s="9">
        <f t="shared" si="150"/>
        <v>7.0723886819594817E-3</v>
      </c>
    </row>
    <row r="3214" spans="1:7" x14ac:dyDescent="0.2">
      <c r="A3214" s="12">
        <v>41570</v>
      </c>
      <c r="B3214" s="9">
        <v>593.59</v>
      </c>
      <c r="C3214" s="9">
        <v>588.41999999999996</v>
      </c>
      <c r="D3214" s="9">
        <v>591.13</v>
      </c>
      <c r="E3214" s="9">
        <f t="shared" si="151"/>
        <v>-2.3655452627338361E-3</v>
      </c>
      <c r="F3214" s="9">
        <f t="shared" si="149"/>
        <v>4.4131164610612103E-2</v>
      </c>
      <c r="G3214" s="9">
        <f t="shared" si="150"/>
        <v>7.0963073333555008E-3</v>
      </c>
    </row>
    <row r="3215" spans="1:7" x14ac:dyDescent="0.2">
      <c r="A3215" s="12">
        <v>41571</v>
      </c>
      <c r="B3215" s="9">
        <v>595.46</v>
      </c>
      <c r="C3215" s="9">
        <v>590.76</v>
      </c>
      <c r="D3215" s="9">
        <v>595.46</v>
      </c>
      <c r="E3215" s="9">
        <f t="shared" si="151"/>
        <v>7.2982567181732027E-3</v>
      </c>
      <c r="F3215" s="9">
        <f t="shared" si="149"/>
        <v>5.2066104936235993E-2</v>
      </c>
      <c r="G3215" s="9">
        <f t="shared" si="150"/>
        <v>7.1626063306237213E-3</v>
      </c>
    </row>
    <row r="3216" spans="1:7" x14ac:dyDescent="0.2">
      <c r="A3216" s="12">
        <v>41572</v>
      </c>
      <c r="B3216" s="9">
        <v>595.34</v>
      </c>
      <c r="C3216" s="9">
        <v>589.84</v>
      </c>
      <c r="D3216" s="9">
        <v>593.07000000000005</v>
      </c>
      <c r="E3216" s="9">
        <f t="shared" si="151"/>
        <v>-4.0217802183594928E-3</v>
      </c>
      <c r="F3216" s="9">
        <f t="shared" si="149"/>
        <v>5.1287082306206169E-2</v>
      </c>
      <c r="G3216" s="9">
        <f t="shared" si="150"/>
        <v>7.1826611364962569E-3</v>
      </c>
    </row>
    <row r="3217" spans="1:7" x14ac:dyDescent="0.2">
      <c r="A3217" s="12">
        <v>41575</v>
      </c>
      <c r="B3217" s="9">
        <v>596.23</v>
      </c>
      <c r="C3217" s="9">
        <v>590.29</v>
      </c>
      <c r="D3217" s="9">
        <v>591.11</v>
      </c>
      <c r="E3217" s="9">
        <f t="shared" si="151"/>
        <v>-3.3103105774998178E-3</v>
      </c>
      <c r="F3217" s="9">
        <f t="shared" si="149"/>
        <v>3.7594589341419855E-2</v>
      </c>
      <c r="G3217" s="9">
        <f t="shared" si="150"/>
        <v>7.0463086680182608E-3</v>
      </c>
    </row>
    <row r="3218" spans="1:7" x14ac:dyDescent="0.2">
      <c r="A3218" s="12">
        <v>41576</v>
      </c>
      <c r="B3218" s="9">
        <v>594.32000000000005</v>
      </c>
      <c r="C3218" s="9">
        <v>589.11</v>
      </c>
      <c r="D3218" s="9">
        <v>594.32000000000005</v>
      </c>
      <c r="E3218" s="9">
        <f t="shared" si="151"/>
        <v>5.4157695450948876E-3</v>
      </c>
      <c r="F3218" s="9">
        <f t="shared" si="149"/>
        <v>4.4768446540475147E-2</v>
      </c>
      <c r="G3218" s="9">
        <f t="shared" si="150"/>
        <v>7.0623036238990989E-3</v>
      </c>
    </row>
    <row r="3219" spans="1:7" x14ac:dyDescent="0.2">
      <c r="A3219" s="12">
        <v>41577</v>
      </c>
      <c r="B3219" s="9">
        <v>596.79</v>
      </c>
      <c r="C3219" s="9">
        <v>592.29999999999995</v>
      </c>
      <c r="D3219" s="9">
        <v>593.28</v>
      </c>
      <c r="E3219" s="9">
        <f t="shared" si="151"/>
        <v>-1.7514319061152613E-3</v>
      </c>
      <c r="F3219" s="9">
        <f t="shared" si="149"/>
        <v>4.1961791180833874E-2</v>
      </c>
      <c r="G3219" s="9">
        <f t="shared" si="150"/>
        <v>7.0868404561521305E-3</v>
      </c>
    </row>
    <row r="3220" spans="1:7" x14ac:dyDescent="0.2">
      <c r="A3220" s="12">
        <v>41578</v>
      </c>
      <c r="B3220" s="9">
        <v>585.55999999999995</v>
      </c>
      <c r="C3220" s="9">
        <v>578.16</v>
      </c>
      <c r="D3220" s="9">
        <v>578.30999999999995</v>
      </c>
      <c r="E3220" s="9">
        <f t="shared" si="151"/>
        <v>-2.5556405859825958E-2</v>
      </c>
      <c r="F3220" s="9">
        <f t="shared" si="149"/>
        <v>2.5451253837398416E-3</v>
      </c>
      <c r="G3220" s="9">
        <f t="shared" si="150"/>
        <v>8.2545204724734731E-3</v>
      </c>
    </row>
    <row r="3221" spans="1:7" x14ac:dyDescent="0.2">
      <c r="A3221" s="12">
        <v>41579</v>
      </c>
      <c r="B3221" s="9">
        <v>584.62</v>
      </c>
      <c r="C3221" s="9">
        <v>579.09</v>
      </c>
      <c r="D3221" s="9">
        <v>580.37</v>
      </c>
      <c r="E3221" s="9">
        <f t="shared" si="151"/>
        <v>3.5557741058311011E-3</v>
      </c>
      <c r="F3221" s="9">
        <f t="shared" si="149"/>
        <v>5.0093381887867843E-3</v>
      </c>
      <c r="G3221" s="9">
        <f t="shared" si="150"/>
        <v>8.2771135132801051E-3</v>
      </c>
    </row>
    <row r="3222" spans="1:7" x14ac:dyDescent="0.2">
      <c r="A3222" s="12">
        <v>41582</v>
      </c>
      <c r="B3222" s="9">
        <v>584.19000000000005</v>
      </c>
      <c r="C3222" s="9">
        <v>580.44000000000005</v>
      </c>
      <c r="D3222" s="9">
        <v>581.16</v>
      </c>
      <c r="E3222" s="9">
        <f t="shared" si="151"/>
        <v>1.3602750196974767E-3</v>
      </c>
      <c r="F3222" s="9">
        <f t="shared" si="149"/>
        <v>2.0021523851911086E-2</v>
      </c>
      <c r="G3222" s="9">
        <f t="shared" si="150"/>
        <v>7.8559393759460878E-3</v>
      </c>
    </row>
    <row r="3223" spans="1:7" x14ac:dyDescent="0.2">
      <c r="A3223" s="12">
        <v>41583</v>
      </c>
      <c r="B3223" s="9">
        <v>582.07000000000005</v>
      </c>
      <c r="C3223" s="9">
        <v>574.65</v>
      </c>
      <c r="D3223" s="9">
        <v>577.30999999999995</v>
      </c>
      <c r="E3223" s="9">
        <f t="shared" si="151"/>
        <v>-6.6467222699919002E-3</v>
      </c>
      <c r="F3223" s="9">
        <f t="shared" si="149"/>
        <v>1.1936331024257129E-2</v>
      </c>
      <c r="G3223" s="9">
        <f t="shared" si="150"/>
        <v>7.9664821284140628E-3</v>
      </c>
    </row>
    <row r="3224" spans="1:7" x14ac:dyDescent="0.2">
      <c r="A3224" s="12">
        <v>41584</v>
      </c>
      <c r="B3224" s="9">
        <v>587.49</v>
      </c>
      <c r="C3224" s="9">
        <v>578.78</v>
      </c>
      <c r="D3224" s="9">
        <v>587.47</v>
      </c>
      <c r="E3224" s="9">
        <f t="shared" si="151"/>
        <v>1.74457969515791E-2</v>
      </c>
      <c r="F3224" s="9">
        <f t="shared" si="149"/>
        <v>3.7566848083658809E-2</v>
      </c>
      <c r="G3224" s="9">
        <f t="shared" si="150"/>
        <v>8.3780365702059451E-3</v>
      </c>
    </row>
    <row r="3225" spans="1:7" x14ac:dyDescent="0.2">
      <c r="A3225" s="12">
        <v>41585</v>
      </c>
      <c r="B3225" s="9">
        <v>591.75</v>
      </c>
      <c r="C3225" s="9">
        <v>586.74</v>
      </c>
      <c r="D3225" s="9">
        <v>587.78</v>
      </c>
      <c r="E3225" s="9">
        <f t="shared" si="151"/>
        <v>5.2754734259014859E-4</v>
      </c>
      <c r="F3225" s="9">
        <f t="shared" si="149"/>
        <v>3.5059116832856389E-2</v>
      </c>
      <c r="G3225" s="9">
        <f t="shared" si="150"/>
        <v>8.3721411517914263E-3</v>
      </c>
    </row>
    <row r="3226" spans="1:7" x14ac:dyDescent="0.2">
      <c r="A3226" s="12">
        <v>41586</v>
      </c>
      <c r="B3226" s="9">
        <v>586.76</v>
      </c>
      <c r="C3226" s="9">
        <v>581.17999999999995</v>
      </c>
      <c r="D3226" s="9">
        <v>585.78</v>
      </c>
      <c r="E3226" s="9">
        <f t="shared" si="151"/>
        <v>-3.4084357616801877E-3</v>
      </c>
      <c r="F3226" s="9">
        <f t="shared" si="149"/>
        <v>2.8642154650175763E-2</v>
      </c>
      <c r="G3226" s="9">
        <f t="shared" si="150"/>
        <v>8.4054200520393939E-3</v>
      </c>
    </row>
    <row r="3227" spans="1:7" x14ac:dyDescent="0.2">
      <c r="A3227" s="12">
        <v>41589</v>
      </c>
      <c r="B3227" s="9">
        <v>587.96</v>
      </c>
      <c r="C3227" s="9">
        <v>585.4</v>
      </c>
      <c r="D3227" s="9">
        <v>587.83000000000004</v>
      </c>
      <c r="E3227" s="9">
        <f t="shared" si="151"/>
        <v>3.493497984747778E-3</v>
      </c>
      <c r="F3227" s="9">
        <f t="shared" si="149"/>
        <v>3.8108765038432038E-2</v>
      </c>
      <c r="G3227" s="9">
        <f t="shared" si="150"/>
        <v>8.3135627852510916E-3</v>
      </c>
    </row>
    <row r="3228" spans="1:7" x14ac:dyDescent="0.2">
      <c r="A3228" s="12">
        <v>41590</v>
      </c>
      <c r="B3228" s="9">
        <v>586.22</v>
      </c>
      <c r="C3228" s="9">
        <v>582.91999999999996</v>
      </c>
      <c r="D3228" s="9">
        <v>583.91999999999996</v>
      </c>
      <c r="E3228" s="9">
        <f t="shared" si="151"/>
        <v>-6.6738033070059995E-3</v>
      </c>
      <c r="F3228" s="9">
        <f t="shared" si="149"/>
        <v>2.8875722810855414E-2</v>
      </c>
      <c r="G3228" s="9">
        <f t="shared" si="150"/>
        <v>8.4342284828022186E-3</v>
      </c>
    </row>
    <row r="3229" spans="1:7" x14ac:dyDescent="0.2">
      <c r="A3229" s="12">
        <v>41591</v>
      </c>
      <c r="B3229" s="9">
        <v>586.34</v>
      </c>
      <c r="C3229" s="9">
        <v>582.87</v>
      </c>
      <c r="D3229" s="9">
        <v>585.36</v>
      </c>
      <c r="E3229" s="9">
        <f t="shared" si="151"/>
        <v>2.4630554323978138E-3</v>
      </c>
      <c r="F3229" s="9">
        <f t="shared" si="149"/>
        <v>3.5719946258815909E-2</v>
      </c>
      <c r="G3229" s="9">
        <f t="shared" si="150"/>
        <v>8.3770729711522586E-3</v>
      </c>
    </row>
    <row r="3230" spans="1:7" x14ac:dyDescent="0.2">
      <c r="A3230" s="12">
        <v>41592</v>
      </c>
      <c r="B3230" s="9">
        <v>590.69000000000005</v>
      </c>
      <c r="C3230" s="9">
        <v>587.27</v>
      </c>
      <c r="D3230" s="9">
        <v>589.53</v>
      </c>
      <c r="E3230" s="9">
        <f t="shared" si="151"/>
        <v>7.0985666920108433E-3</v>
      </c>
      <c r="F3230" s="9">
        <f t="shared" si="149"/>
        <v>3.9689671162309412E-2</v>
      </c>
      <c r="G3230" s="9">
        <f t="shared" si="150"/>
        <v>8.4398616571402449E-3</v>
      </c>
    </row>
    <row r="3231" spans="1:7" x14ac:dyDescent="0.2">
      <c r="A3231" s="12">
        <v>41593</v>
      </c>
      <c r="B3231" s="9">
        <v>591.65</v>
      </c>
      <c r="C3231" s="9">
        <v>589.58000000000004</v>
      </c>
      <c r="D3231" s="9">
        <v>590.76</v>
      </c>
      <c r="E3231" s="9">
        <f t="shared" si="151"/>
        <v>2.0842342903242129E-3</v>
      </c>
      <c r="F3231" s="9">
        <f t="shared" si="149"/>
        <v>4.4743417135390595E-2</v>
      </c>
      <c r="G3231" s="9">
        <f t="shared" si="150"/>
        <v>8.401578804630213E-3</v>
      </c>
    </row>
    <row r="3232" spans="1:7" x14ac:dyDescent="0.2">
      <c r="A3232" s="12">
        <v>41596</v>
      </c>
      <c r="B3232" s="9">
        <v>595.52</v>
      </c>
      <c r="C3232" s="9">
        <v>590.5</v>
      </c>
      <c r="D3232" s="9">
        <v>595.35</v>
      </c>
      <c r="E3232" s="9">
        <f t="shared" si="151"/>
        <v>7.7396243390745077E-3</v>
      </c>
      <c r="F3232" s="9">
        <f t="shared" si="149"/>
        <v>5.1934432008695429E-2</v>
      </c>
      <c r="G3232" s="9">
        <f t="shared" si="150"/>
        <v>8.4760033483897729E-3</v>
      </c>
    </row>
    <row r="3233" spans="1:7" x14ac:dyDescent="0.2">
      <c r="A3233" s="12">
        <v>41597</v>
      </c>
      <c r="B3233" s="9">
        <v>592.48</v>
      </c>
      <c r="C3233" s="9">
        <v>589.79</v>
      </c>
      <c r="D3233" s="9">
        <v>590.70000000000005</v>
      </c>
      <c r="E3233" s="9">
        <f t="shared" si="151"/>
        <v>-7.8411935839945018E-3</v>
      </c>
      <c r="F3233" s="9">
        <f t="shared" ref="F3233:F3296" si="152">LN(D3233/D3203)</f>
        <v>4.7549187419963564E-2</v>
      </c>
      <c r="G3233" s="9">
        <f t="shared" si="150"/>
        <v>8.605369381530531E-3</v>
      </c>
    </row>
    <row r="3234" spans="1:7" x14ac:dyDescent="0.2">
      <c r="A3234" s="12">
        <v>41598</v>
      </c>
      <c r="B3234" s="9">
        <v>591.20000000000005</v>
      </c>
      <c r="C3234" s="9">
        <v>585.92999999999995</v>
      </c>
      <c r="D3234" s="9">
        <v>587.53</v>
      </c>
      <c r="E3234" s="9">
        <f t="shared" si="151"/>
        <v>-5.3809657688014363E-3</v>
      </c>
      <c r="F3234" s="9">
        <f t="shared" si="152"/>
        <v>5.0081996131639037E-2</v>
      </c>
      <c r="G3234" s="9">
        <f t="shared" si="150"/>
        <v>8.520974822654518E-3</v>
      </c>
    </row>
    <row r="3235" spans="1:7" x14ac:dyDescent="0.2">
      <c r="A3235" s="12">
        <v>41599</v>
      </c>
      <c r="B3235" s="9">
        <v>588.89</v>
      </c>
      <c r="C3235" s="9">
        <v>584.76</v>
      </c>
      <c r="D3235" s="9">
        <v>588.33000000000004</v>
      </c>
      <c r="E3235" s="9">
        <f t="shared" si="151"/>
        <v>1.3607064164694749E-3</v>
      </c>
      <c r="F3235" s="9">
        <f t="shared" si="152"/>
        <v>3.3618499385595108E-2</v>
      </c>
      <c r="G3235" s="9">
        <f t="shared" si="150"/>
        <v>7.9560995411400316E-3</v>
      </c>
    </row>
    <row r="3236" spans="1:7" x14ac:dyDescent="0.2">
      <c r="A3236" s="12">
        <v>41600</v>
      </c>
      <c r="B3236" s="9">
        <v>591.72</v>
      </c>
      <c r="C3236" s="9">
        <v>584.48</v>
      </c>
      <c r="D3236" s="9">
        <v>585.51</v>
      </c>
      <c r="E3236" s="9">
        <f t="shared" si="151"/>
        <v>-4.8047526496374669E-3</v>
      </c>
      <c r="F3236" s="9">
        <f t="shared" si="152"/>
        <v>2.7829840549337521E-2</v>
      </c>
      <c r="G3236" s="9">
        <f t="shared" si="150"/>
        <v>8.0293866225962813E-3</v>
      </c>
    </row>
    <row r="3237" spans="1:7" x14ac:dyDescent="0.2">
      <c r="A3237" s="12">
        <v>41603</v>
      </c>
      <c r="B3237" s="9">
        <v>590.54</v>
      </c>
      <c r="C3237" s="9">
        <v>586.66999999999996</v>
      </c>
      <c r="D3237" s="9">
        <v>588.6</v>
      </c>
      <c r="E3237" s="9">
        <f t="shared" si="151"/>
        <v>5.2635734881522189E-3</v>
      </c>
      <c r="F3237" s="9">
        <f t="shared" si="152"/>
        <v>3.142649840976796E-2</v>
      </c>
      <c r="G3237" s="9">
        <f t="shared" si="150"/>
        <v>8.0675657043597741E-3</v>
      </c>
    </row>
    <row r="3238" spans="1:7" x14ac:dyDescent="0.2">
      <c r="A3238" s="12">
        <v>41604</v>
      </c>
      <c r="B3238" s="9">
        <v>588.74</v>
      </c>
      <c r="C3238" s="9">
        <v>586.66</v>
      </c>
      <c r="D3238" s="9">
        <v>586.73</v>
      </c>
      <c r="E3238" s="9">
        <f t="shared" si="151"/>
        <v>-3.1820877165026355E-3</v>
      </c>
      <c r="F3238" s="9">
        <f t="shared" si="152"/>
        <v>2.9174031457428706E-2</v>
      </c>
      <c r="G3238" s="9">
        <f t="shared" si="150"/>
        <v>8.0970287993091025E-3</v>
      </c>
    </row>
    <row r="3239" spans="1:7" x14ac:dyDescent="0.2">
      <c r="A3239" s="12">
        <v>41605</v>
      </c>
      <c r="B3239" s="9">
        <v>590.59</v>
      </c>
      <c r="C3239" s="9">
        <v>587.09</v>
      </c>
      <c r="D3239" s="9">
        <v>589.78</v>
      </c>
      <c r="E3239" s="9">
        <f t="shared" si="151"/>
        <v>5.184837923423581E-3</v>
      </c>
      <c r="F3239" s="9">
        <f t="shared" si="152"/>
        <v>1.8861702137412634E-2</v>
      </c>
      <c r="G3239" s="9">
        <f t="shared" ref="G3239:G3302" si="153">STDEV(E3210:E3239)</f>
        <v>7.6666018812935784E-3</v>
      </c>
    </row>
    <row r="3240" spans="1:7" x14ac:dyDescent="0.2">
      <c r="A3240" s="12">
        <v>41606</v>
      </c>
      <c r="B3240" s="9">
        <v>600.62</v>
      </c>
      <c r="C3240" s="9">
        <v>591.54</v>
      </c>
      <c r="D3240" s="9">
        <v>599.46</v>
      </c>
      <c r="E3240" s="9">
        <f t="shared" si="151"/>
        <v>1.6279663966688944E-2</v>
      </c>
      <c r="F3240" s="9">
        <f t="shared" si="152"/>
        <v>3.2759796249471035E-2</v>
      </c>
      <c r="G3240" s="9">
        <f t="shared" si="153"/>
        <v>8.1789630281320653E-3</v>
      </c>
    </row>
    <row r="3241" spans="1:7" x14ac:dyDescent="0.2">
      <c r="A3241" s="12">
        <v>41607</v>
      </c>
      <c r="B3241" s="9">
        <v>601.99</v>
      </c>
      <c r="C3241" s="9">
        <v>598.66999999999996</v>
      </c>
      <c r="D3241" s="9">
        <v>601.63</v>
      </c>
      <c r="E3241" s="9">
        <f t="shared" si="151"/>
        <v>3.6133884406058326E-3</v>
      </c>
      <c r="F3241" s="9">
        <f t="shared" si="152"/>
        <v>3.396288120239993E-2</v>
      </c>
      <c r="G3241" s="9">
        <f t="shared" si="153"/>
        <v>8.1885936122740085E-3</v>
      </c>
    </row>
    <row r="3242" spans="1:7" x14ac:dyDescent="0.2">
      <c r="A3242" s="12">
        <v>41610</v>
      </c>
      <c r="B3242" s="9">
        <v>603.97</v>
      </c>
      <c r="C3242" s="9">
        <v>600.77</v>
      </c>
      <c r="D3242" s="9">
        <v>601.47</v>
      </c>
      <c r="E3242" s="9">
        <f t="shared" si="151"/>
        <v>-2.6597955438993225E-4</v>
      </c>
      <c r="F3242" s="9">
        <f t="shared" si="152"/>
        <v>2.7918669616721459E-2</v>
      </c>
      <c r="G3242" s="9">
        <f t="shared" si="153"/>
        <v>8.1445754763133163E-3</v>
      </c>
    </row>
    <row r="3243" spans="1:7" x14ac:dyDescent="0.2">
      <c r="A3243" s="12">
        <v>41611</v>
      </c>
      <c r="B3243" s="9">
        <v>606.1</v>
      </c>
      <c r="C3243" s="9">
        <v>596.35</v>
      </c>
      <c r="D3243" s="9">
        <v>598.47</v>
      </c>
      <c r="E3243" s="9">
        <f t="shared" si="151"/>
        <v>-5.0002604307690535E-3</v>
      </c>
      <c r="F3243" s="9">
        <f t="shared" si="152"/>
        <v>9.9748937895532321E-3</v>
      </c>
      <c r="G3243" s="9">
        <f t="shared" si="153"/>
        <v>7.8867464442163495E-3</v>
      </c>
    </row>
    <row r="3244" spans="1:7" x14ac:dyDescent="0.2">
      <c r="A3244" s="12">
        <v>41612</v>
      </c>
      <c r="B3244" s="9">
        <v>597.91</v>
      </c>
      <c r="C3244" s="9">
        <v>588.27</v>
      </c>
      <c r="D3244" s="9">
        <v>591.66</v>
      </c>
      <c r="E3244" s="9">
        <f t="shared" si="151"/>
        <v>-1.1444252856136523E-2</v>
      </c>
      <c r="F3244" s="9">
        <f t="shared" si="152"/>
        <v>8.961861961504302E-4</v>
      </c>
      <c r="G3244" s="9">
        <f t="shared" si="153"/>
        <v>8.1631790609321409E-3</v>
      </c>
    </row>
    <row r="3245" spans="1:7" x14ac:dyDescent="0.2">
      <c r="A3245" s="12">
        <v>41613</v>
      </c>
      <c r="B3245" s="9">
        <v>594.83000000000004</v>
      </c>
      <c r="C3245" s="9">
        <v>587.32000000000005</v>
      </c>
      <c r="D3245" s="9">
        <v>592.54999999999995</v>
      </c>
      <c r="E3245" s="9">
        <f t="shared" si="151"/>
        <v>1.5031120621648146E-3</v>
      </c>
      <c r="F3245" s="9">
        <f t="shared" si="152"/>
        <v>-4.8989584598576859E-3</v>
      </c>
      <c r="G3245" s="9">
        <f t="shared" si="153"/>
        <v>8.053075772037217E-3</v>
      </c>
    </row>
    <row r="3246" spans="1:7" x14ac:dyDescent="0.2">
      <c r="A3246" s="12">
        <v>41614</v>
      </c>
      <c r="B3246" s="9">
        <v>594.1</v>
      </c>
      <c r="C3246" s="9">
        <v>588.9</v>
      </c>
      <c r="D3246" s="9">
        <v>591.87</v>
      </c>
      <c r="E3246" s="9">
        <f t="shared" si="151"/>
        <v>-1.1482414594697328E-3</v>
      </c>
      <c r="F3246" s="9">
        <f t="shared" si="152"/>
        <v>-2.0254197009680389E-3</v>
      </c>
      <c r="G3246" s="9">
        <f t="shared" si="153"/>
        <v>8.0226314446566454E-3</v>
      </c>
    </row>
    <row r="3247" spans="1:7" x14ac:dyDescent="0.2">
      <c r="A3247" s="12">
        <v>41617</v>
      </c>
      <c r="B3247" s="9">
        <v>594.13</v>
      </c>
      <c r="C3247" s="9">
        <v>591.99</v>
      </c>
      <c r="D3247" s="9">
        <v>593.26</v>
      </c>
      <c r="E3247" s="9">
        <f t="shared" si="151"/>
        <v>2.3457352988615109E-3</v>
      </c>
      <c r="F3247" s="9">
        <f t="shared" si="152"/>
        <v>3.6306261753932495E-3</v>
      </c>
      <c r="G3247" s="9">
        <f t="shared" si="153"/>
        <v>8.01024672270121E-3</v>
      </c>
    </row>
    <row r="3248" spans="1:7" x14ac:dyDescent="0.2">
      <c r="A3248" s="12">
        <v>41618</v>
      </c>
      <c r="B3248" s="9">
        <v>593.22</v>
      </c>
      <c r="C3248" s="9">
        <v>589.28</v>
      </c>
      <c r="D3248" s="9">
        <v>592</v>
      </c>
      <c r="E3248" s="9">
        <f t="shared" si="151"/>
        <v>-2.1261165898436049E-3</v>
      </c>
      <c r="F3248" s="9">
        <f t="shared" si="152"/>
        <v>-3.9112599595451884E-3</v>
      </c>
      <c r="G3248" s="9">
        <f t="shared" si="153"/>
        <v>7.9565128081419065E-3</v>
      </c>
    </row>
    <row r="3249" spans="1:7" x14ac:dyDescent="0.2">
      <c r="A3249" s="12">
        <v>41619</v>
      </c>
      <c r="B3249" s="9">
        <v>594.80999999999995</v>
      </c>
      <c r="C3249" s="9">
        <v>590.65</v>
      </c>
      <c r="D3249" s="9">
        <v>592.54</v>
      </c>
      <c r="E3249" s="9">
        <f t="shared" si="151"/>
        <v>9.1174639506925754E-4</v>
      </c>
      <c r="F3249" s="9">
        <f t="shared" si="152"/>
        <v>-1.2480816583606863E-3</v>
      </c>
      <c r="G3249" s="9">
        <f t="shared" si="153"/>
        <v>7.9526585489866214E-3</v>
      </c>
    </row>
    <row r="3250" spans="1:7" x14ac:dyDescent="0.2">
      <c r="A3250" s="12">
        <v>41620</v>
      </c>
      <c r="B3250" s="9">
        <v>590.39</v>
      </c>
      <c r="C3250" s="9">
        <v>584.38</v>
      </c>
      <c r="D3250" s="9">
        <v>585.84</v>
      </c>
      <c r="E3250" s="9">
        <f t="shared" si="151"/>
        <v>-1.1371666526260552E-2</v>
      </c>
      <c r="F3250" s="9">
        <f t="shared" si="152"/>
        <v>1.2936657675204844E-2</v>
      </c>
      <c r="G3250" s="9">
        <f t="shared" si="153"/>
        <v>6.7075789203766157E-3</v>
      </c>
    </row>
    <row r="3251" spans="1:7" x14ac:dyDescent="0.2">
      <c r="A3251" s="12">
        <v>41621</v>
      </c>
      <c r="B3251" s="9">
        <v>586.27</v>
      </c>
      <c r="C3251" s="9">
        <v>583.44000000000005</v>
      </c>
      <c r="D3251" s="9">
        <v>584.52</v>
      </c>
      <c r="E3251" s="9">
        <f t="shared" si="151"/>
        <v>-2.2557171463627695E-3</v>
      </c>
      <c r="F3251" s="9">
        <f t="shared" si="152"/>
        <v>7.1251664230109063E-3</v>
      </c>
      <c r="G3251" s="9">
        <f t="shared" si="153"/>
        <v>6.6981414519863029E-3</v>
      </c>
    </row>
    <row r="3252" spans="1:7" x14ac:dyDescent="0.2">
      <c r="A3252" s="12">
        <v>41624</v>
      </c>
      <c r="B3252" s="9">
        <v>587.39</v>
      </c>
      <c r="C3252" s="9">
        <v>582.9</v>
      </c>
      <c r="D3252" s="9">
        <v>587.25</v>
      </c>
      <c r="E3252" s="9">
        <f t="shared" si="151"/>
        <v>4.6596259325705118E-3</v>
      </c>
      <c r="F3252" s="9">
        <f t="shared" si="152"/>
        <v>1.0424517335884207E-2</v>
      </c>
      <c r="G3252" s="9">
        <f t="shared" si="153"/>
        <v>6.7441406206236116E-3</v>
      </c>
    </row>
    <row r="3253" spans="1:7" x14ac:dyDescent="0.2">
      <c r="A3253" s="12">
        <v>41625</v>
      </c>
      <c r="B3253" s="9">
        <v>587.48</v>
      </c>
      <c r="C3253" s="9">
        <v>583.53</v>
      </c>
      <c r="D3253" s="9">
        <v>583.61</v>
      </c>
      <c r="E3253" s="9">
        <f t="shared" si="151"/>
        <v>-6.217672013205406E-3</v>
      </c>
      <c r="F3253" s="9">
        <f t="shared" si="152"/>
        <v>1.0853567592670798E-2</v>
      </c>
      <c r="G3253" s="9">
        <f t="shared" si="153"/>
        <v>6.7292356605489975E-3</v>
      </c>
    </row>
    <row r="3254" spans="1:7" x14ac:dyDescent="0.2">
      <c r="A3254" s="12">
        <v>41626</v>
      </c>
      <c r="B3254" s="9">
        <v>589.83000000000004</v>
      </c>
      <c r="C3254" s="9">
        <v>584.54</v>
      </c>
      <c r="D3254" s="9">
        <v>588.17999999999995</v>
      </c>
      <c r="E3254" s="9">
        <f t="shared" si="151"/>
        <v>7.8000719758728717E-3</v>
      </c>
      <c r="F3254" s="9">
        <f t="shared" si="152"/>
        <v>1.2078426169646723E-3</v>
      </c>
      <c r="G3254" s="9">
        <f t="shared" si="153"/>
        <v>6.0843470482154285E-3</v>
      </c>
    </row>
    <row r="3255" spans="1:7" x14ac:dyDescent="0.2">
      <c r="A3255" s="12">
        <v>41627</v>
      </c>
      <c r="B3255" s="9">
        <v>599.13</v>
      </c>
      <c r="C3255" s="9">
        <v>592.39</v>
      </c>
      <c r="D3255" s="9">
        <v>599.04</v>
      </c>
      <c r="E3255" s="9">
        <f t="shared" si="151"/>
        <v>1.829535034748286E-2</v>
      </c>
      <c r="F3255" s="9">
        <f t="shared" si="152"/>
        <v>1.8975645621857357E-2</v>
      </c>
      <c r="G3255" s="9">
        <f t="shared" si="153"/>
        <v>6.9382665888067466E-3</v>
      </c>
    </row>
    <row r="3256" spans="1:7" x14ac:dyDescent="0.2">
      <c r="A3256" s="12">
        <v>41628</v>
      </c>
      <c r="B3256" s="9">
        <v>605.74</v>
      </c>
      <c r="C3256" s="9">
        <v>598.67999999999995</v>
      </c>
      <c r="D3256" s="9">
        <v>605.52</v>
      </c>
      <c r="E3256" s="9">
        <f t="shared" si="151"/>
        <v>1.0759219151739479E-2</v>
      </c>
      <c r="F3256" s="9">
        <f t="shared" si="152"/>
        <v>3.3143300535276844E-2</v>
      </c>
      <c r="G3256" s="9">
        <f t="shared" si="153"/>
        <v>7.1331587901113771E-3</v>
      </c>
    </row>
    <row r="3257" spans="1:7" x14ac:dyDescent="0.2">
      <c r="A3257" s="12">
        <v>41631</v>
      </c>
      <c r="B3257" s="9">
        <v>607.41999999999996</v>
      </c>
      <c r="C3257" s="9">
        <v>604.54</v>
      </c>
      <c r="D3257" s="9">
        <v>606.42999999999995</v>
      </c>
      <c r="E3257" s="9">
        <f t="shared" si="151"/>
        <v>1.5017123990506984E-3</v>
      </c>
      <c r="F3257" s="9">
        <f t="shared" si="152"/>
        <v>3.1151514949579896E-2</v>
      </c>
      <c r="G3257" s="9">
        <f t="shared" si="153"/>
        <v>7.1194149401412939E-3</v>
      </c>
    </row>
    <row r="3258" spans="1:7" x14ac:dyDescent="0.2">
      <c r="A3258" s="12">
        <v>41635</v>
      </c>
      <c r="B3258" s="9">
        <v>615.64</v>
      </c>
      <c r="C3258" s="9">
        <v>609.33000000000004</v>
      </c>
      <c r="D3258" s="9">
        <v>613.02</v>
      </c>
      <c r="E3258" s="9">
        <f t="shared" si="151"/>
        <v>1.0808256431424605E-2</v>
      </c>
      <c r="F3258" s="9">
        <f t="shared" si="152"/>
        <v>4.8633574688010502E-2</v>
      </c>
      <c r="G3258" s="9">
        <f t="shared" si="153"/>
        <v>7.1815884565175217E-3</v>
      </c>
    </row>
    <row r="3259" spans="1:7" x14ac:dyDescent="0.2">
      <c r="A3259" s="12">
        <v>41638</v>
      </c>
      <c r="B3259" s="9">
        <v>616.37</v>
      </c>
      <c r="C3259" s="9">
        <v>613.82000000000005</v>
      </c>
      <c r="D3259" s="9">
        <v>615.5</v>
      </c>
      <c r="E3259" s="9">
        <f t="shared" si="151"/>
        <v>4.0373837931210093E-3</v>
      </c>
      <c r="F3259" s="9">
        <f t="shared" si="152"/>
        <v>5.0207903048733585E-2</v>
      </c>
      <c r="G3259" s="9">
        <f t="shared" si="153"/>
        <v>7.1936946315652728E-3</v>
      </c>
    </row>
    <row r="3260" spans="1:7" x14ac:dyDescent="0.2">
      <c r="A3260" s="12">
        <v>41641</v>
      </c>
      <c r="B3260" s="9">
        <v>622.95000000000005</v>
      </c>
      <c r="C3260" s="9">
        <v>615.99</v>
      </c>
      <c r="D3260" s="9">
        <v>620.04</v>
      </c>
      <c r="E3260" s="9">
        <f t="shared" si="151"/>
        <v>7.3490464625853551E-3</v>
      </c>
      <c r="F3260" s="9">
        <f t="shared" si="152"/>
        <v>5.0458382819308187E-2</v>
      </c>
      <c r="G3260" s="9">
        <f t="shared" si="153"/>
        <v>7.2003504951474607E-3</v>
      </c>
    </row>
    <row r="3261" spans="1:7" x14ac:dyDescent="0.2">
      <c r="A3261" s="12">
        <v>41642</v>
      </c>
      <c r="B3261" s="9">
        <v>627.84</v>
      </c>
      <c r="C3261" s="9">
        <v>617.24</v>
      </c>
      <c r="D3261" s="9">
        <v>627.6</v>
      </c>
      <c r="E3261" s="9">
        <f t="shared" si="151"/>
        <v>1.2119028771784095E-2</v>
      </c>
      <c r="F3261" s="9">
        <f t="shared" si="152"/>
        <v>6.0493177300768121E-2</v>
      </c>
      <c r="G3261" s="9">
        <f t="shared" si="153"/>
        <v>7.4484913060600113E-3</v>
      </c>
    </row>
    <row r="3262" spans="1:7" x14ac:dyDescent="0.2">
      <c r="A3262" s="12">
        <v>41645</v>
      </c>
      <c r="B3262" s="9">
        <v>632.63</v>
      </c>
      <c r="C3262" s="9">
        <v>628.74</v>
      </c>
      <c r="D3262" s="9">
        <v>629.45000000000005</v>
      </c>
      <c r="E3262" s="9">
        <f t="shared" si="151"/>
        <v>2.9434013533907182E-3</v>
      </c>
      <c r="F3262" s="9">
        <f t="shared" si="152"/>
        <v>5.5696954315084167E-2</v>
      </c>
      <c r="G3262" s="9">
        <f t="shared" si="153"/>
        <v>7.3724984738010426E-3</v>
      </c>
    </row>
    <row r="3263" spans="1:7" x14ac:dyDescent="0.2">
      <c r="A3263" s="12">
        <v>41646</v>
      </c>
      <c r="B3263" s="9">
        <v>636.94000000000005</v>
      </c>
      <c r="C3263" s="9">
        <v>633.29999999999995</v>
      </c>
      <c r="D3263" s="9">
        <v>636.59</v>
      </c>
      <c r="E3263" s="9">
        <f t="shared" si="151"/>
        <v>1.1279384061198378E-2</v>
      </c>
      <c r="F3263" s="9">
        <f t="shared" si="152"/>
        <v>7.4817531960277087E-2</v>
      </c>
      <c r="G3263" s="9">
        <f t="shared" si="153"/>
        <v>7.3315913523939111E-3</v>
      </c>
    </row>
    <row r="3264" spans="1:7" x14ac:dyDescent="0.2">
      <c r="A3264" s="12">
        <v>41647</v>
      </c>
      <c r="B3264" s="9">
        <v>639.11</v>
      </c>
      <c r="C3264" s="9">
        <v>635.85</v>
      </c>
      <c r="D3264" s="9">
        <v>639.11</v>
      </c>
      <c r="E3264" s="9">
        <f t="shared" si="151"/>
        <v>3.9507772639551155E-3</v>
      </c>
      <c r="F3264" s="9">
        <f t="shared" si="152"/>
        <v>8.4149274993033693E-2</v>
      </c>
      <c r="G3264" s="9">
        <f t="shared" si="153"/>
        <v>7.1824034404812101E-3</v>
      </c>
    </row>
    <row r="3265" spans="1:7" x14ac:dyDescent="0.2">
      <c r="A3265" s="12">
        <v>41648</v>
      </c>
      <c r="B3265" s="9">
        <v>646.9</v>
      </c>
      <c r="C3265" s="9">
        <v>638.67999999999995</v>
      </c>
      <c r="D3265" s="9">
        <v>641.77</v>
      </c>
      <c r="E3265" s="9">
        <f t="shared" si="151"/>
        <v>4.1534005120104954E-3</v>
      </c>
      <c r="F3265" s="9">
        <f t="shared" si="152"/>
        <v>8.6941969088574669E-2</v>
      </c>
      <c r="G3265" s="9">
        <f t="shared" si="153"/>
        <v>7.1811367362009217E-3</v>
      </c>
    </row>
    <row r="3266" spans="1:7" x14ac:dyDescent="0.2">
      <c r="A3266" s="12">
        <v>41649</v>
      </c>
      <c r="B3266" s="9">
        <v>646.58000000000004</v>
      </c>
      <c r="C3266" s="9">
        <v>640.20000000000005</v>
      </c>
      <c r="D3266" s="9">
        <v>645.98</v>
      </c>
      <c r="E3266" s="9">
        <f t="shared" si="151"/>
        <v>6.538559501584525E-3</v>
      </c>
      <c r="F3266" s="9">
        <f t="shared" si="152"/>
        <v>9.8285281239796671E-2</v>
      </c>
      <c r="G3266" s="9">
        <f t="shared" si="153"/>
        <v>7.0591681193538213E-3</v>
      </c>
    </row>
    <row r="3267" spans="1:7" x14ac:dyDescent="0.2">
      <c r="A3267" s="12">
        <v>41652</v>
      </c>
      <c r="B3267" s="9">
        <v>650.9</v>
      </c>
      <c r="C3267" s="9">
        <v>646.19000000000005</v>
      </c>
      <c r="D3267" s="9">
        <v>646.78</v>
      </c>
      <c r="E3267" s="9">
        <f t="shared" si="151"/>
        <v>1.2376622143637753E-3</v>
      </c>
      <c r="F3267" s="9">
        <f t="shared" si="152"/>
        <v>9.425936996600813E-2</v>
      </c>
      <c r="G3267" s="9">
        <f t="shared" si="153"/>
        <v>7.0583511462435754E-3</v>
      </c>
    </row>
    <row r="3268" spans="1:7" x14ac:dyDescent="0.2">
      <c r="A3268" s="12">
        <v>41653</v>
      </c>
      <c r="B3268" s="9">
        <v>646.54</v>
      </c>
      <c r="C3268" s="9">
        <v>639.84</v>
      </c>
      <c r="D3268" s="9">
        <v>645.84</v>
      </c>
      <c r="E3268" s="9">
        <f t="shared" ref="E3268:E3331" si="154">LN(D3268/D3267)</f>
        <v>-1.4544106786205022E-3</v>
      </c>
      <c r="F3268" s="9">
        <f t="shared" si="152"/>
        <v>9.598704700389038E-2</v>
      </c>
      <c r="G3268" s="9">
        <f t="shared" si="153"/>
        <v>7.0118687283758727E-3</v>
      </c>
    </row>
    <row r="3269" spans="1:7" x14ac:dyDescent="0.2">
      <c r="A3269" s="12">
        <v>41654</v>
      </c>
      <c r="B3269" s="9">
        <v>651.75</v>
      </c>
      <c r="C3269" s="9">
        <v>648.14</v>
      </c>
      <c r="D3269" s="9">
        <v>649.16</v>
      </c>
      <c r="E3269" s="9">
        <f t="shared" si="154"/>
        <v>5.1274243609210112E-3</v>
      </c>
      <c r="F3269" s="9">
        <f t="shared" si="152"/>
        <v>9.5929633441387691E-2</v>
      </c>
      <c r="G3269" s="9">
        <f t="shared" si="153"/>
        <v>7.0113160073293516E-3</v>
      </c>
    </row>
    <row r="3270" spans="1:7" x14ac:dyDescent="0.2">
      <c r="A3270" s="12">
        <v>41655</v>
      </c>
      <c r="B3270" s="9">
        <v>652.86</v>
      </c>
      <c r="C3270" s="9">
        <v>646.6</v>
      </c>
      <c r="D3270" s="9">
        <v>648.80999999999995</v>
      </c>
      <c r="E3270" s="9">
        <f t="shared" si="154"/>
        <v>-5.3930369497462915E-4</v>
      </c>
      <c r="F3270" s="9">
        <f t="shared" si="152"/>
        <v>7.9110665779724226E-2</v>
      </c>
      <c r="G3270" s="9">
        <f t="shared" si="153"/>
        <v>6.5889003839731232E-3</v>
      </c>
    </row>
    <row r="3271" spans="1:7" x14ac:dyDescent="0.2">
      <c r="A3271" s="12">
        <v>41656</v>
      </c>
      <c r="B3271" s="9">
        <v>651.05999999999995</v>
      </c>
      <c r="C3271" s="9">
        <v>646.42999999999995</v>
      </c>
      <c r="D3271" s="9">
        <v>648.85</v>
      </c>
      <c r="E3271" s="9">
        <f t="shared" si="154"/>
        <v>6.1649430532999163E-5</v>
      </c>
      <c r="F3271" s="9">
        <f t="shared" si="152"/>
        <v>7.5558926769651577E-2</v>
      </c>
      <c r="G3271" s="9">
        <f t="shared" si="153"/>
        <v>6.602646801150692E-3</v>
      </c>
    </row>
    <row r="3272" spans="1:7" x14ac:dyDescent="0.2">
      <c r="A3272" s="12">
        <v>41659</v>
      </c>
      <c r="B3272" s="9">
        <v>650.70000000000005</v>
      </c>
      <c r="C3272" s="9">
        <v>646.27</v>
      </c>
      <c r="D3272" s="9">
        <v>650.23</v>
      </c>
      <c r="E3272" s="9">
        <f t="shared" si="154"/>
        <v>2.124581271503276E-3</v>
      </c>
      <c r="F3272" s="9">
        <f t="shared" si="152"/>
        <v>7.7949487595544542E-2</v>
      </c>
      <c r="G3272" s="9">
        <f t="shared" si="153"/>
        <v>6.5822753787867193E-3</v>
      </c>
    </row>
    <row r="3273" spans="1:7" x14ac:dyDescent="0.2">
      <c r="A3273" s="12">
        <v>41660</v>
      </c>
      <c r="B3273" s="9">
        <v>656.56</v>
      </c>
      <c r="C3273" s="9">
        <v>650.72</v>
      </c>
      <c r="D3273" s="9">
        <v>655.04</v>
      </c>
      <c r="E3273" s="9">
        <f t="shared" si="154"/>
        <v>7.3701560181818667E-3</v>
      </c>
      <c r="F3273" s="9">
        <f t="shared" si="152"/>
        <v>9.0319904044495511E-2</v>
      </c>
      <c r="G3273" s="9">
        <f t="shared" si="153"/>
        <v>6.4764701594295752E-3</v>
      </c>
    </row>
    <row r="3274" spans="1:7" x14ac:dyDescent="0.2">
      <c r="A3274" s="12">
        <v>41661</v>
      </c>
      <c r="B3274" s="9">
        <v>655.33000000000004</v>
      </c>
      <c r="C3274" s="9">
        <v>649.33000000000004</v>
      </c>
      <c r="D3274" s="9">
        <v>651.24</v>
      </c>
      <c r="E3274" s="9">
        <f t="shared" si="154"/>
        <v>-5.8180646096108327E-3</v>
      </c>
      <c r="F3274" s="9">
        <f t="shared" si="152"/>
        <v>9.5946092291021121E-2</v>
      </c>
      <c r="G3274" s="9">
        <f t="shared" si="153"/>
        <v>6.1148265445917652E-3</v>
      </c>
    </row>
    <row r="3275" spans="1:7" x14ac:dyDescent="0.2">
      <c r="A3275" s="12">
        <v>41662</v>
      </c>
      <c r="B3275" s="9">
        <v>655.54</v>
      </c>
      <c r="C3275" s="9">
        <v>647.36</v>
      </c>
      <c r="D3275" s="9">
        <v>647.92999999999995</v>
      </c>
      <c r="E3275" s="9">
        <f t="shared" si="154"/>
        <v>-5.0955720374843564E-3</v>
      </c>
      <c r="F3275" s="9">
        <f t="shared" si="152"/>
        <v>8.9347408191371838E-2</v>
      </c>
      <c r="G3275" s="9">
        <f t="shared" si="153"/>
        <v>6.2939597685455493E-3</v>
      </c>
    </row>
    <row r="3276" spans="1:7" x14ac:dyDescent="0.2">
      <c r="A3276" s="12">
        <v>41663</v>
      </c>
      <c r="B3276" s="9">
        <v>652.29</v>
      </c>
      <c r="C3276" s="9">
        <v>639</v>
      </c>
      <c r="D3276" s="9">
        <v>639.54</v>
      </c>
      <c r="E3276" s="9">
        <f t="shared" si="154"/>
        <v>-1.3033497896729085E-2</v>
      </c>
      <c r="F3276" s="9">
        <f t="shared" si="152"/>
        <v>7.7462151754112488E-2</v>
      </c>
      <c r="G3276" s="9">
        <f t="shared" si="153"/>
        <v>6.906876582506793E-3</v>
      </c>
    </row>
    <row r="3277" spans="1:7" x14ac:dyDescent="0.2">
      <c r="A3277" s="12">
        <v>41666</v>
      </c>
      <c r="B3277" s="9">
        <v>635.45000000000005</v>
      </c>
      <c r="C3277" s="9">
        <v>623.17999999999995</v>
      </c>
      <c r="D3277" s="9">
        <v>624.85</v>
      </c>
      <c r="E3277" s="9">
        <f t="shared" si="154"/>
        <v>-2.3237546997307599E-2</v>
      </c>
      <c r="F3277" s="9">
        <f t="shared" si="152"/>
        <v>5.1878869457943511E-2</v>
      </c>
      <c r="G3277" s="9">
        <f t="shared" si="153"/>
        <v>8.3629384058433384E-3</v>
      </c>
    </row>
    <row r="3278" spans="1:7" x14ac:dyDescent="0.2">
      <c r="A3278" s="12">
        <v>41667</v>
      </c>
      <c r="B3278" s="9">
        <v>630.58000000000004</v>
      </c>
      <c r="C3278" s="9">
        <v>624.41</v>
      </c>
      <c r="D3278" s="9">
        <v>628.72</v>
      </c>
      <c r="E3278" s="9">
        <f t="shared" si="154"/>
        <v>6.1743856261267773E-3</v>
      </c>
      <c r="F3278" s="9">
        <f t="shared" si="152"/>
        <v>6.0179371673913885E-2</v>
      </c>
      <c r="G3278" s="9">
        <f t="shared" si="153"/>
        <v>8.3682928567700241E-3</v>
      </c>
    </row>
    <row r="3279" spans="1:7" x14ac:dyDescent="0.2">
      <c r="A3279" s="12">
        <v>41668</v>
      </c>
      <c r="B3279" s="9">
        <v>637.27</v>
      </c>
      <c r="C3279" s="9">
        <v>620.95000000000005</v>
      </c>
      <c r="D3279" s="9">
        <v>624.16</v>
      </c>
      <c r="E3279" s="9">
        <f t="shared" si="154"/>
        <v>-7.2792607995731786E-3</v>
      </c>
      <c r="F3279" s="9">
        <f t="shared" si="152"/>
        <v>5.1988364479271562E-2</v>
      </c>
      <c r="G3279" s="9">
        <f t="shared" si="153"/>
        <v>8.5371467188121823E-3</v>
      </c>
    </row>
    <row r="3280" spans="1:7" x14ac:dyDescent="0.2">
      <c r="A3280" s="12">
        <v>41669</v>
      </c>
      <c r="B3280" s="9">
        <v>640.74</v>
      </c>
      <c r="C3280" s="9">
        <v>618.14</v>
      </c>
      <c r="D3280" s="9">
        <v>638.76</v>
      </c>
      <c r="E3280" s="9">
        <f t="shared" si="154"/>
        <v>2.3122051214319879E-2</v>
      </c>
      <c r="F3280" s="9">
        <f t="shared" si="152"/>
        <v>8.6482082219851847E-2</v>
      </c>
      <c r="G3280" s="9">
        <f t="shared" si="153"/>
        <v>9.0204858513453813E-3</v>
      </c>
    </row>
    <row r="3281" spans="1:7" x14ac:dyDescent="0.2">
      <c r="A3281" s="12">
        <v>41670</v>
      </c>
      <c r="B3281" s="9">
        <v>647.24</v>
      </c>
      <c r="C3281" s="9">
        <v>641.87</v>
      </c>
      <c r="D3281" s="9">
        <v>647.19000000000005</v>
      </c>
      <c r="E3281" s="9">
        <f t="shared" si="154"/>
        <v>1.3111117477955816E-2</v>
      </c>
      <c r="F3281" s="9">
        <f t="shared" si="152"/>
        <v>0.10184891684417063</v>
      </c>
      <c r="G3281" s="9">
        <f t="shared" si="153"/>
        <v>9.1539525084279125E-3</v>
      </c>
    </row>
    <row r="3282" spans="1:7" x14ac:dyDescent="0.2">
      <c r="A3282" s="12">
        <v>41673</v>
      </c>
      <c r="B3282" s="9">
        <v>656.62</v>
      </c>
      <c r="C3282" s="9">
        <v>646.35</v>
      </c>
      <c r="D3282" s="9">
        <v>647.86</v>
      </c>
      <c r="E3282" s="9">
        <f t="shared" si="154"/>
        <v>1.0347091769064684E-3</v>
      </c>
      <c r="F3282" s="9">
        <f t="shared" si="152"/>
        <v>9.8224000088506527E-2</v>
      </c>
      <c r="G3282" s="9">
        <f t="shared" si="153"/>
        <v>9.1606052744186098E-3</v>
      </c>
    </row>
    <row r="3283" spans="1:7" x14ac:dyDescent="0.2">
      <c r="A3283" s="12">
        <v>41674</v>
      </c>
      <c r="B3283" s="9">
        <v>643.54</v>
      </c>
      <c r="C3283" s="9">
        <v>636.54</v>
      </c>
      <c r="D3283" s="9">
        <v>638.91</v>
      </c>
      <c r="E3283" s="9">
        <f t="shared" si="154"/>
        <v>-1.3911024240014853E-2</v>
      </c>
      <c r="F3283" s="9">
        <f t="shared" si="152"/>
        <v>9.0530647861697122E-2</v>
      </c>
      <c r="G3283" s="9">
        <f t="shared" si="153"/>
        <v>9.5354987043230234E-3</v>
      </c>
    </row>
    <row r="3284" spans="1:7" x14ac:dyDescent="0.2">
      <c r="A3284" s="12">
        <v>41675</v>
      </c>
      <c r="B3284" s="9">
        <v>651.76</v>
      </c>
      <c r="C3284" s="9">
        <v>641.03</v>
      </c>
      <c r="D3284" s="9">
        <v>650.66999999999996</v>
      </c>
      <c r="E3284" s="9">
        <f t="shared" si="154"/>
        <v>1.8239001855111524E-2</v>
      </c>
      <c r="F3284" s="9">
        <f t="shared" si="152"/>
        <v>0.10096957774093575</v>
      </c>
      <c r="G3284" s="9">
        <f t="shared" si="153"/>
        <v>9.8995491867786712E-3</v>
      </c>
    </row>
    <row r="3285" spans="1:7" x14ac:dyDescent="0.2">
      <c r="A3285" s="12">
        <v>41676</v>
      </c>
      <c r="B3285" s="9">
        <v>662.68</v>
      </c>
      <c r="C3285" s="9">
        <v>653.4</v>
      </c>
      <c r="D3285" s="9">
        <v>661.01</v>
      </c>
      <c r="E3285" s="9">
        <f t="shared" si="154"/>
        <v>1.5766367087665718E-2</v>
      </c>
      <c r="F3285" s="9">
        <f t="shared" si="152"/>
        <v>9.8440594481118665E-2</v>
      </c>
      <c r="G3285" s="9">
        <f t="shared" si="153"/>
        <v>9.7780538963435394E-3</v>
      </c>
    </row>
    <row r="3286" spans="1:7" x14ac:dyDescent="0.2">
      <c r="A3286" s="12">
        <v>41677</v>
      </c>
      <c r="B3286" s="9">
        <v>669.77</v>
      </c>
      <c r="C3286" s="9">
        <v>659.51</v>
      </c>
      <c r="D3286" s="9">
        <v>669.3</v>
      </c>
      <c r="E3286" s="9">
        <f t="shared" si="154"/>
        <v>1.2463421776305392E-2</v>
      </c>
      <c r="F3286" s="9">
        <f t="shared" si="152"/>
        <v>0.10014479710568454</v>
      </c>
      <c r="G3286" s="9">
        <f t="shared" si="153"/>
        <v>9.8278192341855735E-3</v>
      </c>
    </row>
    <row r="3287" spans="1:7" x14ac:dyDescent="0.2">
      <c r="A3287" s="12">
        <v>41680</v>
      </c>
      <c r="B3287" s="9">
        <v>674.76</v>
      </c>
      <c r="C3287" s="9">
        <v>669.05</v>
      </c>
      <c r="D3287" s="9">
        <v>673.93</v>
      </c>
      <c r="E3287" s="9">
        <f t="shared" si="154"/>
        <v>6.8938578453744646E-3</v>
      </c>
      <c r="F3287" s="9">
        <f t="shared" si="152"/>
        <v>0.10553694255200809</v>
      </c>
      <c r="G3287" s="9">
        <f t="shared" si="153"/>
        <v>9.8423717531603821E-3</v>
      </c>
    </row>
    <row r="3288" spans="1:7" x14ac:dyDescent="0.2">
      <c r="A3288" s="12">
        <v>41681</v>
      </c>
      <c r="B3288" s="9">
        <v>675.46</v>
      </c>
      <c r="C3288" s="9">
        <v>671.01</v>
      </c>
      <c r="D3288" s="9">
        <v>674.59</v>
      </c>
      <c r="E3288" s="9">
        <f t="shared" si="154"/>
        <v>9.7885096653847563E-4</v>
      </c>
      <c r="F3288" s="9">
        <f t="shared" si="152"/>
        <v>9.570753708712218E-2</v>
      </c>
      <c r="G3288" s="9">
        <f t="shared" si="153"/>
        <v>9.7545268568340997E-3</v>
      </c>
    </row>
    <row r="3289" spans="1:7" x14ac:dyDescent="0.2">
      <c r="A3289" s="12">
        <v>41682</v>
      </c>
      <c r="B3289" s="9">
        <v>678.53</v>
      </c>
      <c r="C3289" s="9">
        <v>671.78</v>
      </c>
      <c r="D3289" s="9">
        <v>676.43</v>
      </c>
      <c r="E3289" s="9">
        <f t="shared" si="154"/>
        <v>2.7238695765438577E-3</v>
      </c>
      <c r="F3289" s="9">
        <f t="shared" si="152"/>
        <v>9.4394022870545005E-2</v>
      </c>
      <c r="G3289" s="9">
        <f t="shared" si="153"/>
        <v>9.7535411773517038E-3</v>
      </c>
    </row>
    <row r="3290" spans="1:7" x14ac:dyDescent="0.2">
      <c r="A3290" s="12">
        <v>41683</v>
      </c>
      <c r="B3290" s="9">
        <v>679.53</v>
      </c>
      <c r="C3290" s="9">
        <v>673.7</v>
      </c>
      <c r="D3290" s="9">
        <v>679.37</v>
      </c>
      <c r="E3290" s="9">
        <f t="shared" si="154"/>
        <v>4.3369296477259742E-3</v>
      </c>
      <c r="F3290" s="9">
        <f t="shared" si="152"/>
        <v>9.1381906055685816E-2</v>
      </c>
      <c r="G3290" s="9">
        <f t="shared" si="153"/>
        <v>9.7242471580854875E-3</v>
      </c>
    </row>
    <row r="3291" spans="1:7" x14ac:dyDescent="0.2">
      <c r="A3291" s="12">
        <v>41684</v>
      </c>
      <c r="B3291" s="9">
        <v>686.21</v>
      </c>
      <c r="C3291" s="9">
        <v>680.68</v>
      </c>
      <c r="D3291" s="9">
        <v>683.9</v>
      </c>
      <c r="E3291" s="9">
        <f t="shared" si="154"/>
        <v>6.6458099612709143E-3</v>
      </c>
      <c r="F3291" s="9">
        <f t="shared" si="152"/>
        <v>8.5908687245172713E-2</v>
      </c>
      <c r="G3291" s="9">
        <f t="shared" si="153"/>
        <v>9.5986878406957923E-3</v>
      </c>
    </row>
    <row r="3292" spans="1:7" x14ac:dyDescent="0.2">
      <c r="A3292" s="12">
        <v>41687</v>
      </c>
      <c r="B3292" s="9">
        <v>688.34</v>
      </c>
      <c r="C3292" s="9">
        <v>684.22</v>
      </c>
      <c r="D3292" s="9">
        <v>685.7</v>
      </c>
      <c r="E3292" s="9">
        <f t="shared" si="154"/>
        <v>2.6285061862684964E-3</v>
      </c>
      <c r="F3292" s="9">
        <f t="shared" si="152"/>
        <v>8.5593792078050401E-2</v>
      </c>
      <c r="G3292" s="9">
        <f t="shared" si="153"/>
        <v>9.5987697660083384E-3</v>
      </c>
    </row>
    <row r="3293" spans="1:7" x14ac:dyDescent="0.2">
      <c r="A3293" s="12">
        <v>41688</v>
      </c>
      <c r="B3293" s="9">
        <v>687.41</v>
      </c>
      <c r="C3293" s="9">
        <v>677.58</v>
      </c>
      <c r="D3293" s="9">
        <v>684.78</v>
      </c>
      <c r="E3293" s="9">
        <f t="shared" si="154"/>
        <v>-1.3425954967551939E-3</v>
      </c>
      <c r="F3293" s="9">
        <f t="shared" si="152"/>
        <v>7.2971812520096879E-2</v>
      </c>
      <c r="G3293" s="9">
        <f t="shared" si="153"/>
        <v>9.4927319471628056E-3</v>
      </c>
    </row>
    <row r="3294" spans="1:7" x14ac:dyDescent="0.2">
      <c r="A3294" s="12">
        <v>41689</v>
      </c>
      <c r="B3294" s="9">
        <v>691.61</v>
      </c>
      <c r="C3294" s="9">
        <v>686.01</v>
      </c>
      <c r="D3294" s="9">
        <v>690.99</v>
      </c>
      <c r="E3294" s="9">
        <f t="shared" si="154"/>
        <v>9.0277330893602323E-3</v>
      </c>
      <c r="F3294" s="9">
        <f t="shared" si="152"/>
        <v>7.804876834550184E-2</v>
      </c>
      <c r="G3294" s="9">
        <f t="shared" si="153"/>
        <v>9.5657086270972587E-3</v>
      </c>
    </row>
    <row r="3295" spans="1:7" x14ac:dyDescent="0.2">
      <c r="A3295" s="12">
        <v>41690</v>
      </c>
      <c r="B3295" s="9">
        <v>689.66</v>
      </c>
      <c r="C3295" s="9">
        <v>683.77</v>
      </c>
      <c r="D3295" s="9">
        <v>689.66</v>
      </c>
      <c r="E3295" s="9">
        <f t="shared" si="154"/>
        <v>-1.926629357769677E-3</v>
      </c>
      <c r="F3295" s="9">
        <f t="shared" si="152"/>
        <v>7.1968738475721897E-2</v>
      </c>
      <c r="G3295" s="9">
        <f t="shared" si="153"/>
        <v>9.5960579674077597E-3</v>
      </c>
    </row>
    <row r="3296" spans="1:7" x14ac:dyDescent="0.2">
      <c r="A3296" s="12">
        <v>41691</v>
      </c>
      <c r="B3296" s="9">
        <v>695.94</v>
      </c>
      <c r="C3296" s="9">
        <v>692.26</v>
      </c>
      <c r="D3296" s="9">
        <v>695.85</v>
      </c>
      <c r="E3296" s="9">
        <f t="shared" si="154"/>
        <v>8.9353973407083793E-3</v>
      </c>
      <c r="F3296" s="9">
        <f t="shared" si="152"/>
        <v>7.436557631484543E-2</v>
      </c>
      <c r="G3296" s="9">
        <f t="shared" si="153"/>
        <v>9.6415815904976679E-3</v>
      </c>
    </row>
    <row r="3297" spans="1:7" x14ac:dyDescent="0.2">
      <c r="A3297" s="12">
        <v>41694</v>
      </c>
      <c r="B3297" s="9">
        <v>704.63</v>
      </c>
      <c r="C3297" s="9">
        <v>695.53</v>
      </c>
      <c r="D3297" s="9">
        <v>704.63</v>
      </c>
      <c r="E3297" s="9">
        <f t="shared" si="154"/>
        <v>1.2538722483735745E-2</v>
      </c>
      <c r="F3297" s="9">
        <f t="shared" ref="F3297:F3360" si="155">LN(D3297/D3267)</f>
        <v>8.5666636584217498E-2</v>
      </c>
      <c r="G3297" s="9">
        <f t="shared" si="153"/>
        <v>9.8107015269697593E-3</v>
      </c>
    </row>
    <row r="3298" spans="1:7" x14ac:dyDescent="0.2">
      <c r="A3298" s="12">
        <v>41695</v>
      </c>
      <c r="B3298" s="9">
        <v>724.73</v>
      </c>
      <c r="C3298" s="9">
        <v>707.77</v>
      </c>
      <c r="D3298" s="9">
        <v>724.61</v>
      </c>
      <c r="E3298" s="9">
        <f t="shared" si="154"/>
        <v>2.7960736733787007E-2</v>
      </c>
      <c r="F3298" s="9">
        <f t="shared" si="155"/>
        <v>0.11508178399662515</v>
      </c>
      <c r="G3298" s="9">
        <f t="shared" si="153"/>
        <v>1.0786483790877341E-2</v>
      </c>
    </row>
    <row r="3299" spans="1:7" x14ac:dyDescent="0.2">
      <c r="A3299" s="12">
        <v>41696</v>
      </c>
      <c r="B3299" s="9">
        <v>729.82</v>
      </c>
      <c r="C3299" s="9">
        <v>713.86</v>
      </c>
      <c r="D3299" s="9">
        <v>718.33</v>
      </c>
      <c r="E3299" s="9">
        <f t="shared" si="154"/>
        <v>-8.7045055956429442E-3</v>
      </c>
      <c r="F3299" s="9">
        <f t="shared" si="155"/>
        <v>0.10124985404006114</v>
      </c>
      <c r="G3299" s="9">
        <f t="shared" si="153"/>
        <v>1.1022421480937615E-2</v>
      </c>
    </row>
    <row r="3300" spans="1:7" x14ac:dyDescent="0.2">
      <c r="A3300" s="12">
        <v>41697</v>
      </c>
      <c r="B3300" s="9">
        <v>722.98</v>
      </c>
      <c r="C3300" s="9">
        <v>708.9</v>
      </c>
      <c r="D3300" s="9">
        <v>713.87</v>
      </c>
      <c r="E3300" s="9">
        <f t="shared" si="154"/>
        <v>-6.2282005545592628E-3</v>
      </c>
      <c r="F3300" s="9">
        <f t="shared" si="155"/>
        <v>9.5560957180476483E-2</v>
      </c>
      <c r="G3300" s="9">
        <f t="shared" si="153"/>
        <v>1.1140389906817179E-2</v>
      </c>
    </row>
    <row r="3301" spans="1:7" x14ac:dyDescent="0.2">
      <c r="A3301" s="12">
        <v>41698</v>
      </c>
      <c r="B3301" s="9">
        <v>721.35</v>
      </c>
      <c r="C3301" s="9">
        <v>711.8</v>
      </c>
      <c r="D3301" s="9">
        <v>719.51</v>
      </c>
      <c r="E3301" s="9">
        <f t="shared" si="154"/>
        <v>7.8695518383089039E-3</v>
      </c>
      <c r="F3301" s="9">
        <f t="shared" si="155"/>
        <v>0.10336885958825234</v>
      </c>
      <c r="G3301" s="9">
        <f t="shared" si="153"/>
        <v>1.1156090378257268E-2</v>
      </c>
    </row>
    <row r="3302" spans="1:7" x14ac:dyDescent="0.2">
      <c r="A3302" s="12">
        <v>41701</v>
      </c>
      <c r="B3302" s="9">
        <v>710.05</v>
      </c>
      <c r="C3302" s="9">
        <v>700.37</v>
      </c>
      <c r="D3302" s="9">
        <v>702.16</v>
      </c>
      <c r="E3302" s="9">
        <f t="shared" si="154"/>
        <v>-2.4409126487629815E-2</v>
      </c>
      <c r="F3302" s="9">
        <f t="shared" si="155"/>
        <v>7.6835151829119278E-2</v>
      </c>
      <c r="G3302" s="9">
        <f t="shared" si="153"/>
        <v>1.226147108162901E-2</v>
      </c>
    </row>
    <row r="3303" spans="1:7" x14ac:dyDescent="0.2">
      <c r="A3303" s="12">
        <v>41702</v>
      </c>
      <c r="B3303" s="9">
        <v>719.9</v>
      </c>
      <c r="C3303" s="9">
        <v>707.56</v>
      </c>
      <c r="D3303" s="9">
        <v>719.49</v>
      </c>
      <c r="E3303" s="9">
        <f t="shared" si="154"/>
        <v>2.4381329406321574E-2</v>
      </c>
      <c r="F3303" s="9">
        <f t="shared" si="155"/>
        <v>9.3846325217259122E-2</v>
      </c>
      <c r="G3303" s="9">
        <f t="shared" ref="G3303:G3366" si="156">STDEV(E3274:E3303)</f>
        <v>1.2869790167931505E-2</v>
      </c>
    </row>
    <row r="3304" spans="1:7" x14ac:dyDescent="0.2">
      <c r="A3304" s="12">
        <v>41703</v>
      </c>
      <c r="B3304" s="9">
        <v>721.36</v>
      </c>
      <c r="C3304" s="9">
        <v>716</v>
      </c>
      <c r="D3304" s="9">
        <v>720.09</v>
      </c>
      <c r="E3304" s="9">
        <f t="shared" si="154"/>
        <v>8.3357650806838266E-4</v>
      </c>
      <c r="F3304" s="9">
        <f t="shared" si="155"/>
        <v>0.10049796633493829</v>
      </c>
      <c r="G3304" s="9">
        <f t="shared" si="156"/>
        <v>1.2767237382882152E-2</v>
      </c>
    </row>
    <row r="3305" spans="1:7" x14ac:dyDescent="0.2">
      <c r="A3305" s="12">
        <v>41704</v>
      </c>
      <c r="B3305" s="9">
        <v>723.88</v>
      </c>
      <c r="C3305" s="9">
        <v>718.37</v>
      </c>
      <c r="D3305" s="9">
        <v>718.43</v>
      </c>
      <c r="E3305" s="9">
        <f t="shared" si="154"/>
        <v>-2.3079286166855727E-3</v>
      </c>
      <c r="F3305" s="9">
        <f t="shared" si="155"/>
        <v>0.10328560975573702</v>
      </c>
      <c r="G3305" s="9">
        <f t="shared" si="156"/>
        <v>1.2713682524401691E-2</v>
      </c>
    </row>
    <row r="3306" spans="1:7" x14ac:dyDescent="0.2">
      <c r="A3306" s="12">
        <v>41705</v>
      </c>
      <c r="B3306" s="9">
        <v>717.37</v>
      </c>
      <c r="C3306" s="9">
        <v>711.73</v>
      </c>
      <c r="D3306" s="9">
        <v>712.19</v>
      </c>
      <c r="E3306" s="9">
        <f t="shared" si="154"/>
        <v>-8.7235458361839685E-3</v>
      </c>
      <c r="F3306" s="9">
        <f t="shared" si="155"/>
        <v>0.10759556181628216</v>
      </c>
      <c r="G3306" s="9">
        <f t="shared" si="156"/>
        <v>1.2544302049193712E-2</v>
      </c>
    </row>
    <row r="3307" spans="1:7" x14ac:dyDescent="0.2">
      <c r="A3307" s="12">
        <v>41708</v>
      </c>
      <c r="B3307" s="9">
        <v>713.11</v>
      </c>
      <c r="C3307" s="9">
        <v>704.29</v>
      </c>
      <c r="D3307" s="9">
        <v>704.81</v>
      </c>
      <c r="E3307" s="9">
        <f t="shared" si="154"/>
        <v>-1.0416466801820087E-2</v>
      </c>
      <c r="F3307" s="9">
        <f t="shared" si="155"/>
        <v>0.12041664201176971</v>
      </c>
      <c r="G3307" s="9">
        <f t="shared" si="156"/>
        <v>1.1794942908596473E-2</v>
      </c>
    </row>
    <row r="3308" spans="1:7" x14ac:dyDescent="0.2">
      <c r="A3308" s="12">
        <v>41709</v>
      </c>
      <c r="B3308" s="9">
        <v>707.54</v>
      </c>
      <c r="C3308" s="9">
        <v>702.61</v>
      </c>
      <c r="D3308" s="9">
        <v>705.52</v>
      </c>
      <c r="E3308" s="9">
        <f t="shared" si="154"/>
        <v>1.0068566363629593E-3</v>
      </c>
      <c r="F3308" s="9">
        <f t="shared" si="155"/>
        <v>0.11524911302200572</v>
      </c>
      <c r="G3308" s="9">
        <f t="shared" si="156"/>
        <v>1.1800035132552771E-2</v>
      </c>
    </row>
    <row r="3309" spans="1:7" x14ac:dyDescent="0.2">
      <c r="A3309" s="12">
        <v>41710</v>
      </c>
      <c r="B3309" s="9">
        <v>702.55</v>
      </c>
      <c r="C3309" s="9">
        <v>692.24</v>
      </c>
      <c r="D3309" s="9">
        <v>694.62</v>
      </c>
      <c r="E3309" s="9">
        <f t="shared" si="154"/>
        <v>-1.5570186134233282E-2</v>
      </c>
      <c r="F3309" s="9">
        <f t="shared" si="155"/>
        <v>0.10695818768734573</v>
      </c>
      <c r="G3309" s="9">
        <f t="shared" si="156"/>
        <v>1.2161041869482614E-2</v>
      </c>
    </row>
    <row r="3310" spans="1:7" x14ac:dyDescent="0.2">
      <c r="A3310" s="12">
        <v>41711</v>
      </c>
      <c r="B3310" s="9">
        <v>701.16</v>
      </c>
      <c r="C3310" s="9">
        <v>692.14</v>
      </c>
      <c r="D3310" s="9">
        <v>693.11</v>
      </c>
      <c r="E3310" s="9">
        <f t="shared" si="154"/>
        <v>-2.1762166933573528E-3</v>
      </c>
      <c r="F3310" s="9">
        <f t="shared" si="155"/>
        <v>8.1659919779668411E-2</v>
      </c>
      <c r="G3310" s="9">
        <f t="shared" si="156"/>
        <v>1.1623402307846416E-2</v>
      </c>
    </row>
    <row r="3311" spans="1:7" x14ac:dyDescent="0.2">
      <c r="A3311" s="12">
        <v>41712</v>
      </c>
      <c r="B3311" s="9">
        <v>687.62</v>
      </c>
      <c r="C3311" s="9">
        <v>677.01</v>
      </c>
      <c r="D3311" s="9">
        <v>681.01</v>
      </c>
      <c r="E3311" s="9">
        <f t="shared" si="154"/>
        <v>-1.7611726422823385E-2</v>
      </c>
      <c r="F3311" s="9">
        <f t="shared" si="155"/>
        <v>5.0937075878889071E-2</v>
      </c>
      <c r="G3311" s="9">
        <f t="shared" si="156"/>
        <v>1.2023058814533265E-2</v>
      </c>
    </row>
    <row r="3312" spans="1:7" x14ac:dyDescent="0.2">
      <c r="A3312" s="12">
        <v>41715</v>
      </c>
      <c r="B3312" s="9">
        <v>688.35</v>
      </c>
      <c r="C3312" s="9">
        <v>679.51</v>
      </c>
      <c r="D3312" s="9">
        <v>686.12</v>
      </c>
      <c r="E3312" s="9">
        <f t="shared" si="154"/>
        <v>7.4755492121130231E-3</v>
      </c>
      <c r="F3312" s="9">
        <f t="shared" si="155"/>
        <v>5.737791591409562E-2</v>
      </c>
      <c r="G3312" s="9">
        <f t="shared" si="156"/>
        <v>1.2068229759380752E-2</v>
      </c>
    </row>
    <row r="3313" spans="1:7" x14ac:dyDescent="0.2">
      <c r="A3313" s="12">
        <v>41716</v>
      </c>
      <c r="B3313" s="9">
        <v>694.23</v>
      </c>
      <c r="C3313" s="9">
        <v>686.1</v>
      </c>
      <c r="D3313" s="9">
        <v>693.48</v>
      </c>
      <c r="E3313" s="9">
        <f t="shared" si="154"/>
        <v>1.0669860576062631E-2</v>
      </c>
      <c r="F3313" s="9">
        <f t="shared" si="155"/>
        <v>8.1958800730173004E-2</v>
      </c>
      <c r="G3313" s="9">
        <f t="shared" si="156"/>
        <v>1.1788049061267233E-2</v>
      </c>
    </row>
    <row r="3314" spans="1:7" x14ac:dyDescent="0.2">
      <c r="A3314" s="12">
        <v>41717</v>
      </c>
      <c r="B3314" s="9">
        <v>699.09</v>
      </c>
      <c r="C3314" s="9">
        <v>690.36</v>
      </c>
      <c r="D3314" s="9">
        <v>690.39</v>
      </c>
      <c r="E3314" s="9">
        <f t="shared" si="154"/>
        <v>-4.4657448102626406E-3</v>
      </c>
      <c r="F3314" s="9">
        <f t="shared" si="155"/>
        <v>5.9254054064798917E-2</v>
      </c>
      <c r="G3314" s="9">
        <f t="shared" si="156"/>
        <v>1.1483030974724346E-2</v>
      </c>
    </row>
    <row r="3315" spans="1:7" x14ac:dyDescent="0.2">
      <c r="A3315" s="12">
        <v>41718</v>
      </c>
      <c r="B3315" s="9">
        <v>694.03</v>
      </c>
      <c r="C3315" s="9">
        <v>683.98</v>
      </c>
      <c r="D3315" s="9">
        <v>686.72</v>
      </c>
      <c r="E3315" s="9">
        <f t="shared" si="154"/>
        <v>-5.3300153051452689E-3</v>
      </c>
      <c r="F3315" s="9">
        <f t="shared" si="155"/>
        <v>3.8157671671987983E-2</v>
      </c>
      <c r="G3315" s="9">
        <f t="shared" si="156"/>
        <v>1.1253002526264743E-2</v>
      </c>
    </row>
    <row r="3316" spans="1:7" x14ac:dyDescent="0.2">
      <c r="A3316" s="12">
        <v>41719</v>
      </c>
      <c r="B3316" s="9">
        <v>686.1</v>
      </c>
      <c r="C3316" s="9">
        <v>679.61</v>
      </c>
      <c r="D3316" s="9">
        <v>679.74</v>
      </c>
      <c r="E3316" s="9">
        <f t="shared" si="154"/>
        <v>-1.0216267888826821E-2</v>
      </c>
      <c r="F3316" s="9">
        <f t="shared" si="155"/>
        <v>1.5477982006855679E-2</v>
      </c>
      <c r="G3316" s="9">
        <f t="shared" si="156"/>
        <v>1.1237031078593659E-2</v>
      </c>
    </row>
    <row r="3317" spans="1:7" x14ac:dyDescent="0.2">
      <c r="A3317" s="12">
        <v>41722</v>
      </c>
      <c r="B3317" s="9">
        <v>683.34</v>
      </c>
      <c r="C3317" s="9">
        <v>674.6</v>
      </c>
      <c r="D3317" s="9">
        <v>675.34</v>
      </c>
      <c r="E3317" s="9">
        <f t="shared" si="154"/>
        <v>-6.4941043533457898E-3</v>
      </c>
      <c r="F3317" s="9">
        <f t="shared" si="155"/>
        <v>2.0900198081354473E-3</v>
      </c>
      <c r="G3317" s="9">
        <f t="shared" si="156"/>
        <v>1.1240848021774878E-2</v>
      </c>
    </row>
    <row r="3318" spans="1:7" x14ac:dyDescent="0.2">
      <c r="A3318" s="12">
        <v>41723</v>
      </c>
      <c r="B3318" s="9">
        <v>682.71</v>
      </c>
      <c r="C3318" s="9">
        <v>674.2</v>
      </c>
      <c r="D3318" s="9">
        <v>677.22</v>
      </c>
      <c r="E3318" s="9">
        <f t="shared" si="154"/>
        <v>2.7799154354835633E-3</v>
      </c>
      <c r="F3318" s="9">
        <f t="shared" si="155"/>
        <v>3.8910842770806422E-3</v>
      </c>
      <c r="G3318" s="9">
        <f t="shared" si="156"/>
        <v>1.1250676554914654E-2</v>
      </c>
    </row>
    <row r="3319" spans="1:7" x14ac:dyDescent="0.2">
      <c r="A3319" s="12">
        <v>41724</v>
      </c>
      <c r="B3319" s="9">
        <v>683.17</v>
      </c>
      <c r="C3319" s="9">
        <v>678.58</v>
      </c>
      <c r="D3319" s="9">
        <v>682.43</v>
      </c>
      <c r="E3319" s="9">
        <f t="shared" si="154"/>
        <v>7.6637745009035018E-3</v>
      </c>
      <c r="F3319" s="9">
        <f t="shared" si="155"/>
        <v>8.8309892014401589E-3</v>
      </c>
      <c r="G3319" s="9">
        <f t="shared" si="156"/>
        <v>1.1325852450786187E-2</v>
      </c>
    </row>
    <row r="3320" spans="1:7" x14ac:dyDescent="0.2">
      <c r="A3320" s="12">
        <v>41725</v>
      </c>
      <c r="B3320" s="9">
        <v>688.16</v>
      </c>
      <c r="C3320" s="9">
        <v>680.8</v>
      </c>
      <c r="D3320" s="9">
        <v>687.11</v>
      </c>
      <c r="E3320" s="9">
        <f t="shared" si="154"/>
        <v>6.8344381569117535E-3</v>
      </c>
      <c r="F3320" s="9">
        <f t="shared" si="155"/>
        <v>1.1328497710625671E-2</v>
      </c>
      <c r="G3320" s="9">
        <f t="shared" si="156"/>
        <v>1.1365700642147232E-2</v>
      </c>
    </row>
    <row r="3321" spans="1:7" x14ac:dyDescent="0.2">
      <c r="A3321" s="12">
        <v>41726</v>
      </c>
      <c r="B3321" s="9">
        <v>698.24</v>
      </c>
      <c r="C3321" s="9">
        <v>691.16</v>
      </c>
      <c r="D3321" s="9">
        <v>696.39</v>
      </c>
      <c r="E3321" s="9">
        <f t="shared" si="154"/>
        <v>1.3415452374060076E-2</v>
      </c>
      <c r="F3321" s="9">
        <f t="shared" si="155"/>
        <v>1.809814012341477E-2</v>
      </c>
      <c r="G3321" s="9">
        <f t="shared" si="156"/>
        <v>1.1559982539900584E-2</v>
      </c>
    </row>
    <row r="3322" spans="1:7" x14ac:dyDescent="0.2">
      <c r="A3322" s="12">
        <v>41729</v>
      </c>
      <c r="B3322" s="9">
        <v>703.28</v>
      </c>
      <c r="C3322" s="9">
        <v>698.71</v>
      </c>
      <c r="D3322" s="9">
        <v>702.4</v>
      </c>
      <c r="E3322" s="9">
        <f t="shared" si="154"/>
        <v>8.5931940934416522E-3</v>
      </c>
      <c r="F3322" s="9">
        <f t="shared" si="155"/>
        <v>2.4062828030588113E-2</v>
      </c>
      <c r="G3322" s="9">
        <f t="shared" si="156"/>
        <v>1.1646982835714767E-2</v>
      </c>
    </row>
    <row r="3323" spans="1:7" x14ac:dyDescent="0.2">
      <c r="A3323" s="12">
        <v>41730</v>
      </c>
      <c r="B3323" s="9">
        <v>704.85</v>
      </c>
      <c r="C3323" s="9">
        <v>700.41</v>
      </c>
      <c r="D3323" s="9">
        <v>702.86</v>
      </c>
      <c r="E3323" s="9">
        <f t="shared" si="154"/>
        <v>6.546831425217523E-4</v>
      </c>
      <c r="F3323" s="9">
        <f t="shared" si="155"/>
        <v>2.6060106669865087E-2</v>
      </c>
      <c r="G3323" s="9">
        <f t="shared" si="156"/>
        <v>1.164000700795147E-2</v>
      </c>
    </row>
    <row r="3324" spans="1:7" x14ac:dyDescent="0.2">
      <c r="A3324" s="12">
        <v>41731</v>
      </c>
      <c r="B3324" s="9">
        <v>708.32</v>
      </c>
      <c r="C3324" s="9">
        <v>701.56</v>
      </c>
      <c r="D3324" s="9">
        <v>707.53</v>
      </c>
      <c r="E3324" s="9">
        <f t="shared" si="154"/>
        <v>6.6223059818447203E-3</v>
      </c>
      <c r="F3324" s="9">
        <f t="shared" si="155"/>
        <v>2.3654679562349568E-2</v>
      </c>
      <c r="G3324" s="9">
        <f t="shared" si="156"/>
        <v>1.1590043705067167E-2</v>
      </c>
    </row>
    <row r="3325" spans="1:7" x14ac:dyDescent="0.2">
      <c r="A3325" s="12">
        <v>41732</v>
      </c>
      <c r="B3325" s="9">
        <v>708.57</v>
      </c>
      <c r="C3325" s="9">
        <v>704.83</v>
      </c>
      <c r="D3325" s="9">
        <v>706.24</v>
      </c>
      <c r="E3325" s="9">
        <f t="shared" si="154"/>
        <v>-1.8249083769016799E-3</v>
      </c>
      <c r="F3325" s="9">
        <f t="shared" si="155"/>
        <v>2.3756400543217478E-2</v>
      </c>
      <c r="G3325" s="9">
        <f t="shared" si="156"/>
        <v>1.1589236850687161E-2</v>
      </c>
    </row>
    <row r="3326" spans="1:7" x14ac:dyDescent="0.2">
      <c r="A3326" s="12">
        <v>41733</v>
      </c>
      <c r="B3326" s="9">
        <v>708.75</v>
      </c>
      <c r="C3326" s="9">
        <v>704.08</v>
      </c>
      <c r="D3326" s="9">
        <v>707.29</v>
      </c>
      <c r="E3326" s="9">
        <f t="shared" si="154"/>
        <v>1.4856426013232064E-3</v>
      </c>
      <c r="F3326" s="9">
        <f t="shared" si="155"/>
        <v>1.6306645803832405E-2</v>
      </c>
      <c r="G3326" s="9">
        <f t="shared" si="156"/>
        <v>1.1488099364536167E-2</v>
      </c>
    </row>
    <row r="3327" spans="1:7" x14ac:dyDescent="0.2">
      <c r="A3327" s="12">
        <v>41736</v>
      </c>
      <c r="B3327" s="9">
        <v>701.11</v>
      </c>
      <c r="C3327" s="9">
        <v>694.53</v>
      </c>
      <c r="D3327" s="9">
        <v>695.86</v>
      </c>
      <c r="E3327" s="9">
        <f t="shared" si="154"/>
        <v>-1.6292274993821382E-2</v>
      </c>
      <c r="F3327" s="9">
        <f t="shared" si="155"/>
        <v>-1.2524351673724706E-2</v>
      </c>
      <c r="G3327" s="9">
        <f t="shared" si="156"/>
        <v>1.1654760691698232E-2</v>
      </c>
    </row>
    <row r="3328" spans="1:7" x14ac:dyDescent="0.2">
      <c r="A3328" s="12">
        <v>41737</v>
      </c>
      <c r="B3328" s="9">
        <v>698.88</v>
      </c>
      <c r="C3328" s="9">
        <v>683.68</v>
      </c>
      <c r="D3328" s="9">
        <v>686.28</v>
      </c>
      <c r="E3328" s="9">
        <f t="shared" si="154"/>
        <v>-1.3862782960648285E-2</v>
      </c>
      <c r="F3328" s="9">
        <f t="shared" si="155"/>
        <v>-5.4347871368160064E-2</v>
      </c>
      <c r="G3328" s="9">
        <f t="shared" si="156"/>
        <v>1.0596544955427804E-2</v>
      </c>
    </row>
    <row r="3329" spans="1:7" x14ac:dyDescent="0.2">
      <c r="A3329" s="12">
        <v>41738</v>
      </c>
      <c r="B3329" s="9">
        <v>696.66</v>
      </c>
      <c r="C3329" s="9">
        <v>690.46</v>
      </c>
      <c r="D3329" s="9">
        <v>694.5</v>
      </c>
      <c r="E3329" s="9">
        <f t="shared" si="154"/>
        <v>1.1906454479173394E-2</v>
      </c>
      <c r="F3329" s="9">
        <f t="shared" si="155"/>
        <v>-3.3736911293343864E-2</v>
      </c>
      <c r="G3329" s="9">
        <f t="shared" si="156"/>
        <v>1.080042861537878E-2</v>
      </c>
    </row>
    <row r="3330" spans="1:7" x14ac:dyDescent="0.2">
      <c r="A3330" s="12">
        <v>41739</v>
      </c>
      <c r="B3330" s="9">
        <v>699.51</v>
      </c>
      <c r="C3330" s="9">
        <v>688.03</v>
      </c>
      <c r="D3330" s="9">
        <v>688.04</v>
      </c>
      <c r="E3330" s="9">
        <f t="shared" si="154"/>
        <v>-9.3451864162083526E-3</v>
      </c>
      <c r="F3330" s="9">
        <f t="shared" si="155"/>
        <v>-3.6853897154992946E-2</v>
      </c>
      <c r="G3330" s="9">
        <f t="shared" si="156"/>
        <v>1.0866011807271115E-2</v>
      </c>
    </row>
    <row r="3331" spans="1:7" x14ac:dyDescent="0.2">
      <c r="A3331" s="12">
        <v>41740</v>
      </c>
      <c r="B3331" s="9">
        <v>683.32</v>
      </c>
      <c r="C3331" s="9">
        <v>671.35</v>
      </c>
      <c r="D3331" s="9">
        <v>679.26</v>
      </c>
      <c r="E3331" s="9">
        <f t="shared" si="154"/>
        <v>-1.2843005460117032E-2</v>
      </c>
      <c r="F3331" s="9">
        <f t="shared" si="155"/>
        <v>-5.7566454453418903E-2</v>
      </c>
      <c r="G3331" s="9">
        <f t="shared" si="156"/>
        <v>1.0925862301058069E-2</v>
      </c>
    </row>
    <row r="3332" spans="1:7" x14ac:dyDescent="0.2">
      <c r="A3332" s="12">
        <v>41743</v>
      </c>
      <c r="B3332" s="9">
        <v>673.49</v>
      </c>
      <c r="C3332" s="9">
        <v>661.2</v>
      </c>
      <c r="D3332" s="9">
        <v>673.35</v>
      </c>
      <c r="E3332" s="9">
        <f t="shared" ref="E3332:E3395" si="157">LN(D3332/D3331)</f>
        <v>-8.7387164220221573E-3</v>
      </c>
      <c r="F3332" s="9">
        <f t="shared" si="155"/>
        <v>-4.1896044387811318E-2</v>
      </c>
      <c r="G3332" s="9">
        <f t="shared" si="156"/>
        <v>1.0161409742244941E-2</v>
      </c>
    </row>
    <row r="3333" spans="1:7" x14ac:dyDescent="0.2">
      <c r="A3333" s="12">
        <v>41744</v>
      </c>
      <c r="B3333" s="9">
        <v>682.51</v>
      </c>
      <c r="C3333" s="9">
        <v>669.13</v>
      </c>
      <c r="D3333" s="9">
        <v>669.13</v>
      </c>
      <c r="E3333" s="9">
        <f t="shared" si="157"/>
        <v>-6.2868927650663268E-3</v>
      </c>
      <c r="F3333" s="9">
        <f t="shared" si="155"/>
        <v>-7.2564266559199217E-2</v>
      </c>
      <c r="G3333" s="9">
        <f t="shared" si="156"/>
        <v>8.9489725462377056E-3</v>
      </c>
    </row>
    <row r="3334" spans="1:7" x14ac:dyDescent="0.2">
      <c r="A3334" s="12">
        <v>41745</v>
      </c>
      <c r="B3334" s="9">
        <v>683</v>
      </c>
      <c r="C3334" s="9">
        <v>673.74</v>
      </c>
      <c r="D3334" s="9">
        <v>681.95</v>
      </c>
      <c r="E3334" s="9">
        <f t="shared" si="157"/>
        <v>1.8977980241899735E-2</v>
      </c>
      <c r="F3334" s="9">
        <f t="shared" si="155"/>
        <v>-5.4419862825367864E-2</v>
      </c>
      <c r="G3334" s="9">
        <f t="shared" si="156"/>
        <v>9.7533544609930013E-3</v>
      </c>
    </row>
    <row r="3335" spans="1:7" x14ac:dyDescent="0.2">
      <c r="A3335" s="12">
        <v>41751</v>
      </c>
      <c r="B3335" s="9">
        <v>702.46</v>
      </c>
      <c r="C3335" s="9">
        <v>691.61</v>
      </c>
      <c r="D3335" s="9">
        <v>702.3</v>
      </c>
      <c r="E3335" s="9">
        <f t="shared" si="157"/>
        <v>2.9404321792090508E-2</v>
      </c>
      <c r="F3335" s="9">
        <f t="shared" si="155"/>
        <v>-2.2707612416591656E-2</v>
      </c>
      <c r="G3335" s="9">
        <f t="shared" si="156"/>
        <v>1.1294684295181556E-2</v>
      </c>
    </row>
    <row r="3336" spans="1:7" x14ac:dyDescent="0.2">
      <c r="A3336" s="12">
        <v>41752</v>
      </c>
      <c r="B3336" s="9">
        <v>704.4</v>
      </c>
      <c r="C3336" s="9">
        <v>698.49</v>
      </c>
      <c r="D3336" s="9">
        <v>700.79</v>
      </c>
      <c r="E3336" s="9">
        <f t="shared" si="157"/>
        <v>-2.1523930509946896E-3</v>
      </c>
      <c r="F3336" s="9">
        <f t="shared" si="155"/>
        <v>-1.6136459631402512E-2</v>
      </c>
      <c r="G3336" s="9">
        <f t="shared" si="156"/>
        <v>1.1198164558355574E-2</v>
      </c>
    </row>
    <row r="3337" spans="1:7" x14ac:dyDescent="0.2">
      <c r="A3337" s="12">
        <v>41753</v>
      </c>
      <c r="B3337" s="9">
        <v>707.84</v>
      </c>
      <c r="C3337" s="9">
        <v>695.81</v>
      </c>
      <c r="D3337" s="9">
        <v>698.35</v>
      </c>
      <c r="E3337" s="9">
        <f t="shared" si="157"/>
        <v>-3.4878603621995912E-3</v>
      </c>
      <c r="F3337" s="9">
        <f t="shared" si="155"/>
        <v>-9.2078531917819846E-3</v>
      </c>
      <c r="G3337" s="9">
        <f t="shared" si="156"/>
        <v>1.105797191457899E-2</v>
      </c>
    </row>
    <row r="3338" spans="1:7" x14ac:dyDescent="0.2">
      <c r="A3338" s="12">
        <v>41754</v>
      </c>
      <c r="B3338" s="9">
        <v>700.76</v>
      </c>
      <c r="C3338" s="9">
        <v>693.85</v>
      </c>
      <c r="D3338" s="9">
        <v>693.86</v>
      </c>
      <c r="E3338" s="9">
        <f t="shared" si="157"/>
        <v>-6.4501987016571836E-3</v>
      </c>
      <c r="F3338" s="9">
        <f t="shared" si="155"/>
        <v>-1.6664908529802149E-2</v>
      </c>
      <c r="G3338" s="9">
        <f t="shared" si="156"/>
        <v>1.1111106112394896E-2</v>
      </c>
    </row>
    <row r="3339" spans="1:7" x14ac:dyDescent="0.2">
      <c r="A3339" s="12">
        <v>41757</v>
      </c>
      <c r="B3339" s="9">
        <v>700.95</v>
      </c>
      <c r="C3339" s="9">
        <v>695.31</v>
      </c>
      <c r="D3339" s="9">
        <v>697.07</v>
      </c>
      <c r="E3339" s="9">
        <f t="shared" si="157"/>
        <v>4.6156250836730632E-3</v>
      </c>
      <c r="F3339" s="9">
        <f t="shared" si="155"/>
        <v>3.5209026881040566E-3</v>
      </c>
      <c r="G3339" s="9">
        <f t="shared" si="156"/>
        <v>1.0776668718739066E-2</v>
      </c>
    </row>
    <row r="3340" spans="1:7" x14ac:dyDescent="0.2">
      <c r="A3340" s="12">
        <v>41758</v>
      </c>
      <c r="B3340" s="9">
        <v>703.88</v>
      </c>
      <c r="C3340" s="9">
        <v>698.96</v>
      </c>
      <c r="D3340" s="9">
        <v>703.47</v>
      </c>
      <c r="E3340" s="9">
        <f t="shared" si="157"/>
        <v>9.1393955881286827E-3</v>
      </c>
      <c r="F3340" s="9">
        <f t="shared" si="155"/>
        <v>1.4836514969590254E-2</v>
      </c>
      <c r="G3340" s="9">
        <f t="shared" si="156"/>
        <v>1.0891042702780332E-2</v>
      </c>
    </row>
    <row r="3341" spans="1:7" x14ac:dyDescent="0.2">
      <c r="A3341" s="12">
        <v>41759</v>
      </c>
      <c r="B3341" s="9">
        <v>707.41</v>
      </c>
      <c r="C3341" s="9">
        <v>702.19</v>
      </c>
      <c r="D3341" s="9">
        <v>704.05</v>
      </c>
      <c r="E3341" s="9">
        <f t="shared" si="157"/>
        <v>8.2414464139561714E-4</v>
      </c>
      <c r="F3341" s="9">
        <f t="shared" si="155"/>
        <v>3.3272386033809338E-2</v>
      </c>
      <c r="G3341" s="9">
        <f t="shared" si="156"/>
        <v>1.0340365353589969E-2</v>
      </c>
    </row>
    <row r="3342" spans="1:7" x14ac:dyDescent="0.2">
      <c r="A3342" s="12">
        <v>41760</v>
      </c>
      <c r="B3342" s="9">
        <v>705.78</v>
      </c>
      <c r="C3342" s="9">
        <v>694.34</v>
      </c>
      <c r="D3342" s="9">
        <v>701.8</v>
      </c>
      <c r="E3342" s="9">
        <f t="shared" si="157"/>
        <v>-3.2009132142059218E-3</v>
      </c>
      <c r="F3342" s="9">
        <f t="shared" si="155"/>
        <v>2.2595923607490489E-2</v>
      </c>
      <c r="G3342" s="9">
        <f t="shared" si="156"/>
        <v>1.0297331514721779E-2</v>
      </c>
    </row>
    <row r="3343" spans="1:7" x14ac:dyDescent="0.2">
      <c r="A3343" s="12">
        <v>41761</v>
      </c>
      <c r="B3343" s="9">
        <v>706.97</v>
      </c>
      <c r="C3343" s="9">
        <v>699.69</v>
      </c>
      <c r="D3343" s="9">
        <v>702.3</v>
      </c>
      <c r="E3343" s="9">
        <f t="shared" si="157"/>
        <v>7.1220001586001097E-4</v>
      </c>
      <c r="F3343" s="9">
        <f t="shared" si="155"/>
        <v>1.2638263047287778E-2</v>
      </c>
      <c r="G3343" s="9">
        <f t="shared" si="156"/>
        <v>1.0125713869953912E-2</v>
      </c>
    </row>
    <row r="3344" spans="1:7" x14ac:dyDescent="0.2">
      <c r="A3344" s="12">
        <v>41764</v>
      </c>
      <c r="B3344" s="9">
        <v>702.28</v>
      </c>
      <c r="C3344" s="9">
        <v>693.54</v>
      </c>
      <c r="D3344" s="9">
        <v>700.91</v>
      </c>
      <c r="E3344" s="9">
        <f t="shared" si="157"/>
        <v>-1.9811723899499805E-3</v>
      </c>
      <c r="F3344" s="9">
        <f t="shared" si="155"/>
        <v>1.5122835467600265E-2</v>
      </c>
      <c r="G3344" s="9">
        <f t="shared" si="156"/>
        <v>1.009447677348063E-2</v>
      </c>
    </row>
    <row r="3345" spans="1:7" x14ac:dyDescent="0.2">
      <c r="A3345" s="12">
        <v>41765</v>
      </c>
      <c r="B3345" s="9">
        <v>706.21</v>
      </c>
      <c r="C3345" s="9">
        <v>699.65</v>
      </c>
      <c r="D3345" s="9">
        <v>700.28</v>
      </c>
      <c r="E3345" s="9">
        <f t="shared" si="157"/>
        <v>-8.992357102931036E-4</v>
      </c>
      <c r="F3345" s="9">
        <f t="shared" si="155"/>
        <v>1.955361506245255E-2</v>
      </c>
      <c r="G3345" s="9">
        <f t="shared" si="156"/>
        <v>1.0038432154180434E-2</v>
      </c>
    </row>
    <row r="3346" spans="1:7" x14ac:dyDescent="0.2">
      <c r="A3346" s="12">
        <v>41766</v>
      </c>
      <c r="B3346" s="9">
        <v>700.87</v>
      </c>
      <c r="C3346" s="9">
        <v>694.62</v>
      </c>
      <c r="D3346" s="9">
        <v>696.12</v>
      </c>
      <c r="E3346" s="9">
        <f t="shared" si="157"/>
        <v>-5.9581957987583332E-3</v>
      </c>
      <c r="F3346" s="9">
        <f t="shared" si="155"/>
        <v>2.381168715252106E-2</v>
      </c>
      <c r="G3346" s="9">
        <f t="shared" si="156"/>
        <v>9.9087324162477914E-3</v>
      </c>
    </row>
    <row r="3347" spans="1:7" x14ac:dyDescent="0.2">
      <c r="A3347" s="12">
        <v>41767</v>
      </c>
      <c r="B3347" s="9">
        <v>698.51</v>
      </c>
      <c r="C3347" s="9">
        <v>692.17</v>
      </c>
      <c r="D3347" s="9">
        <v>697.03</v>
      </c>
      <c r="E3347" s="9">
        <f t="shared" si="157"/>
        <v>1.3063921751737496E-3</v>
      </c>
      <c r="F3347" s="9">
        <f t="shared" si="155"/>
        <v>3.1612183681040774E-2</v>
      </c>
      <c r="G3347" s="9">
        <f t="shared" si="156"/>
        <v>9.8127793353360131E-3</v>
      </c>
    </row>
    <row r="3348" spans="1:7" x14ac:dyDescent="0.2">
      <c r="A3348" s="12">
        <v>41768</v>
      </c>
      <c r="B3348" s="9">
        <v>702.75</v>
      </c>
      <c r="C3348" s="9">
        <v>697.54</v>
      </c>
      <c r="D3348" s="9">
        <v>702.75</v>
      </c>
      <c r="E3348" s="9">
        <f t="shared" si="157"/>
        <v>8.1727583454940782E-3</v>
      </c>
      <c r="F3348" s="9">
        <f t="shared" si="155"/>
        <v>3.700502659105135E-2</v>
      </c>
      <c r="G3348" s="9">
        <f t="shared" si="156"/>
        <v>9.8945471425310513E-3</v>
      </c>
    </row>
    <row r="3349" spans="1:7" x14ac:dyDescent="0.2">
      <c r="A3349" s="12">
        <v>41771</v>
      </c>
      <c r="B3349" s="9">
        <v>712.36</v>
      </c>
      <c r="C3349" s="9">
        <v>704.61</v>
      </c>
      <c r="D3349" s="9">
        <v>711.59</v>
      </c>
      <c r="E3349" s="9">
        <f t="shared" si="157"/>
        <v>1.2500693067623421E-2</v>
      </c>
      <c r="F3349" s="9">
        <f t="shared" si="155"/>
        <v>4.1841945157771211E-2</v>
      </c>
      <c r="G3349" s="9">
        <f t="shared" si="156"/>
        <v>1.0041261723568451E-2</v>
      </c>
    </row>
    <row r="3350" spans="1:7" x14ac:dyDescent="0.2">
      <c r="A3350" s="12">
        <v>41772</v>
      </c>
      <c r="B3350" s="9">
        <v>717.86</v>
      </c>
      <c r="C3350" s="9">
        <v>708.91</v>
      </c>
      <c r="D3350" s="9">
        <v>710.47</v>
      </c>
      <c r="E3350" s="9">
        <f t="shared" si="157"/>
        <v>-1.5751799946245849E-3</v>
      </c>
      <c r="F3350" s="9">
        <f t="shared" si="155"/>
        <v>3.3432327006235114E-2</v>
      </c>
      <c r="G3350" s="9">
        <f t="shared" si="156"/>
        <v>1.0001471873830135E-2</v>
      </c>
    </row>
    <row r="3351" spans="1:7" x14ac:dyDescent="0.2">
      <c r="A3351" s="12">
        <v>41773</v>
      </c>
      <c r="B3351" s="9">
        <v>712.41</v>
      </c>
      <c r="C3351" s="9">
        <v>707.23</v>
      </c>
      <c r="D3351" s="9">
        <v>710.21</v>
      </c>
      <c r="E3351" s="9">
        <f t="shared" si="157"/>
        <v>-3.6602190908962683E-4</v>
      </c>
      <c r="F3351" s="9">
        <f t="shared" si="155"/>
        <v>1.9650852723085314E-2</v>
      </c>
      <c r="G3351" s="9">
        <f t="shared" si="156"/>
        <v>9.7297957625165823E-3</v>
      </c>
    </row>
    <row r="3352" spans="1:7" x14ac:dyDescent="0.2">
      <c r="A3352" s="12">
        <v>41774</v>
      </c>
      <c r="B3352" s="9">
        <v>710.71</v>
      </c>
      <c r="C3352" s="9">
        <v>702.01</v>
      </c>
      <c r="D3352" s="9">
        <v>704.35</v>
      </c>
      <c r="E3352" s="9">
        <f t="shared" si="157"/>
        <v>-8.2853092442345139E-3</v>
      </c>
      <c r="F3352" s="9">
        <f t="shared" si="155"/>
        <v>2.7723493854090349E-3</v>
      </c>
      <c r="G3352" s="9">
        <f t="shared" si="156"/>
        <v>9.7429335596666972E-3</v>
      </c>
    </row>
    <row r="3353" spans="1:7" x14ac:dyDescent="0.2">
      <c r="A3353" s="12">
        <v>41778</v>
      </c>
      <c r="B3353" s="9">
        <v>707.63</v>
      </c>
      <c r="C3353" s="9">
        <v>700.6</v>
      </c>
      <c r="D3353" s="9">
        <v>701.36</v>
      </c>
      <c r="E3353" s="9">
        <f t="shared" si="157"/>
        <v>-4.2540844259857718E-3</v>
      </c>
      <c r="F3353" s="9">
        <f t="shared" si="155"/>
        <v>-2.136418183098491E-3</v>
      </c>
      <c r="G3353" s="9">
        <f t="shared" si="156"/>
        <v>9.7743340102888852E-3</v>
      </c>
    </row>
    <row r="3354" spans="1:7" x14ac:dyDescent="0.2">
      <c r="A3354" s="12">
        <v>41779</v>
      </c>
      <c r="B3354" s="9">
        <v>707.56</v>
      </c>
      <c r="C3354" s="9">
        <v>701.38</v>
      </c>
      <c r="D3354" s="9">
        <v>707.3</v>
      </c>
      <c r="E3354" s="9">
        <f t="shared" si="157"/>
        <v>8.4335967616140754E-3</v>
      </c>
      <c r="F3354" s="9">
        <f t="shared" si="155"/>
        <v>-3.2512740332910187E-4</v>
      </c>
      <c r="G3354" s="9">
        <f t="shared" si="156"/>
        <v>9.8225809375680189E-3</v>
      </c>
    </row>
    <row r="3355" spans="1:7" x14ac:dyDescent="0.2">
      <c r="A3355" s="12">
        <v>41780</v>
      </c>
      <c r="B3355" s="9">
        <v>715.92</v>
      </c>
      <c r="C3355" s="9">
        <v>706.17</v>
      </c>
      <c r="D3355" s="9">
        <v>715.9</v>
      </c>
      <c r="E3355" s="9">
        <f t="shared" si="157"/>
        <v>1.2085588360195224E-2</v>
      </c>
      <c r="F3355" s="9">
        <f t="shared" si="155"/>
        <v>1.3585369333767625E-2</v>
      </c>
      <c r="G3355" s="9">
        <f t="shared" si="156"/>
        <v>1.0059465255665468E-2</v>
      </c>
    </row>
    <row r="3356" spans="1:7" x14ac:dyDescent="0.2">
      <c r="A3356" s="12">
        <v>41781</v>
      </c>
      <c r="B3356" s="9">
        <v>722.1</v>
      </c>
      <c r="C3356" s="9">
        <v>716.16</v>
      </c>
      <c r="D3356" s="9">
        <v>719.2</v>
      </c>
      <c r="E3356" s="9">
        <f t="shared" si="157"/>
        <v>4.5989907552713696E-3</v>
      </c>
      <c r="F3356" s="9">
        <f t="shared" si="155"/>
        <v>1.6698717487715758E-2</v>
      </c>
      <c r="G3356" s="9">
        <f t="shared" si="156"/>
        <v>1.0086510533454491E-2</v>
      </c>
    </row>
    <row r="3357" spans="1:7" x14ac:dyDescent="0.2">
      <c r="A3357" s="12">
        <v>41782</v>
      </c>
      <c r="B3357" s="9">
        <v>718.25</v>
      </c>
      <c r="C3357" s="9">
        <v>711.7</v>
      </c>
      <c r="D3357" s="9">
        <v>715.46</v>
      </c>
      <c r="E3357" s="9">
        <f t="shared" si="157"/>
        <v>-5.2137906852108397E-3</v>
      </c>
      <c r="F3357" s="9">
        <f t="shared" si="155"/>
        <v>2.7777201796326385E-2</v>
      </c>
      <c r="G3357" s="9">
        <f t="shared" si="156"/>
        <v>9.6413519295876597E-3</v>
      </c>
    </row>
    <row r="3358" spans="1:7" x14ac:dyDescent="0.2">
      <c r="A3358" s="12">
        <v>41785</v>
      </c>
      <c r="B3358" s="9">
        <v>722.62</v>
      </c>
      <c r="C3358" s="9">
        <v>717.42</v>
      </c>
      <c r="D3358" s="9">
        <v>722.31</v>
      </c>
      <c r="E3358" s="9">
        <f t="shared" si="157"/>
        <v>9.5287171516473274E-3</v>
      </c>
      <c r="F3358" s="9">
        <f t="shared" si="155"/>
        <v>5.1168701908622001E-2</v>
      </c>
      <c r="G3358" s="9">
        <f t="shared" si="156"/>
        <v>9.3454370312329883E-3</v>
      </c>
    </row>
    <row r="3359" spans="1:7" x14ac:dyDescent="0.2">
      <c r="A3359" s="12">
        <v>41786</v>
      </c>
      <c r="B3359" s="9">
        <v>724.19</v>
      </c>
      <c r="C3359" s="9">
        <v>721.4</v>
      </c>
      <c r="D3359" s="9">
        <v>723.53</v>
      </c>
      <c r="E3359" s="9">
        <f t="shared" si="157"/>
        <v>1.6876006882453299E-3</v>
      </c>
      <c r="F3359" s="9">
        <f t="shared" si="155"/>
        <v>4.0949848117693977E-2</v>
      </c>
      <c r="G3359" s="9">
        <f t="shared" si="156"/>
        <v>9.1448895535663141E-3</v>
      </c>
    </row>
    <row r="3360" spans="1:7" x14ac:dyDescent="0.2">
      <c r="A3360" s="12">
        <v>41787</v>
      </c>
      <c r="B3360" s="9">
        <v>724.44</v>
      </c>
      <c r="C3360" s="9">
        <v>719.13</v>
      </c>
      <c r="D3360" s="9">
        <v>720.6</v>
      </c>
      <c r="E3360" s="9">
        <f t="shared" si="157"/>
        <v>-4.0578119980993997E-3</v>
      </c>
      <c r="F3360" s="9">
        <f t="shared" si="155"/>
        <v>4.6237222535802723E-2</v>
      </c>
      <c r="G3360" s="9">
        <f t="shared" si="156"/>
        <v>8.9808380614371588E-3</v>
      </c>
    </row>
    <row r="3361" spans="1:7" x14ac:dyDescent="0.2">
      <c r="A3361" s="12">
        <v>41792</v>
      </c>
      <c r="B3361" s="9">
        <v>724.01</v>
      </c>
      <c r="C3361" s="9">
        <v>720.66</v>
      </c>
      <c r="D3361" s="9">
        <v>721.87</v>
      </c>
      <c r="E3361" s="9">
        <f t="shared" si="157"/>
        <v>1.7608689652513353E-3</v>
      </c>
      <c r="F3361" s="9">
        <f t="shared" ref="F3361:F3424" si="158">LN(D3361/D3331)</f>
        <v>6.0841096961171161E-2</v>
      </c>
      <c r="G3361" s="9">
        <f t="shared" si="156"/>
        <v>8.5602141224241351E-3</v>
      </c>
    </row>
    <row r="3362" spans="1:7" x14ac:dyDescent="0.2">
      <c r="A3362" s="12">
        <v>41793</v>
      </c>
      <c r="B3362" s="9">
        <v>725.18</v>
      </c>
      <c r="C3362" s="9">
        <v>720.17</v>
      </c>
      <c r="D3362" s="9">
        <v>720.75</v>
      </c>
      <c r="E3362" s="9">
        <f t="shared" si="157"/>
        <v>-1.5527307607327277E-3</v>
      </c>
      <c r="F3362" s="9">
        <f t="shared" si="158"/>
        <v>6.8027082622460627E-2</v>
      </c>
      <c r="G3362" s="9">
        <f t="shared" si="156"/>
        <v>8.3464185049197323E-3</v>
      </c>
    </row>
    <row r="3363" spans="1:7" x14ac:dyDescent="0.2">
      <c r="A3363" s="12">
        <v>41794</v>
      </c>
      <c r="B3363" s="9">
        <v>727.63</v>
      </c>
      <c r="C3363" s="9">
        <v>720.41</v>
      </c>
      <c r="D3363" s="9">
        <v>727.63</v>
      </c>
      <c r="E3363" s="9">
        <f t="shared" si="157"/>
        <v>9.5003407213122004E-3</v>
      </c>
      <c r="F3363" s="9">
        <f t="shared" si="158"/>
        <v>8.3814316108839285E-2</v>
      </c>
      <c r="G3363" s="9">
        <f t="shared" si="156"/>
        <v>8.2859345298267138E-3</v>
      </c>
    </row>
    <row r="3364" spans="1:7" x14ac:dyDescent="0.2">
      <c r="A3364" s="12">
        <v>41796</v>
      </c>
      <c r="B3364" s="9">
        <v>735.63</v>
      </c>
      <c r="C3364" s="9">
        <v>732.6</v>
      </c>
      <c r="D3364" s="9">
        <v>733.4</v>
      </c>
      <c r="E3364" s="9">
        <f t="shared" si="157"/>
        <v>7.8985783974017277E-3</v>
      </c>
      <c r="F3364" s="9">
        <f t="shared" si="158"/>
        <v>7.2734914264341408E-2</v>
      </c>
      <c r="G3364" s="9">
        <f t="shared" si="156"/>
        <v>7.7705992186900257E-3</v>
      </c>
    </row>
    <row r="3365" spans="1:7" x14ac:dyDescent="0.2">
      <c r="A3365" s="12">
        <v>41800</v>
      </c>
      <c r="B3365" s="9">
        <v>743.33</v>
      </c>
      <c r="C3365" s="9">
        <v>733.47</v>
      </c>
      <c r="D3365" s="9">
        <v>743.2</v>
      </c>
      <c r="E3365" s="9">
        <f t="shared" si="157"/>
        <v>1.327393186240316E-2</v>
      </c>
      <c r="F3365" s="9">
        <f t="shared" si="158"/>
        <v>5.6604524334654155E-2</v>
      </c>
      <c r="G3365" s="9">
        <f t="shared" si="156"/>
        <v>6.2483389993474147E-3</v>
      </c>
    </row>
    <row r="3366" spans="1:7" x14ac:dyDescent="0.2">
      <c r="A3366" s="12">
        <v>41801</v>
      </c>
      <c r="B3366" s="9">
        <v>747.84</v>
      </c>
      <c r="C3366" s="9">
        <v>735.81</v>
      </c>
      <c r="D3366" s="9">
        <v>738.57</v>
      </c>
      <c r="E3366" s="9">
        <f t="shared" si="157"/>
        <v>-6.2493032903146927E-3</v>
      </c>
      <c r="F3366" s="9">
        <f t="shared" si="158"/>
        <v>5.2507614095334221E-2</v>
      </c>
      <c r="G3366" s="9">
        <f t="shared" si="156"/>
        <v>6.3829844322629975E-3</v>
      </c>
    </row>
    <row r="3367" spans="1:7" x14ac:dyDescent="0.2">
      <c r="A3367" s="12">
        <v>41802</v>
      </c>
      <c r="B3367" s="9">
        <v>746.56</v>
      </c>
      <c r="C3367" s="9">
        <v>739.64</v>
      </c>
      <c r="D3367" s="9">
        <v>745.16</v>
      </c>
      <c r="E3367" s="9">
        <f t="shared" si="157"/>
        <v>8.8830762121935389E-3</v>
      </c>
      <c r="F3367" s="9">
        <f t="shared" si="158"/>
        <v>6.4878550669727447E-2</v>
      </c>
      <c r="G3367" s="9">
        <f t="shared" ref="G3367:G3430" si="159">STDEV(E3338:E3367)</f>
        <v>6.4323272921253975E-3</v>
      </c>
    </row>
    <row r="3368" spans="1:7" x14ac:dyDescent="0.2">
      <c r="A3368" s="12">
        <v>41803</v>
      </c>
      <c r="B3368" s="9">
        <v>745.52</v>
      </c>
      <c r="C3368" s="9">
        <v>736.42</v>
      </c>
      <c r="D3368" s="9">
        <v>740.78</v>
      </c>
      <c r="E3368" s="9">
        <f t="shared" si="157"/>
        <v>-5.8952752941592258E-3</v>
      </c>
      <c r="F3368" s="9">
        <f t="shared" si="158"/>
        <v>6.5433474077225384E-2</v>
      </c>
      <c r="G3368" s="9">
        <f t="shared" si="159"/>
        <v>6.4074551544714741E-3</v>
      </c>
    </row>
    <row r="3369" spans="1:7" x14ac:dyDescent="0.2">
      <c r="A3369" s="12">
        <v>41806</v>
      </c>
      <c r="B3369" s="9">
        <v>743.23</v>
      </c>
      <c r="C3369" s="9">
        <v>737.03</v>
      </c>
      <c r="D3369" s="9">
        <v>742.28</v>
      </c>
      <c r="E3369" s="9">
        <f t="shared" si="157"/>
        <v>2.0228453487894167E-3</v>
      </c>
      <c r="F3369" s="9">
        <f t="shared" si="158"/>
        <v>6.2840694342341741E-2</v>
      </c>
      <c r="G3369" s="9">
        <f t="shared" si="159"/>
        <v>6.3909502171879302E-3</v>
      </c>
    </row>
    <row r="3370" spans="1:7" x14ac:dyDescent="0.2">
      <c r="A3370" s="12">
        <v>41807</v>
      </c>
      <c r="B3370" s="9">
        <v>748.3</v>
      </c>
      <c r="C3370" s="9">
        <v>737.9</v>
      </c>
      <c r="D3370" s="9">
        <v>741.47</v>
      </c>
      <c r="E3370" s="9">
        <f t="shared" si="157"/>
        <v>-1.0918282466263996E-3</v>
      </c>
      <c r="F3370" s="9">
        <f t="shared" si="158"/>
        <v>5.2609470507586846E-2</v>
      </c>
      <c r="G3370" s="9">
        <f t="shared" si="159"/>
        <v>6.2739742912950834E-3</v>
      </c>
    </row>
    <row r="3371" spans="1:7" x14ac:dyDescent="0.2">
      <c r="A3371" s="12">
        <v>41808</v>
      </c>
      <c r="B3371" s="9">
        <v>747.02</v>
      </c>
      <c r="C3371" s="9">
        <v>743.08</v>
      </c>
      <c r="D3371" s="9">
        <v>744.69</v>
      </c>
      <c r="E3371" s="9">
        <f t="shared" si="157"/>
        <v>4.3333221707974922E-3</v>
      </c>
      <c r="F3371" s="9">
        <f t="shared" si="158"/>
        <v>5.6118648036988648E-2</v>
      </c>
      <c r="G3371" s="9">
        <f t="shared" si="159"/>
        <v>6.2887422854719594E-3</v>
      </c>
    </row>
    <row r="3372" spans="1:7" x14ac:dyDescent="0.2">
      <c r="A3372" s="12">
        <v>41809</v>
      </c>
      <c r="B3372" s="9">
        <v>748.53</v>
      </c>
      <c r="C3372" s="9">
        <v>743.44</v>
      </c>
      <c r="D3372" s="9">
        <v>745.49</v>
      </c>
      <c r="E3372" s="9">
        <f t="shared" si="157"/>
        <v>1.0736958982871349E-3</v>
      </c>
      <c r="F3372" s="9">
        <f t="shared" si="158"/>
        <v>6.0393257149481724E-2</v>
      </c>
      <c r="G3372" s="9">
        <f t="shared" si="159"/>
        <v>6.2178986791721243E-3</v>
      </c>
    </row>
    <row r="3373" spans="1:7" x14ac:dyDescent="0.2">
      <c r="A3373" s="12">
        <v>41810</v>
      </c>
      <c r="B3373" s="9">
        <v>746.63</v>
      </c>
      <c r="C3373" s="9">
        <v>743.39</v>
      </c>
      <c r="D3373" s="9">
        <v>743.86</v>
      </c>
      <c r="E3373" s="9">
        <f t="shared" si="157"/>
        <v>-2.1888752150954608E-3</v>
      </c>
      <c r="F3373" s="9">
        <f t="shared" si="158"/>
        <v>5.7492181918526161E-2</v>
      </c>
      <c r="G3373" s="9">
        <f t="shared" si="159"/>
        <v>6.2612365721839147E-3</v>
      </c>
    </row>
    <row r="3374" spans="1:7" x14ac:dyDescent="0.2">
      <c r="A3374" s="12">
        <v>41813</v>
      </c>
      <c r="B3374" s="9">
        <v>747.09</v>
      </c>
      <c r="C3374" s="9">
        <v>741.44</v>
      </c>
      <c r="D3374" s="9">
        <v>742.79</v>
      </c>
      <c r="E3374" s="9">
        <f t="shared" si="157"/>
        <v>-1.4394782696156899E-3</v>
      </c>
      <c r="F3374" s="9">
        <f t="shared" si="158"/>
        <v>5.8033876038860517E-2</v>
      </c>
      <c r="G3374" s="9">
        <f t="shared" si="159"/>
        <v>6.2503806221886589E-3</v>
      </c>
    </row>
    <row r="3375" spans="1:7" x14ac:dyDescent="0.2">
      <c r="A3375" s="12">
        <v>41814</v>
      </c>
      <c r="B3375" s="9">
        <v>744.62</v>
      </c>
      <c r="C3375" s="9">
        <v>738.58</v>
      </c>
      <c r="D3375" s="9">
        <v>738.89</v>
      </c>
      <c r="E3375" s="9">
        <f t="shared" si="157"/>
        <v>-5.2643067419370394E-3</v>
      </c>
      <c r="F3375" s="9">
        <f t="shared" si="158"/>
        <v>5.3668805007216693E-2</v>
      </c>
      <c r="G3375" s="9">
        <f t="shared" si="159"/>
        <v>6.368315386316558E-3</v>
      </c>
    </row>
    <row r="3376" spans="1:7" x14ac:dyDescent="0.2">
      <c r="A3376" s="12">
        <v>41815</v>
      </c>
      <c r="B3376" s="9">
        <v>737.46</v>
      </c>
      <c r="C3376" s="9">
        <v>730.47</v>
      </c>
      <c r="D3376" s="9">
        <v>732.85</v>
      </c>
      <c r="E3376" s="9">
        <f t="shared" si="157"/>
        <v>-8.2080175986386211E-3</v>
      </c>
      <c r="F3376" s="9">
        <f t="shared" si="158"/>
        <v>5.1418983207336372E-2</v>
      </c>
      <c r="G3376" s="9">
        <f t="shared" si="159"/>
        <v>6.475045467942398E-3</v>
      </c>
    </row>
    <row r="3377" spans="1:7" x14ac:dyDescent="0.2">
      <c r="A3377" s="12">
        <v>41816</v>
      </c>
      <c r="B3377" s="9">
        <v>738.78</v>
      </c>
      <c r="C3377" s="9">
        <v>733.59</v>
      </c>
      <c r="D3377" s="9">
        <v>737.26</v>
      </c>
      <c r="E3377" s="9">
        <f t="shared" si="157"/>
        <v>5.9995690500596749E-3</v>
      </c>
      <c r="F3377" s="9">
        <f t="shared" si="158"/>
        <v>5.6112160082222237E-2</v>
      </c>
      <c r="G3377" s="9">
        <f t="shared" si="159"/>
        <v>6.5213873065253234E-3</v>
      </c>
    </row>
    <row r="3378" spans="1:7" x14ac:dyDescent="0.2">
      <c r="A3378" s="12">
        <v>41817</v>
      </c>
      <c r="B3378" s="9">
        <v>740.62</v>
      </c>
      <c r="C3378" s="9">
        <v>735.47</v>
      </c>
      <c r="D3378" s="9">
        <v>739.17</v>
      </c>
      <c r="E3378" s="9">
        <f t="shared" si="157"/>
        <v>2.5873235649509544E-3</v>
      </c>
      <c r="F3378" s="9">
        <f t="shared" si="158"/>
        <v>5.052672530167894E-2</v>
      </c>
      <c r="G3378" s="9">
        <f t="shared" si="159"/>
        <v>6.4141027141926881E-3</v>
      </c>
    </row>
    <row r="3379" spans="1:7" x14ac:dyDescent="0.2">
      <c r="A3379" s="12">
        <v>41820</v>
      </c>
      <c r="B3379" s="9">
        <v>743.87</v>
      </c>
      <c r="C3379" s="9">
        <v>737.32</v>
      </c>
      <c r="D3379" s="9">
        <v>740.82</v>
      </c>
      <c r="E3379" s="9">
        <f t="shared" si="157"/>
        <v>2.2297457193870209E-3</v>
      </c>
      <c r="F3379" s="9">
        <f t="shared" si="158"/>
        <v>4.0255777953442616E-2</v>
      </c>
      <c r="G3379" s="9">
        <f t="shared" si="159"/>
        <v>6.082382353477341E-3</v>
      </c>
    </row>
    <row r="3380" spans="1:7" x14ac:dyDescent="0.2">
      <c r="A3380" s="12">
        <v>41821</v>
      </c>
      <c r="B3380" s="9">
        <v>743.88</v>
      </c>
      <c r="C3380" s="9">
        <v>738.7</v>
      </c>
      <c r="D3380" s="9">
        <v>743.36</v>
      </c>
      <c r="E3380" s="9">
        <f t="shared" si="157"/>
        <v>3.4227687743369141E-3</v>
      </c>
      <c r="F3380" s="9">
        <f t="shared" si="158"/>
        <v>4.5253726722404276E-2</v>
      </c>
      <c r="G3380" s="9">
        <f t="shared" si="159"/>
        <v>6.0681596776654178E-3</v>
      </c>
    </row>
    <row r="3381" spans="1:7" x14ac:dyDescent="0.2">
      <c r="A3381" s="12">
        <v>41822</v>
      </c>
      <c r="B3381" s="9">
        <v>749.6</v>
      </c>
      <c r="C3381" s="9">
        <v>744.38</v>
      </c>
      <c r="D3381" s="9">
        <v>748.79</v>
      </c>
      <c r="E3381" s="9">
        <f t="shared" si="157"/>
        <v>7.2781207913084327E-3</v>
      </c>
      <c r="F3381" s="9">
        <f t="shared" si="158"/>
        <v>5.289786942280221E-2</v>
      </c>
      <c r="G3381" s="9">
        <f t="shared" si="159"/>
        <v>6.1467172931548714E-3</v>
      </c>
    </row>
    <row r="3382" spans="1:7" x14ac:dyDescent="0.2">
      <c r="A3382" s="12">
        <v>41823</v>
      </c>
      <c r="B3382" s="9">
        <v>752</v>
      </c>
      <c r="C3382" s="9">
        <v>746.88</v>
      </c>
      <c r="D3382" s="9">
        <v>750.64</v>
      </c>
      <c r="E3382" s="9">
        <f t="shared" si="157"/>
        <v>2.467605608441459E-3</v>
      </c>
      <c r="F3382" s="9">
        <f t="shared" si="158"/>
        <v>6.3650784275478392E-2</v>
      </c>
      <c r="G3382" s="9">
        <f t="shared" si="159"/>
        <v>5.8467497823245854E-3</v>
      </c>
    </row>
    <row r="3383" spans="1:7" x14ac:dyDescent="0.2">
      <c r="A3383" s="12">
        <v>41824</v>
      </c>
      <c r="B3383" s="9">
        <v>750.84</v>
      </c>
      <c r="C3383" s="9">
        <v>747.59</v>
      </c>
      <c r="D3383" s="9">
        <v>747.84</v>
      </c>
      <c r="E3383" s="9">
        <f t="shared" si="157"/>
        <v>-3.7371246313010367E-3</v>
      </c>
      <c r="F3383" s="9">
        <f t="shared" si="158"/>
        <v>6.4167744070162999E-2</v>
      </c>
      <c r="G3383" s="9">
        <f t="shared" si="159"/>
        <v>5.828042510723018E-3</v>
      </c>
    </row>
    <row r="3384" spans="1:7" x14ac:dyDescent="0.2">
      <c r="A3384" s="12">
        <v>41827</v>
      </c>
      <c r="B3384" s="9">
        <v>747.31</v>
      </c>
      <c r="C3384" s="9">
        <v>742.58</v>
      </c>
      <c r="D3384" s="9">
        <v>743.53</v>
      </c>
      <c r="E3384" s="9">
        <f t="shared" si="157"/>
        <v>-5.7799365669333018E-3</v>
      </c>
      <c r="F3384" s="9">
        <f t="shared" si="158"/>
        <v>4.9954210741615636E-2</v>
      </c>
      <c r="G3384" s="9">
        <f t="shared" si="159"/>
        <v>5.876216308483442E-3</v>
      </c>
    </row>
    <row r="3385" spans="1:7" x14ac:dyDescent="0.2">
      <c r="A3385" s="12">
        <v>41828</v>
      </c>
      <c r="B3385" s="9">
        <v>745.84</v>
      </c>
      <c r="C3385" s="9">
        <v>732.63</v>
      </c>
      <c r="D3385" s="9">
        <v>734.65</v>
      </c>
      <c r="E3385" s="9">
        <f t="shared" si="157"/>
        <v>-1.201491946160454E-2</v>
      </c>
      <c r="F3385" s="9">
        <f t="shared" si="158"/>
        <v>2.5853702919816028E-2</v>
      </c>
      <c r="G3385" s="9">
        <f t="shared" si="159"/>
        <v>6.0474126011284511E-3</v>
      </c>
    </row>
    <row r="3386" spans="1:7" x14ac:dyDescent="0.2">
      <c r="A3386" s="12">
        <v>41829</v>
      </c>
      <c r="B3386" s="9">
        <v>737.27</v>
      </c>
      <c r="C3386" s="9">
        <v>726.73</v>
      </c>
      <c r="D3386" s="9">
        <v>729.81</v>
      </c>
      <c r="E3386" s="9">
        <f t="shared" si="157"/>
        <v>-6.6099690292699773E-3</v>
      </c>
      <c r="F3386" s="9">
        <f t="shared" si="158"/>
        <v>1.4644743135274649E-2</v>
      </c>
      <c r="G3386" s="9">
        <f t="shared" si="159"/>
        <v>6.1538809329946048E-3</v>
      </c>
    </row>
    <row r="3387" spans="1:7" x14ac:dyDescent="0.2">
      <c r="A3387" s="12">
        <v>41830</v>
      </c>
      <c r="B3387" s="9">
        <v>732.87</v>
      </c>
      <c r="C3387" s="9">
        <v>721.16</v>
      </c>
      <c r="D3387" s="9">
        <v>726.13</v>
      </c>
      <c r="E3387" s="9">
        <f t="shared" si="157"/>
        <v>-5.055164136937693E-3</v>
      </c>
      <c r="F3387" s="9">
        <f t="shared" si="158"/>
        <v>1.4803369683547883E-2</v>
      </c>
      <c r="G3387" s="9">
        <f t="shared" si="159"/>
        <v>6.1488788670069948E-3</v>
      </c>
    </row>
    <row r="3388" spans="1:7" x14ac:dyDescent="0.2">
      <c r="A3388" s="12">
        <v>41831</v>
      </c>
      <c r="B3388" s="9">
        <v>731.01</v>
      </c>
      <c r="C3388" s="9">
        <v>726.3</v>
      </c>
      <c r="D3388" s="9">
        <v>729.43</v>
      </c>
      <c r="E3388" s="9">
        <f t="shared" si="157"/>
        <v>4.534345068669769E-3</v>
      </c>
      <c r="F3388" s="9">
        <f t="shared" si="158"/>
        <v>9.8089976005702774E-3</v>
      </c>
      <c r="G3388" s="9">
        <f t="shared" si="159"/>
        <v>5.9605424046181906E-3</v>
      </c>
    </row>
    <row r="3389" spans="1:7" x14ac:dyDescent="0.2">
      <c r="A3389" s="12">
        <v>41834</v>
      </c>
      <c r="B3389" s="9">
        <v>737.44</v>
      </c>
      <c r="C3389" s="9">
        <v>733.23</v>
      </c>
      <c r="D3389" s="9">
        <v>736.21</v>
      </c>
      <c r="E3389" s="9">
        <f t="shared" si="157"/>
        <v>9.2519968936688509E-3</v>
      </c>
      <c r="F3389" s="9">
        <f t="shared" si="158"/>
        <v>1.7373393805993717E-2</v>
      </c>
      <c r="G3389" s="9">
        <f t="shared" si="159"/>
        <v>6.1761817561103056E-3</v>
      </c>
    </row>
    <row r="3390" spans="1:7" x14ac:dyDescent="0.2">
      <c r="A3390" s="12">
        <v>41835</v>
      </c>
      <c r="B3390" s="9">
        <v>740.02</v>
      </c>
      <c r="C3390" s="9">
        <v>732.72</v>
      </c>
      <c r="D3390" s="9">
        <v>732.92</v>
      </c>
      <c r="E3390" s="9">
        <f t="shared" si="157"/>
        <v>-4.4788487061118397E-3</v>
      </c>
      <c r="F3390" s="9">
        <f t="shared" si="158"/>
        <v>1.6952357097981312E-2</v>
      </c>
      <c r="G3390" s="9">
        <f t="shared" si="159"/>
        <v>6.1875498066304956E-3</v>
      </c>
    </row>
    <row r="3391" spans="1:7" x14ac:dyDescent="0.2">
      <c r="A3391" s="12">
        <v>41836</v>
      </c>
      <c r="B3391" s="9">
        <v>743.05</v>
      </c>
      <c r="C3391" s="9">
        <v>736.65</v>
      </c>
      <c r="D3391" s="9">
        <v>741.1</v>
      </c>
      <c r="E3391" s="9">
        <f t="shared" si="157"/>
        <v>1.1099013545338928E-2</v>
      </c>
      <c r="F3391" s="9">
        <f t="shared" si="158"/>
        <v>2.6290501678068817E-2</v>
      </c>
      <c r="G3391" s="9">
        <f t="shared" si="159"/>
        <v>6.4778523977740308E-3</v>
      </c>
    </row>
    <row r="3392" spans="1:7" x14ac:dyDescent="0.2">
      <c r="A3392" s="12">
        <v>41837</v>
      </c>
      <c r="B3392" s="9">
        <v>741.38</v>
      </c>
      <c r="C3392" s="9">
        <v>735.88</v>
      </c>
      <c r="D3392" s="9">
        <v>739.81</v>
      </c>
      <c r="E3392" s="9">
        <f t="shared" si="157"/>
        <v>-1.7421724835138734E-3</v>
      </c>
      <c r="F3392" s="9">
        <f t="shared" si="158"/>
        <v>2.6101059955287786E-2</v>
      </c>
      <c r="G3392" s="9">
        <f t="shared" si="159"/>
        <v>6.4803937974652163E-3</v>
      </c>
    </row>
    <row r="3393" spans="1:7" x14ac:dyDescent="0.2">
      <c r="A3393" s="12">
        <v>41838</v>
      </c>
      <c r="B3393" s="9">
        <v>734.23</v>
      </c>
      <c r="C3393" s="9">
        <v>729.73</v>
      </c>
      <c r="D3393" s="9">
        <v>732.28</v>
      </c>
      <c r="E3393" s="9">
        <f t="shared" si="157"/>
        <v>-1.0230441990985448E-2</v>
      </c>
      <c r="F3393" s="9">
        <f t="shared" si="158"/>
        <v>6.370277242990139E-3</v>
      </c>
      <c r="G3393" s="9">
        <f t="shared" si="159"/>
        <v>6.574850836473304E-3</v>
      </c>
    </row>
    <row r="3394" spans="1:7" x14ac:dyDescent="0.2">
      <c r="A3394" s="12">
        <v>41841</v>
      </c>
      <c r="B3394" s="9">
        <v>733.22</v>
      </c>
      <c r="C3394" s="9">
        <v>725.91</v>
      </c>
      <c r="D3394" s="9">
        <v>727.43</v>
      </c>
      <c r="E3394" s="9">
        <f t="shared" si="157"/>
        <v>-6.6451799978723865E-3</v>
      </c>
      <c r="F3394" s="9">
        <f t="shared" si="158"/>
        <v>-8.173481152284107E-3</v>
      </c>
      <c r="G3394" s="9">
        <f t="shared" si="159"/>
        <v>6.5245635074122656E-3</v>
      </c>
    </row>
    <row r="3395" spans="1:7" x14ac:dyDescent="0.2">
      <c r="A3395" s="12">
        <v>41842</v>
      </c>
      <c r="B3395" s="9">
        <v>742.05</v>
      </c>
      <c r="C3395" s="9">
        <v>730.32</v>
      </c>
      <c r="D3395" s="9">
        <v>741.16</v>
      </c>
      <c r="E3395" s="9">
        <f t="shared" si="157"/>
        <v>1.8698751929272405E-2</v>
      </c>
      <c r="F3395" s="9">
        <f t="shared" si="158"/>
        <v>-2.7486610854150747E-3</v>
      </c>
      <c r="G3395" s="9">
        <f t="shared" si="159"/>
        <v>6.9727277065218885E-3</v>
      </c>
    </row>
    <row r="3396" spans="1:7" x14ac:dyDescent="0.2">
      <c r="A3396" s="12">
        <v>41843</v>
      </c>
      <c r="B3396" s="9">
        <v>743.23</v>
      </c>
      <c r="C3396" s="9">
        <v>739.11</v>
      </c>
      <c r="D3396" s="9">
        <v>741.49</v>
      </c>
      <c r="E3396" s="9">
        <f t="shared" ref="E3396:E3459" si="160">LN(D3396/D3395)</f>
        <v>4.451488961648483E-4</v>
      </c>
      <c r="F3396" s="9">
        <f t="shared" si="158"/>
        <v>3.9457911010643771E-3</v>
      </c>
      <c r="G3396" s="9">
        <f t="shared" si="159"/>
        <v>6.8753087621701492E-3</v>
      </c>
    </row>
    <row r="3397" spans="1:7" x14ac:dyDescent="0.2">
      <c r="A3397" s="12">
        <v>41844</v>
      </c>
      <c r="B3397" s="9">
        <v>746.1</v>
      </c>
      <c r="C3397" s="9">
        <v>736.43</v>
      </c>
      <c r="D3397" s="9">
        <v>739.89</v>
      </c>
      <c r="E3397" s="9">
        <f t="shared" si="160"/>
        <v>-2.160148810117181E-3</v>
      </c>
      <c r="F3397" s="9">
        <f t="shared" si="158"/>
        <v>-7.0974339212463702E-3</v>
      </c>
      <c r="G3397" s="9">
        <f t="shared" si="159"/>
        <v>6.6835446490731429E-3</v>
      </c>
    </row>
    <row r="3398" spans="1:7" x14ac:dyDescent="0.2">
      <c r="A3398" s="12">
        <v>41845</v>
      </c>
      <c r="B3398" s="9">
        <v>744.74</v>
      </c>
      <c r="C3398" s="9">
        <v>737.21</v>
      </c>
      <c r="D3398" s="9">
        <v>741.99</v>
      </c>
      <c r="E3398" s="9">
        <f t="shared" si="160"/>
        <v>2.8342394873535777E-3</v>
      </c>
      <c r="F3398" s="9">
        <f t="shared" si="158"/>
        <v>1.6320808602663219E-3</v>
      </c>
      <c r="G3398" s="9">
        <f t="shared" si="159"/>
        <v>6.6183972307881506E-3</v>
      </c>
    </row>
    <row r="3399" spans="1:7" x14ac:dyDescent="0.2">
      <c r="A3399" s="12">
        <v>41848</v>
      </c>
      <c r="B3399" s="9">
        <v>741.85</v>
      </c>
      <c r="C3399" s="9">
        <v>736.33</v>
      </c>
      <c r="D3399" s="9">
        <v>739.53</v>
      </c>
      <c r="E3399" s="9">
        <f t="shared" si="160"/>
        <v>-3.3209167082990892E-3</v>
      </c>
      <c r="F3399" s="9">
        <f t="shared" si="158"/>
        <v>-3.711681196822217E-3</v>
      </c>
      <c r="G3399" s="9">
        <f t="shared" si="159"/>
        <v>6.6354804676573868E-3</v>
      </c>
    </row>
    <row r="3400" spans="1:7" x14ac:dyDescent="0.2">
      <c r="A3400" s="12">
        <v>41849</v>
      </c>
      <c r="B3400" s="9">
        <v>744.93</v>
      </c>
      <c r="C3400" s="9">
        <v>740.55</v>
      </c>
      <c r="D3400" s="9">
        <v>743.09</v>
      </c>
      <c r="E3400" s="9">
        <f t="shared" si="160"/>
        <v>4.8023186545475246E-3</v>
      </c>
      <c r="F3400" s="9">
        <f t="shared" si="158"/>
        <v>2.1824657043515387E-3</v>
      </c>
      <c r="G3400" s="9">
        <f t="shared" si="159"/>
        <v>6.6928398512539084E-3</v>
      </c>
    </row>
    <row r="3401" spans="1:7" x14ac:dyDescent="0.2">
      <c r="A3401" s="12">
        <v>41850</v>
      </c>
      <c r="B3401" s="9">
        <v>747.75</v>
      </c>
      <c r="C3401" s="9">
        <v>743.56</v>
      </c>
      <c r="D3401" s="9">
        <v>743.88</v>
      </c>
      <c r="E3401" s="9">
        <f t="shared" si="160"/>
        <v>1.0625635679651685E-3</v>
      </c>
      <c r="F3401" s="9">
        <f t="shared" si="158"/>
        <v>-1.0882928984808585E-3</v>
      </c>
      <c r="G3401" s="9">
        <f t="shared" si="159"/>
        <v>6.6475292422368036E-3</v>
      </c>
    </row>
    <row r="3402" spans="1:7" x14ac:dyDescent="0.2">
      <c r="A3402" s="12">
        <v>41851</v>
      </c>
      <c r="B3402" s="9">
        <v>747.6</v>
      </c>
      <c r="C3402" s="9">
        <v>734.35</v>
      </c>
      <c r="D3402" s="9">
        <v>737.23</v>
      </c>
      <c r="E3402" s="9">
        <f t="shared" si="160"/>
        <v>-8.9798120143549168E-3</v>
      </c>
      <c r="F3402" s="9">
        <f t="shared" si="158"/>
        <v>-1.1141800811122938E-2</v>
      </c>
      <c r="G3402" s="9">
        <f t="shared" si="159"/>
        <v>6.8402596120167415E-3</v>
      </c>
    </row>
    <row r="3403" spans="1:7" x14ac:dyDescent="0.2">
      <c r="A3403" s="12">
        <v>41852</v>
      </c>
      <c r="B3403" s="9">
        <v>736.43</v>
      </c>
      <c r="C3403" s="9">
        <v>719.02</v>
      </c>
      <c r="D3403" s="9">
        <v>723.57</v>
      </c>
      <c r="E3403" s="9">
        <f t="shared" si="160"/>
        <v>-1.870262619561425E-2</v>
      </c>
      <c r="F3403" s="9">
        <f t="shared" si="158"/>
        <v>-2.7655551791641857E-2</v>
      </c>
      <c r="G3403" s="9">
        <f t="shared" si="159"/>
        <v>7.6124356513217967E-3</v>
      </c>
    </row>
    <row r="3404" spans="1:7" x14ac:dyDescent="0.2">
      <c r="A3404" s="12">
        <v>41855</v>
      </c>
      <c r="B3404" s="9">
        <v>729.78</v>
      </c>
      <c r="C3404" s="9">
        <v>723.85</v>
      </c>
      <c r="D3404" s="9">
        <v>724.09</v>
      </c>
      <c r="E3404" s="9">
        <f t="shared" si="160"/>
        <v>7.1840076035012597E-4</v>
      </c>
      <c r="F3404" s="9">
        <f t="shared" si="158"/>
        <v>-2.5497672761675937E-2</v>
      </c>
      <c r="G3404" s="9">
        <f t="shared" si="159"/>
        <v>7.6175690666530878E-3</v>
      </c>
    </row>
    <row r="3405" spans="1:7" x14ac:dyDescent="0.2">
      <c r="A3405" s="12">
        <v>41856</v>
      </c>
      <c r="B3405" s="9">
        <v>734.03</v>
      </c>
      <c r="C3405" s="9">
        <v>726.71</v>
      </c>
      <c r="D3405" s="9">
        <v>733.3</v>
      </c>
      <c r="E3405" s="9">
        <f t="shared" si="160"/>
        <v>1.2639201047544485E-2</v>
      </c>
      <c r="F3405" s="9">
        <f t="shared" si="158"/>
        <v>-7.594164972194545E-3</v>
      </c>
      <c r="G3405" s="9">
        <f t="shared" si="159"/>
        <v>7.953699073365357E-3</v>
      </c>
    </row>
    <row r="3406" spans="1:7" x14ac:dyDescent="0.2">
      <c r="A3406" s="12">
        <v>41857</v>
      </c>
      <c r="B3406" s="9">
        <v>729.95</v>
      </c>
      <c r="C3406" s="9">
        <v>718.54</v>
      </c>
      <c r="D3406" s="9">
        <v>723.62</v>
      </c>
      <c r="E3406" s="9">
        <f t="shared" si="160"/>
        <v>-1.328850238070141E-2</v>
      </c>
      <c r="F3406" s="9">
        <f t="shared" si="158"/>
        <v>-1.2674649754257375E-2</v>
      </c>
      <c r="G3406" s="9">
        <f t="shared" si="159"/>
        <v>8.1797874701966741E-3</v>
      </c>
    </row>
    <row r="3407" spans="1:7" x14ac:dyDescent="0.2">
      <c r="A3407" s="12">
        <v>41858</v>
      </c>
      <c r="B3407" s="9">
        <v>728.21</v>
      </c>
      <c r="C3407" s="9">
        <v>712.67</v>
      </c>
      <c r="D3407" s="9">
        <v>715.35</v>
      </c>
      <c r="E3407" s="9">
        <f t="shared" si="160"/>
        <v>-1.1494459306709254E-2</v>
      </c>
      <c r="F3407" s="9">
        <f t="shared" si="158"/>
        <v>-3.0168678111026328E-2</v>
      </c>
      <c r="G3407" s="9">
        <f t="shared" si="159"/>
        <v>8.3283958002258809E-3</v>
      </c>
    </row>
    <row r="3408" spans="1:7" x14ac:dyDescent="0.2">
      <c r="A3408" s="12">
        <v>41859</v>
      </c>
      <c r="B3408" s="9">
        <v>709.49</v>
      </c>
      <c r="C3408" s="9">
        <v>692.41</v>
      </c>
      <c r="D3408" s="9">
        <v>704.74</v>
      </c>
      <c r="E3408" s="9">
        <f t="shared" si="160"/>
        <v>-1.4942992947667566E-2</v>
      </c>
      <c r="F3408" s="9">
        <f t="shared" si="158"/>
        <v>-4.7698994623644755E-2</v>
      </c>
      <c r="G3408" s="9">
        <f t="shared" si="159"/>
        <v>8.675372233395295E-3</v>
      </c>
    </row>
    <row r="3409" spans="1:7" x14ac:dyDescent="0.2">
      <c r="A3409" s="12">
        <v>41862</v>
      </c>
      <c r="B3409" s="9">
        <v>719.02</v>
      </c>
      <c r="C3409" s="9">
        <v>714.33</v>
      </c>
      <c r="D3409" s="9">
        <v>717.45</v>
      </c>
      <c r="E3409" s="9">
        <f t="shared" si="160"/>
        <v>1.7874318329740103E-2</v>
      </c>
      <c r="F3409" s="9">
        <f t="shared" si="158"/>
        <v>-3.2054422013291659E-2</v>
      </c>
      <c r="G3409" s="9">
        <f t="shared" si="159"/>
        <v>9.356373779250084E-3</v>
      </c>
    </row>
    <row r="3410" spans="1:7" x14ac:dyDescent="0.2">
      <c r="A3410" s="12">
        <v>41863</v>
      </c>
      <c r="B3410" s="9">
        <v>721.93</v>
      </c>
      <c r="C3410" s="9">
        <v>716.98</v>
      </c>
      <c r="D3410" s="9">
        <v>719.38</v>
      </c>
      <c r="E3410" s="9">
        <f t="shared" si="160"/>
        <v>2.6864711354222673E-3</v>
      </c>
      <c r="F3410" s="9">
        <f t="shared" si="158"/>
        <v>-3.2790719652206389E-2</v>
      </c>
      <c r="G3410" s="9">
        <f t="shared" si="159"/>
        <v>9.345145243183299E-3</v>
      </c>
    </row>
    <row r="3411" spans="1:7" x14ac:dyDescent="0.2">
      <c r="A3411" s="12">
        <v>41864</v>
      </c>
      <c r="B3411" s="9">
        <v>723.48</v>
      </c>
      <c r="C3411" s="9">
        <v>718.65</v>
      </c>
      <c r="D3411" s="9">
        <v>722.94</v>
      </c>
      <c r="E3411" s="9">
        <f t="shared" si="160"/>
        <v>4.9365012334021676E-3</v>
      </c>
      <c r="F3411" s="9">
        <f t="shared" si="158"/>
        <v>-3.5132339210112537E-2</v>
      </c>
      <c r="G3411" s="9">
        <f t="shared" si="159"/>
        <v>9.2823837336971585E-3</v>
      </c>
    </row>
    <row r="3412" spans="1:7" x14ac:dyDescent="0.2">
      <c r="A3412" s="12">
        <v>41865</v>
      </c>
      <c r="B3412" s="9">
        <v>723.59</v>
      </c>
      <c r="C3412" s="9">
        <v>718.31</v>
      </c>
      <c r="D3412" s="9">
        <v>721.31</v>
      </c>
      <c r="E3412" s="9">
        <f t="shared" si="160"/>
        <v>-2.2572278927906718E-3</v>
      </c>
      <c r="F3412" s="9">
        <f t="shared" si="158"/>
        <v>-3.9857172711344681E-2</v>
      </c>
      <c r="G3412" s="9">
        <f t="shared" si="159"/>
        <v>9.2585698493264073E-3</v>
      </c>
    </row>
    <row r="3413" spans="1:7" x14ac:dyDescent="0.2">
      <c r="A3413" s="12">
        <v>41866</v>
      </c>
      <c r="B3413" s="9">
        <v>727.37</v>
      </c>
      <c r="C3413" s="9">
        <v>718.58</v>
      </c>
      <c r="D3413" s="9">
        <v>718.58</v>
      </c>
      <c r="E3413" s="9">
        <f t="shared" si="160"/>
        <v>-3.7919608736975158E-3</v>
      </c>
      <c r="F3413" s="9">
        <f t="shared" si="158"/>
        <v>-3.9912008953741175E-2</v>
      </c>
      <c r="G3413" s="9">
        <f t="shared" si="159"/>
        <v>9.2590671546884488E-3</v>
      </c>
    </row>
    <row r="3414" spans="1:7" x14ac:dyDescent="0.2">
      <c r="A3414" s="12">
        <v>41869</v>
      </c>
      <c r="B3414" s="9">
        <v>728.58</v>
      </c>
      <c r="C3414" s="9">
        <v>723.47</v>
      </c>
      <c r="D3414" s="9">
        <v>727.4</v>
      </c>
      <c r="E3414" s="9">
        <f t="shared" si="160"/>
        <v>1.2199490156136639E-2</v>
      </c>
      <c r="F3414" s="9">
        <f t="shared" si="158"/>
        <v>-2.1932582230671186E-2</v>
      </c>
      <c r="G3414" s="9">
        <f t="shared" si="159"/>
        <v>9.538784078531249E-3</v>
      </c>
    </row>
    <row r="3415" spans="1:7" x14ac:dyDescent="0.2">
      <c r="A3415" s="12">
        <v>41870</v>
      </c>
      <c r="B3415" s="9">
        <v>735.75</v>
      </c>
      <c r="C3415" s="9">
        <v>732.63</v>
      </c>
      <c r="D3415" s="9">
        <v>735.68</v>
      </c>
      <c r="E3415" s="9">
        <f t="shared" si="160"/>
        <v>1.1318709021928034E-2</v>
      </c>
      <c r="F3415" s="9">
        <f t="shared" si="158"/>
        <v>1.4010462528613215E-3</v>
      </c>
      <c r="G3415" s="9">
        <f t="shared" si="159"/>
        <v>9.5382853007670663E-3</v>
      </c>
    </row>
    <row r="3416" spans="1:7" x14ac:dyDescent="0.2">
      <c r="A3416" s="12">
        <v>41871</v>
      </c>
      <c r="B3416" s="9">
        <v>738.55</v>
      </c>
      <c r="C3416" s="9">
        <v>731.99</v>
      </c>
      <c r="D3416" s="9">
        <v>736.06</v>
      </c>
      <c r="E3416" s="9">
        <f t="shared" si="160"/>
        <v>5.1639557047364663E-4</v>
      </c>
      <c r="F3416" s="9">
        <f t="shared" si="158"/>
        <v>8.5274108526049129E-3</v>
      </c>
      <c r="G3416" s="9">
        <f t="shared" si="159"/>
        <v>9.4551650207675818E-3</v>
      </c>
    </row>
    <row r="3417" spans="1:7" x14ac:dyDescent="0.2">
      <c r="A3417" s="12">
        <v>41872</v>
      </c>
      <c r="B3417" s="9">
        <v>736.71</v>
      </c>
      <c r="C3417" s="9">
        <v>731.58</v>
      </c>
      <c r="D3417" s="9">
        <v>736</v>
      </c>
      <c r="E3417" s="9">
        <f t="shared" si="160"/>
        <v>-8.1518416413928039E-5</v>
      </c>
      <c r="F3417" s="9">
        <f t="shared" si="158"/>
        <v>1.3501056573128634E-2</v>
      </c>
      <c r="G3417" s="9">
        <f t="shared" si="159"/>
        <v>9.4017682169847527E-3</v>
      </c>
    </row>
    <row r="3418" spans="1:7" x14ac:dyDescent="0.2">
      <c r="A3418" s="12">
        <v>41873</v>
      </c>
      <c r="B3418" s="9">
        <v>738.36</v>
      </c>
      <c r="C3418" s="9">
        <v>731.18</v>
      </c>
      <c r="D3418" s="9">
        <v>732.49</v>
      </c>
      <c r="E3418" s="9">
        <f t="shared" si="160"/>
        <v>-4.7804298079746682E-3</v>
      </c>
      <c r="F3418" s="9">
        <f t="shared" si="158"/>
        <v>4.1862816964843277E-3</v>
      </c>
      <c r="G3418" s="9">
        <f t="shared" si="159"/>
        <v>9.4160320589561104E-3</v>
      </c>
    </row>
    <row r="3419" spans="1:7" x14ac:dyDescent="0.2">
      <c r="A3419" s="12">
        <v>41876</v>
      </c>
      <c r="B3419" s="9">
        <v>740.2</v>
      </c>
      <c r="C3419" s="9">
        <v>737.21</v>
      </c>
      <c r="D3419" s="9">
        <v>739.05</v>
      </c>
      <c r="E3419" s="9">
        <f t="shared" si="160"/>
        <v>8.9158887371802581E-3</v>
      </c>
      <c r="F3419" s="9">
        <f t="shared" si="158"/>
        <v>3.8501735399957327E-3</v>
      </c>
      <c r="G3419" s="9">
        <f t="shared" si="159"/>
        <v>9.4050092944802117E-3</v>
      </c>
    </row>
    <row r="3420" spans="1:7" x14ac:dyDescent="0.2">
      <c r="A3420" s="12">
        <v>41877</v>
      </c>
      <c r="B3420" s="9">
        <v>741.09</v>
      </c>
      <c r="C3420" s="9">
        <v>735.34</v>
      </c>
      <c r="D3420" s="9">
        <v>740.96</v>
      </c>
      <c r="E3420" s="9">
        <f t="shared" si="160"/>
        <v>2.5810650743602441E-3</v>
      </c>
      <c r="F3420" s="9">
        <f t="shared" si="158"/>
        <v>1.0910087320467601E-2</v>
      </c>
      <c r="G3420" s="9">
        <f t="shared" si="159"/>
        <v>9.374028809035052E-3</v>
      </c>
    </row>
    <row r="3421" spans="1:7" x14ac:dyDescent="0.2">
      <c r="A3421" s="12">
        <v>41878</v>
      </c>
      <c r="B3421" s="9">
        <v>744.22</v>
      </c>
      <c r="C3421" s="9">
        <v>741.02</v>
      </c>
      <c r="D3421" s="9">
        <v>743.91</v>
      </c>
      <c r="E3421" s="9">
        <f t="shared" si="160"/>
        <v>3.9734170415270404E-3</v>
      </c>
      <c r="F3421" s="9">
        <f t="shared" si="158"/>
        <v>3.7844908166556552E-3</v>
      </c>
      <c r="G3421" s="9">
        <f t="shared" si="159"/>
        <v>9.1809214905598045E-3</v>
      </c>
    </row>
    <row r="3422" spans="1:7" x14ac:dyDescent="0.2">
      <c r="A3422" s="12">
        <v>41879</v>
      </c>
      <c r="B3422" s="9">
        <v>744.3</v>
      </c>
      <c r="C3422" s="9">
        <v>737.11</v>
      </c>
      <c r="D3422" s="9">
        <v>738.86</v>
      </c>
      <c r="E3422" s="9">
        <f t="shared" si="160"/>
        <v>-6.8116019689860646E-3</v>
      </c>
      <c r="F3422" s="9">
        <f t="shared" si="158"/>
        <v>-1.2849386688165039E-3</v>
      </c>
      <c r="G3422" s="9">
        <f t="shared" si="159"/>
        <v>9.2627831452075111E-3</v>
      </c>
    </row>
    <row r="3423" spans="1:7" x14ac:dyDescent="0.2">
      <c r="A3423" s="12">
        <v>41880</v>
      </c>
      <c r="B3423" s="9">
        <v>742.15</v>
      </c>
      <c r="C3423" s="9">
        <v>735.36</v>
      </c>
      <c r="D3423" s="9">
        <v>737.12</v>
      </c>
      <c r="E3423" s="9">
        <f t="shared" si="160"/>
        <v>-2.3577566173759493E-3</v>
      </c>
      <c r="F3423" s="9">
        <f t="shared" si="158"/>
        <v>6.5877467047928476E-3</v>
      </c>
      <c r="G3423" s="9">
        <f t="shared" si="159"/>
        <v>9.0737987543891476E-3</v>
      </c>
    </row>
    <row r="3424" spans="1:7" x14ac:dyDescent="0.2">
      <c r="A3424" s="12">
        <v>41883</v>
      </c>
      <c r="B3424" s="9">
        <v>742.27</v>
      </c>
      <c r="C3424" s="9">
        <v>734.68</v>
      </c>
      <c r="D3424" s="9">
        <v>737.73</v>
      </c>
      <c r="E3424" s="9">
        <f t="shared" si="160"/>
        <v>8.2720281355178017E-4</v>
      </c>
      <c r="F3424" s="9">
        <f t="shared" si="158"/>
        <v>1.4060129516217237E-2</v>
      </c>
      <c r="G3424" s="9">
        <f t="shared" si="159"/>
        <v>8.9809449186659014E-3</v>
      </c>
    </row>
    <row r="3425" spans="1:7" x14ac:dyDescent="0.2">
      <c r="A3425" s="12">
        <v>41884</v>
      </c>
      <c r="B3425" s="9">
        <v>740.14</v>
      </c>
      <c r="C3425" s="9">
        <v>734.01</v>
      </c>
      <c r="D3425" s="9">
        <v>738.21</v>
      </c>
      <c r="E3425" s="9">
        <f t="shared" si="160"/>
        <v>6.5043296735994534E-4</v>
      </c>
      <c r="F3425" s="9">
        <f t="shared" ref="F3425:F3488" si="161">LN(D3425/D3395)</f>
        <v>-3.9881894456952139E-3</v>
      </c>
      <c r="G3425" s="9">
        <f t="shared" si="159"/>
        <v>8.2960374897228257E-3</v>
      </c>
    </row>
    <row r="3426" spans="1:7" x14ac:dyDescent="0.2">
      <c r="A3426" s="12">
        <v>41885</v>
      </c>
      <c r="B3426" s="9">
        <v>744.48</v>
      </c>
      <c r="C3426" s="9">
        <v>737.48</v>
      </c>
      <c r="D3426" s="9">
        <v>743.03</v>
      </c>
      <c r="E3426" s="9">
        <f t="shared" si="160"/>
        <v>6.5080837847232616E-3</v>
      </c>
      <c r="F3426" s="9">
        <f t="shared" si="161"/>
        <v>2.0747454428631917E-3</v>
      </c>
      <c r="G3426" s="9">
        <f t="shared" si="159"/>
        <v>8.3839884401757173E-3</v>
      </c>
    </row>
    <row r="3427" spans="1:7" x14ac:dyDescent="0.2">
      <c r="A3427" s="12">
        <v>41886</v>
      </c>
      <c r="B3427" s="9">
        <v>745.54</v>
      </c>
      <c r="C3427" s="9">
        <v>739.97</v>
      </c>
      <c r="D3427" s="9">
        <v>744.4</v>
      </c>
      <c r="E3427" s="9">
        <f t="shared" si="160"/>
        <v>1.8421040148540117E-3</v>
      </c>
      <c r="F3427" s="9">
        <f t="shared" si="161"/>
        <v>6.0769982678342141E-3</v>
      </c>
      <c r="G3427" s="9">
        <f t="shared" si="159"/>
        <v>8.3791329396610513E-3</v>
      </c>
    </row>
    <row r="3428" spans="1:7" x14ac:dyDescent="0.2">
      <c r="A3428" s="12">
        <v>41887</v>
      </c>
      <c r="B3428" s="9">
        <v>745.45</v>
      </c>
      <c r="C3428" s="9">
        <v>738.9</v>
      </c>
      <c r="D3428" s="9">
        <v>739.78</v>
      </c>
      <c r="E3428" s="9">
        <f t="shared" si="160"/>
        <v>-6.225680068779979E-3</v>
      </c>
      <c r="F3428" s="9">
        <f t="shared" si="161"/>
        <v>-2.9829212882991848E-3</v>
      </c>
      <c r="G3428" s="9">
        <f t="shared" si="159"/>
        <v>8.4440282460715513E-3</v>
      </c>
    </row>
    <row r="3429" spans="1:7" x14ac:dyDescent="0.2">
      <c r="A3429" s="12">
        <v>41890</v>
      </c>
      <c r="B3429" s="9">
        <v>744.98</v>
      </c>
      <c r="C3429" s="9">
        <v>739.83</v>
      </c>
      <c r="D3429" s="9">
        <v>744.95</v>
      </c>
      <c r="E3429" s="9">
        <f t="shared" si="160"/>
        <v>6.9642573340325531E-3</v>
      </c>
      <c r="F3429" s="9">
        <f t="shared" si="161"/>
        <v>7.3022527540323439E-3</v>
      </c>
      <c r="G3429" s="9">
        <f t="shared" si="159"/>
        <v>8.5172003133657907E-3</v>
      </c>
    </row>
    <row r="3430" spans="1:7" x14ac:dyDescent="0.2">
      <c r="A3430" s="12">
        <v>41891</v>
      </c>
      <c r="B3430" s="9">
        <v>752.87</v>
      </c>
      <c r="C3430" s="9">
        <v>737.74</v>
      </c>
      <c r="D3430" s="9">
        <v>748.81</v>
      </c>
      <c r="E3430" s="9">
        <f t="shared" si="160"/>
        <v>5.1681777417154689E-3</v>
      </c>
      <c r="F3430" s="9">
        <f t="shared" si="161"/>
        <v>7.6681118412003845E-3</v>
      </c>
      <c r="G3430" s="9">
        <f t="shared" si="159"/>
        <v>8.5242120937165759E-3</v>
      </c>
    </row>
    <row r="3431" spans="1:7" x14ac:dyDescent="0.2">
      <c r="A3431" s="12">
        <v>41892</v>
      </c>
      <c r="B3431" s="9">
        <v>749.8</v>
      </c>
      <c r="C3431" s="9">
        <v>743.3</v>
      </c>
      <c r="D3431" s="9">
        <v>749.55</v>
      </c>
      <c r="E3431" s="9">
        <f t="shared" si="160"/>
        <v>9.8774668325996321E-4</v>
      </c>
      <c r="F3431" s="9">
        <f t="shared" si="161"/>
        <v>7.5932949564952879E-3</v>
      </c>
      <c r="G3431" s="9">
        <f t="shared" ref="G3431:G3494" si="162">STDEV(E3402:E3431)</f>
        <v>8.5239788048073403E-3</v>
      </c>
    </row>
    <row r="3432" spans="1:7" x14ac:dyDescent="0.2">
      <c r="A3432" s="12">
        <v>41893</v>
      </c>
      <c r="B3432" s="9">
        <v>755.66</v>
      </c>
      <c r="C3432" s="9">
        <v>748.96</v>
      </c>
      <c r="D3432" s="9">
        <v>751.22</v>
      </c>
      <c r="E3432" s="9">
        <f t="shared" si="160"/>
        <v>2.2255251494730042E-3</v>
      </c>
      <c r="F3432" s="9">
        <f t="shared" si="161"/>
        <v>1.8798632120323289E-2</v>
      </c>
      <c r="G3432" s="9">
        <f t="shared" si="162"/>
        <v>8.3491615979679346E-3</v>
      </c>
    </row>
    <row r="3433" spans="1:7" x14ac:dyDescent="0.2">
      <c r="A3433" s="12">
        <v>41894</v>
      </c>
      <c r="B3433" s="9">
        <v>761.73</v>
      </c>
      <c r="C3433" s="9">
        <v>757.18</v>
      </c>
      <c r="D3433" s="9">
        <v>759.04</v>
      </c>
      <c r="E3433" s="9">
        <f t="shared" si="160"/>
        <v>1.035592532145458E-2</v>
      </c>
      <c r="F3433" s="9">
        <f t="shared" si="161"/>
        <v>4.7857183637392005E-2</v>
      </c>
      <c r="G3433" s="9">
        <f t="shared" si="162"/>
        <v>7.6888620663699732E-3</v>
      </c>
    </row>
    <row r="3434" spans="1:7" x14ac:dyDescent="0.2">
      <c r="A3434" s="12">
        <v>41897</v>
      </c>
      <c r="B3434" s="9">
        <v>761</v>
      </c>
      <c r="C3434" s="9">
        <v>756.53</v>
      </c>
      <c r="D3434" s="9">
        <v>759.05</v>
      </c>
      <c r="E3434" s="9">
        <f t="shared" si="160"/>
        <v>1.3174449472936758E-5</v>
      </c>
      <c r="F3434" s="9">
        <f t="shared" si="161"/>
        <v>4.7151957326514671E-2</v>
      </c>
      <c r="G3434" s="9">
        <f t="shared" si="162"/>
        <v>7.6927124085981492E-3</v>
      </c>
    </row>
    <row r="3435" spans="1:7" x14ac:dyDescent="0.2">
      <c r="A3435" s="12">
        <v>41898</v>
      </c>
      <c r="B3435" s="9">
        <v>759.33</v>
      </c>
      <c r="C3435" s="9">
        <v>749.98</v>
      </c>
      <c r="D3435" s="9">
        <v>752.34</v>
      </c>
      <c r="E3435" s="9">
        <f t="shared" si="160"/>
        <v>-8.8793019482225118E-3</v>
      </c>
      <c r="F3435" s="9">
        <f t="shared" si="161"/>
        <v>2.5633454330747801E-2</v>
      </c>
      <c r="G3435" s="9">
        <f t="shared" si="162"/>
        <v>7.6281178402735498E-3</v>
      </c>
    </row>
    <row r="3436" spans="1:7" x14ac:dyDescent="0.2">
      <c r="A3436" s="12">
        <v>41899</v>
      </c>
      <c r="B3436" s="9">
        <v>763.88</v>
      </c>
      <c r="C3436" s="9">
        <v>756.73</v>
      </c>
      <c r="D3436" s="9">
        <v>763.59</v>
      </c>
      <c r="E3436" s="9">
        <f t="shared" si="160"/>
        <v>1.4842646473631932E-2</v>
      </c>
      <c r="F3436" s="9">
        <f t="shared" si="161"/>
        <v>5.3764603185081028E-2</v>
      </c>
      <c r="G3436" s="9">
        <f t="shared" si="162"/>
        <v>7.5583367493859844E-3</v>
      </c>
    </row>
    <row r="3437" spans="1:7" x14ac:dyDescent="0.2">
      <c r="A3437" s="12">
        <v>41900</v>
      </c>
      <c r="B3437" s="9">
        <v>773.17</v>
      </c>
      <c r="C3437" s="9">
        <v>767.01</v>
      </c>
      <c r="D3437" s="9">
        <v>770.13</v>
      </c>
      <c r="E3437" s="9">
        <f t="shared" si="160"/>
        <v>8.5283358620495686E-3</v>
      </c>
      <c r="F3437" s="9">
        <f t="shared" si="161"/>
        <v>7.3787398353839781E-2</v>
      </c>
      <c r="G3437" s="9">
        <f t="shared" si="162"/>
        <v>7.2211459336239863E-3</v>
      </c>
    </row>
    <row r="3438" spans="1:7" x14ac:dyDescent="0.2">
      <c r="A3438" s="12">
        <v>41901</v>
      </c>
      <c r="B3438" s="9">
        <v>775.56</v>
      </c>
      <c r="C3438" s="9">
        <v>769.98</v>
      </c>
      <c r="D3438" s="9">
        <v>773</v>
      </c>
      <c r="E3438" s="9">
        <f t="shared" si="160"/>
        <v>3.7197168212391796E-3</v>
      </c>
      <c r="F3438" s="9">
        <f t="shared" si="161"/>
        <v>9.2450108122746344E-2</v>
      </c>
      <c r="G3438" s="9">
        <f t="shared" si="162"/>
        <v>6.4308845846895221E-3</v>
      </c>
    </row>
    <row r="3439" spans="1:7" x14ac:dyDescent="0.2">
      <c r="A3439" s="12">
        <v>41904</v>
      </c>
      <c r="B3439" s="9">
        <v>774.58</v>
      </c>
      <c r="C3439" s="9">
        <v>768.62</v>
      </c>
      <c r="D3439" s="9">
        <v>771.99</v>
      </c>
      <c r="E3439" s="9">
        <f t="shared" si="160"/>
        <v>-1.3074520144170012E-3</v>
      </c>
      <c r="F3439" s="9">
        <f t="shared" si="161"/>
        <v>7.3268337778589224E-2</v>
      </c>
      <c r="G3439" s="9">
        <f t="shared" si="162"/>
        <v>5.835412996718246E-3</v>
      </c>
    </row>
    <row r="3440" spans="1:7" x14ac:dyDescent="0.2">
      <c r="A3440" s="12">
        <v>41905</v>
      </c>
      <c r="B3440" s="9">
        <v>772.24</v>
      </c>
      <c r="C3440" s="9">
        <v>761.7</v>
      </c>
      <c r="D3440" s="9">
        <v>762.45</v>
      </c>
      <c r="E3440" s="9">
        <f t="shared" si="160"/>
        <v>-1.2434664011983688E-2</v>
      </c>
      <c r="F3440" s="9">
        <f t="shared" si="161"/>
        <v>5.8147202631183267E-2</v>
      </c>
      <c r="G3440" s="9">
        <f t="shared" si="162"/>
        <v>6.435760671637895E-3</v>
      </c>
    </row>
    <row r="3441" spans="1:7" x14ac:dyDescent="0.2">
      <c r="A3441" s="12">
        <v>41906</v>
      </c>
      <c r="B3441" s="9">
        <v>766.13</v>
      </c>
      <c r="C3441" s="9">
        <v>758.52</v>
      </c>
      <c r="D3441" s="9">
        <v>760.19</v>
      </c>
      <c r="E3441" s="9">
        <f t="shared" si="160"/>
        <v>-2.9685305254370555E-3</v>
      </c>
      <c r="F3441" s="9">
        <f t="shared" si="161"/>
        <v>5.0242170872343964E-2</v>
      </c>
      <c r="G3441" s="9">
        <f t="shared" si="162"/>
        <v>6.4705041400632745E-3</v>
      </c>
    </row>
    <row r="3442" spans="1:7" x14ac:dyDescent="0.2">
      <c r="A3442" s="12">
        <v>41907</v>
      </c>
      <c r="B3442" s="9">
        <v>769.22</v>
      </c>
      <c r="C3442" s="9">
        <v>759.1</v>
      </c>
      <c r="D3442" s="9">
        <v>760.91</v>
      </c>
      <c r="E3442" s="9">
        <f t="shared" si="160"/>
        <v>9.4668339198285029E-4</v>
      </c>
      <c r="F3442" s="9">
        <f t="shared" si="161"/>
        <v>5.3446082157117429E-2</v>
      </c>
      <c r="G3442" s="9">
        <f t="shared" si="162"/>
        <v>6.4296801654140567E-3</v>
      </c>
    </row>
    <row r="3443" spans="1:7" x14ac:dyDescent="0.2">
      <c r="A3443" s="12">
        <v>41908</v>
      </c>
      <c r="B3443" s="9">
        <v>767.36</v>
      </c>
      <c r="C3443" s="9">
        <v>757.78</v>
      </c>
      <c r="D3443" s="9">
        <v>766.28</v>
      </c>
      <c r="E3443" s="9">
        <f t="shared" si="160"/>
        <v>7.0325527693333289E-3</v>
      </c>
      <c r="F3443" s="9">
        <f t="shared" si="161"/>
        <v>6.4270595800148253E-2</v>
      </c>
      <c r="G3443" s="9">
        <f t="shared" si="162"/>
        <v>6.4098159157936789E-3</v>
      </c>
    </row>
    <row r="3444" spans="1:7" x14ac:dyDescent="0.2">
      <c r="A3444" s="12">
        <v>41911</v>
      </c>
      <c r="B3444" s="9">
        <v>768.13</v>
      </c>
      <c r="C3444" s="9">
        <v>759.28</v>
      </c>
      <c r="D3444" s="9">
        <v>763.68</v>
      </c>
      <c r="E3444" s="9">
        <f t="shared" si="160"/>
        <v>-3.3987849393139254E-3</v>
      </c>
      <c r="F3444" s="9">
        <f t="shared" si="161"/>
        <v>4.8672320704697729E-2</v>
      </c>
      <c r="G3444" s="9">
        <f t="shared" si="162"/>
        <v>6.1949213456215834E-3</v>
      </c>
    </row>
    <row r="3445" spans="1:7" x14ac:dyDescent="0.2">
      <c r="A3445" s="12">
        <v>41912</v>
      </c>
      <c r="B3445" s="9">
        <v>766.03</v>
      </c>
      <c r="C3445" s="9">
        <v>760.05</v>
      </c>
      <c r="D3445" s="9">
        <v>762.65</v>
      </c>
      <c r="E3445" s="9">
        <f t="shared" si="160"/>
        <v>-1.3496428116442532E-3</v>
      </c>
      <c r="F3445" s="9">
        <f t="shared" si="161"/>
        <v>3.6003968871125509E-2</v>
      </c>
      <c r="G3445" s="9">
        <f t="shared" si="162"/>
        <v>5.9376060230996114E-3</v>
      </c>
    </row>
    <row r="3446" spans="1:7" x14ac:dyDescent="0.2">
      <c r="A3446" s="12">
        <v>41913</v>
      </c>
      <c r="B3446" s="9">
        <v>769.59</v>
      </c>
      <c r="C3446" s="9">
        <v>760</v>
      </c>
      <c r="D3446" s="9">
        <v>763.38</v>
      </c>
      <c r="E3446" s="9">
        <f t="shared" si="160"/>
        <v>9.56730936721849E-4</v>
      </c>
      <c r="F3446" s="9">
        <f t="shared" si="161"/>
        <v>3.6444304237373756E-2</v>
      </c>
      <c r="G3446" s="9">
        <f t="shared" si="162"/>
        <v>5.936401668776581E-3</v>
      </c>
    </row>
    <row r="3447" spans="1:7" x14ac:dyDescent="0.2">
      <c r="A3447" s="12">
        <v>41914</v>
      </c>
      <c r="B3447" s="9">
        <v>763.66</v>
      </c>
      <c r="C3447" s="9">
        <v>748.19</v>
      </c>
      <c r="D3447" s="9">
        <v>748.24</v>
      </c>
      <c r="E3447" s="9">
        <f t="shared" si="160"/>
        <v>-2.0032159256368441E-2</v>
      </c>
      <c r="F3447" s="9">
        <f t="shared" si="161"/>
        <v>1.6493663397419336E-2</v>
      </c>
      <c r="G3447" s="9">
        <f t="shared" si="162"/>
        <v>7.0916918776577544E-3</v>
      </c>
    </row>
    <row r="3448" spans="1:7" x14ac:dyDescent="0.2">
      <c r="A3448" s="12">
        <v>41915</v>
      </c>
      <c r="B3448" s="9">
        <v>757.65</v>
      </c>
      <c r="C3448" s="9">
        <v>748.43</v>
      </c>
      <c r="D3448" s="9">
        <v>756.48</v>
      </c>
      <c r="E3448" s="9">
        <f t="shared" si="160"/>
        <v>1.0952313211328462E-2</v>
      </c>
      <c r="F3448" s="9">
        <f t="shared" si="161"/>
        <v>3.2226406416722565E-2</v>
      </c>
      <c r="G3448" s="9">
        <f t="shared" si="162"/>
        <v>7.2635636765032976E-3</v>
      </c>
    </row>
    <row r="3449" spans="1:7" x14ac:dyDescent="0.2">
      <c r="A3449" s="12">
        <v>41918</v>
      </c>
      <c r="B3449" s="9">
        <v>758.87</v>
      </c>
      <c r="C3449" s="9">
        <v>751.45</v>
      </c>
      <c r="D3449" s="9">
        <v>751.45</v>
      </c>
      <c r="E3449" s="9">
        <f t="shared" si="160"/>
        <v>-6.6714219575206637E-3</v>
      </c>
      <c r="F3449" s="9">
        <f t="shared" si="161"/>
        <v>1.6639095722021623E-2</v>
      </c>
      <c r="G3449" s="9">
        <f t="shared" si="162"/>
        <v>7.2407504666625469E-3</v>
      </c>
    </row>
    <row r="3450" spans="1:7" x14ac:dyDescent="0.2">
      <c r="A3450" s="12">
        <v>41919</v>
      </c>
      <c r="B3450" s="9">
        <v>750.81</v>
      </c>
      <c r="C3450" s="9">
        <v>734.08</v>
      </c>
      <c r="D3450" s="9">
        <v>736.85</v>
      </c>
      <c r="E3450" s="9">
        <f t="shared" si="160"/>
        <v>-1.9620329720831393E-2</v>
      </c>
      <c r="F3450" s="9">
        <f t="shared" si="161"/>
        <v>-5.5622990731699256E-3</v>
      </c>
      <c r="G3450" s="9">
        <f t="shared" si="162"/>
        <v>8.1089952994857443E-3</v>
      </c>
    </row>
    <row r="3451" spans="1:7" x14ac:dyDescent="0.2">
      <c r="A3451" s="12">
        <v>41920</v>
      </c>
      <c r="B3451" s="9">
        <v>731.6</v>
      </c>
      <c r="C3451" s="9">
        <v>718.28</v>
      </c>
      <c r="D3451" s="9">
        <v>721.3</v>
      </c>
      <c r="E3451" s="9">
        <f t="shared" si="160"/>
        <v>-2.1329204149645075E-2</v>
      </c>
      <c r="F3451" s="9">
        <f t="shared" si="161"/>
        <v>-3.0864920264342028E-2</v>
      </c>
      <c r="G3451" s="9">
        <f t="shared" si="162"/>
        <v>8.9352879926801517E-3</v>
      </c>
    </row>
    <row r="3452" spans="1:7" x14ac:dyDescent="0.2">
      <c r="A3452" s="12">
        <v>41921</v>
      </c>
      <c r="B3452" s="9">
        <v>734.58</v>
      </c>
      <c r="C3452" s="9">
        <v>716.55</v>
      </c>
      <c r="D3452" s="9">
        <v>717.72</v>
      </c>
      <c r="E3452" s="9">
        <f t="shared" si="160"/>
        <v>-4.9756186651608858E-3</v>
      </c>
      <c r="F3452" s="9">
        <f t="shared" si="161"/>
        <v>-2.9028936960516821E-2</v>
      </c>
      <c r="G3452" s="9">
        <f t="shared" si="162"/>
        <v>8.9005348624597407E-3</v>
      </c>
    </row>
    <row r="3453" spans="1:7" x14ac:dyDescent="0.2">
      <c r="A3453" s="12">
        <v>41922</v>
      </c>
      <c r="B3453" s="9">
        <v>710.1</v>
      </c>
      <c r="C3453" s="9">
        <v>698.55</v>
      </c>
      <c r="D3453" s="9">
        <v>703.44</v>
      </c>
      <c r="E3453" s="9">
        <f t="shared" si="160"/>
        <v>-2.0096935773719248E-2</v>
      </c>
      <c r="F3453" s="9">
        <f t="shared" si="161"/>
        <v>-4.6768116116860055E-2</v>
      </c>
      <c r="G3453" s="9">
        <f t="shared" si="162"/>
        <v>9.5608300487093015E-3</v>
      </c>
    </row>
    <row r="3454" spans="1:7" x14ac:dyDescent="0.2">
      <c r="A3454" s="12">
        <v>41925</v>
      </c>
      <c r="B3454" s="9">
        <v>706.66</v>
      </c>
      <c r="C3454" s="9">
        <v>690.99</v>
      </c>
      <c r="D3454" s="9">
        <v>700.24</v>
      </c>
      <c r="E3454" s="9">
        <f t="shared" si="160"/>
        <v>-4.5594516465641728E-3</v>
      </c>
      <c r="F3454" s="9">
        <f t="shared" si="161"/>
        <v>-5.2154770576976116E-2</v>
      </c>
      <c r="G3454" s="9">
        <f t="shared" si="162"/>
        <v>9.5650529255419808E-3</v>
      </c>
    </row>
    <row r="3455" spans="1:7" x14ac:dyDescent="0.2">
      <c r="A3455" s="12">
        <v>41926</v>
      </c>
      <c r="B3455" s="9">
        <v>706.25</v>
      </c>
      <c r="C3455" s="9">
        <v>691.72</v>
      </c>
      <c r="D3455" s="9">
        <v>703.45</v>
      </c>
      <c r="E3455" s="9">
        <f t="shared" si="160"/>
        <v>4.5736673990398047E-3</v>
      </c>
      <c r="F3455" s="9">
        <f t="shared" si="161"/>
        <v>-4.8231536145296253E-2</v>
      </c>
      <c r="G3455" s="9">
        <f t="shared" si="162"/>
        <v>9.6254694899967682E-3</v>
      </c>
    </row>
    <row r="3456" spans="1:7" x14ac:dyDescent="0.2">
      <c r="A3456" s="12">
        <v>41927</v>
      </c>
      <c r="B3456" s="9">
        <v>707.47</v>
      </c>
      <c r="C3456" s="9">
        <v>680.9</v>
      </c>
      <c r="D3456" s="9">
        <v>687.45</v>
      </c>
      <c r="E3456" s="9">
        <f t="shared" si="160"/>
        <v>-2.3007701199979521E-2</v>
      </c>
      <c r="F3456" s="9">
        <f t="shared" si="161"/>
        <v>-7.7747321129998853E-2</v>
      </c>
      <c r="G3456" s="9">
        <f t="shared" si="162"/>
        <v>1.0255181850261842E-2</v>
      </c>
    </row>
    <row r="3457" spans="1:7" x14ac:dyDescent="0.2">
      <c r="A3457" s="12">
        <v>41928</v>
      </c>
      <c r="B3457" s="9">
        <v>693.69</v>
      </c>
      <c r="C3457" s="9">
        <v>664.69</v>
      </c>
      <c r="D3457" s="9">
        <v>673.84</v>
      </c>
      <c r="E3457" s="9">
        <f t="shared" si="160"/>
        <v>-1.9996405616134541E-2</v>
      </c>
      <c r="F3457" s="9">
        <f t="shared" si="161"/>
        <v>-9.9585830760987343E-2</v>
      </c>
      <c r="G3457" s="9">
        <f t="shared" si="162"/>
        <v>1.0695256851054576E-2</v>
      </c>
    </row>
    <row r="3458" spans="1:7" x14ac:dyDescent="0.2">
      <c r="A3458" s="12">
        <v>41929</v>
      </c>
      <c r="B3458" s="9">
        <v>702.17</v>
      </c>
      <c r="C3458" s="9">
        <v>676.47</v>
      </c>
      <c r="D3458" s="9">
        <v>700.72</v>
      </c>
      <c r="E3458" s="9">
        <f t="shared" si="160"/>
        <v>3.911568384772534E-2</v>
      </c>
      <c r="F3458" s="9">
        <f t="shared" si="161"/>
        <v>-5.42444668444821E-2</v>
      </c>
      <c r="G3458" s="9">
        <f t="shared" si="162"/>
        <v>1.3184422018529297E-2</v>
      </c>
    </row>
    <row r="3459" spans="1:7" x14ac:dyDescent="0.2">
      <c r="A3459" s="12">
        <v>41932</v>
      </c>
      <c r="B3459" s="9">
        <v>712.42</v>
      </c>
      <c r="C3459" s="9">
        <v>696.87</v>
      </c>
      <c r="D3459" s="9">
        <v>704.63</v>
      </c>
      <c r="E3459" s="9">
        <f t="shared" si="160"/>
        <v>5.5644644947644923E-3</v>
      </c>
      <c r="F3459" s="9">
        <f t="shared" si="161"/>
        <v>-5.5644259683750134E-2</v>
      </c>
      <c r="G3459" s="9">
        <f t="shared" si="162"/>
        <v>1.3154749421677017E-2</v>
      </c>
    </row>
    <row r="3460" spans="1:7" x14ac:dyDescent="0.2">
      <c r="A3460" s="12">
        <v>41933</v>
      </c>
      <c r="B3460" s="9">
        <v>720.22</v>
      </c>
      <c r="C3460" s="9">
        <v>697.46</v>
      </c>
      <c r="D3460" s="9">
        <v>718.96</v>
      </c>
      <c r="E3460" s="9">
        <f t="shared" ref="E3460:E3523" si="163">LN(D3460/D3459)</f>
        <v>2.0132881000519971E-2</v>
      </c>
      <c r="F3460" s="9">
        <f t="shared" si="161"/>
        <v>-4.0679556424945702E-2</v>
      </c>
      <c r="G3460" s="9">
        <f t="shared" si="162"/>
        <v>1.370256325350323E-2</v>
      </c>
    </row>
    <row r="3461" spans="1:7" x14ac:dyDescent="0.2">
      <c r="A3461" s="12">
        <v>41934</v>
      </c>
      <c r="B3461" s="9">
        <v>732.42</v>
      </c>
      <c r="C3461" s="9">
        <v>719.56</v>
      </c>
      <c r="D3461" s="9">
        <v>732.42</v>
      </c>
      <c r="E3461" s="9">
        <f t="shared" si="163"/>
        <v>1.8548396559645214E-2</v>
      </c>
      <c r="F3461" s="9">
        <f t="shared" si="161"/>
        <v>-2.3118906548560372E-2</v>
      </c>
      <c r="G3461" s="9">
        <f t="shared" si="162"/>
        <v>1.417314005583363E-2</v>
      </c>
    </row>
    <row r="3462" spans="1:7" x14ac:dyDescent="0.2">
      <c r="A3462" s="12">
        <v>41935</v>
      </c>
      <c r="B3462" s="9">
        <v>738.64</v>
      </c>
      <c r="C3462" s="9">
        <v>727.7</v>
      </c>
      <c r="D3462" s="9">
        <v>738.64</v>
      </c>
      <c r="E3462" s="9">
        <f t="shared" si="163"/>
        <v>8.4565375546091434E-3</v>
      </c>
      <c r="F3462" s="9">
        <f t="shared" si="161"/>
        <v>-1.6887894143424145E-2</v>
      </c>
      <c r="G3462" s="9">
        <f t="shared" si="162"/>
        <v>1.4263926729382146E-2</v>
      </c>
    </row>
    <row r="3463" spans="1:7" x14ac:dyDescent="0.2">
      <c r="A3463" s="12">
        <v>41936</v>
      </c>
      <c r="B3463" s="9">
        <v>739.37</v>
      </c>
      <c r="C3463" s="9">
        <v>730.1</v>
      </c>
      <c r="D3463" s="9">
        <v>733.98</v>
      </c>
      <c r="E3463" s="9">
        <f t="shared" si="163"/>
        <v>-6.3288771774923881E-3</v>
      </c>
      <c r="F3463" s="9">
        <f t="shared" si="161"/>
        <v>-3.3572696642371204E-2</v>
      </c>
      <c r="G3463" s="9">
        <f t="shared" si="162"/>
        <v>1.4148320111301413E-2</v>
      </c>
    </row>
    <row r="3464" spans="1:7" x14ac:dyDescent="0.2">
      <c r="A3464" s="12">
        <v>41939</v>
      </c>
      <c r="B3464" s="9">
        <v>747.35</v>
      </c>
      <c r="C3464" s="9">
        <v>733.05</v>
      </c>
      <c r="D3464" s="9">
        <v>735.99</v>
      </c>
      <c r="E3464" s="9">
        <f t="shared" si="163"/>
        <v>2.734751393170979E-3</v>
      </c>
      <c r="F3464" s="9">
        <f t="shared" si="161"/>
        <v>-3.0851119698673147E-2</v>
      </c>
      <c r="G3464" s="9">
        <f t="shared" si="162"/>
        <v>1.4164546644772473E-2</v>
      </c>
    </row>
    <row r="3465" spans="1:7" x14ac:dyDescent="0.2">
      <c r="A3465" s="12">
        <v>41940</v>
      </c>
      <c r="B3465" s="9">
        <v>733.59</v>
      </c>
      <c r="C3465" s="9">
        <v>719.06</v>
      </c>
      <c r="D3465" s="9">
        <v>724.18</v>
      </c>
      <c r="E3465" s="9">
        <f t="shared" si="163"/>
        <v>-1.6176551410332737E-2</v>
      </c>
      <c r="F3465" s="9">
        <f t="shared" si="161"/>
        <v>-3.8148369160783353E-2</v>
      </c>
      <c r="G3465" s="9">
        <f t="shared" si="162"/>
        <v>1.436525061403549E-2</v>
      </c>
    </row>
    <row r="3466" spans="1:7" x14ac:dyDescent="0.2">
      <c r="A3466" s="12">
        <v>41941</v>
      </c>
      <c r="B3466" s="9">
        <v>735.38</v>
      </c>
      <c r="C3466" s="9">
        <v>726.31</v>
      </c>
      <c r="D3466" s="9">
        <v>731.01</v>
      </c>
      <c r="E3466" s="9">
        <f t="shared" si="163"/>
        <v>9.387159277052276E-3</v>
      </c>
      <c r="F3466" s="9">
        <f t="shared" si="161"/>
        <v>-4.3603856357362816E-2</v>
      </c>
      <c r="G3466" s="9">
        <f t="shared" si="162"/>
        <v>1.4187658950710611E-2</v>
      </c>
    </row>
    <row r="3467" spans="1:7" x14ac:dyDescent="0.2">
      <c r="A3467" s="12">
        <v>41942</v>
      </c>
      <c r="B3467" s="9">
        <v>751.11</v>
      </c>
      <c r="C3467" s="9">
        <v>735.56</v>
      </c>
      <c r="D3467" s="9">
        <v>751.11</v>
      </c>
      <c r="E3467" s="9">
        <f t="shared" si="163"/>
        <v>2.7124972862984948E-2</v>
      </c>
      <c r="F3467" s="9">
        <f t="shared" si="161"/>
        <v>-2.5007219356427343E-2</v>
      </c>
      <c r="G3467" s="9">
        <f t="shared" si="162"/>
        <v>1.5020633101622926E-2</v>
      </c>
    </row>
    <row r="3468" spans="1:7" x14ac:dyDescent="0.2">
      <c r="A3468" s="12">
        <v>41943</v>
      </c>
      <c r="B3468" s="9">
        <v>765.56</v>
      </c>
      <c r="C3468" s="9">
        <v>749.76</v>
      </c>
      <c r="D3468" s="9">
        <v>754.43</v>
      </c>
      <c r="E3468" s="9">
        <f t="shared" si="163"/>
        <v>4.4103848208327011E-3</v>
      </c>
      <c r="F3468" s="9">
        <f t="shared" si="161"/>
        <v>-2.4316551356833801E-2</v>
      </c>
      <c r="G3468" s="9">
        <f t="shared" si="162"/>
        <v>1.5028379923323532E-2</v>
      </c>
    </row>
    <row r="3469" spans="1:7" x14ac:dyDescent="0.2">
      <c r="A3469" s="12">
        <v>41946</v>
      </c>
      <c r="B3469" s="9">
        <v>757.14</v>
      </c>
      <c r="C3469" s="9">
        <v>741.62</v>
      </c>
      <c r="D3469" s="9">
        <v>746.07</v>
      </c>
      <c r="E3469" s="9">
        <f t="shared" si="163"/>
        <v>-1.1143067648780234E-2</v>
      </c>
      <c r="F3469" s="9">
        <f t="shared" si="161"/>
        <v>-3.4152166991196893E-2</v>
      </c>
      <c r="G3469" s="9">
        <f t="shared" si="162"/>
        <v>1.5146415555994523E-2</v>
      </c>
    </row>
    <row r="3470" spans="1:7" x14ac:dyDescent="0.2">
      <c r="A3470" s="12">
        <v>41947</v>
      </c>
      <c r="B3470" s="9">
        <v>749.63</v>
      </c>
      <c r="C3470" s="9">
        <v>740.84</v>
      </c>
      <c r="D3470" s="9">
        <v>740.84</v>
      </c>
      <c r="E3470" s="9">
        <f t="shared" si="163"/>
        <v>-7.03475202720705E-3</v>
      </c>
      <c r="F3470" s="9">
        <f t="shared" si="161"/>
        <v>-2.8752255006420285E-2</v>
      </c>
      <c r="G3470" s="9">
        <f t="shared" si="162"/>
        <v>1.5039250600429092E-2</v>
      </c>
    </row>
    <row r="3471" spans="1:7" x14ac:dyDescent="0.2">
      <c r="A3471" s="12">
        <v>41948</v>
      </c>
      <c r="B3471" s="9">
        <v>742.56</v>
      </c>
      <c r="C3471" s="9">
        <v>735.52</v>
      </c>
      <c r="D3471" s="9">
        <v>741.65</v>
      </c>
      <c r="E3471" s="9">
        <f t="shared" si="163"/>
        <v>1.0927562150203109E-3</v>
      </c>
      <c r="F3471" s="9">
        <f t="shared" si="161"/>
        <v>-2.4690968265962877E-2</v>
      </c>
      <c r="G3471" s="9">
        <f t="shared" si="162"/>
        <v>1.5038811380625794E-2</v>
      </c>
    </row>
    <row r="3472" spans="1:7" x14ac:dyDescent="0.2">
      <c r="A3472" s="12">
        <v>41949</v>
      </c>
      <c r="B3472" s="9">
        <v>748.2</v>
      </c>
      <c r="C3472" s="9">
        <v>734.7</v>
      </c>
      <c r="D3472" s="9">
        <v>742.38</v>
      </c>
      <c r="E3472" s="9">
        <f t="shared" si="163"/>
        <v>9.8380768431809932E-4</v>
      </c>
      <c r="F3472" s="9">
        <f t="shared" si="161"/>
        <v>-2.4653843973627517E-2</v>
      </c>
      <c r="G3472" s="9">
        <f t="shared" si="162"/>
        <v>1.5038963550672683E-2</v>
      </c>
    </row>
    <row r="3473" spans="1:7" x14ac:dyDescent="0.2">
      <c r="A3473" s="12">
        <v>41950</v>
      </c>
      <c r="B3473" s="9">
        <v>747.53</v>
      </c>
      <c r="C3473" s="9">
        <v>738.12</v>
      </c>
      <c r="D3473" s="9">
        <v>741.42</v>
      </c>
      <c r="E3473" s="9">
        <f t="shared" si="163"/>
        <v>-1.2939751097853106E-3</v>
      </c>
      <c r="F3473" s="9">
        <f t="shared" si="161"/>
        <v>-3.2980371852746257E-2</v>
      </c>
      <c r="G3473" s="9">
        <f t="shared" si="162"/>
        <v>1.4965665830371767E-2</v>
      </c>
    </row>
    <row r="3474" spans="1:7" x14ac:dyDescent="0.2">
      <c r="A3474" s="12">
        <v>41953</v>
      </c>
      <c r="B3474" s="9">
        <v>745.93</v>
      </c>
      <c r="C3474" s="9">
        <v>737.61</v>
      </c>
      <c r="D3474" s="9">
        <v>741.98</v>
      </c>
      <c r="E3474" s="9">
        <f t="shared" si="163"/>
        <v>7.5502228205843612E-4</v>
      </c>
      <c r="F3474" s="9">
        <f t="shared" si="161"/>
        <v>-2.8826564631373845E-2</v>
      </c>
      <c r="G3474" s="9">
        <f t="shared" si="162"/>
        <v>1.4962873112370777E-2</v>
      </c>
    </row>
    <row r="3475" spans="1:7" x14ac:dyDescent="0.2">
      <c r="A3475" s="12">
        <v>41954</v>
      </c>
      <c r="B3475" s="9">
        <v>747.18</v>
      </c>
      <c r="C3475" s="9">
        <v>737.35</v>
      </c>
      <c r="D3475" s="9">
        <v>744.58</v>
      </c>
      <c r="E3475" s="9">
        <f t="shared" si="163"/>
        <v>3.4980123925741798E-3</v>
      </c>
      <c r="F3475" s="9">
        <f t="shared" si="161"/>
        <v>-2.3978909427155574E-2</v>
      </c>
      <c r="G3475" s="9">
        <f t="shared" si="162"/>
        <v>1.4984689766114601E-2</v>
      </c>
    </row>
    <row r="3476" spans="1:7" x14ac:dyDescent="0.2">
      <c r="A3476" s="12">
        <v>41955</v>
      </c>
      <c r="B3476" s="9">
        <v>747.59</v>
      </c>
      <c r="C3476" s="9">
        <v>737.94</v>
      </c>
      <c r="D3476" s="9">
        <v>739.51</v>
      </c>
      <c r="E3476" s="9">
        <f t="shared" si="163"/>
        <v>-6.8324963089228478E-3</v>
      </c>
      <c r="F3476" s="9">
        <f t="shared" si="161"/>
        <v>-3.1768136672800242E-2</v>
      </c>
      <c r="G3476" s="9">
        <f t="shared" si="162"/>
        <v>1.5020652853553812E-2</v>
      </c>
    </row>
    <row r="3477" spans="1:7" x14ac:dyDescent="0.2">
      <c r="A3477" s="12">
        <v>41956</v>
      </c>
      <c r="B3477" s="9">
        <v>742.62</v>
      </c>
      <c r="C3477" s="9">
        <v>733.9</v>
      </c>
      <c r="D3477" s="9">
        <v>738.72</v>
      </c>
      <c r="E3477" s="9">
        <f t="shared" si="163"/>
        <v>-1.0688459511849285E-3</v>
      </c>
      <c r="F3477" s="9">
        <f t="shared" si="161"/>
        <v>-1.2804823367616711E-2</v>
      </c>
      <c r="G3477" s="9">
        <f t="shared" si="162"/>
        <v>1.4587441945629998E-2</v>
      </c>
    </row>
    <row r="3478" spans="1:7" x14ac:dyDescent="0.2">
      <c r="A3478" s="12">
        <v>41957</v>
      </c>
      <c r="B3478" s="9">
        <v>744.51</v>
      </c>
      <c r="C3478" s="9">
        <v>733.38</v>
      </c>
      <c r="D3478" s="9">
        <v>735.86</v>
      </c>
      <c r="E3478" s="9">
        <f t="shared" si="163"/>
        <v>-3.8790755147293655E-3</v>
      </c>
      <c r="F3478" s="9">
        <f t="shared" si="161"/>
        <v>-2.7636212093674631E-2</v>
      </c>
      <c r="G3478" s="9">
        <f t="shared" si="162"/>
        <v>1.443906488907052E-2</v>
      </c>
    </row>
    <row r="3479" spans="1:7" x14ac:dyDescent="0.2">
      <c r="A3479" s="12">
        <v>41960</v>
      </c>
      <c r="B3479" s="9">
        <v>736.36</v>
      </c>
      <c r="C3479" s="9">
        <v>727.19</v>
      </c>
      <c r="D3479" s="9">
        <v>736.2</v>
      </c>
      <c r="E3479" s="9">
        <f t="shared" si="163"/>
        <v>4.619377009713601E-4</v>
      </c>
      <c r="F3479" s="9">
        <f t="shared" si="161"/>
        <v>-2.0502852435182625E-2</v>
      </c>
      <c r="G3479" s="9">
        <f t="shared" si="162"/>
        <v>1.439978832314179E-2</v>
      </c>
    </row>
    <row r="3480" spans="1:7" x14ac:dyDescent="0.2">
      <c r="A3480" s="12">
        <v>41961</v>
      </c>
      <c r="B3480" s="9">
        <v>741.86</v>
      </c>
      <c r="C3480" s="9">
        <v>734.18</v>
      </c>
      <c r="D3480" s="9">
        <v>741.86</v>
      </c>
      <c r="E3480" s="9">
        <f t="shared" si="163"/>
        <v>7.6587251750085301E-3</v>
      </c>
      <c r="F3480" s="9">
        <f t="shared" si="161"/>
        <v>6.7762024606574421E-3</v>
      </c>
      <c r="G3480" s="9">
        <f t="shared" si="162"/>
        <v>1.4019006322304139E-2</v>
      </c>
    </row>
    <row r="3481" spans="1:7" x14ac:dyDescent="0.2">
      <c r="A3481" s="12">
        <v>41962</v>
      </c>
      <c r="B3481" s="9">
        <v>748.55</v>
      </c>
      <c r="C3481" s="9">
        <v>742.43</v>
      </c>
      <c r="D3481" s="9">
        <v>745.9</v>
      </c>
      <c r="E3481" s="9">
        <f t="shared" si="163"/>
        <v>5.4309968411880858E-3</v>
      </c>
      <c r="F3481" s="9">
        <f t="shared" si="161"/>
        <v>3.3536403451490754E-2</v>
      </c>
      <c r="G3481" s="9">
        <f t="shared" si="162"/>
        <v>1.3439577774765663E-2</v>
      </c>
    </row>
    <row r="3482" spans="1:7" x14ac:dyDescent="0.2">
      <c r="A3482" s="12">
        <v>41963</v>
      </c>
      <c r="B3482" s="9">
        <v>746.87</v>
      </c>
      <c r="C3482" s="9">
        <v>740.46</v>
      </c>
      <c r="D3482" s="9">
        <v>743.99</v>
      </c>
      <c r="E3482" s="9">
        <f t="shared" si="163"/>
        <v>-2.5639490785698709E-3</v>
      </c>
      <c r="F3482" s="9">
        <f t="shared" si="161"/>
        <v>3.5948073038081702E-2</v>
      </c>
      <c r="G3482" s="9">
        <f t="shared" si="162"/>
        <v>1.3409050648219139E-2</v>
      </c>
    </row>
    <row r="3483" spans="1:7" x14ac:dyDescent="0.2">
      <c r="A3483" s="12">
        <v>41964</v>
      </c>
      <c r="B3483" s="9">
        <v>753.7</v>
      </c>
      <c r="C3483" s="9">
        <v>746.15</v>
      </c>
      <c r="D3483" s="9">
        <v>751.71</v>
      </c>
      <c r="E3483" s="9">
        <f t="shared" si="163"/>
        <v>1.0323017391848969E-2</v>
      </c>
      <c r="F3483" s="9">
        <f t="shared" si="161"/>
        <v>6.6368026203649941E-2</v>
      </c>
      <c r="G3483" s="9">
        <f t="shared" si="162"/>
        <v>1.2883036206427492E-2</v>
      </c>
    </row>
    <row r="3484" spans="1:7" x14ac:dyDescent="0.2">
      <c r="A3484" s="12">
        <v>41967</v>
      </c>
      <c r="B3484" s="9">
        <v>757.55</v>
      </c>
      <c r="C3484" s="9">
        <v>751.84</v>
      </c>
      <c r="D3484" s="9">
        <v>757.04</v>
      </c>
      <c r="E3484" s="9">
        <f t="shared" si="163"/>
        <v>7.0654809255805079E-3</v>
      </c>
      <c r="F3484" s="9">
        <f t="shared" si="161"/>
        <v>7.7992958775794582E-2</v>
      </c>
      <c r="G3484" s="9">
        <f t="shared" si="162"/>
        <v>1.284711009925019E-2</v>
      </c>
    </row>
    <row r="3485" spans="1:7" x14ac:dyDescent="0.2">
      <c r="A3485" s="12">
        <v>41968</v>
      </c>
      <c r="B3485" s="9">
        <v>761.84</v>
      </c>
      <c r="C3485" s="9">
        <v>756.51</v>
      </c>
      <c r="D3485" s="9">
        <v>759.41</v>
      </c>
      <c r="E3485" s="9">
        <f t="shared" si="163"/>
        <v>3.1257238017793009E-3</v>
      </c>
      <c r="F3485" s="9">
        <f t="shared" si="161"/>
        <v>7.6545015178534251E-2</v>
      </c>
      <c r="G3485" s="9">
        <f t="shared" si="162"/>
        <v>1.2842157619373422E-2</v>
      </c>
    </row>
    <row r="3486" spans="1:7" x14ac:dyDescent="0.2">
      <c r="A3486" s="12">
        <v>41969</v>
      </c>
      <c r="B3486" s="9">
        <v>762.31</v>
      </c>
      <c r="C3486" s="9">
        <v>757.57</v>
      </c>
      <c r="D3486" s="9">
        <v>760.67</v>
      </c>
      <c r="E3486" s="9">
        <f t="shared" si="163"/>
        <v>1.6578078634997208E-3</v>
      </c>
      <c r="F3486" s="9">
        <f t="shared" si="161"/>
        <v>0.10121052424201353</v>
      </c>
      <c r="G3486" s="9">
        <f t="shared" si="162"/>
        <v>1.1904730549292955E-2</v>
      </c>
    </row>
    <row r="3487" spans="1:7" x14ac:dyDescent="0.2">
      <c r="A3487" s="12">
        <v>41970</v>
      </c>
      <c r="B3487" s="9">
        <v>765.09</v>
      </c>
      <c r="C3487" s="9">
        <v>760.08</v>
      </c>
      <c r="D3487" s="9">
        <v>762.28</v>
      </c>
      <c r="E3487" s="9">
        <f t="shared" si="163"/>
        <v>2.1143183949189647E-3</v>
      </c>
      <c r="F3487" s="9">
        <f t="shared" si="161"/>
        <v>0.12332124825306694</v>
      </c>
      <c r="G3487" s="9">
        <f t="shared" si="162"/>
        <v>1.1062649872252197E-2</v>
      </c>
    </row>
    <row r="3488" spans="1:7" x14ac:dyDescent="0.2">
      <c r="A3488" s="12">
        <v>41971</v>
      </c>
      <c r="B3488" s="9">
        <v>762.71</v>
      </c>
      <c r="C3488" s="9">
        <v>758.24</v>
      </c>
      <c r="D3488" s="9">
        <v>760.72</v>
      </c>
      <c r="E3488" s="9">
        <f t="shared" si="163"/>
        <v>-2.0485890289863966E-3</v>
      </c>
      <c r="F3488" s="9">
        <f t="shared" si="161"/>
        <v>8.2156975376355315E-2</v>
      </c>
      <c r="G3488" s="9">
        <f t="shared" si="162"/>
        <v>8.9156774487670343E-3</v>
      </c>
    </row>
    <row r="3489" spans="1:7" x14ac:dyDescent="0.2">
      <c r="A3489" s="12">
        <v>41974</v>
      </c>
      <c r="B3489" s="9">
        <v>760.69</v>
      </c>
      <c r="C3489" s="9">
        <v>754.4</v>
      </c>
      <c r="D3489" s="9">
        <v>757.73</v>
      </c>
      <c r="E3489" s="9">
        <f t="shared" si="163"/>
        <v>-3.9382315709983844E-3</v>
      </c>
      <c r="F3489" s="9">
        <f t="shared" ref="F3489:F3552" si="164">LN(D3489/D3459)</f>
        <v>7.265427931059229E-2</v>
      </c>
      <c r="G3489" s="9">
        <f t="shared" si="162"/>
        <v>8.9803880306139495E-3</v>
      </c>
    </row>
    <row r="3490" spans="1:7" x14ac:dyDescent="0.2">
      <c r="A3490" s="12">
        <v>41975</v>
      </c>
      <c r="B3490" s="9">
        <v>768.73</v>
      </c>
      <c r="C3490" s="9">
        <v>759.89</v>
      </c>
      <c r="D3490" s="9">
        <v>766.3</v>
      </c>
      <c r="E3490" s="9">
        <f t="shared" si="163"/>
        <v>1.1246616316168065E-2</v>
      </c>
      <c r="F3490" s="9">
        <f t="shared" si="164"/>
        <v>6.3768014626240571E-2</v>
      </c>
      <c r="G3490" s="9">
        <f t="shared" si="162"/>
        <v>8.5103115436018801E-3</v>
      </c>
    </row>
    <row r="3491" spans="1:7" x14ac:dyDescent="0.2">
      <c r="A3491" s="12">
        <v>41976</v>
      </c>
      <c r="B3491" s="9">
        <v>774.79</v>
      </c>
      <c r="C3491" s="9">
        <v>767.01</v>
      </c>
      <c r="D3491" s="9">
        <v>767.79</v>
      </c>
      <c r="E3491" s="9">
        <f t="shared" si="163"/>
        <v>1.9425202804641232E-3</v>
      </c>
      <c r="F3491" s="9">
        <f t="shared" si="164"/>
        <v>4.7162138347059436E-2</v>
      </c>
      <c r="G3491" s="9">
        <f t="shared" si="162"/>
        <v>7.9252327812552505E-3</v>
      </c>
    </row>
    <row r="3492" spans="1:7" x14ac:dyDescent="0.2">
      <c r="A3492" s="12">
        <v>41977</v>
      </c>
      <c r="B3492" s="9">
        <v>773.31</v>
      </c>
      <c r="C3492" s="9">
        <v>760.96</v>
      </c>
      <c r="D3492" s="9">
        <v>762.68</v>
      </c>
      <c r="E3492" s="9">
        <f t="shared" si="163"/>
        <v>-6.6777120605788533E-3</v>
      </c>
      <c r="F3492" s="9">
        <f t="shared" si="164"/>
        <v>3.2027888731871332E-2</v>
      </c>
      <c r="G3492" s="9">
        <f t="shared" si="162"/>
        <v>7.9535251852976482E-3</v>
      </c>
    </row>
    <row r="3493" spans="1:7" x14ac:dyDescent="0.2">
      <c r="A3493" s="12">
        <v>41978</v>
      </c>
      <c r="B3493" s="9">
        <v>775.02</v>
      </c>
      <c r="C3493" s="9">
        <v>766.06</v>
      </c>
      <c r="D3493" s="9">
        <v>773.54</v>
      </c>
      <c r="E3493" s="9">
        <f t="shared" si="163"/>
        <v>1.413883547269572E-2</v>
      </c>
      <c r="F3493" s="9">
        <f t="shared" si="164"/>
        <v>5.2495601382059491E-2</v>
      </c>
      <c r="G3493" s="9">
        <f t="shared" si="162"/>
        <v>8.1720371732248581E-3</v>
      </c>
    </row>
    <row r="3494" spans="1:7" x14ac:dyDescent="0.2">
      <c r="A3494" s="12">
        <v>41981</v>
      </c>
      <c r="B3494" s="9">
        <v>778.02</v>
      </c>
      <c r="C3494" s="9">
        <v>766.71</v>
      </c>
      <c r="D3494" s="9">
        <v>769.95</v>
      </c>
      <c r="E3494" s="9">
        <f t="shared" si="163"/>
        <v>-4.6518039945176249E-3</v>
      </c>
      <c r="F3494" s="9">
        <f t="shared" si="164"/>
        <v>4.5109045994370843E-2</v>
      </c>
      <c r="G3494" s="9">
        <f t="shared" si="162"/>
        <v>8.2522223581639569E-3</v>
      </c>
    </row>
    <row r="3495" spans="1:7" x14ac:dyDescent="0.2">
      <c r="A3495" s="12">
        <v>41982</v>
      </c>
      <c r="B3495" s="9">
        <v>768.45</v>
      </c>
      <c r="C3495" s="9">
        <v>759</v>
      </c>
      <c r="D3495" s="9">
        <v>760.03</v>
      </c>
      <c r="E3495" s="9">
        <f t="shared" si="163"/>
        <v>-1.2967671488900075E-2</v>
      </c>
      <c r="F3495" s="9">
        <f t="shared" si="164"/>
        <v>4.8317925915803785E-2</v>
      </c>
      <c r="G3495" s="9">
        <f t="shared" ref="G3495:G3558" si="165">STDEV(E3466:E3495)</f>
        <v>8.0330406750265919E-3</v>
      </c>
    </row>
    <row r="3496" spans="1:7" x14ac:dyDescent="0.2">
      <c r="A3496" s="12">
        <v>41983</v>
      </c>
      <c r="B3496" s="9">
        <v>769.53</v>
      </c>
      <c r="C3496" s="9">
        <v>757.81</v>
      </c>
      <c r="D3496" s="9">
        <v>759.34</v>
      </c>
      <c r="E3496" s="9">
        <f t="shared" si="163"/>
        <v>-9.0827125378937828E-4</v>
      </c>
      <c r="F3496" s="9">
        <f t="shared" si="164"/>
        <v>3.8022495384961941E-2</v>
      </c>
      <c r="G3496" s="9">
        <f t="shared" si="165"/>
        <v>7.9083088630756328E-3</v>
      </c>
    </row>
    <row r="3497" spans="1:7" x14ac:dyDescent="0.2">
      <c r="A3497" s="12">
        <v>41984</v>
      </c>
      <c r="B3497" s="9">
        <v>761.72</v>
      </c>
      <c r="C3497" s="9">
        <v>750.95</v>
      </c>
      <c r="D3497" s="9">
        <v>755.98</v>
      </c>
      <c r="E3497" s="9">
        <f t="shared" si="163"/>
        <v>-4.4347141285949604E-3</v>
      </c>
      <c r="F3497" s="9">
        <f t="shared" si="164"/>
        <v>6.4628083933821537E-3</v>
      </c>
      <c r="G3497" s="9">
        <f t="shared" si="165"/>
        <v>6.2818834622275638E-3</v>
      </c>
    </row>
    <row r="3498" spans="1:7" x14ac:dyDescent="0.2">
      <c r="A3498" s="12">
        <v>41985</v>
      </c>
      <c r="B3498" s="9">
        <v>755.64</v>
      </c>
      <c r="C3498" s="9">
        <v>743.23</v>
      </c>
      <c r="D3498" s="9">
        <v>743.23</v>
      </c>
      <c r="E3498" s="9">
        <f t="shared" si="163"/>
        <v>-1.7009368133263258E-2</v>
      </c>
      <c r="F3498" s="9">
        <f t="shared" si="164"/>
        <v>-1.4956944560713786E-2</v>
      </c>
      <c r="G3498" s="9">
        <f t="shared" si="165"/>
        <v>6.9684067884418057E-3</v>
      </c>
    </row>
    <row r="3499" spans="1:7" x14ac:dyDescent="0.2">
      <c r="A3499" s="12">
        <v>41988</v>
      </c>
      <c r="B3499" s="9">
        <v>741.44</v>
      </c>
      <c r="C3499" s="9">
        <v>728.19</v>
      </c>
      <c r="D3499" s="9">
        <v>729.91</v>
      </c>
      <c r="E3499" s="9">
        <f t="shared" si="163"/>
        <v>-1.8084313799220091E-2</v>
      </c>
      <c r="F3499" s="9">
        <f t="shared" si="164"/>
        <v>-2.1898190711153811E-2</v>
      </c>
      <c r="G3499" s="9">
        <f t="shared" si="165"/>
        <v>7.4337283509501844E-3</v>
      </c>
    </row>
    <row r="3500" spans="1:7" x14ac:dyDescent="0.2">
      <c r="A3500" s="12">
        <v>41989</v>
      </c>
      <c r="B3500" s="9">
        <v>727.86</v>
      </c>
      <c r="C3500" s="9">
        <v>708.51</v>
      </c>
      <c r="D3500" s="9">
        <v>718.5</v>
      </c>
      <c r="E3500" s="9">
        <f t="shared" si="163"/>
        <v>-1.5755533351574577E-2</v>
      </c>
      <c r="F3500" s="9">
        <f t="shared" si="164"/>
        <v>-3.0618972035521382E-2</v>
      </c>
      <c r="G3500" s="9">
        <f t="shared" si="165"/>
        <v>7.8477581630398124E-3</v>
      </c>
    </row>
    <row r="3501" spans="1:7" x14ac:dyDescent="0.2">
      <c r="A3501" s="12">
        <v>41990</v>
      </c>
      <c r="B3501" s="9">
        <v>727.7</v>
      </c>
      <c r="C3501" s="9">
        <v>716.58</v>
      </c>
      <c r="D3501" s="9">
        <v>725.67</v>
      </c>
      <c r="E3501" s="9">
        <f t="shared" si="163"/>
        <v>9.9296605140703105E-3</v>
      </c>
      <c r="F3501" s="9">
        <f t="shared" si="164"/>
        <v>-2.1782067736471341E-2</v>
      </c>
      <c r="G3501" s="9">
        <f t="shared" si="165"/>
        <v>8.0918678028280896E-3</v>
      </c>
    </row>
    <row r="3502" spans="1:7" x14ac:dyDescent="0.2">
      <c r="A3502" s="12">
        <v>41991</v>
      </c>
      <c r="B3502" s="9">
        <v>745.68</v>
      </c>
      <c r="C3502" s="9">
        <v>737.83</v>
      </c>
      <c r="D3502" s="9">
        <v>744.47</v>
      </c>
      <c r="E3502" s="9">
        <f t="shared" si="163"/>
        <v>2.5577189778692444E-2</v>
      </c>
      <c r="F3502" s="9">
        <f t="shared" si="164"/>
        <v>2.8113143579030675E-3</v>
      </c>
      <c r="G3502" s="9">
        <f t="shared" si="165"/>
        <v>9.4095476162143806E-3</v>
      </c>
    </row>
    <row r="3503" spans="1:7" x14ac:dyDescent="0.2">
      <c r="A3503" s="12">
        <v>41992</v>
      </c>
      <c r="B3503" s="9">
        <v>761.92</v>
      </c>
      <c r="C3503" s="9">
        <v>741.17</v>
      </c>
      <c r="D3503" s="9">
        <v>748.27</v>
      </c>
      <c r="E3503" s="9">
        <f t="shared" si="163"/>
        <v>5.0913195981651567E-3</v>
      </c>
      <c r="F3503" s="9">
        <f t="shared" si="164"/>
        <v>9.1966090658536295E-3</v>
      </c>
      <c r="G3503" s="9">
        <f t="shared" si="165"/>
        <v>9.4492097156297118E-3</v>
      </c>
    </row>
    <row r="3504" spans="1:7" x14ac:dyDescent="0.2">
      <c r="A3504" s="12">
        <v>41995</v>
      </c>
      <c r="B3504" s="9">
        <v>753.46</v>
      </c>
      <c r="C3504" s="9">
        <v>747.29</v>
      </c>
      <c r="D3504" s="9">
        <v>753.38</v>
      </c>
      <c r="E3504" s="9">
        <f t="shared" si="163"/>
        <v>6.8058731722388374E-3</v>
      </c>
      <c r="F3504" s="9">
        <f t="shared" si="164"/>
        <v>1.5247459956033988E-2</v>
      </c>
      <c r="G3504" s="9">
        <f t="shared" si="165"/>
        <v>9.5233994347354804E-3</v>
      </c>
    </row>
    <row r="3505" spans="1:7" x14ac:dyDescent="0.2">
      <c r="A3505" s="12">
        <v>41996</v>
      </c>
      <c r="B3505" s="9">
        <v>756.37</v>
      </c>
      <c r="C3505" s="9">
        <v>745</v>
      </c>
      <c r="D3505" s="9">
        <v>746.45</v>
      </c>
      <c r="E3505" s="9">
        <f t="shared" si="163"/>
        <v>-9.2411130826473807E-3</v>
      </c>
      <c r="F3505" s="9">
        <f t="shared" si="164"/>
        <v>2.5083344808125053E-3</v>
      </c>
      <c r="G3505" s="9">
        <f t="shared" si="165"/>
        <v>9.6684000455112152E-3</v>
      </c>
    </row>
    <row r="3506" spans="1:7" x14ac:dyDescent="0.2">
      <c r="A3506" s="12">
        <v>42002</v>
      </c>
      <c r="B3506" s="9">
        <v>761.48</v>
      </c>
      <c r="C3506" s="9">
        <v>747.62</v>
      </c>
      <c r="D3506" s="9">
        <v>750.13</v>
      </c>
      <c r="E3506" s="9">
        <f t="shared" si="163"/>
        <v>4.9178893436036221E-3</v>
      </c>
      <c r="F3506" s="9">
        <f t="shared" si="164"/>
        <v>1.425872013333924E-2</v>
      </c>
      <c r="G3506" s="9">
        <f t="shared" si="165"/>
        <v>9.6164301599474134E-3</v>
      </c>
    </row>
    <row r="3507" spans="1:7" x14ac:dyDescent="0.2">
      <c r="A3507" s="12">
        <v>42003</v>
      </c>
      <c r="B3507" s="9">
        <v>750.38</v>
      </c>
      <c r="C3507" s="9">
        <v>743.4</v>
      </c>
      <c r="D3507" s="9">
        <v>744.44</v>
      </c>
      <c r="E3507" s="9">
        <f t="shared" si="163"/>
        <v>-7.6142669674398753E-3</v>
      </c>
      <c r="F3507" s="9">
        <f t="shared" si="164"/>
        <v>7.7132991170840636E-3</v>
      </c>
      <c r="G3507" s="9">
        <f t="shared" si="165"/>
        <v>9.7262968144306277E-3</v>
      </c>
    </row>
    <row r="3508" spans="1:7" x14ac:dyDescent="0.2">
      <c r="A3508" s="12">
        <v>42006</v>
      </c>
      <c r="B3508" s="9">
        <v>754.98</v>
      </c>
      <c r="C3508" s="9">
        <v>748.19</v>
      </c>
      <c r="D3508" s="9">
        <v>752.69</v>
      </c>
      <c r="E3508" s="9">
        <f t="shared" si="163"/>
        <v>1.1021198570956875E-2</v>
      </c>
      <c r="F3508" s="9">
        <f t="shared" si="164"/>
        <v>2.2613573202770375E-2</v>
      </c>
      <c r="G3508" s="9">
        <f t="shared" si="165"/>
        <v>9.8869150890834017E-3</v>
      </c>
    </row>
    <row r="3509" spans="1:7" x14ac:dyDescent="0.2">
      <c r="A3509" s="12">
        <v>42009</v>
      </c>
      <c r="B3509" s="9">
        <v>756.71</v>
      </c>
      <c r="C3509" s="9">
        <v>746.06</v>
      </c>
      <c r="D3509" s="9">
        <v>748.86</v>
      </c>
      <c r="E3509" s="9">
        <f t="shared" si="163"/>
        <v>-5.1014062883023865E-3</v>
      </c>
      <c r="F3509" s="9">
        <f t="shared" si="164"/>
        <v>1.7050229213496609E-2</v>
      </c>
      <c r="G3509" s="9">
        <f t="shared" si="165"/>
        <v>9.9445844124509356E-3</v>
      </c>
    </row>
    <row r="3510" spans="1:7" x14ac:dyDescent="0.2">
      <c r="A3510" s="12">
        <v>42010</v>
      </c>
      <c r="B3510" s="9">
        <v>748.33</v>
      </c>
      <c r="C3510" s="9">
        <v>737.2</v>
      </c>
      <c r="D3510" s="9">
        <v>744.44</v>
      </c>
      <c r="E3510" s="9">
        <f t="shared" si="163"/>
        <v>-5.9197922826544295E-3</v>
      </c>
      <c r="F3510" s="9">
        <f t="shared" si="164"/>
        <v>3.4717117558337152E-3</v>
      </c>
      <c r="G3510" s="9">
        <f t="shared" si="165"/>
        <v>9.9197199431672028E-3</v>
      </c>
    </row>
    <row r="3511" spans="1:7" x14ac:dyDescent="0.2">
      <c r="A3511" s="12">
        <v>42011</v>
      </c>
      <c r="B3511" s="9">
        <v>747.16</v>
      </c>
      <c r="C3511" s="9">
        <v>740.83</v>
      </c>
      <c r="D3511" s="9">
        <v>740.83</v>
      </c>
      <c r="E3511" s="9">
        <f t="shared" si="163"/>
        <v>-4.8610786035057658E-3</v>
      </c>
      <c r="F3511" s="9">
        <f t="shared" si="164"/>
        <v>-6.8203636888603493E-3</v>
      </c>
      <c r="G3511" s="9">
        <f t="shared" si="165"/>
        <v>9.9075206683121048E-3</v>
      </c>
    </row>
    <row r="3512" spans="1:7" x14ac:dyDescent="0.2">
      <c r="A3512" s="12">
        <v>42012</v>
      </c>
      <c r="B3512" s="9">
        <v>753.32</v>
      </c>
      <c r="C3512" s="9">
        <v>745.57</v>
      </c>
      <c r="D3512" s="9">
        <v>752.01</v>
      </c>
      <c r="E3512" s="9">
        <f t="shared" si="163"/>
        <v>1.4978442461507015E-2</v>
      </c>
      <c r="F3512" s="9">
        <f t="shared" si="164"/>
        <v>1.0722027851216655E-2</v>
      </c>
      <c r="G3512" s="9">
        <f t="shared" si="165"/>
        <v>1.0275696851409524E-2</v>
      </c>
    </row>
    <row r="3513" spans="1:7" x14ac:dyDescent="0.2">
      <c r="A3513" s="12">
        <v>42013</v>
      </c>
      <c r="B3513" s="9">
        <v>756.64</v>
      </c>
      <c r="C3513" s="9">
        <v>750.72</v>
      </c>
      <c r="D3513" s="9">
        <v>752.65</v>
      </c>
      <c r="E3513" s="9">
        <f t="shared" si="163"/>
        <v>8.5069057274859202E-4</v>
      </c>
      <c r="F3513" s="9">
        <f t="shared" si="164"/>
        <v>1.2497010321163564E-3</v>
      </c>
      <c r="G3513" s="9">
        <f t="shared" si="165"/>
        <v>1.0102999585892641E-2</v>
      </c>
    </row>
    <row r="3514" spans="1:7" x14ac:dyDescent="0.2">
      <c r="A3514" s="12">
        <v>42016</v>
      </c>
      <c r="B3514" s="9">
        <v>761.57</v>
      </c>
      <c r="C3514" s="9">
        <v>753.54</v>
      </c>
      <c r="D3514" s="9">
        <v>758.12</v>
      </c>
      <c r="E3514" s="9">
        <f t="shared" si="163"/>
        <v>7.2413721515864763E-3</v>
      </c>
      <c r="F3514" s="9">
        <f t="shared" si="164"/>
        <v>1.4255922581221741E-3</v>
      </c>
      <c r="G3514" s="9">
        <f t="shared" si="165"/>
        <v>1.0107266390756904E-2</v>
      </c>
    </row>
    <row r="3515" spans="1:7" x14ac:dyDescent="0.2">
      <c r="A3515" s="12">
        <v>42017</v>
      </c>
      <c r="B3515" s="9">
        <v>769.3</v>
      </c>
      <c r="C3515" s="9">
        <v>757.21</v>
      </c>
      <c r="D3515" s="9">
        <v>769.24</v>
      </c>
      <c r="E3515" s="9">
        <f t="shared" si="163"/>
        <v>1.4561329984547136E-2</v>
      </c>
      <c r="F3515" s="9">
        <f t="shared" si="164"/>
        <v>1.286119844089002E-2</v>
      </c>
      <c r="G3515" s="9">
        <f t="shared" si="165"/>
        <v>1.0437605134690064E-2</v>
      </c>
    </row>
    <row r="3516" spans="1:7" x14ac:dyDescent="0.2">
      <c r="A3516" s="12">
        <v>42018</v>
      </c>
      <c r="B3516" s="9">
        <v>769.33</v>
      </c>
      <c r="C3516" s="9">
        <v>758.52</v>
      </c>
      <c r="D3516" s="9">
        <v>761.29</v>
      </c>
      <c r="E3516" s="9">
        <f t="shared" si="163"/>
        <v>-1.0388651642994797E-2</v>
      </c>
      <c r="F3516" s="9">
        <f t="shared" si="164"/>
        <v>8.1473893439545908E-4</v>
      </c>
      <c r="G3516" s="9">
        <f t="shared" si="165"/>
        <v>1.0618837746850626E-2</v>
      </c>
    </row>
    <row r="3517" spans="1:7" x14ac:dyDescent="0.2">
      <c r="A3517" s="12">
        <v>42019</v>
      </c>
      <c r="B3517" s="9">
        <v>772.43</v>
      </c>
      <c r="C3517" s="9">
        <v>746.6</v>
      </c>
      <c r="D3517" s="9">
        <v>772.43</v>
      </c>
      <c r="E3517" s="9">
        <f t="shared" si="163"/>
        <v>1.4527026979740277E-2</v>
      </c>
      <c r="F3517" s="9">
        <f t="shared" si="164"/>
        <v>1.3227447519216983E-2</v>
      </c>
      <c r="G3517" s="9">
        <f t="shared" si="165"/>
        <v>1.0939939254766074E-2</v>
      </c>
    </row>
    <row r="3518" spans="1:7" x14ac:dyDescent="0.2">
      <c r="A3518" s="12">
        <v>42020</v>
      </c>
      <c r="B3518" s="9">
        <v>771.46</v>
      </c>
      <c r="C3518" s="9">
        <v>761.93</v>
      </c>
      <c r="D3518" s="9">
        <v>769.14</v>
      </c>
      <c r="E3518" s="9">
        <f t="shared" si="163"/>
        <v>-4.2683822272939339E-3</v>
      </c>
      <c r="F3518" s="9">
        <f t="shared" si="164"/>
        <v>1.1007654320909414E-2</v>
      </c>
      <c r="G3518" s="9">
        <f t="shared" si="165"/>
        <v>1.0964836361097833E-2</v>
      </c>
    </row>
    <row r="3519" spans="1:7" x14ac:dyDescent="0.2">
      <c r="A3519" s="12">
        <v>42023</v>
      </c>
      <c r="B3519" s="9">
        <v>788.97</v>
      </c>
      <c r="C3519" s="9">
        <v>771.16</v>
      </c>
      <c r="D3519" s="9">
        <v>787.3</v>
      </c>
      <c r="E3519" s="9">
        <f t="shared" si="163"/>
        <v>2.333636263832323E-2</v>
      </c>
      <c r="F3519" s="9">
        <f t="shared" si="164"/>
        <v>3.828224853023094E-2</v>
      </c>
      <c r="G3519" s="9">
        <f t="shared" si="165"/>
        <v>1.1701555363257069E-2</v>
      </c>
    </row>
    <row r="3520" spans="1:7" x14ac:dyDescent="0.2">
      <c r="A3520" s="12">
        <v>42024</v>
      </c>
      <c r="B3520" s="9">
        <v>793.21</v>
      </c>
      <c r="C3520" s="9">
        <v>785.85</v>
      </c>
      <c r="D3520" s="9">
        <v>789.07</v>
      </c>
      <c r="E3520" s="9">
        <f t="shared" si="163"/>
        <v>2.2456666186813157E-3</v>
      </c>
      <c r="F3520" s="9">
        <f t="shared" si="164"/>
        <v>2.9281298832744201E-2</v>
      </c>
      <c r="G3520" s="9">
        <f t="shared" si="165"/>
        <v>1.1551523832453999E-2</v>
      </c>
    </row>
    <row r="3521" spans="1:7" x14ac:dyDescent="0.2">
      <c r="A3521" s="12">
        <v>42025</v>
      </c>
      <c r="B3521" s="9">
        <v>790.82</v>
      </c>
      <c r="C3521" s="9">
        <v>783.29</v>
      </c>
      <c r="D3521" s="9">
        <v>790.82</v>
      </c>
      <c r="E3521" s="9">
        <f t="shared" si="163"/>
        <v>2.215345012265391E-3</v>
      </c>
      <c r="F3521" s="9">
        <f t="shared" si="164"/>
        <v>2.9554123564545287E-2</v>
      </c>
      <c r="G3521" s="9">
        <f t="shared" si="165"/>
        <v>1.1552418305680127E-2</v>
      </c>
    </row>
    <row r="3522" spans="1:7" x14ac:dyDescent="0.2">
      <c r="A3522" s="12">
        <v>42026</v>
      </c>
      <c r="B3522" s="9">
        <v>796.92</v>
      </c>
      <c r="C3522" s="9">
        <v>782.31</v>
      </c>
      <c r="D3522" s="9">
        <v>792.96</v>
      </c>
      <c r="E3522" s="9">
        <f t="shared" si="163"/>
        <v>2.7023971793549264E-3</v>
      </c>
      <c r="F3522" s="9">
        <f t="shared" si="164"/>
        <v>3.8934232804479232E-2</v>
      </c>
      <c r="G3522" s="9">
        <f t="shared" si="165"/>
        <v>1.1464472150869497E-2</v>
      </c>
    </row>
    <row r="3523" spans="1:7" x14ac:dyDescent="0.2">
      <c r="A3523" s="12">
        <v>42027</v>
      </c>
      <c r="B3523" s="9">
        <v>805</v>
      </c>
      <c r="C3523" s="9">
        <v>797.34</v>
      </c>
      <c r="D3523" s="9">
        <v>802.48</v>
      </c>
      <c r="E3523" s="9">
        <f t="shared" si="163"/>
        <v>1.1934153574506712E-2</v>
      </c>
      <c r="F3523" s="9">
        <f t="shared" si="164"/>
        <v>3.6729550906290299E-2</v>
      </c>
      <c r="G3523" s="9">
        <f t="shared" si="165"/>
        <v>1.1386118844770065E-2</v>
      </c>
    </row>
    <row r="3524" spans="1:7" x14ac:dyDescent="0.2">
      <c r="A3524" s="12">
        <v>42030</v>
      </c>
      <c r="B3524" s="9">
        <v>815.24</v>
      </c>
      <c r="C3524" s="9">
        <v>797.89</v>
      </c>
      <c r="D3524" s="9">
        <v>815.19</v>
      </c>
      <c r="E3524" s="9">
        <f t="shared" ref="E3524:E3587" si="166">LN(D3524/D3523)</f>
        <v>1.5714282329684776E-2</v>
      </c>
      <c r="F3524" s="9">
        <f t="shared" si="164"/>
        <v>5.7095637230492706E-2</v>
      </c>
      <c r="G3524" s="9">
        <f t="shared" si="165"/>
        <v>1.1628252891725824E-2</v>
      </c>
    </row>
    <row r="3525" spans="1:7" x14ac:dyDescent="0.2">
      <c r="A3525" s="12">
        <v>42031</v>
      </c>
      <c r="B3525" s="9">
        <v>822.04</v>
      </c>
      <c r="C3525" s="9">
        <v>806.51</v>
      </c>
      <c r="D3525" s="9">
        <v>808.35</v>
      </c>
      <c r="E3525" s="9">
        <f t="shared" si="166"/>
        <v>-8.426081857299237E-3</v>
      </c>
      <c r="F3525" s="9">
        <f t="shared" si="164"/>
        <v>6.1637226862093511E-2</v>
      </c>
      <c r="G3525" s="9">
        <f t="shared" si="165"/>
        <v>1.1456266940642877E-2</v>
      </c>
    </row>
    <row r="3526" spans="1:7" x14ac:dyDescent="0.2">
      <c r="A3526" s="12">
        <v>42032</v>
      </c>
      <c r="B3526" s="9">
        <v>818.44</v>
      </c>
      <c r="C3526" s="9">
        <v>809.73</v>
      </c>
      <c r="D3526" s="9">
        <v>815.19</v>
      </c>
      <c r="E3526" s="9">
        <f t="shared" si="166"/>
        <v>8.4260818572991017E-3</v>
      </c>
      <c r="F3526" s="9">
        <f t="shared" si="164"/>
        <v>7.0971579973182014E-2</v>
      </c>
      <c r="G3526" s="9">
        <f t="shared" si="165"/>
        <v>1.149969839497076E-2</v>
      </c>
    </row>
    <row r="3527" spans="1:7" x14ac:dyDescent="0.2">
      <c r="A3527" s="12">
        <v>42033</v>
      </c>
      <c r="B3527" s="9">
        <v>820.16</v>
      </c>
      <c r="C3527" s="9">
        <v>811.63</v>
      </c>
      <c r="D3527" s="9">
        <v>815.32</v>
      </c>
      <c r="E3527" s="9">
        <f t="shared" si="166"/>
        <v>1.5945931061505414E-4</v>
      </c>
      <c r="F3527" s="9">
        <f t="shared" si="164"/>
        <v>7.5565753412391995E-2</v>
      </c>
      <c r="G3527" s="9">
        <f t="shared" si="165"/>
        <v>1.1436431461232308E-2</v>
      </c>
    </row>
    <row r="3528" spans="1:7" x14ac:dyDescent="0.2">
      <c r="A3528" s="12">
        <v>42034</v>
      </c>
      <c r="B3528" s="9">
        <v>824.93</v>
      </c>
      <c r="C3528" s="9">
        <v>810.94</v>
      </c>
      <c r="D3528" s="9">
        <v>810.94</v>
      </c>
      <c r="E3528" s="9">
        <f t="shared" si="166"/>
        <v>-5.3866055743356719E-3</v>
      </c>
      <c r="F3528" s="9">
        <f t="shared" si="164"/>
        <v>8.7188515971319727E-2</v>
      </c>
      <c r="G3528" s="9">
        <f t="shared" si="165"/>
        <v>1.093808396955666E-2</v>
      </c>
    </row>
    <row r="3529" spans="1:7" x14ac:dyDescent="0.2">
      <c r="A3529" s="12">
        <v>42037</v>
      </c>
      <c r="B3529" s="9">
        <v>817.36</v>
      </c>
      <c r="C3529" s="9">
        <v>804.02</v>
      </c>
      <c r="D3529" s="9">
        <v>806.44</v>
      </c>
      <c r="E3529" s="9">
        <f t="shared" si="166"/>
        <v>-5.5645693796833855E-3</v>
      </c>
      <c r="F3529" s="9">
        <f t="shared" si="164"/>
        <v>9.9708260390856326E-2</v>
      </c>
      <c r="G3529" s="9">
        <f t="shared" si="165"/>
        <v>1.0331628891819477E-2</v>
      </c>
    </row>
    <row r="3530" spans="1:7" x14ac:dyDescent="0.2">
      <c r="A3530" s="12">
        <v>42038</v>
      </c>
      <c r="B3530" s="9">
        <v>811.45</v>
      </c>
      <c r="C3530" s="9">
        <v>803.22</v>
      </c>
      <c r="D3530" s="9">
        <v>808.11</v>
      </c>
      <c r="E3530" s="9">
        <f t="shared" si="166"/>
        <v>2.0686886074261098E-3</v>
      </c>
      <c r="F3530" s="9">
        <f t="shared" si="164"/>
        <v>0.117532482349857</v>
      </c>
      <c r="G3530" s="9">
        <f t="shared" si="165"/>
        <v>9.6891428371587048E-3</v>
      </c>
    </row>
    <row r="3531" spans="1:7" x14ac:dyDescent="0.2">
      <c r="A3531" s="12">
        <v>42039</v>
      </c>
      <c r="B3531" s="9">
        <v>811.17</v>
      </c>
      <c r="C3531" s="9">
        <v>795.98</v>
      </c>
      <c r="D3531" s="9">
        <v>801.43</v>
      </c>
      <c r="E3531" s="9">
        <f t="shared" si="166"/>
        <v>-8.300555877902448E-3</v>
      </c>
      <c r="F3531" s="9">
        <f t="shared" si="164"/>
        <v>9.9302265957884203E-2</v>
      </c>
      <c r="G3531" s="9">
        <f t="shared" si="165"/>
        <v>9.869093277307197E-3</v>
      </c>
    </row>
    <row r="3532" spans="1:7" x14ac:dyDescent="0.2">
      <c r="A3532" s="12">
        <v>42040</v>
      </c>
      <c r="B3532" s="9">
        <v>809.64</v>
      </c>
      <c r="C3532" s="9">
        <v>797.26</v>
      </c>
      <c r="D3532" s="9">
        <v>799.67</v>
      </c>
      <c r="E3532" s="9">
        <f t="shared" si="166"/>
        <v>-2.1984894246357555E-3</v>
      </c>
      <c r="F3532" s="9">
        <f t="shared" si="164"/>
        <v>7.1526586754556185E-2</v>
      </c>
      <c r="G3532" s="9">
        <f t="shared" si="165"/>
        <v>8.9700165183889402E-3</v>
      </c>
    </row>
    <row r="3533" spans="1:7" x14ac:dyDescent="0.2">
      <c r="A3533" s="12">
        <v>42041</v>
      </c>
      <c r="B3533" s="9">
        <v>799.36</v>
      </c>
      <c r="C3533" s="9">
        <v>789.57</v>
      </c>
      <c r="D3533" s="9">
        <v>793.48</v>
      </c>
      <c r="E3533" s="9">
        <f t="shared" si="166"/>
        <v>-7.7708077064906405E-3</v>
      </c>
      <c r="F3533" s="9">
        <f t="shared" si="164"/>
        <v>5.8664459449900251E-2</v>
      </c>
      <c r="G3533" s="9">
        <f t="shared" si="165"/>
        <v>9.1419012673912021E-3</v>
      </c>
    </row>
    <row r="3534" spans="1:7" x14ac:dyDescent="0.2">
      <c r="A3534" s="12">
        <v>42044</v>
      </c>
      <c r="B3534" s="9">
        <v>793.83</v>
      </c>
      <c r="C3534" s="9">
        <v>784.32</v>
      </c>
      <c r="D3534" s="9">
        <v>787.96</v>
      </c>
      <c r="E3534" s="9">
        <f t="shared" si="166"/>
        <v>-6.9810077117530107E-3</v>
      </c>
      <c r="F3534" s="9">
        <f t="shared" si="164"/>
        <v>4.4877578565908301E-2</v>
      </c>
      <c r="G3534" s="9">
        <f t="shared" si="165"/>
        <v>9.2357159457516907E-3</v>
      </c>
    </row>
    <row r="3535" spans="1:7" x14ac:dyDescent="0.2">
      <c r="A3535" s="12">
        <v>42045</v>
      </c>
      <c r="B3535" s="9">
        <v>798.9</v>
      </c>
      <c r="C3535" s="9">
        <v>788.2</v>
      </c>
      <c r="D3535" s="9">
        <v>796.8</v>
      </c>
      <c r="E3535" s="9">
        <f t="shared" si="166"/>
        <v>1.1156379122233643E-2</v>
      </c>
      <c r="F3535" s="9">
        <f t="shared" si="164"/>
        <v>6.5275070770789242E-2</v>
      </c>
      <c r="G3535" s="9">
        <f t="shared" si="165"/>
        <v>9.1685877761513018E-3</v>
      </c>
    </row>
    <row r="3536" spans="1:7" x14ac:dyDescent="0.2">
      <c r="A3536" s="12">
        <v>42046</v>
      </c>
      <c r="B3536" s="9">
        <v>798.81</v>
      </c>
      <c r="C3536" s="9">
        <v>788.08</v>
      </c>
      <c r="D3536" s="9">
        <v>790.23</v>
      </c>
      <c r="E3536" s="9">
        <f t="shared" si="166"/>
        <v>-8.2796639416195458E-3</v>
      </c>
      <c r="F3536" s="9">
        <f t="shared" si="164"/>
        <v>5.2077517485566015E-2</v>
      </c>
      <c r="G3536" s="9">
        <f t="shared" si="165"/>
        <v>9.3473577674343371E-3</v>
      </c>
    </row>
    <row r="3537" spans="1:7" x14ac:dyDescent="0.2">
      <c r="A3537" s="12">
        <v>42047</v>
      </c>
      <c r="B3537" s="9">
        <v>798.17</v>
      </c>
      <c r="C3537" s="9">
        <v>790.62</v>
      </c>
      <c r="D3537" s="9">
        <v>796.55</v>
      </c>
      <c r="E3537" s="9">
        <f t="shared" si="166"/>
        <v>7.9658596901348196E-3</v>
      </c>
      <c r="F3537" s="9">
        <f t="shared" si="164"/>
        <v>6.7657644143140711E-2</v>
      </c>
      <c r="G3537" s="9">
        <f t="shared" si="165"/>
        <v>9.2421722942351188E-3</v>
      </c>
    </row>
    <row r="3538" spans="1:7" x14ac:dyDescent="0.2">
      <c r="A3538" s="12">
        <v>42048</v>
      </c>
      <c r="B3538" s="9">
        <v>804.91</v>
      </c>
      <c r="C3538" s="9">
        <v>798.56</v>
      </c>
      <c r="D3538" s="9">
        <v>803.63</v>
      </c>
      <c r="E3538" s="9">
        <f t="shared" si="166"/>
        <v>8.8490622310266834E-3</v>
      </c>
      <c r="F3538" s="9">
        <f t="shared" si="164"/>
        <v>6.5485507803210649E-2</v>
      </c>
      <c r="G3538" s="9">
        <f t="shared" si="165"/>
        <v>9.179425957736553E-3</v>
      </c>
    </row>
    <row r="3539" spans="1:7" x14ac:dyDescent="0.2">
      <c r="A3539" s="12">
        <v>42051</v>
      </c>
      <c r="B3539" s="9">
        <v>805.73</v>
      </c>
      <c r="C3539" s="9">
        <v>799.98</v>
      </c>
      <c r="D3539" s="9">
        <v>803.36</v>
      </c>
      <c r="E3539" s="9">
        <f t="shared" si="166"/>
        <v>-3.3603196353511214E-4</v>
      </c>
      <c r="F3539" s="9">
        <f t="shared" si="164"/>
        <v>7.0250882127977948E-2</v>
      </c>
      <c r="G3539" s="9">
        <f t="shared" si="165"/>
        <v>9.0898226167937714E-3</v>
      </c>
    </row>
    <row r="3540" spans="1:7" x14ac:dyDescent="0.2">
      <c r="A3540" s="12">
        <v>42052</v>
      </c>
      <c r="B3540" s="9">
        <v>816.42</v>
      </c>
      <c r="C3540" s="9">
        <v>800.62</v>
      </c>
      <c r="D3540" s="9">
        <v>815.61</v>
      </c>
      <c r="E3540" s="9">
        <f t="shared" si="166"/>
        <v>1.5133367250952285E-2</v>
      </c>
      <c r="F3540" s="9">
        <f t="shared" si="164"/>
        <v>9.1304041661584692E-2</v>
      </c>
      <c r="G3540" s="9">
        <f t="shared" si="165"/>
        <v>9.2414387690760384E-3</v>
      </c>
    </row>
    <row r="3541" spans="1:7" x14ac:dyDescent="0.2">
      <c r="A3541" s="12">
        <v>42053</v>
      </c>
      <c r="B3541" s="9">
        <v>831.05</v>
      </c>
      <c r="C3541" s="9">
        <v>820.78</v>
      </c>
      <c r="D3541" s="9">
        <v>830.03</v>
      </c>
      <c r="E3541" s="9">
        <f t="shared" si="166"/>
        <v>1.7525545178409589E-2</v>
      </c>
      <c r="F3541" s="9">
        <f t="shared" si="164"/>
        <v>0.11369066544350004</v>
      </c>
      <c r="G3541" s="9">
        <f t="shared" si="165"/>
        <v>9.4818608331624938E-3</v>
      </c>
    </row>
    <row r="3542" spans="1:7" x14ac:dyDescent="0.2">
      <c r="A3542" s="12">
        <v>42054</v>
      </c>
      <c r="B3542" s="9">
        <v>836.65</v>
      </c>
      <c r="C3542" s="9">
        <v>825.93</v>
      </c>
      <c r="D3542" s="9">
        <v>835.95</v>
      </c>
      <c r="E3542" s="9">
        <f t="shared" si="166"/>
        <v>7.1069579678977295E-3</v>
      </c>
      <c r="F3542" s="9">
        <f t="shared" si="164"/>
        <v>0.10581918094989071</v>
      </c>
      <c r="G3542" s="9">
        <f t="shared" si="165"/>
        <v>9.2680682539663002E-3</v>
      </c>
    </row>
    <row r="3543" spans="1:7" x14ac:dyDescent="0.2">
      <c r="A3543" s="12">
        <v>42055</v>
      </c>
      <c r="B3543" s="9">
        <v>860.17</v>
      </c>
      <c r="C3543" s="9">
        <v>830.9</v>
      </c>
      <c r="D3543" s="9">
        <v>853.69</v>
      </c>
      <c r="E3543" s="9">
        <f t="shared" si="166"/>
        <v>2.0999327547237191E-2</v>
      </c>
      <c r="F3543" s="9">
        <f t="shared" si="164"/>
        <v>0.12596781792437933</v>
      </c>
      <c r="G3543" s="9">
        <f t="shared" si="165"/>
        <v>9.7831498326129522E-3</v>
      </c>
    </row>
    <row r="3544" spans="1:7" x14ac:dyDescent="0.2">
      <c r="A3544" s="12">
        <v>42058</v>
      </c>
      <c r="B3544" s="9">
        <v>869.58</v>
      </c>
      <c r="C3544" s="9">
        <v>859.65</v>
      </c>
      <c r="D3544" s="9">
        <v>863.05</v>
      </c>
      <c r="E3544" s="9">
        <f t="shared" si="166"/>
        <v>1.0904496601805943E-2</v>
      </c>
      <c r="F3544" s="9">
        <f t="shared" si="164"/>
        <v>0.12963094237459866</v>
      </c>
      <c r="G3544" s="9">
        <f t="shared" si="165"/>
        <v>9.8450959353849829E-3</v>
      </c>
    </row>
    <row r="3545" spans="1:7" x14ac:dyDescent="0.2">
      <c r="A3545" s="12">
        <v>42059</v>
      </c>
      <c r="B3545" s="9">
        <v>863.27</v>
      </c>
      <c r="C3545" s="9">
        <v>853.36</v>
      </c>
      <c r="D3545" s="9">
        <v>859.79</v>
      </c>
      <c r="E3545" s="9">
        <f t="shared" si="166"/>
        <v>-3.7844534499233222E-3</v>
      </c>
      <c r="F3545" s="9">
        <f t="shared" si="164"/>
        <v>0.11128515894012818</v>
      </c>
      <c r="G3545" s="9">
        <f t="shared" si="165"/>
        <v>9.7564616071820071E-3</v>
      </c>
    </row>
    <row r="3546" spans="1:7" x14ac:dyDescent="0.2">
      <c r="A3546" s="12">
        <v>42060</v>
      </c>
      <c r="B3546" s="9">
        <v>869.53</v>
      </c>
      <c r="C3546" s="9">
        <v>860.83</v>
      </c>
      <c r="D3546" s="9">
        <v>867.08</v>
      </c>
      <c r="E3546" s="9">
        <f t="shared" si="166"/>
        <v>8.4430713439481268E-3</v>
      </c>
      <c r="F3546" s="9">
        <f t="shared" si="164"/>
        <v>0.13011688192707105</v>
      </c>
      <c r="G3546" s="9">
        <f t="shared" si="165"/>
        <v>9.4180590314988585E-3</v>
      </c>
    </row>
    <row r="3547" spans="1:7" x14ac:dyDescent="0.2">
      <c r="A3547" s="12">
        <v>42061</v>
      </c>
      <c r="B3547" s="9">
        <v>877.39</v>
      </c>
      <c r="C3547" s="9">
        <v>866.62</v>
      </c>
      <c r="D3547" s="9">
        <v>876.59</v>
      </c>
      <c r="E3547" s="9">
        <f t="shared" si="166"/>
        <v>1.0908135481304565E-2</v>
      </c>
      <c r="F3547" s="9">
        <f t="shared" si="164"/>
        <v>0.12649799042863519</v>
      </c>
      <c r="G3547" s="9">
        <f t="shared" si="165"/>
        <v>9.3055480815494931E-3</v>
      </c>
    </row>
    <row r="3548" spans="1:7" x14ac:dyDescent="0.2">
      <c r="A3548" s="12">
        <v>42062</v>
      </c>
      <c r="B3548" s="9">
        <v>883.64</v>
      </c>
      <c r="C3548" s="9">
        <v>875.53</v>
      </c>
      <c r="D3548" s="9">
        <v>883.51</v>
      </c>
      <c r="E3548" s="9">
        <f t="shared" si="166"/>
        <v>7.8632301067970579E-3</v>
      </c>
      <c r="F3548" s="9">
        <f t="shared" si="164"/>
        <v>0.1386296027627261</v>
      </c>
      <c r="G3548" s="9">
        <f t="shared" si="165"/>
        <v>9.1869484935318546E-3</v>
      </c>
    </row>
    <row r="3549" spans="1:7" x14ac:dyDescent="0.2">
      <c r="A3549" s="12">
        <v>42065</v>
      </c>
      <c r="B3549" s="9">
        <v>886.56</v>
      </c>
      <c r="C3549" s="9">
        <v>877.22</v>
      </c>
      <c r="D3549" s="9">
        <v>879.19</v>
      </c>
      <c r="E3549" s="9">
        <f t="shared" si="166"/>
        <v>-4.9015812664390769E-3</v>
      </c>
      <c r="F3549" s="9">
        <f t="shared" si="164"/>
        <v>0.11039165885796395</v>
      </c>
      <c r="G3549" s="9">
        <f t="shared" si="165"/>
        <v>8.6332063029512397E-3</v>
      </c>
    </row>
    <row r="3550" spans="1:7" x14ac:dyDescent="0.2">
      <c r="A3550" s="12">
        <v>42066</v>
      </c>
      <c r="B3550" s="9">
        <v>881.43</v>
      </c>
      <c r="C3550" s="9">
        <v>873.13</v>
      </c>
      <c r="D3550" s="9">
        <v>873.13</v>
      </c>
      <c r="E3550" s="9">
        <f t="shared" si="166"/>
        <v>-6.9165724966480987E-3</v>
      </c>
      <c r="F3550" s="9">
        <f t="shared" si="164"/>
        <v>0.10122941974263459</v>
      </c>
      <c r="G3550" s="9">
        <f t="shared" si="165"/>
        <v>8.845146734094228E-3</v>
      </c>
    </row>
    <row r="3551" spans="1:7" x14ac:dyDescent="0.2">
      <c r="A3551" s="12">
        <v>42067</v>
      </c>
      <c r="B3551" s="9">
        <v>874.57</v>
      </c>
      <c r="C3551" s="9">
        <v>866.15</v>
      </c>
      <c r="D3551" s="9">
        <v>873.97</v>
      </c>
      <c r="E3551" s="9">
        <f t="shared" si="166"/>
        <v>9.6159357189209722E-4</v>
      </c>
      <c r="F3551" s="9">
        <f t="shared" si="164"/>
        <v>9.9975668302261386E-2</v>
      </c>
      <c r="G3551" s="9">
        <f t="shared" si="165"/>
        <v>8.8537691486456349E-3</v>
      </c>
    </row>
    <row r="3552" spans="1:7" x14ac:dyDescent="0.2">
      <c r="A3552" s="12">
        <v>42068</v>
      </c>
      <c r="B3552" s="9">
        <v>883.19</v>
      </c>
      <c r="C3552" s="9">
        <v>875.43</v>
      </c>
      <c r="D3552" s="9">
        <v>882.65</v>
      </c>
      <c r="E3552" s="9">
        <f t="shared" si="166"/>
        <v>9.8826959116626208E-3</v>
      </c>
      <c r="F3552" s="9">
        <f t="shared" si="164"/>
        <v>0.10715596703456901</v>
      </c>
      <c r="G3552" s="9">
        <f t="shared" si="165"/>
        <v>8.932846742196434E-3</v>
      </c>
    </row>
    <row r="3553" spans="1:7" x14ac:dyDescent="0.2">
      <c r="A3553" s="12">
        <v>42069</v>
      </c>
      <c r="B3553" s="9">
        <v>888.93</v>
      </c>
      <c r="C3553" s="9">
        <v>881.92</v>
      </c>
      <c r="D3553" s="9">
        <v>886.28</v>
      </c>
      <c r="E3553" s="9">
        <f t="shared" si="166"/>
        <v>4.1041817317832721E-3</v>
      </c>
      <c r="F3553" s="9">
        <f t="shared" ref="F3553:F3616" si="167">LN(D3553/D3523)</f>
        <v>9.9325995191845443E-2</v>
      </c>
      <c r="G3553" s="9">
        <f t="shared" si="165"/>
        <v>8.7933922314687805E-3</v>
      </c>
    </row>
    <row r="3554" spans="1:7" x14ac:dyDescent="0.2">
      <c r="A3554" s="12">
        <v>42072</v>
      </c>
      <c r="B3554" s="9">
        <v>885.86</v>
      </c>
      <c r="C3554" s="9">
        <v>877.5</v>
      </c>
      <c r="D3554" s="9">
        <v>885.48</v>
      </c>
      <c r="E3554" s="9">
        <f t="shared" si="166"/>
        <v>-9.0305690879960345E-4</v>
      </c>
      <c r="F3554" s="9">
        <f t="shared" si="167"/>
        <v>8.2708655953360979E-2</v>
      </c>
      <c r="G3554" s="9">
        <f t="shared" si="165"/>
        <v>8.5037447238193262E-3</v>
      </c>
    </row>
    <row r="3555" spans="1:7" x14ac:dyDescent="0.2">
      <c r="A3555" s="12">
        <v>42073</v>
      </c>
      <c r="B3555" s="9">
        <v>894.42</v>
      </c>
      <c r="C3555" s="9">
        <v>881.39</v>
      </c>
      <c r="D3555" s="9">
        <v>888.81</v>
      </c>
      <c r="E3555" s="9">
        <f t="shared" si="166"/>
        <v>3.7536185289637099E-3</v>
      </c>
      <c r="F3555" s="9">
        <f t="shared" si="167"/>
        <v>9.4888356339623864E-2</v>
      </c>
      <c r="G3555" s="9">
        <f t="shared" si="165"/>
        <v>8.238021060483814E-3</v>
      </c>
    </row>
    <row r="3556" spans="1:7" x14ac:dyDescent="0.2">
      <c r="A3556" s="12">
        <v>42074</v>
      </c>
      <c r="B3556" s="9">
        <v>896.42</v>
      </c>
      <c r="C3556" s="9">
        <v>884.75</v>
      </c>
      <c r="D3556" s="9">
        <v>893.5</v>
      </c>
      <c r="E3556" s="9">
        <f t="shared" si="166"/>
        <v>5.2628452122433856E-3</v>
      </c>
      <c r="F3556" s="9">
        <f t="shared" si="167"/>
        <v>9.1725119694568133E-2</v>
      </c>
      <c r="G3556" s="9">
        <f t="shared" si="165"/>
        <v>8.1884278646024815E-3</v>
      </c>
    </row>
    <row r="3557" spans="1:7" x14ac:dyDescent="0.2">
      <c r="A3557" s="12">
        <v>42075</v>
      </c>
      <c r="B3557" s="9">
        <v>898.25</v>
      </c>
      <c r="C3557" s="9">
        <v>891.99</v>
      </c>
      <c r="D3557" s="9">
        <v>893.6</v>
      </c>
      <c r="E3557" s="9">
        <f t="shared" si="166"/>
        <v>1.1191315550821932E-4</v>
      </c>
      <c r="F3557" s="9">
        <f t="shared" si="167"/>
        <v>9.1677573539461418E-2</v>
      </c>
      <c r="G3557" s="9">
        <f t="shared" si="165"/>
        <v>8.1890127040930068E-3</v>
      </c>
    </row>
    <row r="3558" spans="1:7" x14ac:dyDescent="0.2">
      <c r="A3558" s="12">
        <v>42076</v>
      </c>
      <c r="B3558" s="9">
        <v>907.1</v>
      </c>
      <c r="C3558" s="9">
        <v>895.54</v>
      </c>
      <c r="D3558" s="9">
        <v>907.1</v>
      </c>
      <c r="E3558" s="9">
        <f t="shared" si="166"/>
        <v>1.4994449865907575E-2</v>
      </c>
      <c r="F3558" s="9">
        <f t="shared" si="167"/>
        <v>0.11205862897970456</v>
      </c>
      <c r="G3558" s="9">
        <f t="shared" si="165"/>
        <v>8.3089980076502309E-3</v>
      </c>
    </row>
    <row r="3559" spans="1:7" x14ac:dyDescent="0.2">
      <c r="A3559" s="12">
        <v>42079</v>
      </c>
      <c r="B3559" s="9">
        <v>920.73</v>
      </c>
      <c r="C3559" s="9">
        <v>910.37</v>
      </c>
      <c r="D3559" s="9">
        <v>920.59</v>
      </c>
      <c r="E3559" s="9">
        <f t="shared" si="166"/>
        <v>1.4762071222254713E-2</v>
      </c>
      <c r="F3559" s="9">
        <f t="shared" si="167"/>
        <v>0.13238526958164262</v>
      </c>
      <c r="G3559" s="9">
        <f t="shared" ref="G3559:G3622" si="168">STDEV(E3530:E3559)</f>
        <v>8.3531414576203059E-3</v>
      </c>
    </row>
    <row r="3560" spans="1:7" x14ac:dyDescent="0.2">
      <c r="A3560" s="12">
        <v>42080</v>
      </c>
      <c r="B3560" s="9">
        <v>923.52</v>
      </c>
      <c r="C3560" s="9">
        <v>901.62</v>
      </c>
      <c r="D3560" s="9">
        <v>906.97</v>
      </c>
      <c r="E3560" s="9">
        <f t="shared" si="166"/>
        <v>-1.490539535001449E-2</v>
      </c>
      <c r="F3560" s="9">
        <f t="shared" si="167"/>
        <v>0.11541118562420215</v>
      </c>
      <c r="G3560" s="9">
        <f t="shared" si="168"/>
        <v>9.0621788122663433E-3</v>
      </c>
    </row>
    <row r="3561" spans="1:7" x14ac:dyDescent="0.2">
      <c r="A3561" s="12">
        <v>42081</v>
      </c>
      <c r="B3561" s="9">
        <v>915.14</v>
      </c>
      <c r="C3561" s="9">
        <v>906</v>
      </c>
      <c r="D3561" s="9">
        <v>909.78</v>
      </c>
      <c r="E3561" s="9">
        <f t="shared" si="166"/>
        <v>3.0934385477640295E-3</v>
      </c>
      <c r="F3561" s="9">
        <f t="shared" si="167"/>
        <v>0.12680518004986868</v>
      </c>
      <c r="G3561" s="9">
        <f t="shared" si="168"/>
        <v>8.7695512868916671E-3</v>
      </c>
    </row>
    <row r="3562" spans="1:7" x14ac:dyDescent="0.2">
      <c r="A3562" s="12">
        <v>42082</v>
      </c>
      <c r="B3562" s="9">
        <v>914.6</v>
      </c>
      <c r="C3562" s="9">
        <v>903.11</v>
      </c>
      <c r="D3562" s="9">
        <v>913.13</v>
      </c>
      <c r="E3562" s="9">
        <f t="shared" si="166"/>
        <v>3.6754461506437737E-3</v>
      </c>
      <c r="F3562" s="9">
        <f t="shared" si="167"/>
        <v>0.13267911562514798</v>
      </c>
      <c r="G3562" s="9">
        <f t="shared" si="168"/>
        <v>8.6863248532555379E-3</v>
      </c>
    </row>
    <row r="3563" spans="1:7" x14ac:dyDescent="0.2">
      <c r="A3563" s="12">
        <v>42083</v>
      </c>
      <c r="B3563" s="9">
        <v>917.72</v>
      </c>
      <c r="C3563" s="9">
        <v>910.9</v>
      </c>
      <c r="D3563" s="9">
        <v>917.55</v>
      </c>
      <c r="E3563" s="9">
        <f t="shared" si="166"/>
        <v>4.8288161651370226E-3</v>
      </c>
      <c r="F3563" s="9">
        <f t="shared" si="167"/>
        <v>0.14527873949677558</v>
      </c>
      <c r="G3563" s="9">
        <f t="shared" si="168"/>
        <v>8.3754735185835628E-3</v>
      </c>
    </row>
    <row r="3564" spans="1:7" x14ac:dyDescent="0.2">
      <c r="A3564" s="12">
        <v>42086</v>
      </c>
      <c r="B3564" s="9">
        <v>918.39</v>
      </c>
      <c r="C3564" s="9">
        <v>909.3</v>
      </c>
      <c r="D3564" s="9">
        <v>915.34</v>
      </c>
      <c r="E3564" s="9">
        <f t="shared" si="166"/>
        <v>-2.4114934022055638E-3</v>
      </c>
      <c r="F3564" s="9">
        <f t="shared" si="167"/>
        <v>0.14984825380632302</v>
      </c>
      <c r="G3564" s="9">
        <f t="shared" si="168"/>
        <v>8.1925872177173384E-3</v>
      </c>
    </row>
    <row r="3565" spans="1:7" x14ac:dyDescent="0.2">
      <c r="A3565" s="12">
        <v>42087</v>
      </c>
      <c r="B3565" s="9">
        <v>925.9</v>
      </c>
      <c r="C3565" s="9">
        <v>912.84</v>
      </c>
      <c r="D3565" s="9">
        <v>923.92</v>
      </c>
      <c r="E3565" s="9">
        <f t="shared" si="166"/>
        <v>9.3299068523540439E-3</v>
      </c>
      <c r="F3565" s="9">
        <f t="shared" si="167"/>
        <v>0.14802178153644358</v>
      </c>
      <c r="G3565" s="9">
        <f t="shared" si="168"/>
        <v>8.1519058197988478E-3</v>
      </c>
    </row>
    <row r="3566" spans="1:7" x14ac:dyDescent="0.2">
      <c r="A3566" s="12">
        <v>42088</v>
      </c>
      <c r="B3566" s="9">
        <v>924.22</v>
      </c>
      <c r="C3566" s="9">
        <v>914.68</v>
      </c>
      <c r="D3566" s="9">
        <v>915.04</v>
      </c>
      <c r="E3566" s="9">
        <f t="shared" si="166"/>
        <v>-9.6577076398260114E-3</v>
      </c>
      <c r="F3566" s="9">
        <f t="shared" si="167"/>
        <v>0.14664373783823717</v>
      </c>
      <c r="G3566" s="9">
        <f t="shared" si="168"/>
        <v>8.2324156737914739E-3</v>
      </c>
    </row>
    <row r="3567" spans="1:7" x14ac:dyDescent="0.2">
      <c r="A3567" s="12">
        <v>42089</v>
      </c>
      <c r="B3567" s="9">
        <v>911.08</v>
      </c>
      <c r="C3567" s="9">
        <v>891.86</v>
      </c>
      <c r="D3567" s="9">
        <v>900.62</v>
      </c>
      <c r="E3567" s="9">
        <f t="shared" si="166"/>
        <v>-1.588436512883843E-2</v>
      </c>
      <c r="F3567" s="9">
        <f t="shared" si="167"/>
        <v>0.12279351301926376</v>
      </c>
      <c r="G3567" s="9">
        <f t="shared" si="168"/>
        <v>9.0372221385913668E-3</v>
      </c>
    </row>
    <row r="3568" spans="1:7" x14ac:dyDescent="0.2">
      <c r="A3568" s="12">
        <v>42090</v>
      </c>
      <c r="B3568" s="9">
        <v>957.35</v>
      </c>
      <c r="C3568" s="9">
        <v>901.35</v>
      </c>
      <c r="D3568" s="9">
        <v>945.62</v>
      </c>
      <c r="E3568" s="9">
        <f t="shared" si="166"/>
        <v>4.8757381982212154E-2</v>
      </c>
      <c r="F3568" s="9">
        <f t="shared" si="167"/>
        <v>0.1627018327704492</v>
      </c>
      <c r="G3568" s="9">
        <f t="shared" si="168"/>
        <v>1.2159370653472789E-2</v>
      </c>
    </row>
    <row r="3569" spans="1:7" x14ac:dyDescent="0.2">
      <c r="A3569" s="12">
        <v>42093</v>
      </c>
      <c r="B3569" s="9">
        <v>962.64</v>
      </c>
      <c r="C3569" s="9">
        <v>941.25</v>
      </c>
      <c r="D3569" s="9">
        <v>962.64</v>
      </c>
      <c r="E3569" s="9">
        <f t="shared" si="166"/>
        <v>1.78387131095273E-2</v>
      </c>
      <c r="F3569" s="9">
        <f t="shared" si="167"/>
        <v>0.1808765778435118</v>
      </c>
      <c r="G3569" s="9">
        <f t="shared" si="168"/>
        <v>1.2314299201232993E-2</v>
      </c>
    </row>
    <row r="3570" spans="1:7" x14ac:dyDescent="0.2">
      <c r="A3570" s="12">
        <v>42094</v>
      </c>
      <c r="B3570" s="9">
        <v>966.8</v>
      </c>
      <c r="C3570" s="9">
        <v>952.85</v>
      </c>
      <c r="D3570" s="9">
        <v>954.34</v>
      </c>
      <c r="E3570" s="9">
        <f t="shared" si="166"/>
        <v>-8.6595080449441298E-3</v>
      </c>
      <c r="F3570" s="9">
        <f t="shared" si="167"/>
        <v>0.15708370254761536</v>
      </c>
      <c r="G3570" s="9">
        <f t="shared" si="168"/>
        <v>1.2472894955392116E-2</v>
      </c>
    </row>
    <row r="3571" spans="1:7" x14ac:dyDescent="0.2">
      <c r="A3571" s="12">
        <v>42095</v>
      </c>
      <c r="B3571" s="9">
        <v>967.54</v>
      </c>
      <c r="C3571" s="9">
        <v>949.26</v>
      </c>
      <c r="D3571" s="9">
        <v>965.33</v>
      </c>
      <c r="E3571" s="9">
        <f t="shared" si="166"/>
        <v>1.1450009707898483E-2</v>
      </c>
      <c r="F3571" s="9">
        <f t="shared" si="167"/>
        <v>0.15100816707710429</v>
      </c>
      <c r="G3571" s="9">
        <f t="shared" si="168"/>
        <v>1.2314796594461233E-2</v>
      </c>
    </row>
    <row r="3572" spans="1:7" x14ac:dyDescent="0.2">
      <c r="A3572" s="12">
        <v>42101</v>
      </c>
      <c r="B3572" s="9">
        <v>982.02</v>
      </c>
      <c r="C3572" s="9">
        <v>970.21</v>
      </c>
      <c r="D3572" s="9">
        <v>976.59</v>
      </c>
      <c r="E3572" s="9">
        <f t="shared" si="166"/>
        <v>1.1596900175474148E-2</v>
      </c>
      <c r="F3572" s="9">
        <f t="shared" si="167"/>
        <v>0.15549810928468064</v>
      </c>
      <c r="G3572" s="9">
        <f t="shared" si="168"/>
        <v>1.2368032067712047E-2</v>
      </c>
    </row>
    <row r="3573" spans="1:7" x14ac:dyDescent="0.2">
      <c r="A3573" s="12">
        <v>42102</v>
      </c>
      <c r="B3573" s="9">
        <v>980.45</v>
      </c>
      <c r="C3573" s="9">
        <v>972.84</v>
      </c>
      <c r="D3573" s="9">
        <v>979.44</v>
      </c>
      <c r="E3573" s="9">
        <f t="shared" si="166"/>
        <v>2.9140677973242555E-3</v>
      </c>
      <c r="F3573" s="9">
        <f t="shared" si="167"/>
        <v>0.13741284953476773</v>
      </c>
      <c r="G3573" s="9">
        <f t="shared" si="168"/>
        <v>1.2006000452498968E-2</v>
      </c>
    </row>
    <row r="3574" spans="1:7" x14ac:dyDescent="0.2">
      <c r="A3574" s="12">
        <v>42103</v>
      </c>
      <c r="B3574" s="9">
        <v>985.73</v>
      </c>
      <c r="C3574" s="9">
        <v>980.45</v>
      </c>
      <c r="D3574" s="9">
        <v>985.73</v>
      </c>
      <c r="E3574" s="9">
        <f t="shared" si="166"/>
        <v>6.4015036662901838E-3</v>
      </c>
      <c r="F3574" s="9">
        <f t="shared" si="167"/>
        <v>0.13290985659925197</v>
      </c>
      <c r="G3574" s="9">
        <f t="shared" si="168"/>
        <v>1.1952238192766059E-2</v>
      </c>
    </row>
    <row r="3575" spans="1:7" x14ac:dyDescent="0.2">
      <c r="A3575" s="12">
        <v>42104</v>
      </c>
      <c r="B3575" s="9">
        <v>1003.61</v>
      </c>
      <c r="C3575" s="9">
        <v>988.54</v>
      </c>
      <c r="D3575" s="9">
        <v>1002.67</v>
      </c>
      <c r="E3575" s="9">
        <f t="shared" si="166"/>
        <v>1.7039237432229678E-2</v>
      </c>
      <c r="F3575" s="9">
        <f t="shared" si="167"/>
        <v>0.15373354748140486</v>
      </c>
      <c r="G3575" s="9">
        <f t="shared" si="168"/>
        <v>1.2062869323329024E-2</v>
      </c>
    </row>
    <row r="3576" spans="1:7" x14ac:dyDescent="0.2">
      <c r="A3576" s="12">
        <v>42107</v>
      </c>
      <c r="B3576" s="9">
        <v>1003.55</v>
      </c>
      <c r="C3576" s="9">
        <v>995.65</v>
      </c>
      <c r="D3576" s="9">
        <v>998.93</v>
      </c>
      <c r="E3576" s="9">
        <f t="shared" si="166"/>
        <v>-3.7370147407184773E-3</v>
      </c>
      <c r="F3576" s="9">
        <f t="shared" si="167"/>
        <v>0.14155346139673841</v>
      </c>
      <c r="G3576" s="9">
        <f t="shared" si="168"/>
        <v>1.215196716219418E-2</v>
      </c>
    </row>
    <row r="3577" spans="1:7" x14ac:dyDescent="0.2">
      <c r="A3577" s="12">
        <v>42108</v>
      </c>
      <c r="B3577" s="9">
        <v>1003.48</v>
      </c>
      <c r="C3577" s="9">
        <v>990.5</v>
      </c>
      <c r="D3577" s="9">
        <v>990.51</v>
      </c>
      <c r="E3577" s="9">
        <f t="shared" si="166"/>
        <v>-8.464744124663106E-3</v>
      </c>
      <c r="F3577" s="9">
        <f t="shared" si="167"/>
        <v>0.12218058179077095</v>
      </c>
      <c r="G3577" s="9">
        <f t="shared" si="168"/>
        <v>1.2325209574203938E-2</v>
      </c>
    </row>
    <row r="3578" spans="1:7" x14ac:dyDescent="0.2">
      <c r="A3578" s="12">
        <v>42109</v>
      </c>
      <c r="B3578" s="9">
        <v>999.52</v>
      </c>
      <c r="C3578" s="9">
        <v>992.05</v>
      </c>
      <c r="D3578" s="9">
        <v>994.78</v>
      </c>
      <c r="E3578" s="9">
        <f t="shared" si="166"/>
        <v>4.30164518472543E-3</v>
      </c>
      <c r="F3578" s="9">
        <f t="shared" si="167"/>
        <v>0.11861899686869913</v>
      </c>
      <c r="G3578" s="9">
        <f t="shared" si="168"/>
        <v>1.2304574855592358E-2</v>
      </c>
    </row>
    <row r="3579" spans="1:7" x14ac:dyDescent="0.2">
      <c r="A3579" s="12">
        <v>42110</v>
      </c>
      <c r="B3579" s="9">
        <v>991.98</v>
      </c>
      <c r="C3579" s="9">
        <v>977.56</v>
      </c>
      <c r="D3579" s="9">
        <v>983.59</v>
      </c>
      <c r="E3579" s="9">
        <f t="shared" si="166"/>
        <v>-1.1312463627612667E-2</v>
      </c>
      <c r="F3579" s="9">
        <f t="shared" si="167"/>
        <v>0.11220811450752573</v>
      </c>
      <c r="G3579" s="9">
        <f t="shared" si="168"/>
        <v>1.2517501529794788E-2</v>
      </c>
    </row>
    <row r="3580" spans="1:7" x14ac:dyDescent="0.2">
      <c r="A3580" s="12">
        <v>42111</v>
      </c>
      <c r="B3580" s="9">
        <v>982.2</v>
      </c>
      <c r="C3580" s="9">
        <v>964.63</v>
      </c>
      <c r="D3580" s="9">
        <v>967.92</v>
      </c>
      <c r="E3580" s="9">
        <f t="shared" si="166"/>
        <v>-1.6059704322688644E-2</v>
      </c>
      <c r="F3580" s="9">
        <f t="shared" si="167"/>
        <v>0.1030649826814851</v>
      </c>
      <c r="G3580" s="9">
        <f t="shared" si="168"/>
        <v>1.2891632718004054E-2</v>
      </c>
    </row>
    <row r="3581" spans="1:7" x14ac:dyDescent="0.2">
      <c r="A3581" s="12">
        <v>42114</v>
      </c>
      <c r="B3581" s="9">
        <v>989.61</v>
      </c>
      <c r="C3581" s="9">
        <v>968.39</v>
      </c>
      <c r="D3581" s="9">
        <v>981.66</v>
      </c>
      <c r="E3581" s="9">
        <f t="shared" si="166"/>
        <v>1.4095576989817737E-2</v>
      </c>
      <c r="F3581" s="9">
        <f t="shared" si="167"/>
        <v>0.11619896609941073</v>
      </c>
      <c r="G3581" s="9">
        <f t="shared" si="168"/>
        <v>1.3027025784404433E-2</v>
      </c>
    </row>
    <row r="3582" spans="1:7" x14ac:dyDescent="0.2">
      <c r="A3582" s="12">
        <v>42115</v>
      </c>
      <c r="B3582" s="9">
        <v>1003.77</v>
      </c>
      <c r="C3582" s="9">
        <v>984.76</v>
      </c>
      <c r="D3582" s="9">
        <v>1001.67</v>
      </c>
      <c r="E3582" s="9">
        <f t="shared" si="166"/>
        <v>2.0178869859642529E-2</v>
      </c>
      <c r="F3582" s="9">
        <f t="shared" si="167"/>
        <v>0.12649514004739074</v>
      </c>
      <c r="G3582" s="9">
        <f t="shared" si="168"/>
        <v>1.3323072686824722E-2</v>
      </c>
    </row>
    <row r="3583" spans="1:7" x14ac:dyDescent="0.2">
      <c r="A3583" s="12">
        <v>42116</v>
      </c>
      <c r="B3583" s="9">
        <v>1009.94</v>
      </c>
      <c r="C3583" s="9">
        <v>989.99</v>
      </c>
      <c r="D3583" s="9">
        <v>998.22</v>
      </c>
      <c r="E3583" s="9">
        <f t="shared" si="166"/>
        <v>-3.4501931829762911E-3</v>
      </c>
      <c r="F3583" s="9">
        <f t="shared" si="167"/>
        <v>0.11894076513263124</v>
      </c>
      <c r="G3583" s="9">
        <f t="shared" si="168"/>
        <v>1.3396457408998433E-2</v>
      </c>
    </row>
    <row r="3584" spans="1:7" x14ac:dyDescent="0.2">
      <c r="A3584" s="12">
        <v>42117</v>
      </c>
      <c r="B3584" s="9">
        <v>1004.51</v>
      </c>
      <c r="C3584" s="9">
        <v>983.77</v>
      </c>
      <c r="D3584" s="9">
        <v>985.03</v>
      </c>
      <c r="E3584" s="9">
        <f t="shared" si="166"/>
        <v>-1.3301595338626316E-2</v>
      </c>
      <c r="F3584" s="9">
        <f t="shared" si="167"/>
        <v>0.10654222670280453</v>
      </c>
      <c r="G3584" s="9">
        <f t="shared" si="168"/>
        <v>1.3738685175648996E-2</v>
      </c>
    </row>
    <row r="3585" spans="1:7" x14ac:dyDescent="0.2">
      <c r="A3585" s="12">
        <v>42118</v>
      </c>
      <c r="B3585" s="9">
        <v>1000.63</v>
      </c>
      <c r="C3585" s="9">
        <v>989.21</v>
      </c>
      <c r="D3585" s="9">
        <v>995.01</v>
      </c>
      <c r="E3585" s="9">
        <f t="shared" si="166"/>
        <v>1.0080689798265367E-2</v>
      </c>
      <c r="F3585" s="9">
        <f t="shared" si="167"/>
        <v>0.11286929797210643</v>
      </c>
      <c r="G3585" s="9">
        <f t="shared" si="168"/>
        <v>1.379036255588853E-2</v>
      </c>
    </row>
    <row r="3586" spans="1:7" x14ac:dyDescent="0.2">
      <c r="A3586" s="12">
        <v>42121</v>
      </c>
      <c r="B3586" s="9">
        <v>1008.45</v>
      </c>
      <c r="C3586" s="9">
        <v>995.64</v>
      </c>
      <c r="D3586" s="9">
        <v>1003.35</v>
      </c>
      <c r="E3586" s="9">
        <f t="shared" si="166"/>
        <v>8.3468928731811158E-3</v>
      </c>
      <c r="F3586" s="9">
        <f t="shared" si="167"/>
        <v>0.11595334563304409</v>
      </c>
      <c r="G3586" s="9">
        <f t="shared" si="168"/>
        <v>1.3813410067230374E-2</v>
      </c>
    </row>
    <row r="3587" spans="1:7" x14ac:dyDescent="0.2">
      <c r="A3587" s="12">
        <v>42122</v>
      </c>
      <c r="B3587" s="9">
        <v>999.58</v>
      </c>
      <c r="C3587" s="9">
        <v>974.04</v>
      </c>
      <c r="D3587" s="9">
        <v>982.12</v>
      </c>
      <c r="E3587" s="9">
        <f t="shared" si="166"/>
        <v>-2.1386179751154845E-2</v>
      </c>
      <c r="F3587" s="9">
        <f t="shared" si="167"/>
        <v>9.4455252726380876E-2</v>
      </c>
      <c r="G3587" s="9">
        <f t="shared" si="168"/>
        <v>1.4552679864439592E-2</v>
      </c>
    </row>
    <row r="3588" spans="1:7" x14ac:dyDescent="0.2">
      <c r="A3588" s="12">
        <v>42123</v>
      </c>
      <c r="B3588" s="9">
        <v>992.41</v>
      </c>
      <c r="C3588" s="9">
        <v>958.78</v>
      </c>
      <c r="D3588" s="9">
        <v>961.57</v>
      </c>
      <c r="E3588" s="9">
        <f t="shared" ref="E3588:E3651" si="169">LN(D3588/D3587)</f>
        <v>-2.1146135190424336E-2</v>
      </c>
      <c r="F3588" s="9">
        <f t="shared" si="167"/>
        <v>5.831466767004901E-2</v>
      </c>
      <c r="G3588" s="9">
        <f t="shared" si="168"/>
        <v>1.5026413023981097E-2</v>
      </c>
    </row>
    <row r="3589" spans="1:7" x14ac:dyDescent="0.2">
      <c r="A3589" s="12">
        <v>42124</v>
      </c>
      <c r="B3589" s="9">
        <v>973.01</v>
      </c>
      <c r="C3589" s="9">
        <v>941.59</v>
      </c>
      <c r="D3589" s="9">
        <v>963.77</v>
      </c>
      <c r="E3589" s="9">
        <f t="shared" si="169"/>
        <v>2.2853116410458708E-3</v>
      </c>
      <c r="F3589" s="9">
        <f t="shared" si="167"/>
        <v>4.5837908088840078E-2</v>
      </c>
      <c r="G3589" s="9">
        <f t="shared" si="168"/>
        <v>1.4830792392577317E-2</v>
      </c>
    </row>
    <row r="3590" spans="1:7" x14ac:dyDescent="0.2">
      <c r="A3590" s="12">
        <v>42128</v>
      </c>
      <c r="B3590" s="9">
        <v>981.9</v>
      </c>
      <c r="C3590" s="9">
        <v>971.65</v>
      </c>
      <c r="D3590" s="9">
        <v>974.99</v>
      </c>
      <c r="E3590" s="9">
        <f t="shared" si="169"/>
        <v>1.1574537603000173E-2</v>
      </c>
      <c r="F3590" s="9">
        <f t="shared" si="167"/>
        <v>7.2317841041854652E-2</v>
      </c>
      <c r="G3590" s="9">
        <f t="shared" si="168"/>
        <v>1.4605297715952618E-2</v>
      </c>
    </row>
    <row r="3591" spans="1:7" x14ac:dyDescent="0.2">
      <c r="A3591" s="12">
        <v>42129</v>
      </c>
      <c r="B3591" s="9">
        <v>984.89</v>
      </c>
      <c r="C3591" s="9">
        <v>958.19</v>
      </c>
      <c r="D3591" s="9">
        <v>958.19</v>
      </c>
      <c r="E3591" s="9">
        <f t="shared" si="169"/>
        <v>-1.738112637503603E-2</v>
      </c>
      <c r="F3591" s="9">
        <f t="shared" si="167"/>
        <v>5.1843276119054579E-2</v>
      </c>
      <c r="G3591" s="9">
        <f t="shared" si="168"/>
        <v>1.5044072350355858E-2</v>
      </c>
    </row>
    <row r="3592" spans="1:7" x14ac:dyDescent="0.2">
      <c r="A3592" s="12">
        <v>42130</v>
      </c>
      <c r="B3592" s="9">
        <v>966.18</v>
      </c>
      <c r="C3592" s="9">
        <v>944.57</v>
      </c>
      <c r="D3592" s="9">
        <v>947.92</v>
      </c>
      <c r="E3592" s="9">
        <f t="shared" si="169"/>
        <v>-1.0775977651472946E-2</v>
      </c>
      <c r="F3592" s="9">
        <f t="shared" si="167"/>
        <v>3.7391852316937819E-2</v>
      </c>
      <c r="G3592" s="9">
        <f t="shared" si="168"/>
        <v>1.5210021521110959E-2</v>
      </c>
    </row>
    <row r="3593" spans="1:7" x14ac:dyDescent="0.2">
      <c r="A3593" s="12">
        <v>42131</v>
      </c>
      <c r="B3593" s="9">
        <v>955.71</v>
      </c>
      <c r="C3593" s="9">
        <v>934.11</v>
      </c>
      <c r="D3593" s="9">
        <v>953.79</v>
      </c>
      <c r="E3593" s="9">
        <f t="shared" si="169"/>
        <v>6.1734109224015074E-3</v>
      </c>
      <c r="F3593" s="9">
        <f t="shared" si="167"/>
        <v>3.8736447074202644E-2</v>
      </c>
      <c r="G3593" s="9">
        <f t="shared" si="168"/>
        <v>1.5222917574921249E-2</v>
      </c>
    </row>
    <row r="3594" spans="1:7" x14ac:dyDescent="0.2">
      <c r="A3594" s="12">
        <v>42132</v>
      </c>
      <c r="B3594" s="9">
        <v>965.73</v>
      </c>
      <c r="C3594" s="9">
        <v>952.67</v>
      </c>
      <c r="D3594" s="9">
        <v>963.71</v>
      </c>
      <c r="E3594" s="9">
        <f t="shared" si="169"/>
        <v>1.034689804575694E-2</v>
      </c>
      <c r="F3594" s="9">
        <f t="shared" si="167"/>
        <v>5.1494838522165028E-2</v>
      </c>
      <c r="G3594" s="9">
        <f t="shared" si="168"/>
        <v>1.5293957369538501E-2</v>
      </c>
    </row>
    <row r="3595" spans="1:7" x14ac:dyDescent="0.2">
      <c r="A3595" s="12">
        <v>42135</v>
      </c>
      <c r="B3595" s="9">
        <v>973.21</v>
      </c>
      <c r="C3595" s="9">
        <v>963.55</v>
      </c>
      <c r="D3595" s="9">
        <v>973.21</v>
      </c>
      <c r="E3595" s="9">
        <f t="shared" si="169"/>
        <v>9.8094667601222735E-3</v>
      </c>
      <c r="F3595" s="9">
        <f t="shared" si="167"/>
        <v>5.1974398429933275E-2</v>
      </c>
      <c r="G3595" s="9">
        <f t="shared" si="168"/>
        <v>1.5302437618457362E-2</v>
      </c>
    </row>
    <row r="3596" spans="1:7" x14ac:dyDescent="0.2">
      <c r="A3596" s="12">
        <v>42136</v>
      </c>
      <c r="B3596" s="9">
        <v>969.28</v>
      </c>
      <c r="C3596" s="9">
        <v>955.65</v>
      </c>
      <c r="D3596" s="9">
        <v>961.26</v>
      </c>
      <c r="E3596" s="9">
        <f t="shared" si="169"/>
        <v>-1.2354962350087408E-2</v>
      </c>
      <c r="F3596" s="9">
        <f t="shared" si="167"/>
        <v>4.9277143719671859E-2</v>
      </c>
      <c r="G3596" s="9">
        <f t="shared" si="168"/>
        <v>1.5379397847110819E-2</v>
      </c>
    </row>
    <row r="3597" spans="1:7" x14ac:dyDescent="0.2">
      <c r="A3597" s="12">
        <v>42137</v>
      </c>
      <c r="B3597" s="9">
        <v>965.29</v>
      </c>
      <c r="C3597" s="9">
        <v>952.76</v>
      </c>
      <c r="D3597" s="9">
        <v>957.84</v>
      </c>
      <c r="E3597" s="9">
        <f t="shared" si="169"/>
        <v>-3.5641744780897534E-3</v>
      </c>
      <c r="F3597" s="9">
        <f t="shared" si="167"/>
        <v>6.1597334370420635E-2</v>
      </c>
      <c r="G3597" s="9">
        <f t="shared" si="168"/>
        <v>1.5056339704097222E-2</v>
      </c>
    </row>
    <row r="3598" spans="1:7" x14ac:dyDescent="0.2">
      <c r="A3598" s="12">
        <v>42142</v>
      </c>
      <c r="B3598" s="9">
        <v>970.24</v>
      </c>
      <c r="C3598" s="9">
        <v>959.75</v>
      </c>
      <c r="D3598" s="9">
        <v>965.22</v>
      </c>
      <c r="E3598" s="9">
        <f t="shared" si="169"/>
        <v>7.6753052216834185E-3</v>
      </c>
      <c r="F3598" s="9">
        <f t="shared" si="167"/>
        <v>2.0515257609891764E-2</v>
      </c>
      <c r="G3598" s="9">
        <f t="shared" si="168"/>
        <v>1.2273016096881067E-2</v>
      </c>
    </row>
    <row r="3599" spans="1:7" x14ac:dyDescent="0.2">
      <c r="A3599" s="12">
        <v>42143</v>
      </c>
      <c r="B3599" s="9">
        <v>983.32</v>
      </c>
      <c r="C3599" s="9">
        <v>971.38</v>
      </c>
      <c r="D3599" s="9">
        <v>982.46</v>
      </c>
      <c r="E3599" s="9">
        <f t="shared" si="169"/>
        <v>1.7703575816176417E-2</v>
      </c>
      <c r="F3599" s="9">
        <f t="shared" si="167"/>
        <v>2.0380120316540785E-2</v>
      </c>
      <c r="G3599" s="9">
        <f t="shared" si="168"/>
        <v>1.2266525696109261E-2</v>
      </c>
    </row>
    <row r="3600" spans="1:7" x14ac:dyDescent="0.2">
      <c r="A3600" s="12">
        <v>42144</v>
      </c>
      <c r="B3600" s="9">
        <v>985.82</v>
      </c>
      <c r="C3600" s="9">
        <v>977.36</v>
      </c>
      <c r="D3600" s="9">
        <v>984.75</v>
      </c>
      <c r="E3600" s="9">
        <f t="shared" si="169"/>
        <v>2.3281714045673275E-3</v>
      </c>
      <c r="F3600" s="9">
        <f t="shared" si="167"/>
        <v>3.1367799766052189E-2</v>
      </c>
      <c r="G3600" s="9">
        <f t="shared" si="168"/>
        <v>1.2141468189618945E-2</v>
      </c>
    </row>
    <row r="3601" spans="1:7" x14ac:dyDescent="0.2">
      <c r="A3601" s="12">
        <v>42145</v>
      </c>
      <c r="B3601" s="9">
        <v>988.84</v>
      </c>
      <c r="C3601" s="9">
        <v>981.81</v>
      </c>
      <c r="D3601" s="9">
        <v>985.64</v>
      </c>
      <c r="E3601" s="9">
        <f t="shared" si="169"/>
        <v>9.0337452029927857E-4</v>
      </c>
      <c r="F3601" s="9">
        <f t="shared" si="167"/>
        <v>2.0821164578453153E-2</v>
      </c>
      <c r="G3601" s="9">
        <f t="shared" si="168"/>
        <v>1.1981455315714299E-2</v>
      </c>
    </row>
    <row r="3602" spans="1:7" x14ac:dyDescent="0.2">
      <c r="A3602" s="12">
        <v>42146</v>
      </c>
      <c r="B3602" s="9">
        <v>992.52</v>
      </c>
      <c r="C3602" s="9">
        <v>985</v>
      </c>
      <c r="D3602" s="9">
        <v>991.46</v>
      </c>
      <c r="E3602" s="9">
        <f t="shared" si="169"/>
        <v>5.8874278599631248E-3</v>
      </c>
      <c r="F3602" s="9">
        <f t="shared" si="167"/>
        <v>1.5111692262942079E-2</v>
      </c>
      <c r="G3602" s="9">
        <f t="shared" si="168"/>
        <v>1.1846889850106434E-2</v>
      </c>
    </row>
    <row r="3603" spans="1:7" x14ac:dyDescent="0.2">
      <c r="A3603" s="12">
        <v>42150</v>
      </c>
      <c r="B3603" s="9">
        <v>1000.44</v>
      </c>
      <c r="C3603" s="9">
        <v>989.74</v>
      </c>
      <c r="D3603" s="9">
        <v>991.05</v>
      </c>
      <c r="E3603" s="9">
        <f t="shared" si="169"/>
        <v>-4.1361708727352084E-4</v>
      </c>
      <c r="F3603" s="9">
        <f t="shared" si="167"/>
        <v>1.1784007378344346E-2</v>
      </c>
      <c r="G3603" s="9">
        <f t="shared" si="168"/>
        <v>1.183911956414398E-2</v>
      </c>
    </row>
    <row r="3604" spans="1:7" x14ac:dyDescent="0.2">
      <c r="A3604" s="12">
        <v>42151</v>
      </c>
      <c r="B3604" s="9">
        <v>1000.66</v>
      </c>
      <c r="C3604" s="9">
        <v>988.53</v>
      </c>
      <c r="D3604" s="9">
        <v>1000.66</v>
      </c>
      <c r="E3604" s="9">
        <f t="shared" si="169"/>
        <v>9.6500741339172885E-3</v>
      </c>
      <c r="F3604" s="9">
        <f t="shared" si="167"/>
        <v>1.5032577845971323E-2</v>
      </c>
      <c r="G3604" s="9">
        <f t="shared" si="168"/>
        <v>1.1910613405180986E-2</v>
      </c>
    </row>
    <row r="3605" spans="1:7" x14ac:dyDescent="0.2">
      <c r="A3605" s="12">
        <v>42152</v>
      </c>
      <c r="B3605" s="9">
        <v>1000.63</v>
      </c>
      <c r="C3605" s="9">
        <v>992.58</v>
      </c>
      <c r="D3605" s="9">
        <v>993.71</v>
      </c>
      <c r="E3605" s="9">
        <f t="shared" si="169"/>
        <v>-6.9696476918232851E-3</v>
      </c>
      <c r="F3605" s="9">
        <f t="shared" si="167"/>
        <v>-8.9763072780813646E-3</v>
      </c>
      <c r="G3605" s="9">
        <f t="shared" si="168"/>
        <v>1.1562582079132635E-2</v>
      </c>
    </row>
    <row r="3606" spans="1:7" x14ac:dyDescent="0.2">
      <c r="A3606" s="12">
        <v>42153</v>
      </c>
      <c r="B3606" s="9">
        <v>999.39</v>
      </c>
      <c r="C3606" s="9">
        <v>980.6</v>
      </c>
      <c r="D3606" s="9">
        <v>981.8</v>
      </c>
      <c r="E3606" s="9">
        <f t="shared" si="169"/>
        <v>-1.2057791962146307E-2</v>
      </c>
      <c r="F3606" s="9">
        <f t="shared" si="167"/>
        <v>-1.7297084499509237E-2</v>
      </c>
      <c r="G3606" s="9">
        <f t="shared" si="168"/>
        <v>1.1746230100436079E-2</v>
      </c>
    </row>
    <row r="3607" spans="1:7" x14ac:dyDescent="0.2">
      <c r="A3607" s="12">
        <v>42156</v>
      </c>
      <c r="B3607" s="9">
        <v>991</v>
      </c>
      <c r="C3607" s="9">
        <v>980.56</v>
      </c>
      <c r="D3607" s="9">
        <v>989.39</v>
      </c>
      <c r="E3607" s="9">
        <f t="shared" si="169"/>
        <v>7.7009699829410031E-3</v>
      </c>
      <c r="F3607" s="9">
        <f t="shared" si="167"/>
        <v>-1.1313703919052084E-3</v>
      </c>
      <c r="G3607" s="9">
        <f t="shared" si="168"/>
        <v>1.1742682351769368E-2</v>
      </c>
    </row>
    <row r="3608" spans="1:7" x14ac:dyDescent="0.2">
      <c r="A3608" s="12">
        <v>42157</v>
      </c>
      <c r="B3608" s="9">
        <v>994.52</v>
      </c>
      <c r="C3608" s="9">
        <v>978.39</v>
      </c>
      <c r="D3608" s="9">
        <v>983.15</v>
      </c>
      <c r="E3608" s="9">
        <f t="shared" si="169"/>
        <v>-6.3268890013270709E-3</v>
      </c>
      <c r="F3608" s="9">
        <f t="shared" si="167"/>
        <v>-1.1759904577957695E-2</v>
      </c>
      <c r="G3608" s="9">
        <f t="shared" si="168"/>
        <v>1.1767555147310264E-2</v>
      </c>
    </row>
    <row r="3609" spans="1:7" x14ac:dyDescent="0.2">
      <c r="A3609" s="12">
        <v>42158</v>
      </c>
      <c r="B3609" s="9">
        <v>988.65</v>
      </c>
      <c r="C3609" s="9">
        <v>980.81</v>
      </c>
      <c r="D3609" s="9">
        <v>984.54</v>
      </c>
      <c r="E3609" s="9">
        <f t="shared" si="169"/>
        <v>1.4128244095479984E-3</v>
      </c>
      <c r="F3609" s="9">
        <f t="shared" si="167"/>
        <v>9.6538345920297631E-4</v>
      </c>
      <c r="G3609" s="9">
        <f t="shared" si="168"/>
        <v>1.1588323923574218E-2</v>
      </c>
    </row>
    <row r="3610" spans="1:7" x14ac:dyDescent="0.2">
      <c r="A3610" s="12">
        <v>42159</v>
      </c>
      <c r="B3610" s="9">
        <v>981.75</v>
      </c>
      <c r="C3610" s="9">
        <v>967.6</v>
      </c>
      <c r="D3610" s="9">
        <v>977.94</v>
      </c>
      <c r="E3610" s="9">
        <f t="shared" si="169"/>
        <v>-6.7262085555175261E-3</v>
      </c>
      <c r="F3610" s="9">
        <f t="shared" si="167"/>
        <v>1.0298879226374125E-2</v>
      </c>
      <c r="G3610" s="9">
        <f t="shared" si="168"/>
        <v>1.1262099347541667E-2</v>
      </c>
    </row>
    <row r="3611" spans="1:7" x14ac:dyDescent="0.2">
      <c r="A3611" s="12">
        <v>42163</v>
      </c>
      <c r="B3611" s="9">
        <v>977.27</v>
      </c>
      <c r="C3611" s="9">
        <v>959.43</v>
      </c>
      <c r="D3611" s="9">
        <v>960.47</v>
      </c>
      <c r="E3611" s="9">
        <f t="shared" si="169"/>
        <v>-1.80255704711993E-2</v>
      </c>
      <c r="F3611" s="9">
        <f t="shared" si="167"/>
        <v>-2.1822268234642977E-2</v>
      </c>
      <c r="G3611" s="9">
        <f t="shared" si="168"/>
        <v>1.1435138406029544E-2</v>
      </c>
    </row>
    <row r="3612" spans="1:7" x14ac:dyDescent="0.2">
      <c r="A3612" s="12">
        <v>42164</v>
      </c>
      <c r="B3612" s="9">
        <v>963.82</v>
      </c>
      <c r="C3612" s="9">
        <v>947.41</v>
      </c>
      <c r="D3612" s="9">
        <v>953.58</v>
      </c>
      <c r="E3612" s="9">
        <f t="shared" si="169"/>
        <v>-7.199425051613955E-3</v>
      </c>
      <c r="F3612" s="9">
        <f t="shared" si="167"/>
        <v>-4.920056314589951E-2</v>
      </c>
      <c r="G3612" s="9">
        <f t="shared" si="168"/>
        <v>1.0783029640723552E-2</v>
      </c>
    </row>
    <row r="3613" spans="1:7" x14ac:dyDescent="0.2">
      <c r="A3613" s="12">
        <v>42165</v>
      </c>
      <c r="B3613" s="9">
        <v>975.36</v>
      </c>
      <c r="C3613" s="9">
        <v>951.46</v>
      </c>
      <c r="D3613" s="9">
        <v>975.36</v>
      </c>
      <c r="E3613" s="9">
        <f t="shared" si="169"/>
        <v>2.2583310681388809E-2</v>
      </c>
      <c r="F3613" s="9">
        <f t="shared" si="167"/>
        <v>-2.3167059281534418E-2</v>
      </c>
      <c r="G3613" s="9">
        <f t="shared" si="168"/>
        <v>1.1645392211482629E-2</v>
      </c>
    </row>
    <row r="3614" spans="1:7" x14ac:dyDescent="0.2">
      <c r="A3614" s="12">
        <v>42166</v>
      </c>
      <c r="B3614" s="9">
        <v>985.98</v>
      </c>
      <c r="C3614" s="9">
        <v>976.97</v>
      </c>
      <c r="D3614" s="9">
        <v>979.05</v>
      </c>
      <c r="E3614" s="9">
        <f t="shared" si="169"/>
        <v>3.7760801311640759E-3</v>
      </c>
      <c r="F3614" s="9">
        <f t="shared" si="167"/>
        <v>-6.0893838117441193E-3</v>
      </c>
      <c r="G3614" s="9">
        <f t="shared" si="168"/>
        <v>1.1427161195989226E-2</v>
      </c>
    </row>
    <row r="3615" spans="1:7" x14ac:dyDescent="0.2">
      <c r="A3615" s="12">
        <v>42167</v>
      </c>
      <c r="B3615" s="9">
        <v>983.78</v>
      </c>
      <c r="C3615" s="9">
        <v>969.56</v>
      </c>
      <c r="D3615" s="9">
        <v>970.74</v>
      </c>
      <c r="E3615" s="9">
        <f t="shared" si="169"/>
        <v>-8.5240465040357476E-3</v>
      </c>
      <c r="F3615" s="9">
        <f t="shared" si="167"/>
        <v>-2.4694120114045266E-2</v>
      </c>
      <c r="G3615" s="9">
        <f t="shared" si="168"/>
        <v>1.1354429192800537E-2</v>
      </c>
    </row>
    <row r="3616" spans="1:7" x14ac:dyDescent="0.2">
      <c r="A3616" s="12">
        <v>42170</v>
      </c>
      <c r="B3616" s="9">
        <v>965.18</v>
      </c>
      <c r="C3616" s="9">
        <v>948.76</v>
      </c>
      <c r="D3616" s="9">
        <v>949.95</v>
      </c>
      <c r="E3616" s="9">
        <f t="shared" si="169"/>
        <v>-2.1649315614751259E-2</v>
      </c>
      <c r="F3616" s="9">
        <f t="shared" si="167"/>
        <v>-5.4690328601977714E-2</v>
      </c>
      <c r="G3616" s="9">
        <f t="shared" si="168"/>
        <v>1.1829852123530268E-2</v>
      </c>
    </row>
    <row r="3617" spans="1:7" x14ac:dyDescent="0.2">
      <c r="A3617" s="12">
        <v>42171</v>
      </c>
      <c r="B3617" s="9">
        <v>951.79</v>
      </c>
      <c r="C3617" s="9">
        <v>933.14</v>
      </c>
      <c r="D3617" s="9">
        <v>951.01</v>
      </c>
      <c r="E3617" s="9">
        <f t="shared" si="169"/>
        <v>1.1152261066646658E-3</v>
      </c>
      <c r="F3617" s="9">
        <f t="shared" ref="F3617:F3680" si="170">LN(D3617/D3587)</f>
        <v>-3.2188922744158154E-2</v>
      </c>
      <c r="G3617" s="9">
        <f t="shared" si="168"/>
        <v>1.1245620130448731E-2</v>
      </c>
    </row>
    <row r="3618" spans="1:7" x14ac:dyDescent="0.2">
      <c r="A3618" s="12">
        <v>42172</v>
      </c>
      <c r="B3618" s="9">
        <v>957.17</v>
      </c>
      <c r="C3618" s="9">
        <v>935.1</v>
      </c>
      <c r="D3618" s="9">
        <v>941.15</v>
      </c>
      <c r="E3618" s="9">
        <f t="shared" si="169"/>
        <v>-1.0422045967026878E-2</v>
      </c>
      <c r="F3618" s="9">
        <f t="shared" si="170"/>
        <v>-2.1464833520760621E-2</v>
      </c>
      <c r="G3618" s="9">
        <f t="shared" si="168"/>
        <v>1.0744838037414623E-2</v>
      </c>
    </row>
    <row r="3619" spans="1:7" x14ac:dyDescent="0.2">
      <c r="A3619" s="12">
        <v>42173</v>
      </c>
      <c r="B3619" s="9">
        <v>941.18</v>
      </c>
      <c r="C3619" s="9">
        <v>919.2</v>
      </c>
      <c r="D3619" s="9">
        <v>941.18</v>
      </c>
      <c r="E3619" s="9">
        <f t="shared" si="169"/>
        <v>3.1875388484065503E-5</v>
      </c>
      <c r="F3619" s="9">
        <f t="shared" si="170"/>
        <v>-2.3718269773322483E-2</v>
      </c>
      <c r="G3619" s="9">
        <f t="shared" si="168"/>
        <v>1.0731004464510061E-2</v>
      </c>
    </row>
    <row r="3620" spans="1:7" x14ac:dyDescent="0.2">
      <c r="A3620" s="12">
        <v>42174</v>
      </c>
      <c r="B3620" s="9">
        <v>953.46</v>
      </c>
      <c r="C3620" s="9">
        <v>940.69</v>
      </c>
      <c r="D3620" s="9">
        <v>940.89</v>
      </c>
      <c r="E3620" s="9">
        <f t="shared" si="169"/>
        <v>-3.0817132444065402E-4</v>
      </c>
      <c r="F3620" s="9">
        <f t="shared" si="170"/>
        <v>-3.5600978700763182E-2</v>
      </c>
      <c r="G3620" s="9">
        <f t="shared" si="168"/>
        <v>1.0475107632998585E-2</v>
      </c>
    </row>
    <row r="3621" spans="1:7" x14ac:dyDescent="0.2">
      <c r="A3621" s="12">
        <v>42177</v>
      </c>
      <c r="B3621" s="9">
        <v>969.7</v>
      </c>
      <c r="C3621" s="9">
        <v>954.15</v>
      </c>
      <c r="D3621" s="9">
        <v>968.35</v>
      </c>
      <c r="E3621" s="9">
        <f t="shared" si="169"/>
        <v>2.8767356339510691E-2</v>
      </c>
      <c r="F3621" s="9">
        <f t="shared" si="170"/>
        <v>1.0547504013783541E-2</v>
      </c>
      <c r="G3621" s="9">
        <f t="shared" si="168"/>
        <v>1.1365563660918553E-2</v>
      </c>
    </row>
    <row r="3622" spans="1:7" x14ac:dyDescent="0.2">
      <c r="A3622" s="12">
        <v>42178</v>
      </c>
      <c r="B3622" s="9">
        <v>976.38</v>
      </c>
      <c r="C3622" s="9">
        <v>969.23</v>
      </c>
      <c r="D3622" s="9">
        <v>969.78</v>
      </c>
      <c r="E3622" s="9">
        <f t="shared" si="169"/>
        <v>1.475649476031365E-3</v>
      </c>
      <c r="F3622" s="9">
        <f t="shared" si="170"/>
        <v>2.279913114128785E-2</v>
      </c>
      <c r="G3622" s="9">
        <f t="shared" si="168"/>
        <v>1.1170377356456145E-2</v>
      </c>
    </row>
    <row r="3623" spans="1:7" x14ac:dyDescent="0.2">
      <c r="A3623" s="12">
        <v>42179</v>
      </c>
      <c r="B3623" s="9">
        <v>973.9</v>
      </c>
      <c r="C3623" s="9">
        <v>960.61</v>
      </c>
      <c r="D3623" s="9">
        <v>967.35</v>
      </c>
      <c r="E3623" s="9">
        <f t="shared" si="169"/>
        <v>-2.5088675252761265E-3</v>
      </c>
      <c r="F3623" s="9">
        <f t="shared" si="170"/>
        <v>1.4116852693609917E-2</v>
      </c>
      <c r="G3623" s="9">
        <f t="shared" ref="G3623:G3686" si="171">STDEV(E3594:E3623)</f>
        <v>1.1137711367221621E-2</v>
      </c>
    </row>
    <row r="3624" spans="1:7" x14ac:dyDescent="0.2">
      <c r="A3624" s="12">
        <v>42180</v>
      </c>
      <c r="B3624" s="9">
        <v>974.08</v>
      </c>
      <c r="C3624" s="9">
        <v>959.03</v>
      </c>
      <c r="D3624" s="9">
        <v>968.74</v>
      </c>
      <c r="E3624" s="9">
        <f t="shared" si="169"/>
        <v>1.4358839091374006E-3</v>
      </c>
      <c r="F3624" s="9">
        <f t="shared" si="170"/>
        <v>5.2058385569904641E-3</v>
      </c>
      <c r="G3624" s="9">
        <f t="shared" si="171"/>
        <v>1.0982984922478343E-2</v>
      </c>
    </row>
    <row r="3625" spans="1:7" x14ac:dyDescent="0.2">
      <c r="A3625" s="12">
        <v>42181</v>
      </c>
      <c r="B3625" s="9">
        <v>971.67</v>
      </c>
      <c r="C3625" s="9">
        <v>957.99</v>
      </c>
      <c r="D3625" s="9">
        <v>965.16</v>
      </c>
      <c r="E3625" s="9">
        <f t="shared" si="169"/>
        <v>-3.7023673296554763E-3</v>
      </c>
      <c r="F3625" s="9">
        <f t="shared" si="170"/>
        <v>-8.3059955327874409E-3</v>
      </c>
      <c r="G3625" s="9">
        <f t="shared" si="171"/>
        <v>1.0850454254884661E-2</v>
      </c>
    </row>
    <row r="3626" spans="1:7" x14ac:dyDescent="0.2">
      <c r="A3626" s="12">
        <v>42184</v>
      </c>
      <c r="B3626" s="9">
        <v>955.5</v>
      </c>
      <c r="C3626" s="9">
        <v>925.7</v>
      </c>
      <c r="D3626" s="9">
        <v>948.59</v>
      </c>
      <c r="E3626" s="9">
        <f t="shared" si="169"/>
        <v>-1.7317219167211292E-2</v>
      </c>
      <c r="F3626" s="9">
        <f t="shared" si="170"/>
        <v>-1.3268252349911282E-2</v>
      </c>
      <c r="G3626" s="9">
        <f t="shared" si="171"/>
        <v>1.1076397379436543E-2</v>
      </c>
    </row>
    <row r="3627" spans="1:7" x14ac:dyDescent="0.2">
      <c r="A3627" s="12">
        <v>42185</v>
      </c>
      <c r="B3627" s="9">
        <v>952.42</v>
      </c>
      <c r="C3627" s="9">
        <v>938.16</v>
      </c>
      <c r="D3627" s="9">
        <v>944.82</v>
      </c>
      <c r="E3627" s="9">
        <f t="shared" si="169"/>
        <v>-3.9822383763934719E-3</v>
      </c>
      <c r="F3627" s="9">
        <f t="shared" si="170"/>
        <v>-1.3686316248215032E-2</v>
      </c>
      <c r="G3627" s="9">
        <f t="shared" si="171"/>
        <v>1.108072269316804E-2</v>
      </c>
    </row>
    <row r="3628" spans="1:7" x14ac:dyDescent="0.2">
      <c r="A3628" s="12">
        <v>42186</v>
      </c>
      <c r="B3628" s="9">
        <v>965.11</v>
      </c>
      <c r="C3628" s="9">
        <v>952.82</v>
      </c>
      <c r="D3628" s="9">
        <v>960.33</v>
      </c>
      <c r="E3628" s="9">
        <f t="shared" si="169"/>
        <v>1.6282542233013661E-2</v>
      </c>
      <c r="F3628" s="9">
        <f t="shared" si="170"/>
        <v>-5.0790792368847386E-3</v>
      </c>
      <c r="G3628" s="9">
        <f t="shared" si="171"/>
        <v>1.1405208819425063E-2</v>
      </c>
    </row>
    <row r="3629" spans="1:7" x14ac:dyDescent="0.2">
      <c r="A3629" s="12">
        <v>42187</v>
      </c>
      <c r="B3629" s="9">
        <v>966.83</v>
      </c>
      <c r="C3629" s="9">
        <v>955.22</v>
      </c>
      <c r="D3629" s="9">
        <v>958.08</v>
      </c>
      <c r="E3629" s="9">
        <f t="shared" si="169"/>
        <v>-2.3456936021780043E-3</v>
      </c>
      <c r="F3629" s="9">
        <f t="shared" si="170"/>
        <v>-2.5128348655239035E-2</v>
      </c>
      <c r="G3629" s="9">
        <f t="shared" si="171"/>
        <v>1.0897931858022181E-2</v>
      </c>
    </row>
    <row r="3630" spans="1:7" x14ac:dyDescent="0.2">
      <c r="A3630" s="12">
        <v>42188</v>
      </c>
      <c r="B3630" s="9">
        <v>959.66</v>
      </c>
      <c r="C3630" s="9">
        <v>950.54</v>
      </c>
      <c r="D3630" s="9">
        <v>954.66</v>
      </c>
      <c r="E3630" s="9">
        <f t="shared" si="169"/>
        <v>-3.576025643388723E-3</v>
      </c>
      <c r="F3630" s="9">
        <f t="shared" si="170"/>
        <v>-3.1032545703195101E-2</v>
      </c>
      <c r="G3630" s="9">
        <f t="shared" si="171"/>
        <v>1.0892099935439587E-2</v>
      </c>
    </row>
    <row r="3631" spans="1:7" x14ac:dyDescent="0.2">
      <c r="A3631" s="12">
        <v>42191</v>
      </c>
      <c r="B3631" s="9">
        <v>953.87</v>
      </c>
      <c r="C3631" s="9">
        <v>938.8</v>
      </c>
      <c r="D3631" s="9">
        <v>951.87</v>
      </c>
      <c r="E3631" s="9">
        <f t="shared" si="169"/>
        <v>-2.9267853027347504E-3</v>
      </c>
      <c r="F3631" s="9">
        <f t="shared" si="170"/>
        <v>-3.4862705526229346E-2</v>
      </c>
      <c r="G3631" s="9">
        <f t="shared" si="171"/>
        <v>1.0891050419025028E-2</v>
      </c>
    </row>
    <row r="3632" spans="1:7" x14ac:dyDescent="0.2">
      <c r="A3632" s="12">
        <v>42192</v>
      </c>
      <c r="B3632" s="9">
        <v>954.96</v>
      </c>
      <c r="C3632" s="9">
        <v>938.9</v>
      </c>
      <c r="D3632" s="9">
        <v>941.2</v>
      </c>
      <c r="E3632" s="9">
        <f t="shared" si="169"/>
        <v>-1.1272813991877845E-2</v>
      </c>
      <c r="F3632" s="9">
        <f t="shared" si="170"/>
        <v>-5.2022947378070325E-2</v>
      </c>
      <c r="G3632" s="9">
        <f t="shared" si="171"/>
        <v>1.09584633207934E-2</v>
      </c>
    </row>
    <row r="3633" spans="1:7" x14ac:dyDescent="0.2">
      <c r="A3633" s="12">
        <v>42193</v>
      </c>
      <c r="B3633" s="9">
        <v>942.32</v>
      </c>
      <c r="C3633" s="9">
        <v>931.39</v>
      </c>
      <c r="D3633" s="9">
        <v>937.53</v>
      </c>
      <c r="E3633" s="9">
        <f t="shared" si="169"/>
        <v>-3.9068995206306386E-3</v>
      </c>
      <c r="F3633" s="9">
        <f t="shared" si="170"/>
        <v>-5.5516229811427543E-2</v>
      </c>
      <c r="G3633" s="9">
        <f t="shared" si="171"/>
        <v>1.0962507043564258E-2</v>
      </c>
    </row>
    <row r="3634" spans="1:7" x14ac:dyDescent="0.2">
      <c r="A3634" s="12">
        <v>42194</v>
      </c>
      <c r="B3634" s="9">
        <v>960.43</v>
      </c>
      <c r="C3634" s="9">
        <v>941.11</v>
      </c>
      <c r="D3634" s="9">
        <v>958.49</v>
      </c>
      <c r="E3634" s="9">
        <f t="shared" si="169"/>
        <v>2.2110372130519262E-2</v>
      </c>
      <c r="F3634" s="9">
        <f t="shared" si="170"/>
        <v>-4.3055931814825678E-2</v>
      </c>
      <c r="G3634" s="9">
        <f t="shared" si="171"/>
        <v>1.1629045337350877E-2</v>
      </c>
    </row>
    <row r="3635" spans="1:7" x14ac:dyDescent="0.2">
      <c r="A3635" s="12">
        <v>42195</v>
      </c>
      <c r="B3635" s="9">
        <v>984.3</v>
      </c>
      <c r="C3635" s="9">
        <v>970.77</v>
      </c>
      <c r="D3635" s="9">
        <v>984.01</v>
      </c>
      <c r="E3635" s="9">
        <f t="shared" si="169"/>
        <v>2.6276930139144519E-2</v>
      </c>
      <c r="F3635" s="9">
        <f t="shared" si="170"/>
        <v>-9.8093539838578405E-3</v>
      </c>
      <c r="G3635" s="9">
        <f t="shared" si="171"/>
        <v>1.262495280269515E-2</v>
      </c>
    </row>
    <row r="3636" spans="1:7" x14ac:dyDescent="0.2">
      <c r="A3636" s="12">
        <v>42198</v>
      </c>
      <c r="B3636" s="9">
        <v>1004.48</v>
      </c>
      <c r="C3636" s="9">
        <v>997.13</v>
      </c>
      <c r="D3636" s="9">
        <v>1003.95</v>
      </c>
      <c r="E3636" s="9">
        <f t="shared" si="169"/>
        <v>2.0061438612520497E-2</v>
      </c>
      <c r="F3636" s="9">
        <f t="shared" si="170"/>
        <v>2.2309876590808839E-2</v>
      </c>
      <c r="G3636" s="9">
        <f t="shared" si="171"/>
        <v>1.2953472393965772E-2</v>
      </c>
    </row>
    <row r="3637" spans="1:7" x14ac:dyDescent="0.2">
      <c r="A3637" s="12">
        <v>42199</v>
      </c>
      <c r="B3637" s="9">
        <v>1004.46</v>
      </c>
      <c r="C3637" s="9">
        <v>997.95</v>
      </c>
      <c r="D3637" s="9">
        <v>1003.42</v>
      </c>
      <c r="E3637" s="9">
        <f t="shared" si="169"/>
        <v>-5.2805413283611756E-4</v>
      </c>
      <c r="F3637" s="9">
        <f t="shared" si="170"/>
        <v>1.4080852475031963E-2</v>
      </c>
      <c r="G3637" s="9">
        <f t="shared" si="171"/>
        <v>1.2888028223899133E-2</v>
      </c>
    </row>
    <row r="3638" spans="1:7" x14ac:dyDescent="0.2">
      <c r="A3638" s="12">
        <v>42200</v>
      </c>
      <c r="B3638" s="9">
        <v>1014.83</v>
      </c>
      <c r="C3638" s="9">
        <v>1004.42</v>
      </c>
      <c r="D3638" s="9">
        <v>1014.6</v>
      </c>
      <c r="E3638" s="9">
        <f t="shared" si="169"/>
        <v>1.1080281050664737E-2</v>
      </c>
      <c r="F3638" s="9">
        <f t="shared" si="170"/>
        <v>3.1488022527023679E-2</v>
      </c>
      <c r="G3638" s="9">
        <f t="shared" si="171"/>
        <v>1.2963129595904066E-2</v>
      </c>
    </row>
    <row r="3639" spans="1:7" x14ac:dyDescent="0.2">
      <c r="A3639" s="12">
        <v>42201</v>
      </c>
      <c r="B3639" s="9">
        <v>1030.8800000000001</v>
      </c>
      <c r="C3639" s="9">
        <v>1019.59</v>
      </c>
      <c r="D3639" s="9">
        <v>1026.3800000000001</v>
      </c>
      <c r="E3639" s="9">
        <f t="shared" si="169"/>
        <v>1.1543602398320366E-2</v>
      </c>
      <c r="F3639" s="9">
        <f t="shared" si="170"/>
        <v>4.1618800515796139E-2</v>
      </c>
      <c r="G3639" s="9">
        <f t="shared" si="171"/>
        <v>1.3104105949163938E-2</v>
      </c>
    </row>
    <row r="3640" spans="1:7" x14ac:dyDescent="0.2">
      <c r="A3640" s="12">
        <v>42202</v>
      </c>
      <c r="B3640" s="9">
        <v>1032.32</v>
      </c>
      <c r="C3640" s="9">
        <v>1024.27</v>
      </c>
      <c r="D3640" s="9">
        <v>1025.6099999999999</v>
      </c>
      <c r="E3640" s="9">
        <f t="shared" si="169"/>
        <v>-7.5049102202370984E-4</v>
      </c>
      <c r="F3640" s="9">
        <f t="shared" si="170"/>
        <v>4.7594518049289831E-2</v>
      </c>
      <c r="G3640" s="9">
        <f t="shared" si="171"/>
        <v>1.3021680980602066E-2</v>
      </c>
    </row>
    <row r="3641" spans="1:7" x14ac:dyDescent="0.2">
      <c r="A3641" s="12">
        <v>42205</v>
      </c>
      <c r="B3641" s="9">
        <v>1041.3599999999999</v>
      </c>
      <c r="C3641" s="9">
        <v>1030.54</v>
      </c>
      <c r="D3641" s="9">
        <v>1035.31</v>
      </c>
      <c r="E3641" s="9">
        <f t="shared" si="169"/>
        <v>9.4133412525611269E-3</v>
      </c>
      <c r="F3641" s="9">
        <f t="shared" si="170"/>
        <v>7.5033429773050178E-2</v>
      </c>
      <c r="G3641" s="9">
        <f t="shared" si="171"/>
        <v>1.2551812132040124E-2</v>
      </c>
    </row>
    <row r="3642" spans="1:7" x14ac:dyDescent="0.2">
      <c r="A3642" s="12">
        <v>42206</v>
      </c>
      <c r="B3642" s="9">
        <v>1041.0899999999999</v>
      </c>
      <c r="C3642" s="9">
        <v>1021.51</v>
      </c>
      <c r="D3642" s="9">
        <v>1021.75</v>
      </c>
      <c r="E3642" s="9">
        <f t="shared" si="169"/>
        <v>-1.3184055317060685E-2</v>
      </c>
      <c r="F3642" s="9">
        <f t="shared" si="170"/>
        <v>6.9048799507603439E-2</v>
      </c>
      <c r="G3642" s="9">
        <f t="shared" si="171"/>
        <v>1.2757177653322599E-2</v>
      </c>
    </row>
    <row r="3643" spans="1:7" x14ac:dyDescent="0.2">
      <c r="A3643" s="12">
        <v>42207</v>
      </c>
      <c r="B3643" s="9">
        <v>1032.76</v>
      </c>
      <c r="C3643" s="9">
        <v>1020.26</v>
      </c>
      <c r="D3643" s="9">
        <v>1024.3900000000001</v>
      </c>
      <c r="E3643" s="9">
        <f t="shared" si="169"/>
        <v>2.5804700215444607E-3</v>
      </c>
      <c r="F3643" s="9">
        <f t="shared" si="170"/>
        <v>4.9045958847759155E-2</v>
      </c>
      <c r="G3643" s="9">
        <f t="shared" si="171"/>
        <v>1.2169798391797198E-2</v>
      </c>
    </row>
    <row r="3644" spans="1:7" x14ac:dyDescent="0.2">
      <c r="A3644" s="12">
        <v>42208</v>
      </c>
      <c r="B3644" s="9">
        <v>1034.97</v>
      </c>
      <c r="C3644" s="9">
        <v>1017.27</v>
      </c>
      <c r="D3644" s="9">
        <v>1020.72</v>
      </c>
      <c r="E3644" s="9">
        <f t="shared" si="169"/>
        <v>-3.5890528524433482E-3</v>
      </c>
      <c r="F3644" s="9">
        <f t="shared" si="170"/>
        <v>4.1680825864151776E-2</v>
      </c>
      <c r="G3644" s="9">
        <f t="shared" si="171"/>
        <v>1.2199367056860862E-2</v>
      </c>
    </row>
    <row r="3645" spans="1:7" x14ac:dyDescent="0.2">
      <c r="A3645" s="12">
        <v>42209</v>
      </c>
      <c r="B3645" s="9">
        <v>1030.17</v>
      </c>
      <c r="C3645" s="9">
        <v>1019.2</v>
      </c>
      <c r="D3645" s="9">
        <v>1019.44</v>
      </c>
      <c r="E3645" s="9">
        <f t="shared" si="169"/>
        <v>-1.254803709464018E-3</v>
      </c>
      <c r="F3645" s="9">
        <f t="shared" si="170"/>
        <v>4.8950068658723395E-2</v>
      </c>
      <c r="G3645" s="9">
        <f t="shared" si="171"/>
        <v>1.2067149343921182E-2</v>
      </c>
    </row>
    <row r="3646" spans="1:7" x14ac:dyDescent="0.2">
      <c r="A3646" s="12">
        <v>42212</v>
      </c>
      <c r="B3646" s="9">
        <v>1016.84</v>
      </c>
      <c r="C3646" s="9">
        <v>994.96</v>
      </c>
      <c r="D3646" s="9">
        <v>997.49</v>
      </c>
      <c r="E3646" s="9">
        <f t="shared" si="169"/>
        <v>-2.1766612252913126E-2</v>
      </c>
      <c r="F3646" s="9">
        <f t="shared" si="170"/>
        <v>4.8832772020561528E-2</v>
      </c>
      <c r="G3646" s="9">
        <f t="shared" si="171"/>
        <v>1.2074969219204529E-2</v>
      </c>
    </row>
    <row r="3647" spans="1:7" x14ac:dyDescent="0.2">
      <c r="A3647" s="12">
        <v>42213</v>
      </c>
      <c r="B3647" s="9">
        <v>1011.26</v>
      </c>
      <c r="C3647" s="9">
        <v>999.96</v>
      </c>
      <c r="D3647" s="9">
        <v>1002.53</v>
      </c>
      <c r="E3647" s="9">
        <f t="shared" si="169"/>
        <v>5.0399602688965513E-3</v>
      </c>
      <c r="F3647" s="9">
        <f t="shared" si="170"/>
        <v>5.2757506182793332E-2</v>
      </c>
      <c r="G3647" s="9">
        <f t="shared" si="171"/>
        <v>1.2090475794845484E-2</v>
      </c>
    </row>
    <row r="3648" spans="1:7" x14ac:dyDescent="0.2">
      <c r="A3648" s="12">
        <v>42214</v>
      </c>
      <c r="B3648" s="9">
        <v>1013.29</v>
      </c>
      <c r="C3648" s="9">
        <v>1006.21</v>
      </c>
      <c r="D3648" s="9">
        <v>1013.24</v>
      </c>
      <c r="E3648" s="9">
        <f t="shared" si="169"/>
        <v>1.0626312307042453E-2</v>
      </c>
      <c r="F3648" s="9">
        <f t="shared" si="170"/>
        <v>7.3805864456862616E-2</v>
      </c>
      <c r="G3648" s="9">
        <f t="shared" si="171"/>
        <v>1.1969371317305686E-2</v>
      </c>
    </row>
    <row r="3649" spans="1:7" x14ac:dyDescent="0.2">
      <c r="A3649" s="12">
        <v>42215</v>
      </c>
      <c r="B3649" s="9">
        <v>1023.6</v>
      </c>
      <c r="C3649" s="9">
        <v>1003.99</v>
      </c>
      <c r="D3649" s="9">
        <v>1006.36</v>
      </c>
      <c r="E3649" s="9">
        <f t="shared" si="169"/>
        <v>-6.8132566987328469E-3</v>
      </c>
      <c r="F3649" s="9">
        <f t="shared" si="170"/>
        <v>6.696073236964592E-2</v>
      </c>
      <c r="G3649" s="9">
        <f t="shared" si="171"/>
        <v>1.2081972832132548E-2</v>
      </c>
    </row>
    <row r="3650" spans="1:7" x14ac:dyDescent="0.2">
      <c r="A3650" s="12">
        <v>42216</v>
      </c>
      <c r="B3650" s="9">
        <v>1013.55</v>
      </c>
      <c r="C3650" s="9">
        <v>1005.8</v>
      </c>
      <c r="D3650" s="9">
        <v>1010.58</v>
      </c>
      <c r="E3650" s="9">
        <f t="shared" si="169"/>
        <v>4.184562910032965E-3</v>
      </c>
      <c r="F3650" s="9">
        <f t="shared" si="170"/>
        <v>7.1453466604119539E-2</v>
      </c>
      <c r="G3650" s="9">
        <f t="shared" si="171"/>
        <v>1.2077244130936849E-2</v>
      </c>
    </row>
    <row r="3651" spans="1:7" x14ac:dyDescent="0.2">
      <c r="A3651" s="12">
        <v>42219</v>
      </c>
      <c r="B3651" s="9">
        <v>1032.6500000000001</v>
      </c>
      <c r="C3651" s="9">
        <v>1015.45</v>
      </c>
      <c r="D3651" s="9">
        <v>1032.5999999999999</v>
      </c>
      <c r="E3651" s="9">
        <f t="shared" si="169"/>
        <v>2.1555470007199044E-2</v>
      </c>
      <c r="F3651" s="9">
        <f t="shared" si="170"/>
        <v>6.4241580271807652E-2</v>
      </c>
      <c r="G3651" s="9">
        <f t="shared" si="171"/>
        <v>1.1596124530600991E-2</v>
      </c>
    </row>
    <row r="3652" spans="1:7" x14ac:dyDescent="0.2">
      <c r="A3652" s="12">
        <v>42220</v>
      </c>
      <c r="B3652" s="9">
        <v>1039.47</v>
      </c>
      <c r="C3652" s="9">
        <v>1026.0999999999999</v>
      </c>
      <c r="D3652" s="9">
        <v>1030.5899999999999</v>
      </c>
      <c r="E3652" s="9">
        <f t="shared" ref="E3652:E3715" si="172">LN(D3652/D3651)</f>
        <v>-1.9484396840813217E-3</v>
      </c>
      <c r="F3652" s="9">
        <f t="shared" si="170"/>
        <v>6.0817491111695023E-2</v>
      </c>
      <c r="G3652" s="9">
        <f t="shared" si="171"/>
        <v>1.1619730063827032E-2</v>
      </c>
    </row>
    <row r="3653" spans="1:7" x14ac:dyDescent="0.2">
      <c r="A3653" s="12">
        <v>42221</v>
      </c>
      <c r="B3653" s="9">
        <v>1040.4100000000001</v>
      </c>
      <c r="C3653" s="9">
        <v>1033.7</v>
      </c>
      <c r="D3653" s="9">
        <v>1039.7</v>
      </c>
      <c r="E3653" s="9">
        <f t="shared" si="172"/>
        <v>8.8007562224572955E-3</v>
      </c>
      <c r="F3653" s="9">
        <f t="shared" si="170"/>
        <v>7.2127114859428534E-2</v>
      </c>
      <c r="G3653" s="9">
        <f t="shared" si="171"/>
        <v>1.1650908090497772E-2</v>
      </c>
    </row>
    <row r="3654" spans="1:7" x14ac:dyDescent="0.2">
      <c r="A3654" s="12">
        <v>42222</v>
      </c>
      <c r="B3654" s="9">
        <v>1044.92</v>
      </c>
      <c r="C3654" s="9">
        <v>1013.2</v>
      </c>
      <c r="D3654" s="9">
        <v>1016.02</v>
      </c>
      <c r="E3654" s="9">
        <f t="shared" si="172"/>
        <v>-2.3039175999875105E-2</v>
      </c>
      <c r="F3654" s="9">
        <f t="shared" si="170"/>
        <v>4.7652054950416099E-2</v>
      </c>
      <c r="G3654" s="9">
        <f t="shared" si="171"/>
        <v>1.2543755236249539E-2</v>
      </c>
    </row>
    <row r="3655" spans="1:7" x14ac:dyDescent="0.2">
      <c r="A3655" s="12">
        <v>42223</v>
      </c>
      <c r="B3655" s="9">
        <v>1018.18</v>
      </c>
      <c r="C3655" s="9">
        <v>996.87</v>
      </c>
      <c r="D3655" s="9">
        <v>997.28</v>
      </c>
      <c r="E3655" s="9">
        <f t="shared" si="172"/>
        <v>-1.8616739923509026E-2</v>
      </c>
      <c r="F3655" s="9">
        <f t="shared" si="170"/>
        <v>3.2737682356562492E-2</v>
      </c>
      <c r="G3655" s="9">
        <f t="shared" si="171"/>
        <v>1.3046163348576318E-2</v>
      </c>
    </row>
    <row r="3656" spans="1:7" x14ac:dyDescent="0.2">
      <c r="A3656" s="12">
        <v>42226</v>
      </c>
      <c r="B3656" s="9">
        <v>1005.84</v>
      </c>
      <c r="C3656" s="9">
        <v>992.71</v>
      </c>
      <c r="D3656" s="9">
        <v>1002.81</v>
      </c>
      <c r="E3656" s="9">
        <f t="shared" si="172"/>
        <v>5.5297652520580106E-3</v>
      </c>
      <c r="F3656" s="9">
        <f t="shared" si="170"/>
        <v>5.5584666775831897E-2</v>
      </c>
      <c r="G3656" s="9">
        <f t="shared" si="171"/>
        <v>1.2593509382329683E-2</v>
      </c>
    </row>
    <row r="3657" spans="1:7" x14ac:dyDescent="0.2">
      <c r="A3657" s="12">
        <v>42227</v>
      </c>
      <c r="B3657" s="9">
        <v>1004.59</v>
      </c>
      <c r="C3657" s="9">
        <v>995.99</v>
      </c>
      <c r="D3657" s="9">
        <v>997.74</v>
      </c>
      <c r="E3657" s="9">
        <f t="shared" si="172"/>
        <v>-5.0686169847204794E-3</v>
      </c>
      <c r="F3657" s="9">
        <f t="shared" si="170"/>
        <v>5.4498288167504919E-2</v>
      </c>
      <c r="G3657" s="9">
        <f t="shared" si="171"/>
        <v>1.2612414418177526E-2</v>
      </c>
    </row>
    <row r="3658" spans="1:7" x14ac:dyDescent="0.2">
      <c r="A3658" s="12">
        <v>42228</v>
      </c>
      <c r="B3658" s="9">
        <v>988.78</v>
      </c>
      <c r="C3658" s="9">
        <v>972.25</v>
      </c>
      <c r="D3658" s="9">
        <v>973.51</v>
      </c>
      <c r="E3658" s="9">
        <f t="shared" si="172"/>
        <v>-2.4584624354720464E-2</v>
      </c>
      <c r="F3658" s="9">
        <f t="shared" si="170"/>
        <v>1.3631121579770719E-2</v>
      </c>
      <c r="G3658" s="9">
        <f t="shared" si="171"/>
        <v>1.3189870761658147E-2</v>
      </c>
    </row>
    <row r="3659" spans="1:7" x14ac:dyDescent="0.2">
      <c r="A3659" s="12">
        <v>42229</v>
      </c>
      <c r="B3659" s="9">
        <v>995.57</v>
      </c>
      <c r="C3659" s="9">
        <v>986.91</v>
      </c>
      <c r="D3659" s="9">
        <v>989.01</v>
      </c>
      <c r="E3659" s="9">
        <f t="shared" si="172"/>
        <v>1.579634582189441E-2</v>
      </c>
      <c r="F3659" s="9">
        <f t="shared" si="170"/>
        <v>3.1773161003843253E-2</v>
      </c>
      <c r="G3659" s="9">
        <f t="shared" si="171"/>
        <v>1.3469982912970607E-2</v>
      </c>
    </row>
    <row r="3660" spans="1:7" x14ac:dyDescent="0.2">
      <c r="A3660" s="12">
        <v>42230</v>
      </c>
      <c r="B3660" s="9">
        <v>999.41</v>
      </c>
      <c r="C3660" s="9">
        <v>987.24</v>
      </c>
      <c r="D3660" s="9">
        <v>997.56</v>
      </c>
      <c r="E3660" s="9">
        <f t="shared" si="172"/>
        <v>8.6078545359448266E-3</v>
      </c>
      <c r="F3660" s="9">
        <f t="shared" si="170"/>
        <v>4.3957041183176886E-2</v>
      </c>
      <c r="G3660" s="9">
        <f t="shared" si="171"/>
        <v>1.3509031071109154E-2</v>
      </c>
    </row>
    <row r="3661" spans="1:7" x14ac:dyDescent="0.2">
      <c r="A3661" s="12">
        <v>42233</v>
      </c>
      <c r="B3661" s="9">
        <v>1008.94</v>
      </c>
      <c r="C3661" s="9">
        <v>991.55</v>
      </c>
      <c r="D3661" s="9">
        <v>1002.23</v>
      </c>
      <c r="E3661" s="9">
        <f t="shared" si="172"/>
        <v>4.6704988914909994E-3</v>
      </c>
      <c r="F3661" s="9">
        <f t="shared" si="170"/>
        <v>5.15543253774026E-2</v>
      </c>
      <c r="G3661" s="9">
        <f t="shared" si="171"/>
        <v>1.3495061184840038E-2</v>
      </c>
    </row>
    <row r="3662" spans="1:7" x14ac:dyDescent="0.2">
      <c r="A3662" s="12">
        <v>42234</v>
      </c>
      <c r="B3662" s="9">
        <v>1013.07</v>
      </c>
      <c r="C3662" s="9">
        <v>1003.62</v>
      </c>
      <c r="D3662" s="9">
        <v>1013.06</v>
      </c>
      <c r="E3662" s="9">
        <f t="shared" si="172"/>
        <v>1.0747936282039142E-2</v>
      </c>
      <c r="F3662" s="9">
        <f t="shared" si="170"/>
        <v>7.3575075651319724E-2</v>
      </c>
      <c r="G3662" s="9">
        <f t="shared" si="171"/>
        <v>1.3362295518759825E-2</v>
      </c>
    </row>
    <row r="3663" spans="1:7" x14ac:dyDescent="0.2">
      <c r="A3663" s="12">
        <v>42235</v>
      </c>
      <c r="B3663" s="9">
        <v>1007.43</v>
      </c>
      <c r="C3663" s="9">
        <v>996.37</v>
      </c>
      <c r="D3663" s="9">
        <v>997.23</v>
      </c>
      <c r="E3663" s="9">
        <f t="shared" si="172"/>
        <v>-1.5749297071785549E-2</v>
      </c>
      <c r="F3663" s="9">
        <f t="shared" si="170"/>
        <v>6.1732678100165028E-2</v>
      </c>
      <c r="G3663" s="9">
        <f t="shared" si="171"/>
        <v>1.3726598986693149E-2</v>
      </c>
    </row>
    <row r="3664" spans="1:7" x14ac:dyDescent="0.2">
      <c r="A3664" s="12">
        <v>42236</v>
      </c>
      <c r="B3664" s="9">
        <v>994.86</v>
      </c>
      <c r="C3664" s="9">
        <v>964.46</v>
      </c>
      <c r="D3664" s="9">
        <v>967.89</v>
      </c>
      <c r="E3664" s="9">
        <f t="shared" si="172"/>
        <v>-2.9862990976901791E-2</v>
      </c>
      <c r="F3664" s="9">
        <f t="shared" si="170"/>
        <v>9.7593149927438869E-3</v>
      </c>
      <c r="G3664" s="9">
        <f t="shared" si="171"/>
        <v>1.43730491618374E-2</v>
      </c>
    </row>
    <row r="3665" spans="1:7" x14ac:dyDescent="0.2">
      <c r="A3665" s="12">
        <v>42237</v>
      </c>
      <c r="B3665" s="9">
        <v>956.68</v>
      </c>
      <c r="C3665" s="9">
        <v>938.59</v>
      </c>
      <c r="D3665" s="9">
        <v>938.59</v>
      </c>
      <c r="E3665" s="9">
        <f t="shared" si="172"/>
        <v>-3.073969531805747E-2</v>
      </c>
      <c r="F3665" s="9">
        <f t="shared" si="170"/>
        <v>-4.7257310464458031E-2</v>
      </c>
      <c r="G3665" s="9">
        <f t="shared" si="171"/>
        <v>1.4591136377304529E-2</v>
      </c>
    </row>
    <row r="3666" spans="1:7" x14ac:dyDescent="0.2">
      <c r="A3666" s="12">
        <v>42240</v>
      </c>
      <c r="B3666" s="9">
        <v>905.87</v>
      </c>
      <c r="C3666" s="9">
        <v>870.44</v>
      </c>
      <c r="D3666" s="9">
        <v>893.25</v>
      </c>
      <c r="E3666" s="9">
        <f t="shared" si="172"/>
        <v>-4.9512252234263247E-2</v>
      </c>
      <c r="F3666" s="9">
        <f t="shared" si="170"/>
        <v>-0.11683100131124181</v>
      </c>
      <c r="G3666" s="9">
        <f t="shared" si="171"/>
        <v>1.6444889555468856E-2</v>
      </c>
    </row>
    <row r="3667" spans="1:7" x14ac:dyDescent="0.2">
      <c r="A3667" s="12">
        <v>42241</v>
      </c>
      <c r="B3667" s="9">
        <v>937.02</v>
      </c>
      <c r="C3667" s="9">
        <v>901.56</v>
      </c>
      <c r="D3667" s="9">
        <v>924.45</v>
      </c>
      <c r="E3667" s="9">
        <f t="shared" si="172"/>
        <v>3.4332469172842675E-2</v>
      </c>
      <c r="F3667" s="9">
        <f t="shared" si="170"/>
        <v>-8.1970478005562994E-2</v>
      </c>
      <c r="G3667" s="9">
        <f t="shared" si="171"/>
        <v>1.7861582514123769E-2</v>
      </c>
    </row>
    <row r="3668" spans="1:7" x14ac:dyDescent="0.2">
      <c r="A3668" s="12">
        <v>42242</v>
      </c>
      <c r="B3668" s="9">
        <v>928.18</v>
      </c>
      <c r="C3668" s="9">
        <v>898.91</v>
      </c>
      <c r="D3668" s="9">
        <v>916.17</v>
      </c>
      <c r="E3668" s="9">
        <f t="shared" si="172"/>
        <v>-8.9970291021854807E-3</v>
      </c>
      <c r="F3668" s="9">
        <f t="shared" si="170"/>
        <v>-0.1020477881584132</v>
      </c>
      <c r="G3668" s="9">
        <f t="shared" si="171"/>
        <v>1.770161556209875E-2</v>
      </c>
    </row>
    <row r="3669" spans="1:7" x14ac:dyDescent="0.2">
      <c r="A3669" s="12">
        <v>42243</v>
      </c>
      <c r="B3669" s="9">
        <v>949.61</v>
      </c>
      <c r="C3669" s="9">
        <v>938.87</v>
      </c>
      <c r="D3669" s="9">
        <v>947.51</v>
      </c>
      <c r="E3669" s="9">
        <f t="shared" si="172"/>
        <v>3.3635554016420717E-2</v>
      </c>
      <c r="F3669" s="9">
        <f t="shared" si="170"/>
        <v>-7.9955836540312936E-2</v>
      </c>
      <c r="G3669" s="9">
        <f t="shared" si="171"/>
        <v>1.8771944882161388E-2</v>
      </c>
    </row>
    <row r="3670" spans="1:7" x14ac:dyDescent="0.2">
      <c r="A3670" s="12">
        <v>42244</v>
      </c>
      <c r="B3670" s="9">
        <v>959.73</v>
      </c>
      <c r="C3670" s="9">
        <v>936.67</v>
      </c>
      <c r="D3670" s="9">
        <v>944.02</v>
      </c>
      <c r="E3670" s="9">
        <f t="shared" si="172"/>
        <v>-3.6901386288479281E-3</v>
      </c>
      <c r="F3670" s="9">
        <f t="shared" si="170"/>
        <v>-8.2895484147137127E-2</v>
      </c>
      <c r="G3670" s="9">
        <f t="shared" si="171"/>
        <v>1.8769277809237747E-2</v>
      </c>
    </row>
    <row r="3671" spans="1:7" x14ac:dyDescent="0.2">
      <c r="A3671" s="12">
        <v>42247</v>
      </c>
      <c r="B3671" s="9">
        <v>951.68</v>
      </c>
      <c r="C3671" s="9">
        <v>941.51</v>
      </c>
      <c r="D3671" s="9">
        <v>944.21</v>
      </c>
      <c r="E3671" s="9">
        <f t="shared" si="172"/>
        <v>2.0124667084128541E-4</v>
      </c>
      <c r="F3671" s="9">
        <f t="shared" si="170"/>
        <v>-9.2107578728856956E-2</v>
      </c>
      <c r="G3671" s="9">
        <f t="shared" si="171"/>
        <v>1.8638095250750317E-2</v>
      </c>
    </row>
    <row r="3672" spans="1:7" x14ac:dyDescent="0.2">
      <c r="A3672" s="12">
        <v>42248</v>
      </c>
      <c r="B3672" s="9">
        <v>938.26</v>
      </c>
      <c r="C3672" s="9">
        <v>920.91</v>
      </c>
      <c r="D3672" s="9">
        <v>922.58</v>
      </c>
      <c r="E3672" s="9">
        <f t="shared" si="172"/>
        <v>-2.3174506010736534E-2</v>
      </c>
      <c r="F3672" s="9">
        <f t="shared" si="170"/>
        <v>-0.10209802942253275</v>
      </c>
      <c r="G3672" s="9">
        <f t="shared" si="171"/>
        <v>1.8912269573183847E-2</v>
      </c>
    </row>
    <row r="3673" spans="1:7" x14ac:dyDescent="0.2">
      <c r="A3673" s="12">
        <v>42249</v>
      </c>
      <c r="B3673" s="9">
        <v>939.71</v>
      </c>
      <c r="C3673" s="9">
        <v>925.26</v>
      </c>
      <c r="D3673" s="9">
        <v>935.66</v>
      </c>
      <c r="E3673" s="9">
        <f t="shared" si="172"/>
        <v>1.4078069602003949E-2</v>
      </c>
      <c r="F3673" s="9">
        <f t="shared" si="170"/>
        <v>-9.0600429842073268E-2</v>
      </c>
      <c r="G3673" s="9">
        <f t="shared" si="171"/>
        <v>1.9152680386997425E-2</v>
      </c>
    </row>
    <row r="3674" spans="1:7" x14ac:dyDescent="0.2">
      <c r="A3674" s="12">
        <v>42250</v>
      </c>
      <c r="B3674" s="9">
        <v>957.15</v>
      </c>
      <c r="C3674" s="9">
        <v>948.14</v>
      </c>
      <c r="D3674" s="9">
        <v>956.9</v>
      </c>
      <c r="E3674" s="9">
        <f t="shared" si="172"/>
        <v>2.2446730161359243E-2</v>
      </c>
      <c r="F3674" s="9">
        <f t="shared" si="170"/>
        <v>-6.4564646828270622E-2</v>
      </c>
      <c r="G3674" s="9">
        <f t="shared" si="171"/>
        <v>1.9707836428716825E-2</v>
      </c>
    </row>
    <row r="3675" spans="1:7" x14ac:dyDescent="0.2">
      <c r="A3675" s="12">
        <v>42251</v>
      </c>
      <c r="B3675" s="9">
        <v>947.04</v>
      </c>
      <c r="C3675" s="9">
        <v>934.86</v>
      </c>
      <c r="D3675" s="9">
        <v>936.74</v>
      </c>
      <c r="E3675" s="9">
        <f t="shared" si="172"/>
        <v>-2.1293130375232974E-2</v>
      </c>
      <c r="F3675" s="9">
        <f t="shared" si="170"/>
        <v>-8.4602973494039571E-2</v>
      </c>
      <c r="G3675" s="9">
        <f t="shared" si="171"/>
        <v>2.0013575481472746E-2</v>
      </c>
    </row>
    <row r="3676" spans="1:7" x14ac:dyDescent="0.2">
      <c r="A3676" s="12">
        <v>42254</v>
      </c>
      <c r="B3676" s="9">
        <v>948.3</v>
      </c>
      <c r="C3676" s="9">
        <v>932.83</v>
      </c>
      <c r="D3676" s="9">
        <v>936.44</v>
      </c>
      <c r="E3676" s="9">
        <f t="shared" si="172"/>
        <v>-3.2031091786688951E-4</v>
      </c>
      <c r="F3676" s="9">
        <f t="shared" si="170"/>
        <v>-6.3156672158993288E-2</v>
      </c>
      <c r="G3676" s="9">
        <f t="shared" si="171"/>
        <v>1.9693951480584487E-2</v>
      </c>
    </row>
    <row r="3677" spans="1:7" x14ac:dyDescent="0.2">
      <c r="A3677" s="12">
        <v>42255</v>
      </c>
      <c r="B3677" s="9">
        <v>954.29</v>
      </c>
      <c r="C3677" s="9">
        <v>940.43</v>
      </c>
      <c r="D3677" s="9">
        <v>949.52</v>
      </c>
      <c r="E3677" s="9">
        <f t="shared" si="172"/>
        <v>1.3871142256132358E-2</v>
      </c>
      <c r="F3677" s="9">
        <f t="shared" si="170"/>
        <v>-5.4325490171757362E-2</v>
      </c>
      <c r="G3677" s="9">
        <f t="shared" si="171"/>
        <v>1.9869653655971764E-2</v>
      </c>
    </row>
    <row r="3678" spans="1:7" x14ac:dyDescent="0.2">
      <c r="A3678" s="12">
        <v>42256</v>
      </c>
      <c r="B3678" s="9">
        <v>970.69</v>
      </c>
      <c r="C3678" s="9">
        <v>960.98</v>
      </c>
      <c r="D3678" s="9">
        <v>962.31</v>
      </c>
      <c r="E3678" s="9">
        <f t="shared" si="172"/>
        <v>1.3380050329829715E-2</v>
      </c>
      <c r="F3678" s="9">
        <f t="shared" si="170"/>
        <v>-5.1571752148970203E-2</v>
      </c>
      <c r="G3678" s="9">
        <f t="shared" si="171"/>
        <v>1.9935342581586649E-2</v>
      </c>
    </row>
    <row r="3679" spans="1:7" x14ac:dyDescent="0.2">
      <c r="A3679" s="12">
        <v>42257</v>
      </c>
      <c r="B3679" s="9">
        <v>961.49</v>
      </c>
      <c r="C3679" s="9">
        <v>950.86</v>
      </c>
      <c r="D3679" s="9">
        <v>957.9</v>
      </c>
      <c r="E3679" s="9">
        <f t="shared" si="172"/>
        <v>-4.5932556892333814E-3</v>
      </c>
      <c r="F3679" s="9">
        <f t="shared" si="170"/>
        <v>-4.9351751139470809E-2</v>
      </c>
      <c r="G3679" s="9">
        <f t="shared" si="171"/>
        <v>1.9919895188353513E-2</v>
      </c>
    </row>
    <row r="3680" spans="1:7" x14ac:dyDescent="0.2">
      <c r="A3680" s="12">
        <v>42258</v>
      </c>
      <c r="B3680" s="9">
        <v>958.41</v>
      </c>
      <c r="C3680" s="9">
        <v>944.82</v>
      </c>
      <c r="D3680" s="9">
        <v>952.16</v>
      </c>
      <c r="E3680" s="9">
        <f t="shared" si="172"/>
        <v>-6.0103004923040496E-3</v>
      </c>
      <c r="F3680" s="9">
        <f t="shared" si="170"/>
        <v>-5.9546614541807742E-2</v>
      </c>
      <c r="G3680" s="9">
        <f t="shared" si="171"/>
        <v>1.9903968458604464E-2</v>
      </c>
    </row>
    <row r="3681" spans="1:7" x14ac:dyDescent="0.2">
      <c r="A3681" s="12">
        <v>42261</v>
      </c>
      <c r="B3681" s="9">
        <v>955.51</v>
      </c>
      <c r="C3681" s="9">
        <v>941.3</v>
      </c>
      <c r="D3681" s="9">
        <v>941.87</v>
      </c>
      <c r="E3681" s="9">
        <f t="shared" si="172"/>
        <v>-1.0865827089925503E-2</v>
      </c>
      <c r="F3681" s="9">
        <f t="shared" ref="F3681:F3744" si="173">LN(D3681/D3651)</f>
        <v>-9.1967911638932309E-2</v>
      </c>
      <c r="G3681" s="9">
        <f t="shared" si="171"/>
        <v>1.945689800011683E-2</v>
      </c>
    </row>
    <row r="3682" spans="1:7" x14ac:dyDescent="0.2">
      <c r="A3682" s="12">
        <v>42262</v>
      </c>
      <c r="B3682" s="9">
        <v>945.63</v>
      </c>
      <c r="C3682" s="9">
        <v>937.49</v>
      </c>
      <c r="D3682" s="9">
        <v>943.9</v>
      </c>
      <c r="E3682" s="9">
        <f t="shared" si="172"/>
        <v>2.1529675242824248E-3</v>
      </c>
      <c r="F3682" s="9">
        <f t="shared" si="173"/>
        <v>-8.7866504430568662E-2</v>
      </c>
      <c r="G3682" s="9">
        <f t="shared" si="171"/>
        <v>1.9479414573320093E-2</v>
      </c>
    </row>
    <row r="3683" spans="1:7" x14ac:dyDescent="0.2">
      <c r="A3683" s="12">
        <v>42263</v>
      </c>
      <c r="B3683" s="9">
        <v>951.13</v>
      </c>
      <c r="C3683" s="9">
        <v>943.53</v>
      </c>
      <c r="D3683" s="9">
        <v>947.15</v>
      </c>
      <c r="E3683" s="9">
        <f t="shared" si="172"/>
        <v>3.4372472433891509E-3</v>
      </c>
      <c r="F3683" s="9">
        <f t="shared" si="173"/>
        <v>-9.3230013409636811E-2</v>
      </c>
      <c r="G3683" s="9">
        <f t="shared" si="171"/>
        <v>1.9392466042136337E-2</v>
      </c>
    </row>
    <row r="3684" spans="1:7" x14ac:dyDescent="0.2">
      <c r="A3684" s="12">
        <v>42264</v>
      </c>
      <c r="B3684" s="9">
        <v>953.77</v>
      </c>
      <c r="C3684" s="9">
        <v>944.73</v>
      </c>
      <c r="D3684" s="9">
        <v>949.89</v>
      </c>
      <c r="E3684" s="9">
        <f t="shared" si="172"/>
        <v>2.888712842495924E-3</v>
      </c>
      <c r="F3684" s="9">
        <f t="shared" si="173"/>
        <v>-6.7302124567265781E-2</v>
      </c>
      <c r="G3684" s="9">
        <f t="shared" si="171"/>
        <v>1.904825763483629E-2</v>
      </c>
    </row>
    <row r="3685" spans="1:7" x14ac:dyDescent="0.2">
      <c r="A3685" s="12">
        <v>42265</v>
      </c>
      <c r="B3685" s="9">
        <v>951.67</v>
      </c>
      <c r="C3685" s="9">
        <v>936.32</v>
      </c>
      <c r="D3685" s="9">
        <v>940.87</v>
      </c>
      <c r="E3685" s="9">
        <f t="shared" si="172"/>
        <v>-9.5412092784133793E-3</v>
      </c>
      <c r="F3685" s="9">
        <f t="shared" si="173"/>
        <v>-5.8226593922170139E-2</v>
      </c>
      <c r="G3685" s="9">
        <f t="shared" si="171"/>
        <v>1.8850293856303792E-2</v>
      </c>
    </row>
    <row r="3686" spans="1:7" x14ac:dyDescent="0.2">
      <c r="A3686" s="12">
        <v>42268</v>
      </c>
      <c r="B3686" s="9">
        <v>960.86</v>
      </c>
      <c r="C3686" s="9">
        <v>941.9</v>
      </c>
      <c r="D3686" s="9">
        <v>959.91</v>
      </c>
      <c r="E3686" s="9">
        <f t="shared" si="172"/>
        <v>2.003455092870569E-2</v>
      </c>
      <c r="F3686" s="9">
        <f t="shared" si="173"/>
        <v>-4.3721808245522603E-2</v>
      </c>
      <c r="G3686" s="9">
        <f t="shared" si="171"/>
        <v>1.9230695673835389E-2</v>
      </c>
    </row>
    <row r="3687" spans="1:7" x14ac:dyDescent="0.2">
      <c r="A3687" s="12">
        <v>42269</v>
      </c>
      <c r="B3687" s="9">
        <v>0</v>
      </c>
      <c r="C3687" s="9">
        <v>0</v>
      </c>
      <c r="D3687" s="9">
        <v>934.81</v>
      </c>
      <c r="E3687" s="9">
        <f t="shared" si="172"/>
        <v>-2.6496229984194923E-2</v>
      </c>
      <c r="F3687" s="9">
        <f t="shared" si="173"/>
        <v>-6.5149421244996911E-2</v>
      </c>
      <c r="G3687" s="9">
        <f t="shared" ref="G3687:G3750" si="174">STDEV(E3658:E3687)</f>
        <v>1.9760084868574456E-2</v>
      </c>
    </row>
    <row r="3688" spans="1:7" x14ac:dyDescent="0.2">
      <c r="A3688" s="12">
        <v>42270</v>
      </c>
      <c r="B3688" s="9">
        <v>941.94</v>
      </c>
      <c r="C3688" s="9">
        <v>927.47</v>
      </c>
      <c r="D3688" s="9">
        <v>939.52</v>
      </c>
      <c r="E3688" s="9">
        <f t="shared" si="172"/>
        <v>5.0258064631602149E-3</v>
      </c>
      <c r="F3688" s="9">
        <f t="shared" si="173"/>
        <v>-3.5538990427116231E-2</v>
      </c>
      <c r="G3688" s="9">
        <f t="shared" si="174"/>
        <v>1.9336942980046127E-2</v>
      </c>
    </row>
    <row r="3689" spans="1:7" x14ac:dyDescent="0.2">
      <c r="A3689" s="12">
        <v>42271</v>
      </c>
      <c r="B3689" s="9">
        <v>942.12</v>
      </c>
      <c r="C3689" s="9">
        <v>916.1</v>
      </c>
      <c r="D3689" s="9">
        <v>916.99</v>
      </c>
      <c r="E3689" s="9">
        <f t="shared" si="172"/>
        <v>-2.4272539474446801E-2</v>
      </c>
      <c r="F3689" s="9">
        <f t="shared" si="173"/>
        <v>-7.5607875723457521E-2</v>
      </c>
      <c r="G3689" s="9">
        <f t="shared" si="174"/>
        <v>1.950666035455019E-2</v>
      </c>
    </row>
    <row r="3690" spans="1:7" x14ac:dyDescent="0.2">
      <c r="A3690" s="12">
        <v>42272</v>
      </c>
      <c r="B3690" s="9">
        <v>946.21</v>
      </c>
      <c r="C3690" s="9">
        <v>929.85</v>
      </c>
      <c r="D3690" s="9">
        <v>941.49</v>
      </c>
      <c r="E3690" s="9">
        <f t="shared" si="172"/>
        <v>2.6367159620294189E-2</v>
      </c>
      <c r="F3690" s="9">
        <f t="shared" si="173"/>
        <v>-5.7848570639108171E-2</v>
      </c>
      <c r="G3690" s="9">
        <f t="shared" si="174"/>
        <v>2.0115973425713699E-2</v>
      </c>
    </row>
    <row r="3691" spans="1:7" x14ac:dyDescent="0.2">
      <c r="A3691" s="12">
        <v>42275</v>
      </c>
      <c r="B3691" s="9">
        <v>962.34</v>
      </c>
      <c r="C3691" s="9">
        <v>929.18</v>
      </c>
      <c r="D3691" s="9">
        <v>929.28</v>
      </c>
      <c r="E3691" s="9">
        <f t="shared" si="172"/>
        <v>-1.3053633935567046E-2</v>
      </c>
      <c r="F3691" s="9">
        <f t="shared" si="173"/>
        <v>-7.5572703466166138E-2</v>
      </c>
      <c r="G3691" s="9">
        <f t="shared" si="174"/>
        <v>2.0175674272894097E-2</v>
      </c>
    </row>
    <row r="3692" spans="1:7" x14ac:dyDescent="0.2">
      <c r="A3692" s="12">
        <v>42276</v>
      </c>
      <c r="B3692" s="9">
        <v>920.98</v>
      </c>
      <c r="C3692" s="9">
        <v>906.07</v>
      </c>
      <c r="D3692" s="9">
        <v>911.65</v>
      </c>
      <c r="E3692" s="9">
        <f t="shared" si="172"/>
        <v>-1.9153948271108348E-2</v>
      </c>
      <c r="F3692" s="9">
        <f t="shared" si="173"/>
        <v>-0.10547458801931371</v>
      </c>
      <c r="G3692" s="9">
        <f t="shared" si="174"/>
        <v>2.0236172430984231E-2</v>
      </c>
    </row>
    <row r="3693" spans="1:7" x14ac:dyDescent="0.2">
      <c r="A3693" s="12">
        <v>42277</v>
      </c>
      <c r="B3693" s="9">
        <v>926.93</v>
      </c>
      <c r="C3693" s="9">
        <v>918.08</v>
      </c>
      <c r="D3693" s="9">
        <v>922.31</v>
      </c>
      <c r="E3693" s="9">
        <f t="shared" si="172"/>
        <v>1.1625248156750206E-2</v>
      </c>
      <c r="F3693" s="9">
        <f t="shared" si="173"/>
        <v>-7.8100042790777854E-2</v>
      </c>
      <c r="G3693" s="9">
        <f t="shared" si="174"/>
        <v>2.0282651555291211E-2</v>
      </c>
    </row>
    <row r="3694" spans="1:7" x14ac:dyDescent="0.2">
      <c r="A3694" s="12">
        <v>42278</v>
      </c>
      <c r="B3694" s="9">
        <v>944.75</v>
      </c>
      <c r="C3694" s="9">
        <v>927.08</v>
      </c>
      <c r="D3694" s="9">
        <v>927.33</v>
      </c>
      <c r="E3694" s="9">
        <f t="shared" si="172"/>
        <v>5.4280966305495001E-3</v>
      </c>
      <c r="F3694" s="9">
        <f t="shared" si="173"/>
        <v>-4.2808955183326461E-2</v>
      </c>
      <c r="G3694" s="9">
        <f t="shared" si="174"/>
        <v>1.9660999676615637E-2</v>
      </c>
    </row>
    <row r="3695" spans="1:7" x14ac:dyDescent="0.2">
      <c r="A3695" s="12">
        <v>42279</v>
      </c>
      <c r="B3695" s="9">
        <v>939.38</v>
      </c>
      <c r="C3695" s="9">
        <v>914.39</v>
      </c>
      <c r="D3695" s="9">
        <v>923.52</v>
      </c>
      <c r="E3695" s="9">
        <f t="shared" si="172"/>
        <v>-4.1170331270620128E-3</v>
      </c>
      <c r="F3695" s="9">
        <f t="shared" si="173"/>
        <v>-1.618629299233109E-2</v>
      </c>
      <c r="G3695" s="9">
        <f t="shared" si="174"/>
        <v>1.8877524603201624E-2</v>
      </c>
    </row>
    <row r="3696" spans="1:7" x14ac:dyDescent="0.2">
      <c r="A3696" s="12">
        <v>42282</v>
      </c>
      <c r="B3696" s="9">
        <v>946.93</v>
      </c>
      <c r="C3696" s="9">
        <v>934.36</v>
      </c>
      <c r="D3696" s="9">
        <v>942.59</v>
      </c>
      <c r="E3696" s="9">
        <f t="shared" si="172"/>
        <v>2.0438949333946781E-2</v>
      </c>
      <c r="F3696" s="9">
        <f t="shared" si="173"/>
        <v>5.3764908575878886E-2</v>
      </c>
      <c r="G3696" s="9">
        <f t="shared" si="174"/>
        <v>1.6828887661022047E-2</v>
      </c>
    </row>
    <row r="3697" spans="1:7" x14ac:dyDescent="0.2">
      <c r="A3697" s="12">
        <v>42283</v>
      </c>
      <c r="B3697" s="9">
        <v>953.42</v>
      </c>
      <c r="C3697" s="9">
        <v>940.36</v>
      </c>
      <c r="D3697" s="9">
        <v>945.52</v>
      </c>
      <c r="E3697" s="9">
        <f t="shared" si="172"/>
        <v>3.1036352245871657E-3</v>
      </c>
      <c r="F3697" s="9">
        <f t="shared" si="173"/>
        <v>2.2536074627623234E-2</v>
      </c>
      <c r="G3697" s="9">
        <f t="shared" si="174"/>
        <v>1.5672810639858693E-2</v>
      </c>
    </row>
    <row r="3698" spans="1:7" x14ac:dyDescent="0.2">
      <c r="A3698" s="12">
        <v>42284</v>
      </c>
      <c r="B3698" s="9">
        <v>951.18</v>
      </c>
      <c r="C3698" s="9">
        <v>939.25</v>
      </c>
      <c r="D3698" s="9">
        <v>941.56</v>
      </c>
      <c r="E3698" s="9">
        <f t="shared" si="172"/>
        <v>-4.1969665438589421E-3</v>
      </c>
      <c r="F3698" s="9">
        <f t="shared" si="173"/>
        <v>2.7336137185949738E-2</v>
      </c>
      <c r="G3698" s="9">
        <f t="shared" si="174"/>
        <v>1.5594164630145438E-2</v>
      </c>
    </row>
    <row r="3699" spans="1:7" x14ac:dyDescent="0.2">
      <c r="A3699" s="12">
        <v>42285</v>
      </c>
      <c r="B3699" s="9">
        <v>945.83</v>
      </c>
      <c r="C3699" s="9">
        <v>930.37</v>
      </c>
      <c r="D3699" s="9">
        <v>935.65</v>
      </c>
      <c r="E3699" s="9">
        <f t="shared" si="172"/>
        <v>-6.2965992363287785E-3</v>
      </c>
      <c r="F3699" s="9">
        <f t="shared" si="173"/>
        <v>-1.2596016066799677E-2</v>
      </c>
      <c r="G3699" s="9">
        <f t="shared" si="174"/>
        <v>1.4359999486102195E-2</v>
      </c>
    </row>
    <row r="3700" spans="1:7" x14ac:dyDescent="0.2">
      <c r="A3700" s="12">
        <v>42286</v>
      </c>
      <c r="B3700" s="9">
        <v>946.36</v>
      </c>
      <c r="C3700" s="9">
        <v>934.28</v>
      </c>
      <c r="D3700" s="9">
        <v>938.38</v>
      </c>
      <c r="E3700" s="9">
        <f t="shared" si="172"/>
        <v>2.9135093153703846E-3</v>
      </c>
      <c r="F3700" s="9">
        <f t="shared" si="173"/>
        <v>-5.9923681225812512E-3</v>
      </c>
      <c r="G3700" s="9">
        <f t="shared" si="174"/>
        <v>1.4358754496761819E-2</v>
      </c>
    </row>
    <row r="3701" spans="1:7" x14ac:dyDescent="0.2">
      <c r="A3701" s="12">
        <v>42289</v>
      </c>
      <c r="B3701" s="9">
        <v>943.38</v>
      </c>
      <c r="C3701" s="9">
        <v>935.4</v>
      </c>
      <c r="D3701" s="9">
        <v>940.26</v>
      </c>
      <c r="E3701" s="9">
        <f t="shared" si="172"/>
        <v>2.0014485240117778E-3</v>
      </c>
      <c r="F3701" s="9">
        <f t="shared" si="173"/>
        <v>-4.1921662694108189E-3</v>
      </c>
      <c r="G3701" s="9">
        <f t="shared" si="174"/>
        <v>1.4364248635259813E-2</v>
      </c>
    </row>
    <row r="3702" spans="1:7" x14ac:dyDescent="0.2">
      <c r="A3702" s="12">
        <v>42290</v>
      </c>
      <c r="B3702" s="9">
        <v>943.32</v>
      </c>
      <c r="C3702" s="9">
        <v>926.85</v>
      </c>
      <c r="D3702" s="9">
        <v>931.2</v>
      </c>
      <c r="E3702" s="9">
        <f t="shared" si="172"/>
        <v>-9.6823557860062671E-3</v>
      </c>
      <c r="F3702" s="9">
        <f t="shared" si="173"/>
        <v>9.2999839553195296E-3</v>
      </c>
      <c r="G3702" s="9">
        <f t="shared" si="174"/>
        <v>1.381904062502318E-2</v>
      </c>
    </row>
    <row r="3703" spans="1:7" x14ac:dyDescent="0.2">
      <c r="A3703" s="12">
        <v>42291</v>
      </c>
      <c r="B3703" s="9">
        <v>922.92</v>
      </c>
      <c r="C3703" s="9">
        <v>906.97</v>
      </c>
      <c r="D3703" s="9">
        <v>907.63</v>
      </c>
      <c r="E3703" s="9">
        <f t="shared" si="172"/>
        <v>-2.5637270408862517E-2</v>
      </c>
      <c r="F3703" s="9">
        <f t="shared" si="173"/>
        <v>-3.0415356055547103E-2</v>
      </c>
      <c r="G3703" s="9">
        <f t="shared" si="174"/>
        <v>1.4346854452356859E-2</v>
      </c>
    </row>
    <row r="3704" spans="1:7" x14ac:dyDescent="0.2">
      <c r="A3704" s="12">
        <v>42292</v>
      </c>
      <c r="B3704" s="9">
        <v>920.27</v>
      </c>
      <c r="C3704" s="9">
        <v>910.88</v>
      </c>
      <c r="D3704" s="9">
        <v>915.27</v>
      </c>
      <c r="E3704" s="9">
        <f t="shared" si="172"/>
        <v>8.3822971463023855E-3</v>
      </c>
      <c r="F3704" s="9">
        <f t="shared" si="173"/>
        <v>-4.4479789070603702E-2</v>
      </c>
      <c r="G3704" s="9">
        <f t="shared" si="174"/>
        <v>1.3772073233213599E-2</v>
      </c>
    </row>
    <row r="3705" spans="1:7" x14ac:dyDescent="0.2">
      <c r="A3705" s="12">
        <v>42293</v>
      </c>
      <c r="B3705" s="9">
        <v>937.09</v>
      </c>
      <c r="C3705" s="9">
        <v>921.86</v>
      </c>
      <c r="D3705" s="9">
        <v>934.05</v>
      </c>
      <c r="E3705" s="9">
        <f t="shared" si="172"/>
        <v>2.0310866271957283E-2</v>
      </c>
      <c r="F3705" s="9">
        <f t="shared" si="173"/>
        <v>-2.8757924234136326E-3</v>
      </c>
      <c r="G3705" s="9">
        <f t="shared" si="174"/>
        <v>1.3803093900747892E-2</v>
      </c>
    </row>
    <row r="3706" spans="1:7" x14ac:dyDescent="0.2">
      <c r="A3706" s="12">
        <v>42296</v>
      </c>
      <c r="B3706" s="9">
        <v>948.5</v>
      </c>
      <c r="C3706" s="9">
        <v>938.72</v>
      </c>
      <c r="D3706" s="9">
        <v>947.16</v>
      </c>
      <c r="E3706" s="9">
        <f t="shared" si="172"/>
        <v>1.3938063521740754E-2</v>
      </c>
      <c r="F3706" s="9">
        <f t="shared" si="173"/>
        <v>1.138258201619397E-2</v>
      </c>
      <c r="G3706" s="9">
        <f t="shared" si="174"/>
        <v>1.4038568243746203E-2</v>
      </c>
    </row>
    <row r="3707" spans="1:7" x14ac:dyDescent="0.2">
      <c r="A3707" s="12">
        <v>42297</v>
      </c>
      <c r="B3707" s="9">
        <v>950.7</v>
      </c>
      <c r="C3707" s="9">
        <v>938.73</v>
      </c>
      <c r="D3707" s="9">
        <v>938.73</v>
      </c>
      <c r="E3707" s="9">
        <f t="shared" si="172"/>
        <v>-8.9401355836843371E-3</v>
      </c>
      <c r="F3707" s="9">
        <f t="shared" si="173"/>
        <v>-1.1428695823622744E-2</v>
      </c>
      <c r="G3707" s="9">
        <f t="shared" si="174"/>
        <v>1.3899693527545406E-2</v>
      </c>
    </row>
    <row r="3708" spans="1:7" x14ac:dyDescent="0.2">
      <c r="A3708" s="12">
        <v>42298</v>
      </c>
      <c r="B3708" s="9">
        <v>936.87</v>
      </c>
      <c r="C3708" s="9">
        <v>927.63</v>
      </c>
      <c r="D3708" s="9">
        <v>930.96</v>
      </c>
      <c r="E3708" s="9">
        <f t="shared" si="172"/>
        <v>-8.3115861248055749E-3</v>
      </c>
      <c r="F3708" s="9">
        <f t="shared" si="173"/>
        <v>-3.3120332278257933E-2</v>
      </c>
      <c r="G3708" s="9">
        <f t="shared" si="174"/>
        <v>1.3722229968963462E-2</v>
      </c>
    </row>
    <row r="3709" spans="1:7" x14ac:dyDescent="0.2">
      <c r="A3709" s="12">
        <v>42299</v>
      </c>
      <c r="B3709" s="9">
        <v>937.38</v>
      </c>
      <c r="C3709" s="9">
        <v>922.36</v>
      </c>
      <c r="D3709" s="9">
        <v>937.38</v>
      </c>
      <c r="E3709" s="9">
        <f t="shared" si="172"/>
        <v>6.8724378520453946E-3</v>
      </c>
      <c r="F3709" s="9">
        <f t="shared" si="173"/>
        <v>-2.1654638736979284E-2</v>
      </c>
      <c r="G3709" s="9">
        <f t="shared" si="174"/>
        <v>1.3781240501312887E-2</v>
      </c>
    </row>
    <row r="3710" spans="1:7" x14ac:dyDescent="0.2">
      <c r="A3710" s="12">
        <v>42300</v>
      </c>
      <c r="B3710" s="9">
        <v>959.24</v>
      </c>
      <c r="C3710" s="9">
        <v>938.89</v>
      </c>
      <c r="D3710" s="9">
        <v>957.37</v>
      </c>
      <c r="E3710" s="9">
        <f t="shared" si="172"/>
        <v>2.1101191950334754E-2</v>
      </c>
      <c r="F3710" s="9">
        <f t="shared" si="173"/>
        <v>5.456853705659616E-3</v>
      </c>
      <c r="G3710" s="9">
        <f t="shared" si="174"/>
        <v>1.4301591299003595E-2</v>
      </c>
    </row>
    <row r="3711" spans="1:7" x14ac:dyDescent="0.2">
      <c r="A3711" s="12">
        <v>42303</v>
      </c>
      <c r="B3711" s="9">
        <v>964.42</v>
      </c>
      <c r="C3711" s="9">
        <v>957.06</v>
      </c>
      <c r="D3711" s="9">
        <v>960.38</v>
      </c>
      <c r="E3711" s="9">
        <f t="shared" si="172"/>
        <v>3.1390978716673659E-3</v>
      </c>
      <c r="F3711" s="9">
        <f t="shared" si="173"/>
        <v>1.9461778667252374E-2</v>
      </c>
      <c r="G3711" s="9">
        <f t="shared" si="174"/>
        <v>1.4156374034144967E-2</v>
      </c>
    </row>
    <row r="3712" spans="1:7" x14ac:dyDescent="0.2">
      <c r="A3712" s="12">
        <v>42304</v>
      </c>
      <c r="B3712" s="9">
        <v>961.11</v>
      </c>
      <c r="C3712" s="9">
        <v>953.73</v>
      </c>
      <c r="D3712" s="9">
        <v>958.47</v>
      </c>
      <c r="E3712" s="9">
        <f t="shared" si="172"/>
        <v>-1.9907763825288897E-3</v>
      </c>
      <c r="F3712" s="9">
        <f t="shared" si="173"/>
        <v>1.5318034760441197E-2</v>
      </c>
      <c r="G3712" s="9">
        <f t="shared" si="174"/>
        <v>1.4161405448654334E-2</v>
      </c>
    </row>
    <row r="3713" spans="1:7" x14ac:dyDescent="0.2">
      <c r="A3713" s="12">
        <v>42305</v>
      </c>
      <c r="B3713" s="9">
        <v>970.88</v>
      </c>
      <c r="C3713" s="9">
        <v>960.26</v>
      </c>
      <c r="D3713" s="9">
        <v>970.58</v>
      </c>
      <c r="E3713" s="9">
        <f t="shared" si="172"/>
        <v>1.2555567856634722E-2</v>
      </c>
      <c r="F3713" s="9">
        <f t="shared" si="173"/>
        <v>2.4436355373686696E-2</v>
      </c>
      <c r="G3713" s="9">
        <f t="shared" si="174"/>
        <v>1.432331259915099E-2</v>
      </c>
    </row>
    <row r="3714" spans="1:7" x14ac:dyDescent="0.2">
      <c r="A3714" s="12">
        <v>42306</v>
      </c>
      <c r="B3714" s="9">
        <v>962</v>
      </c>
      <c r="C3714" s="9">
        <v>939.96</v>
      </c>
      <c r="D3714" s="9">
        <v>941.96</v>
      </c>
      <c r="E3714" s="9">
        <f t="shared" si="172"/>
        <v>-2.9931020118194169E-2</v>
      </c>
      <c r="F3714" s="9">
        <f t="shared" si="173"/>
        <v>-8.3833775870032629E-3</v>
      </c>
      <c r="G3714" s="9">
        <f t="shared" si="174"/>
        <v>1.5374233200741143E-2</v>
      </c>
    </row>
    <row r="3715" spans="1:7" x14ac:dyDescent="0.2">
      <c r="A3715" s="12">
        <v>42307</v>
      </c>
      <c r="B3715" s="9">
        <v>950.45</v>
      </c>
      <c r="C3715" s="9">
        <v>934.62</v>
      </c>
      <c r="D3715" s="9">
        <v>937.94</v>
      </c>
      <c r="E3715" s="9">
        <f t="shared" si="172"/>
        <v>-4.2768297543214883E-3</v>
      </c>
      <c r="F3715" s="9">
        <f t="shared" si="173"/>
        <v>-3.118998062911384E-3</v>
      </c>
      <c r="G3715" s="9">
        <f t="shared" si="174"/>
        <v>1.5294713281001945E-2</v>
      </c>
    </row>
    <row r="3716" spans="1:7" x14ac:dyDescent="0.2">
      <c r="A3716" s="12">
        <v>42310</v>
      </c>
      <c r="B3716" s="9">
        <v>952.02</v>
      </c>
      <c r="C3716" s="9">
        <v>937.11</v>
      </c>
      <c r="D3716" s="9">
        <v>946.49</v>
      </c>
      <c r="E3716" s="9">
        <f t="shared" ref="E3716:E3779" si="175">LN(D3716/D3715)</f>
        <v>9.074424277747007E-3</v>
      </c>
      <c r="F3716" s="9">
        <f t="shared" si="173"/>
        <v>-1.4079124713870204E-2</v>
      </c>
      <c r="G3716" s="9">
        <f t="shared" si="174"/>
        <v>1.4923480920816114E-2</v>
      </c>
    </row>
    <row r="3717" spans="1:7" x14ac:dyDescent="0.2">
      <c r="A3717" s="12">
        <v>42311</v>
      </c>
      <c r="B3717" s="9">
        <v>955.98</v>
      </c>
      <c r="C3717" s="9">
        <v>947.47</v>
      </c>
      <c r="D3717" s="9">
        <v>955.93</v>
      </c>
      <c r="E3717" s="9">
        <f t="shared" si="175"/>
        <v>9.9242832600295473E-3</v>
      </c>
      <c r="F3717" s="9">
        <f t="shared" si="173"/>
        <v>2.2341388530354209E-2</v>
      </c>
      <c r="G3717" s="9">
        <f t="shared" si="174"/>
        <v>1.4196902122318049E-2</v>
      </c>
    </row>
    <row r="3718" spans="1:7" x14ac:dyDescent="0.2">
      <c r="A3718" s="12">
        <v>42312</v>
      </c>
      <c r="B3718" s="9">
        <v>968.85</v>
      </c>
      <c r="C3718" s="9">
        <v>958.94</v>
      </c>
      <c r="D3718" s="9">
        <v>963.23</v>
      </c>
      <c r="E3718" s="9">
        <f t="shared" si="175"/>
        <v>7.6075316356910153E-3</v>
      </c>
      <c r="F3718" s="9">
        <f t="shared" si="173"/>
        <v>2.4923113702885E-2</v>
      </c>
      <c r="G3718" s="9">
        <f t="shared" si="174"/>
        <v>1.4231530327070899E-2</v>
      </c>
    </row>
    <row r="3719" spans="1:7" x14ac:dyDescent="0.2">
      <c r="A3719" s="12">
        <v>42313</v>
      </c>
      <c r="B3719" s="9">
        <v>982.96</v>
      </c>
      <c r="C3719" s="9">
        <v>965.11</v>
      </c>
      <c r="D3719" s="9">
        <v>973.41</v>
      </c>
      <c r="E3719" s="9">
        <f t="shared" si="175"/>
        <v>1.0513150366611882E-2</v>
      </c>
      <c r="F3719" s="9">
        <f t="shared" si="173"/>
        <v>5.9708803543943846E-2</v>
      </c>
      <c r="G3719" s="9">
        <f t="shared" si="174"/>
        <v>1.3514736161608575E-2</v>
      </c>
    </row>
    <row r="3720" spans="1:7" x14ac:dyDescent="0.2">
      <c r="A3720" s="12">
        <v>42314</v>
      </c>
      <c r="B3720" s="9">
        <v>983.54</v>
      </c>
      <c r="C3720" s="9">
        <v>968.8</v>
      </c>
      <c r="D3720" s="9">
        <v>980.91</v>
      </c>
      <c r="E3720" s="9">
        <f t="shared" si="175"/>
        <v>7.6753416219010996E-3</v>
      </c>
      <c r="F3720" s="9">
        <f t="shared" si="173"/>
        <v>4.1016985545550694E-2</v>
      </c>
      <c r="G3720" s="9">
        <f t="shared" si="174"/>
        <v>1.2762062238998157E-2</v>
      </c>
    </row>
    <row r="3721" spans="1:7" x14ac:dyDescent="0.2">
      <c r="A3721" s="12">
        <v>42317</v>
      </c>
      <c r="B3721" s="9">
        <v>985.9</v>
      </c>
      <c r="C3721" s="9">
        <v>969.63</v>
      </c>
      <c r="D3721" s="9">
        <v>971.62</v>
      </c>
      <c r="E3721" s="9">
        <f t="shared" si="175"/>
        <v>-9.5159307185650917E-3</v>
      </c>
      <c r="F3721" s="9">
        <f t="shared" si="173"/>
        <v>4.4554688762552634E-2</v>
      </c>
      <c r="G3721" s="9">
        <f t="shared" si="174"/>
        <v>1.2639976835199601E-2</v>
      </c>
    </row>
    <row r="3722" spans="1:7" x14ac:dyDescent="0.2">
      <c r="A3722" s="12">
        <v>42318</v>
      </c>
      <c r="B3722" s="9">
        <v>975.93</v>
      </c>
      <c r="C3722" s="9">
        <v>967.78</v>
      </c>
      <c r="D3722" s="9">
        <v>970.08</v>
      </c>
      <c r="E3722" s="9">
        <f t="shared" si="175"/>
        <v>-1.5862391954540097E-3</v>
      </c>
      <c r="F3722" s="9">
        <f t="shared" si="173"/>
        <v>6.2122397838206986E-2</v>
      </c>
      <c r="G3722" s="9">
        <f t="shared" si="174"/>
        <v>1.2043705997447036E-2</v>
      </c>
    </row>
    <row r="3723" spans="1:7" x14ac:dyDescent="0.2">
      <c r="A3723" s="12">
        <v>42319</v>
      </c>
      <c r="B3723" s="9">
        <v>985.65</v>
      </c>
      <c r="C3723" s="9">
        <v>970.08</v>
      </c>
      <c r="D3723" s="9">
        <v>982.35</v>
      </c>
      <c r="E3723" s="9">
        <f t="shared" si="175"/>
        <v>1.2569118008751608E-2</v>
      </c>
      <c r="F3723" s="9">
        <f t="shared" si="173"/>
        <v>6.3066267690208469E-2</v>
      </c>
      <c r="G3723" s="9">
        <f t="shared" si="174"/>
        <v>1.2070728881715285E-2</v>
      </c>
    </row>
    <row r="3724" spans="1:7" x14ac:dyDescent="0.2">
      <c r="A3724" s="12">
        <v>42320</v>
      </c>
      <c r="B3724" s="9">
        <v>986.66</v>
      </c>
      <c r="C3724" s="9">
        <v>972.84</v>
      </c>
      <c r="D3724" s="9">
        <v>977.35</v>
      </c>
      <c r="E3724" s="9">
        <f t="shared" si="175"/>
        <v>-5.1028329331414476E-3</v>
      </c>
      <c r="F3724" s="9">
        <f t="shared" si="173"/>
        <v>5.253533812651752E-2</v>
      </c>
      <c r="G3724" s="9">
        <f t="shared" si="174"/>
        <v>1.2123682712465549E-2</v>
      </c>
    </row>
    <row r="3725" spans="1:7" x14ac:dyDescent="0.2">
      <c r="A3725" s="12">
        <v>42321</v>
      </c>
      <c r="B3725" s="9">
        <v>969.84</v>
      </c>
      <c r="C3725" s="9">
        <v>959.88</v>
      </c>
      <c r="D3725" s="9">
        <v>966.21</v>
      </c>
      <c r="E3725" s="9">
        <f t="shared" si="175"/>
        <v>-1.1463625508230697E-2</v>
      </c>
      <c r="F3725" s="9">
        <f t="shared" si="173"/>
        <v>4.5188745745348986E-2</v>
      </c>
      <c r="G3725" s="9">
        <f t="shared" si="174"/>
        <v>1.2318926903026932E-2</v>
      </c>
    </row>
    <row r="3726" spans="1:7" x14ac:dyDescent="0.2">
      <c r="A3726" s="12">
        <v>42324</v>
      </c>
      <c r="B3726" s="9">
        <v>970.54</v>
      </c>
      <c r="C3726" s="9">
        <v>957.65</v>
      </c>
      <c r="D3726" s="9">
        <v>966.7</v>
      </c>
      <c r="E3726" s="9">
        <f t="shared" si="175"/>
        <v>5.0700757975944463E-4</v>
      </c>
      <c r="F3726" s="9">
        <f t="shared" si="173"/>
        <v>2.5256803991161796E-2</v>
      </c>
      <c r="G3726" s="9">
        <f t="shared" si="174"/>
        <v>1.1788704609168643E-2</v>
      </c>
    </row>
    <row r="3727" spans="1:7" x14ac:dyDescent="0.2">
      <c r="A3727" s="12">
        <v>42325</v>
      </c>
      <c r="B3727" s="9">
        <v>989.37</v>
      </c>
      <c r="C3727" s="9">
        <v>966.7</v>
      </c>
      <c r="D3727" s="9">
        <v>988.77</v>
      </c>
      <c r="E3727" s="9">
        <f t="shared" si="175"/>
        <v>2.2573536966779963E-2</v>
      </c>
      <c r="F3727" s="9">
        <f t="shared" si="173"/>
        <v>4.4726705733354619E-2</v>
      </c>
      <c r="G3727" s="9">
        <f t="shared" si="174"/>
        <v>1.2435691245004085E-2</v>
      </c>
    </row>
    <row r="3728" spans="1:7" x14ac:dyDescent="0.2">
      <c r="A3728" s="12">
        <v>42326</v>
      </c>
      <c r="B3728" s="9">
        <v>994.16</v>
      </c>
      <c r="C3728" s="9">
        <v>982.55</v>
      </c>
      <c r="D3728" s="9">
        <v>985.8</v>
      </c>
      <c r="E3728" s="9">
        <f t="shared" si="175"/>
        <v>-3.0082521660624467E-3</v>
      </c>
      <c r="F3728" s="9">
        <f t="shared" si="173"/>
        <v>4.5915420111151156E-2</v>
      </c>
      <c r="G3728" s="9">
        <f t="shared" si="174"/>
        <v>1.2418825464769618E-2</v>
      </c>
    </row>
    <row r="3729" spans="1:7" x14ac:dyDescent="0.2">
      <c r="A3729" s="12">
        <v>42327</v>
      </c>
      <c r="B3729" s="9">
        <v>1003.78</v>
      </c>
      <c r="C3729" s="9">
        <v>985.8</v>
      </c>
      <c r="D3729" s="9">
        <v>990.27</v>
      </c>
      <c r="E3729" s="9">
        <f t="shared" si="175"/>
        <v>4.5241389467632577E-3</v>
      </c>
      <c r="F3729" s="9">
        <f t="shared" si="173"/>
        <v>5.673615829424325E-2</v>
      </c>
      <c r="G3729" s="9">
        <f t="shared" si="174"/>
        <v>1.2340548099669894E-2</v>
      </c>
    </row>
    <row r="3730" spans="1:7" x14ac:dyDescent="0.2">
      <c r="A3730" s="12">
        <v>42328</v>
      </c>
      <c r="B3730" s="9">
        <v>998.16</v>
      </c>
      <c r="C3730" s="9">
        <v>984.83</v>
      </c>
      <c r="D3730" s="9">
        <v>991.84</v>
      </c>
      <c r="E3730" s="9">
        <f t="shared" si="175"/>
        <v>1.5841707355687261E-3</v>
      </c>
      <c r="F3730" s="9">
        <f t="shared" si="173"/>
        <v>5.5406819714441363E-2</v>
      </c>
      <c r="G3730" s="9">
        <f t="shared" si="174"/>
        <v>1.2339137278520557E-2</v>
      </c>
    </row>
    <row r="3731" spans="1:7" x14ac:dyDescent="0.2">
      <c r="A3731" s="12">
        <v>42331</v>
      </c>
      <c r="B3731" s="9">
        <v>992.58</v>
      </c>
      <c r="C3731" s="9">
        <v>985.81</v>
      </c>
      <c r="D3731" s="9">
        <v>990.83</v>
      </c>
      <c r="E3731" s="9">
        <f t="shared" si="175"/>
        <v>-1.0188282340136284E-3</v>
      </c>
      <c r="F3731" s="9">
        <f t="shared" si="173"/>
        <v>5.2386542956415934E-2</v>
      </c>
      <c r="G3731" s="9">
        <f t="shared" si="174"/>
        <v>1.2350149185577676E-2</v>
      </c>
    </row>
    <row r="3732" spans="1:7" x14ac:dyDescent="0.2">
      <c r="A3732" s="12">
        <v>42332</v>
      </c>
      <c r="B3732" s="9">
        <v>990.83</v>
      </c>
      <c r="C3732" s="9">
        <v>972.87</v>
      </c>
      <c r="D3732" s="9">
        <v>980.04</v>
      </c>
      <c r="E3732" s="9">
        <f t="shared" si="175"/>
        <v>-1.0949588561411126E-2</v>
      </c>
      <c r="F3732" s="9">
        <f t="shared" si="173"/>
        <v>5.1119310181011075E-2</v>
      </c>
      <c r="G3732" s="9">
        <f t="shared" si="174"/>
        <v>1.2392680040068932E-2</v>
      </c>
    </row>
    <row r="3733" spans="1:7" x14ac:dyDescent="0.2">
      <c r="A3733" s="12">
        <v>42333</v>
      </c>
      <c r="B3733" s="9">
        <v>995.4</v>
      </c>
      <c r="C3733" s="9">
        <v>980.03</v>
      </c>
      <c r="D3733" s="9">
        <v>994.23</v>
      </c>
      <c r="E3733" s="9">
        <f t="shared" si="175"/>
        <v>1.4375181062218478E-2</v>
      </c>
      <c r="F3733" s="9">
        <f t="shared" si="173"/>
        <v>9.1131761652092289E-2</v>
      </c>
      <c r="G3733" s="9">
        <f t="shared" si="174"/>
        <v>1.1467233827973064E-2</v>
      </c>
    </row>
    <row r="3734" spans="1:7" x14ac:dyDescent="0.2">
      <c r="A3734" s="12">
        <v>42334</v>
      </c>
      <c r="B3734" s="9">
        <v>1000.82</v>
      </c>
      <c r="C3734" s="9">
        <v>993.47</v>
      </c>
      <c r="D3734" s="9">
        <v>998.64</v>
      </c>
      <c r="E3734" s="9">
        <f t="shared" si="175"/>
        <v>4.4257851223923053E-3</v>
      </c>
      <c r="F3734" s="9">
        <f t="shared" si="173"/>
        <v>8.717524962818203E-2</v>
      </c>
      <c r="G3734" s="9">
        <f t="shared" si="174"/>
        <v>1.1426325564491528E-2</v>
      </c>
    </row>
    <row r="3735" spans="1:7" x14ac:dyDescent="0.2">
      <c r="A3735" s="12">
        <v>42335</v>
      </c>
      <c r="B3735" s="9">
        <v>1002.62</v>
      </c>
      <c r="C3735" s="9">
        <v>993.5</v>
      </c>
      <c r="D3735" s="9">
        <v>1001.01</v>
      </c>
      <c r="E3735" s="9">
        <f t="shared" si="175"/>
        <v>2.3704159325153495E-3</v>
      </c>
      <c r="F3735" s="9">
        <f t="shared" si="173"/>
        <v>6.9234799288740115E-2</v>
      </c>
      <c r="G3735" s="9">
        <f t="shared" si="174"/>
        <v>1.0943254419512799E-2</v>
      </c>
    </row>
    <row r="3736" spans="1:7" x14ac:dyDescent="0.2">
      <c r="A3736" s="12">
        <v>42338</v>
      </c>
      <c r="B3736" s="9">
        <v>1016.09</v>
      </c>
      <c r="C3736" s="9">
        <v>1001.27</v>
      </c>
      <c r="D3736" s="9">
        <v>1015.05</v>
      </c>
      <c r="E3736" s="9">
        <f t="shared" si="175"/>
        <v>1.392838207103329E-2</v>
      </c>
      <c r="F3736" s="9">
        <f t="shared" si="173"/>
        <v>6.9225117838032785E-2</v>
      </c>
      <c r="G3736" s="9">
        <f t="shared" si="174"/>
        <v>1.0942899755787844E-2</v>
      </c>
    </row>
    <row r="3737" spans="1:7" x14ac:dyDescent="0.2">
      <c r="A3737" s="12">
        <v>42339</v>
      </c>
      <c r="B3737" s="9">
        <v>1026.28</v>
      </c>
      <c r="C3737" s="9">
        <v>1014.57</v>
      </c>
      <c r="D3737" s="9">
        <v>1019.67</v>
      </c>
      <c r="E3737" s="9">
        <f t="shared" si="175"/>
        <v>4.5411731732769136E-3</v>
      </c>
      <c r="F3737" s="9">
        <f t="shared" si="173"/>
        <v>8.2706426594993956E-2</v>
      </c>
      <c r="G3737" s="9">
        <f t="shared" si="174"/>
        <v>1.0740009457195809E-2</v>
      </c>
    </row>
    <row r="3738" spans="1:7" x14ac:dyDescent="0.2">
      <c r="A3738" s="12">
        <v>42340</v>
      </c>
      <c r="B3738" s="9">
        <v>1030.19</v>
      </c>
      <c r="C3738" s="9">
        <v>1019.97</v>
      </c>
      <c r="D3738" s="9">
        <v>1025.4100000000001</v>
      </c>
      <c r="E3738" s="9">
        <f t="shared" si="175"/>
        <v>5.6134870742145749E-3</v>
      </c>
      <c r="F3738" s="9">
        <f t="shared" si="173"/>
        <v>9.6631499794014045E-2</v>
      </c>
      <c r="G3738" s="9">
        <f t="shared" si="174"/>
        <v>1.0544277642765065E-2</v>
      </c>
    </row>
    <row r="3739" spans="1:7" x14ac:dyDescent="0.2">
      <c r="A3739" s="12">
        <v>42341</v>
      </c>
      <c r="B3739" s="9">
        <v>1033.82</v>
      </c>
      <c r="C3739" s="9">
        <v>1005.2</v>
      </c>
      <c r="D3739" s="9">
        <v>1007.09</v>
      </c>
      <c r="E3739" s="9">
        <f t="shared" si="175"/>
        <v>-1.8027548489580561E-2</v>
      </c>
      <c r="F3739" s="9">
        <f t="shared" si="173"/>
        <v>7.1731513452388332E-2</v>
      </c>
      <c r="G3739" s="9">
        <f t="shared" si="174"/>
        <v>1.1206179431502771E-2</v>
      </c>
    </row>
    <row r="3740" spans="1:7" x14ac:dyDescent="0.2">
      <c r="A3740" s="12">
        <v>42342</v>
      </c>
      <c r="B3740" s="9">
        <v>1009.02</v>
      </c>
      <c r="C3740" s="9">
        <v>996.17</v>
      </c>
      <c r="D3740" s="9">
        <v>1006.39</v>
      </c>
      <c r="E3740" s="9">
        <f t="shared" si="175"/>
        <v>-6.9531361444055836E-4</v>
      </c>
      <c r="F3740" s="9">
        <f t="shared" si="173"/>
        <v>4.9935007887612952E-2</v>
      </c>
      <c r="G3740" s="9">
        <f t="shared" si="174"/>
        <v>1.0643753646647923E-2</v>
      </c>
    </row>
    <row r="3741" spans="1:7" x14ac:dyDescent="0.2">
      <c r="A3741" s="12">
        <v>42345</v>
      </c>
      <c r="B3741" s="9">
        <v>1024.42</v>
      </c>
      <c r="C3741" s="9">
        <v>1006.73</v>
      </c>
      <c r="D3741" s="9">
        <v>1016.53</v>
      </c>
      <c r="E3741" s="9">
        <f t="shared" si="175"/>
        <v>1.0025196178009663E-2</v>
      </c>
      <c r="F3741" s="9">
        <f t="shared" si="173"/>
        <v>5.6821106193955119E-2</v>
      </c>
      <c r="G3741" s="9">
        <f t="shared" si="174"/>
        <v>1.0750367187697623E-2</v>
      </c>
    </row>
    <row r="3742" spans="1:7" x14ac:dyDescent="0.2">
      <c r="A3742" s="12">
        <v>42346</v>
      </c>
      <c r="B3742" s="9">
        <v>1022.33</v>
      </c>
      <c r="C3742" s="9">
        <v>998.07</v>
      </c>
      <c r="D3742" s="9">
        <v>1002.59</v>
      </c>
      <c r="E3742" s="9">
        <f t="shared" si="175"/>
        <v>-1.3808214955587039E-2</v>
      </c>
      <c r="F3742" s="9">
        <f t="shared" si="173"/>
        <v>4.5003667620896998E-2</v>
      </c>
      <c r="G3742" s="9">
        <f t="shared" si="174"/>
        <v>1.1108175495128035E-2</v>
      </c>
    </row>
    <row r="3743" spans="1:7" x14ac:dyDescent="0.2">
      <c r="A3743" s="12">
        <v>42347</v>
      </c>
      <c r="B3743" s="9">
        <v>1010.08</v>
      </c>
      <c r="C3743" s="9">
        <v>992.72</v>
      </c>
      <c r="D3743" s="9">
        <v>999.03</v>
      </c>
      <c r="E3743" s="9">
        <f t="shared" si="175"/>
        <v>-3.5571224845458421E-3</v>
      </c>
      <c r="F3743" s="9">
        <f t="shared" si="173"/>
        <v>2.889097727971654E-2</v>
      </c>
      <c r="G3743" s="9">
        <f t="shared" si="174"/>
        <v>1.0943513602842445E-2</v>
      </c>
    </row>
    <row r="3744" spans="1:7" x14ac:dyDescent="0.2">
      <c r="A3744" s="12">
        <v>42348</v>
      </c>
      <c r="B3744" s="9">
        <v>998.81</v>
      </c>
      <c r="C3744" s="9">
        <v>985.47</v>
      </c>
      <c r="D3744" s="9">
        <v>990.6</v>
      </c>
      <c r="E3744" s="9">
        <f t="shared" si="175"/>
        <v>-8.4739880735538262E-3</v>
      </c>
      <c r="F3744" s="9">
        <f t="shared" si="173"/>
        <v>5.0348009324356936E-2</v>
      </c>
      <c r="G3744" s="9">
        <f t="shared" si="174"/>
        <v>9.4546508691882823E-3</v>
      </c>
    </row>
    <row r="3745" spans="1:7" x14ac:dyDescent="0.2">
      <c r="A3745" s="12">
        <v>42349</v>
      </c>
      <c r="B3745" s="9">
        <v>990.6</v>
      </c>
      <c r="C3745" s="9">
        <v>965.74</v>
      </c>
      <c r="D3745" s="9">
        <v>965.74</v>
      </c>
      <c r="E3745" s="9">
        <f t="shared" si="175"/>
        <v>-2.5416173308004025E-2</v>
      </c>
      <c r="F3745" s="9">
        <f t="shared" ref="F3745:F3808" si="176">LN(D3745/D3715)</f>
        <v>2.9208665770674384E-2</v>
      </c>
      <c r="G3745" s="9">
        <f t="shared" si="174"/>
        <v>1.0628640646517808E-2</v>
      </c>
    </row>
    <row r="3746" spans="1:7" x14ac:dyDescent="0.2">
      <c r="A3746" s="12">
        <v>42352</v>
      </c>
      <c r="B3746" s="9">
        <v>977.39</v>
      </c>
      <c r="C3746" s="9">
        <v>958.43</v>
      </c>
      <c r="D3746" s="9">
        <v>962.79</v>
      </c>
      <c r="E3746" s="9">
        <f t="shared" si="175"/>
        <v>-3.0593273642337314E-3</v>
      </c>
      <c r="F3746" s="9">
        <f t="shared" si="176"/>
        <v>1.7074914128693858E-2</v>
      </c>
      <c r="G3746" s="9">
        <f t="shared" si="174"/>
        <v>1.0540244955375942E-2</v>
      </c>
    </row>
    <row r="3747" spans="1:7" x14ac:dyDescent="0.2">
      <c r="A3747" s="12">
        <v>42353</v>
      </c>
      <c r="B3747" s="9">
        <v>982.33</v>
      </c>
      <c r="C3747" s="9">
        <v>962.79</v>
      </c>
      <c r="D3747" s="9">
        <v>981.64</v>
      </c>
      <c r="E3747" s="9">
        <f t="shared" si="175"/>
        <v>1.9389322880802636E-2</v>
      </c>
      <c r="F3747" s="9">
        <f t="shared" si="176"/>
        <v>2.6539953749466879E-2</v>
      </c>
      <c r="G3747" s="9">
        <f t="shared" si="174"/>
        <v>1.096310433476577E-2</v>
      </c>
    </row>
    <row r="3748" spans="1:7" x14ac:dyDescent="0.2">
      <c r="A3748" s="12">
        <v>42354</v>
      </c>
      <c r="B3748" s="9">
        <v>993.25</v>
      </c>
      <c r="C3748" s="9">
        <v>982.28</v>
      </c>
      <c r="D3748" s="9">
        <v>986.41</v>
      </c>
      <c r="E3748" s="9">
        <f t="shared" si="175"/>
        <v>4.8474473111457302E-3</v>
      </c>
      <c r="F3748" s="9">
        <f t="shared" si="176"/>
        <v>2.3779869424921461E-2</v>
      </c>
      <c r="G3748" s="9">
        <f t="shared" si="174"/>
        <v>1.0916221425351914E-2</v>
      </c>
    </row>
    <row r="3749" spans="1:7" x14ac:dyDescent="0.2">
      <c r="A3749" s="12">
        <v>42355</v>
      </c>
      <c r="B3749" s="9">
        <v>1005.92</v>
      </c>
      <c r="C3749" s="9">
        <v>987.21</v>
      </c>
      <c r="D3749" s="9">
        <v>998.27</v>
      </c>
      <c r="E3749" s="9">
        <f t="shared" si="175"/>
        <v>1.1951691130140957E-2</v>
      </c>
      <c r="F3749" s="9">
        <f t="shared" si="176"/>
        <v>2.5218410188450533E-2</v>
      </c>
      <c r="G3749" s="9">
        <f t="shared" si="174"/>
        <v>1.0963450048740787E-2</v>
      </c>
    </row>
    <row r="3750" spans="1:7" x14ac:dyDescent="0.2">
      <c r="A3750" s="12">
        <v>42356</v>
      </c>
      <c r="B3750" s="9">
        <v>997.85</v>
      </c>
      <c r="C3750" s="9">
        <v>985.43</v>
      </c>
      <c r="D3750" s="9">
        <v>990.02</v>
      </c>
      <c r="E3750" s="9">
        <f t="shared" si="175"/>
        <v>-8.298635859209336E-3</v>
      </c>
      <c r="F3750" s="9">
        <f t="shared" si="176"/>
        <v>9.2444327073398797E-3</v>
      </c>
      <c r="G3750" s="9">
        <f t="shared" si="174"/>
        <v>1.1007875941387588E-2</v>
      </c>
    </row>
    <row r="3751" spans="1:7" x14ac:dyDescent="0.2">
      <c r="A3751" s="12">
        <v>42359</v>
      </c>
      <c r="B3751" s="9">
        <v>996.76</v>
      </c>
      <c r="C3751" s="9">
        <v>984.65</v>
      </c>
      <c r="D3751" s="9">
        <v>989.33</v>
      </c>
      <c r="E3751" s="9">
        <f t="shared" si="175"/>
        <v>-6.9719860353134047E-4</v>
      </c>
      <c r="F3751" s="9">
        <f t="shared" si="176"/>
        <v>1.8063164822373582E-2</v>
      </c>
      <c r="G3751" s="9">
        <f t="shared" ref="G3751:G3814" si="177">STDEV(E3722:E3751)</f>
        <v>1.0853145926195178E-2</v>
      </c>
    </row>
    <row r="3752" spans="1:7" x14ac:dyDescent="0.2">
      <c r="A3752" s="12">
        <v>42360</v>
      </c>
      <c r="B3752" s="9">
        <v>991.21</v>
      </c>
      <c r="C3752" s="9">
        <v>976.33</v>
      </c>
      <c r="D3752" s="9">
        <v>979.95</v>
      </c>
      <c r="E3752" s="9">
        <f t="shared" si="175"/>
        <v>-9.5263963863790758E-3</v>
      </c>
      <c r="F3752" s="9">
        <f t="shared" si="176"/>
        <v>1.0123007631448378E-2</v>
      </c>
      <c r="G3752" s="9">
        <f t="shared" si="177"/>
        <v>1.1004119416249044E-2</v>
      </c>
    </row>
    <row r="3753" spans="1:7" x14ac:dyDescent="0.2">
      <c r="A3753" s="12">
        <v>42361</v>
      </c>
      <c r="B3753" s="9">
        <v>1000.97</v>
      </c>
      <c r="C3753" s="9">
        <v>981.39</v>
      </c>
      <c r="D3753" s="9">
        <v>999.8</v>
      </c>
      <c r="E3753" s="9">
        <f t="shared" si="175"/>
        <v>2.0053709024600751E-2</v>
      </c>
      <c r="F3753" s="9">
        <f t="shared" si="176"/>
        <v>1.7607598647297593E-2</v>
      </c>
      <c r="G3753" s="9">
        <f t="shared" si="177"/>
        <v>1.1369770551759152E-2</v>
      </c>
    </row>
    <row r="3754" spans="1:7" x14ac:dyDescent="0.2">
      <c r="A3754" s="12">
        <v>42366</v>
      </c>
      <c r="B3754" s="9">
        <v>1005.7</v>
      </c>
      <c r="C3754" s="9">
        <v>999.42</v>
      </c>
      <c r="D3754" s="9">
        <v>1001.69</v>
      </c>
      <c r="E3754" s="9">
        <f t="shared" si="175"/>
        <v>1.88859355956691E-3</v>
      </c>
      <c r="F3754" s="9">
        <f t="shared" si="176"/>
        <v>2.4599025140005868E-2</v>
      </c>
      <c r="G3754" s="9">
        <f t="shared" si="177"/>
        <v>1.1320671542500714E-2</v>
      </c>
    </row>
    <row r="3755" spans="1:7" x14ac:dyDescent="0.2">
      <c r="A3755" s="12">
        <v>42367</v>
      </c>
      <c r="B3755" s="9">
        <v>1014.09</v>
      </c>
      <c r="C3755" s="9">
        <v>1001.72</v>
      </c>
      <c r="D3755" s="9">
        <v>1014.09</v>
      </c>
      <c r="E3755" s="9">
        <f t="shared" si="175"/>
        <v>1.2303085069836609E-2</v>
      </c>
      <c r="F3755" s="9">
        <f t="shared" si="176"/>
        <v>4.8365735718073191E-2</v>
      </c>
      <c r="G3755" s="9">
        <f t="shared" si="177"/>
        <v>1.1262873556397681E-2</v>
      </c>
    </row>
    <row r="3756" spans="1:7" x14ac:dyDescent="0.2">
      <c r="A3756" s="12">
        <v>42368</v>
      </c>
      <c r="B3756" s="9">
        <v>1018.49</v>
      </c>
      <c r="C3756" s="9">
        <v>1010.32</v>
      </c>
      <c r="D3756" s="9">
        <v>1014.17</v>
      </c>
      <c r="E3756" s="9">
        <f t="shared" si="175"/>
        <v>7.8885350045288479E-5</v>
      </c>
      <c r="F3756" s="9">
        <f t="shared" si="176"/>
        <v>4.7937613488359142E-2</v>
      </c>
      <c r="G3756" s="9">
        <f t="shared" si="177"/>
        <v>1.1264593275238982E-2</v>
      </c>
    </row>
    <row r="3757" spans="1:7" x14ac:dyDescent="0.2">
      <c r="A3757" s="12">
        <v>42373</v>
      </c>
      <c r="B3757" s="9">
        <v>1007.17</v>
      </c>
      <c r="C3757" s="9">
        <v>995.19</v>
      </c>
      <c r="D3757" s="9">
        <v>998.12</v>
      </c>
      <c r="E3757" s="9">
        <f t="shared" si="175"/>
        <v>-1.5952313394800164E-2</v>
      </c>
      <c r="F3757" s="9">
        <f t="shared" si="176"/>
        <v>9.4117631267788063E-3</v>
      </c>
      <c r="G3757" s="9">
        <f t="shared" si="177"/>
        <v>1.0983373489191319E-2</v>
      </c>
    </row>
    <row r="3758" spans="1:7" x14ac:dyDescent="0.2">
      <c r="A3758" s="12">
        <v>42374</v>
      </c>
      <c r="B3758" s="9">
        <v>1019.09</v>
      </c>
      <c r="C3758" s="9">
        <v>997.62</v>
      </c>
      <c r="D3758" s="9">
        <v>1012.86</v>
      </c>
      <c r="E3758" s="9">
        <f t="shared" si="175"/>
        <v>1.4659781777233717E-2</v>
      </c>
      <c r="F3758" s="9">
        <f t="shared" si="176"/>
        <v>2.7079797070074893E-2</v>
      </c>
      <c r="G3758" s="9">
        <f t="shared" si="177"/>
        <v>1.1269073924067967E-2</v>
      </c>
    </row>
    <row r="3759" spans="1:7" x14ac:dyDescent="0.2">
      <c r="A3759" s="12">
        <v>42375</v>
      </c>
      <c r="B3759" s="9">
        <v>1012.79</v>
      </c>
      <c r="C3759" s="9">
        <v>996.16</v>
      </c>
      <c r="D3759" s="9">
        <v>1003.49</v>
      </c>
      <c r="E3759" s="9">
        <f t="shared" si="175"/>
        <v>-9.2940882766843931E-3</v>
      </c>
      <c r="F3759" s="9">
        <f t="shared" si="176"/>
        <v>1.3261569846627198E-2</v>
      </c>
      <c r="G3759" s="9">
        <f t="shared" si="177"/>
        <v>1.1397614040869761E-2</v>
      </c>
    </row>
    <row r="3760" spans="1:7" x14ac:dyDescent="0.2">
      <c r="A3760" s="12">
        <v>42376</v>
      </c>
      <c r="B3760" s="9">
        <v>1003.34</v>
      </c>
      <c r="C3760" s="9">
        <v>973.28</v>
      </c>
      <c r="D3760" s="9">
        <v>985.4</v>
      </c>
      <c r="E3760" s="9">
        <f t="shared" si="175"/>
        <v>-1.8191552954805307E-2</v>
      </c>
      <c r="F3760" s="9">
        <f t="shared" si="176"/>
        <v>-6.5141538437466359E-3</v>
      </c>
      <c r="G3760" s="9">
        <f t="shared" si="177"/>
        <v>1.1890496647766145E-2</v>
      </c>
    </row>
    <row r="3761" spans="1:7" x14ac:dyDescent="0.2">
      <c r="A3761" s="12">
        <v>42377</v>
      </c>
      <c r="B3761" s="9">
        <v>991.61</v>
      </c>
      <c r="C3761" s="9">
        <v>969.75</v>
      </c>
      <c r="D3761" s="9">
        <v>969.75</v>
      </c>
      <c r="E3761" s="9">
        <f t="shared" si="175"/>
        <v>-1.6009343789786114E-2</v>
      </c>
      <c r="F3761" s="9">
        <f t="shared" si="176"/>
        <v>-2.1504669399519078E-2</v>
      </c>
      <c r="G3761" s="9">
        <f t="shared" si="177"/>
        <v>1.2235327496528642E-2</v>
      </c>
    </row>
    <row r="3762" spans="1:7" x14ac:dyDescent="0.2">
      <c r="A3762" s="12">
        <v>42380</v>
      </c>
      <c r="B3762" s="9">
        <v>968.6</v>
      </c>
      <c r="C3762" s="9">
        <v>952.45</v>
      </c>
      <c r="D3762" s="9">
        <v>955.72</v>
      </c>
      <c r="E3762" s="9">
        <f t="shared" si="175"/>
        <v>-1.4573323197746667E-2</v>
      </c>
      <c r="F3762" s="9">
        <f t="shared" si="176"/>
        <v>-2.5128404035854628E-2</v>
      </c>
      <c r="G3762" s="9">
        <f t="shared" si="177"/>
        <v>1.2357113442165071E-2</v>
      </c>
    </row>
    <row r="3763" spans="1:7" x14ac:dyDescent="0.2">
      <c r="A3763" s="12">
        <v>42381</v>
      </c>
      <c r="B3763" s="9">
        <v>972.91</v>
      </c>
      <c r="C3763" s="9">
        <v>950.4</v>
      </c>
      <c r="D3763" s="9">
        <v>969.28</v>
      </c>
      <c r="E3763" s="9">
        <f t="shared" si="175"/>
        <v>1.4088544716542573E-2</v>
      </c>
      <c r="F3763" s="9">
        <f t="shared" si="176"/>
        <v>-2.5415040381530744E-2</v>
      </c>
      <c r="G3763" s="9">
        <f t="shared" si="177"/>
        <v>1.2345050199064376E-2</v>
      </c>
    </row>
    <row r="3764" spans="1:7" x14ac:dyDescent="0.2">
      <c r="A3764" s="12">
        <v>42382</v>
      </c>
      <c r="B3764" s="9">
        <v>980.44</v>
      </c>
      <c r="C3764" s="9">
        <v>964.09</v>
      </c>
      <c r="D3764" s="9">
        <v>966.42</v>
      </c>
      <c r="E3764" s="9">
        <f t="shared" si="175"/>
        <v>-2.9550055082297102E-3</v>
      </c>
      <c r="F3764" s="9">
        <f t="shared" si="176"/>
        <v>-3.2795831012152728E-2</v>
      </c>
      <c r="G3764" s="9">
        <f t="shared" si="177"/>
        <v>1.2309837309825072E-2</v>
      </c>
    </row>
    <row r="3765" spans="1:7" x14ac:dyDescent="0.2">
      <c r="A3765" s="12">
        <v>42383</v>
      </c>
      <c r="B3765" s="9">
        <v>964.92</v>
      </c>
      <c r="C3765" s="9">
        <v>935.94</v>
      </c>
      <c r="D3765" s="9">
        <v>953.28</v>
      </c>
      <c r="E3765" s="9">
        <f t="shared" si="175"/>
        <v>-1.3689852805725367E-2</v>
      </c>
      <c r="F3765" s="9">
        <f t="shared" si="176"/>
        <v>-4.8856099750393296E-2</v>
      </c>
      <c r="G3765" s="9">
        <f t="shared" si="177"/>
        <v>1.2501740857651565E-2</v>
      </c>
    </row>
    <row r="3766" spans="1:7" x14ac:dyDescent="0.2">
      <c r="A3766" s="12">
        <v>42384</v>
      </c>
      <c r="B3766" s="9">
        <v>957.14</v>
      </c>
      <c r="C3766" s="9">
        <v>911.59</v>
      </c>
      <c r="D3766" s="9">
        <v>919.08</v>
      </c>
      <c r="E3766" s="9">
        <f t="shared" si="175"/>
        <v>-3.6535499815414908E-2</v>
      </c>
      <c r="F3766" s="9">
        <f t="shared" si="176"/>
        <v>-9.9319981636841637E-2</v>
      </c>
      <c r="G3766" s="9">
        <f t="shared" si="177"/>
        <v>1.3676185931067151E-2</v>
      </c>
    </row>
    <row r="3767" spans="1:7" x14ac:dyDescent="0.2">
      <c r="A3767" s="12">
        <v>42387</v>
      </c>
      <c r="B3767" s="9">
        <v>929.52</v>
      </c>
      <c r="C3767" s="9">
        <v>908.99</v>
      </c>
      <c r="D3767" s="9">
        <v>920.15</v>
      </c>
      <c r="E3767" s="9">
        <f t="shared" si="175"/>
        <v>1.1635305217010737E-3</v>
      </c>
      <c r="F3767" s="9">
        <f t="shared" si="176"/>
        <v>-0.10269762428841761</v>
      </c>
      <c r="G3767" s="9">
        <f t="shared" si="177"/>
        <v>1.3623117472512368E-2</v>
      </c>
    </row>
    <row r="3768" spans="1:7" x14ac:dyDescent="0.2">
      <c r="A3768" s="12">
        <v>42388</v>
      </c>
      <c r="B3768" s="9">
        <v>939.45</v>
      </c>
      <c r="C3768" s="9">
        <v>920.54</v>
      </c>
      <c r="D3768" s="9">
        <v>932.09</v>
      </c>
      <c r="E3768" s="9">
        <f t="shared" si="175"/>
        <v>1.2892676315746277E-2</v>
      </c>
      <c r="F3768" s="9">
        <f t="shared" si="176"/>
        <v>-9.5418435046885741E-2</v>
      </c>
      <c r="G3768" s="9">
        <f t="shared" si="177"/>
        <v>1.3852512825036373E-2</v>
      </c>
    </row>
    <row r="3769" spans="1:7" x14ac:dyDescent="0.2">
      <c r="A3769" s="12">
        <v>42389</v>
      </c>
      <c r="B3769" s="9">
        <v>932.09</v>
      </c>
      <c r="C3769" s="9">
        <v>900.29</v>
      </c>
      <c r="D3769" s="9">
        <v>901.06</v>
      </c>
      <c r="E3769" s="9">
        <f t="shared" si="175"/>
        <v>-3.3857528480999925E-2</v>
      </c>
      <c r="F3769" s="9">
        <f t="shared" si="176"/>
        <v>-0.11124841503830513</v>
      </c>
      <c r="G3769" s="9">
        <f t="shared" si="177"/>
        <v>1.4712368589288873E-2</v>
      </c>
    </row>
    <row r="3770" spans="1:7" x14ac:dyDescent="0.2">
      <c r="A3770" s="12">
        <v>42390</v>
      </c>
      <c r="B3770" s="9">
        <v>933.13</v>
      </c>
      <c r="C3770" s="9">
        <v>901.41</v>
      </c>
      <c r="D3770" s="9">
        <v>927.56</v>
      </c>
      <c r="E3770" s="9">
        <f t="shared" si="175"/>
        <v>2.8985634350284978E-2</v>
      </c>
      <c r="F3770" s="9">
        <f t="shared" si="176"/>
        <v>-8.1567467073579647E-2</v>
      </c>
      <c r="G3770" s="9">
        <f t="shared" si="177"/>
        <v>1.5874082873856901E-2</v>
      </c>
    </row>
    <row r="3771" spans="1:7" x14ac:dyDescent="0.2">
      <c r="A3771" s="12">
        <v>42391</v>
      </c>
      <c r="B3771" s="9">
        <v>955.25</v>
      </c>
      <c r="C3771" s="9">
        <v>930.96</v>
      </c>
      <c r="D3771" s="9">
        <v>951.29</v>
      </c>
      <c r="E3771" s="9">
        <f t="shared" si="175"/>
        <v>2.5261475809884006E-2</v>
      </c>
      <c r="F3771" s="9">
        <f t="shared" si="176"/>
        <v>-6.6331187441705117E-2</v>
      </c>
      <c r="G3771" s="9">
        <f t="shared" si="177"/>
        <v>1.6526217918943396E-2</v>
      </c>
    </row>
    <row r="3772" spans="1:7" x14ac:dyDescent="0.2">
      <c r="A3772" s="12">
        <v>42394</v>
      </c>
      <c r="B3772" s="9">
        <v>967.58</v>
      </c>
      <c r="C3772" s="9">
        <v>951.96</v>
      </c>
      <c r="D3772" s="9">
        <v>960.88</v>
      </c>
      <c r="E3772" s="9">
        <f t="shared" si="175"/>
        <v>1.0030573020115986E-2</v>
      </c>
      <c r="F3772" s="9">
        <f t="shared" si="176"/>
        <v>-4.2492399466002195E-2</v>
      </c>
      <c r="G3772" s="9">
        <f t="shared" si="177"/>
        <v>1.6522482235846011E-2</v>
      </c>
    </row>
    <row r="3773" spans="1:7" x14ac:dyDescent="0.2">
      <c r="A3773" s="12">
        <v>42395</v>
      </c>
      <c r="B3773" s="9">
        <v>965.75</v>
      </c>
      <c r="C3773" s="9">
        <v>944.55</v>
      </c>
      <c r="D3773" s="9">
        <v>962.46</v>
      </c>
      <c r="E3773" s="9">
        <f t="shared" si="175"/>
        <v>1.6429756105701416E-3</v>
      </c>
      <c r="F3773" s="9">
        <f t="shared" si="176"/>
        <v>-3.7292301370886231E-2</v>
      </c>
      <c r="G3773" s="9">
        <f t="shared" si="177"/>
        <v>1.652652623792979E-2</v>
      </c>
    </row>
    <row r="3774" spans="1:7" x14ac:dyDescent="0.2">
      <c r="A3774" s="12">
        <v>42396</v>
      </c>
      <c r="B3774" s="9">
        <v>971.92</v>
      </c>
      <c r="C3774" s="9">
        <v>958.56</v>
      </c>
      <c r="D3774" s="9">
        <v>969.08</v>
      </c>
      <c r="E3774" s="9">
        <f t="shared" si="175"/>
        <v>6.854660965651814E-3</v>
      </c>
      <c r="F3774" s="9">
        <f t="shared" si="176"/>
        <v>-2.1963652331680458E-2</v>
      </c>
      <c r="G3774" s="9">
        <f t="shared" si="177"/>
        <v>1.6532216242011361E-2</v>
      </c>
    </row>
    <row r="3775" spans="1:7" x14ac:dyDescent="0.2">
      <c r="A3775" s="12">
        <v>42397</v>
      </c>
      <c r="B3775" s="9">
        <v>974.01</v>
      </c>
      <c r="C3775" s="9">
        <v>941.68</v>
      </c>
      <c r="D3775" s="9">
        <v>949.28</v>
      </c>
      <c r="E3775" s="9">
        <f t="shared" si="175"/>
        <v>-2.0643365312123723E-2</v>
      </c>
      <c r="F3775" s="9">
        <f t="shared" si="176"/>
        <v>-1.7190844335800232E-2</v>
      </c>
      <c r="G3775" s="9">
        <f t="shared" si="177"/>
        <v>1.630792798305955E-2</v>
      </c>
    </row>
    <row r="3776" spans="1:7" x14ac:dyDescent="0.2">
      <c r="A3776" s="12">
        <v>42398</v>
      </c>
      <c r="B3776" s="9">
        <v>977.66</v>
      </c>
      <c r="C3776" s="9">
        <v>949.9</v>
      </c>
      <c r="D3776" s="9">
        <v>972.66</v>
      </c>
      <c r="E3776" s="9">
        <f t="shared" si="175"/>
        <v>2.4330783871203666E-2</v>
      </c>
      <c r="F3776" s="9">
        <f t="shared" si="176"/>
        <v>1.0199266899637287E-2</v>
      </c>
      <c r="G3776" s="9">
        <f t="shared" si="177"/>
        <v>1.6919197251997142E-2</v>
      </c>
    </row>
    <row r="3777" spans="1:7" x14ac:dyDescent="0.2">
      <c r="A3777" s="12">
        <v>42401</v>
      </c>
      <c r="B3777" s="9">
        <v>987.52</v>
      </c>
      <c r="C3777" s="9">
        <v>967.19</v>
      </c>
      <c r="D3777" s="9">
        <v>974.11</v>
      </c>
      <c r="E3777" s="9">
        <f t="shared" si="175"/>
        <v>1.489647229138724E-3</v>
      </c>
      <c r="F3777" s="9">
        <f t="shared" si="176"/>
        <v>-7.7004087520268884E-3</v>
      </c>
      <c r="G3777" s="9">
        <f t="shared" si="177"/>
        <v>1.6535522889184542E-2</v>
      </c>
    </row>
    <row r="3778" spans="1:7" x14ac:dyDescent="0.2">
      <c r="A3778" s="12">
        <v>42402</v>
      </c>
      <c r="B3778" s="9">
        <v>978.59</v>
      </c>
      <c r="C3778" s="9">
        <v>961.6</v>
      </c>
      <c r="D3778" s="9">
        <v>964.42</v>
      </c>
      <c r="E3778" s="9">
        <f t="shared" si="175"/>
        <v>-9.9973492358245118E-3</v>
      </c>
      <c r="F3778" s="9">
        <f t="shared" si="176"/>
        <v>-2.2545205298997124E-2</v>
      </c>
      <c r="G3778" s="9">
        <f t="shared" si="177"/>
        <v>1.6599506549325061E-2</v>
      </c>
    </row>
    <row r="3779" spans="1:7" x14ac:dyDescent="0.2">
      <c r="A3779" s="12">
        <v>42403</v>
      </c>
      <c r="B3779" s="9">
        <v>965.24</v>
      </c>
      <c r="C3779" s="9">
        <v>916.76</v>
      </c>
      <c r="D3779" s="9">
        <v>922.75</v>
      </c>
      <c r="E3779" s="9">
        <f t="shared" si="175"/>
        <v>-4.4168542464742916E-2</v>
      </c>
      <c r="F3779" s="9">
        <f t="shared" si="176"/>
        <v>-7.8665438893880932E-2</v>
      </c>
      <c r="G3779" s="9">
        <f t="shared" si="177"/>
        <v>1.8203305846846481E-2</v>
      </c>
    </row>
    <row r="3780" spans="1:7" x14ac:dyDescent="0.2">
      <c r="A3780" s="12">
        <v>42404</v>
      </c>
      <c r="B3780" s="9">
        <v>936.65</v>
      </c>
      <c r="C3780" s="9">
        <v>896.33</v>
      </c>
      <c r="D3780" s="9">
        <v>909.16</v>
      </c>
      <c r="E3780" s="9">
        <f t="shared" ref="E3780:E3843" si="178">LN(D3780/D3779)</f>
        <v>-1.4837245620149486E-2</v>
      </c>
      <c r="F3780" s="9">
        <f t="shared" si="176"/>
        <v>-8.5204048654821035E-2</v>
      </c>
      <c r="G3780" s="9">
        <f t="shared" si="177"/>
        <v>1.8312432666671461E-2</v>
      </c>
    </row>
    <row r="3781" spans="1:7" x14ac:dyDescent="0.2">
      <c r="A3781" s="12">
        <v>42405</v>
      </c>
      <c r="B3781" s="9">
        <v>914.2</v>
      </c>
      <c r="C3781" s="9">
        <v>894.94</v>
      </c>
      <c r="D3781" s="9">
        <v>899.99</v>
      </c>
      <c r="E3781" s="9">
        <f t="shared" si="178"/>
        <v>-1.0137444138487666E-2</v>
      </c>
      <c r="F3781" s="9">
        <f t="shared" si="176"/>
        <v>-9.4644294189777406E-2</v>
      </c>
      <c r="G3781" s="9">
        <f t="shared" si="177"/>
        <v>1.8355398014848069E-2</v>
      </c>
    </row>
    <row r="3782" spans="1:7" x14ac:dyDescent="0.2">
      <c r="A3782" s="12">
        <v>42408</v>
      </c>
      <c r="B3782" s="9">
        <v>899.96</v>
      </c>
      <c r="C3782" s="9">
        <v>853.32</v>
      </c>
      <c r="D3782" s="9">
        <v>853.32</v>
      </c>
      <c r="E3782" s="9">
        <f t="shared" si="178"/>
        <v>-5.3249028468043816E-2</v>
      </c>
      <c r="F3782" s="9">
        <f t="shared" si="176"/>
        <v>-0.1383669262714422</v>
      </c>
      <c r="G3782" s="9">
        <f t="shared" si="177"/>
        <v>2.0490376037677234E-2</v>
      </c>
    </row>
    <row r="3783" spans="1:7" x14ac:dyDescent="0.2">
      <c r="A3783" s="12">
        <v>42409</v>
      </c>
      <c r="B3783" s="9">
        <v>856.24</v>
      </c>
      <c r="C3783" s="9">
        <v>821.27</v>
      </c>
      <c r="D3783" s="9">
        <v>833.31</v>
      </c>
      <c r="E3783" s="9">
        <f t="shared" si="178"/>
        <v>-2.3728901887251953E-2</v>
      </c>
      <c r="F3783" s="9">
        <f t="shared" si="176"/>
        <v>-0.18214953718329494</v>
      </c>
      <c r="G3783" s="9">
        <f t="shared" si="177"/>
        <v>2.0230525825621078E-2</v>
      </c>
    </row>
    <row r="3784" spans="1:7" x14ac:dyDescent="0.2">
      <c r="A3784" s="12">
        <v>42410</v>
      </c>
      <c r="B3784" s="9">
        <v>878.83</v>
      </c>
      <c r="C3784" s="9">
        <v>832.37</v>
      </c>
      <c r="D3784" s="9">
        <v>873.14</v>
      </c>
      <c r="E3784" s="9">
        <f t="shared" si="178"/>
        <v>4.6690187738205227E-2</v>
      </c>
      <c r="F3784" s="9">
        <f t="shared" si="176"/>
        <v>-0.1373479430046565</v>
      </c>
      <c r="G3784" s="9">
        <f t="shared" si="177"/>
        <v>2.2378015027529233E-2</v>
      </c>
    </row>
    <row r="3785" spans="1:7" x14ac:dyDescent="0.2">
      <c r="A3785" s="12">
        <v>42411</v>
      </c>
      <c r="B3785" s="9">
        <v>873.02</v>
      </c>
      <c r="C3785" s="9">
        <v>844.3</v>
      </c>
      <c r="D3785" s="9">
        <v>849.31</v>
      </c>
      <c r="E3785" s="9">
        <f t="shared" si="178"/>
        <v>-2.7671654415285536E-2</v>
      </c>
      <c r="F3785" s="9">
        <f t="shared" si="176"/>
        <v>-0.1773226824897787</v>
      </c>
      <c r="G3785" s="9">
        <f t="shared" si="177"/>
        <v>2.2527798781700959E-2</v>
      </c>
    </row>
    <row r="3786" spans="1:7" x14ac:dyDescent="0.2">
      <c r="A3786" s="12">
        <v>42412</v>
      </c>
      <c r="B3786" s="9">
        <v>869.42</v>
      </c>
      <c r="C3786" s="9">
        <v>849.43</v>
      </c>
      <c r="D3786" s="9">
        <v>860.47</v>
      </c>
      <c r="E3786" s="9">
        <f t="shared" si="178"/>
        <v>1.3054496473273352E-2</v>
      </c>
      <c r="F3786" s="9">
        <f t="shared" si="176"/>
        <v>-0.16434707136655058</v>
      </c>
      <c r="G3786" s="9">
        <f t="shared" si="177"/>
        <v>2.2770021583446497E-2</v>
      </c>
    </row>
    <row r="3787" spans="1:7" x14ac:dyDescent="0.2">
      <c r="A3787" s="12">
        <v>42415</v>
      </c>
      <c r="B3787" s="9">
        <v>905.97</v>
      </c>
      <c r="C3787" s="9">
        <v>860.47</v>
      </c>
      <c r="D3787" s="9">
        <v>905.88</v>
      </c>
      <c r="E3787" s="9">
        <f t="shared" si="178"/>
        <v>5.1428095347165505E-2</v>
      </c>
      <c r="F3787" s="9">
        <f t="shared" si="176"/>
        <v>-9.6966662624584962E-2</v>
      </c>
      <c r="G3787" s="9">
        <f t="shared" si="177"/>
        <v>2.4922659333718448E-2</v>
      </c>
    </row>
    <row r="3788" spans="1:7" x14ac:dyDescent="0.2">
      <c r="A3788" s="12">
        <v>42416</v>
      </c>
      <c r="B3788" s="9">
        <v>920.78</v>
      </c>
      <c r="C3788" s="9">
        <v>893.12</v>
      </c>
      <c r="D3788" s="9">
        <v>895.08</v>
      </c>
      <c r="E3788" s="9">
        <f t="shared" si="178"/>
        <v>-1.1993747184461546E-2</v>
      </c>
      <c r="F3788" s="9">
        <f t="shared" si="176"/>
        <v>-0.12362019158628013</v>
      </c>
      <c r="G3788" s="9">
        <f t="shared" si="177"/>
        <v>2.4737232628839013E-2</v>
      </c>
    </row>
    <row r="3789" spans="1:7" x14ac:dyDescent="0.2">
      <c r="A3789" s="12">
        <v>42417</v>
      </c>
      <c r="B3789" s="9">
        <v>917.4</v>
      </c>
      <c r="C3789" s="9">
        <v>899.45</v>
      </c>
      <c r="D3789" s="9">
        <v>916.78</v>
      </c>
      <c r="E3789" s="9">
        <f t="shared" si="178"/>
        <v>2.3954430958726035E-2</v>
      </c>
      <c r="F3789" s="9">
        <f t="shared" si="176"/>
        <v>-9.0371672350869639E-2</v>
      </c>
      <c r="G3789" s="9">
        <f t="shared" si="177"/>
        <v>2.523721124068725E-2</v>
      </c>
    </row>
    <row r="3790" spans="1:7" x14ac:dyDescent="0.2">
      <c r="A3790" s="12">
        <v>42418</v>
      </c>
      <c r="B3790" s="9">
        <v>929.23</v>
      </c>
      <c r="C3790" s="9">
        <v>915.62</v>
      </c>
      <c r="D3790" s="9">
        <v>922.03</v>
      </c>
      <c r="E3790" s="9">
        <f t="shared" si="178"/>
        <v>5.7102302744020594E-3</v>
      </c>
      <c r="F3790" s="9">
        <f t="shared" si="176"/>
        <v>-6.6469889121662448E-2</v>
      </c>
      <c r="G3790" s="9">
        <f t="shared" si="177"/>
        <v>2.5118492983205173E-2</v>
      </c>
    </row>
    <row r="3791" spans="1:7" x14ac:dyDescent="0.2">
      <c r="A3791" s="12">
        <v>42419</v>
      </c>
      <c r="B3791" s="9">
        <v>927.77</v>
      </c>
      <c r="C3791" s="9">
        <v>909.03</v>
      </c>
      <c r="D3791" s="9">
        <v>913.3</v>
      </c>
      <c r="E3791" s="9">
        <f t="shared" si="178"/>
        <v>-9.5133472905670514E-3</v>
      </c>
      <c r="F3791" s="9">
        <f t="shared" si="176"/>
        <v>-5.9973892622443299E-2</v>
      </c>
      <c r="G3791" s="9">
        <f t="shared" si="177"/>
        <v>2.5023303600601999E-2</v>
      </c>
    </row>
    <row r="3792" spans="1:7" x14ac:dyDescent="0.2">
      <c r="A3792" s="12">
        <v>42422</v>
      </c>
      <c r="B3792" s="9">
        <v>936.33</v>
      </c>
      <c r="C3792" s="9">
        <v>918.76</v>
      </c>
      <c r="D3792" s="9">
        <v>934.52</v>
      </c>
      <c r="E3792" s="9">
        <f t="shared" si="178"/>
        <v>2.2968614788123246E-2</v>
      </c>
      <c r="F3792" s="9">
        <f t="shared" si="176"/>
        <v>-2.243195463657344E-2</v>
      </c>
      <c r="G3792" s="9">
        <f t="shared" si="177"/>
        <v>2.5309875401758761E-2</v>
      </c>
    </row>
    <row r="3793" spans="1:7" x14ac:dyDescent="0.2">
      <c r="A3793" s="12">
        <v>42423</v>
      </c>
      <c r="B3793" s="9">
        <v>945.82</v>
      </c>
      <c r="C3793" s="9">
        <v>925.11</v>
      </c>
      <c r="D3793" s="9">
        <v>940.13</v>
      </c>
      <c r="E3793" s="9">
        <f t="shared" si="178"/>
        <v>5.9851350883643357E-3</v>
      </c>
      <c r="F3793" s="9">
        <f t="shared" si="176"/>
        <v>-3.0535364264751591E-2</v>
      </c>
      <c r="G3793" s="9">
        <f t="shared" si="177"/>
        <v>2.5189031237928323E-2</v>
      </c>
    </row>
    <row r="3794" spans="1:7" x14ac:dyDescent="0.2">
      <c r="A3794" s="12">
        <v>42424</v>
      </c>
      <c r="B3794" s="9">
        <v>939.33</v>
      </c>
      <c r="C3794" s="9">
        <v>906.8</v>
      </c>
      <c r="D3794" s="9">
        <v>909.51</v>
      </c>
      <c r="E3794" s="9">
        <f t="shared" si="178"/>
        <v>-3.3112170624162621E-2</v>
      </c>
      <c r="F3794" s="9">
        <f t="shared" si="176"/>
        <v>-6.0692529380684514E-2</v>
      </c>
      <c r="G3794" s="9">
        <f t="shared" si="177"/>
        <v>2.5861774154822555E-2</v>
      </c>
    </row>
    <row r="3795" spans="1:7" x14ac:dyDescent="0.2">
      <c r="A3795" s="12">
        <v>42425</v>
      </c>
      <c r="B3795" s="9">
        <v>935.99</v>
      </c>
      <c r="C3795" s="9">
        <v>909.92</v>
      </c>
      <c r="D3795" s="9">
        <v>930.51</v>
      </c>
      <c r="E3795" s="9">
        <f t="shared" si="178"/>
        <v>2.282682998486275E-2</v>
      </c>
      <c r="F3795" s="9">
        <f t="shared" si="176"/>
        <v>-2.4175846590096355E-2</v>
      </c>
      <c r="G3795" s="9">
        <f t="shared" si="177"/>
        <v>2.6151458933879396E-2</v>
      </c>
    </row>
    <row r="3796" spans="1:7" x14ac:dyDescent="0.2">
      <c r="A3796" s="12">
        <v>42426</v>
      </c>
      <c r="B3796" s="9">
        <v>948.14</v>
      </c>
      <c r="C3796" s="9">
        <v>931.99</v>
      </c>
      <c r="D3796" s="9">
        <v>947.03</v>
      </c>
      <c r="E3796" s="9">
        <f t="shared" si="178"/>
        <v>1.7597948735761152E-2</v>
      </c>
      <c r="F3796" s="9">
        <f t="shared" si="176"/>
        <v>2.9957601961079623E-2</v>
      </c>
      <c r="G3796" s="9">
        <f t="shared" si="177"/>
        <v>2.5459553793203488E-2</v>
      </c>
    </row>
    <row r="3797" spans="1:7" x14ac:dyDescent="0.2">
      <c r="A3797" s="12">
        <v>42429</v>
      </c>
      <c r="B3797" s="9">
        <v>952.1</v>
      </c>
      <c r="C3797" s="9">
        <v>936.96</v>
      </c>
      <c r="D3797" s="9">
        <v>947.68</v>
      </c>
      <c r="E3797" s="9">
        <f t="shared" si="178"/>
        <v>6.8612085807277421E-4</v>
      </c>
      <c r="F3797" s="9">
        <f t="shared" si="176"/>
        <v>2.9480192297451479E-2</v>
      </c>
      <c r="G3797" s="9">
        <f t="shared" si="177"/>
        <v>2.545959634283132E-2</v>
      </c>
    </row>
    <row r="3798" spans="1:7" x14ac:dyDescent="0.2">
      <c r="A3798" s="12">
        <v>42430</v>
      </c>
      <c r="B3798" s="9">
        <v>961.4</v>
      </c>
      <c r="C3798" s="9">
        <v>941.61</v>
      </c>
      <c r="D3798" s="9">
        <v>961.4</v>
      </c>
      <c r="E3798" s="9">
        <f t="shared" si="178"/>
        <v>1.4373662931205278E-2</v>
      </c>
      <c r="F3798" s="9">
        <f t="shared" si="176"/>
        <v>3.0961178912910489E-2</v>
      </c>
      <c r="G3798" s="9">
        <f t="shared" si="177"/>
        <v>2.5484909431807347E-2</v>
      </c>
    </row>
    <row r="3799" spans="1:7" x14ac:dyDescent="0.2">
      <c r="A3799" s="12">
        <v>42431</v>
      </c>
      <c r="B3799" s="9">
        <v>980.42</v>
      </c>
      <c r="C3799" s="9">
        <v>958.11</v>
      </c>
      <c r="D3799" s="9">
        <v>964.46</v>
      </c>
      <c r="E3799" s="9">
        <f t="shared" si="178"/>
        <v>3.1778037605028364E-3</v>
      </c>
      <c r="F3799" s="9">
        <f t="shared" si="176"/>
        <v>6.7996511154413283E-2</v>
      </c>
      <c r="G3799" s="9">
        <f t="shared" si="177"/>
        <v>2.4618845802840662E-2</v>
      </c>
    </row>
    <row r="3800" spans="1:7" x14ac:dyDescent="0.2">
      <c r="A3800" s="12">
        <v>42432</v>
      </c>
      <c r="B3800" s="9">
        <v>971.54</v>
      </c>
      <c r="C3800" s="9">
        <v>947.41</v>
      </c>
      <c r="D3800" s="9">
        <v>951.95</v>
      </c>
      <c r="E3800" s="9">
        <f t="shared" si="178"/>
        <v>-1.3055846816677565E-2</v>
      </c>
      <c r="F3800" s="9">
        <f t="shared" si="176"/>
        <v>2.5955029987450768E-2</v>
      </c>
      <c r="G3800" s="9">
        <f t="shared" si="177"/>
        <v>2.4239103270646472E-2</v>
      </c>
    </row>
    <row r="3801" spans="1:7" x14ac:dyDescent="0.2">
      <c r="A3801" s="12">
        <v>42433</v>
      </c>
      <c r="B3801" s="9">
        <v>998.76</v>
      </c>
      <c r="C3801" s="9">
        <v>942.92</v>
      </c>
      <c r="D3801" s="9">
        <v>980.92</v>
      </c>
      <c r="E3801" s="9">
        <f t="shared" si="178"/>
        <v>2.9978394396993634E-2</v>
      </c>
      <c r="F3801" s="9">
        <f t="shared" si="176"/>
        <v>3.0671948574560241E-2</v>
      </c>
      <c r="G3801" s="9">
        <f t="shared" si="177"/>
        <v>2.4417452894071281E-2</v>
      </c>
    </row>
    <row r="3802" spans="1:7" x14ac:dyDescent="0.2">
      <c r="A3802" s="12">
        <v>42436</v>
      </c>
      <c r="B3802" s="9">
        <v>990.83</v>
      </c>
      <c r="C3802" s="9">
        <v>978.9</v>
      </c>
      <c r="D3802" s="9">
        <v>988</v>
      </c>
      <c r="E3802" s="9">
        <f t="shared" si="178"/>
        <v>7.1917909471887935E-3</v>
      </c>
      <c r="F3802" s="9">
        <f t="shared" si="176"/>
        <v>2.7833166501633009E-2</v>
      </c>
      <c r="G3802" s="9">
        <f t="shared" si="177"/>
        <v>2.43868207342221E-2</v>
      </c>
    </row>
    <row r="3803" spans="1:7" x14ac:dyDescent="0.2">
      <c r="A3803" s="12">
        <v>42437</v>
      </c>
      <c r="B3803" s="9">
        <v>987.67</v>
      </c>
      <c r="C3803" s="9">
        <v>963.76</v>
      </c>
      <c r="D3803" s="9">
        <v>973.05</v>
      </c>
      <c r="E3803" s="9">
        <f t="shared" si="178"/>
        <v>-1.5247229420693792E-2</v>
      </c>
      <c r="F3803" s="9">
        <f t="shared" si="176"/>
        <v>1.0942961470369056E-2</v>
      </c>
      <c r="G3803" s="9">
        <f t="shared" si="177"/>
        <v>2.4564063744294162E-2</v>
      </c>
    </row>
    <row r="3804" spans="1:7" x14ac:dyDescent="0.2">
      <c r="A3804" s="12">
        <v>42438</v>
      </c>
      <c r="B3804" s="9">
        <v>979.96</v>
      </c>
      <c r="C3804" s="9">
        <v>968.87</v>
      </c>
      <c r="D3804" s="9">
        <v>970.85</v>
      </c>
      <c r="E3804" s="9">
        <f t="shared" si="178"/>
        <v>-2.2634918867112746E-3</v>
      </c>
      <c r="F3804" s="9">
        <f t="shared" si="176"/>
        <v>1.8248086180059383E-3</v>
      </c>
      <c r="G3804" s="9">
        <f t="shared" si="177"/>
        <v>2.4537389651179718E-2</v>
      </c>
    </row>
    <row r="3805" spans="1:7" x14ac:dyDescent="0.2">
      <c r="A3805" s="12">
        <v>42439</v>
      </c>
      <c r="B3805" s="9">
        <v>991.15</v>
      </c>
      <c r="C3805" s="9">
        <v>962.34</v>
      </c>
      <c r="D3805" s="9">
        <v>962.34</v>
      </c>
      <c r="E3805" s="9">
        <f t="shared" si="178"/>
        <v>-8.8041578631210971E-3</v>
      </c>
      <c r="F3805" s="9">
        <f t="shared" si="176"/>
        <v>1.3664016067008601E-2</v>
      </c>
      <c r="G3805" s="9">
        <f t="shared" si="177"/>
        <v>2.4286844307844026E-2</v>
      </c>
    </row>
    <row r="3806" spans="1:7" x14ac:dyDescent="0.2">
      <c r="A3806" s="12">
        <v>42440</v>
      </c>
      <c r="B3806" s="9">
        <v>976.36</v>
      </c>
      <c r="C3806" s="9">
        <v>962.79</v>
      </c>
      <c r="D3806" s="9">
        <v>974.23</v>
      </c>
      <c r="E3806" s="9">
        <f t="shared" si="178"/>
        <v>1.2279596819009439E-2</v>
      </c>
      <c r="F3806" s="9">
        <f t="shared" si="176"/>
        <v>1.6128290148143445E-3</v>
      </c>
      <c r="G3806" s="9">
        <f t="shared" si="177"/>
        <v>2.397600211471666E-2</v>
      </c>
    </row>
    <row r="3807" spans="1:7" x14ac:dyDescent="0.2">
      <c r="A3807" s="12">
        <v>42443</v>
      </c>
      <c r="B3807" s="9">
        <v>988.59</v>
      </c>
      <c r="C3807" s="9">
        <v>974.63</v>
      </c>
      <c r="D3807" s="9">
        <v>987.59</v>
      </c>
      <c r="E3807" s="9">
        <f t="shared" si="178"/>
        <v>1.3620216466503868E-2</v>
      </c>
      <c r="F3807" s="9">
        <f t="shared" si="176"/>
        <v>1.374339825217955E-2</v>
      </c>
      <c r="G3807" s="9">
        <f t="shared" si="177"/>
        <v>2.4103007085633555E-2</v>
      </c>
    </row>
    <row r="3808" spans="1:7" x14ac:dyDescent="0.2">
      <c r="A3808" s="12">
        <v>42444</v>
      </c>
      <c r="B3808" s="9">
        <v>987.59</v>
      </c>
      <c r="C3808" s="9">
        <v>973.33</v>
      </c>
      <c r="D3808" s="9">
        <v>974.01</v>
      </c>
      <c r="E3808" s="9">
        <f t="shared" si="178"/>
        <v>-1.3846061332572922E-2</v>
      </c>
      <c r="F3808" s="9">
        <f t="shared" si="176"/>
        <v>9.8946861554313446E-3</v>
      </c>
      <c r="G3808" s="9">
        <f t="shared" si="177"/>
        <v>2.4170723619626962E-2</v>
      </c>
    </row>
    <row r="3809" spans="1:7" x14ac:dyDescent="0.2">
      <c r="A3809" s="12">
        <v>42445</v>
      </c>
      <c r="B3809" s="9">
        <v>978.43</v>
      </c>
      <c r="C3809" s="9">
        <v>967.83</v>
      </c>
      <c r="D3809" s="9">
        <v>973.69</v>
      </c>
      <c r="E3809" s="9">
        <f t="shared" si="178"/>
        <v>-3.285927020374907E-4</v>
      </c>
      <c r="F3809" s="9">
        <f t="shared" ref="F3809:F3872" si="179">LN(D3809/D3779)</f>
        <v>5.3734635918136806E-2</v>
      </c>
      <c r="G3809" s="9">
        <f t="shared" si="177"/>
        <v>2.2666059097651046E-2</v>
      </c>
    </row>
    <row r="3810" spans="1:7" x14ac:dyDescent="0.2">
      <c r="A3810" s="12">
        <v>42446</v>
      </c>
      <c r="B3810" s="9">
        <v>973.69</v>
      </c>
      <c r="C3810" s="9">
        <v>946.53</v>
      </c>
      <c r="D3810" s="9">
        <v>956.41</v>
      </c>
      <c r="E3810" s="9">
        <f t="shared" si="178"/>
        <v>-1.7906286422534938E-2</v>
      </c>
      <c r="F3810" s="9">
        <f t="shared" si="179"/>
        <v>5.0665595115751388E-2</v>
      </c>
      <c r="G3810" s="9">
        <f t="shared" si="177"/>
        <v>2.2750466715188943E-2</v>
      </c>
    </row>
    <row r="3811" spans="1:7" x14ac:dyDescent="0.2">
      <c r="A3811" s="12">
        <v>42447</v>
      </c>
      <c r="B3811" s="9">
        <v>960.15</v>
      </c>
      <c r="C3811" s="9">
        <v>948.86</v>
      </c>
      <c r="D3811" s="9">
        <v>954.79</v>
      </c>
      <c r="E3811" s="9">
        <f t="shared" si="178"/>
        <v>-1.6952703934513796E-3</v>
      </c>
      <c r="F3811" s="9">
        <f t="shared" si="179"/>
        <v>5.9107768860787654E-2</v>
      </c>
      <c r="G3811" s="9">
        <f t="shared" si="177"/>
        <v>2.2651135044011297E-2</v>
      </c>
    </row>
    <row r="3812" spans="1:7" x14ac:dyDescent="0.2">
      <c r="A3812" s="12">
        <v>42450</v>
      </c>
      <c r="B3812" s="9">
        <v>955.61</v>
      </c>
      <c r="C3812" s="9">
        <v>942.22</v>
      </c>
      <c r="D3812" s="9">
        <v>946.69</v>
      </c>
      <c r="E3812" s="9">
        <f t="shared" si="178"/>
        <v>-8.5197309415465227E-3</v>
      </c>
      <c r="F3812" s="9">
        <f t="shared" si="179"/>
        <v>0.10383706638728488</v>
      </c>
      <c r="G3812" s="9">
        <f t="shared" si="177"/>
        <v>2.0234251852882908E-2</v>
      </c>
    </row>
    <row r="3813" spans="1:7" x14ac:dyDescent="0.2">
      <c r="A3813" s="12">
        <v>42451</v>
      </c>
      <c r="B3813" s="9">
        <v>951.21</v>
      </c>
      <c r="C3813" s="9">
        <v>926.38</v>
      </c>
      <c r="D3813" s="9">
        <v>950.03</v>
      </c>
      <c r="E3813" s="9">
        <f t="shared" si="178"/>
        <v>3.5218729726386624E-3</v>
      </c>
      <c r="F3813" s="9">
        <f t="shared" si="179"/>
        <v>0.1310878412471754</v>
      </c>
      <c r="G3813" s="9">
        <f t="shared" si="177"/>
        <v>1.9572385636454508E-2</v>
      </c>
    </row>
    <row r="3814" spans="1:7" x14ac:dyDescent="0.2">
      <c r="A3814" s="12">
        <v>42452</v>
      </c>
      <c r="B3814" s="9">
        <v>957.94</v>
      </c>
      <c r="C3814" s="9">
        <v>949.64</v>
      </c>
      <c r="D3814" s="9">
        <v>951.76</v>
      </c>
      <c r="E3814" s="9">
        <f t="shared" si="178"/>
        <v>1.8193391249200139E-3</v>
      </c>
      <c r="F3814" s="9">
        <f t="shared" si="179"/>
        <v>8.6216992633890099E-2</v>
      </c>
      <c r="G3814" s="9">
        <f t="shared" si="177"/>
        <v>1.7866968379213199E-2</v>
      </c>
    </row>
    <row r="3815" spans="1:7" x14ac:dyDescent="0.2">
      <c r="A3815" s="12">
        <v>42458</v>
      </c>
      <c r="B3815" s="9">
        <v>951.77</v>
      </c>
      <c r="C3815" s="9">
        <v>936.77</v>
      </c>
      <c r="D3815" s="9">
        <v>948.35</v>
      </c>
      <c r="E3815" s="9">
        <f t="shared" si="178"/>
        <v>-3.5892697379392093E-3</v>
      </c>
      <c r="F3815" s="9">
        <f t="shared" si="179"/>
        <v>0.11029937731123653</v>
      </c>
      <c r="G3815" s="9">
        <f t="shared" ref="G3815:G3878" si="180">STDEV(E3786:E3815)</f>
        <v>1.6965520664872117E-2</v>
      </c>
    </row>
    <row r="3816" spans="1:7" x14ac:dyDescent="0.2">
      <c r="A3816" s="12">
        <v>42459</v>
      </c>
      <c r="B3816" s="9">
        <v>960.53</v>
      </c>
      <c r="C3816" s="9">
        <v>948.35</v>
      </c>
      <c r="D3816" s="9">
        <v>955.35</v>
      </c>
      <c r="E3816" s="9">
        <f t="shared" si="178"/>
        <v>7.3541330551531222E-3</v>
      </c>
      <c r="F3816" s="9">
        <f t="shared" si="179"/>
        <v>0.10459901389311627</v>
      </c>
      <c r="G3816" s="9">
        <f t="shared" si="180"/>
        <v>1.6888615369524611E-2</v>
      </c>
    </row>
    <row r="3817" spans="1:7" x14ac:dyDescent="0.2">
      <c r="A3817" s="12">
        <v>42460</v>
      </c>
      <c r="B3817" s="9">
        <v>957.63</v>
      </c>
      <c r="C3817" s="9">
        <v>947.72</v>
      </c>
      <c r="D3817" s="9">
        <v>948.21</v>
      </c>
      <c r="E3817" s="9">
        <f t="shared" si="178"/>
        <v>-7.5017687748289786E-3</v>
      </c>
      <c r="F3817" s="9">
        <f t="shared" si="179"/>
        <v>4.5669149771121631E-2</v>
      </c>
      <c r="G3817" s="9">
        <f t="shared" si="180"/>
        <v>1.4357670267534687E-2</v>
      </c>
    </row>
    <row r="3818" spans="1:7" x14ac:dyDescent="0.2">
      <c r="A3818" s="12">
        <v>42461</v>
      </c>
      <c r="B3818" s="9">
        <v>951.97</v>
      </c>
      <c r="C3818" s="9">
        <v>938.07</v>
      </c>
      <c r="D3818" s="9">
        <v>950.52</v>
      </c>
      <c r="E3818" s="9">
        <f t="shared" si="178"/>
        <v>2.4332065535330985E-3</v>
      </c>
      <c r="F3818" s="9">
        <f t="shared" si="179"/>
        <v>6.0096103509116337E-2</v>
      </c>
      <c r="G3818" s="9">
        <f t="shared" si="180"/>
        <v>1.4129141254657947E-2</v>
      </c>
    </row>
    <row r="3819" spans="1:7" x14ac:dyDescent="0.2">
      <c r="A3819" s="12">
        <v>42464</v>
      </c>
      <c r="B3819" s="9">
        <v>969.93</v>
      </c>
      <c r="C3819" s="9">
        <v>950.43</v>
      </c>
      <c r="D3819" s="9">
        <v>961.8</v>
      </c>
      <c r="E3819" s="9">
        <f t="shared" si="178"/>
        <v>1.1797325579373611E-2</v>
      </c>
      <c r="F3819" s="9">
        <f t="shared" si="179"/>
        <v>4.7938998129763925E-2</v>
      </c>
      <c r="G3819" s="9">
        <f t="shared" si="180"/>
        <v>1.3643854594071362E-2</v>
      </c>
    </row>
    <row r="3820" spans="1:7" x14ac:dyDescent="0.2">
      <c r="A3820" s="12">
        <v>42465</v>
      </c>
      <c r="B3820" s="9">
        <v>961.8</v>
      </c>
      <c r="C3820" s="9">
        <v>941.29</v>
      </c>
      <c r="D3820" s="9">
        <v>949.55</v>
      </c>
      <c r="E3820" s="9">
        <f t="shared" si="178"/>
        <v>-1.2818340683308178E-2</v>
      </c>
      <c r="F3820" s="9">
        <f t="shared" si="179"/>
        <v>2.9410427172053662E-2</v>
      </c>
      <c r="G3820" s="9">
        <f t="shared" si="180"/>
        <v>1.3868798872241744E-2</v>
      </c>
    </row>
    <row r="3821" spans="1:7" x14ac:dyDescent="0.2">
      <c r="A3821" s="12">
        <v>42466</v>
      </c>
      <c r="B3821" s="9">
        <v>956.67</v>
      </c>
      <c r="C3821" s="9">
        <v>945.37</v>
      </c>
      <c r="D3821" s="9">
        <v>956.12</v>
      </c>
      <c r="E3821" s="9">
        <f t="shared" si="178"/>
        <v>6.8952400263454913E-3</v>
      </c>
      <c r="F3821" s="9">
        <f t="shared" si="179"/>
        <v>4.5819014488966199E-2</v>
      </c>
      <c r="G3821" s="9">
        <f t="shared" si="180"/>
        <v>1.3763842535445367E-2</v>
      </c>
    </row>
    <row r="3822" spans="1:7" x14ac:dyDescent="0.2">
      <c r="A3822" s="12">
        <v>42467</v>
      </c>
      <c r="B3822" s="9">
        <v>965.71</v>
      </c>
      <c r="C3822" s="9">
        <v>952.59</v>
      </c>
      <c r="D3822" s="9">
        <v>954.93</v>
      </c>
      <c r="E3822" s="9">
        <f t="shared" si="178"/>
        <v>-1.2453888216497303E-3</v>
      </c>
      <c r="F3822" s="9">
        <f t="shared" si="179"/>
        <v>2.1605010879193125E-2</v>
      </c>
      <c r="G3822" s="9">
        <f t="shared" si="180"/>
        <v>1.3159854565492388E-2</v>
      </c>
    </row>
    <row r="3823" spans="1:7" x14ac:dyDescent="0.2">
      <c r="A3823" s="12">
        <v>42468</v>
      </c>
      <c r="B3823" s="9">
        <v>957.98</v>
      </c>
      <c r="C3823" s="9">
        <v>947.96</v>
      </c>
      <c r="D3823" s="9">
        <v>956.91</v>
      </c>
      <c r="E3823" s="9">
        <f t="shared" si="178"/>
        <v>2.0713037784536301E-3</v>
      </c>
      <c r="F3823" s="9">
        <f t="shared" si="179"/>
        <v>1.7691179569282466E-2</v>
      </c>
      <c r="G3823" s="9">
        <f t="shared" si="180"/>
        <v>1.3125214576501476E-2</v>
      </c>
    </row>
    <row r="3824" spans="1:7" x14ac:dyDescent="0.2">
      <c r="A3824" s="12">
        <v>42471</v>
      </c>
      <c r="B3824" s="9">
        <v>959.09</v>
      </c>
      <c r="C3824" s="9">
        <v>947.71</v>
      </c>
      <c r="D3824" s="9">
        <v>952.95</v>
      </c>
      <c r="E3824" s="9">
        <f t="shared" si="178"/>
        <v>-4.1469067627512811E-3</v>
      </c>
      <c r="F3824" s="9">
        <f t="shared" si="179"/>
        <v>4.6656443430693625E-2</v>
      </c>
      <c r="G3824" s="9">
        <f t="shared" si="180"/>
        <v>1.1528853262626437E-2</v>
      </c>
    </row>
    <row r="3825" spans="1:7" x14ac:dyDescent="0.2">
      <c r="A3825" s="12">
        <v>42472</v>
      </c>
      <c r="B3825" s="9">
        <v>953.06</v>
      </c>
      <c r="C3825" s="9">
        <v>941.59</v>
      </c>
      <c r="D3825" s="9">
        <v>945.32</v>
      </c>
      <c r="E3825" s="9">
        <f t="shared" si="178"/>
        <v>-8.0389418685664939E-3</v>
      </c>
      <c r="F3825" s="9">
        <f t="shared" si="179"/>
        <v>1.5790671577264298E-2</v>
      </c>
      <c r="G3825" s="9">
        <f t="shared" si="180"/>
        <v>1.09266030439953E-2</v>
      </c>
    </row>
    <row r="3826" spans="1:7" x14ac:dyDescent="0.2">
      <c r="A3826" s="12">
        <v>42473</v>
      </c>
      <c r="B3826" s="9">
        <v>954.09</v>
      </c>
      <c r="C3826" s="9">
        <v>946.59</v>
      </c>
      <c r="D3826" s="9">
        <v>949.43</v>
      </c>
      <c r="E3826" s="9">
        <f t="shared" si="178"/>
        <v>4.3383100104686378E-3</v>
      </c>
      <c r="F3826" s="9">
        <f t="shared" si="179"/>
        <v>2.5310328519719243E-3</v>
      </c>
      <c r="G3826" s="9">
        <f t="shared" si="180"/>
        <v>1.0470912213842037E-2</v>
      </c>
    </row>
    <row r="3827" spans="1:7" x14ac:dyDescent="0.2">
      <c r="A3827" s="12">
        <v>42474</v>
      </c>
      <c r="B3827" s="9">
        <v>959.53</v>
      </c>
      <c r="C3827" s="9">
        <v>949.55</v>
      </c>
      <c r="D3827" s="9">
        <v>957.99</v>
      </c>
      <c r="E3827" s="9">
        <f t="shared" si="178"/>
        <v>8.9755349804646542E-3</v>
      </c>
      <c r="F3827" s="9">
        <f t="shared" si="179"/>
        <v>1.0820446974363827E-2</v>
      </c>
      <c r="G3827" s="9">
        <f t="shared" si="180"/>
        <v>1.0595965958606292E-2</v>
      </c>
    </row>
    <row r="3828" spans="1:7" x14ac:dyDescent="0.2">
      <c r="A3828" s="12">
        <v>42475</v>
      </c>
      <c r="B3828" s="9">
        <v>959.51</v>
      </c>
      <c r="C3828" s="9">
        <v>949.46</v>
      </c>
      <c r="D3828" s="9">
        <v>956.44</v>
      </c>
      <c r="E3828" s="9">
        <f t="shared" si="178"/>
        <v>-1.6192812886176861E-3</v>
      </c>
      <c r="F3828" s="9">
        <f t="shared" si="179"/>
        <v>-5.1724972454592847E-3</v>
      </c>
      <c r="G3828" s="9">
        <f t="shared" si="180"/>
        <v>1.026374795530894E-2</v>
      </c>
    </row>
    <row r="3829" spans="1:7" x14ac:dyDescent="0.2">
      <c r="A3829" s="12">
        <v>42478</v>
      </c>
      <c r="B3829" s="9">
        <v>961.71</v>
      </c>
      <c r="C3829" s="9">
        <v>946.69</v>
      </c>
      <c r="D3829" s="9">
        <v>961.05</v>
      </c>
      <c r="E3829" s="9">
        <f t="shared" si="178"/>
        <v>4.8083785387391447E-3</v>
      </c>
      <c r="F3829" s="9">
        <f t="shared" si="179"/>
        <v>-3.5419224672229442E-3</v>
      </c>
      <c r="G3829" s="9">
        <f t="shared" si="180"/>
        <v>1.0286393521134843E-2</v>
      </c>
    </row>
    <row r="3830" spans="1:7" x14ac:dyDescent="0.2">
      <c r="A3830" s="12">
        <v>42479</v>
      </c>
      <c r="B3830" s="9">
        <v>980.8</v>
      </c>
      <c r="C3830" s="9">
        <v>961.05</v>
      </c>
      <c r="D3830" s="9">
        <v>978.31</v>
      </c>
      <c r="E3830" s="9">
        <f t="shared" si="178"/>
        <v>1.7800156471350144E-2</v>
      </c>
      <c r="F3830" s="9">
        <f t="shared" si="179"/>
        <v>2.7314080820804804E-2</v>
      </c>
      <c r="G3830" s="9">
        <f t="shared" si="180"/>
        <v>1.0488790129276625E-2</v>
      </c>
    </row>
    <row r="3831" spans="1:7" x14ac:dyDescent="0.2">
      <c r="A3831" s="12">
        <v>42480</v>
      </c>
      <c r="B3831" s="9">
        <v>980.06</v>
      </c>
      <c r="C3831" s="9">
        <v>964.85</v>
      </c>
      <c r="D3831" s="9">
        <v>965.1</v>
      </c>
      <c r="E3831" s="9">
        <f t="shared" si="178"/>
        <v>-1.3594870311400017E-2</v>
      </c>
      <c r="F3831" s="9">
        <f t="shared" si="179"/>
        <v>-1.6259183887588763E-2</v>
      </c>
      <c r="G3831" s="9">
        <f t="shared" si="180"/>
        <v>9.2710148970398289E-3</v>
      </c>
    </row>
    <row r="3832" spans="1:7" x14ac:dyDescent="0.2">
      <c r="A3832" s="12">
        <v>42481</v>
      </c>
      <c r="B3832" s="9">
        <v>973.89</v>
      </c>
      <c r="C3832" s="9">
        <v>959.84</v>
      </c>
      <c r="D3832" s="9">
        <v>973.22</v>
      </c>
      <c r="E3832" s="9">
        <f t="shared" si="178"/>
        <v>8.3784385454913797E-3</v>
      </c>
      <c r="F3832" s="9">
        <f t="shared" si="179"/>
        <v>-1.507253628928612E-2</v>
      </c>
      <c r="G3832" s="9">
        <f t="shared" si="180"/>
        <v>9.3076081199619971E-3</v>
      </c>
    </row>
    <row r="3833" spans="1:7" x14ac:dyDescent="0.2">
      <c r="A3833" s="12">
        <v>42485</v>
      </c>
      <c r="B3833" s="9">
        <v>971.09</v>
      </c>
      <c r="C3833" s="9">
        <v>959.78</v>
      </c>
      <c r="D3833" s="9">
        <v>962.93</v>
      </c>
      <c r="E3833" s="9">
        <f t="shared" si="178"/>
        <v>-1.0629441814408695E-2</v>
      </c>
      <c r="F3833" s="9">
        <f t="shared" si="179"/>
        <v>-1.0454748683000951E-2</v>
      </c>
      <c r="G3833" s="9">
        <f t="shared" si="180"/>
        <v>9.0910183909368846E-3</v>
      </c>
    </row>
    <row r="3834" spans="1:7" x14ac:dyDescent="0.2">
      <c r="A3834" s="12">
        <v>42486</v>
      </c>
      <c r="B3834" s="9">
        <v>969.9</v>
      </c>
      <c r="C3834" s="9">
        <v>953.56</v>
      </c>
      <c r="D3834" s="9">
        <v>953.57</v>
      </c>
      <c r="E3834" s="9">
        <f t="shared" si="178"/>
        <v>-9.7678835594990632E-3</v>
      </c>
      <c r="F3834" s="9">
        <f t="shared" si="179"/>
        <v>-1.795914035578873E-2</v>
      </c>
      <c r="G3834" s="9">
        <f t="shared" si="180"/>
        <v>9.2474271689645567E-3</v>
      </c>
    </row>
    <row r="3835" spans="1:7" x14ac:dyDescent="0.2">
      <c r="A3835" s="12">
        <v>42487</v>
      </c>
      <c r="B3835" s="9">
        <v>961.65</v>
      </c>
      <c r="C3835" s="9">
        <v>950.98</v>
      </c>
      <c r="D3835" s="9">
        <v>958.56</v>
      </c>
      <c r="E3835" s="9">
        <f t="shared" si="178"/>
        <v>5.2193222509406582E-3</v>
      </c>
      <c r="F3835" s="9">
        <f t="shared" si="179"/>
        <v>-3.9356602417269298E-3</v>
      </c>
      <c r="G3835" s="9">
        <f t="shared" si="180"/>
        <v>9.1724760828444281E-3</v>
      </c>
    </row>
    <row r="3836" spans="1:7" x14ac:dyDescent="0.2">
      <c r="A3836" s="12">
        <v>42488</v>
      </c>
      <c r="B3836" s="9">
        <v>967.47</v>
      </c>
      <c r="C3836" s="9">
        <v>940.42</v>
      </c>
      <c r="D3836" s="9">
        <v>964.97</v>
      </c>
      <c r="E3836" s="9">
        <f t="shared" si="178"/>
        <v>6.6648544372251428E-3</v>
      </c>
      <c r="F3836" s="9">
        <f t="shared" si="179"/>
        <v>-9.5504026235112161E-3</v>
      </c>
      <c r="G3836" s="9">
        <f t="shared" si="180"/>
        <v>8.9654566363074756E-3</v>
      </c>
    </row>
    <row r="3837" spans="1:7" x14ac:dyDescent="0.2">
      <c r="A3837" s="12">
        <v>42489</v>
      </c>
      <c r="B3837" s="9">
        <v>973.02</v>
      </c>
      <c r="C3837" s="9">
        <v>953.63</v>
      </c>
      <c r="D3837" s="9">
        <v>957.24</v>
      </c>
      <c r="E3837" s="9">
        <f t="shared" si="178"/>
        <v>-8.042869061801506E-3</v>
      </c>
      <c r="F3837" s="9">
        <f t="shared" si="179"/>
        <v>-3.1213488151816616E-2</v>
      </c>
      <c r="G3837" s="9">
        <f t="shared" si="180"/>
        <v>8.671683391905877E-3</v>
      </c>
    </row>
    <row r="3838" spans="1:7" x14ac:dyDescent="0.2">
      <c r="A3838" s="12">
        <v>42492</v>
      </c>
      <c r="B3838" s="9">
        <v>960.65</v>
      </c>
      <c r="C3838" s="9">
        <v>951.56</v>
      </c>
      <c r="D3838" s="9">
        <v>951.56</v>
      </c>
      <c r="E3838" s="9">
        <f t="shared" si="178"/>
        <v>-5.9514006339729019E-3</v>
      </c>
      <c r="F3838" s="9">
        <f t="shared" si="179"/>
        <v>-2.3318827453216617E-2</v>
      </c>
      <c r="G3838" s="9">
        <f t="shared" si="180"/>
        <v>8.3847170467654802E-3</v>
      </c>
    </row>
    <row r="3839" spans="1:7" x14ac:dyDescent="0.2">
      <c r="A3839" s="12">
        <v>42493</v>
      </c>
      <c r="B3839" s="9">
        <v>952.41</v>
      </c>
      <c r="C3839" s="9">
        <v>934.26</v>
      </c>
      <c r="D3839" s="9">
        <v>940.63</v>
      </c>
      <c r="E3839" s="9">
        <f t="shared" si="178"/>
        <v>-1.1552879539334862E-2</v>
      </c>
      <c r="F3839" s="9">
        <f t="shared" si="179"/>
        <v>-3.454311429051405E-2</v>
      </c>
      <c r="G3839" s="9">
        <f t="shared" si="180"/>
        <v>8.611366459695716E-3</v>
      </c>
    </row>
    <row r="3840" spans="1:7" x14ac:dyDescent="0.2">
      <c r="A3840" s="12">
        <v>42494</v>
      </c>
      <c r="B3840" s="9">
        <v>943.83</v>
      </c>
      <c r="C3840" s="9">
        <v>934.84</v>
      </c>
      <c r="D3840" s="9">
        <v>938.47</v>
      </c>
      <c r="E3840" s="9">
        <f t="shared" si="178"/>
        <v>-2.2989739251242022E-3</v>
      </c>
      <c r="F3840" s="9">
        <f t="shared" si="179"/>
        <v>-1.893580179310337E-2</v>
      </c>
      <c r="G3840" s="9">
        <f t="shared" si="180"/>
        <v>8.0150410249110356E-3</v>
      </c>
    </row>
    <row r="3841" spans="1:7" x14ac:dyDescent="0.2">
      <c r="A3841" s="12">
        <v>42499</v>
      </c>
      <c r="B3841" s="9">
        <v>958.79</v>
      </c>
      <c r="C3841" s="9">
        <v>938.47</v>
      </c>
      <c r="D3841" s="9">
        <v>951.35</v>
      </c>
      <c r="E3841" s="9">
        <f t="shared" si="178"/>
        <v>1.3631138873803399E-2</v>
      </c>
      <c r="F3841" s="9">
        <f t="shared" si="179"/>
        <v>-3.6093925258486891E-3</v>
      </c>
      <c r="G3841" s="9">
        <f t="shared" si="180"/>
        <v>8.422952012266267E-3</v>
      </c>
    </row>
    <row r="3842" spans="1:7" x14ac:dyDescent="0.2">
      <c r="A3842" s="12">
        <v>42500</v>
      </c>
      <c r="B3842" s="9">
        <v>966.84</v>
      </c>
      <c r="C3842" s="9">
        <v>953.96</v>
      </c>
      <c r="D3842" s="9">
        <v>961.03</v>
      </c>
      <c r="E3842" s="9">
        <f t="shared" si="178"/>
        <v>1.0123597478417E-2</v>
      </c>
      <c r="F3842" s="9">
        <f t="shared" si="179"/>
        <v>1.5033935894114874E-2</v>
      </c>
      <c r="G3842" s="9">
        <f t="shared" si="180"/>
        <v>8.4694973813344704E-3</v>
      </c>
    </row>
    <row r="3843" spans="1:7" x14ac:dyDescent="0.2">
      <c r="A3843" s="12">
        <v>42501</v>
      </c>
      <c r="B3843" s="9">
        <v>962.65</v>
      </c>
      <c r="C3843" s="9">
        <v>953.79</v>
      </c>
      <c r="D3843" s="9">
        <v>957.84</v>
      </c>
      <c r="E3843" s="9">
        <f t="shared" si="178"/>
        <v>-3.3248765562386875E-3</v>
      </c>
      <c r="F3843" s="9">
        <f t="shared" si="179"/>
        <v>8.1871863652376621E-3</v>
      </c>
      <c r="G3843" s="9">
        <f t="shared" si="180"/>
        <v>8.4775363329584966E-3</v>
      </c>
    </row>
    <row r="3844" spans="1:7" x14ac:dyDescent="0.2">
      <c r="A3844" s="12">
        <v>42502</v>
      </c>
      <c r="B3844" s="9">
        <v>964.99</v>
      </c>
      <c r="C3844" s="9">
        <v>951.24</v>
      </c>
      <c r="D3844" s="9">
        <v>953.95</v>
      </c>
      <c r="E3844" s="9">
        <f t="shared" ref="E3844:E3907" si="181">LN(D3844/D3843)</f>
        <v>-4.0694902352683623E-3</v>
      </c>
      <c r="F3844" s="9">
        <f t="shared" si="179"/>
        <v>2.298357005049143E-3</v>
      </c>
      <c r="G3844" s="9">
        <f t="shared" si="180"/>
        <v>8.5086144065632044E-3</v>
      </c>
    </row>
    <row r="3845" spans="1:7" x14ac:dyDescent="0.2">
      <c r="A3845" s="12">
        <v>42503</v>
      </c>
      <c r="B3845" s="9">
        <v>958.27</v>
      </c>
      <c r="C3845" s="9">
        <v>943.99</v>
      </c>
      <c r="D3845" s="9">
        <v>957.69</v>
      </c>
      <c r="E3845" s="9">
        <f t="shared" si="181"/>
        <v>3.9128756165398805E-3</v>
      </c>
      <c r="F3845" s="9">
        <f t="shared" si="179"/>
        <v>9.8005023595280748E-3</v>
      </c>
      <c r="G3845" s="9">
        <f t="shared" si="180"/>
        <v>8.5074028873721053E-3</v>
      </c>
    </row>
    <row r="3846" spans="1:7" x14ac:dyDescent="0.2">
      <c r="A3846" s="12">
        <v>42507</v>
      </c>
      <c r="B3846" s="9">
        <v>971.48</v>
      </c>
      <c r="C3846" s="9">
        <v>957.69</v>
      </c>
      <c r="D3846" s="9">
        <v>963.4</v>
      </c>
      <c r="E3846" s="9">
        <f t="shared" si="181"/>
        <v>5.9445594062607987E-3</v>
      </c>
      <c r="F3846" s="9">
        <f t="shared" si="179"/>
        <v>8.3909287106357783E-3</v>
      </c>
      <c r="G3846" s="9">
        <f t="shared" si="180"/>
        <v>8.4710673207439146E-3</v>
      </c>
    </row>
    <row r="3847" spans="1:7" x14ac:dyDescent="0.2">
      <c r="A3847" s="12">
        <v>42508</v>
      </c>
      <c r="B3847" s="9">
        <v>963.96</v>
      </c>
      <c r="C3847" s="9">
        <v>955.84</v>
      </c>
      <c r="D3847" s="9">
        <v>962.93</v>
      </c>
      <c r="E3847" s="9">
        <f t="shared" si="181"/>
        <v>-4.879745519473837E-4</v>
      </c>
      <c r="F3847" s="9">
        <f t="shared" si="179"/>
        <v>1.5404722933517511E-2</v>
      </c>
      <c r="G3847" s="9">
        <f t="shared" si="180"/>
        <v>8.3447460020076476E-3</v>
      </c>
    </row>
    <row r="3848" spans="1:7" x14ac:dyDescent="0.2">
      <c r="A3848" s="12">
        <v>42509</v>
      </c>
      <c r="B3848" s="9">
        <v>967.86</v>
      </c>
      <c r="C3848" s="9">
        <v>957.81</v>
      </c>
      <c r="D3848" s="9">
        <v>958.9</v>
      </c>
      <c r="E3848" s="9">
        <f t="shared" si="181"/>
        <v>-4.1939254845375475E-3</v>
      </c>
      <c r="F3848" s="9">
        <f t="shared" si="179"/>
        <v>8.7775908954469094E-3</v>
      </c>
      <c r="G3848" s="9">
        <f t="shared" si="180"/>
        <v>8.3798182963142325E-3</v>
      </c>
    </row>
    <row r="3849" spans="1:7" x14ac:dyDescent="0.2">
      <c r="A3849" s="12">
        <v>42510</v>
      </c>
      <c r="B3849" s="9">
        <v>971.46</v>
      </c>
      <c r="C3849" s="9">
        <v>959.27</v>
      </c>
      <c r="D3849" s="9">
        <v>969.68</v>
      </c>
      <c r="E3849" s="9">
        <f t="shared" si="181"/>
        <v>1.1179326002621058E-2</v>
      </c>
      <c r="F3849" s="9">
        <f t="shared" si="179"/>
        <v>8.1595913186943061E-3</v>
      </c>
      <c r="G3849" s="9">
        <f t="shared" si="180"/>
        <v>8.3512721113567657E-3</v>
      </c>
    </row>
    <row r="3850" spans="1:7" x14ac:dyDescent="0.2">
      <c r="A3850" s="12">
        <v>42513</v>
      </c>
      <c r="B3850" s="9">
        <v>973.9</v>
      </c>
      <c r="C3850" s="9">
        <v>963.21</v>
      </c>
      <c r="D3850" s="9">
        <v>967.67</v>
      </c>
      <c r="E3850" s="9">
        <f t="shared" si="181"/>
        <v>-2.0750000993028936E-3</v>
      </c>
      <c r="F3850" s="9">
        <f t="shared" si="179"/>
        <v>1.8902931902699746E-2</v>
      </c>
      <c r="G3850" s="9">
        <f t="shared" si="180"/>
        <v>7.9932579374801371E-3</v>
      </c>
    </row>
    <row r="3851" spans="1:7" x14ac:dyDescent="0.2">
      <c r="A3851" s="12">
        <v>42514</v>
      </c>
      <c r="B3851" s="9">
        <v>984.39</v>
      </c>
      <c r="C3851" s="9">
        <v>963.43</v>
      </c>
      <c r="D3851" s="9">
        <v>983.49</v>
      </c>
      <c r="E3851" s="9">
        <f t="shared" si="181"/>
        <v>1.621634994629316E-2</v>
      </c>
      <c r="F3851" s="9">
        <f t="shared" si="179"/>
        <v>2.822404182264739E-2</v>
      </c>
      <c r="G3851" s="9">
        <f t="shared" si="180"/>
        <v>8.4152082121221987E-3</v>
      </c>
    </row>
    <row r="3852" spans="1:7" x14ac:dyDescent="0.2">
      <c r="A3852" s="12">
        <v>42515</v>
      </c>
      <c r="B3852" s="9">
        <v>1000.79</v>
      </c>
      <c r="C3852" s="9">
        <v>983.56</v>
      </c>
      <c r="D3852" s="9">
        <v>1000.3</v>
      </c>
      <c r="E3852" s="9">
        <f t="shared" si="181"/>
        <v>1.6947763981888294E-2</v>
      </c>
      <c r="F3852" s="9">
        <f t="shared" si="179"/>
        <v>4.6417194626185258E-2</v>
      </c>
      <c r="G3852" s="9">
        <f t="shared" si="180"/>
        <v>8.8941409327386745E-3</v>
      </c>
    </row>
    <row r="3853" spans="1:7" x14ac:dyDescent="0.2">
      <c r="A3853" s="12">
        <v>42516</v>
      </c>
      <c r="B3853" s="9">
        <v>1002.64</v>
      </c>
      <c r="C3853" s="9">
        <v>992.12</v>
      </c>
      <c r="D3853" s="9">
        <v>996.24</v>
      </c>
      <c r="E3853" s="9">
        <f t="shared" si="181"/>
        <v>-4.0670415782419417E-3</v>
      </c>
      <c r="F3853" s="9">
        <f t="shared" si="179"/>
        <v>4.0278849269489804E-2</v>
      </c>
      <c r="G3853" s="9">
        <f t="shared" si="180"/>
        <v>8.9520871800244511E-3</v>
      </c>
    </row>
    <row r="3854" spans="1:7" x14ac:dyDescent="0.2">
      <c r="A3854" s="12">
        <v>42517</v>
      </c>
      <c r="B3854" s="9">
        <v>1000.41</v>
      </c>
      <c r="C3854" s="9">
        <v>993.08</v>
      </c>
      <c r="D3854" s="9">
        <v>996.75</v>
      </c>
      <c r="E3854" s="9">
        <f t="shared" si="181"/>
        <v>5.1179384857141157E-4</v>
      </c>
      <c r="F3854" s="9">
        <f t="shared" si="179"/>
        <v>4.4937549880812333E-2</v>
      </c>
      <c r="G3854" s="9">
        <f t="shared" si="180"/>
        <v>8.8937946642548785E-3</v>
      </c>
    </row>
    <row r="3855" spans="1:7" x14ac:dyDescent="0.2">
      <c r="A3855" s="12">
        <v>42520</v>
      </c>
      <c r="B3855" s="9">
        <v>1004.15</v>
      </c>
      <c r="C3855" s="9">
        <v>997.18</v>
      </c>
      <c r="D3855" s="9">
        <v>1001.75</v>
      </c>
      <c r="E3855" s="9">
        <f t="shared" si="181"/>
        <v>5.0037632547896074E-3</v>
      </c>
      <c r="F3855" s="9">
        <f t="shared" si="179"/>
        <v>5.798025500416841E-2</v>
      </c>
      <c r="G3855" s="9">
        <f t="shared" si="180"/>
        <v>8.728780701167442E-3</v>
      </c>
    </row>
    <row r="3856" spans="1:7" x14ac:dyDescent="0.2">
      <c r="A3856" s="12">
        <v>42521</v>
      </c>
      <c r="B3856" s="9">
        <v>1004.31</v>
      </c>
      <c r="C3856" s="9">
        <v>994.24</v>
      </c>
      <c r="D3856" s="9">
        <v>999.86</v>
      </c>
      <c r="E3856" s="9">
        <f t="shared" si="181"/>
        <v>-1.8884803350316364E-3</v>
      </c>
      <c r="F3856" s="9">
        <f t="shared" si="179"/>
        <v>5.1753464658668334E-2</v>
      </c>
      <c r="G3856" s="9">
        <f t="shared" si="180"/>
        <v>8.7436252307749231E-3</v>
      </c>
    </row>
    <row r="3857" spans="1:7" x14ac:dyDescent="0.2">
      <c r="A3857" s="12">
        <v>42522</v>
      </c>
      <c r="B3857" s="9">
        <v>1006.33</v>
      </c>
      <c r="C3857" s="9">
        <v>996.76</v>
      </c>
      <c r="D3857" s="9">
        <v>1003.16</v>
      </c>
      <c r="E3857" s="9">
        <f t="shared" si="181"/>
        <v>3.2950274942148763E-3</v>
      </c>
      <c r="F3857" s="9">
        <f t="shared" si="179"/>
        <v>4.6072957172418341E-2</v>
      </c>
      <c r="G3857" s="9">
        <f t="shared" si="180"/>
        <v>8.6421160373719511E-3</v>
      </c>
    </row>
    <row r="3858" spans="1:7" x14ac:dyDescent="0.2">
      <c r="A3858" s="12">
        <v>42523</v>
      </c>
      <c r="B3858" s="9">
        <v>1002.76</v>
      </c>
      <c r="C3858" s="9">
        <v>991.54</v>
      </c>
      <c r="D3858" s="9">
        <v>996.35</v>
      </c>
      <c r="E3858" s="9">
        <f t="shared" si="181"/>
        <v>-6.8116951968440155E-3</v>
      </c>
      <c r="F3858" s="9">
        <f t="shared" si="179"/>
        <v>4.0880543264192069E-2</v>
      </c>
      <c r="G3858" s="9">
        <f t="shared" si="180"/>
        <v>8.7586922150661474E-3</v>
      </c>
    </row>
    <row r="3859" spans="1:7" x14ac:dyDescent="0.2">
      <c r="A3859" s="12">
        <v>42524</v>
      </c>
      <c r="B3859" s="9">
        <v>1000.62</v>
      </c>
      <c r="C3859" s="9">
        <v>984.71</v>
      </c>
      <c r="D3859" s="9">
        <v>990.99</v>
      </c>
      <c r="E3859" s="9">
        <f t="shared" si="181"/>
        <v>-5.3941580168740929E-3</v>
      </c>
      <c r="F3859" s="9">
        <f t="shared" si="179"/>
        <v>3.0678006708579009E-2</v>
      </c>
      <c r="G3859" s="9">
        <f t="shared" si="180"/>
        <v>8.8181599147236778E-3</v>
      </c>
    </row>
    <row r="3860" spans="1:7" x14ac:dyDescent="0.2">
      <c r="A3860" s="12">
        <v>42527</v>
      </c>
      <c r="B3860" s="9">
        <v>995.78</v>
      </c>
      <c r="C3860" s="9">
        <v>986.86</v>
      </c>
      <c r="D3860" s="9">
        <v>995.78</v>
      </c>
      <c r="E3860" s="9">
        <f t="shared" si="181"/>
        <v>4.8219061903817346E-3</v>
      </c>
      <c r="F3860" s="9">
        <f t="shared" si="179"/>
        <v>1.7699756427610621E-2</v>
      </c>
      <c r="G3860" s="9">
        <f t="shared" si="180"/>
        <v>8.2678692935585201E-3</v>
      </c>
    </row>
    <row r="3861" spans="1:7" x14ac:dyDescent="0.2">
      <c r="A3861" s="12">
        <v>42528</v>
      </c>
      <c r="B3861" s="9">
        <v>1004.79</v>
      </c>
      <c r="C3861" s="9">
        <v>996.64</v>
      </c>
      <c r="D3861" s="9">
        <v>1003.57</v>
      </c>
      <c r="E3861" s="9">
        <f t="shared" si="181"/>
        <v>7.7925720059747478E-3</v>
      </c>
      <c r="F3861" s="9">
        <f t="shared" si="179"/>
        <v>3.9087198744985292E-2</v>
      </c>
      <c r="G3861" s="9">
        <f t="shared" si="180"/>
        <v>7.9172261754544733E-3</v>
      </c>
    </row>
    <row r="3862" spans="1:7" x14ac:dyDescent="0.2">
      <c r="A3862" s="12">
        <v>42529</v>
      </c>
      <c r="B3862" s="9">
        <v>1003.96</v>
      </c>
      <c r="C3862" s="9">
        <v>994.7</v>
      </c>
      <c r="D3862" s="9">
        <v>995.58</v>
      </c>
      <c r="E3862" s="9">
        <f t="shared" si="181"/>
        <v>-7.9934397553242074E-3</v>
      </c>
      <c r="F3862" s="9">
        <f t="shared" si="179"/>
        <v>2.271532044416958E-2</v>
      </c>
      <c r="G3862" s="9">
        <f t="shared" si="180"/>
        <v>7.9767246105025627E-3</v>
      </c>
    </row>
    <row r="3863" spans="1:7" x14ac:dyDescent="0.2">
      <c r="A3863" s="12">
        <v>42530</v>
      </c>
      <c r="B3863" s="9">
        <v>996.92</v>
      </c>
      <c r="C3863" s="9">
        <v>986.38</v>
      </c>
      <c r="D3863" s="9">
        <v>992.57</v>
      </c>
      <c r="E3863" s="9">
        <f t="shared" si="181"/>
        <v>-3.027942861202153E-3</v>
      </c>
      <c r="F3863" s="9">
        <f t="shared" si="179"/>
        <v>3.0316819397376252E-2</v>
      </c>
      <c r="G3863" s="9">
        <f t="shared" si="180"/>
        <v>7.7191250978478907E-3</v>
      </c>
    </row>
    <row r="3864" spans="1:7" x14ac:dyDescent="0.2">
      <c r="A3864" s="12">
        <v>42531</v>
      </c>
      <c r="B3864" s="9">
        <v>991.73</v>
      </c>
      <c r="C3864" s="9">
        <v>961.84</v>
      </c>
      <c r="D3864" s="9">
        <v>964.06</v>
      </c>
      <c r="E3864" s="9">
        <f t="shared" si="181"/>
        <v>-2.9144005703973058E-2</v>
      </c>
      <c r="F3864" s="9">
        <f t="shared" si="179"/>
        <v>1.0940697252902193E-2</v>
      </c>
      <c r="G3864" s="9">
        <f t="shared" si="180"/>
        <v>9.3006681591365718E-3</v>
      </c>
    </row>
    <row r="3865" spans="1:7" x14ac:dyDescent="0.2">
      <c r="A3865" s="12">
        <v>42534</v>
      </c>
      <c r="B3865" s="9">
        <v>962.3</v>
      </c>
      <c r="C3865" s="9">
        <v>942</v>
      </c>
      <c r="D3865" s="9">
        <v>954.18</v>
      </c>
      <c r="E3865" s="9">
        <f t="shared" si="181"/>
        <v>-1.0301200441696893E-2</v>
      </c>
      <c r="F3865" s="9">
        <f t="shared" si="179"/>
        <v>-4.5798254397353176E-3</v>
      </c>
      <c r="G3865" s="9">
        <f t="shared" si="180"/>
        <v>9.4517552203369215E-3</v>
      </c>
    </row>
    <row r="3866" spans="1:7" x14ac:dyDescent="0.2">
      <c r="A3866" s="12">
        <v>42535</v>
      </c>
      <c r="B3866" s="9">
        <v>952.38</v>
      </c>
      <c r="C3866" s="9">
        <v>919.2</v>
      </c>
      <c r="D3866" s="9">
        <v>919.2</v>
      </c>
      <c r="E3866" s="9">
        <f t="shared" si="181"/>
        <v>-3.7348606361333421E-2</v>
      </c>
      <c r="F3866" s="9">
        <f t="shared" si="179"/>
        <v>-4.8593286238293988E-2</v>
      </c>
      <c r="G3866" s="9">
        <f t="shared" si="180"/>
        <v>1.1541860319177888E-2</v>
      </c>
    </row>
    <row r="3867" spans="1:7" x14ac:dyDescent="0.2">
      <c r="A3867" s="12">
        <v>42536</v>
      </c>
      <c r="B3867" s="9">
        <v>937.82</v>
      </c>
      <c r="C3867" s="9">
        <v>926.29</v>
      </c>
      <c r="D3867" s="9">
        <v>926.29</v>
      </c>
      <c r="E3867" s="9">
        <f t="shared" si="181"/>
        <v>7.6836340286003555E-3</v>
      </c>
      <c r="F3867" s="9">
        <f t="shared" si="179"/>
        <v>-3.2866783147892008E-2</v>
      </c>
      <c r="G3867" s="9">
        <f t="shared" si="180"/>
        <v>1.1597078812871595E-2</v>
      </c>
    </row>
    <row r="3868" spans="1:7" x14ac:dyDescent="0.2">
      <c r="A3868" s="12">
        <v>42537</v>
      </c>
      <c r="B3868" s="9">
        <v>925.45</v>
      </c>
      <c r="C3868" s="9">
        <v>907.58</v>
      </c>
      <c r="D3868" s="9">
        <v>908.47</v>
      </c>
      <c r="E3868" s="9">
        <f t="shared" si="181"/>
        <v>-1.9425494736092657E-2</v>
      </c>
      <c r="F3868" s="9">
        <f t="shared" si="179"/>
        <v>-4.634087725001175E-2</v>
      </c>
      <c r="G3868" s="9">
        <f t="shared" si="180"/>
        <v>1.2043928932795949E-2</v>
      </c>
    </row>
    <row r="3869" spans="1:7" x14ac:dyDescent="0.2">
      <c r="A3869" s="12">
        <v>42538</v>
      </c>
      <c r="B3869" s="9">
        <v>929.25</v>
      </c>
      <c r="C3869" s="9">
        <v>909.12</v>
      </c>
      <c r="D3869" s="9">
        <v>915.01</v>
      </c>
      <c r="E3869" s="9">
        <f t="shared" si="181"/>
        <v>7.1731283504955553E-3</v>
      </c>
      <c r="F3869" s="9">
        <f t="shared" si="179"/>
        <v>-2.7614869360181385E-2</v>
      </c>
      <c r="G3869" s="9">
        <f t="shared" si="180"/>
        <v>1.1992495413691975E-2</v>
      </c>
    </row>
    <row r="3870" spans="1:7" x14ac:dyDescent="0.2">
      <c r="A3870" s="12">
        <v>42541</v>
      </c>
      <c r="B3870" s="9">
        <v>949.19</v>
      </c>
      <c r="C3870" s="9">
        <v>919.07</v>
      </c>
      <c r="D3870" s="9">
        <v>934.03</v>
      </c>
      <c r="E3870" s="9">
        <f t="shared" si="181"/>
        <v>2.0573563449806907E-2</v>
      </c>
      <c r="F3870" s="9">
        <f t="shared" si="179"/>
        <v>-4.7423319852503186E-3</v>
      </c>
      <c r="G3870" s="9">
        <f t="shared" si="180"/>
        <v>1.2612848379377975E-2</v>
      </c>
    </row>
    <row r="3871" spans="1:7" x14ac:dyDescent="0.2">
      <c r="A3871" s="12">
        <v>42542</v>
      </c>
      <c r="B3871" s="9">
        <v>944.34</v>
      </c>
      <c r="C3871" s="9">
        <v>932.67</v>
      </c>
      <c r="D3871" s="9">
        <v>939.69</v>
      </c>
      <c r="E3871" s="9">
        <f t="shared" si="181"/>
        <v>6.0414760108823806E-3</v>
      </c>
      <c r="F3871" s="9">
        <f t="shared" si="179"/>
        <v>-1.2331994848171329E-2</v>
      </c>
      <c r="G3871" s="9">
        <f t="shared" si="180"/>
        <v>1.2401065381899263E-2</v>
      </c>
    </row>
    <row r="3872" spans="1:7" x14ac:dyDescent="0.2">
      <c r="A3872" s="12">
        <v>42543</v>
      </c>
      <c r="B3872" s="9">
        <v>948.72</v>
      </c>
      <c r="C3872" s="9">
        <v>935.16</v>
      </c>
      <c r="D3872" s="9">
        <v>947.24</v>
      </c>
      <c r="E3872" s="9">
        <f t="shared" si="181"/>
        <v>8.0024593295826771E-3</v>
      </c>
      <c r="F3872" s="9">
        <f t="shared" si="179"/>
        <v>-1.4453132997005749E-2</v>
      </c>
      <c r="G3872" s="9">
        <f t="shared" si="180"/>
        <v>1.2344850319774631E-2</v>
      </c>
    </row>
    <row r="3873" spans="1:7" x14ac:dyDescent="0.2">
      <c r="A3873" s="12">
        <v>42544</v>
      </c>
      <c r="B3873" s="9">
        <v>965.08</v>
      </c>
      <c r="C3873" s="9">
        <v>947.26</v>
      </c>
      <c r="D3873" s="9">
        <v>960.1</v>
      </c>
      <c r="E3873" s="9">
        <f t="shared" si="181"/>
        <v>1.3484952735757127E-2</v>
      </c>
      <c r="F3873" s="9">
        <f t="shared" ref="F3873:F3936" si="182">LN(D3873/D3843)</f>
        <v>2.356696294989915E-3</v>
      </c>
      <c r="G3873" s="9">
        <f t="shared" si="180"/>
        <v>1.2590406401303688E-2</v>
      </c>
    </row>
    <row r="3874" spans="1:7" x14ac:dyDescent="0.2">
      <c r="A3874" s="12">
        <v>42545</v>
      </c>
      <c r="B3874" s="9">
        <v>958.77</v>
      </c>
      <c r="C3874" s="9">
        <v>876.06</v>
      </c>
      <c r="D3874" s="9">
        <v>929.68</v>
      </c>
      <c r="E3874" s="9">
        <f t="shared" si="181"/>
        <v>-3.2197004788959913E-2</v>
      </c>
      <c r="F3874" s="9">
        <f t="shared" si="182"/>
        <v>-2.5770818258701575E-2</v>
      </c>
      <c r="G3874" s="9">
        <f t="shared" si="180"/>
        <v>1.3890166866600894E-2</v>
      </c>
    </row>
    <row r="3875" spans="1:7" x14ac:dyDescent="0.2">
      <c r="A3875" s="12">
        <v>42548</v>
      </c>
      <c r="B3875" s="9">
        <v>929.77</v>
      </c>
      <c r="C3875" s="9">
        <v>901.5</v>
      </c>
      <c r="D3875" s="9">
        <v>901.5</v>
      </c>
      <c r="E3875" s="9">
        <f t="shared" si="181"/>
        <v>-3.0780398271246272E-2</v>
      </c>
      <c r="F3875" s="9">
        <f t="shared" si="182"/>
        <v>-6.0464092146487645E-2</v>
      </c>
      <c r="G3875" s="9">
        <f t="shared" si="180"/>
        <v>1.4887580964017755E-2</v>
      </c>
    </row>
    <row r="3876" spans="1:7" x14ac:dyDescent="0.2">
      <c r="A3876" s="12">
        <v>42549</v>
      </c>
      <c r="B3876" s="9">
        <v>928.3</v>
      </c>
      <c r="C3876" s="9">
        <v>902.91</v>
      </c>
      <c r="D3876" s="9">
        <v>922.3</v>
      </c>
      <c r="E3876" s="9">
        <f t="shared" si="181"/>
        <v>2.2810507598301125E-2</v>
      </c>
      <c r="F3876" s="9">
        <f t="shared" si="182"/>
        <v>-4.3598143954447235E-2</v>
      </c>
      <c r="G3876" s="9">
        <f t="shared" si="180"/>
        <v>1.550422303052819E-2</v>
      </c>
    </row>
    <row r="3877" spans="1:7" x14ac:dyDescent="0.2">
      <c r="A3877" s="12">
        <v>42550</v>
      </c>
      <c r="B3877" s="9">
        <v>947.83</v>
      </c>
      <c r="C3877" s="9">
        <v>921.16</v>
      </c>
      <c r="D3877" s="9">
        <v>946.74</v>
      </c>
      <c r="E3877" s="9">
        <f t="shared" si="181"/>
        <v>2.6153954033959502E-2</v>
      </c>
      <c r="F3877" s="9">
        <f t="shared" si="182"/>
        <v>-1.6956215368540441E-2</v>
      </c>
      <c r="G3877" s="9">
        <f t="shared" si="180"/>
        <v>1.6303812097033459E-2</v>
      </c>
    </row>
    <row r="3878" spans="1:7" x14ac:dyDescent="0.2">
      <c r="A3878" s="12">
        <v>42551</v>
      </c>
      <c r="B3878" s="9">
        <v>960.66</v>
      </c>
      <c r="C3878" s="9">
        <v>941.58</v>
      </c>
      <c r="D3878" s="9">
        <v>957.58</v>
      </c>
      <c r="E3878" s="9">
        <f t="shared" si="181"/>
        <v>1.1384764202823373E-2</v>
      </c>
      <c r="F3878" s="9">
        <f t="shared" si="182"/>
        <v>-1.3775256811794929E-3</v>
      </c>
      <c r="G3878" s="9">
        <f t="shared" si="180"/>
        <v>1.6431843291816149E-2</v>
      </c>
    </row>
    <row r="3879" spans="1:7" x14ac:dyDescent="0.2">
      <c r="A3879" s="12">
        <v>42552</v>
      </c>
      <c r="B3879" s="9">
        <v>971.9</v>
      </c>
      <c r="C3879" s="9">
        <v>958.4</v>
      </c>
      <c r="D3879" s="9">
        <v>971.24</v>
      </c>
      <c r="E3879" s="9">
        <f t="shared" si="181"/>
        <v>1.4164337140100958E-2</v>
      </c>
      <c r="F3879" s="9">
        <f t="shared" si="182"/>
        <v>1.6074854563004608E-3</v>
      </c>
      <c r="G3879" s="9">
        <f t="shared" ref="G3879:G3942" si="183">STDEV(E3850:E3879)</f>
        <v>1.651100675798009E-2</v>
      </c>
    </row>
    <row r="3880" spans="1:7" x14ac:dyDescent="0.2">
      <c r="A3880" s="12">
        <v>42555</v>
      </c>
      <c r="B3880" s="9">
        <v>976.17</v>
      </c>
      <c r="C3880" s="9">
        <v>966.42</v>
      </c>
      <c r="D3880" s="9">
        <v>968.98</v>
      </c>
      <c r="E3880" s="9">
        <f t="shared" si="181"/>
        <v>-2.3296337756763472E-3</v>
      </c>
      <c r="F3880" s="9">
        <f t="shared" si="182"/>
        <v>1.3528517799270463E-3</v>
      </c>
      <c r="G3880" s="9">
        <f t="shared" si="183"/>
        <v>1.651220413401177E-2</v>
      </c>
    </row>
    <row r="3881" spans="1:7" x14ac:dyDescent="0.2">
      <c r="A3881" s="12">
        <v>42556</v>
      </c>
      <c r="B3881" s="9">
        <v>968.61</v>
      </c>
      <c r="C3881" s="9">
        <v>953.59</v>
      </c>
      <c r="D3881" s="9">
        <v>955.28</v>
      </c>
      <c r="E3881" s="9">
        <f t="shared" si="181"/>
        <v>-1.4239480617751415E-2</v>
      </c>
      <c r="F3881" s="9">
        <f t="shared" si="182"/>
        <v>-2.9102978784117613E-2</v>
      </c>
      <c r="G3881" s="9">
        <f t="shared" si="183"/>
        <v>1.6419663050442554E-2</v>
      </c>
    </row>
    <row r="3882" spans="1:7" x14ac:dyDescent="0.2">
      <c r="A3882" s="12">
        <v>42557</v>
      </c>
      <c r="B3882" s="9">
        <v>953.75</v>
      </c>
      <c r="C3882" s="9">
        <v>931.64</v>
      </c>
      <c r="D3882" s="9">
        <v>935.48</v>
      </c>
      <c r="E3882" s="9">
        <f t="shared" si="181"/>
        <v>-2.0944724681260095E-2</v>
      </c>
      <c r="F3882" s="9">
        <f t="shared" si="182"/>
        <v>-6.6995467447265908E-2</v>
      </c>
      <c r="G3882" s="9">
        <f t="shared" si="183"/>
        <v>1.6451212285820718E-2</v>
      </c>
    </row>
    <row r="3883" spans="1:7" x14ac:dyDescent="0.2">
      <c r="A3883" s="12">
        <v>42558</v>
      </c>
      <c r="B3883" s="9">
        <v>953.47</v>
      </c>
      <c r="C3883" s="9">
        <v>936.45</v>
      </c>
      <c r="D3883" s="9">
        <v>952.47</v>
      </c>
      <c r="E3883" s="9">
        <f t="shared" si="181"/>
        <v>1.7998843897983344E-2</v>
      </c>
      <c r="F3883" s="9">
        <f t="shared" si="182"/>
        <v>-4.4929581971040487E-2</v>
      </c>
      <c r="G3883" s="9">
        <f t="shared" si="183"/>
        <v>1.6854725027062457E-2</v>
      </c>
    </row>
    <row r="3884" spans="1:7" x14ac:dyDescent="0.2">
      <c r="A3884" s="12">
        <v>42559</v>
      </c>
      <c r="B3884" s="9">
        <v>961.61</v>
      </c>
      <c r="C3884" s="9">
        <v>948</v>
      </c>
      <c r="D3884" s="9">
        <v>961.6</v>
      </c>
      <c r="E3884" s="9">
        <f t="shared" si="181"/>
        <v>9.5399533390906673E-3</v>
      </c>
      <c r="F3884" s="9">
        <f t="shared" si="182"/>
        <v>-3.5901422480521292E-2</v>
      </c>
      <c r="G3884" s="9">
        <f t="shared" si="183"/>
        <v>1.697203060870273E-2</v>
      </c>
    </row>
    <row r="3885" spans="1:7" x14ac:dyDescent="0.2">
      <c r="A3885" s="12">
        <v>42562</v>
      </c>
      <c r="B3885" s="9">
        <v>975.9</v>
      </c>
      <c r="C3885" s="9">
        <v>964.11</v>
      </c>
      <c r="D3885" s="9">
        <v>975.9</v>
      </c>
      <c r="E3885" s="9">
        <f t="shared" si="181"/>
        <v>1.4761558366472262E-2</v>
      </c>
      <c r="F3885" s="9">
        <f t="shared" si="182"/>
        <v>-2.6143627368838501E-2</v>
      </c>
      <c r="G3885" s="9">
        <f t="shared" si="183"/>
        <v>1.71870957888524E-2</v>
      </c>
    </row>
    <row r="3886" spans="1:7" x14ac:dyDescent="0.2">
      <c r="A3886" s="12">
        <v>42563</v>
      </c>
      <c r="B3886" s="9">
        <v>982.26</v>
      </c>
      <c r="C3886" s="9">
        <v>975.85</v>
      </c>
      <c r="D3886" s="9">
        <v>978.09</v>
      </c>
      <c r="E3886" s="9">
        <f t="shared" si="181"/>
        <v>2.2415681932809808E-3</v>
      </c>
      <c r="F3886" s="9">
        <f t="shared" si="182"/>
        <v>-2.201357884052587E-2</v>
      </c>
      <c r="G3886" s="9">
        <f t="shared" si="183"/>
        <v>1.7195207409628557E-2</v>
      </c>
    </row>
    <row r="3887" spans="1:7" x14ac:dyDescent="0.2">
      <c r="A3887" s="12">
        <v>42564</v>
      </c>
      <c r="B3887" s="9">
        <v>978.13</v>
      </c>
      <c r="C3887" s="9">
        <v>971.46</v>
      </c>
      <c r="D3887" s="9">
        <v>975.78</v>
      </c>
      <c r="E3887" s="9">
        <f t="shared" si="181"/>
        <v>-2.3645391722849161E-3</v>
      </c>
      <c r="F3887" s="9">
        <f t="shared" si="182"/>
        <v>-2.7673145507025706E-2</v>
      </c>
      <c r="G3887" s="9">
        <f t="shared" si="183"/>
        <v>1.7180522157264067E-2</v>
      </c>
    </row>
    <row r="3888" spans="1:7" x14ac:dyDescent="0.2">
      <c r="A3888" s="12">
        <v>42565</v>
      </c>
      <c r="B3888" s="9">
        <v>982.33</v>
      </c>
      <c r="C3888" s="9">
        <v>972.74</v>
      </c>
      <c r="D3888" s="9">
        <v>973.91</v>
      </c>
      <c r="E3888" s="9">
        <f t="shared" si="181"/>
        <v>-1.9182542593128595E-3</v>
      </c>
      <c r="F3888" s="9">
        <f t="shared" si="182"/>
        <v>-2.2779704569494547E-2</v>
      </c>
      <c r="G3888" s="9">
        <f t="shared" si="183"/>
        <v>1.7145875160575332E-2</v>
      </c>
    </row>
    <row r="3889" spans="1:7" x14ac:dyDescent="0.2">
      <c r="A3889" s="12">
        <v>42566</v>
      </c>
      <c r="B3889" s="9">
        <v>973.74</v>
      </c>
      <c r="C3889" s="9">
        <v>963.87</v>
      </c>
      <c r="D3889" s="9">
        <v>970.28</v>
      </c>
      <c r="E3889" s="9">
        <f t="shared" si="181"/>
        <v>-3.7342072720782612E-3</v>
      </c>
      <c r="F3889" s="9">
        <f t="shared" si="182"/>
        <v>-2.1119753824698783E-2</v>
      </c>
      <c r="G3889" s="9">
        <f t="shared" si="183"/>
        <v>1.7133075906146353E-2</v>
      </c>
    </row>
    <row r="3890" spans="1:7" x14ac:dyDescent="0.2">
      <c r="A3890" s="12">
        <v>42569</v>
      </c>
      <c r="B3890" s="9">
        <v>975.59</v>
      </c>
      <c r="C3890" s="9">
        <v>968.62</v>
      </c>
      <c r="D3890" s="9">
        <v>971.16</v>
      </c>
      <c r="E3890" s="9">
        <f t="shared" si="181"/>
        <v>9.0654365859044932E-4</v>
      </c>
      <c r="F3890" s="9">
        <f t="shared" si="182"/>
        <v>-2.503511635649017E-2</v>
      </c>
      <c r="G3890" s="9">
        <f t="shared" si="183"/>
        <v>1.7104419356282187E-2</v>
      </c>
    </row>
    <row r="3891" spans="1:7" x14ac:dyDescent="0.2">
      <c r="A3891" s="12">
        <v>42570</v>
      </c>
      <c r="B3891" s="9">
        <v>974.97</v>
      </c>
      <c r="C3891" s="9">
        <v>968.17</v>
      </c>
      <c r="D3891" s="9">
        <v>970.87</v>
      </c>
      <c r="E3891" s="9">
        <f t="shared" si="181"/>
        <v>-2.9865656262316828E-4</v>
      </c>
      <c r="F3891" s="9">
        <f t="shared" si="182"/>
        <v>-3.3126344925087974E-2</v>
      </c>
      <c r="G3891" s="9">
        <f t="shared" si="183"/>
        <v>1.7027312858228949E-2</v>
      </c>
    </row>
    <row r="3892" spans="1:7" x14ac:dyDescent="0.2">
      <c r="A3892" s="12">
        <v>42571</v>
      </c>
      <c r="B3892" s="9">
        <v>982.46</v>
      </c>
      <c r="C3892" s="9">
        <v>971.42</v>
      </c>
      <c r="D3892" s="9">
        <v>981.95</v>
      </c>
      <c r="E3892" s="9">
        <f t="shared" si="181"/>
        <v>1.1347813828244348E-2</v>
      </c>
      <c r="F3892" s="9">
        <f t="shared" si="182"/>
        <v>-1.378509134151926E-2</v>
      </c>
      <c r="G3892" s="9">
        <f t="shared" si="183"/>
        <v>1.7123359836925488E-2</v>
      </c>
    </row>
    <row r="3893" spans="1:7" x14ac:dyDescent="0.2">
      <c r="A3893" s="12">
        <v>42572</v>
      </c>
      <c r="B3893" s="9">
        <v>983.37</v>
      </c>
      <c r="C3893" s="9">
        <v>973.12</v>
      </c>
      <c r="D3893" s="9">
        <v>981.01</v>
      </c>
      <c r="E3893" s="9">
        <f t="shared" si="181"/>
        <v>-9.5773736790582002E-4</v>
      </c>
      <c r="F3893" s="9">
        <f t="shared" si="182"/>
        <v>-1.1714885848222984E-2</v>
      </c>
      <c r="G3893" s="9">
        <f t="shared" si="183"/>
        <v>1.7116822343501294E-2</v>
      </c>
    </row>
    <row r="3894" spans="1:7" x14ac:dyDescent="0.2">
      <c r="A3894" s="12">
        <v>42573</v>
      </c>
      <c r="B3894" s="9">
        <v>984.62</v>
      </c>
      <c r="C3894" s="9">
        <v>975.32</v>
      </c>
      <c r="D3894" s="9">
        <v>984.62</v>
      </c>
      <c r="E3894" s="9">
        <f t="shared" si="181"/>
        <v>3.673126741859105E-3</v>
      </c>
      <c r="F3894" s="9">
        <f t="shared" si="182"/>
        <v>2.1102246597609287E-2</v>
      </c>
      <c r="G3894" s="9">
        <f t="shared" si="183"/>
        <v>1.6242167898502777E-2</v>
      </c>
    </row>
    <row r="3895" spans="1:7" x14ac:dyDescent="0.2">
      <c r="A3895" s="12">
        <v>42576</v>
      </c>
      <c r="B3895" s="9">
        <v>987.06</v>
      </c>
      <c r="C3895" s="9">
        <v>975.38</v>
      </c>
      <c r="D3895" s="9">
        <v>975.71</v>
      </c>
      <c r="E3895" s="9">
        <f t="shared" si="181"/>
        <v>-9.0903688218395649E-3</v>
      </c>
      <c r="F3895" s="9">
        <f t="shared" si="182"/>
        <v>2.2313078217466514E-2</v>
      </c>
      <c r="G3895" s="9">
        <f t="shared" si="183"/>
        <v>1.6215361288477136E-2</v>
      </c>
    </row>
    <row r="3896" spans="1:7" x14ac:dyDescent="0.2">
      <c r="A3896" s="12">
        <v>42577</v>
      </c>
      <c r="B3896" s="9">
        <v>993.9</v>
      </c>
      <c r="C3896" s="9">
        <v>977.21</v>
      </c>
      <c r="D3896" s="9">
        <v>993.44</v>
      </c>
      <c r="E3896" s="9">
        <f t="shared" si="181"/>
        <v>1.8008256503236768E-2</v>
      </c>
      <c r="F3896" s="9">
        <f t="shared" si="182"/>
        <v>7.7669941082036731E-2</v>
      </c>
      <c r="G3896" s="9">
        <f t="shared" si="183"/>
        <v>1.4820870270847794E-2</v>
      </c>
    </row>
    <row r="3897" spans="1:7" x14ac:dyDescent="0.2">
      <c r="A3897" s="12">
        <v>42578</v>
      </c>
      <c r="B3897" s="9">
        <v>997.29</v>
      </c>
      <c r="C3897" s="9">
        <v>988.28</v>
      </c>
      <c r="D3897" s="9">
        <v>989.75</v>
      </c>
      <c r="E3897" s="9">
        <f t="shared" si="181"/>
        <v>-3.7212816303427011E-3</v>
      </c>
      <c r="F3897" s="9">
        <f t="shared" si="182"/>
        <v>6.626502542309351E-2</v>
      </c>
      <c r="G3897" s="9">
        <f t="shared" si="183"/>
        <v>1.4831950889932079E-2</v>
      </c>
    </row>
    <row r="3898" spans="1:7" x14ac:dyDescent="0.2">
      <c r="A3898" s="12">
        <v>42579</v>
      </c>
      <c r="B3898" s="9">
        <v>1003.73</v>
      </c>
      <c r="C3898" s="9">
        <v>989.75</v>
      </c>
      <c r="D3898" s="9">
        <v>992.37</v>
      </c>
      <c r="E3898" s="9">
        <f t="shared" si="181"/>
        <v>2.6436356284078762E-3</v>
      </c>
      <c r="F3898" s="9">
        <f t="shared" si="182"/>
        <v>8.833415578759396E-2</v>
      </c>
      <c r="G3898" s="9">
        <f t="shared" si="183"/>
        <v>1.4258120770913129E-2</v>
      </c>
    </row>
    <row r="3899" spans="1:7" x14ac:dyDescent="0.2">
      <c r="A3899" s="12">
        <v>42580</v>
      </c>
      <c r="B3899" s="9">
        <v>997.01</v>
      </c>
      <c r="C3899" s="9">
        <v>990.01</v>
      </c>
      <c r="D3899" s="9">
        <v>994.55</v>
      </c>
      <c r="E3899" s="9">
        <f t="shared" si="181"/>
        <v>2.1943519364218621E-3</v>
      </c>
      <c r="F3899" s="9">
        <f t="shared" si="182"/>
        <v>8.3355379373520458E-2</v>
      </c>
      <c r="G3899" s="9">
        <f t="shared" si="183"/>
        <v>1.4236162186224343E-2</v>
      </c>
    </row>
    <row r="3900" spans="1:7" x14ac:dyDescent="0.2">
      <c r="A3900" s="12">
        <v>42583</v>
      </c>
      <c r="B3900" s="9">
        <v>1006.31</v>
      </c>
      <c r="C3900" s="9">
        <v>993.82</v>
      </c>
      <c r="D3900" s="9">
        <v>996.08</v>
      </c>
      <c r="E3900" s="9">
        <f t="shared" si="181"/>
        <v>1.5372020930873901E-3</v>
      </c>
      <c r="F3900" s="9">
        <f t="shared" si="182"/>
        <v>6.4319018016801038E-2</v>
      </c>
      <c r="G3900" s="9">
        <f t="shared" si="183"/>
        <v>1.3834213813920828E-2</v>
      </c>
    </row>
    <row r="3901" spans="1:7" x14ac:dyDescent="0.2">
      <c r="A3901" s="12">
        <v>42584</v>
      </c>
      <c r="B3901" s="9">
        <v>994.72</v>
      </c>
      <c r="C3901" s="9">
        <v>977.48</v>
      </c>
      <c r="D3901" s="9">
        <v>977.51</v>
      </c>
      <c r="E3901" s="9">
        <f t="shared" si="181"/>
        <v>-1.8819053657936093E-2</v>
      </c>
      <c r="F3901" s="9">
        <f t="shared" si="182"/>
        <v>3.9458488347982615E-2</v>
      </c>
      <c r="G3901" s="9">
        <f t="shared" si="183"/>
        <v>1.4328455922238633E-2</v>
      </c>
    </row>
    <row r="3902" spans="1:7" x14ac:dyDescent="0.2">
      <c r="A3902" s="12">
        <v>42585</v>
      </c>
      <c r="B3902" s="9">
        <v>980.55</v>
      </c>
      <c r="C3902" s="9">
        <v>970.14</v>
      </c>
      <c r="D3902" s="9">
        <v>972.57</v>
      </c>
      <c r="E3902" s="9">
        <f t="shared" si="181"/>
        <v>-5.0664696495674741E-3</v>
      </c>
      <c r="F3902" s="9">
        <f t="shared" si="182"/>
        <v>2.6389559368832378E-2</v>
      </c>
      <c r="G3902" s="9">
        <f t="shared" si="183"/>
        <v>1.431679750403304E-2</v>
      </c>
    </row>
    <row r="3903" spans="1:7" x14ac:dyDescent="0.2">
      <c r="A3903" s="12">
        <v>42586</v>
      </c>
      <c r="B3903" s="9">
        <v>981.85</v>
      </c>
      <c r="C3903" s="9">
        <v>972.57</v>
      </c>
      <c r="D3903" s="9">
        <v>979.71</v>
      </c>
      <c r="E3903" s="9">
        <f t="shared" si="181"/>
        <v>7.3145571681374946E-3</v>
      </c>
      <c r="F3903" s="9">
        <f t="shared" si="182"/>
        <v>2.0219163801212896E-2</v>
      </c>
      <c r="G3903" s="9">
        <f t="shared" si="183"/>
        <v>1.4173062482617028E-2</v>
      </c>
    </row>
    <row r="3904" spans="1:7" x14ac:dyDescent="0.2">
      <c r="A3904" s="12">
        <v>42587</v>
      </c>
      <c r="B3904" s="9">
        <v>979.95</v>
      </c>
      <c r="C3904" s="9">
        <v>940.1</v>
      </c>
      <c r="D3904" s="9">
        <v>946</v>
      </c>
      <c r="E3904" s="9">
        <f t="shared" si="181"/>
        <v>-3.5014040452912815E-2</v>
      </c>
      <c r="F3904" s="9">
        <f t="shared" si="182"/>
        <v>1.7402128137260119E-2</v>
      </c>
      <c r="G3904" s="9">
        <f t="shared" si="183"/>
        <v>1.4405774583830404E-2</v>
      </c>
    </row>
    <row r="3905" spans="1:7" x14ac:dyDescent="0.2">
      <c r="A3905" s="12">
        <v>42590</v>
      </c>
      <c r="B3905" s="9">
        <v>945.64</v>
      </c>
      <c r="C3905" s="9">
        <v>930.95</v>
      </c>
      <c r="D3905" s="9">
        <v>931.08</v>
      </c>
      <c r="E3905" s="9">
        <f t="shared" si="181"/>
        <v>-1.5897366358020037E-2</v>
      </c>
      <c r="F3905" s="9">
        <f t="shared" si="182"/>
        <v>3.2285160050486379E-2</v>
      </c>
      <c r="G3905" s="9">
        <f t="shared" si="183"/>
        <v>1.3517431048404152E-2</v>
      </c>
    </row>
    <row r="3906" spans="1:7" x14ac:dyDescent="0.2">
      <c r="A3906" s="12">
        <v>42591</v>
      </c>
      <c r="B3906" s="9">
        <v>946.04</v>
      </c>
      <c r="C3906" s="9">
        <v>926.92</v>
      </c>
      <c r="D3906" s="9">
        <v>946.04</v>
      </c>
      <c r="E3906" s="9">
        <f t="shared" si="181"/>
        <v>1.5939648762203731E-2</v>
      </c>
      <c r="F3906" s="9">
        <f t="shared" si="182"/>
        <v>2.5414301214388962E-2</v>
      </c>
      <c r="G3906" s="9">
        <f t="shared" si="183"/>
        <v>1.3190742961631443E-2</v>
      </c>
    </row>
    <row r="3907" spans="1:7" x14ac:dyDescent="0.2">
      <c r="A3907" s="12">
        <v>42592</v>
      </c>
      <c r="B3907" s="9">
        <v>948.39</v>
      </c>
      <c r="C3907" s="9">
        <v>930.96</v>
      </c>
      <c r="D3907" s="9">
        <v>931.87</v>
      </c>
      <c r="E3907" s="9">
        <f t="shared" si="181"/>
        <v>-1.5091531477945895E-2</v>
      </c>
      <c r="F3907" s="9">
        <f t="shared" si="182"/>
        <v>-1.5831184297516499E-2</v>
      </c>
      <c r="G3907" s="9">
        <f t="shared" si="183"/>
        <v>1.2598269792151869E-2</v>
      </c>
    </row>
    <row r="3908" spans="1:7" x14ac:dyDescent="0.2">
      <c r="A3908" s="12">
        <v>42593</v>
      </c>
      <c r="B3908" s="9">
        <v>932.8</v>
      </c>
      <c r="C3908" s="9">
        <v>925.67</v>
      </c>
      <c r="D3908" s="9">
        <v>929.43</v>
      </c>
      <c r="E3908" s="9">
        <f t="shared" ref="E3908:E3971" si="184">LN(D3908/D3907)</f>
        <v>-2.6218249585841873E-3</v>
      </c>
      <c r="F3908" s="9">
        <f t="shared" si="182"/>
        <v>-2.9837773458924077E-2</v>
      </c>
      <c r="G3908" s="9">
        <f t="shared" si="183"/>
        <v>1.2399547475226719E-2</v>
      </c>
    </row>
    <row r="3909" spans="1:7" x14ac:dyDescent="0.2">
      <c r="A3909" s="12">
        <v>42594</v>
      </c>
      <c r="B3909" s="9">
        <v>931.48</v>
      </c>
      <c r="C3909" s="9">
        <v>922.04</v>
      </c>
      <c r="D3909" s="9">
        <v>925.06</v>
      </c>
      <c r="E3909" s="9">
        <f t="shared" si="184"/>
        <v>-4.712894745876323E-3</v>
      </c>
      <c r="F3909" s="9">
        <f t="shared" si="182"/>
        <v>-4.8715005344901315E-2</v>
      </c>
      <c r="G3909" s="9">
        <f t="shared" si="183"/>
        <v>1.2078577283146463E-2</v>
      </c>
    </row>
    <row r="3910" spans="1:7" x14ac:dyDescent="0.2">
      <c r="A3910" s="12">
        <v>42597</v>
      </c>
      <c r="B3910" s="9">
        <v>934.72</v>
      </c>
      <c r="C3910" s="9">
        <v>925.95</v>
      </c>
      <c r="D3910" s="9">
        <v>930.74</v>
      </c>
      <c r="E3910" s="9">
        <f t="shared" si="184"/>
        <v>6.1213683978163244E-3</v>
      </c>
      <c r="F3910" s="9">
        <f t="shared" si="182"/>
        <v>-4.0264003171408637E-2</v>
      </c>
      <c r="G3910" s="9">
        <f t="shared" si="183"/>
        <v>1.2159823894258301E-2</v>
      </c>
    </row>
    <row r="3911" spans="1:7" x14ac:dyDescent="0.2">
      <c r="A3911" s="12">
        <v>42598</v>
      </c>
      <c r="B3911" s="9">
        <v>930.66</v>
      </c>
      <c r="C3911" s="9">
        <v>921.1</v>
      </c>
      <c r="D3911" s="9">
        <v>922.91</v>
      </c>
      <c r="E3911" s="9">
        <f t="shared" si="184"/>
        <v>-8.4482470485234048E-3</v>
      </c>
      <c r="F3911" s="9">
        <f t="shared" si="182"/>
        <v>-3.4472769602180507E-2</v>
      </c>
      <c r="G3911" s="9">
        <f t="shared" si="183"/>
        <v>1.1992836277252009E-2</v>
      </c>
    </row>
    <row r="3912" spans="1:7" x14ac:dyDescent="0.2">
      <c r="A3912" s="12">
        <v>42599</v>
      </c>
      <c r="B3912" s="9">
        <v>925.43</v>
      </c>
      <c r="C3912" s="9">
        <v>914.24</v>
      </c>
      <c r="D3912" s="9">
        <v>916.86</v>
      </c>
      <c r="E3912" s="9">
        <f t="shared" si="184"/>
        <v>-6.5769327777278098E-3</v>
      </c>
      <c r="F3912" s="9">
        <f t="shared" si="182"/>
        <v>-2.0104977698648299E-2</v>
      </c>
      <c r="G3912" s="9">
        <f t="shared" si="183"/>
        <v>1.1449633052190445E-2</v>
      </c>
    </row>
    <row r="3913" spans="1:7" x14ac:dyDescent="0.2">
      <c r="A3913" s="12">
        <v>42600</v>
      </c>
      <c r="B3913" s="9">
        <v>929.59</v>
      </c>
      <c r="C3913" s="9">
        <v>917.77</v>
      </c>
      <c r="D3913" s="9">
        <v>926.18</v>
      </c>
      <c r="E3913" s="9">
        <f t="shared" si="184"/>
        <v>1.0113811359993509E-2</v>
      </c>
      <c r="F3913" s="9">
        <f t="shared" si="182"/>
        <v>-2.7990010236638291E-2</v>
      </c>
      <c r="G3913" s="9">
        <f t="shared" si="183"/>
        <v>1.1091187235145595E-2</v>
      </c>
    </row>
    <row r="3914" spans="1:7" x14ac:dyDescent="0.2">
      <c r="A3914" s="12">
        <v>42601</v>
      </c>
      <c r="B3914" s="9">
        <v>928.86</v>
      </c>
      <c r="C3914" s="9">
        <v>920.33</v>
      </c>
      <c r="D3914" s="9">
        <v>928.7</v>
      </c>
      <c r="E3914" s="9">
        <f t="shared" si="184"/>
        <v>2.7171585767484783E-3</v>
      </c>
      <c r="F3914" s="9">
        <f t="shared" si="182"/>
        <v>-3.4812804998980512E-2</v>
      </c>
      <c r="G3914" s="9">
        <f t="shared" si="183"/>
        <v>1.0937924866741763E-2</v>
      </c>
    </row>
    <row r="3915" spans="1:7" x14ac:dyDescent="0.2">
      <c r="A3915" s="12">
        <v>42604</v>
      </c>
      <c r="B3915" s="9">
        <v>941.77</v>
      </c>
      <c r="C3915" s="9">
        <v>928.31</v>
      </c>
      <c r="D3915" s="9">
        <v>941.01</v>
      </c>
      <c r="E3915" s="9">
        <f t="shared" si="184"/>
        <v>1.3168007739511841E-2</v>
      </c>
      <c r="F3915" s="9">
        <f t="shared" si="182"/>
        <v>-3.640635562594078E-2</v>
      </c>
      <c r="G3915" s="9">
        <f t="shared" si="183"/>
        <v>1.0861538579560324E-2</v>
      </c>
    </row>
    <row r="3916" spans="1:7" x14ac:dyDescent="0.2">
      <c r="A3916" s="12">
        <v>42605</v>
      </c>
      <c r="B3916" s="9">
        <v>944.7</v>
      </c>
      <c r="C3916" s="9">
        <v>938.48</v>
      </c>
      <c r="D3916" s="9">
        <v>939.8</v>
      </c>
      <c r="E3916" s="9">
        <f t="shared" si="184"/>
        <v>-1.2866798527594041E-3</v>
      </c>
      <c r="F3916" s="9">
        <f t="shared" si="182"/>
        <v>-3.9934603671981116E-2</v>
      </c>
      <c r="G3916" s="9">
        <f t="shared" si="183"/>
        <v>1.0841920841083898E-2</v>
      </c>
    </row>
    <row r="3917" spans="1:7" x14ac:dyDescent="0.2">
      <c r="A3917" s="12">
        <v>42606</v>
      </c>
      <c r="B3917" s="9">
        <v>946.17</v>
      </c>
      <c r="C3917" s="9">
        <v>934.78</v>
      </c>
      <c r="D3917" s="9">
        <v>943.74</v>
      </c>
      <c r="E3917" s="9">
        <f t="shared" si="184"/>
        <v>4.1836178118908841E-3</v>
      </c>
      <c r="F3917" s="9">
        <f t="shared" si="182"/>
        <v>-3.3386446687805375E-2</v>
      </c>
      <c r="G3917" s="9">
        <f t="shared" si="183"/>
        <v>1.0886223048576841E-2</v>
      </c>
    </row>
    <row r="3918" spans="1:7" x14ac:dyDescent="0.2">
      <c r="A3918" s="12">
        <v>42607</v>
      </c>
      <c r="B3918" s="9">
        <v>942.87</v>
      </c>
      <c r="C3918" s="9">
        <v>933.78</v>
      </c>
      <c r="D3918" s="9">
        <v>937.72</v>
      </c>
      <c r="E3918" s="9">
        <f t="shared" si="184"/>
        <v>-6.399307499288992E-3</v>
      </c>
      <c r="F3918" s="9">
        <f t="shared" si="182"/>
        <v>-3.7867499927781462E-2</v>
      </c>
      <c r="G3918" s="9">
        <f t="shared" si="183"/>
        <v>1.0928315107790857E-2</v>
      </c>
    </row>
    <row r="3919" spans="1:7" x14ac:dyDescent="0.2">
      <c r="A3919" s="12">
        <v>42608</v>
      </c>
      <c r="B3919" s="9">
        <v>939.32</v>
      </c>
      <c r="C3919" s="9">
        <v>932.91</v>
      </c>
      <c r="D3919" s="9">
        <v>938.45</v>
      </c>
      <c r="E3919" s="9">
        <f t="shared" si="184"/>
        <v>7.7818112094165206E-4</v>
      </c>
      <c r="F3919" s="9">
        <f t="shared" si="182"/>
        <v>-3.3355111534761429E-2</v>
      </c>
      <c r="G3919" s="9">
        <f t="shared" si="183"/>
        <v>1.092417143785992E-2</v>
      </c>
    </row>
    <row r="3920" spans="1:7" x14ac:dyDescent="0.2">
      <c r="A3920" s="12">
        <v>42611</v>
      </c>
      <c r="B3920" s="9">
        <v>939.11</v>
      </c>
      <c r="C3920" s="9">
        <v>933.33</v>
      </c>
      <c r="D3920" s="9">
        <v>939.05</v>
      </c>
      <c r="E3920" s="9">
        <f t="shared" si="184"/>
        <v>6.3914782468755095E-4</v>
      </c>
      <c r="F3920" s="9">
        <f t="shared" si="182"/>
        <v>-3.3622507368664352E-2</v>
      </c>
      <c r="G3920" s="9">
        <f t="shared" si="183"/>
        <v>1.0922576793526094E-2</v>
      </c>
    </row>
    <row r="3921" spans="1:7" x14ac:dyDescent="0.2">
      <c r="A3921" s="12">
        <v>42612</v>
      </c>
      <c r="B3921" s="9">
        <v>945.43</v>
      </c>
      <c r="C3921" s="9">
        <v>939.3</v>
      </c>
      <c r="D3921" s="9">
        <v>945.24</v>
      </c>
      <c r="E3921" s="9">
        <f t="shared" si="184"/>
        <v>6.5701375762867928E-3</v>
      </c>
      <c r="F3921" s="9">
        <f t="shared" si="182"/>
        <v>-2.6753713229754367E-2</v>
      </c>
      <c r="G3921" s="9">
        <f t="shared" si="183"/>
        <v>1.1012029582430232E-2</v>
      </c>
    </row>
    <row r="3922" spans="1:7" x14ac:dyDescent="0.2">
      <c r="A3922" s="12">
        <v>42613</v>
      </c>
      <c r="B3922" s="9">
        <v>949.72</v>
      </c>
      <c r="C3922" s="9">
        <v>940.82</v>
      </c>
      <c r="D3922" s="9">
        <v>941.12</v>
      </c>
      <c r="E3922" s="9">
        <f t="shared" si="184"/>
        <v>-4.3682081376030758E-3</v>
      </c>
      <c r="F3922" s="9">
        <f t="shared" si="182"/>
        <v>-4.2469735195601849E-2</v>
      </c>
      <c r="G3922" s="9">
        <f t="shared" si="183"/>
        <v>1.0781087409154955E-2</v>
      </c>
    </row>
    <row r="3923" spans="1:7" x14ac:dyDescent="0.2">
      <c r="A3923" s="12">
        <v>42614</v>
      </c>
      <c r="B3923" s="9">
        <v>948.81</v>
      </c>
      <c r="C3923" s="9">
        <v>935.77</v>
      </c>
      <c r="D3923" s="9">
        <v>935.77</v>
      </c>
      <c r="E3923" s="9">
        <f t="shared" si="184"/>
        <v>-5.7009355794666655E-3</v>
      </c>
      <c r="F3923" s="9">
        <f t="shared" si="182"/>
        <v>-4.7212933407162865E-2</v>
      </c>
      <c r="G3923" s="9">
        <f t="shared" si="183"/>
        <v>1.0808884450976901E-2</v>
      </c>
    </row>
    <row r="3924" spans="1:7" x14ac:dyDescent="0.2">
      <c r="A3924" s="12">
        <v>42615</v>
      </c>
      <c r="B3924" s="9">
        <v>937.88</v>
      </c>
      <c r="C3924" s="9">
        <v>928.7</v>
      </c>
      <c r="D3924" s="9">
        <v>937.88</v>
      </c>
      <c r="E3924" s="9">
        <f t="shared" si="184"/>
        <v>2.2522892663714247E-3</v>
      </c>
      <c r="F3924" s="9">
        <f t="shared" si="182"/>
        <v>-4.8633770882650487E-2</v>
      </c>
      <c r="G3924" s="9">
        <f t="shared" si="183"/>
        <v>1.0788194435865206E-2</v>
      </c>
    </row>
    <row r="3925" spans="1:7" x14ac:dyDescent="0.2">
      <c r="A3925" s="12">
        <v>42618</v>
      </c>
      <c r="B3925" s="9">
        <v>944.58</v>
      </c>
      <c r="C3925" s="9">
        <v>935.5</v>
      </c>
      <c r="D3925" s="9">
        <v>944.02</v>
      </c>
      <c r="E3925" s="9">
        <f t="shared" si="184"/>
        <v>6.5253433092140652E-3</v>
      </c>
      <c r="F3925" s="9">
        <f t="shared" si="182"/>
        <v>-3.3018058751596698E-2</v>
      </c>
      <c r="G3925" s="9">
        <f t="shared" si="183"/>
        <v>1.0792104476521324E-2</v>
      </c>
    </row>
    <row r="3926" spans="1:7" x14ac:dyDescent="0.2">
      <c r="A3926" s="12">
        <v>42619</v>
      </c>
      <c r="B3926" s="9">
        <v>944.24</v>
      </c>
      <c r="C3926" s="9">
        <v>933.13</v>
      </c>
      <c r="D3926" s="9">
        <v>933.13</v>
      </c>
      <c r="E3926" s="9">
        <f t="shared" si="184"/>
        <v>-1.1602825743735208E-2</v>
      </c>
      <c r="F3926" s="9">
        <f t="shared" si="182"/>
        <v>-6.2629140998568811E-2</v>
      </c>
      <c r="G3926" s="9">
        <f t="shared" si="183"/>
        <v>1.0328295713916413E-2</v>
      </c>
    </row>
    <row r="3927" spans="1:7" x14ac:dyDescent="0.2">
      <c r="A3927" s="12">
        <v>42620</v>
      </c>
      <c r="B3927" s="9">
        <v>936.83</v>
      </c>
      <c r="C3927" s="9">
        <v>933.29</v>
      </c>
      <c r="D3927" s="9">
        <v>936.14</v>
      </c>
      <c r="E3927" s="9">
        <f t="shared" si="184"/>
        <v>3.2205113242773573E-3</v>
      </c>
      <c r="F3927" s="9">
        <f t="shared" si="182"/>
        <v>-5.5687348043948724E-2</v>
      </c>
      <c r="G3927" s="9">
        <f t="shared" si="183"/>
        <v>1.0368118330077504E-2</v>
      </c>
    </row>
    <row r="3928" spans="1:7" x14ac:dyDescent="0.2">
      <c r="A3928" s="12">
        <v>42621</v>
      </c>
      <c r="B3928" s="9">
        <v>941.64</v>
      </c>
      <c r="C3928" s="9">
        <v>927.95</v>
      </c>
      <c r="D3928" s="9">
        <v>931.96</v>
      </c>
      <c r="E3928" s="9">
        <f t="shared" si="184"/>
        <v>-4.4751426326588104E-3</v>
      </c>
      <c r="F3928" s="9">
        <f t="shared" si="182"/>
        <v>-6.2806126305015517E-2</v>
      </c>
      <c r="G3928" s="9">
        <f t="shared" si="183"/>
        <v>1.0343011833904858E-2</v>
      </c>
    </row>
    <row r="3929" spans="1:7" x14ac:dyDescent="0.2">
      <c r="A3929" s="12">
        <v>42622</v>
      </c>
      <c r="B3929" s="9">
        <v>931.7</v>
      </c>
      <c r="C3929" s="9">
        <v>915.99</v>
      </c>
      <c r="D3929" s="9">
        <v>916.68</v>
      </c>
      <c r="E3929" s="9">
        <f t="shared" si="184"/>
        <v>-1.6531447968363741E-2</v>
      </c>
      <c r="F3929" s="9">
        <f t="shared" si="182"/>
        <v>-8.1531926209801112E-2</v>
      </c>
      <c r="G3929" s="9">
        <f t="shared" si="183"/>
        <v>1.0636206320596251E-2</v>
      </c>
    </row>
    <row r="3930" spans="1:7" x14ac:dyDescent="0.2">
      <c r="A3930" s="12">
        <v>42625</v>
      </c>
      <c r="B3930" s="9">
        <v>915.24</v>
      </c>
      <c r="C3930" s="9">
        <v>901.28</v>
      </c>
      <c r="D3930" s="9">
        <v>915.2</v>
      </c>
      <c r="E3930" s="9">
        <f t="shared" si="184"/>
        <v>-1.6158267157350928E-3</v>
      </c>
      <c r="F3930" s="9">
        <f t="shared" si="182"/>
        <v>-8.4684955018623595E-2</v>
      </c>
      <c r="G3930" s="9">
        <f t="shared" si="183"/>
        <v>1.0608253153023817E-2</v>
      </c>
    </row>
    <row r="3931" spans="1:7" x14ac:dyDescent="0.2">
      <c r="A3931" s="12">
        <v>42626</v>
      </c>
      <c r="B3931" s="9">
        <v>927.13</v>
      </c>
      <c r="C3931" s="9">
        <v>915.29</v>
      </c>
      <c r="D3931" s="9">
        <v>922.33</v>
      </c>
      <c r="E3931" s="9">
        <f t="shared" si="184"/>
        <v>7.7604564643451637E-3</v>
      </c>
      <c r="F3931" s="9">
        <f t="shared" si="182"/>
        <v>-5.8105444896342333E-2</v>
      </c>
      <c r="G3931" s="9">
        <f t="shared" si="183"/>
        <v>1.0332562990152746E-2</v>
      </c>
    </row>
    <row r="3932" spans="1:7" x14ac:dyDescent="0.2">
      <c r="A3932" s="12">
        <v>42627</v>
      </c>
      <c r="B3932" s="9">
        <v>930.45</v>
      </c>
      <c r="C3932" s="9">
        <v>922.98</v>
      </c>
      <c r="D3932" s="9">
        <v>927.5</v>
      </c>
      <c r="E3932" s="9">
        <f t="shared" si="184"/>
        <v>5.5897173917113709E-3</v>
      </c>
      <c r="F3932" s="9">
        <f t="shared" si="182"/>
        <v>-4.7449257855063286E-2</v>
      </c>
      <c r="G3932" s="9">
        <f t="shared" si="183"/>
        <v>1.0404182505704386E-2</v>
      </c>
    </row>
    <row r="3933" spans="1:7" x14ac:dyDescent="0.2">
      <c r="A3933" s="12">
        <v>42628</v>
      </c>
      <c r="B3933" s="9">
        <v>929.84</v>
      </c>
      <c r="C3933" s="9">
        <v>922.4</v>
      </c>
      <c r="D3933" s="9">
        <v>929.55</v>
      </c>
      <c r="E3933" s="9">
        <f t="shared" si="184"/>
        <v>2.2078035946358405E-3</v>
      </c>
      <c r="F3933" s="9">
        <f t="shared" si="182"/>
        <v>-5.2556011428564947E-2</v>
      </c>
      <c r="G3933" s="9">
        <f t="shared" si="183"/>
        <v>1.0294812279138929E-2</v>
      </c>
    </row>
    <row r="3934" spans="1:7" x14ac:dyDescent="0.2">
      <c r="A3934" s="12">
        <v>42629</v>
      </c>
      <c r="B3934" s="9">
        <v>937.87</v>
      </c>
      <c r="C3934" s="9">
        <v>928.12</v>
      </c>
      <c r="D3934" s="9">
        <v>930.45</v>
      </c>
      <c r="E3934" s="9">
        <f t="shared" si="184"/>
        <v>9.6774201101024063E-4</v>
      </c>
      <c r="F3934" s="9">
        <f t="shared" si="182"/>
        <v>-1.657422896464196E-2</v>
      </c>
      <c r="G3934" s="9">
        <f t="shared" si="183"/>
        <v>8.1608388700623105E-3</v>
      </c>
    </row>
    <row r="3935" spans="1:7" x14ac:dyDescent="0.2">
      <c r="A3935" s="12">
        <v>42632</v>
      </c>
      <c r="B3935" s="9">
        <v>938.4</v>
      </c>
      <c r="C3935" s="9">
        <v>930.57</v>
      </c>
      <c r="D3935" s="9">
        <v>936.32</v>
      </c>
      <c r="E3935" s="9">
        <f t="shared" si="184"/>
        <v>6.2889583044685561E-3</v>
      </c>
      <c r="F3935" s="9">
        <f t="shared" si="182"/>
        <v>5.6120956978465602E-3</v>
      </c>
      <c r="G3935" s="9">
        <f t="shared" si="183"/>
        <v>7.715437194247751E-3</v>
      </c>
    </row>
    <row r="3936" spans="1:7" x14ac:dyDescent="0.2">
      <c r="A3936" s="12">
        <v>42633</v>
      </c>
      <c r="B3936" s="9">
        <v>941.71</v>
      </c>
      <c r="C3936" s="9">
        <v>932.97</v>
      </c>
      <c r="D3936" s="9">
        <v>938.76</v>
      </c>
      <c r="E3936" s="9">
        <f t="shared" si="184"/>
        <v>2.6025570932847217E-3</v>
      </c>
      <c r="F3936" s="9">
        <f t="shared" si="182"/>
        <v>-7.7249959710724604E-3</v>
      </c>
      <c r="G3936" s="9">
        <f t="shared" si="183"/>
        <v>7.1391893945508197E-3</v>
      </c>
    </row>
    <row r="3937" spans="1:7" x14ac:dyDescent="0.2">
      <c r="A3937" s="12">
        <v>42634</v>
      </c>
      <c r="B3937" s="9">
        <v>945.58</v>
      </c>
      <c r="C3937" s="9">
        <v>937.15</v>
      </c>
      <c r="D3937" s="9">
        <v>938.84</v>
      </c>
      <c r="E3937" s="9">
        <f t="shared" si="184"/>
        <v>8.5215168351667273E-5</v>
      </c>
      <c r="F3937" s="9">
        <f t="shared" ref="F3937:F4000" si="185">LN(D3937/D3907)</f>
        <v>7.4517506752250686E-3</v>
      </c>
      <c r="G3937" s="9">
        <f t="shared" si="183"/>
        <v>6.5665397986474482E-3</v>
      </c>
    </row>
    <row r="3938" spans="1:7" x14ac:dyDescent="0.2">
      <c r="A3938" s="12">
        <v>42635</v>
      </c>
      <c r="B3938" s="9">
        <v>941.67</v>
      </c>
      <c r="C3938" s="9">
        <v>934.38</v>
      </c>
      <c r="D3938" s="9">
        <v>939.71</v>
      </c>
      <c r="E3938" s="9">
        <f t="shared" si="184"/>
        <v>9.2624637321346635E-4</v>
      </c>
      <c r="F3938" s="9">
        <f t="shared" si="185"/>
        <v>1.0999822007022585E-2</v>
      </c>
      <c r="G3938" s="9">
        <f t="shared" si="183"/>
        <v>6.5449786471324161E-3</v>
      </c>
    </row>
    <row r="3939" spans="1:7" x14ac:dyDescent="0.2">
      <c r="A3939" s="12">
        <v>42636</v>
      </c>
      <c r="B3939" s="9">
        <v>939.12</v>
      </c>
      <c r="C3939" s="9">
        <v>923.38</v>
      </c>
      <c r="D3939" s="9">
        <v>923.89</v>
      </c>
      <c r="E3939" s="9">
        <f t="shared" si="184"/>
        <v>-1.6978300090648307E-2</v>
      </c>
      <c r="F3939" s="9">
        <f t="shared" si="185"/>
        <v>-1.2655833377493756E-3</v>
      </c>
      <c r="G3939" s="9">
        <f t="shared" si="183"/>
        <v>7.2213685041287818E-3</v>
      </c>
    </row>
    <row r="3940" spans="1:7" x14ac:dyDescent="0.2">
      <c r="A3940" s="12">
        <v>42639</v>
      </c>
      <c r="B3940" s="9">
        <v>923.65</v>
      </c>
      <c r="C3940" s="9">
        <v>916.2</v>
      </c>
      <c r="D3940" s="9">
        <v>917.68</v>
      </c>
      <c r="E3940" s="9">
        <f t="shared" si="184"/>
        <v>-6.7442709628941153E-3</v>
      </c>
      <c r="F3940" s="9">
        <f t="shared" si="185"/>
        <v>-1.4131222698459863E-2</v>
      </c>
      <c r="G3940" s="9">
        <f t="shared" si="183"/>
        <v>7.2247366664029145E-3</v>
      </c>
    </row>
    <row r="3941" spans="1:7" x14ac:dyDescent="0.2">
      <c r="A3941" s="12">
        <v>42640</v>
      </c>
      <c r="B3941" s="9">
        <v>918.88</v>
      </c>
      <c r="C3941" s="9">
        <v>904.18</v>
      </c>
      <c r="D3941" s="9">
        <v>904.92</v>
      </c>
      <c r="E3941" s="9">
        <f t="shared" si="184"/>
        <v>-1.4002203970456255E-2</v>
      </c>
      <c r="F3941" s="9">
        <f t="shared" si="185"/>
        <v>-1.9685179620392783E-2</v>
      </c>
      <c r="G3941" s="9">
        <f t="shared" si="183"/>
        <v>7.502036781319975E-3</v>
      </c>
    </row>
    <row r="3942" spans="1:7" x14ac:dyDescent="0.2">
      <c r="A3942" s="12">
        <v>42641</v>
      </c>
      <c r="B3942" s="9">
        <v>916.11</v>
      </c>
      <c r="C3942" s="9">
        <v>905.38</v>
      </c>
      <c r="D3942" s="9">
        <v>912.51</v>
      </c>
      <c r="E3942" s="9">
        <f t="shared" si="184"/>
        <v>8.3525022981519315E-3</v>
      </c>
      <c r="F3942" s="9">
        <f t="shared" si="185"/>
        <v>-4.7557445445130485E-3</v>
      </c>
      <c r="G3942" s="9">
        <f t="shared" si="183"/>
        <v>7.5903917101118072E-3</v>
      </c>
    </row>
    <row r="3943" spans="1:7" x14ac:dyDescent="0.2">
      <c r="A3943" s="12">
        <v>42642</v>
      </c>
      <c r="B3943" s="9">
        <v>919.92</v>
      </c>
      <c r="C3943" s="9">
        <v>900.87</v>
      </c>
      <c r="D3943" s="9">
        <v>901.22</v>
      </c>
      <c r="E3943" s="9">
        <f t="shared" si="184"/>
        <v>-1.2449643356825068E-2</v>
      </c>
      <c r="F3943" s="9">
        <f t="shared" si="185"/>
        <v>-2.7319199261331507E-2</v>
      </c>
      <c r="G3943" s="9">
        <f t="shared" ref="G3943:G4006" si="186">STDEV(E3914:E3943)</f>
        <v>7.6550360506327008E-3</v>
      </c>
    </row>
    <row r="3944" spans="1:7" x14ac:dyDescent="0.2">
      <c r="A3944" s="12">
        <v>42643</v>
      </c>
      <c r="B3944" s="9">
        <v>901.04</v>
      </c>
      <c r="C3944" s="9">
        <v>886.31</v>
      </c>
      <c r="D3944" s="9">
        <v>897.08</v>
      </c>
      <c r="E3944" s="9">
        <f t="shared" si="184"/>
        <v>-4.6043566857944382E-3</v>
      </c>
      <c r="F3944" s="9">
        <f t="shared" si="185"/>
        <v>-3.4640714523874357E-2</v>
      </c>
      <c r="G3944" s="9">
        <f t="shared" si="186"/>
        <v>7.652098049995156E-3</v>
      </c>
    </row>
    <row r="3945" spans="1:7" x14ac:dyDescent="0.2">
      <c r="A3945" s="12">
        <v>42646</v>
      </c>
      <c r="B3945" s="9">
        <v>899.19</v>
      </c>
      <c r="C3945" s="9">
        <v>892.79</v>
      </c>
      <c r="D3945" s="9">
        <v>894.08</v>
      </c>
      <c r="E3945" s="9">
        <f t="shared" si="184"/>
        <v>-3.3497876295459843E-3</v>
      </c>
      <c r="F3945" s="9">
        <f t="shared" si="185"/>
        <v>-5.115850989293224E-2</v>
      </c>
      <c r="G3945" s="9">
        <f t="shared" si="186"/>
        <v>7.1647309405072045E-3</v>
      </c>
    </row>
    <row r="3946" spans="1:7" x14ac:dyDescent="0.2">
      <c r="A3946" s="12">
        <v>42647</v>
      </c>
      <c r="B3946" s="9">
        <v>897.19</v>
      </c>
      <c r="C3946" s="9">
        <v>892.05</v>
      </c>
      <c r="D3946" s="9">
        <v>896.22</v>
      </c>
      <c r="E3946" s="9">
        <f t="shared" si="184"/>
        <v>2.3906619217137254E-3</v>
      </c>
      <c r="F3946" s="9">
        <f t="shared" si="185"/>
        <v>-4.7481168118459177E-2</v>
      </c>
      <c r="G3946" s="9">
        <f t="shared" si="186"/>
        <v>7.2034917148994853E-3</v>
      </c>
    </row>
    <row r="3947" spans="1:7" x14ac:dyDescent="0.2">
      <c r="A3947" s="12">
        <v>42648</v>
      </c>
      <c r="B3947" s="9">
        <v>903.74</v>
      </c>
      <c r="C3947" s="9">
        <v>890.04</v>
      </c>
      <c r="D3947" s="9">
        <v>901.97</v>
      </c>
      <c r="E3947" s="9">
        <f t="shared" si="184"/>
        <v>6.3953415357574997E-3</v>
      </c>
      <c r="F3947" s="9">
        <f t="shared" si="185"/>
        <v>-4.5269444394592691E-2</v>
      </c>
      <c r="G3947" s="9">
        <f t="shared" si="186"/>
        <v>7.2755001883863801E-3</v>
      </c>
    </row>
    <row r="3948" spans="1:7" x14ac:dyDescent="0.2">
      <c r="A3948" s="12">
        <v>42649</v>
      </c>
      <c r="B3948" s="9">
        <v>906.28</v>
      </c>
      <c r="C3948" s="9">
        <v>897.72</v>
      </c>
      <c r="D3948" s="9">
        <v>898.51</v>
      </c>
      <c r="E3948" s="9">
        <f t="shared" si="184"/>
        <v>-3.8434242637886431E-3</v>
      </c>
      <c r="F3948" s="9">
        <f t="shared" si="185"/>
        <v>-4.2713561159092264E-2</v>
      </c>
      <c r="G3948" s="9">
        <f t="shared" si="186"/>
        <v>7.2310889387809359E-3</v>
      </c>
    </row>
    <row r="3949" spans="1:7" x14ac:dyDescent="0.2">
      <c r="A3949" s="12">
        <v>42650</v>
      </c>
      <c r="B3949" s="9">
        <v>898.21</v>
      </c>
      <c r="C3949" s="9">
        <v>888.45</v>
      </c>
      <c r="D3949" s="9">
        <v>888.48</v>
      </c>
      <c r="E3949" s="9">
        <f t="shared" si="184"/>
        <v>-1.1225698328927764E-2</v>
      </c>
      <c r="F3949" s="9">
        <f t="shared" si="185"/>
        <v>-5.4717440608961755E-2</v>
      </c>
      <c r="G3949" s="9">
        <f t="shared" si="186"/>
        <v>7.4343019223210112E-3</v>
      </c>
    </row>
    <row r="3950" spans="1:7" x14ac:dyDescent="0.2">
      <c r="A3950" s="12">
        <v>42653</v>
      </c>
      <c r="B3950" s="9">
        <v>892.72</v>
      </c>
      <c r="C3950" s="9">
        <v>884</v>
      </c>
      <c r="D3950" s="9">
        <v>891.68</v>
      </c>
      <c r="E3950" s="9">
        <f t="shared" si="184"/>
        <v>3.5951863279290279E-3</v>
      </c>
      <c r="F3950" s="9">
        <f t="shared" si="185"/>
        <v>-5.1761402105720264E-2</v>
      </c>
      <c r="G3950" s="9">
        <f t="shared" si="186"/>
        <v>7.4874727881533779E-3</v>
      </c>
    </row>
    <row r="3951" spans="1:7" x14ac:dyDescent="0.2">
      <c r="A3951" s="12">
        <v>42654</v>
      </c>
      <c r="B3951" s="9">
        <v>891.92</v>
      </c>
      <c r="C3951" s="9">
        <v>885.42</v>
      </c>
      <c r="D3951" s="9">
        <v>885.79</v>
      </c>
      <c r="E3951" s="9">
        <f t="shared" si="184"/>
        <v>-6.627421625926771E-3</v>
      </c>
      <c r="F3951" s="9">
        <f t="shared" si="185"/>
        <v>-6.4958961307933896E-2</v>
      </c>
      <c r="G3951" s="9">
        <f t="shared" si="186"/>
        <v>7.3700553498632637E-3</v>
      </c>
    </row>
    <row r="3952" spans="1:7" x14ac:dyDescent="0.2">
      <c r="A3952" s="12">
        <v>42655</v>
      </c>
      <c r="B3952" s="9">
        <v>887.12</v>
      </c>
      <c r="C3952" s="9">
        <v>882.26</v>
      </c>
      <c r="D3952" s="9">
        <v>884.64</v>
      </c>
      <c r="E3952" s="9">
        <f t="shared" si="184"/>
        <v>-1.2991196056765858E-3</v>
      </c>
      <c r="F3952" s="9">
        <f t="shared" si="185"/>
        <v>-6.188987277600741E-2</v>
      </c>
      <c r="G3952" s="9">
        <f t="shared" si="186"/>
        <v>7.3597161663403864E-3</v>
      </c>
    </row>
    <row r="3953" spans="1:7" x14ac:dyDescent="0.2">
      <c r="A3953" s="12">
        <v>42656</v>
      </c>
      <c r="B3953" s="9">
        <v>884.64</v>
      </c>
      <c r="C3953" s="9">
        <v>871.77</v>
      </c>
      <c r="D3953" s="9">
        <v>876.15</v>
      </c>
      <c r="E3953" s="9">
        <f t="shared" si="184"/>
        <v>-9.6434734351947392E-3</v>
      </c>
      <c r="F3953" s="9">
        <f t="shared" si="185"/>
        <v>-6.5832410631735491E-2</v>
      </c>
      <c r="G3953" s="9">
        <f t="shared" si="186"/>
        <v>7.4614137398649341E-3</v>
      </c>
    </row>
    <row r="3954" spans="1:7" x14ac:dyDescent="0.2">
      <c r="A3954" s="12">
        <v>42657</v>
      </c>
      <c r="B3954" s="9">
        <v>894.24</v>
      </c>
      <c r="C3954" s="9">
        <v>876.1</v>
      </c>
      <c r="D3954" s="9">
        <v>891.62</v>
      </c>
      <c r="E3954" s="9">
        <f t="shared" si="184"/>
        <v>1.7502723689371308E-2</v>
      </c>
      <c r="F3954" s="9">
        <f t="shared" si="185"/>
        <v>-5.0581976208735668E-2</v>
      </c>
      <c r="G3954" s="9">
        <f t="shared" si="186"/>
        <v>8.2523971096660747E-3</v>
      </c>
    </row>
    <row r="3955" spans="1:7" x14ac:dyDescent="0.2">
      <c r="A3955" s="12">
        <v>42660</v>
      </c>
      <c r="B3955" s="9">
        <v>893.12</v>
      </c>
      <c r="C3955" s="9">
        <v>883.11</v>
      </c>
      <c r="D3955" s="9">
        <v>892.73</v>
      </c>
      <c r="E3955" s="9">
        <f t="shared" si="184"/>
        <v>1.2441506914919022E-3</v>
      </c>
      <c r="F3955" s="9">
        <f t="shared" si="185"/>
        <v>-5.58631688264579E-2</v>
      </c>
      <c r="G3955" s="9">
        <f t="shared" si="186"/>
        <v>8.1265612019767747E-3</v>
      </c>
    </row>
    <row r="3956" spans="1:7" x14ac:dyDescent="0.2">
      <c r="A3956" s="12">
        <v>42661</v>
      </c>
      <c r="B3956" s="9">
        <v>906.56</v>
      </c>
      <c r="C3956" s="9">
        <v>894.59</v>
      </c>
      <c r="D3956" s="9">
        <v>904.55</v>
      </c>
      <c r="E3956" s="9">
        <f t="shared" si="184"/>
        <v>1.3153398931978911E-2</v>
      </c>
      <c r="F3956" s="9">
        <f t="shared" si="185"/>
        <v>-3.11069441507438E-2</v>
      </c>
      <c r="G3956" s="9">
        <f t="shared" si="186"/>
        <v>8.3569992116944315E-3</v>
      </c>
    </row>
    <row r="3957" spans="1:7" x14ac:dyDescent="0.2">
      <c r="A3957" s="12">
        <v>42662</v>
      </c>
      <c r="B3957" s="9">
        <v>913.02</v>
      </c>
      <c r="C3957" s="9">
        <v>904.43</v>
      </c>
      <c r="D3957" s="9">
        <v>912.48</v>
      </c>
      <c r="E3957" s="9">
        <f t="shared" si="184"/>
        <v>8.7285849409586107E-3</v>
      </c>
      <c r="F3957" s="9">
        <f t="shared" si="185"/>
        <v>-2.559887053406245E-2</v>
      </c>
      <c r="G3957" s="9">
        <f t="shared" si="186"/>
        <v>8.5128127923923304E-3</v>
      </c>
    </row>
    <row r="3958" spans="1:7" x14ac:dyDescent="0.2">
      <c r="A3958" s="12">
        <v>42663</v>
      </c>
      <c r="B3958" s="9">
        <v>917.88</v>
      </c>
      <c r="C3958" s="9">
        <v>910.73</v>
      </c>
      <c r="D3958" s="9">
        <v>916.01</v>
      </c>
      <c r="E3958" s="9">
        <f t="shared" si="184"/>
        <v>3.8611142368788014E-3</v>
      </c>
      <c r="F3958" s="9">
        <f t="shared" si="185"/>
        <v>-1.7262613664524775E-2</v>
      </c>
      <c r="G3958" s="9">
        <f t="shared" si="186"/>
        <v>8.5265567166295728E-3</v>
      </c>
    </row>
    <row r="3959" spans="1:7" x14ac:dyDescent="0.2">
      <c r="A3959" s="12">
        <v>42664</v>
      </c>
      <c r="B3959" s="9">
        <v>924.33</v>
      </c>
      <c r="C3959" s="9">
        <v>915.39</v>
      </c>
      <c r="D3959" s="9">
        <v>923.99</v>
      </c>
      <c r="E3959" s="9">
        <f t="shared" si="184"/>
        <v>8.6739674271902011E-3</v>
      </c>
      <c r="F3959" s="9">
        <f t="shared" si="185"/>
        <v>7.9428017310293596E-3</v>
      </c>
      <c r="G3959" s="9">
        <f t="shared" si="186"/>
        <v>8.1328244599308541E-3</v>
      </c>
    </row>
    <row r="3960" spans="1:7" x14ac:dyDescent="0.2">
      <c r="A3960" s="12">
        <v>42667</v>
      </c>
      <c r="B3960" s="9">
        <v>931.95</v>
      </c>
      <c r="C3960" s="9">
        <v>921.75</v>
      </c>
      <c r="D3960" s="9">
        <v>923.04</v>
      </c>
      <c r="E3960" s="9">
        <f t="shared" si="184"/>
        <v>-1.028678563718668E-3</v>
      </c>
      <c r="F3960" s="9">
        <f t="shared" si="185"/>
        <v>8.5299498830457687E-3</v>
      </c>
      <c r="G3960" s="9">
        <f t="shared" si="186"/>
        <v>8.1288482931293534E-3</v>
      </c>
    </row>
    <row r="3961" spans="1:7" x14ac:dyDescent="0.2">
      <c r="A3961" s="12">
        <v>42668</v>
      </c>
      <c r="B3961" s="9">
        <v>931.27</v>
      </c>
      <c r="C3961" s="9">
        <v>912.17</v>
      </c>
      <c r="D3961" s="9">
        <v>912.35</v>
      </c>
      <c r="E3961" s="9">
        <f t="shared" si="184"/>
        <v>-1.1648882126035012E-2</v>
      </c>
      <c r="F3961" s="9">
        <f t="shared" si="185"/>
        <v>-1.0879388707334446E-2</v>
      </c>
      <c r="G3961" s="9">
        <f t="shared" si="186"/>
        <v>8.2842159800901351E-3</v>
      </c>
    </row>
    <row r="3962" spans="1:7" x14ac:dyDescent="0.2">
      <c r="A3962" s="12">
        <v>42669</v>
      </c>
      <c r="B3962" s="9">
        <v>913.31</v>
      </c>
      <c r="C3962" s="9">
        <v>901.43</v>
      </c>
      <c r="D3962" s="9">
        <v>903.63</v>
      </c>
      <c r="E3962" s="9">
        <f t="shared" si="184"/>
        <v>-9.6037038086130011E-3</v>
      </c>
      <c r="F3962" s="9">
        <f t="shared" si="185"/>
        <v>-2.6072809907658919E-2</v>
      </c>
      <c r="G3962" s="9">
        <f t="shared" si="186"/>
        <v>8.3717312512162946E-3</v>
      </c>
    </row>
    <row r="3963" spans="1:7" x14ac:dyDescent="0.2">
      <c r="A3963" s="12">
        <v>42670</v>
      </c>
      <c r="B3963" s="9">
        <v>911.72</v>
      </c>
      <c r="C3963" s="9">
        <v>897.61</v>
      </c>
      <c r="D3963" s="9">
        <v>908.91</v>
      </c>
      <c r="E3963" s="9">
        <f t="shared" si="184"/>
        <v>5.8260948007537094E-3</v>
      </c>
      <c r="F3963" s="9">
        <f t="shared" si="185"/>
        <v>-2.245451870154121E-2</v>
      </c>
      <c r="G3963" s="9">
        <f t="shared" si="186"/>
        <v>8.4433456576227372E-3</v>
      </c>
    </row>
    <row r="3964" spans="1:7" x14ac:dyDescent="0.2">
      <c r="A3964" s="12">
        <v>42671</v>
      </c>
      <c r="B3964" s="9">
        <v>907.83</v>
      </c>
      <c r="C3964" s="9">
        <v>842.47</v>
      </c>
      <c r="D3964" s="9">
        <v>860.63</v>
      </c>
      <c r="E3964" s="9">
        <f t="shared" si="184"/>
        <v>-5.4581400177342095E-2</v>
      </c>
      <c r="F3964" s="9">
        <f t="shared" si="185"/>
        <v>-7.8003660889893439E-2</v>
      </c>
      <c r="G3964" s="9">
        <f t="shared" si="186"/>
        <v>1.2944967097596519E-2</v>
      </c>
    </row>
    <row r="3965" spans="1:7" x14ac:dyDescent="0.2">
      <c r="A3965" s="12">
        <v>42674</v>
      </c>
      <c r="B3965" s="9">
        <v>867.18</v>
      </c>
      <c r="C3965" s="9">
        <v>856.15</v>
      </c>
      <c r="D3965" s="9">
        <v>866.41</v>
      </c>
      <c r="E3965" s="9">
        <f t="shared" si="184"/>
        <v>6.6935584357564852E-3</v>
      </c>
      <c r="F3965" s="9">
        <f t="shared" si="185"/>
        <v>-7.7599060758605509E-2</v>
      </c>
      <c r="G3965" s="9">
        <f t="shared" si="186"/>
        <v>1.2954754568904008E-2</v>
      </c>
    </row>
    <row r="3966" spans="1:7" x14ac:dyDescent="0.2">
      <c r="A3966" s="12">
        <v>42675</v>
      </c>
      <c r="B3966" s="9">
        <v>872.62</v>
      </c>
      <c r="C3966" s="9">
        <v>850.53</v>
      </c>
      <c r="D3966" s="9">
        <v>850.53</v>
      </c>
      <c r="E3966" s="9">
        <f t="shared" si="184"/>
        <v>-1.8498553050666906E-2</v>
      </c>
      <c r="F3966" s="9">
        <f t="shared" si="185"/>
        <v>-9.8700170902557116E-2</v>
      </c>
      <c r="G3966" s="9">
        <f t="shared" si="186"/>
        <v>1.323313998710903E-2</v>
      </c>
    </row>
    <row r="3967" spans="1:7" x14ac:dyDescent="0.2">
      <c r="A3967" s="12">
        <v>42676</v>
      </c>
      <c r="B3967" s="9">
        <v>850.23</v>
      </c>
      <c r="C3967" s="9">
        <v>832.31</v>
      </c>
      <c r="D3967" s="9">
        <v>832.68</v>
      </c>
      <c r="E3967" s="9">
        <f t="shared" si="184"/>
        <v>-2.121026988297469E-2</v>
      </c>
      <c r="F3967" s="9">
        <f t="shared" si="185"/>
        <v>-0.11999565595388333</v>
      </c>
      <c r="G3967" s="9">
        <f t="shared" si="186"/>
        <v>1.3611596205768319E-2</v>
      </c>
    </row>
    <row r="3968" spans="1:7" x14ac:dyDescent="0.2">
      <c r="A3968" s="12">
        <v>42677</v>
      </c>
      <c r="B3968" s="9">
        <v>839.91</v>
      </c>
      <c r="C3968" s="9">
        <v>830.61</v>
      </c>
      <c r="D3968" s="9">
        <v>835.09</v>
      </c>
      <c r="E3968" s="9">
        <f t="shared" si="184"/>
        <v>2.8900887742110675E-3</v>
      </c>
      <c r="F3968" s="9">
        <f t="shared" si="185"/>
        <v>-0.11803181355288583</v>
      </c>
      <c r="G3968" s="9">
        <f t="shared" si="186"/>
        <v>1.3640794903208565E-2</v>
      </c>
    </row>
    <row r="3969" spans="1:7" x14ac:dyDescent="0.2">
      <c r="A3969" s="12">
        <v>42678</v>
      </c>
      <c r="B3969" s="9">
        <v>834.92</v>
      </c>
      <c r="C3969" s="9">
        <v>818.57</v>
      </c>
      <c r="D3969" s="9">
        <v>821.29</v>
      </c>
      <c r="E3969" s="9">
        <f t="shared" si="184"/>
        <v>-1.6663228620471888E-2</v>
      </c>
      <c r="F3969" s="9">
        <f t="shared" si="185"/>
        <v>-0.11771674208270946</v>
      </c>
      <c r="G3969" s="9">
        <f t="shared" si="186"/>
        <v>1.3630523199040467E-2</v>
      </c>
    </row>
    <row r="3970" spans="1:7" x14ac:dyDescent="0.2">
      <c r="A3970" s="12">
        <v>42681</v>
      </c>
      <c r="B3970" s="9">
        <v>832.61</v>
      </c>
      <c r="C3970" s="9">
        <v>821.37</v>
      </c>
      <c r="D3970" s="9">
        <v>832.61</v>
      </c>
      <c r="E3970" s="9">
        <f t="shared" si="184"/>
        <v>1.3689070404852961E-2</v>
      </c>
      <c r="F3970" s="9">
        <f t="shared" si="185"/>
        <v>-9.7283400714962484E-2</v>
      </c>
      <c r="G3970" s="9">
        <f t="shared" si="186"/>
        <v>1.3990499509415725E-2</v>
      </c>
    </row>
    <row r="3971" spans="1:7" x14ac:dyDescent="0.2">
      <c r="A3971" s="12">
        <v>42682</v>
      </c>
      <c r="B3971" s="9">
        <v>838.17</v>
      </c>
      <c r="C3971" s="9">
        <v>819.4</v>
      </c>
      <c r="D3971" s="9">
        <v>819.42</v>
      </c>
      <c r="E3971" s="9">
        <f t="shared" si="184"/>
        <v>-1.5968572339661629E-2</v>
      </c>
      <c r="F3971" s="9">
        <f t="shared" si="185"/>
        <v>-9.9249769084167827E-2</v>
      </c>
      <c r="G3971" s="9">
        <f t="shared" si="186"/>
        <v>1.4047137294259545E-2</v>
      </c>
    </row>
    <row r="3972" spans="1:7" x14ac:dyDescent="0.2">
      <c r="A3972" s="12">
        <v>42683</v>
      </c>
      <c r="B3972" s="9">
        <v>834.42</v>
      </c>
      <c r="C3972" s="9">
        <v>805.08</v>
      </c>
      <c r="D3972" s="9">
        <v>822.58</v>
      </c>
      <c r="E3972" s="9">
        <f t="shared" ref="E3972:E4035" si="187">LN(D3972/D3971)</f>
        <v>3.848969428950192E-3</v>
      </c>
      <c r="F3972" s="9">
        <f t="shared" si="185"/>
        <v>-0.10375330195336954</v>
      </c>
      <c r="G3972" s="9">
        <f t="shared" si="186"/>
        <v>1.394189397786195E-2</v>
      </c>
    </row>
    <row r="3973" spans="1:7" x14ac:dyDescent="0.2">
      <c r="A3973" s="12">
        <v>42684</v>
      </c>
      <c r="B3973" s="9">
        <v>834.64</v>
      </c>
      <c r="C3973" s="9">
        <v>813.21</v>
      </c>
      <c r="D3973" s="9">
        <v>814.03</v>
      </c>
      <c r="E3973" s="9">
        <f t="shared" si="187"/>
        <v>-1.0448521987073127E-2</v>
      </c>
      <c r="F3973" s="9">
        <f t="shared" si="185"/>
        <v>-0.10175218058361761</v>
      </c>
      <c r="G3973" s="9">
        <f t="shared" si="186"/>
        <v>1.390212320933794E-2</v>
      </c>
    </row>
    <row r="3974" spans="1:7" x14ac:dyDescent="0.2">
      <c r="A3974" s="12">
        <v>42685</v>
      </c>
      <c r="B3974" s="9">
        <v>817.38</v>
      </c>
      <c r="C3974" s="9">
        <v>805.8</v>
      </c>
      <c r="D3974" s="9">
        <v>810</v>
      </c>
      <c r="E3974" s="9">
        <f t="shared" si="187"/>
        <v>-4.9629726937806835E-3</v>
      </c>
      <c r="F3974" s="9">
        <f t="shared" si="185"/>
        <v>-0.10211079659160383</v>
      </c>
      <c r="G3974" s="9">
        <f t="shared" si="186"/>
        <v>1.390335596881046E-2</v>
      </c>
    </row>
    <row r="3975" spans="1:7" x14ac:dyDescent="0.2">
      <c r="A3975" s="12">
        <v>42688</v>
      </c>
      <c r="B3975" s="9">
        <v>819.44</v>
      </c>
      <c r="C3975" s="9">
        <v>807.17</v>
      </c>
      <c r="D3975" s="9">
        <v>809.54</v>
      </c>
      <c r="E3975" s="9">
        <f t="shared" si="187"/>
        <v>-5.6806255155170387E-4</v>
      </c>
      <c r="F3975" s="9">
        <f t="shared" si="185"/>
        <v>-9.9329071513609576E-2</v>
      </c>
      <c r="G3975" s="9">
        <f t="shared" si="186"/>
        <v>1.3913000458508018E-2</v>
      </c>
    </row>
    <row r="3976" spans="1:7" x14ac:dyDescent="0.2">
      <c r="A3976" s="12">
        <v>42689</v>
      </c>
      <c r="B3976" s="9">
        <v>817.52</v>
      </c>
      <c r="C3976" s="9">
        <v>809.73</v>
      </c>
      <c r="D3976" s="9">
        <v>817.52</v>
      </c>
      <c r="E3976" s="9">
        <f t="shared" si="187"/>
        <v>9.8091821890208854E-3</v>
      </c>
      <c r="F3976" s="9">
        <f t="shared" si="185"/>
        <v>-9.1910551246302458E-2</v>
      </c>
      <c r="G3976" s="9">
        <f t="shared" si="186"/>
        <v>1.4082725003702E-2</v>
      </c>
    </row>
    <row r="3977" spans="1:7" x14ac:dyDescent="0.2">
      <c r="A3977" s="12">
        <v>42690</v>
      </c>
      <c r="B3977" s="9">
        <v>823.81</v>
      </c>
      <c r="C3977" s="9">
        <v>817.1</v>
      </c>
      <c r="D3977" s="9">
        <v>817.84</v>
      </c>
      <c r="E3977" s="9">
        <f t="shared" si="187"/>
        <v>3.9135114480502248E-4</v>
      </c>
      <c r="F3977" s="9">
        <f t="shared" si="185"/>
        <v>-9.7914541637254784E-2</v>
      </c>
      <c r="G3977" s="9">
        <f t="shared" si="186"/>
        <v>1.3985995035599557E-2</v>
      </c>
    </row>
    <row r="3978" spans="1:7" x14ac:dyDescent="0.2">
      <c r="A3978" s="12">
        <v>42691</v>
      </c>
      <c r="B3978" s="9">
        <v>820.28</v>
      </c>
      <c r="C3978" s="9">
        <v>814.37</v>
      </c>
      <c r="D3978" s="9">
        <v>820.25</v>
      </c>
      <c r="E3978" s="9">
        <f t="shared" si="187"/>
        <v>2.9424533924522472E-3</v>
      </c>
      <c r="F3978" s="9">
        <f t="shared" si="185"/>
        <v>-9.1128663981013894E-2</v>
      </c>
      <c r="G3978" s="9">
        <f t="shared" si="186"/>
        <v>1.4031099179056273E-2</v>
      </c>
    </row>
    <row r="3979" spans="1:7" x14ac:dyDescent="0.2">
      <c r="A3979" s="12">
        <v>42692</v>
      </c>
      <c r="B3979" s="9">
        <v>823.93</v>
      </c>
      <c r="C3979" s="9">
        <v>819.83</v>
      </c>
      <c r="D3979" s="9">
        <v>821.76</v>
      </c>
      <c r="E3979" s="9">
        <f t="shared" si="187"/>
        <v>1.8392097802760387E-3</v>
      </c>
      <c r="F3979" s="9">
        <f t="shared" si="185"/>
        <v>-7.8063755871810137E-2</v>
      </c>
      <c r="G3979" s="9">
        <f t="shared" si="186"/>
        <v>1.3970819035615653E-2</v>
      </c>
    </row>
    <row r="3980" spans="1:7" x14ac:dyDescent="0.2">
      <c r="A3980" s="12">
        <v>42695</v>
      </c>
      <c r="B3980" s="9">
        <v>823.38</v>
      </c>
      <c r="C3980" s="9">
        <v>816.74</v>
      </c>
      <c r="D3980" s="9">
        <v>820.92</v>
      </c>
      <c r="E3980" s="9">
        <f t="shared" si="187"/>
        <v>-1.0227190605801002E-3</v>
      </c>
      <c r="F3980" s="9">
        <f t="shared" si="185"/>
        <v>-8.2681661260319256E-2</v>
      </c>
      <c r="G3980" s="9">
        <f t="shared" si="186"/>
        <v>1.3925549292533085E-2</v>
      </c>
    </row>
    <row r="3981" spans="1:7" x14ac:dyDescent="0.2">
      <c r="A3981" s="12">
        <v>42696</v>
      </c>
      <c r="B3981" s="9">
        <v>825.82</v>
      </c>
      <c r="C3981" s="9">
        <v>816.9</v>
      </c>
      <c r="D3981" s="9">
        <v>817.55</v>
      </c>
      <c r="E3981" s="9">
        <f t="shared" si="187"/>
        <v>-4.1135995803115392E-3</v>
      </c>
      <c r="F3981" s="9">
        <f t="shared" si="185"/>
        <v>-8.0167839214704106E-2</v>
      </c>
      <c r="G3981" s="9">
        <f t="shared" si="186"/>
        <v>1.3909004248192261E-2</v>
      </c>
    </row>
    <row r="3982" spans="1:7" x14ac:dyDescent="0.2">
      <c r="A3982" s="12">
        <v>42697</v>
      </c>
      <c r="B3982" s="9">
        <v>818.41</v>
      </c>
      <c r="C3982" s="9">
        <v>809.78</v>
      </c>
      <c r="D3982" s="9">
        <v>813.49</v>
      </c>
      <c r="E3982" s="9">
        <f t="shared" si="187"/>
        <v>-4.9784289600564025E-3</v>
      </c>
      <c r="F3982" s="9">
        <f t="shared" si="185"/>
        <v>-8.3847148569083887E-2</v>
      </c>
      <c r="G3982" s="9">
        <f t="shared" si="186"/>
        <v>1.3912699759461617E-2</v>
      </c>
    </row>
    <row r="3983" spans="1:7" x14ac:dyDescent="0.2">
      <c r="A3983" s="12">
        <v>42698</v>
      </c>
      <c r="B3983" s="9">
        <v>817.8</v>
      </c>
      <c r="C3983" s="9">
        <v>813.01</v>
      </c>
      <c r="D3983" s="9">
        <v>815.59</v>
      </c>
      <c r="E3983" s="9">
        <f t="shared" si="187"/>
        <v>2.5781436923837378E-3</v>
      </c>
      <c r="F3983" s="9">
        <f t="shared" si="185"/>
        <v>-7.1625531441505366E-2</v>
      </c>
      <c r="G3983" s="9">
        <f t="shared" si="186"/>
        <v>1.3884152531404218E-2</v>
      </c>
    </row>
    <row r="3984" spans="1:7" x14ac:dyDescent="0.2">
      <c r="A3984" s="12">
        <v>42699</v>
      </c>
      <c r="B3984" s="9">
        <v>825.22</v>
      </c>
      <c r="C3984" s="9">
        <v>815.57</v>
      </c>
      <c r="D3984" s="9">
        <v>824.87</v>
      </c>
      <c r="E3984" s="9">
        <f t="shared" si="187"/>
        <v>1.1314020447818506E-2</v>
      </c>
      <c r="F3984" s="9">
        <f t="shared" si="185"/>
        <v>-7.7814234683058245E-2</v>
      </c>
      <c r="G3984" s="9">
        <f t="shared" si="186"/>
        <v>1.3621933163974366E-2</v>
      </c>
    </row>
    <row r="3985" spans="1:7" x14ac:dyDescent="0.2">
      <c r="A3985" s="12">
        <v>42702</v>
      </c>
      <c r="B3985" s="9">
        <v>835.76</v>
      </c>
      <c r="C3985" s="9">
        <v>824.21</v>
      </c>
      <c r="D3985" s="9">
        <v>827.5</v>
      </c>
      <c r="E3985" s="9">
        <f t="shared" si="187"/>
        <v>3.1833090904767984E-3</v>
      </c>
      <c r="F3985" s="9">
        <f t="shared" si="185"/>
        <v>-7.5875076284073362E-2</v>
      </c>
      <c r="G3985" s="9">
        <f t="shared" si="186"/>
        <v>1.3645353687373487E-2</v>
      </c>
    </row>
    <row r="3986" spans="1:7" x14ac:dyDescent="0.2">
      <c r="A3986" s="12">
        <v>42703</v>
      </c>
      <c r="B3986" s="9">
        <v>830.82</v>
      </c>
      <c r="C3986" s="9">
        <v>825.83</v>
      </c>
      <c r="D3986" s="9">
        <v>830.19</v>
      </c>
      <c r="E3986" s="9">
        <f t="shared" si="187"/>
        <v>3.2454830048838984E-3</v>
      </c>
      <c r="F3986" s="9">
        <f t="shared" si="185"/>
        <v>-8.5782992211168266E-2</v>
      </c>
      <c r="G3986" s="9">
        <f t="shared" si="186"/>
        <v>1.3369814274671338E-2</v>
      </c>
    </row>
    <row r="3987" spans="1:7" x14ac:dyDescent="0.2">
      <c r="A3987" s="12">
        <v>42704</v>
      </c>
      <c r="B3987" s="9">
        <v>841.64</v>
      </c>
      <c r="C3987" s="9">
        <v>829.37</v>
      </c>
      <c r="D3987" s="9">
        <v>836.06</v>
      </c>
      <c r="E3987" s="9">
        <f t="shared" si="187"/>
        <v>7.0457905881607663E-3</v>
      </c>
      <c r="F3987" s="9">
        <f t="shared" si="185"/>
        <v>-8.746578656396628E-2</v>
      </c>
      <c r="G3987" s="9">
        <f t="shared" si="186"/>
        <v>1.3322968214758611E-2</v>
      </c>
    </row>
    <row r="3988" spans="1:7" x14ac:dyDescent="0.2">
      <c r="A3988" s="12">
        <v>42705</v>
      </c>
      <c r="B3988" s="9">
        <v>843.67</v>
      </c>
      <c r="C3988" s="9">
        <v>827.77</v>
      </c>
      <c r="D3988" s="9">
        <v>828.88</v>
      </c>
      <c r="E3988" s="9">
        <f t="shared" si="187"/>
        <v>-8.6249889007661579E-3</v>
      </c>
      <c r="F3988" s="9">
        <f t="shared" si="185"/>
        <v>-9.9951889701611299E-2</v>
      </c>
      <c r="G3988" s="9">
        <f t="shared" si="186"/>
        <v>1.3298977571138498E-2</v>
      </c>
    </row>
    <row r="3989" spans="1:7" x14ac:dyDescent="0.2">
      <c r="A3989" s="12">
        <v>42706</v>
      </c>
      <c r="B3989" s="9">
        <v>829.2</v>
      </c>
      <c r="C3989" s="9">
        <v>823.42</v>
      </c>
      <c r="D3989" s="9">
        <v>828.05</v>
      </c>
      <c r="E3989" s="9">
        <f t="shared" si="187"/>
        <v>-1.0018529079964668E-3</v>
      </c>
      <c r="F3989" s="9">
        <f t="shared" si="185"/>
        <v>-0.10962771003679792</v>
      </c>
      <c r="G3989" s="9">
        <f t="shared" si="186"/>
        <v>1.3113815004567667E-2</v>
      </c>
    </row>
    <row r="3990" spans="1:7" x14ac:dyDescent="0.2">
      <c r="A3990" s="12">
        <v>42709</v>
      </c>
      <c r="B3990" s="9">
        <v>837.74</v>
      </c>
      <c r="C3990" s="9">
        <v>825.89</v>
      </c>
      <c r="D3990" s="9">
        <v>831.71</v>
      </c>
      <c r="E3990" s="9">
        <f t="shared" si="187"/>
        <v>4.4102833330493018E-3</v>
      </c>
      <c r="F3990" s="9">
        <f t="shared" si="185"/>
        <v>-0.10418874814003011</v>
      </c>
      <c r="G3990" s="9">
        <f t="shared" si="186"/>
        <v>1.3188748139378112E-2</v>
      </c>
    </row>
    <row r="3991" spans="1:7" x14ac:dyDescent="0.2">
      <c r="A3991" s="12">
        <v>42710</v>
      </c>
      <c r="B3991" s="9">
        <v>836.88</v>
      </c>
      <c r="C3991" s="9">
        <v>829.08</v>
      </c>
      <c r="D3991" s="9">
        <v>831.23</v>
      </c>
      <c r="E3991" s="9">
        <f t="shared" si="187"/>
        <v>-5.7729083831121802E-4</v>
      </c>
      <c r="F3991" s="9">
        <f t="shared" si="185"/>
        <v>-9.3117156852306385E-2</v>
      </c>
      <c r="G3991" s="9">
        <f t="shared" si="186"/>
        <v>1.3106726887740268E-2</v>
      </c>
    </row>
    <row r="3992" spans="1:7" x14ac:dyDescent="0.2">
      <c r="A3992" s="12">
        <v>42711</v>
      </c>
      <c r="B3992" s="9">
        <v>843.41</v>
      </c>
      <c r="C3992" s="9">
        <v>831.08</v>
      </c>
      <c r="D3992" s="9">
        <v>834.19</v>
      </c>
      <c r="E3992" s="9">
        <f t="shared" si="187"/>
        <v>3.55466262779026E-3</v>
      </c>
      <c r="F3992" s="9">
        <f t="shared" si="185"/>
        <v>-7.9958790415903133E-2</v>
      </c>
      <c r="G3992" s="9">
        <f t="shared" si="186"/>
        <v>1.3101882104405549E-2</v>
      </c>
    </row>
    <row r="3993" spans="1:7" x14ac:dyDescent="0.2">
      <c r="A3993" s="12">
        <v>42712</v>
      </c>
      <c r="B3993" s="9">
        <v>839.23</v>
      </c>
      <c r="C3993" s="9">
        <v>828.33</v>
      </c>
      <c r="D3993" s="9">
        <v>839.18</v>
      </c>
      <c r="E3993" s="9">
        <f t="shared" si="187"/>
        <v>5.96403041890433E-3</v>
      </c>
      <c r="F3993" s="9">
        <f t="shared" si="185"/>
        <v>-7.9820854797752402E-2</v>
      </c>
      <c r="G3993" s="9">
        <f t="shared" si="186"/>
        <v>1.3104988583367772E-2</v>
      </c>
    </row>
    <row r="3994" spans="1:7" x14ac:dyDescent="0.2">
      <c r="A3994" s="12">
        <v>42713</v>
      </c>
      <c r="B3994" s="9">
        <v>857.64</v>
      </c>
      <c r="C3994" s="9">
        <v>840.72</v>
      </c>
      <c r="D3994" s="9">
        <v>857.64</v>
      </c>
      <c r="E3994" s="9">
        <f t="shared" si="187"/>
        <v>2.1759206442955401E-2</v>
      </c>
      <c r="F3994" s="9">
        <f t="shared" si="185"/>
        <v>-3.4802481774550017E-3</v>
      </c>
      <c r="G3994" s="9">
        <f t="shared" si="186"/>
        <v>9.6253796906497734E-3</v>
      </c>
    </row>
    <row r="3995" spans="1:7" x14ac:dyDescent="0.2">
      <c r="A3995" s="12">
        <v>42716</v>
      </c>
      <c r="B3995" s="9">
        <v>859.37</v>
      </c>
      <c r="C3995" s="9">
        <v>849.68</v>
      </c>
      <c r="D3995" s="9">
        <v>851.47</v>
      </c>
      <c r="E3995" s="9">
        <f t="shared" si="187"/>
        <v>-7.2201634814331424E-3</v>
      </c>
      <c r="F3995" s="9">
        <f t="shared" si="185"/>
        <v>-1.7393970094644769E-2</v>
      </c>
      <c r="G3995" s="9">
        <f t="shared" si="186"/>
        <v>9.6211617670940875E-3</v>
      </c>
    </row>
    <row r="3996" spans="1:7" x14ac:dyDescent="0.2">
      <c r="A3996" s="12">
        <v>42717</v>
      </c>
      <c r="B3996" s="9">
        <v>859.72</v>
      </c>
      <c r="C3996" s="9">
        <v>849.21</v>
      </c>
      <c r="D3996" s="9">
        <v>859.24</v>
      </c>
      <c r="E3996" s="9">
        <f t="shared" si="187"/>
        <v>9.0840100673213707E-3</v>
      </c>
      <c r="F3996" s="9">
        <f t="shared" si="185"/>
        <v>1.0188593023343566E-2</v>
      </c>
      <c r="G3996" s="9">
        <f t="shared" si="186"/>
        <v>9.1564625596326065E-3</v>
      </c>
    </row>
    <row r="3997" spans="1:7" x14ac:dyDescent="0.2">
      <c r="A3997" s="12">
        <v>42718</v>
      </c>
      <c r="B3997" s="9">
        <v>860.11</v>
      </c>
      <c r="C3997" s="9">
        <v>853.64</v>
      </c>
      <c r="D3997" s="9">
        <v>855.78</v>
      </c>
      <c r="E3997" s="9">
        <f t="shared" si="187"/>
        <v>-4.0349438423901516E-3</v>
      </c>
      <c r="F3997" s="9">
        <f t="shared" si="185"/>
        <v>2.7363919063928051E-2</v>
      </c>
      <c r="G3997" s="9">
        <f t="shared" si="186"/>
        <v>8.2551747482159359E-3</v>
      </c>
    </row>
    <row r="3998" spans="1:7" x14ac:dyDescent="0.2">
      <c r="A3998" s="12">
        <v>42719</v>
      </c>
      <c r="B3998" s="9">
        <v>869.19</v>
      </c>
      <c r="C3998" s="9">
        <v>855.87</v>
      </c>
      <c r="D3998" s="9">
        <v>869.05</v>
      </c>
      <c r="E3998" s="9">
        <f t="shared" si="187"/>
        <v>1.5387327246102974E-2</v>
      </c>
      <c r="F3998" s="9">
        <f t="shared" si="185"/>
        <v>3.9861157535820077E-2</v>
      </c>
      <c r="G3998" s="9">
        <f t="shared" si="186"/>
        <v>8.6636425400432784E-3</v>
      </c>
    </row>
    <row r="3999" spans="1:7" x14ac:dyDescent="0.2">
      <c r="A3999" s="12">
        <v>42720</v>
      </c>
      <c r="B3999" s="9">
        <v>876.11</v>
      </c>
      <c r="C3999" s="9">
        <v>866.28</v>
      </c>
      <c r="D3999" s="9">
        <v>872.77</v>
      </c>
      <c r="E3999" s="9">
        <f t="shared" si="187"/>
        <v>4.2714007829813602E-3</v>
      </c>
      <c r="F3999" s="9">
        <f t="shared" si="185"/>
        <v>6.0795786939273497E-2</v>
      </c>
      <c r="G3999" s="9">
        <f t="shared" si="186"/>
        <v>7.980673873391372E-3</v>
      </c>
    </row>
    <row r="4000" spans="1:7" x14ac:dyDescent="0.2">
      <c r="A4000" s="12">
        <v>42723</v>
      </c>
      <c r="B4000" s="9">
        <v>876.09</v>
      </c>
      <c r="C4000" s="9">
        <v>865.73</v>
      </c>
      <c r="D4000" s="9">
        <v>872.3</v>
      </c>
      <c r="E4000" s="9">
        <f t="shared" si="187"/>
        <v>-5.3866035329745373E-4</v>
      </c>
      <c r="F4000" s="9">
        <f t="shared" si="185"/>
        <v>4.6568056181123064E-2</v>
      </c>
      <c r="G4000" s="9">
        <f t="shared" si="186"/>
        <v>7.6808340593988497E-3</v>
      </c>
    </row>
    <row r="4001" spans="1:7" x14ac:dyDescent="0.2">
      <c r="A4001" s="12">
        <v>42724</v>
      </c>
      <c r="B4001" s="9">
        <v>876.99</v>
      </c>
      <c r="C4001" s="9">
        <v>871.32</v>
      </c>
      <c r="D4001" s="9">
        <v>874.35</v>
      </c>
      <c r="E4001" s="9">
        <f t="shared" si="187"/>
        <v>2.3473517204956672E-3</v>
      </c>
      <c r="F4001" s="9">
        <f t="shared" ref="F4001:F4064" si="188">LN(D4001/D3971)</f>
        <v>6.4883980241280309E-2</v>
      </c>
      <c r="G4001" s="9">
        <f t="shared" si="186"/>
        <v>6.9315147370374187E-3</v>
      </c>
    </row>
    <row r="4002" spans="1:7" x14ac:dyDescent="0.2">
      <c r="A4002" s="12">
        <v>42725</v>
      </c>
      <c r="B4002" s="9">
        <v>876.09</v>
      </c>
      <c r="C4002" s="9">
        <v>872.21</v>
      </c>
      <c r="D4002" s="9">
        <v>873.78</v>
      </c>
      <c r="E4002" s="9">
        <f t="shared" si="187"/>
        <v>-6.5212543712457149E-4</v>
      </c>
      <c r="F4002" s="9">
        <f t="shared" si="188"/>
        <v>6.0382885375205669E-2</v>
      </c>
      <c r="G4002" s="9">
        <f t="shared" si="186"/>
        <v>6.9424637964557064E-3</v>
      </c>
    </row>
    <row r="4003" spans="1:7" x14ac:dyDescent="0.2">
      <c r="A4003" s="12">
        <v>42726</v>
      </c>
      <c r="B4003" s="9">
        <v>877.87</v>
      </c>
      <c r="C4003" s="9">
        <v>869.93</v>
      </c>
      <c r="D4003" s="9">
        <v>876.42</v>
      </c>
      <c r="E4003" s="9">
        <f t="shared" si="187"/>
        <v>3.0168003682302883E-3</v>
      </c>
      <c r="F4003" s="9">
        <f t="shared" si="188"/>
        <v>7.3848207730509E-2</v>
      </c>
      <c r="G4003" s="9">
        <f t="shared" si="186"/>
        <v>6.5321933393130598E-3</v>
      </c>
    </row>
    <row r="4004" spans="1:7" x14ac:dyDescent="0.2">
      <c r="A4004" s="12">
        <v>42727</v>
      </c>
      <c r="B4004" s="9">
        <v>880.26</v>
      </c>
      <c r="C4004" s="9">
        <v>873.63</v>
      </c>
      <c r="D4004" s="9">
        <v>877.97</v>
      </c>
      <c r="E4004" s="9">
        <f t="shared" si="187"/>
        <v>1.7669963956635267E-3</v>
      </c>
      <c r="F4004" s="9">
        <f t="shared" si="188"/>
        <v>8.0578176819953176E-2</v>
      </c>
      <c r="G4004" s="9">
        <f t="shared" si="186"/>
        <v>6.3822633988010182E-3</v>
      </c>
    </row>
    <row r="4005" spans="1:7" x14ac:dyDescent="0.2">
      <c r="A4005" s="12">
        <v>42731</v>
      </c>
      <c r="B4005" s="9">
        <v>881.17</v>
      </c>
      <c r="C4005" s="9">
        <v>877.41</v>
      </c>
      <c r="D4005" s="9">
        <v>880.95</v>
      </c>
      <c r="E4005" s="9">
        <f t="shared" si="187"/>
        <v>3.388446150200597E-3</v>
      </c>
      <c r="F4005" s="9">
        <f t="shared" si="188"/>
        <v>8.4534685521705497E-2</v>
      </c>
      <c r="G4005" s="9">
        <f t="shared" si="186"/>
        <v>6.3535178590010469E-3</v>
      </c>
    </row>
    <row r="4006" spans="1:7" x14ac:dyDescent="0.2">
      <c r="A4006" s="12">
        <v>42732</v>
      </c>
      <c r="B4006" s="9">
        <v>882.09</v>
      </c>
      <c r="C4006" s="9">
        <v>877.54</v>
      </c>
      <c r="D4006" s="9">
        <v>882.03</v>
      </c>
      <c r="E4006" s="9">
        <f t="shared" si="187"/>
        <v>1.2251983971457055E-3</v>
      </c>
      <c r="F4006" s="9">
        <f t="shared" si="188"/>
        <v>7.5950701729830372E-2</v>
      </c>
      <c r="G4006" s="9">
        <f t="shared" si="186"/>
        <v>6.2196841985183767E-3</v>
      </c>
    </row>
    <row r="4007" spans="1:7" x14ac:dyDescent="0.2">
      <c r="A4007" s="12">
        <v>42733</v>
      </c>
      <c r="B4007" s="9">
        <v>885.93</v>
      </c>
      <c r="C4007" s="9">
        <v>876.61</v>
      </c>
      <c r="D4007" s="9">
        <v>885.54</v>
      </c>
      <c r="E4007" s="9">
        <f t="shared" si="187"/>
        <v>3.9715593879555457E-3</v>
      </c>
      <c r="F4007" s="9">
        <f t="shared" si="188"/>
        <v>7.9530909972980901E-2</v>
      </c>
      <c r="G4007" s="9">
        <f t="shared" ref="G4007:G4070" si="189">STDEV(E3978:E4007)</f>
        <v>6.2115426046182318E-3</v>
      </c>
    </row>
    <row r="4008" spans="1:7" x14ac:dyDescent="0.2">
      <c r="A4008" s="12">
        <v>42734</v>
      </c>
      <c r="B4008" s="9">
        <v>885.61</v>
      </c>
      <c r="C4008" s="9">
        <v>881.71</v>
      </c>
      <c r="D4008" s="9">
        <v>883.96</v>
      </c>
      <c r="E4008" s="9">
        <f t="shared" si="187"/>
        <v>-1.7858156766352028E-3</v>
      </c>
      <c r="F4008" s="9">
        <f t="shared" si="188"/>
        <v>7.4802640903893269E-2</v>
      </c>
      <c r="G4008" s="9">
        <f t="shared" si="189"/>
        <v>6.2636610475407988E-3</v>
      </c>
    </row>
    <row r="4009" spans="1:7" x14ac:dyDescent="0.2">
      <c r="A4009" s="12">
        <v>42737</v>
      </c>
      <c r="B4009" s="9">
        <v>901</v>
      </c>
      <c r="C4009" s="9">
        <v>882.86</v>
      </c>
      <c r="D4009" s="9">
        <v>899.96</v>
      </c>
      <c r="E4009" s="9">
        <f t="shared" si="187"/>
        <v>1.7938505147078426E-2</v>
      </c>
      <c r="F4009" s="9">
        <f t="shared" si="188"/>
        <v>9.0901936270695802E-2</v>
      </c>
      <c r="G4009" s="9">
        <f t="shared" si="189"/>
        <v>6.8663424110799271E-3</v>
      </c>
    </row>
    <row r="4010" spans="1:7" x14ac:dyDescent="0.2">
      <c r="A4010" s="12">
        <v>42738</v>
      </c>
      <c r="B4010" s="9">
        <v>906.29</v>
      </c>
      <c r="C4010" s="9">
        <v>896.85</v>
      </c>
      <c r="D4010" s="9">
        <v>896.85</v>
      </c>
      <c r="E4010" s="9">
        <f t="shared" si="187"/>
        <v>-3.4616938971596561E-3</v>
      </c>
      <c r="F4010" s="9">
        <f t="shared" si="188"/>
        <v>8.8462961434116263E-2</v>
      </c>
      <c r="G4010" s="9">
        <f t="shared" si="189"/>
        <v>6.9301258165819198E-3</v>
      </c>
    </row>
    <row r="4011" spans="1:7" x14ac:dyDescent="0.2">
      <c r="A4011" s="12">
        <v>42739</v>
      </c>
      <c r="B4011" s="9">
        <v>897.73</v>
      </c>
      <c r="C4011" s="9">
        <v>890.99</v>
      </c>
      <c r="D4011" s="9">
        <v>891.45</v>
      </c>
      <c r="E4011" s="9">
        <f t="shared" si="187"/>
        <v>-6.039273514243779E-3</v>
      </c>
      <c r="F4011" s="9">
        <f t="shared" si="188"/>
        <v>8.6537287500184037E-2</v>
      </c>
      <c r="G4011" s="9">
        <f t="shared" si="189"/>
        <v>7.0062949729105626E-3</v>
      </c>
    </row>
    <row r="4012" spans="1:7" x14ac:dyDescent="0.2">
      <c r="A4012" s="12">
        <v>42740</v>
      </c>
      <c r="B4012" s="9">
        <v>901.69</v>
      </c>
      <c r="C4012" s="9">
        <v>891.48</v>
      </c>
      <c r="D4012" s="9">
        <v>900.42</v>
      </c>
      <c r="E4012" s="9">
        <f t="shared" si="187"/>
        <v>1.00119706551737E-2</v>
      </c>
      <c r="F4012" s="9">
        <f t="shared" si="188"/>
        <v>0.10152768711541417</v>
      </c>
      <c r="G4012" s="9">
        <f t="shared" si="189"/>
        <v>6.960577179697865E-3</v>
      </c>
    </row>
    <row r="4013" spans="1:7" x14ac:dyDescent="0.2">
      <c r="A4013" s="12">
        <v>42741</v>
      </c>
      <c r="B4013" s="9">
        <v>904.78</v>
      </c>
      <c r="C4013" s="9">
        <v>899.16</v>
      </c>
      <c r="D4013" s="9">
        <v>900.87</v>
      </c>
      <c r="E4013" s="9">
        <f t="shared" si="187"/>
        <v>4.9964193368274396E-4</v>
      </c>
      <c r="F4013" s="9">
        <f t="shared" si="188"/>
        <v>9.9449185356713057E-2</v>
      </c>
      <c r="G4013" s="9">
        <f t="shared" si="189"/>
        <v>6.9791971234579395E-3</v>
      </c>
    </row>
    <row r="4014" spans="1:7" x14ac:dyDescent="0.2">
      <c r="A4014" s="12">
        <v>42744</v>
      </c>
      <c r="B4014" s="9">
        <v>905.59</v>
      </c>
      <c r="C4014" s="9">
        <v>894.52</v>
      </c>
      <c r="D4014" s="9">
        <v>896.27</v>
      </c>
      <c r="E4014" s="9">
        <f t="shared" si="187"/>
        <v>-5.1192562025545894E-3</v>
      </c>
      <c r="F4014" s="9">
        <f t="shared" si="188"/>
        <v>8.3015908706339958E-2</v>
      </c>
      <c r="G4014" s="9">
        <f t="shared" si="189"/>
        <v>6.9746246630458253E-3</v>
      </c>
    </row>
    <row r="4015" spans="1:7" x14ac:dyDescent="0.2">
      <c r="A4015" s="12">
        <v>42745</v>
      </c>
      <c r="B4015" s="9">
        <v>898.75</v>
      </c>
      <c r="C4015" s="9">
        <v>890.18</v>
      </c>
      <c r="D4015" s="9">
        <v>890.83</v>
      </c>
      <c r="E4015" s="9">
        <f t="shared" si="187"/>
        <v>-6.0880944577713474E-3</v>
      </c>
      <c r="F4015" s="9">
        <f t="shared" si="188"/>
        <v>7.3744505158091833E-2</v>
      </c>
      <c r="G4015" s="9">
        <f t="shared" si="189"/>
        <v>7.1585348765695065E-3</v>
      </c>
    </row>
    <row r="4016" spans="1:7" x14ac:dyDescent="0.2">
      <c r="A4016" s="12">
        <v>42746</v>
      </c>
      <c r="B4016" s="9">
        <v>897.5</v>
      </c>
      <c r="C4016" s="9">
        <v>890.09</v>
      </c>
      <c r="D4016" s="9">
        <v>897.45</v>
      </c>
      <c r="E4016" s="9">
        <f t="shared" si="187"/>
        <v>7.4037960948407202E-3</v>
      </c>
      <c r="F4016" s="9">
        <f t="shared" si="188"/>
        <v>7.7902818248048677E-2</v>
      </c>
      <c r="G4016" s="9">
        <f t="shared" si="189"/>
        <v>7.2143467236111701E-3</v>
      </c>
    </row>
    <row r="4017" spans="1:7" x14ac:dyDescent="0.2">
      <c r="A4017" s="12">
        <v>42747</v>
      </c>
      <c r="B4017" s="9">
        <v>896.86</v>
      </c>
      <c r="C4017" s="9">
        <v>877.69</v>
      </c>
      <c r="D4017" s="9">
        <v>883.78</v>
      </c>
      <c r="E4017" s="9">
        <f t="shared" si="187"/>
        <v>-1.5349245617760965E-2</v>
      </c>
      <c r="F4017" s="9">
        <f t="shared" si="188"/>
        <v>5.5507782042126926E-2</v>
      </c>
      <c r="G4017" s="9">
        <f t="shared" si="189"/>
        <v>7.8672268937906679E-3</v>
      </c>
    </row>
    <row r="4018" spans="1:7" x14ac:dyDescent="0.2">
      <c r="A4018" s="12">
        <v>42748</v>
      </c>
      <c r="B4018" s="9">
        <v>897.69</v>
      </c>
      <c r="C4018" s="9">
        <v>883.89</v>
      </c>
      <c r="D4018" s="9">
        <v>897.69</v>
      </c>
      <c r="E4018" s="9">
        <f t="shared" si="187"/>
        <v>1.5616634235283856E-2</v>
      </c>
      <c r="F4018" s="9">
        <f t="shared" si="188"/>
        <v>7.9749405178177038E-2</v>
      </c>
      <c r="G4018" s="9">
        <f t="shared" si="189"/>
        <v>7.9980562659207385E-3</v>
      </c>
    </row>
    <row r="4019" spans="1:7" x14ac:dyDescent="0.2">
      <c r="A4019" s="12">
        <v>42751</v>
      </c>
      <c r="B4019" s="9">
        <v>903.98</v>
      </c>
      <c r="C4019" s="9">
        <v>896.92</v>
      </c>
      <c r="D4019" s="9">
        <v>897.75</v>
      </c>
      <c r="E4019" s="9">
        <f t="shared" si="187"/>
        <v>6.6835984518883051E-5</v>
      </c>
      <c r="F4019" s="9">
        <f t="shared" si="188"/>
        <v>8.081809407069232E-2</v>
      </c>
      <c r="G4019" s="9">
        <f t="shared" si="189"/>
        <v>7.9835587187443817E-3</v>
      </c>
    </row>
    <row r="4020" spans="1:7" x14ac:dyDescent="0.2">
      <c r="A4020" s="12">
        <v>42752</v>
      </c>
      <c r="B4020" s="9">
        <v>897.57</v>
      </c>
      <c r="C4020" s="9">
        <v>891.78</v>
      </c>
      <c r="D4020" s="9">
        <v>893.07</v>
      </c>
      <c r="E4020" s="9">
        <f t="shared" si="187"/>
        <v>-5.2266678438226211E-3</v>
      </c>
      <c r="F4020" s="9">
        <f t="shared" si="188"/>
        <v>7.1181142893820479E-2</v>
      </c>
      <c r="G4020" s="9">
        <f t="shared" si="189"/>
        <v>8.1050718827469937E-3</v>
      </c>
    </row>
    <row r="4021" spans="1:7" x14ac:dyDescent="0.2">
      <c r="A4021" s="12">
        <v>42753</v>
      </c>
      <c r="B4021" s="9">
        <v>897.3</v>
      </c>
      <c r="C4021" s="9">
        <v>888.26</v>
      </c>
      <c r="D4021" s="9">
        <v>890.94</v>
      </c>
      <c r="E4021" s="9">
        <f t="shared" si="187"/>
        <v>-2.3878801263444043E-3</v>
      </c>
      <c r="F4021" s="9">
        <f t="shared" si="188"/>
        <v>6.9370553605787172E-2</v>
      </c>
      <c r="G4021" s="9">
        <f t="shared" si="189"/>
        <v>8.1344837203433731E-3</v>
      </c>
    </row>
    <row r="4022" spans="1:7" x14ac:dyDescent="0.2">
      <c r="A4022" s="12">
        <v>42754</v>
      </c>
      <c r="B4022" s="9">
        <v>894.98</v>
      </c>
      <c r="C4022" s="9">
        <v>888.75</v>
      </c>
      <c r="D4022" s="9">
        <v>892.89</v>
      </c>
      <c r="E4022" s="9">
        <f t="shared" si="187"/>
        <v>2.1863078620053505E-3</v>
      </c>
      <c r="F4022" s="9">
        <f t="shared" si="188"/>
        <v>6.800219884000229E-2</v>
      </c>
      <c r="G4022" s="9">
        <f t="shared" si="189"/>
        <v>8.1311132422406014E-3</v>
      </c>
    </row>
    <row r="4023" spans="1:7" x14ac:dyDescent="0.2">
      <c r="A4023" s="12">
        <v>42755</v>
      </c>
      <c r="B4023" s="9">
        <v>894.63</v>
      </c>
      <c r="C4023" s="9">
        <v>888.3</v>
      </c>
      <c r="D4023" s="9">
        <v>891.71</v>
      </c>
      <c r="E4023" s="9">
        <f t="shared" si="187"/>
        <v>-1.3224253860429312E-3</v>
      </c>
      <c r="F4023" s="9">
        <f t="shared" si="188"/>
        <v>6.0715743035055031E-2</v>
      </c>
      <c r="G4023" s="9">
        <f t="shared" si="189"/>
        <v>8.125688251824496E-3</v>
      </c>
    </row>
    <row r="4024" spans="1:7" x14ac:dyDescent="0.2">
      <c r="A4024" s="12">
        <v>42758</v>
      </c>
      <c r="B4024" s="9">
        <v>891.09</v>
      </c>
      <c r="C4024" s="9">
        <v>883.09</v>
      </c>
      <c r="D4024" s="9">
        <v>883.4</v>
      </c>
      <c r="E4024" s="9">
        <f t="shared" si="187"/>
        <v>-9.3628684495614123E-3</v>
      </c>
      <c r="F4024" s="9">
        <f t="shared" si="188"/>
        <v>2.9593668142538315E-2</v>
      </c>
      <c r="G4024" s="9">
        <f t="shared" si="189"/>
        <v>7.4802381637161849E-3</v>
      </c>
    </row>
    <row r="4025" spans="1:7" x14ac:dyDescent="0.2">
      <c r="A4025" s="12">
        <v>42759</v>
      </c>
      <c r="B4025" s="9">
        <v>887.91</v>
      </c>
      <c r="C4025" s="9">
        <v>878.01</v>
      </c>
      <c r="D4025" s="9">
        <v>879.8</v>
      </c>
      <c r="E4025" s="9">
        <f t="shared" si="187"/>
        <v>-4.0834902478067E-3</v>
      </c>
      <c r="F4025" s="9">
        <f t="shared" si="188"/>
        <v>3.2730341376164762E-2</v>
      </c>
      <c r="G4025" s="9">
        <f t="shared" si="189"/>
        <v>7.3828616155922067E-3</v>
      </c>
    </row>
    <row r="4026" spans="1:7" x14ac:dyDescent="0.2">
      <c r="A4026" s="12">
        <v>42760</v>
      </c>
      <c r="B4026" s="9">
        <v>890.76</v>
      </c>
      <c r="C4026" s="9">
        <v>880.1</v>
      </c>
      <c r="D4026" s="9">
        <v>890.76</v>
      </c>
      <c r="E4026" s="9">
        <f t="shared" si="187"/>
        <v>1.2380422002836594E-2</v>
      </c>
      <c r="F4026" s="9">
        <f t="shared" si="188"/>
        <v>3.6026753311679829E-2</v>
      </c>
      <c r="G4026" s="9">
        <f t="shared" si="189"/>
        <v>7.5290089024920622E-3</v>
      </c>
    </row>
    <row r="4027" spans="1:7" x14ac:dyDescent="0.2">
      <c r="A4027" s="12">
        <v>42761</v>
      </c>
      <c r="B4027" s="9">
        <v>902.77</v>
      </c>
      <c r="C4027" s="9">
        <v>890.9</v>
      </c>
      <c r="D4027" s="9">
        <v>897.12</v>
      </c>
      <c r="E4027" s="9">
        <f t="shared" si="187"/>
        <v>7.1146014579064418E-3</v>
      </c>
      <c r="F4027" s="9">
        <f t="shared" si="188"/>
        <v>4.7176298611976503E-2</v>
      </c>
      <c r="G4027" s="9">
        <f t="shared" si="189"/>
        <v>7.5368234385423567E-3</v>
      </c>
    </row>
    <row r="4028" spans="1:7" x14ac:dyDescent="0.2">
      <c r="A4028" s="12">
        <v>42762</v>
      </c>
      <c r="B4028" s="9">
        <v>905.07</v>
      </c>
      <c r="C4028" s="9">
        <v>894.28</v>
      </c>
      <c r="D4028" s="9">
        <v>904.82</v>
      </c>
      <c r="E4028" s="9">
        <f t="shared" si="187"/>
        <v>8.5463965147004103E-3</v>
      </c>
      <c r="F4028" s="9">
        <f t="shared" si="188"/>
        <v>4.0335367880573868E-2</v>
      </c>
      <c r="G4028" s="9">
        <f t="shared" si="189"/>
        <v>7.2004165284986193E-3</v>
      </c>
    </row>
    <row r="4029" spans="1:7" x14ac:dyDescent="0.2">
      <c r="A4029" s="12">
        <v>42765</v>
      </c>
      <c r="B4029" s="9">
        <v>905.29</v>
      </c>
      <c r="C4029" s="9">
        <v>897.64</v>
      </c>
      <c r="D4029" s="9">
        <v>901.43</v>
      </c>
      <c r="E4029" s="9">
        <f t="shared" si="187"/>
        <v>-3.7536376253191469E-3</v>
      </c>
      <c r="F4029" s="9">
        <f t="shared" si="188"/>
        <v>3.2310329472273365E-2</v>
      </c>
      <c r="G4029" s="9">
        <f t="shared" si="189"/>
        <v>7.2369065956584145E-3</v>
      </c>
    </row>
    <row r="4030" spans="1:7" x14ac:dyDescent="0.2">
      <c r="A4030" s="12">
        <v>42766</v>
      </c>
      <c r="B4030" s="9">
        <v>907.89</v>
      </c>
      <c r="C4030" s="9">
        <v>899.55</v>
      </c>
      <c r="D4030" s="9">
        <v>902.06</v>
      </c>
      <c r="E4030" s="9">
        <f t="shared" si="187"/>
        <v>6.9864543260616922E-4</v>
      </c>
      <c r="F4030" s="9">
        <f t="shared" si="188"/>
        <v>3.3547635258177104E-2</v>
      </c>
      <c r="G4030" s="9">
        <f t="shared" si="189"/>
        <v>7.2309045337855763E-3</v>
      </c>
    </row>
    <row r="4031" spans="1:7" x14ac:dyDescent="0.2">
      <c r="A4031" s="12">
        <v>42767</v>
      </c>
      <c r="B4031" s="9">
        <v>914.51</v>
      </c>
      <c r="C4031" s="9">
        <v>902.1</v>
      </c>
      <c r="D4031" s="9">
        <v>911.78</v>
      </c>
      <c r="E4031" s="9">
        <f t="shared" si="187"/>
        <v>1.0717696206635281E-2</v>
      </c>
      <c r="F4031" s="9">
        <f t="shared" si="188"/>
        <v>4.1917979744316651E-2</v>
      </c>
      <c r="G4031" s="9">
        <f t="shared" si="189"/>
        <v>7.4384754872433168E-3</v>
      </c>
    </row>
    <row r="4032" spans="1:7" x14ac:dyDescent="0.2">
      <c r="A4032" s="12">
        <v>42768</v>
      </c>
      <c r="B4032" s="9">
        <v>914.83</v>
      </c>
      <c r="C4032" s="9">
        <v>889.34</v>
      </c>
      <c r="D4032" s="9">
        <v>895.29</v>
      </c>
      <c r="E4032" s="9">
        <f t="shared" si="187"/>
        <v>-1.8251044766664521E-2</v>
      </c>
      <c r="F4032" s="9">
        <f t="shared" si="188"/>
        <v>2.4319060414776585E-2</v>
      </c>
      <c r="G4032" s="9">
        <f t="shared" si="189"/>
        <v>8.2548390295100818E-3</v>
      </c>
    </row>
    <row r="4033" spans="1:7" x14ac:dyDescent="0.2">
      <c r="A4033" s="12">
        <v>42769</v>
      </c>
      <c r="B4033" s="9">
        <v>900.21</v>
      </c>
      <c r="C4033" s="9">
        <v>894.87</v>
      </c>
      <c r="D4033" s="9">
        <v>899.82</v>
      </c>
      <c r="E4033" s="9">
        <f t="shared" si="187"/>
        <v>5.0470551843231739E-3</v>
      </c>
      <c r="F4033" s="9">
        <f t="shared" si="188"/>
        <v>2.6349315230869471E-2</v>
      </c>
      <c r="G4033" s="9">
        <f t="shared" si="189"/>
        <v>8.2818275215543451E-3</v>
      </c>
    </row>
    <row r="4034" spans="1:7" x14ac:dyDescent="0.2">
      <c r="A4034" s="12">
        <v>42772</v>
      </c>
      <c r="B4034" s="9">
        <v>902.63</v>
      </c>
      <c r="C4034" s="9">
        <v>894.9</v>
      </c>
      <c r="D4034" s="9">
        <v>894.9</v>
      </c>
      <c r="E4034" s="9">
        <f t="shared" si="187"/>
        <v>-5.4827631328312892E-3</v>
      </c>
      <c r="F4034" s="9">
        <f t="shared" si="188"/>
        <v>1.9099555702374864E-2</v>
      </c>
      <c r="G4034" s="9">
        <f t="shared" si="189"/>
        <v>8.3604010668352127E-3</v>
      </c>
    </row>
    <row r="4035" spans="1:7" x14ac:dyDescent="0.2">
      <c r="A4035" s="12">
        <v>42773</v>
      </c>
      <c r="B4035" s="9">
        <v>894.53</v>
      </c>
      <c r="C4035" s="9">
        <v>890.39</v>
      </c>
      <c r="D4035" s="9">
        <v>894.33</v>
      </c>
      <c r="E4035" s="9">
        <f t="shared" si="187"/>
        <v>-6.3714560932103806E-4</v>
      </c>
      <c r="F4035" s="9">
        <f t="shared" si="188"/>
        <v>1.5073963942853246E-2</v>
      </c>
      <c r="G4035" s="9">
        <f t="shared" si="189"/>
        <v>8.3470062410776723E-3</v>
      </c>
    </row>
    <row r="4036" spans="1:7" x14ac:dyDescent="0.2">
      <c r="A4036" s="12">
        <v>42774</v>
      </c>
      <c r="B4036" s="9">
        <v>894.73</v>
      </c>
      <c r="C4036" s="9">
        <v>886.08</v>
      </c>
      <c r="D4036" s="9">
        <v>888.58</v>
      </c>
      <c r="E4036" s="9">
        <f t="shared" ref="E4036:E4099" si="190">LN(D4036/D4035)</f>
        <v>-6.4501516458540763E-3</v>
      </c>
      <c r="F4036" s="9">
        <f t="shared" si="188"/>
        <v>7.398613899853454E-3</v>
      </c>
      <c r="G4036" s="9">
        <f t="shared" si="189"/>
        <v>8.4411874559366853E-3</v>
      </c>
    </row>
    <row r="4037" spans="1:7" x14ac:dyDescent="0.2">
      <c r="A4037" s="12">
        <v>42775</v>
      </c>
      <c r="B4037" s="9">
        <v>904.68</v>
      </c>
      <c r="C4037" s="9">
        <v>888.78</v>
      </c>
      <c r="D4037" s="9">
        <v>904.61</v>
      </c>
      <c r="E4037" s="9">
        <f t="shared" si="190"/>
        <v>1.7879228658775847E-2</v>
      </c>
      <c r="F4037" s="9">
        <f t="shared" si="188"/>
        <v>2.1306283170673922E-2</v>
      </c>
      <c r="G4037" s="9">
        <f t="shared" si="189"/>
        <v>9.0152016902334021E-3</v>
      </c>
    </row>
    <row r="4038" spans="1:7" x14ac:dyDescent="0.2">
      <c r="A4038" s="12">
        <v>42776</v>
      </c>
      <c r="B4038" s="9">
        <v>909.55</v>
      </c>
      <c r="C4038" s="9">
        <v>901.06</v>
      </c>
      <c r="D4038" s="9">
        <v>908.83</v>
      </c>
      <c r="E4038" s="9">
        <f t="shared" si="190"/>
        <v>4.6541463930171723E-3</v>
      </c>
      <c r="F4038" s="9">
        <f t="shared" si="188"/>
        <v>2.7746245240326393E-2</v>
      </c>
      <c r="G4038" s="9">
        <f t="shared" si="189"/>
        <v>9.0303779357701792E-3</v>
      </c>
    </row>
    <row r="4039" spans="1:7" x14ac:dyDescent="0.2">
      <c r="A4039" s="12">
        <v>42779</v>
      </c>
      <c r="B4039" s="9">
        <v>913.61</v>
      </c>
      <c r="C4039" s="9">
        <v>906.78</v>
      </c>
      <c r="D4039" s="9">
        <v>913.14</v>
      </c>
      <c r="E4039" s="9">
        <f t="shared" si="190"/>
        <v>4.7311514893326276E-3</v>
      </c>
      <c r="F4039" s="9">
        <f t="shared" si="188"/>
        <v>1.4538891582580558E-2</v>
      </c>
      <c r="G4039" s="9">
        <f t="shared" si="189"/>
        <v>8.4773403785946069E-3</v>
      </c>
    </row>
    <row r="4040" spans="1:7" x14ac:dyDescent="0.2">
      <c r="A4040" s="12">
        <v>42780</v>
      </c>
      <c r="B4040" s="9">
        <v>915.29</v>
      </c>
      <c r="C4040" s="9">
        <v>909.41</v>
      </c>
      <c r="D4040" s="9">
        <v>912.97</v>
      </c>
      <c r="E4040" s="9">
        <f t="shared" si="190"/>
        <v>-1.8618812721150291E-4</v>
      </c>
      <c r="F4040" s="9">
        <f t="shared" si="188"/>
        <v>1.781439735252879E-2</v>
      </c>
      <c r="G4040" s="9">
        <f t="shared" si="189"/>
        <v>8.445795918415629E-3</v>
      </c>
    </row>
    <row r="4041" spans="1:7" x14ac:dyDescent="0.2">
      <c r="A4041" s="12">
        <v>42781</v>
      </c>
      <c r="B4041" s="9">
        <v>916.2</v>
      </c>
      <c r="C4041" s="9">
        <v>911.92</v>
      </c>
      <c r="D4041" s="9">
        <v>915.3</v>
      </c>
      <c r="E4041" s="9">
        <f t="shared" si="190"/>
        <v>2.5488590431817244E-3</v>
      </c>
      <c r="F4041" s="9">
        <f t="shared" si="188"/>
        <v>2.6402529909954269E-2</v>
      </c>
      <c r="G4041" s="9">
        <f t="shared" si="189"/>
        <v>8.358308734754398E-3</v>
      </c>
    </row>
    <row r="4042" spans="1:7" x14ac:dyDescent="0.2">
      <c r="A4042" s="12">
        <v>42782</v>
      </c>
      <c r="B4042" s="9">
        <v>921.18</v>
      </c>
      <c r="C4042" s="9">
        <v>915.39</v>
      </c>
      <c r="D4042" s="9">
        <v>920.4</v>
      </c>
      <c r="E4042" s="9">
        <f t="shared" si="190"/>
        <v>5.5564777704771792E-3</v>
      </c>
      <c r="F4042" s="9">
        <f t="shared" si="188"/>
        <v>2.1947037025257535E-2</v>
      </c>
      <c r="G4042" s="9">
        <f t="shared" si="189"/>
        <v>8.2290360941398265E-3</v>
      </c>
    </row>
    <row r="4043" spans="1:7" x14ac:dyDescent="0.2">
      <c r="A4043" s="12">
        <v>42783</v>
      </c>
      <c r="B4043" s="9">
        <v>920.57</v>
      </c>
      <c r="C4043" s="9">
        <v>913.11</v>
      </c>
      <c r="D4043" s="9">
        <v>917.69</v>
      </c>
      <c r="E4043" s="9">
        <f t="shared" si="190"/>
        <v>-2.9487152028494145E-3</v>
      </c>
      <c r="F4043" s="9">
        <f t="shared" si="188"/>
        <v>1.8498679888725597E-2</v>
      </c>
      <c r="G4043" s="9">
        <f t="shared" si="189"/>
        <v>8.2564255811996053E-3</v>
      </c>
    </row>
    <row r="4044" spans="1:7" x14ac:dyDescent="0.2">
      <c r="A4044" s="12">
        <v>42786</v>
      </c>
      <c r="B4044" s="9">
        <v>921.61</v>
      </c>
      <c r="C4044" s="9">
        <v>912.38</v>
      </c>
      <c r="D4044" s="9">
        <v>913.69</v>
      </c>
      <c r="E4044" s="9">
        <f t="shared" si="190"/>
        <v>-4.3682975250056233E-3</v>
      </c>
      <c r="F4044" s="9">
        <f t="shared" si="188"/>
        <v>1.9249638566274648E-2</v>
      </c>
      <c r="G4044" s="9">
        <f t="shared" si="189"/>
        <v>8.2395569493267234E-3</v>
      </c>
    </row>
    <row r="4045" spans="1:7" x14ac:dyDescent="0.2">
      <c r="A4045" s="12">
        <v>42787</v>
      </c>
      <c r="B4045" s="9">
        <v>922.93</v>
      </c>
      <c r="C4045" s="9">
        <v>909.86</v>
      </c>
      <c r="D4045" s="9">
        <v>922.83</v>
      </c>
      <c r="E4045" s="9">
        <f t="shared" si="190"/>
        <v>9.9536900907381577E-3</v>
      </c>
      <c r="F4045" s="9">
        <f t="shared" si="188"/>
        <v>3.5291423114784122E-2</v>
      </c>
      <c r="G4045" s="9">
        <f t="shared" si="189"/>
        <v>8.3080044145071672E-3</v>
      </c>
    </row>
    <row r="4046" spans="1:7" x14ac:dyDescent="0.2">
      <c r="A4046" s="12">
        <v>42788</v>
      </c>
      <c r="B4046" s="9">
        <v>923.35</v>
      </c>
      <c r="C4046" s="9">
        <v>917.59</v>
      </c>
      <c r="D4046" s="9">
        <v>921.32</v>
      </c>
      <c r="E4046" s="9">
        <f t="shared" si="190"/>
        <v>-1.6376111893892454E-3</v>
      </c>
      <c r="F4046" s="9">
        <f t="shared" si="188"/>
        <v>2.6250015830554072E-2</v>
      </c>
      <c r="G4046" s="9">
        <f t="shared" si="189"/>
        <v>8.2380072305732969E-3</v>
      </c>
    </row>
    <row r="4047" spans="1:7" x14ac:dyDescent="0.2">
      <c r="A4047" s="12">
        <v>42789</v>
      </c>
      <c r="B4047" s="9">
        <v>925.35</v>
      </c>
      <c r="C4047" s="9">
        <v>919.42</v>
      </c>
      <c r="D4047" s="9">
        <v>919.49</v>
      </c>
      <c r="E4047" s="9">
        <f t="shared" si="190"/>
        <v>-1.9882558252693572E-3</v>
      </c>
      <c r="F4047" s="9">
        <f t="shared" si="188"/>
        <v>3.9611005623045772E-2</v>
      </c>
      <c r="G4047" s="9">
        <f t="shared" si="189"/>
        <v>7.6723859297863047E-3</v>
      </c>
    </row>
    <row r="4048" spans="1:7" x14ac:dyDescent="0.2">
      <c r="A4048" s="12">
        <v>42790</v>
      </c>
      <c r="B4048" s="9">
        <v>921.97</v>
      </c>
      <c r="C4048" s="9">
        <v>911.38</v>
      </c>
      <c r="D4048" s="9">
        <v>912.06</v>
      </c>
      <c r="E4048" s="9">
        <f t="shared" si="190"/>
        <v>-8.1133911254522417E-3</v>
      </c>
      <c r="F4048" s="9">
        <f t="shared" si="188"/>
        <v>1.5880980262309729E-2</v>
      </c>
      <c r="G4048" s="9">
        <f t="shared" si="189"/>
        <v>7.3647382805143574E-3</v>
      </c>
    </row>
    <row r="4049" spans="1:7" x14ac:dyDescent="0.2">
      <c r="A4049" s="12">
        <v>42793</v>
      </c>
      <c r="B4049" s="9">
        <v>915.6</v>
      </c>
      <c r="C4049" s="9">
        <v>909.34</v>
      </c>
      <c r="D4049" s="9">
        <v>911.4</v>
      </c>
      <c r="E4049" s="9">
        <f t="shared" si="190"/>
        <v>-7.2389855420085627E-4</v>
      </c>
      <c r="F4049" s="9">
        <f t="shared" si="188"/>
        <v>1.5090245723589853E-2</v>
      </c>
      <c r="G4049" s="9">
        <f t="shared" si="189"/>
        <v>7.3678650449051798E-3</v>
      </c>
    </row>
    <row r="4050" spans="1:7" x14ac:dyDescent="0.2">
      <c r="A4050" s="12">
        <v>42794</v>
      </c>
      <c r="B4050" s="9">
        <v>914.54</v>
      </c>
      <c r="C4050" s="9">
        <v>905.7</v>
      </c>
      <c r="D4050" s="9">
        <v>911.54</v>
      </c>
      <c r="E4050" s="9">
        <f t="shared" si="190"/>
        <v>1.5359803424703583E-4</v>
      </c>
      <c r="F4050" s="9">
        <f t="shared" si="188"/>
        <v>2.0470511601659611E-2</v>
      </c>
      <c r="G4050" s="9">
        <f t="shared" si="189"/>
        <v>7.288644014603299E-3</v>
      </c>
    </row>
    <row r="4051" spans="1:7" x14ac:dyDescent="0.2">
      <c r="A4051" s="12">
        <v>42795</v>
      </c>
      <c r="B4051" s="9">
        <v>918.56</v>
      </c>
      <c r="C4051" s="9">
        <v>909.56</v>
      </c>
      <c r="D4051" s="9">
        <v>917.78</v>
      </c>
      <c r="E4051" s="9">
        <f t="shared" si="190"/>
        <v>6.8222336193498028E-3</v>
      </c>
      <c r="F4051" s="9">
        <f t="shared" si="188"/>
        <v>2.9680625347353769E-2</v>
      </c>
      <c r="G4051" s="9">
        <f t="shared" si="189"/>
        <v>7.3485863675605712E-3</v>
      </c>
    </row>
    <row r="4052" spans="1:7" x14ac:dyDescent="0.2">
      <c r="A4052" s="12">
        <v>42796</v>
      </c>
      <c r="B4052" s="9">
        <v>921.5</v>
      </c>
      <c r="C4052" s="9">
        <v>917.2</v>
      </c>
      <c r="D4052" s="9">
        <v>918.07</v>
      </c>
      <c r="E4052" s="9">
        <f t="shared" si="190"/>
        <v>3.1592995333193255E-4</v>
      </c>
      <c r="F4052" s="9">
        <f t="shared" si="188"/>
        <v>2.7810247438680508E-2</v>
      </c>
      <c r="G4052" s="9">
        <f t="shared" si="189"/>
        <v>7.3460149132342492E-3</v>
      </c>
    </row>
    <row r="4053" spans="1:7" x14ac:dyDescent="0.2">
      <c r="A4053" s="12">
        <v>42797</v>
      </c>
      <c r="B4053" s="9">
        <v>917.97</v>
      </c>
      <c r="C4053" s="9">
        <v>910.28</v>
      </c>
      <c r="D4053" s="9">
        <v>911.99</v>
      </c>
      <c r="E4053" s="9">
        <f t="shared" si="190"/>
        <v>-6.6446153347753008E-3</v>
      </c>
      <c r="F4053" s="9">
        <f t="shared" si="188"/>
        <v>2.2488057489948209E-2</v>
      </c>
      <c r="G4053" s="9">
        <f t="shared" si="189"/>
        <v>7.465505641161321E-3</v>
      </c>
    </row>
    <row r="4054" spans="1:7" x14ac:dyDescent="0.2">
      <c r="A4054" s="12">
        <v>42800</v>
      </c>
      <c r="B4054" s="9">
        <v>912.03</v>
      </c>
      <c r="C4054" s="9">
        <v>902.95</v>
      </c>
      <c r="D4054" s="9">
        <v>905.47</v>
      </c>
      <c r="E4054" s="9">
        <f t="shared" si="190"/>
        <v>-7.1748791942311133E-3</v>
      </c>
      <c r="F4054" s="9">
        <f t="shared" si="188"/>
        <v>2.4676046745278426E-2</v>
      </c>
      <c r="G4054" s="9">
        <f t="shared" si="189"/>
        <v>7.3734267223654329E-3</v>
      </c>
    </row>
    <row r="4055" spans="1:7" x14ac:dyDescent="0.2">
      <c r="A4055" s="12">
        <v>42801</v>
      </c>
      <c r="B4055" s="9">
        <v>906.68</v>
      </c>
      <c r="C4055" s="9">
        <v>898.25</v>
      </c>
      <c r="D4055" s="9">
        <v>899.12</v>
      </c>
      <c r="E4055" s="9">
        <f t="shared" si="190"/>
        <v>-7.0376386976927861E-3</v>
      </c>
      <c r="F4055" s="9">
        <f t="shared" si="188"/>
        <v>2.1721898295392297E-2</v>
      </c>
      <c r="G4055" s="9">
        <f t="shared" si="189"/>
        <v>7.460418712684636E-3</v>
      </c>
    </row>
    <row r="4056" spans="1:7" x14ac:dyDescent="0.2">
      <c r="A4056" s="12">
        <v>42802</v>
      </c>
      <c r="B4056" s="9">
        <v>899.48</v>
      </c>
      <c r="C4056" s="9">
        <v>894.27</v>
      </c>
      <c r="D4056" s="9">
        <v>897.84</v>
      </c>
      <c r="E4056" s="9">
        <f t="shared" si="190"/>
        <v>-1.4246285020111968E-3</v>
      </c>
      <c r="F4056" s="9">
        <f t="shared" si="188"/>
        <v>7.9168477905445823E-3</v>
      </c>
      <c r="G4056" s="9">
        <f t="shared" si="189"/>
        <v>7.1353203634341974E-3</v>
      </c>
    </row>
    <row r="4057" spans="1:7" x14ac:dyDescent="0.2">
      <c r="A4057" s="12">
        <v>42803</v>
      </c>
      <c r="B4057" s="9">
        <v>899.55</v>
      </c>
      <c r="C4057" s="9">
        <v>891.83</v>
      </c>
      <c r="D4057" s="9">
        <v>897.32</v>
      </c>
      <c r="E4057" s="9">
        <f t="shared" si="190"/>
        <v>-5.793355628957368E-4</v>
      </c>
      <c r="F4057" s="9">
        <f t="shared" si="188"/>
        <v>2.229107697422401E-4</v>
      </c>
      <c r="G4057" s="9">
        <f t="shared" si="189"/>
        <v>7.017900116778949E-3</v>
      </c>
    </row>
    <row r="4058" spans="1:7" x14ac:dyDescent="0.2">
      <c r="A4058" s="12">
        <v>42804</v>
      </c>
      <c r="B4058" s="9">
        <v>905.98</v>
      </c>
      <c r="C4058" s="9">
        <v>897.46</v>
      </c>
      <c r="D4058" s="9">
        <v>905.59</v>
      </c>
      <c r="E4058" s="9">
        <f t="shared" si="190"/>
        <v>9.1741218400192438E-3</v>
      </c>
      <c r="F4058" s="9">
        <f t="shared" si="188"/>
        <v>8.5063609506120402E-4</v>
      </c>
      <c r="G4058" s="9">
        <f t="shared" si="189"/>
        <v>7.0451203325113078E-3</v>
      </c>
    </row>
    <row r="4059" spans="1:7" x14ac:dyDescent="0.2">
      <c r="A4059" s="12">
        <v>42807</v>
      </c>
      <c r="B4059" s="9">
        <v>908.97</v>
      </c>
      <c r="C4059" s="9">
        <v>904.36</v>
      </c>
      <c r="D4059" s="9">
        <v>908.97</v>
      </c>
      <c r="E4059" s="9">
        <f t="shared" si="190"/>
        <v>3.725425347404096E-3</v>
      </c>
      <c r="F4059" s="9">
        <f t="shared" si="188"/>
        <v>8.3296990677843227E-3</v>
      </c>
      <c r="G4059" s="9">
        <f t="shared" si="189"/>
        <v>7.0390002627180011E-3</v>
      </c>
    </row>
    <row r="4060" spans="1:7" x14ac:dyDescent="0.2">
      <c r="A4060" s="12">
        <v>42808</v>
      </c>
      <c r="B4060" s="9">
        <v>912.07</v>
      </c>
      <c r="C4060" s="9">
        <v>907.89</v>
      </c>
      <c r="D4060" s="9">
        <v>910.99</v>
      </c>
      <c r="E4060" s="9">
        <f t="shared" si="190"/>
        <v>2.2198299187749246E-3</v>
      </c>
      <c r="F4060" s="9">
        <f t="shared" si="188"/>
        <v>9.8508835539530288E-3</v>
      </c>
      <c r="G4060" s="9">
        <f t="shared" si="189"/>
        <v>7.0476112077792188E-3</v>
      </c>
    </row>
    <row r="4061" spans="1:7" x14ac:dyDescent="0.2">
      <c r="A4061" s="12">
        <v>42809</v>
      </c>
      <c r="B4061" s="9">
        <v>912.36</v>
      </c>
      <c r="C4061" s="9">
        <v>907.83</v>
      </c>
      <c r="D4061" s="9">
        <v>910.49</v>
      </c>
      <c r="E4061" s="9">
        <f t="shared" si="190"/>
        <v>-5.490041203401445E-4</v>
      </c>
      <c r="F4061" s="9">
        <f t="shared" si="188"/>
        <v>-1.4158167730223309E-3</v>
      </c>
      <c r="G4061" s="9">
        <f t="shared" si="189"/>
        <v>6.7695976744564018E-3</v>
      </c>
    </row>
    <row r="4062" spans="1:7" x14ac:dyDescent="0.2">
      <c r="A4062" s="12">
        <v>42810</v>
      </c>
      <c r="B4062" s="9">
        <v>916.46</v>
      </c>
      <c r="C4062" s="9">
        <v>910.49</v>
      </c>
      <c r="D4062" s="9">
        <v>914.66</v>
      </c>
      <c r="E4062" s="9">
        <f t="shared" si="190"/>
        <v>4.5694953904035652E-3</v>
      </c>
      <c r="F4062" s="9">
        <f t="shared" si="188"/>
        <v>2.1404723384045702E-2</v>
      </c>
      <c r="G4062" s="9">
        <f t="shared" si="189"/>
        <v>5.8768116083679385E-3</v>
      </c>
    </row>
    <row r="4063" spans="1:7" x14ac:dyDescent="0.2">
      <c r="A4063" s="12">
        <v>42811</v>
      </c>
      <c r="B4063" s="9">
        <v>914.65</v>
      </c>
      <c r="C4063" s="9">
        <v>910.11</v>
      </c>
      <c r="D4063" s="9">
        <v>912.95</v>
      </c>
      <c r="E4063" s="9">
        <f t="shared" si="190"/>
        <v>-1.8712969386242941E-3</v>
      </c>
      <c r="F4063" s="9">
        <f t="shared" si="188"/>
        <v>1.4486371261098356E-2</v>
      </c>
      <c r="G4063" s="9">
        <f t="shared" si="189"/>
        <v>5.8364975905799924E-3</v>
      </c>
    </row>
    <row r="4064" spans="1:7" x14ac:dyDescent="0.2">
      <c r="A4064" s="12">
        <v>42814</v>
      </c>
      <c r="B4064" s="9">
        <v>915.02</v>
      </c>
      <c r="C4064" s="9">
        <v>910.07</v>
      </c>
      <c r="D4064" s="9">
        <v>914.02</v>
      </c>
      <c r="E4064" s="9">
        <f t="shared" si="190"/>
        <v>1.1713384700785395E-3</v>
      </c>
      <c r="F4064" s="9">
        <f t="shared" si="188"/>
        <v>2.1140472864008008E-2</v>
      </c>
      <c r="G4064" s="9">
        <f t="shared" si="189"/>
        <v>5.7273861378066039E-3</v>
      </c>
    </row>
    <row r="4065" spans="1:7" x14ac:dyDescent="0.2">
      <c r="A4065" s="12">
        <v>42815</v>
      </c>
      <c r="B4065" s="9">
        <v>917.41</v>
      </c>
      <c r="C4065" s="9">
        <v>900.26</v>
      </c>
      <c r="D4065" s="9">
        <v>902.12</v>
      </c>
      <c r="E4065" s="9">
        <f t="shared" si="190"/>
        <v>-1.3104904144912744E-2</v>
      </c>
      <c r="F4065" s="9">
        <f t="shared" ref="F4065:F4100" si="191">LN(D4065/D4035)</f>
        <v>8.6727143284163685E-3</v>
      </c>
      <c r="G4065" s="9">
        <f t="shared" si="189"/>
        <v>6.256054408030497E-3</v>
      </c>
    </row>
    <row r="4066" spans="1:7" x14ac:dyDescent="0.2">
      <c r="A4066" s="12">
        <v>42816</v>
      </c>
      <c r="B4066" s="9">
        <v>900.59</v>
      </c>
      <c r="C4066" s="9">
        <v>887.3</v>
      </c>
      <c r="D4066" s="9">
        <v>896.72</v>
      </c>
      <c r="E4066" s="9">
        <f t="shared" si="190"/>
        <v>-6.0038871950678025E-3</v>
      </c>
      <c r="F4066" s="9">
        <f t="shared" si="191"/>
        <v>9.1189787792025842E-3</v>
      </c>
      <c r="G4066" s="9">
        <f t="shared" si="189"/>
        <v>6.2399873759884858E-3</v>
      </c>
    </row>
    <row r="4067" spans="1:7" x14ac:dyDescent="0.2">
      <c r="A4067" s="12">
        <v>42817</v>
      </c>
      <c r="B4067" s="9">
        <v>905.07</v>
      </c>
      <c r="C4067" s="9">
        <v>894.5</v>
      </c>
      <c r="D4067" s="9">
        <v>904.3</v>
      </c>
      <c r="E4067" s="9">
        <f t="shared" si="190"/>
        <v>8.4175020335943949E-3</v>
      </c>
      <c r="F4067" s="9">
        <f t="shared" si="191"/>
        <v>-3.4274784597894593E-4</v>
      </c>
      <c r="G4067" s="9">
        <f t="shared" si="189"/>
        <v>5.5184371145752783E-3</v>
      </c>
    </row>
    <row r="4068" spans="1:7" x14ac:dyDescent="0.2">
      <c r="A4068" s="12">
        <v>42818</v>
      </c>
      <c r="B4068" s="9">
        <v>905.5</v>
      </c>
      <c r="C4068" s="9">
        <v>900.23</v>
      </c>
      <c r="D4068" s="9">
        <v>904.22</v>
      </c>
      <c r="E4068" s="9">
        <f t="shared" si="190"/>
        <v>-8.8470130329919544E-5</v>
      </c>
      <c r="F4068" s="9">
        <f t="shared" si="191"/>
        <v>-5.0853643693260083E-3</v>
      </c>
      <c r="G4068" s="9">
        <f t="shared" si="189"/>
        <v>5.4476503337277738E-3</v>
      </c>
    </row>
    <row r="4069" spans="1:7" x14ac:dyDescent="0.2">
      <c r="A4069" s="12">
        <v>42821</v>
      </c>
      <c r="B4069" s="9">
        <v>903.41</v>
      </c>
      <c r="C4069" s="9">
        <v>897.93</v>
      </c>
      <c r="D4069" s="9">
        <v>902.68</v>
      </c>
      <c r="E4069" s="9">
        <f t="shared" si="190"/>
        <v>-1.7045773123950357E-3</v>
      </c>
      <c r="F4069" s="9">
        <f t="shared" si="191"/>
        <v>-1.1521093171053829E-2</v>
      </c>
      <c r="G4069" s="9">
        <f t="shared" si="189"/>
        <v>5.3742336468198494E-3</v>
      </c>
    </row>
    <row r="4070" spans="1:7" x14ac:dyDescent="0.2">
      <c r="A4070" s="12">
        <v>42822</v>
      </c>
      <c r="B4070" s="9">
        <v>907.89</v>
      </c>
      <c r="C4070" s="9">
        <v>903.24</v>
      </c>
      <c r="D4070" s="9">
        <v>907.65</v>
      </c>
      <c r="E4070" s="9">
        <f t="shared" si="190"/>
        <v>5.490725432730572E-3</v>
      </c>
      <c r="F4070" s="9">
        <f t="shared" si="191"/>
        <v>-5.8441796111116705E-3</v>
      </c>
      <c r="G4070" s="9">
        <f t="shared" si="189"/>
        <v>5.4803368560079864E-3</v>
      </c>
    </row>
    <row r="4071" spans="1:7" x14ac:dyDescent="0.2">
      <c r="A4071" s="12">
        <v>42823</v>
      </c>
      <c r="B4071" s="9">
        <v>908.97</v>
      </c>
      <c r="C4071" s="9">
        <v>903.46</v>
      </c>
      <c r="D4071" s="9">
        <v>907.89</v>
      </c>
      <c r="E4071" s="9">
        <f t="shared" si="190"/>
        <v>2.6438415171013956E-4</v>
      </c>
      <c r="F4071" s="9">
        <f t="shared" si="191"/>
        <v>-8.1286545025832709E-3</v>
      </c>
      <c r="G4071" s="9">
        <f t="shared" ref="G4071:G4099" si="192">STDEV(E4042:E4071)</f>
        <v>5.4567195732725931E-3</v>
      </c>
    </row>
    <row r="4072" spans="1:7" x14ac:dyDescent="0.2">
      <c r="A4072" s="12">
        <v>42824</v>
      </c>
      <c r="B4072" s="9">
        <v>912.39</v>
      </c>
      <c r="C4072" s="9">
        <v>908.47</v>
      </c>
      <c r="D4072" s="9">
        <v>911.95</v>
      </c>
      <c r="E4072" s="9">
        <f t="shared" si="190"/>
        <v>4.4619381218563093E-3</v>
      </c>
      <c r="F4072" s="9">
        <f t="shared" si="191"/>
        <v>-9.2231941512040307E-3</v>
      </c>
      <c r="G4072" s="9">
        <f t="shared" si="192"/>
        <v>5.4199479476991236E-3</v>
      </c>
    </row>
    <row r="4073" spans="1:7" x14ac:dyDescent="0.2">
      <c r="A4073" s="12">
        <v>42825</v>
      </c>
      <c r="B4073" s="9">
        <v>918.5</v>
      </c>
      <c r="C4073" s="9">
        <v>908.18</v>
      </c>
      <c r="D4073" s="9">
        <v>915.51</v>
      </c>
      <c r="E4073" s="9">
        <f t="shared" si="190"/>
        <v>3.8961230378033143E-3</v>
      </c>
      <c r="F4073" s="9">
        <f t="shared" si="191"/>
        <v>-2.3783559105513973E-3</v>
      </c>
      <c r="G4073" s="9">
        <f t="shared" si="192"/>
        <v>5.4489199016581717E-3</v>
      </c>
    </row>
    <row r="4074" spans="1:7" x14ac:dyDescent="0.2">
      <c r="A4074" s="12">
        <v>42828</v>
      </c>
      <c r="B4074" s="9">
        <v>920.86</v>
      </c>
      <c r="C4074" s="9">
        <v>908.26</v>
      </c>
      <c r="D4074" s="9">
        <v>908.26</v>
      </c>
      <c r="E4074" s="9">
        <f t="shared" si="190"/>
        <v>-7.9506058226897613E-3</v>
      </c>
      <c r="F4074" s="9">
        <f t="shared" si="191"/>
        <v>-5.9606642082355357E-3</v>
      </c>
      <c r="G4074" s="9">
        <f t="shared" si="192"/>
        <v>5.5837370372323752E-3</v>
      </c>
    </row>
    <row r="4075" spans="1:7" x14ac:dyDescent="0.2">
      <c r="A4075" s="12">
        <v>42829</v>
      </c>
      <c r="B4075" s="9">
        <v>924.29</v>
      </c>
      <c r="C4075" s="9">
        <v>908.31</v>
      </c>
      <c r="D4075" s="9">
        <v>924.15</v>
      </c>
      <c r="E4075" s="9">
        <f t="shared" si="190"/>
        <v>1.7343714903569018E-2</v>
      </c>
      <c r="F4075" s="9">
        <f t="shared" si="191"/>
        <v>1.4293606045954004E-3</v>
      </c>
      <c r="G4075" s="9">
        <f t="shared" si="192"/>
        <v>6.1784111751589073E-3</v>
      </c>
    </row>
    <row r="4076" spans="1:7" x14ac:dyDescent="0.2">
      <c r="A4076" s="12">
        <v>42830</v>
      </c>
      <c r="B4076" s="9">
        <v>930.71</v>
      </c>
      <c r="C4076" s="9">
        <v>923.7</v>
      </c>
      <c r="D4076" s="9">
        <v>925.74</v>
      </c>
      <c r="E4076" s="9">
        <f t="shared" si="190"/>
        <v>1.7190215543002713E-3</v>
      </c>
      <c r="F4076" s="9">
        <f t="shared" si="191"/>
        <v>4.7859933482848069E-3</v>
      </c>
      <c r="G4076" s="9">
        <f t="shared" si="192"/>
        <v>6.1772329970831499E-3</v>
      </c>
    </row>
    <row r="4077" spans="1:7" x14ac:dyDescent="0.2">
      <c r="A4077" s="12">
        <v>42831</v>
      </c>
      <c r="B4077" s="9">
        <v>926.38</v>
      </c>
      <c r="C4077" s="9">
        <v>919.92</v>
      </c>
      <c r="D4077" s="9">
        <v>922.79</v>
      </c>
      <c r="E4077" s="9">
        <f t="shared" si="190"/>
        <v>-3.1917280264157962E-3</v>
      </c>
      <c r="F4077" s="9">
        <f t="shared" si="191"/>
        <v>3.5825211471384646E-3</v>
      </c>
      <c r="G4077" s="9">
        <f t="shared" si="192"/>
        <v>6.1955425946657984E-3</v>
      </c>
    </row>
    <row r="4078" spans="1:7" x14ac:dyDescent="0.2">
      <c r="A4078" s="12">
        <v>42832</v>
      </c>
      <c r="B4078" s="9">
        <v>922.43</v>
      </c>
      <c r="C4078" s="9">
        <v>914.81</v>
      </c>
      <c r="D4078" s="9">
        <v>919.38</v>
      </c>
      <c r="E4078" s="9">
        <f t="shared" si="190"/>
        <v>-3.7021598384338792E-3</v>
      </c>
      <c r="F4078" s="9">
        <f t="shared" si="191"/>
        <v>7.9937524341567919E-3</v>
      </c>
      <c r="G4078" s="9">
        <f t="shared" si="192"/>
        <v>6.043903676295123E-3</v>
      </c>
    </row>
    <row r="4079" spans="1:7" x14ac:dyDescent="0.2">
      <c r="A4079" s="12">
        <v>42835</v>
      </c>
      <c r="B4079" s="9">
        <v>927.79</v>
      </c>
      <c r="C4079" s="9">
        <v>919.55</v>
      </c>
      <c r="D4079" s="9">
        <v>927.75</v>
      </c>
      <c r="E4079" s="9">
        <f t="shared" si="190"/>
        <v>9.0627701225671174E-3</v>
      </c>
      <c r="F4079" s="9">
        <f t="shared" si="191"/>
        <v>1.7780421110924861E-2</v>
      </c>
      <c r="G4079" s="9">
        <f t="shared" si="192"/>
        <v>6.2492373081747812E-3</v>
      </c>
    </row>
    <row r="4080" spans="1:7" x14ac:dyDescent="0.2">
      <c r="A4080" s="12">
        <v>42836</v>
      </c>
      <c r="B4080" s="9">
        <v>931.42</v>
      </c>
      <c r="C4080" s="9">
        <v>923.17</v>
      </c>
      <c r="D4080" s="9">
        <v>927.88</v>
      </c>
      <c r="E4080" s="9">
        <f t="shared" si="190"/>
        <v>1.4011413936248761E-4</v>
      </c>
      <c r="F4080" s="9">
        <f t="shared" si="191"/>
        <v>1.7766937216040279E-2</v>
      </c>
      <c r="G4080" s="9">
        <f t="shared" si="192"/>
        <v>6.2492704620471969E-3</v>
      </c>
    </row>
    <row r="4081" spans="1:7" x14ac:dyDescent="0.2">
      <c r="A4081" s="12">
        <v>42837</v>
      </c>
      <c r="B4081" s="9">
        <v>936.03</v>
      </c>
      <c r="C4081" s="9">
        <v>927.91</v>
      </c>
      <c r="D4081" s="9">
        <v>934.61</v>
      </c>
      <c r="E4081" s="9">
        <f t="shared" si="190"/>
        <v>7.2269158936192936E-3</v>
      </c>
      <c r="F4081" s="9">
        <f t="shared" si="191"/>
        <v>1.817161949030997E-2</v>
      </c>
      <c r="G4081" s="9">
        <f t="shared" si="192"/>
        <v>6.2636023286364974E-3</v>
      </c>
    </row>
    <row r="4082" spans="1:7" x14ac:dyDescent="0.2">
      <c r="A4082" s="12">
        <v>42843</v>
      </c>
      <c r="B4082" s="9">
        <v>935.85</v>
      </c>
      <c r="C4082" s="9">
        <v>920.87</v>
      </c>
      <c r="D4082" s="9">
        <v>923.09</v>
      </c>
      <c r="E4082" s="9">
        <f t="shared" si="190"/>
        <v>-1.2402592098767814E-2</v>
      </c>
      <c r="F4082" s="9">
        <f t="shared" si="191"/>
        <v>5.4530974382100122E-3</v>
      </c>
      <c r="G4082" s="9">
        <f t="shared" si="192"/>
        <v>6.699173662239319E-3</v>
      </c>
    </row>
    <row r="4083" spans="1:7" x14ac:dyDescent="0.2">
      <c r="A4083" s="12">
        <v>42844</v>
      </c>
      <c r="B4083" s="9">
        <v>932.01</v>
      </c>
      <c r="C4083" s="9">
        <v>923.2</v>
      </c>
      <c r="D4083" s="9">
        <v>929.23</v>
      </c>
      <c r="E4083" s="9">
        <f t="shared" si="190"/>
        <v>6.6295483374360399E-3</v>
      </c>
      <c r="F4083" s="9">
        <f t="shared" si="191"/>
        <v>1.8727261110421362E-2</v>
      </c>
      <c r="G4083" s="9">
        <f t="shared" si="192"/>
        <v>6.6710640432162301E-3</v>
      </c>
    </row>
    <row r="4084" spans="1:7" x14ac:dyDescent="0.2">
      <c r="A4084" s="12">
        <v>42845</v>
      </c>
      <c r="B4084" s="9">
        <v>935.72</v>
      </c>
      <c r="C4084" s="9">
        <v>929.06</v>
      </c>
      <c r="D4084" s="9">
        <v>935.15</v>
      </c>
      <c r="E4084" s="9">
        <f t="shared" si="190"/>
        <v>6.3506580166520707E-3</v>
      </c>
      <c r="F4084" s="9">
        <f t="shared" si="191"/>
        <v>3.2252798321304503E-2</v>
      </c>
      <c r="G4084" s="9">
        <f t="shared" si="192"/>
        <v>6.5822575295027578E-3</v>
      </c>
    </row>
    <row r="4085" spans="1:7" x14ac:dyDescent="0.2">
      <c r="A4085" s="12">
        <v>42846</v>
      </c>
      <c r="B4085" s="9">
        <v>937.01</v>
      </c>
      <c r="C4085" s="9">
        <v>927.34</v>
      </c>
      <c r="D4085" s="9">
        <v>927.47</v>
      </c>
      <c r="E4085" s="9">
        <f t="shared" si="190"/>
        <v>-8.2464952840071021E-3</v>
      </c>
      <c r="F4085" s="9">
        <f t="shared" si="191"/>
        <v>3.1043941734990314E-2</v>
      </c>
      <c r="G4085" s="9">
        <f t="shared" si="192"/>
        <v>6.6371062281353563E-3</v>
      </c>
    </row>
    <row r="4086" spans="1:7" x14ac:dyDescent="0.2">
      <c r="A4086" s="12">
        <v>42849</v>
      </c>
      <c r="B4086" s="9">
        <v>942.46</v>
      </c>
      <c r="C4086" s="9">
        <v>930.43</v>
      </c>
      <c r="D4086" s="9">
        <v>938.87</v>
      </c>
      <c r="E4086" s="9">
        <f t="shared" si="190"/>
        <v>1.2216575524426478E-2</v>
      </c>
      <c r="F4086" s="9">
        <f t="shared" si="191"/>
        <v>4.4685145761427902E-2</v>
      </c>
      <c r="G4086" s="9">
        <f t="shared" si="192"/>
        <v>6.9238837354756964E-3</v>
      </c>
    </row>
    <row r="4087" spans="1:7" x14ac:dyDescent="0.2">
      <c r="A4087" s="12">
        <v>42850</v>
      </c>
      <c r="B4087" s="9">
        <v>946.38</v>
      </c>
      <c r="C4087" s="9">
        <v>938.61</v>
      </c>
      <c r="D4087" s="9">
        <v>944.82</v>
      </c>
      <c r="E4087" s="9">
        <f t="shared" si="190"/>
        <v>6.317408690944935E-3</v>
      </c>
      <c r="F4087" s="9">
        <f t="shared" si="191"/>
        <v>5.1581890015268347E-2</v>
      </c>
      <c r="G4087" s="9">
        <f t="shared" si="192"/>
        <v>6.9671838309721817E-3</v>
      </c>
    </row>
    <row r="4088" spans="1:7" x14ac:dyDescent="0.2">
      <c r="A4088" s="12">
        <v>42851</v>
      </c>
      <c r="B4088" s="9">
        <v>954.4</v>
      </c>
      <c r="C4088" s="9">
        <v>943.82</v>
      </c>
      <c r="D4088" s="9">
        <v>954.4</v>
      </c>
      <c r="E4088" s="9">
        <f t="shared" si="190"/>
        <v>1.008843762333326E-2</v>
      </c>
      <c r="F4088" s="9">
        <f t="shared" si="191"/>
        <v>5.2496205798582343E-2</v>
      </c>
      <c r="G4088" s="9">
        <f t="shared" si="192"/>
        <v>7.0028268170459953E-3</v>
      </c>
    </row>
    <row r="4089" spans="1:7" x14ac:dyDescent="0.2">
      <c r="A4089" s="12">
        <v>42852</v>
      </c>
      <c r="B4089" s="9">
        <v>964.85</v>
      </c>
      <c r="C4089" s="9">
        <v>950.5</v>
      </c>
      <c r="D4089" s="9">
        <v>964.46</v>
      </c>
      <c r="E4089" s="9">
        <f t="shared" si="190"/>
        <v>1.0485488436656792E-2</v>
      </c>
      <c r="F4089" s="9">
        <f t="shared" si="191"/>
        <v>5.925626888783516E-2</v>
      </c>
      <c r="G4089" s="9">
        <f t="shared" si="192"/>
        <v>7.1752274998194438E-3</v>
      </c>
    </row>
    <row r="4090" spans="1:7" x14ac:dyDescent="0.2">
      <c r="A4090" s="12">
        <v>42853</v>
      </c>
      <c r="B4090" s="9">
        <v>969.53</v>
      </c>
      <c r="C4090" s="9">
        <v>962.23</v>
      </c>
      <c r="D4090" s="9">
        <v>968.57</v>
      </c>
      <c r="E4090" s="9">
        <f t="shared" si="190"/>
        <v>4.2523977314234537E-3</v>
      </c>
      <c r="F4090" s="9">
        <f t="shared" si="191"/>
        <v>6.128883670048374E-2</v>
      </c>
      <c r="G4090" s="9">
        <f t="shared" si="192"/>
        <v>7.1872032802617345E-3</v>
      </c>
    </row>
    <row r="4091" spans="1:7" x14ac:dyDescent="0.2">
      <c r="A4091" s="12">
        <v>42856</v>
      </c>
      <c r="B4091" s="9">
        <v>969.34</v>
      </c>
      <c r="C4091" s="9">
        <v>964.5</v>
      </c>
      <c r="D4091" s="9">
        <v>964.53</v>
      </c>
      <c r="E4091" s="9">
        <f t="shared" si="190"/>
        <v>-4.1798208906615271E-3</v>
      </c>
      <c r="F4091" s="9">
        <f t="shared" si="191"/>
        <v>5.7658019930162396E-2</v>
      </c>
      <c r="G4091" s="9">
        <f t="shared" si="192"/>
        <v>7.2625305364121713E-3</v>
      </c>
    </row>
    <row r="4092" spans="1:7" x14ac:dyDescent="0.2">
      <c r="A4092" s="12">
        <v>42857</v>
      </c>
      <c r="B4092" s="9">
        <v>969.37</v>
      </c>
      <c r="C4092" s="9">
        <v>963.7</v>
      </c>
      <c r="D4092" s="9">
        <v>969.06</v>
      </c>
      <c r="E4092" s="9">
        <f t="shared" si="190"/>
        <v>4.6855934173516212E-3</v>
      </c>
      <c r="F4092" s="9">
        <f t="shared" si="191"/>
        <v>5.7774117957110495E-2</v>
      </c>
      <c r="G4092" s="9">
        <f t="shared" si="192"/>
        <v>7.264020751207521E-3</v>
      </c>
    </row>
    <row r="4093" spans="1:7" x14ac:dyDescent="0.2">
      <c r="A4093" s="12">
        <v>42858</v>
      </c>
      <c r="B4093" s="9">
        <v>989.71</v>
      </c>
      <c r="C4093" s="9">
        <v>979.06</v>
      </c>
      <c r="D4093" s="9">
        <v>981.92</v>
      </c>
      <c r="E4093" s="9">
        <f t="shared" si="190"/>
        <v>1.3183309162310104E-2</v>
      </c>
      <c r="F4093" s="9">
        <f t="shared" si="191"/>
        <v>7.2828724058044872E-2</v>
      </c>
      <c r="G4093" s="9">
        <f t="shared" si="192"/>
        <v>7.5085529857204011E-3</v>
      </c>
    </row>
    <row r="4094" spans="1:7" x14ac:dyDescent="0.2">
      <c r="A4094" s="12">
        <v>42859</v>
      </c>
      <c r="B4094" s="9">
        <v>991.79</v>
      </c>
      <c r="C4094" s="9">
        <v>982.54</v>
      </c>
      <c r="D4094" s="9">
        <v>984.43</v>
      </c>
      <c r="E4094" s="9">
        <f t="shared" si="190"/>
        <v>2.5529548282451154E-3</v>
      </c>
      <c r="F4094" s="9">
        <f t="shared" si="191"/>
        <v>7.4210340416211606E-2</v>
      </c>
      <c r="G4094" s="9">
        <f t="shared" si="192"/>
        <v>7.5048179824920708E-3</v>
      </c>
    </row>
    <row r="4095" spans="1:7" x14ac:dyDescent="0.2">
      <c r="A4095" s="12">
        <v>42860</v>
      </c>
      <c r="B4095" s="9">
        <v>992.03</v>
      </c>
      <c r="C4095" s="9">
        <v>983.01</v>
      </c>
      <c r="D4095" s="9">
        <v>990.92</v>
      </c>
      <c r="E4095" s="9">
        <f t="shared" si="190"/>
        <v>6.5710110635438532E-3</v>
      </c>
      <c r="F4095" s="9">
        <f t="shared" si="191"/>
        <v>9.3886255624668208E-2</v>
      </c>
      <c r="G4095" s="9">
        <f t="shared" si="192"/>
        <v>6.9345155967659956E-3</v>
      </c>
    </row>
    <row r="4096" spans="1:7" x14ac:dyDescent="0.2">
      <c r="A4096" s="12">
        <v>42863</v>
      </c>
      <c r="B4096" s="9">
        <v>995.3</v>
      </c>
      <c r="C4096" s="9">
        <v>984.75</v>
      </c>
      <c r="D4096" s="9">
        <v>989.47</v>
      </c>
      <c r="E4096" s="9">
        <f t="shared" si="190"/>
        <v>-1.464358292162946E-3</v>
      </c>
      <c r="F4096" s="9">
        <f t="shared" si="191"/>
        <v>9.8425784527572904E-2</v>
      </c>
      <c r="G4096" s="9">
        <f t="shared" si="192"/>
        <v>6.7760612399365375E-3</v>
      </c>
    </row>
    <row r="4097" spans="1:7" x14ac:dyDescent="0.2">
      <c r="A4097" s="12">
        <v>42864</v>
      </c>
      <c r="B4097" s="9">
        <v>996.6</v>
      </c>
      <c r="C4097" s="9">
        <v>981.33</v>
      </c>
      <c r="D4097" s="9">
        <v>981.7</v>
      </c>
      <c r="E4097" s="9">
        <f t="shared" si="190"/>
        <v>-7.8836835419371677E-3</v>
      </c>
      <c r="F4097" s="9">
        <f t="shared" si="191"/>
        <v>8.2124598952041342E-2</v>
      </c>
      <c r="G4097" s="9">
        <f t="shared" si="192"/>
        <v>6.9998509208067886E-3</v>
      </c>
    </row>
    <row r="4098" spans="1:7" x14ac:dyDescent="0.2">
      <c r="A4098" s="12">
        <v>42865</v>
      </c>
      <c r="B4098" s="9">
        <v>989.34</v>
      </c>
      <c r="C4098" s="9">
        <v>978.89</v>
      </c>
      <c r="D4098" s="9">
        <v>989.34</v>
      </c>
      <c r="E4098" s="9">
        <f t="shared" si="190"/>
        <v>7.7522914424561972E-3</v>
      </c>
      <c r="F4098" s="9">
        <f t="shared" si="191"/>
        <v>8.9965360524827412E-2</v>
      </c>
      <c r="G4098" s="9">
        <f t="shared" si="192"/>
        <v>7.0369773555159186E-3</v>
      </c>
    </row>
    <row r="4099" spans="1:7" x14ac:dyDescent="0.2">
      <c r="A4099" s="12">
        <v>42866</v>
      </c>
      <c r="B4099" s="9">
        <v>993.87</v>
      </c>
      <c r="C4099" s="9">
        <v>984.48</v>
      </c>
      <c r="D4099" s="9">
        <v>987.66</v>
      </c>
      <c r="E4099" s="9">
        <f t="shared" si="190"/>
        <v>-1.6995451738832613E-3</v>
      </c>
      <c r="F4099" s="9">
        <f t="shared" si="191"/>
        <v>8.997039266333931E-2</v>
      </c>
      <c r="G4099" s="9">
        <f t="shared" si="192"/>
        <v>7.0368614347124719E-3</v>
      </c>
    </row>
    <row r="4100" spans="1:7" x14ac:dyDescent="0.2">
      <c r="A4100" s="12">
        <v>42870</v>
      </c>
      <c r="B4100" s="9">
        <v>995.04</v>
      </c>
      <c r="C4100" s="9">
        <v>986.52</v>
      </c>
      <c r="D4100" s="9">
        <v>991.15</v>
      </c>
      <c r="E4100" s="9">
        <f t="shared" ref="E4100" si="193">LN(D4100/D4099)</f>
        <v>3.5273761691712625E-3</v>
      </c>
      <c r="F4100" s="9">
        <f t="shared" si="191"/>
        <v>8.8007043399779827E-2</v>
      </c>
      <c r="G4100" s="9">
        <f>STDEV(E4071:E4100)</f>
        <v>7.0220028395586581E-3</v>
      </c>
    </row>
  </sheetData>
  <sortState ref="A2:D4100">
    <sortCondition ref="A2:A410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14"/>
  <sheetViews>
    <sheetView workbookViewId="0">
      <selection activeCell="B1" sqref="B1:C1048576"/>
    </sheetView>
  </sheetViews>
  <sheetFormatPr baseColWidth="10" defaultColWidth="8.83203125" defaultRowHeight="15" x14ac:dyDescent="0.2"/>
  <cols>
    <col min="1" max="1" width="10.1640625" style="9" bestFit="1" customWidth="1"/>
    <col min="2" max="2" width="9.83203125" style="9" bestFit="1" customWidth="1"/>
    <col min="3" max="3" width="9.5" style="9" bestFit="1" customWidth="1"/>
    <col min="4" max="4" width="12.33203125" style="9" bestFit="1" customWidth="1"/>
    <col min="5" max="5" width="12" style="9" bestFit="1" customWidth="1"/>
    <col min="6" max="6" width="10.5" customWidth="1"/>
    <col min="7" max="16384" width="8.83203125" style="9"/>
  </cols>
  <sheetData>
    <row r="1" spans="1:7" x14ac:dyDescent="0.2">
      <c r="A1" s="17" t="s">
        <v>834</v>
      </c>
      <c r="B1" s="17" t="s">
        <v>793</v>
      </c>
      <c r="C1" s="17" t="s">
        <v>794</v>
      </c>
      <c r="D1" s="17" t="s">
        <v>817</v>
      </c>
      <c r="E1" s="17" t="s">
        <v>835</v>
      </c>
      <c r="F1" s="19" t="s">
        <v>843</v>
      </c>
      <c r="G1" s="17" t="s">
        <v>844</v>
      </c>
    </row>
    <row r="2" spans="1:7" x14ac:dyDescent="0.2">
      <c r="A2" s="12">
        <v>36893</v>
      </c>
      <c r="B2" s="9">
        <v>1066</v>
      </c>
      <c r="C2" s="9">
        <v>1035.95</v>
      </c>
      <c r="D2" s="9">
        <v>1041.6600000000001</v>
      </c>
      <c r="E2" s="9" t="s">
        <v>836</v>
      </c>
    </row>
    <row r="3" spans="1:7" x14ac:dyDescent="0.2">
      <c r="A3" s="12">
        <v>36894</v>
      </c>
      <c r="B3" s="9">
        <v>1041.6600000000001</v>
      </c>
      <c r="C3" s="9">
        <v>994.74</v>
      </c>
      <c r="D3" s="9">
        <v>997.44</v>
      </c>
      <c r="E3" s="9">
        <f t="shared" ref="E3:E66" si="0">LN(D3/D2)</f>
        <v>-4.3378876902939893E-2</v>
      </c>
    </row>
    <row r="4" spans="1:7" x14ac:dyDescent="0.2">
      <c r="A4" s="12">
        <v>36895</v>
      </c>
      <c r="B4" s="9">
        <v>1068.93</v>
      </c>
      <c r="C4" s="9">
        <v>997.44</v>
      </c>
      <c r="D4" s="9">
        <v>1065.53</v>
      </c>
      <c r="E4" s="9">
        <f t="shared" si="0"/>
        <v>6.6035610358733718E-2</v>
      </c>
    </row>
    <row r="5" spans="1:7" x14ac:dyDescent="0.2">
      <c r="A5" s="12">
        <v>36896</v>
      </c>
      <c r="B5" s="9">
        <v>1080.78</v>
      </c>
      <c r="C5" s="9">
        <v>1062.48</v>
      </c>
      <c r="D5" s="9">
        <v>1072</v>
      </c>
      <c r="E5" s="9">
        <f t="shared" si="0"/>
        <v>6.0537346930413134E-3</v>
      </c>
    </row>
    <row r="6" spans="1:7" x14ac:dyDescent="0.2">
      <c r="A6" s="12">
        <v>36899</v>
      </c>
      <c r="B6" s="9">
        <v>1072</v>
      </c>
      <c r="C6" s="9">
        <v>1051.31</v>
      </c>
      <c r="D6" s="9">
        <v>1066.05</v>
      </c>
      <c r="E6" s="9">
        <f t="shared" si="0"/>
        <v>-5.5658336897334675E-3</v>
      </c>
    </row>
    <row r="7" spans="1:7" x14ac:dyDescent="0.2">
      <c r="A7" s="12">
        <v>36900</v>
      </c>
      <c r="B7" s="9">
        <v>1083</v>
      </c>
      <c r="C7" s="9">
        <v>1026.06</v>
      </c>
      <c r="D7" s="9">
        <v>1042.47</v>
      </c>
      <c r="E7" s="9">
        <f t="shared" si="0"/>
        <v>-2.2367331660539679E-2</v>
      </c>
    </row>
    <row r="8" spans="1:7" x14ac:dyDescent="0.2">
      <c r="A8" s="12">
        <v>36901</v>
      </c>
      <c r="B8" s="9">
        <v>1048.3599999999999</v>
      </c>
      <c r="C8" s="9">
        <v>1023.75</v>
      </c>
      <c r="D8" s="9">
        <v>1032.67</v>
      </c>
      <c r="E8" s="9">
        <f t="shared" si="0"/>
        <v>-9.445216088018819E-3</v>
      </c>
    </row>
    <row r="9" spans="1:7" x14ac:dyDescent="0.2">
      <c r="A9" s="12">
        <v>36902</v>
      </c>
      <c r="B9" s="9">
        <v>1056.3900000000001</v>
      </c>
      <c r="C9" s="9">
        <v>1018.05</v>
      </c>
      <c r="D9" s="9">
        <v>1056.3900000000001</v>
      </c>
      <c r="E9" s="9">
        <f t="shared" si="0"/>
        <v>2.2709754074396616E-2</v>
      </c>
    </row>
    <row r="10" spans="1:7" x14ac:dyDescent="0.2">
      <c r="A10" s="12">
        <v>36903</v>
      </c>
      <c r="B10" s="9">
        <v>1075.1099999999999</v>
      </c>
      <c r="C10" s="9">
        <v>1056.3900000000001</v>
      </c>
      <c r="D10" s="9">
        <v>1072.6600000000001</v>
      </c>
      <c r="E10" s="9">
        <f t="shared" si="0"/>
        <v>1.5284109557655873E-2</v>
      </c>
    </row>
    <row r="11" spans="1:7" x14ac:dyDescent="0.2">
      <c r="A11" s="12">
        <v>36906</v>
      </c>
      <c r="B11" s="9">
        <v>1094.24</v>
      </c>
      <c r="C11" s="9">
        <v>1072.6600000000001</v>
      </c>
      <c r="D11" s="9">
        <v>1086.52</v>
      </c>
      <c r="E11" s="9">
        <f t="shared" si="0"/>
        <v>1.2838383433803434E-2</v>
      </c>
    </row>
    <row r="12" spans="1:7" x14ac:dyDescent="0.2">
      <c r="A12" s="12">
        <v>36907</v>
      </c>
      <c r="B12" s="9">
        <v>1086.52</v>
      </c>
      <c r="C12" s="9">
        <v>1057.8499999999999</v>
      </c>
      <c r="D12" s="9">
        <v>1058.33</v>
      </c>
      <c r="E12" s="9">
        <f t="shared" si="0"/>
        <v>-2.6287734210888185E-2</v>
      </c>
    </row>
    <row r="13" spans="1:7" x14ac:dyDescent="0.2">
      <c r="A13" s="12">
        <v>36908</v>
      </c>
      <c r="B13" s="9">
        <v>1100.1099999999999</v>
      </c>
      <c r="C13" s="9">
        <v>1058.33</v>
      </c>
      <c r="D13" s="9">
        <v>1100.1099999999999</v>
      </c>
      <c r="E13" s="9">
        <f t="shared" si="0"/>
        <v>3.8717980739372181E-2</v>
      </c>
    </row>
    <row r="14" spans="1:7" x14ac:dyDescent="0.2">
      <c r="A14" s="12">
        <v>36909</v>
      </c>
      <c r="B14" s="9">
        <v>1109.98</v>
      </c>
      <c r="C14" s="9">
        <v>1087.6300000000001</v>
      </c>
      <c r="D14" s="9">
        <v>1109.98</v>
      </c>
      <c r="E14" s="9">
        <f t="shared" si="0"/>
        <v>8.9318223392402009E-3</v>
      </c>
    </row>
    <row r="15" spans="1:7" x14ac:dyDescent="0.2">
      <c r="A15" s="12">
        <v>36910</v>
      </c>
      <c r="B15" s="9">
        <v>1129.8499999999999</v>
      </c>
      <c r="C15" s="9">
        <v>1104.1600000000001</v>
      </c>
      <c r="D15" s="9">
        <v>1106.4100000000001</v>
      </c>
      <c r="E15" s="9">
        <f t="shared" si="0"/>
        <v>-3.2214574938448631E-3</v>
      </c>
    </row>
    <row r="16" spans="1:7" x14ac:dyDescent="0.2">
      <c r="A16" s="12">
        <v>36913</v>
      </c>
      <c r="B16" s="9">
        <v>1110.57</v>
      </c>
      <c r="C16" s="9">
        <v>1090.69</v>
      </c>
      <c r="D16" s="9">
        <v>1099.3800000000001</v>
      </c>
      <c r="E16" s="9">
        <f t="shared" si="0"/>
        <v>-6.3741551120517015E-3</v>
      </c>
    </row>
    <row r="17" spans="1:7" x14ac:dyDescent="0.2">
      <c r="A17" s="12">
        <v>36914</v>
      </c>
      <c r="B17" s="9">
        <v>1099.3800000000001</v>
      </c>
      <c r="C17" s="9">
        <v>1081.6099999999999</v>
      </c>
      <c r="D17" s="9">
        <v>1081.6099999999999</v>
      </c>
      <c r="E17" s="9">
        <f t="shared" si="0"/>
        <v>-1.6295712712048965E-2</v>
      </c>
    </row>
    <row r="18" spans="1:7" x14ac:dyDescent="0.2">
      <c r="A18" s="12">
        <v>36915</v>
      </c>
      <c r="B18" s="9">
        <v>1109.82</v>
      </c>
      <c r="C18" s="9">
        <v>1081.6099999999999</v>
      </c>
      <c r="D18" s="9">
        <v>1098.6500000000001</v>
      </c>
      <c r="E18" s="9">
        <f t="shared" si="0"/>
        <v>1.5631481535186072E-2</v>
      </c>
    </row>
    <row r="19" spans="1:7" x14ac:dyDescent="0.2">
      <c r="A19" s="12">
        <v>36916</v>
      </c>
      <c r="B19" s="9">
        <v>1125.32</v>
      </c>
      <c r="C19" s="9">
        <v>1081.1300000000001</v>
      </c>
      <c r="D19" s="9">
        <v>1120.95</v>
      </c>
      <c r="E19" s="9">
        <f t="shared" si="0"/>
        <v>2.0094386701132876E-2</v>
      </c>
    </row>
    <row r="20" spans="1:7" x14ac:dyDescent="0.2">
      <c r="A20" s="12">
        <v>36917</v>
      </c>
      <c r="B20" s="9">
        <v>1120.95</v>
      </c>
      <c r="C20" s="9">
        <v>1055.08</v>
      </c>
      <c r="D20" s="9">
        <v>1073.3399999999999</v>
      </c>
      <c r="E20" s="9">
        <f t="shared" si="0"/>
        <v>-4.3401258013229707E-2</v>
      </c>
    </row>
    <row r="21" spans="1:7" x14ac:dyDescent="0.2">
      <c r="A21" s="12">
        <v>36920</v>
      </c>
      <c r="B21" s="9">
        <v>1081.53</v>
      </c>
      <c r="C21" s="9">
        <v>1066.17</v>
      </c>
      <c r="D21" s="9">
        <v>1080</v>
      </c>
      <c r="E21" s="9">
        <f t="shared" si="0"/>
        <v>6.1857590870863215E-3</v>
      </c>
    </row>
    <row r="22" spans="1:7" x14ac:dyDescent="0.2">
      <c r="A22" s="12">
        <v>36921</v>
      </c>
      <c r="B22" s="9">
        <v>1101.51</v>
      </c>
      <c r="C22" s="9">
        <v>1073.07</v>
      </c>
      <c r="D22" s="9">
        <v>1092.1099999999999</v>
      </c>
      <c r="E22" s="9">
        <f t="shared" si="0"/>
        <v>1.1150563714129799E-2</v>
      </c>
    </row>
    <row r="23" spans="1:7" x14ac:dyDescent="0.2">
      <c r="A23" s="12">
        <v>36922</v>
      </c>
      <c r="B23" s="9">
        <v>1112.58</v>
      </c>
      <c r="C23" s="9">
        <v>1092.1099999999999</v>
      </c>
      <c r="D23" s="9">
        <v>1112.58</v>
      </c>
      <c r="E23" s="9">
        <f t="shared" si="0"/>
        <v>1.8570037734951559E-2</v>
      </c>
    </row>
    <row r="24" spans="1:7" x14ac:dyDescent="0.2">
      <c r="A24" s="12">
        <v>36923</v>
      </c>
      <c r="B24" s="9">
        <v>1112.58</v>
      </c>
      <c r="C24" s="9">
        <v>1090</v>
      </c>
      <c r="D24" s="9">
        <v>1098.44</v>
      </c>
      <c r="E24" s="9">
        <f t="shared" si="0"/>
        <v>-1.2790651170681429E-2</v>
      </c>
    </row>
    <row r="25" spans="1:7" x14ac:dyDescent="0.2">
      <c r="A25" s="12">
        <v>36924</v>
      </c>
      <c r="B25" s="9">
        <v>1105.99</v>
      </c>
      <c r="C25" s="9">
        <v>1082.8699999999999</v>
      </c>
      <c r="D25" s="9">
        <v>1085.2</v>
      </c>
      <c r="E25" s="9">
        <f t="shared" si="0"/>
        <v>-1.2126689611888432E-2</v>
      </c>
    </row>
    <row r="26" spans="1:7" x14ac:dyDescent="0.2">
      <c r="A26" s="12">
        <v>36927</v>
      </c>
      <c r="B26" s="9">
        <v>1085.2</v>
      </c>
      <c r="C26" s="9">
        <v>1057.07</v>
      </c>
      <c r="D26" s="9">
        <v>1066.8399999999999</v>
      </c>
      <c r="E26" s="9">
        <f t="shared" si="0"/>
        <v>-1.7063293866763422E-2</v>
      </c>
    </row>
    <row r="27" spans="1:7" x14ac:dyDescent="0.2">
      <c r="A27" s="12">
        <v>36928</v>
      </c>
      <c r="B27" s="9">
        <v>1078.72</v>
      </c>
      <c r="C27" s="9">
        <v>1059.01</v>
      </c>
      <c r="D27" s="9">
        <v>1078.3499999999999</v>
      </c>
      <c r="E27" s="9">
        <f t="shared" si="0"/>
        <v>1.0731087179976801E-2</v>
      </c>
    </row>
    <row r="28" spans="1:7" x14ac:dyDescent="0.2">
      <c r="A28" s="12">
        <v>36929</v>
      </c>
      <c r="B28" s="9">
        <v>1078.3499999999999</v>
      </c>
      <c r="C28" s="9">
        <v>1054.0999999999999</v>
      </c>
      <c r="D28" s="9">
        <v>1059.95</v>
      </c>
      <c r="E28" s="9">
        <f t="shared" si="0"/>
        <v>-1.7210357915728548E-2</v>
      </c>
    </row>
    <row r="29" spans="1:7" x14ac:dyDescent="0.2">
      <c r="A29" s="12">
        <v>36930</v>
      </c>
      <c r="B29" s="9">
        <v>1064.3399999999999</v>
      </c>
      <c r="C29" s="9">
        <v>1048.07</v>
      </c>
      <c r="D29" s="9">
        <v>1048.3499999999999</v>
      </c>
      <c r="E29" s="9">
        <f t="shared" si="0"/>
        <v>-1.1004237591013929E-2</v>
      </c>
    </row>
    <row r="30" spans="1:7" x14ac:dyDescent="0.2">
      <c r="A30" s="12">
        <v>36931</v>
      </c>
      <c r="B30" s="9">
        <v>1048.3499999999999</v>
      </c>
      <c r="C30" s="9">
        <v>1014.2</v>
      </c>
      <c r="D30" s="9">
        <v>1015.73</v>
      </c>
      <c r="E30" s="9">
        <f t="shared" si="0"/>
        <v>-3.1609933801581676E-2</v>
      </c>
    </row>
    <row r="31" spans="1:7" x14ac:dyDescent="0.2">
      <c r="A31" s="12">
        <v>36934</v>
      </c>
      <c r="B31" s="9">
        <v>1024.54</v>
      </c>
      <c r="C31" s="9">
        <v>1001.47</v>
      </c>
      <c r="D31" s="9">
        <v>1024.3</v>
      </c>
      <c r="E31" s="9">
        <f t="shared" si="0"/>
        <v>8.4018866528229996E-3</v>
      </c>
    </row>
    <row r="32" spans="1:7" x14ac:dyDescent="0.2">
      <c r="A32" s="12">
        <v>36935</v>
      </c>
      <c r="B32" s="9">
        <v>1034.51</v>
      </c>
      <c r="C32" s="9">
        <v>1015.59</v>
      </c>
      <c r="D32" s="9">
        <v>1022.61</v>
      </c>
      <c r="E32" s="9">
        <f t="shared" si="0"/>
        <v>-1.6512698496846591E-3</v>
      </c>
      <c r="F32">
        <f>LN(D32/D2)</f>
        <v>-1.8457411889108034E-2</v>
      </c>
      <c r="G32" s="9">
        <f>STDEV(E3:E32)</f>
        <v>2.3219224701890886E-2</v>
      </c>
    </row>
    <row r="33" spans="1:7" x14ac:dyDescent="0.2">
      <c r="A33" s="12">
        <v>36936</v>
      </c>
      <c r="B33" s="9">
        <v>1022.61</v>
      </c>
      <c r="C33" s="9">
        <v>985.12</v>
      </c>
      <c r="D33" s="9">
        <v>989.86</v>
      </c>
      <c r="E33" s="9">
        <f t="shared" si="0"/>
        <v>-3.2549942605505172E-2</v>
      </c>
      <c r="F33" s="45">
        <f t="shared" ref="F33:F96" si="1">LN(D33/D3)</f>
        <v>-7.6284775916733126E-3</v>
      </c>
      <c r="G33" s="9">
        <f t="shared" ref="G33:G96" si="2">STDEV(E4:E33)</f>
        <v>2.2607618000968666E-2</v>
      </c>
    </row>
    <row r="34" spans="1:7" x14ac:dyDescent="0.2">
      <c r="A34" s="12">
        <v>36937</v>
      </c>
      <c r="B34" s="9">
        <v>1022.54</v>
      </c>
      <c r="C34" s="9">
        <v>989.86</v>
      </c>
      <c r="D34" s="9">
        <v>1022.5</v>
      </c>
      <c r="E34" s="9">
        <f t="shared" si="0"/>
        <v>3.2442368929657843E-2</v>
      </c>
      <c r="F34" s="45">
        <f t="shared" si="1"/>
        <v>-4.1221719020749246E-2</v>
      </c>
      <c r="G34" s="9">
        <f t="shared" si="2"/>
        <v>1.9878190795716368E-2</v>
      </c>
    </row>
    <row r="35" spans="1:7" x14ac:dyDescent="0.2">
      <c r="A35" s="12">
        <v>36938</v>
      </c>
      <c r="B35" s="9">
        <v>1022.5</v>
      </c>
      <c r="C35" s="9">
        <v>979.51</v>
      </c>
      <c r="D35" s="9">
        <v>990.4</v>
      </c>
      <c r="E35" s="9">
        <f t="shared" si="0"/>
        <v>-3.1896985986625138E-2</v>
      </c>
      <c r="F35" s="45">
        <f t="shared" si="1"/>
        <v>-7.9172439700415709E-2</v>
      </c>
      <c r="G35" s="9">
        <f t="shared" si="2"/>
        <v>2.0584225730116854E-2</v>
      </c>
    </row>
    <row r="36" spans="1:7" x14ac:dyDescent="0.2">
      <c r="A36" s="12">
        <v>36941</v>
      </c>
      <c r="B36" s="9">
        <v>995.05</v>
      </c>
      <c r="C36" s="9">
        <v>975.12</v>
      </c>
      <c r="D36" s="9">
        <v>993.7</v>
      </c>
      <c r="E36" s="9">
        <f t="shared" si="0"/>
        <v>3.326448306986069E-3</v>
      </c>
      <c r="F36" s="45">
        <f t="shared" si="1"/>
        <v>-7.0280157703696125E-2</v>
      </c>
      <c r="G36" s="9">
        <f t="shared" si="2"/>
        <v>2.0604641280571302E-2</v>
      </c>
    </row>
    <row r="37" spans="1:7" x14ac:dyDescent="0.2">
      <c r="A37" s="12">
        <v>36942</v>
      </c>
      <c r="B37" s="9">
        <v>1012.64</v>
      </c>
      <c r="C37" s="9">
        <v>987.22</v>
      </c>
      <c r="D37" s="9">
        <v>987.22</v>
      </c>
      <c r="E37" s="9">
        <f t="shared" si="0"/>
        <v>-6.5424379721246914E-3</v>
      </c>
      <c r="F37" s="45">
        <f t="shared" si="1"/>
        <v>-5.4455264015281002E-2</v>
      </c>
      <c r="G37" s="9">
        <f t="shared" si="2"/>
        <v>2.0274231554522602E-2</v>
      </c>
    </row>
    <row r="38" spans="1:7" x14ac:dyDescent="0.2">
      <c r="A38" s="12">
        <v>36943</v>
      </c>
      <c r="B38" s="9">
        <v>993.24</v>
      </c>
      <c r="C38" s="9">
        <v>973.98</v>
      </c>
      <c r="D38" s="9">
        <v>981.01</v>
      </c>
      <c r="E38" s="9">
        <f t="shared" si="0"/>
        <v>-6.3102590718666874E-3</v>
      </c>
      <c r="F38" s="45">
        <f t="shared" si="1"/>
        <v>-5.1320306999129039E-2</v>
      </c>
      <c r="G38" s="9">
        <f t="shared" si="2"/>
        <v>2.0241601193041994E-2</v>
      </c>
    </row>
    <row r="39" spans="1:7" x14ac:dyDescent="0.2">
      <c r="A39" s="12">
        <v>36944</v>
      </c>
      <c r="B39" s="9">
        <v>991.96</v>
      </c>
      <c r="C39" s="9">
        <v>956.36</v>
      </c>
      <c r="D39" s="9">
        <v>963.05</v>
      </c>
      <c r="E39" s="9">
        <f t="shared" si="0"/>
        <v>-1.8477321663094924E-2</v>
      </c>
      <c r="F39" s="45">
        <f t="shared" si="1"/>
        <v>-9.2507382736620528E-2</v>
      </c>
      <c r="G39" s="9">
        <f t="shared" si="2"/>
        <v>1.9922407445460585E-2</v>
      </c>
    </row>
    <row r="40" spans="1:7" x14ac:dyDescent="0.2">
      <c r="A40" s="12">
        <v>36945</v>
      </c>
      <c r="B40" s="9">
        <v>967.38</v>
      </c>
      <c r="C40" s="9">
        <v>934.71</v>
      </c>
      <c r="D40" s="9">
        <v>942.01</v>
      </c>
      <c r="E40" s="9">
        <f t="shared" si="0"/>
        <v>-2.2089441298961867E-2</v>
      </c>
      <c r="F40" s="45">
        <f t="shared" si="1"/>
        <v>-0.1298809335932383</v>
      </c>
      <c r="G40" s="9">
        <f t="shared" si="2"/>
        <v>1.9902745098470592E-2</v>
      </c>
    </row>
    <row r="41" spans="1:7" x14ac:dyDescent="0.2">
      <c r="A41" s="12">
        <v>36948</v>
      </c>
      <c r="B41" s="9">
        <v>972.82</v>
      </c>
      <c r="C41" s="9">
        <v>942.01</v>
      </c>
      <c r="D41" s="9">
        <v>968.42</v>
      </c>
      <c r="E41" s="9">
        <f t="shared" si="0"/>
        <v>2.7649987242254651E-2</v>
      </c>
      <c r="F41" s="45">
        <f t="shared" si="1"/>
        <v>-0.11506932978478723</v>
      </c>
      <c r="G41" s="9">
        <f t="shared" si="2"/>
        <v>2.0517522529426908E-2</v>
      </c>
    </row>
    <row r="42" spans="1:7" x14ac:dyDescent="0.2">
      <c r="A42" s="12">
        <v>36949</v>
      </c>
      <c r="B42" s="9">
        <v>992.84</v>
      </c>
      <c r="C42" s="9">
        <v>968.42</v>
      </c>
      <c r="D42" s="9">
        <v>979.82</v>
      </c>
      <c r="E42" s="9">
        <f t="shared" si="0"/>
        <v>1.1703003851668422E-2</v>
      </c>
      <c r="F42" s="45">
        <f t="shared" si="1"/>
        <v>-7.7078591722230583E-2</v>
      </c>
      <c r="G42" s="9">
        <f t="shared" si="2"/>
        <v>2.025470278810973E-2</v>
      </c>
    </row>
    <row r="43" spans="1:7" x14ac:dyDescent="0.2">
      <c r="A43" s="12">
        <v>36950</v>
      </c>
      <c r="B43" s="9">
        <v>985.67</v>
      </c>
      <c r="C43" s="9">
        <v>960.29</v>
      </c>
      <c r="D43" s="9">
        <v>975.65</v>
      </c>
      <c r="E43" s="9">
        <f t="shared" si="0"/>
        <v>-4.2649657841847873E-3</v>
      </c>
      <c r="F43" s="45">
        <f t="shared" si="1"/>
        <v>-0.12006153824578746</v>
      </c>
      <c r="G43" s="9">
        <f t="shared" si="2"/>
        <v>1.8693525535220482E-2</v>
      </c>
    </row>
    <row r="44" spans="1:7" x14ac:dyDescent="0.2">
      <c r="A44" s="12">
        <v>36951</v>
      </c>
      <c r="B44" s="9">
        <v>975.65</v>
      </c>
      <c r="C44" s="9">
        <v>944.82</v>
      </c>
      <c r="D44" s="9">
        <v>945.05</v>
      </c>
      <c r="E44" s="9">
        <f t="shared" si="0"/>
        <v>-3.1866079394042436E-2</v>
      </c>
      <c r="F44" s="45">
        <f t="shared" si="1"/>
        <v>-0.16085943997907012</v>
      </c>
      <c r="G44" s="9">
        <f t="shared" si="2"/>
        <v>1.9197364846682052E-2</v>
      </c>
    </row>
    <row r="45" spans="1:7" x14ac:dyDescent="0.2">
      <c r="A45" s="12">
        <v>36952</v>
      </c>
      <c r="B45" s="9">
        <v>973.74</v>
      </c>
      <c r="C45" s="9">
        <v>944.76</v>
      </c>
      <c r="D45" s="9">
        <v>973.57</v>
      </c>
      <c r="E45" s="9">
        <f t="shared" si="0"/>
        <v>2.9731891575847144E-2</v>
      </c>
      <c r="F45" s="45">
        <f t="shared" si="1"/>
        <v>-0.12790609090937796</v>
      </c>
      <c r="G45" s="9">
        <f t="shared" si="2"/>
        <v>2.0238599453687701E-2</v>
      </c>
    </row>
    <row r="46" spans="1:7" x14ac:dyDescent="0.2">
      <c r="A46" s="12">
        <v>36955</v>
      </c>
      <c r="B46" s="9">
        <v>985.13</v>
      </c>
      <c r="C46" s="9">
        <v>966.9</v>
      </c>
      <c r="D46" s="9">
        <v>981.96</v>
      </c>
      <c r="E46" s="9">
        <f t="shared" si="0"/>
        <v>8.5808466044781997E-3</v>
      </c>
      <c r="F46" s="45">
        <f t="shared" si="1"/>
        <v>-0.11295108919284801</v>
      </c>
      <c r="G46" s="9">
        <f t="shared" si="2"/>
        <v>2.0368581892198558E-2</v>
      </c>
    </row>
    <row r="47" spans="1:7" x14ac:dyDescent="0.2">
      <c r="A47" s="12">
        <v>36956</v>
      </c>
      <c r="B47" s="9">
        <v>1014.13</v>
      </c>
      <c r="C47" s="9">
        <v>981.96</v>
      </c>
      <c r="D47" s="9">
        <v>1008.49</v>
      </c>
      <c r="E47" s="9">
        <f t="shared" si="0"/>
        <v>2.6658867301404321E-2</v>
      </c>
      <c r="F47" s="45">
        <f t="shared" si="1"/>
        <v>-6.99965091793949E-2</v>
      </c>
      <c r="G47" s="9">
        <f t="shared" si="2"/>
        <v>2.09585696258573E-2</v>
      </c>
    </row>
    <row r="48" spans="1:7" x14ac:dyDescent="0.2">
      <c r="A48" s="12">
        <v>36957</v>
      </c>
      <c r="B48" s="9">
        <v>1018.06</v>
      </c>
      <c r="C48" s="9">
        <v>994.74</v>
      </c>
      <c r="D48" s="9">
        <v>1009</v>
      </c>
      <c r="E48" s="9">
        <f t="shared" si="0"/>
        <v>5.0557872491396622E-4</v>
      </c>
      <c r="F48" s="45">
        <f t="shared" si="1"/>
        <v>-8.5122411989667052E-2</v>
      </c>
      <c r="G48" s="9">
        <f t="shared" si="2"/>
        <v>2.0691735414491486E-2</v>
      </c>
    </row>
    <row r="49" spans="1:7" x14ac:dyDescent="0.2">
      <c r="A49" s="12">
        <v>36958</v>
      </c>
      <c r="B49" s="9">
        <v>1011.71</v>
      </c>
      <c r="C49" s="9">
        <v>985.8</v>
      </c>
      <c r="D49" s="9">
        <v>989.13</v>
      </c>
      <c r="E49" s="9">
        <f t="shared" si="0"/>
        <v>-1.9889251464198329E-2</v>
      </c>
      <c r="F49" s="45">
        <f t="shared" si="1"/>
        <v>-0.12510605015499829</v>
      </c>
      <c r="G49" s="9">
        <f t="shared" si="2"/>
        <v>2.0450021083877126E-2</v>
      </c>
    </row>
    <row r="50" spans="1:7" x14ac:dyDescent="0.2">
      <c r="A50" s="12">
        <v>36959</v>
      </c>
      <c r="B50" s="9">
        <v>989.13</v>
      </c>
      <c r="C50" s="9">
        <v>968.75</v>
      </c>
      <c r="D50" s="9">
        <v>971.14</v>
      </c>
      <c r="E50" s="9">
        <f t="shared" si="0"/>
        <v>-1.8355129734767456E-2</v>
      </c>
      <c r="F50" s="45">
        <f t="shared" si="1"/>
        <v>-0.10005992187653599</v>
      </c>
      <c r="G50" s="9">
        <f t="shared" si="2"/>
        <v>1.9270420092197801E-2</v>
      </c>
    </row>
    <row r="51" spans="1:7" x14ac:dyDescent="0.2">
      <c r="A51" s="12">
        <v>36962</v>
      </c>
      <c r="B51" s="9">
        <v>971.14</v>
      </c>
      <c r="C51" s="9">
        <v>900.89</v>
      </c>
      <c r="D51" s="9">
        <v>903.67</v>
      </c>
      <c r="E51" s="9">
        <f t="shared" si="0"/>
        <v>-7.200638965512518E-2</v>
      </c>
      <c r="F51" s="45">
        <f t="shared" si="1"/>
        <v>-0.17825207061874732</v>
      </c>
      <c r="G51" s="9">
        <f t="shared" si="2"/>
        <v>2.2886817771835391E-2</v>
      </c>
    </row>
    <row r="52" spans="1:7" x14ac:dyDescent="0.2">
      <c r="A52" s="12">
        <v>36963</v>
      </c>
      <c r="B52" s="9">
        <v>903.67</v>
      </c>
      <c r="C52" s="9">
        <v>866.09</v>
      </c>
      <c r="D52" s="9">
        <v>902.51</v>
      </c>
      <c r="E52" s="9">
        <f t="shared" si="0"/>
        <v>-1.2844790214585112E-3</v>
      </c>
      <c r="F52" s="45">
        <f t="shared" si="1"/>
        <v>-0.19068711335433561</v>
      </c>
      <c r="G52" s="9">
        <f t="shared" si="2"/>
        <v>2.267824067388018E-2</v>
      </c>
    </row>
    <row r="53" spans="1:7" x14ac:dyDescent="0.2">
      <c r="A53" s="12">
        <v>36964</v>
      </c>
      <c r="B53" s="9">
        <v>911.55</v>
      </c>
      <c r="C53" s="9">
        <v>853.24</v>
      </c>
      <c r="D53" s="9">
        <v>877.14</v>
      </c>
      <c r="E53" s="9">
        <f t="shared" si="0"/>
        <v>-2.8513155726480058E-2</v>
      </c>
      <c r="F53" s="45">
        <f t="shared" si="1"/>
        <v>-0.23777030681576708</v>
      </c>
      <c r="G53" s="9">
        <f t="shared" si="2"/>
        <v>2.2522395773285728E-2</v>
      </c>
    </row>
    <row r="54" spans="1:7" x14ac:dyDescent="0.2">
      <c r="A54" s="12">
        <v>36965</v>
      </c>
      <c r="B54" s="9">
        <v>901.26</v>
      </c>
      <c r="C54" s="9">
        <v>874.03</v>
      </c>
      <c r="D54" s="9">
        <v>896.76</v>
      </c>
      <c r="E54" s="9">
        <f t="shared" si="0"/>
        <v>2.2121652978619458E-2</v>
      </c>
      <c r="F54" s="45">
        <f t="shared" si="1"/>
        <v>-0.20285800266646606</v>
      </c>
      <c r="G54" s="9">
        <f t="shared" si="2"/>
        <v>2.315542397277107E-2</v>
      </c>
    </row>
    <row r="55" spans="1:7" x14ac:dyDescent="0.2">
      <c r="A55" s="12">
        <v>36966</v>
      </c>
      <c r="B55" s="9">
        <v>893.94</v>
      </c>
      <c r="C55" s="9">
        <v>858.76</v>
      </c>
      <c r="D55" s="9">
        <v>869.92</v>
      </c>
      <c r="E55" s="9">
        <f t="shared" si="0"/>
        <v>-3.0387014332588554E-2</v>
      </c>
      <c r="F55" s="45">
        <f t="shared" si="1"/>
        <v>-0.22111832738716622</v>
      </c>
      <c r="G55" s="9">
        <f t="shared" si="2"/>
        <v>2.3538146084543139E-2</v>
      </c>
    </row>
    <row r="56" spans="1:7" x14ac:dyDescent="0.2">
      <c r="A56" s="12">
        <v>36969</v>
      </c>
      <c r="B56" s="9">
        <v>884.61</v>
      </c>
      <c r="C56" s="9">
        <v>855.6</v>
      </c>
      <c r="D56" s="9">
        <v>862.04</v>
      </c>
      <c r="E56" s="9">
        <f t="shared" si="0"/>
        <v>-9.0995800982394369E-3</v>
      </c>
      <c r="F56" s="45">
        <f t="shared" si="1"/>
        <v>-0.21315461361864224</v>
      </c>
      <c r="G56" s="9">
        <f t="shared" si="2"/>
        <v>2.3469872484597771E-2</v>
      </c>
    </row>
    <row r="57" spans="1:7" x14ac:dyDescent="0.2">
      <c r="A57" s="12">
        <v>36970</v>
      </c>
      <c r="B57" s="9">
        <v>888.4</v>
      </c>
      <c r="C57" s="9">
        <v>865.54</v>
      </c>
      <c r="D57" s="9">
        <v>883.21</v>
      </c>
      <c r="E57" s="9">
        <f t="shared" si="0"/>
        <v>2.4261324623129323E-2</v>
      </c>
      <c r="F57" s="45">
        <f t="shared" si="1"/>
        <v>-0.19962437617548978</v>
      </c>
      <c r="G57" s="9">
        <f t="shared" si="2"/>
        <v>2.3949540885894145E-2</v>
      </c>
    </row>
    <row r="58" spans="1:7" x14ac:dyDescent="0.2">
      <c r="A58" s="12">
        <v>36971</v>
      </c>
      <c r="B58" s="9">
        <v>871.98</v>
      </c>
      <c r="C58" s="9">
        <v>839.8</v>
      </c>
      <c r="D58" s="9">
        <v>853.95</v>
      </c>
      <c r="E58" s="9">
        <f t="shared" si="0"/>
        <v>-3.3690353857299814E-2</v>
      </c>
      <c r="F58" s="45">
        <f t="shared" si="1"/>
        <v>-0.21610437211706096</v>
      </c>
      <c r="G58" s="9">
        <f t="shared" si="2"/>
        <v>2.4385060909562474E-2</v>
      </c>
    </row>
    <row r="59" spans="1:7" x14ac:dyDescent="0.2">
      <c r="A59" s="12">
        <v>36972</v>
      </c>
      <c r="B59" s="9">
        <v>853.95</v>
      </c>
      <c r="C59" s="9">
        <v>808.36</v>
      </c>
      <c r="D59" s="9">
        <v>825.29</v>
      </c>
      <c r="E59" s="9">
        <f t="shared" si="0"/>
        <v>-3.4137804345981126E-2</v>
      </c>
      <c r="F59" s="45">
        <f t="shared" si="1"/>
        <v>-0.2392379388720281</v>
      </c>
      <c r="G59" s="9">
        <f t="shared" si="2"/>
        <v>2.4870338276528531E-2</v>
      </c>
    </row>
    <row r="60" spans="1:7" x14ac:dyDescent="0.2">
      <c r="A60" s="12">
        <v>36973</v>
      </c>
      <c r="B60" s="9">
        <v>853.51</v>
      </c>
      <c r="C60" s="9">
        <v>831.07</v>
      </c>
      <c r="D60" s="9">
        <v>843.3</v>
      </c>
      <c r="E60" s="9">
        <f t="shared" si="0"/>
        <v>2.1587926861376328E-2</v>
      </c>
      <c r="F60" s="45">
        <f t="shared" si="1"/>
        <v>-0.18604007820907006</v>
      </c>
      <c r="G60" s="9">
        <f t="shared" si="2"/>
        <v>2.5023063900050921E-2</v>
      </c>
    </row>
    <row r="61" spans="1:7" x14ac:dyDescent="0.2">
      <c r="A61" s="12">
        <v>36976</v>
      </c>
      <c r="B61" s="9">
        <v>882.96</v>
      </c>
      <c r="C61" s="9">
        <v>849.08</v>
      </c>
      <c r="D61" s="9">
        <v>882.83</v>
      </c>
      <c r="E61" s="9">
        <f t="shared" si="0"/>
        <v>4.5809890006640964E-2</v>
      </c>
      <c r="F61" s="45">
        <f t="shared" si="1"/>
        <v>-0.14863207485525207</v>
      </c>
      <c r="G61" s="9">
        <f t="shared" si="2"/>
        <v>2.6654705417124714E-2</v>
      </c>
    </row>
    <row r="62" spans="1:7" x14ac:dyDescent="0.2">
      <c r="A62" s="12">
        <v>36977</v>
      </c>
      <c r="B62" s="9">
        <v>908.01</v>
      </c>
      <c r="C62" s="9">
        <v>868.24</v>
      </c>
      <c r="D62" s="9">
        <v>906.51</v>
      </c>
      <c r="E62" s="9">
        <f t="shared" si="0"/>
        <v>2.6469404986425991E-2</v>
      </c>
      <c r="F62" s="45">
        <f t="shared" si="1"/>
        <v>-0.12051140001914147</v>
      </c>
      <c r="G62" s="9">
        <f t="shared" si="2"/>
        <v>2.7262398140183778E-2</v>
      </c>
    </row>
    <row r="63" spans="1:7" x14ac:dyDescent="0.2">
      <c r="A63" s="12">
        <v>36978</v>
      </c>
      <c r="B63" s="9">
        <v>900.73</v>
      </c>
      <c r="C63" s="9">
        <v>860.82</v>
      </c>
      <c r="D63" s="9">
        <v>863.12</v>
      </c>
      <c r="E63" s="9">
        <f t="shared" si="0"/>
        <v>-4.9048330330578094E-2</v>
      </c>
      <c r="F63" s="45">
        <f t="shared" si="1"/>
        <v>-0.13700978774421438</v>
      </c>
      <c r="G63" s="9">
        <f t="shared" si="2"/>
        <v>2.8013869317142844E-2</v>
      </c>
    </row>
    <row r="64" spans="1:7" x14ac:dyDescent="0.2">
      <c r="A64" s="12">
        <v>36979</v>
      </c>
      <c r="B64" s="9">
        <v>857.34</v>
      </c>
      <c r="C64" s="9">
        <v>831.84</v>
      </c>
      <c r="D64" s="9">
        <v>842.99</v>
      </c>
      <c r="E64" s="9">
        <f t="shared" si="0"/>
        <v>-2.3598635707791998E-2</v>
      </c>
      <c r="F64" s="45">
        <f t="shared" si="1"/>
        <v>-0.19305079238166417</v>
      </c>
      <c r="G64" s="9">
        <f t="shared" si="2"/>
        <v>2.7320797584034655E-2</v>
      </c>
    </row>
    <row r="65" spans="1:7" x14ac:dyDescent="0.2">
      <c r="A65" s="12">
        <v>36980</v>
      </c>
      <c r="B65" s="9">
        <v>850.63</v>
      </c>
      <c r="C65" s="9">
        <v>821.73</v>
      </c>
      <c r="D65" s="9">
        <v>831.77</v>
      </c>
      <c r="E65" s="9">
        <f t="shared" si="0"/>
        <v>-1.3399135238994549E-2</v>
      </c>
      <c r="F65" s="45">
        <f t="shared" si="1"/>
        <v>-0.17455294163403354</v>
      </c>
      <c r="G65" s="9">
        <f t="shared" si="2"/>
        <v>2.6932313102104817E-2</v>
      </c>
    </row>
    <row r="66" spans="1:7" x14ac:dyDescent="0.2">
      <c r="A66" s="12">
        <v>36983</v>
      </c>
      <c r="B66" s="9">
        <v>834.96</v>
      </c>
      <c r="C66" s="9">
        <v>811.66</v>
      </c>
      <c r="D66" s="9">
        <v>811.76</v>
      </c>
      <c r="E66" s="9">
        <f t="shared" si="0"/>
        <v>-2.4351230325470652E-2</v>
      </c>
      <c r="F66" s="45">
        <f t="shared" si="1"/>
        <v>-0.20223062026649025</v>
      </c>
      <c r="G66" s="9">
        <f t="shared" si="2"/>
        <v>2.7081891050892738E-2</v>
      </c>
    </row>
    <row r="67" spans="1:7" x14ac:dyDescent="0.2">
      <c r="A67" s="12">
        <v>36984</v>
      </c>
      <c r="B67" s="9">
        <v>807.42</v>
      </c>
      <c r="C67" s="9">
        <v>784.51</v>
      </c>
      <c r="D67" s="9">
        <v>790.71</v>
      </c>
      <c r="E67" s="9">
        <f t="shared" ref="E67:E130" si="3">LN(D67/D66)</f>
        <v>-2.62734539522925E-2</v>
      </c>
      <c r="F67" s="45">
        <f t="shared" si="1"/>
        <v>-0.2219616362466581</v>
      </c>
      <c r="G67" s="9">
        <f t="shared" si="2"/>
        <v>2.7315484606140264E-2</v>
      </c>
    </row>
    <row r="68" spans="1:7" x14ac:dyDescent="0.2">
      <c r="A68" s="12">
        <v>36985</v>
      </c>
      <c r="B68" s="9">
        <v>811.39</v>
      </c>
      <c r="C68" s="9">
        <v>770.83</v>
      </c>
      <c r="D68" s="9">
        <v>803.23</v>
      </c>
      <c r="E68" s="9">
        <f t="shared" si="3"/>
        <v>1.5709822819023261E-2</v>
      </c>
      <c r="F68" s="45">
        <f t="shared" si="1"/>
        <v>-0.19994155435576821</v>
      </c>
      <c r="G68" s="9">
        <f t="shared" si="2"/>
        <v>2.7639671972578869E-2</v>
      </c>
    </row>
    <row r="69" spans="1:7" x14ac:dyDescent="0.2">
      <c r="A69" s="12">
        <v>36986</v>
      </c>
      <c r="B69" s="9">
        <v>849.65</v>
      </c>
      <c r="C69" s="9">
        <v>807.57</v>
      </c>
      <c r="D69" s="9">
        <v>848.06</v>
      </c>
      <c r="E69" s="9">
        <f t="shared" si="3"/>
        <v>5.4310289168329105E-2</v>
      </c>
      <c r="F69" s="45">
        <f t="shared" si="1"/>
        <v>-0.12715394352434409</v>
      </c>
      <c r="G69" s="9">
        <f t="shared" si="2"/>
        <v>2.9685945408823654E-2</v>
      </c>
    </row>
    <row r="70" spans="1:7" x14ac:dyDescent="0.2">
      <c r="A70" s="12">
        <v>36987</v>
      </c>
      <c r="B70" s="9">
        <v>850.63</v>
      </c>
      <c r="C70" s="9">
        <v>824.65</v>
      </c>
      <c r="D70" s="9">
        <v>825.13</v>
      </c>
      <c r="E70" s="9">
        <f t="shared" si="3"/>
        <v>-2.7410438327386058E-2</v>
      </c>
      <c r="F70" s="45">
        <f t="shared" si="1"/>
        <v>-0.1324749405527684</v>
      </c>
      <c r="G70" s="9">
        <f t="shared" si="2"/>
        <v>2.9811907201093092E-2</v>
      </c>
    </row>
    <row r="71" spans="1:7" x14ac:dyDescent="0.2">
      <c r="A71" s="12">
        <v>36990</v>
      </c>
      <c r="B71" s="9">
        <v>861.78</v>
      </c>
      <c r="C71" s="9">
        <v>819.89</v>
      </c>
      <c r="D71" s="9">
        <v>856.15</v>
      </c>
      <c r="E71" s="9">
        <f t="shared" si="3"/>
        <v>3.6904644756478949E-2</v>
      </c>
      <c r="F71" s="45">
        <f t="shared" si="1"/>
        <v>-0.12322028303854386</v>
      </c>
      <c r="G71" s="9">
        <f t="shared" si="2"/>
        <v>3.0200510720474912E-2</v>
      </c>
    </row>
    <row r="72" spans="1:7" x14ac:dyDescent="0.2">
      <c r="A72" s="12">
        <v>36991</v>
      </c>
      <c r="B72" s="9">
        <v>885.99</v>
      </c>
      <c r="C72" s="9">
        <v>859.04</v>
      </c>
      <c r="D72" s="9">
        <v>881.87</v>
      </c>
      <c r="E72" s="9">
        <f t="shared" si="3"/>
        <v>2.9599058418250692E-2</v>
      </c>
      <c r="F72" s="45">
        <f t="shared" si="1"/>
        <v>-0.10532422847196161</v>
      </c>
      <c r="G72" s="9">
        <f t="shared" si="2"/>
        <v>3.0696250125137863E-2</v>
      </c>
    </row>
    <row r="73" spans="1:7" x14ac:dyDescent="0.2">
      <c r="A73" s="12">
        <v>36992</v>
      </c>
      <c r="B73" s="9">
        <v>889.01</v>
      </c>
      <c r="C73" s="9">
        <v>864.68</v>
      </c>
      <c r="D73" s="9">
        <v>870.79</v>
      </c>
      <c r="E73" s="9">
        <f t="shared" si="3"/>
        <v>-1.2643807251932294E-2</v>
      </c>
      <c r="F73" s="45">
        <f t="shared" si="1"/>
        <v>-0.11370306993970919</v>
      </c>
      <c r="G73" s="9">
        <f t="shared" si="2"/>
        <v>3.0741433425328278E-2</v>
      </c>
    </row>
    <row r="74" spans="1:7" x14ac:dyDescent="0.2">
      <c r="A74" s="12">
        <v>36993</v>
      </c>
      <c r="B74" s="9">
        <v>870.79</v>
      </c>
      <c r="C74" s="9">
        <v>850.04</v>
      </c>
      <c r="D74" s="9">
        <v>851.41</v>
      </c>
      <c r="E74" s="9">
        <f t="shared" si="3"/>
        <v>-2.2507046915640226E-2</v>
      </c>
      <c r="F74" s="45">
        <f t="shared" si="1"/>
        <v>-0.10434403746130692</v>
      </c>
      <c r="G74" s="9">
        <f t="shared" si="2"/>
        <v>3.049317614592234E-2</v>
      </c>
    </row>
    <row r="75" spans="1:7" x14ac:dyDescent="0.2">
      <c r="A75" s="12">
        <v>36998</v>
      </c>
      <c r="B75" s="9">
        <v>855.2</v>
      </c>
      <c r="C75" s="9">
        <v>825.87</v>
      </c>
      <c r="D75" s="9">
        <v>849.67</v>
      </c>
      <c r="E75" s="9">
        <f t="shared" si="3"/>
        <v>-2.0457598782471819E-3</v>
      </c>
      <c r="F75" s="45">
        <f t="shared" si="1"/>
        <v>-0.13612168891540138</v>
      </c>
      <c r="G75" s="9">
        <f t="shared" si="2"/>
        <v>2.9844808463619681E-2</v>
      </c>
    </row>
    <row r="76" spans="1:7" x14ac:dyDescent="0.2">
      <c r="A76" s="12">
        <v>36999</v>
      </c>
      <c r="B76" s="9">
        <v>903.31</v>
      </c>
      <c r="C76" s="9">
        <v>858.35</v>
      </c>
      <c r="D76" s="9">
        <v>899.81</v>
      </c>
      <c r="E76" s="9">
        <f t="shared" si="3"/>
        <v>5.7335591118701089E-2</v>
      </c>
      <c r="F76" s="45">
        <f t="shared" si="1"/>
        <v>-8.736694440117844E-2</v>
      </c>
      <c r="G76" s="9">
        <f t="shared" si="2"/>
        <v>3.1844237625823918E-2</v>
      </c>
    </row>
    <row r="77" spans="1:7" x14ac:dyDescent="0.2">
      <c r="A77" s="12">
        <v>37000</v>
      </c>
      <c r="B77" s="9">
        <v>924.31</v>
      </c>
      <c r="C77" s="9">
        <v>899.7</v>
      </c>
      <c r="D77" s="9">
        <v>922.9</v>
      </c>
      <c r="E77" s="9">
        <f t="shared" si="3"/>
        <v>2.533725634541872E-2</v>
      </c>
      <c r="F77" s="45">
        <f t="shared" si="1"/>
        <v>-8.868855535716387E-2</v>
      </c>
      <c r="G77" s="9">
        <f t="shared" si="2"/>
        <v>3.1802805171511489E-2</v>
      </c>
    </row>
    <row r="78" spans="1:7" x14ac:dyDescent="0.2">
      <c r="A78" s="12">
        <v>37001</v>
      </c>
      <c r="B78" s="9">
        <v>904.58</v>
      </c>
      <c r="C78" s="9">
        <v>883.94</v>
      </c>
      <c r="D78" s="9">
        <v>888.21</v>
      </c>
      <c r="E78" s="9">
        <f t="shared" si="3"/>
        <v>-3.8312684751395806E-2</v>
      </c>
      <c r="F78" s="45">
        <f t="shared" si="1"/>
        <v>-0.1275068188334737</v>
      </c>
      <c r="G78" s="9">
        <f t="shared" si="2"/>
        <v>3.2440394141503168E-2</v>
      </c>
    </row>
    <row r="79" spans="1:7" x14ac:dyDescent="0.2">
      <c r="A79" s="12">
        <v>37004</v>
      </c>
      <c r="B79" s="9">
        <v>883.87</v>
      </c>
      <c r="C79" s="9">
        <v>863.57</v>
      </c>
      <c r="D79" s="9">
        <v>867.23</v>
      </c>
      <c r="E79" s="9">
        <f t="shared" si="3"/>
        <v>-2.3903977337174472E-2</v>
      </c>
      <c r="F79" s="45">
        <f t="shared" si="1"/>
        <v>-0.13152154470644978</v>
      </c>
      <c r="G79" s="9">
        <f t="shared" si="2"/>
        <v>3.2515327704354259E-2</v>
      </c>
    </row>
    <row r="80" spans="1:7" x14ac:dyDescent="0.2">
      <c r="A80" s="12">
        <v>37005</v>
      </c>
      <c r="B80" s="9">
        <v>888.28</v>
      </c>
      <c r="C80" s="9">
        <v>865.48</v>
      </c>
      <c r="D80" s="9">
        <v>873.34</v>
      </c>
      <c r="E80" s="9">
        <f t="shared" si="3"/>
        <v>7.0207174627225869E-3</v>
      </c>
      <c r="F80" s="45">
        <f t="shared" si="1"/>
        <v>-0.10614569750895975</v>
      </c>
      <c r="G80" s="9">
        <f t="shared" si="2"/>
        <v>3.2469382293672182E-2</v>
      </c>
    </row>
    <row r="81" spans="1:7" x14ac:dyDescent="0.2">
      <c r="A81" s="12">
        <v>37006</v>
      </c>
      <c r="B81" s="9">
        <v>888.09</v>
      </c>
      <c r="C81" s="9">
        <v>867.31</v>
      </c>
      <c r="D81" s="9">
        <v>881.85</v>
      </c>
      <c r="E81" s="9">
        <f t="shared" si="3"/>
        <v>9.6970318706901884E-3</v>
      </c>
      <c r="F81" s="45">
        <f t="shared" si="1"/>
        <v>-2.4442275983144388E-2</v>
      </c>
      <c r="G81" s="9">
        <f t="shared" si="2"/>
        <v>2.9849232971255354E-2</v>
      </c>
    </row>
    <row r="82" spans="1:7" x14ac:dyDescent="0.2">
      <c r="A82" s="12">
        <v>37007</v>
      </c>
      <c r="B82" s="9">
        <v>892.35</v>
      </c>
      <c r="C82" s="9">
        <v>873.4</v>
      </c>
      <c r="D82" s="9">
        <v>890.15</v>
      </c>
      <c r="E82" s="9">
        <f t="shared" si="3"/>
        <v>9.368014334498076E-3</v>
      </c>
      <c r="F82" s="45">
        <f t="shared" si="1"/>
        <v>-1.3789782627187892E-2</v>
      </c>
      <c r="G82" s="9">
        <f t="shared" si="2"/>
        <v>2.9906757352417643E-2</v>
      </c>
    </row>
    <row r="83" spans="1:7" x14ac:dyDescent="0.2">
      <c r="A83" s="12">
        <v>37008</v>
      </c>
      <c r="B83" s="9">
        <v>912.22</v>
      </c>
      <c r="C83" s="9">
        <v>888.11</v>
      </c>
      <c r="D83" s="9">
        <v>910.58</v>
      </c>
      <c r="E83" s="9">
        <f t="shared" si="3"/>
        <v>2.269177126808522E-2</v>
      </c>
      <c r="F83" s="45">
        <f t="shared" si="1"/>
        <v>3.7415144367377411E-2</v>
      </c>
      <c r="G83" s="9">
        <f t="shared" si="2"/>
        <v>2.9711023068260352E-2</v>
      </c>
    </row>
    <row r="84" spans="1:7" x14ac:dyDescent="0.2">
      <c r="A84" s="12">
        <v>37011</v>
      </c>
      <c r="B84" s="9">
        <v>937.14</v>
      </c>
      <c r="C84" s="9">
        <v>912.03</v>
      </c>
      <c r="D84" s="9">
        <v>934.49</v>
      </c>
      <c r="E84" s="9">
        <f t="shared" si="3"/>
        <v>2.591916680982824E-2</v>
      </c>
      <c r="F84" s="45">
        <f t="shared" si="1"/>
        <v>4.1212658198586119E-2</v>
      </c>
      <c r="G84" s="9">
        <f t="shared" si="2"/>
        <v>2.9810947152147289E-2</v>
      </c>
    </row>
    <row r="85" spans="1:7" x14ac:dyDescent="0.2">
      <c r="A85" s="12">
        <v>37013</v>
      </c>
      <c r="B85" s="9">
        <v>940.18</v>
      </c>
      <c r="C85" s="9">
        <v>925.88</v>
      </c>
      <c r="D85" s="9">
        <v>934.56</v>
      </c>
      <c r="E85" s="9">
        <f t="shared" si="3"/>
        <v>7.490436321405253E-5</v>
      </c>
      <c r="F85" s="45">
        <f t="shared" si="1"/>
        <v>7.1674576894388678E-2</v>
      </c>
      <c r="G85" s="9">
        <f t="shared" si="2"/>
        <v>2.9204448238875105E-2</v>
      </c>
    </row>
    <row r="86" spans="1:7" x14ac:dyDescent="0.2">
      <c r="A86" s="12">
        <v>37014</v>
      </c>
      <c r="B86" s="9">
        <v>931.66</v>
      </c>
      <c r="C86" s="9">
        <v>906.66</v>
      </c>
      <c r="D86" s="9">
        <v>907.71</v>
      </c>
      <c r="E86" s="9">
        <f t="shared" si="3"/>
        <v>-2.9150885964313384E-2</v>
      </c>
      <c r="F86" s="45">
        <f t="shared" si="1"/>
        <v>5.1623271028314779E-2</v>
      </c>
      <c r="G86" s="9">
        <f t="shared" si="2"/>
        <v>2.9701663331124173E-2</v>
      </c>
    </row>
    <row r="87" spans="1:7" x14ac:dyDescent="0.2">
      <c r="A87" s="12">
        <v>37015</v>
      </c>
      <c r="B87" s="9">
        <v>926.57</v>
      </c>
      <c r="C87" s="9">
        <v>902.99</v>
      </c>
      <c r="D87" s="9">
        <v>925.11</v>
      </c>
      <c r="E87" s="9">
        <f t="shared" si="3"/>
        <v>1.898770503336419E-2</v>
      </c>
      <c r="F87" s="45">
        <f t="shared" si="1"/>
        <v>4.6349651438549633E-2</v>
      </c>
      <c r="G87" s="9">
        <f t="shared" si="2"/>
        <v>2.9579010965858365E-2</v>
      </c>
    </row>
    <row r="88" spans="1:7" x14ac:dyDescent="0.2">
      <c r="A88" s="12">
        <v>37018</v>
      </c>
      <c r="B88" s="9">
        <v>939.6</v>
      </c>
      <c r="C88" s="9">
        <v>927.85</v>
      </c>
      <c r="D88" s="9">
        <v>932.66</v>
      </c>
      <c r="E88" s="9">
        <f t="shared" si="3"/>
        <v>8.1280692078893602E-3</v>
      </c>
      <c r="F88" s="45">
        <f t="shared" si="1"/>
        <v>8.8168074503738633E-2</v>
      </c>
      <c r="G88" s="9">
        <f t="shared" si="2"/>
        <v>2.8837316418705364E-2</v>
      </c>
    </row>
    <row r="89" spans="1:7" x14ac:dyDescent="0.2">
      <c r="A89" s="12">
        <v>37019</v>
      </c>
      <c r="B89" s="9">
        <v>931.01</v>
      </c>
      <c r="C89" s="9">
        <v>914.11</v>
      </c>
      <c r="D89" s="9">
        <v>918.73</v>
      </c>
      <c r="E89" s="9">
        <f t="shared" si="3"/>
        <v>-1.5048436986317677E-2</v>
      </c>
      <c r="F89" s="45">
        <f t="shared" si="1"/>
        <v>0.1072574418634023</v>
      </c>
      <c r="G89" s="9">
        <f t="shared" si="2"/>
        <v>2.8194428313481495E-2</v>
      </c>
    </row>
    <row r="90" spans="1:7" x14ac:dyDescent="0.2">
      <c r="A90" s="12">
        <v>37020</v>
      </c>
      <c r="B90" s="9">
        <v>915.83</v>
      </c>
      <c r="C90" s="9">
        <v>900.39</v>
      </c>
      <c r="D90" s="9">
        <v>909.85</v>
      </c>
      <c r="E90" s="9">
        <f t="shared" si="3"/>
        <v>-9.712530823370015E-3</v>
      </c>
      <c r="F90" s="45">
        <f t="shared" si="1"/>
        <v>7.5956984178655845E-2</v>
      </c>
      <c r="G90" s="9">
        <f t="shared" si="2"/>
        <v>2.8083802566730355E-2</v>
      </c>
    </row>
    <row r="91" spans="1:7" x14ac:dyDescent="0.2">
      <c r="A91" s="12">
        <v>37021</v>
      </c>
      <c r="B91" s="9">
        <v>930.57</v>
      </c>
      <c r="C91" s="9">
        <v>904.47</v>
      </c>
      <c r="D91" s="9">
        <v>919.99</v>
      </c>
      <c r="E91" s="9">
        <f t="shared" si="3"/>
        <v>1.1083049659542809E-2</v>
      </c>
      <c r="F91" s="45">
        <f t="shared" si="1"/>
        <v>4.1230143831557653E-2</v>
      </c>
      <c r="G91" s="9">
        <f t="shared" si="2"/>
        <v>2.6930458521037186E-2</v>
      </c>
    </row>
    <row r="92" spans="1:7" x14ac:dyDescent="0.2">
      <c r="A92" s="12">
        <v>37022</v>
      </c>
      <c r="B92" s="9">
        <v>927.12</v>
      </c>
      <c r="C92" s="9">
        <v>912.51</v>
      </c>
      <c r="D92" s="9">
        <v>915.3</v>
      </c>
      <c r="E92" s="9">
        <f t="shared" si="3"/>
        <v>-5.1109200280609005E-3</v>
      </c>
      <c r="F92" s="45">
        <f t="shared" si="1"/>
        <v>9.6498188170708564E-3</v>
      </c>
      <c r="G92" s="9">
        <f t="shared" si="2"/>
        <v>2.6529937925469867E-2</v>
      </c>
    </row>
    <row r="93" spans="1:7" x14ac:dyDescent="0.2">
      <c r="A93" s="12">
        <v>37025</v>
      </c>
      <c r="B93" s="9">
        <v>917.27</v>
      </c>
      <c r="C93" s="9">
        <v>902.49</v>
      </c>
      <c r="D93" s="9">
        <v>904.9</v>
      </c>
      <c r="E93" s="9">
        <f t="shared" si="3"/>
        <v>-1.1427440033646059E-2</v>
      </c>
      <c r="F93" s="45">
        <f t="shared" si="1"/>
        <v>4.7270709114002794E-2</v>
      </c>
      <c r="G93" s="9">
        <f t="shared" si="2"/>
        <v>2.4958419372630644E-2</v>
      </c>
    </row>
    <row r="94" spans="1:7" x14ac:dyDescent="0.2">
      <c r="A94" s="12">
        <v>37026</v>
      </c>
      <c r="B94" s="9">
        <v>907.82</v>
      </c>
      <c r="C94" s="9">
        <v>896.75</v>
      </c>
      <c r="D94" s="9">
        <v>902.28</v>
      </c>
      <c r="E94" s="9">
        <f t="shared" si="3"/>
        <v>-2.8995471791517669E-3</v>
      </c>
      <c r="F94" s="45">
        <f t="shared" si="1"/>
        <v>6.7969797642643201E-2</v>
      </c>
      <c r="G94" s="9">
        <f t="shared" si="2"/>
        <v>2.4520756547377343E-2</v>
      </c>
    </row>
    <row r="95" spans="1:7" x14ac:dyDescent="0.2">
      <c r="A95" s="12">
        <v>37027</v>
      </c>
      <c r="B95" s="9">
        <v>911.75</v>
      </c>
      <c r="C95" s="9">
        <v>885.1</v>
      </c>
      <c r="D95" s="9">
        <v>910.54</v>
      </c>
      <c r="E95" s="9">
        <f t="shared" si="3"/>
        <v>9.1129369302953168E-3</v>
      </c>
      <c r="F95" s="45">
        <f t="shared" si="1"/>
        <v>9.0481869811932902E-2</v>
      </c>
      <c r="G95" s="9">
        <f t="shared" si="2"/>
        <v>2.4368835262817173E-2</v>
      </c>
    </row>
    <row r="96" spans="1:7" x14ac:dyDescent="0.2">
      <c r="A96" s="12">
        <v>37028</v>
      </c>
      <c r="B96" s="9">
        <v>938.52</v>
      </c>
      <c r="C96" s="9">
        <v>916.93</v>
      </c>
      <c r="D96" s="9">
        <v>933.01</v>
      </c>
      <c r="E96" s="9">
        <f t="shared" si="3"/>
        <v>2.4378088795286103E-2</v>
      </c>
      <c r="F96" s="45">
        <f t="shared" si="1"/>
        <v>0.1392111889326898</v>
      </c>
      <c r="G96" s="9">
        <f t="shared" si="2"/>
        <v>2.4104356271203237E-2</v>
      </c>
    </row>
    <row r="97" spans="1:7" x14ac:dyDescent="0.2">
      <c r="A97" s="12">
        <v>37029</v>
      </c>
      <c r="B97" s="9">
        <v>952.98</v>
      </c>
      <c r="C97" s="9">
        <v>928.21</v>
      </c>
      <c r="D97" s="9">
        <v>944.96</v>
      </c>
      <c r="E97" s="9">
        <f t="shared" si="3"/>
        <v>1.2726679652040631E-2</v>
      </c>
      <c r="F97" s="45">
        <f t="shared" ref="F97:F160" si="4">LN(D97/D67)</f>
        <v>0.17821132253702301</v>
      </c>
      <c r="G97" s="9">
        <f t="shared" ref="G97:G160" si="5">STDEV(E68:E97)</f>
        <v>2.3421625035690074E-2</v>
      </c>
    </row>
    <row r="98" spans="1:7" x14ac:dyDescent="0.2">
      <c r="A98" s="12">
        <v>37032</v>
      </c>
      <c r="B98" s="9">
        <v>966.69</v>
      </c>
      <c r="C98" s="9">
        <v>952.2</v>
      </c>
      <c r="D98" s="9">
        <v>970.59</v>
      </c>
      <c r="E98" s="9">
        <f t="shared" si="3"/>
        <v>2.6761535457063293E-2</v>
      </c>
      <c r="F98" s="45">
        <f t="shared" si="4"/>
        <v>0.1892630351750631</v>
      </c>
      <c r="G98" s="9">
        <f t="shared" si="5"/>
        <v>2.3666220852422336E-2</v>
      </c>
    </row>
    <row r="99" spans="1:7" x14ac:dyDescent="0.2">
      <c r="A99" s="12">
        <v>37033</v>
      </c>
      <c r="B99" s="9">
        <v>985.51</v>
      </c>
      <c r="C99" s="9">
        <v>969.26</v>
      </c>
      <c r="D99" s="9">
        <v>974.7</v>
      </c>
      <c r="E99" s="9">
        <f t="shared" si="3"/>
        <v>4.2255973305430697E-3</v>
      </c>
      <c r="F99" s="45">
        <f t="shared" si="4"/>
        <v>0.13917834333727708</v>
      </c>
      <c r="G99" s="9">
        <f t="shared" si="5"/>
        <v>2.1860993403097505E-2</v>
      </c>
    </row>
    <row r="100" spans="1:7" x14ac:dyDescent="0.2">
      <c r="A100" s="12">
        <v>37034</v>
      </c>
      <c r="B100" s="9">
        <v>974.54</v>
      </c>
      <c r="C100" s="9">
        <v>957.37</v>
      </c>
      <c r="D100" s="9">
        <v>959.43</v>
      </c>
      <c r="E100" s="9">
        <f t="shared" si="3"/>
        <v>-1.5790373220618197E-2</v>
      </c>
      <c r="F100" s="45">
        <f t="shared" si="4"/>
        <v>0.1507984084440451</v>
      </c>
      <c r="G100" s="9">
        <f t="shared" si="5"/>
        <v>2.137100308306375E-2</v>
      </c>
    </row>
    <row r="101" spans="1:7" x14ac:dyDescent="0.2">
      <c r="A101" s="12">
        <v>37036</v>
      </c>
      <c r="B101" s="9">
        <v>963.16</v>
      </c>
      <c r="C101" s="9">
        <v>952.61</v>
      </c>
      <c r="D101" s="9">
        <v>956.06</v>
      </c>
      <c r="E101" s="9">
        <f t="shared" si="3"/>
        <v>-3.5186855342897614E-3</v>
      </c>
      <c r="F101" s="45">
        <f t="shared" si="4"/>
        <v>0.11037507815327625</v>
      </c>
      <c r="G101" s="9">
        <f t="shared" si="5"/>
        <v>2.0550374181394493E-2</v>
      </c>
    </row>
    <row r="102" spans="1:7" x14ac:dyDescent="0.2">
      <c r="A102" s="12">
        <v>37039</v>
      </c>
      <c r="B102" s="9">
        <v>958.13</v>
      </c>
      <c r="C102" s="9">
        <v>946.12</v>
      </c>
      <c r="D102" s="9">
        <v>954.81</v>
      </c>
      <c r="E102" s="9">
        <f t="shared" si="3"/>
        <v>-1.3083047808569261E-3</v>
      </c>
      <c r="F102" s="45">
        <f t="shared" si="4"/>
        <v>7.9467714954168739E-2</v>
      </c>
      <c r="G102" s="9">
        <f t="shared" si="5"/>
        <v>1.9972749163182833E-2</v>
      </c>
    </row>
    <row r="103" spans="1:7" x14ac:dyDescent="0.2">
      <c r="A103" s="12">
        <v>37040</v>
      </c>
      <c r="B103" s="9">
        <v>959.31</v>
      </c>
      <c r="C103" s="9">
        <v>941.85</v>
      </c>
      <c r="D103" s="9">
        <v>941.91</v>
      </c>
      <c r="E103" s="9">
        <f t="shared" si="3"/>
        <v>-1.360263919668076E-2</v>
      </c>
      <c r="F103" s="45">
        <f t="shared" si="4"/>
        <v>7.8508883009420175E-2</v>
      </c>
      <c r="G103" s="9">
        <f t="shared" si="5"/>
        <v>1.9998815134304567E-2</v>
      </c>
    </row>
    <row r="104" spans="1:7" x14ac:dyDescent="0.2">
      <c r="A104" s="12">
        <v>37041</v>
      </c>
      <c r="B104" s="9">
        <v>941.91</v>
      </c>
      <c r="C104" s="9">
        <v>920.32</v>
      </c>
      <c r="D104" s="9">
        <v>922.6</v>
      </c>
      <c r="E104" s="9">
        <f t="shared" si="3"/>
        <v>-2.0713957486998572E-2</v>
      </c>
      <c r="F104" s="45">
        <f t="shared" si="4"/>
        <v>8.0301972438061961E-2</v>
      </c>
      <c r="G104" s="9">
        <f t="shared" si="5"/>
        <v>1.992367713044509E-2</v>
      </c>
    </row>
    <row r="105" spans="1:7" x14ac:dyDescent="0.2">
      <c r="A105" s="12">
        <v>37042</v>
      </c>
      <c r="B105" s="9">
        <v>930</v>
      </c>
      <c r="C105" s="9">
        <v>915.33</v>
      </c>
      <c r="D105" s="9">
        <v>926.68</v>
      </c>
      <c r="E105" s="9">
        <f t="shared" si="3"/>
        <v>4.4125352785480748E-3</v>
      </c>
      <c r="F105" s="45">
        <f t="shared" si="4"/>
        <v>8.6760267594857221E-2</v>
      </c>
      <c r="G105" s="9">
        <f t="shared" si="5"/>
        <v>1.9905773863867767E-2</v>
      </c>
    </row>
    <row r="106" spans="1:7" x14ac:dyDescent="0.2">
      <c r="A106" s="12">
        <v>37043</v>
      </c>
      <c r="B106" s="9">
        <v>925.23</v>
      </c>
      <c r="C106" s="9">
        <v>908.62</v>
      </c>
      <c r="D106" s="9">
        <v>917.07</v>
      </c>
      <c r="E106" s="9">
        <f t="shared" si="3"/>
        <v>-1.0424501181375688E-2</v>
      </c>
      <c r="F106" s="45">
        <f t="shared" si="4"/>
        <v>1.9000175294780351E-2</v>
      </c>
      <c r="G106" s="9">
        <f t="shared" si="5"/>
        <v>1.7171682070530558E-2</v>
      </c>
    </row>
    <row r="107" spans="1:7" x14ac:dyDescent="0.2">
      <c r="A107" s="12">
        <v>37047</v>
      </c>
      <c r="B107" s="9">
        <v>949.56</v>
      </c>
      <c r="C107" s="9">
        <v>919.97</v>
      </c>
      <c r="D107" s="9">
        <v>944.46</v>
      </c>
      <c r="E107" s="9">
        <f t="shared" si="3"/>
        <v>2.9429530373892392E-2</v>
      </c>
      <c r="F107" s="45">
        <f t="shared" si="4"/>
        <v>2.3092449323254029E-2</v>
      </c>
      <c r="G107" s="9">
        <f t="shared" si="5"/>
        <v>1.7389565013338444E-2</v>
      </c>
    </row>
    <row r="108" spans="1:7" x14ac:dyDescent="0.2">
      <c r="A108" s="12">
        <v>37048</v>
      </c>
      <c r="B108" s="9">
        <v>949.04</v>
      </c>
      <c r="C108" s="9">
        <v>929.25</v>
      </c>
      <c r="D108" s="9">
        <v>932.86</v>
      </c>
      <c r="E108" s="9">
        <f t="shared" si="3"/>
        <v>-1.2358199597175653E-2</v>
      </c>
      <c r="F108" s="45">
        <f t="shared" si="4"/>
        <v>4.9046934477474262E-2</v>
      </c>
      <c r="G108" s="9">
        <f t="shared" si="5"/>
        <v>1.5965441235485035E-2</v>
      </c>
    </row>
    <row r="109" spans="1:7" x14ac:dyDescent="0.2">
      <c r="A109" s="12">
        <v>37049</v>
      </c>
      <c r="B109" s="9">
        <v>939.64</v>
      </c>
      <c r="C109" s="9">
        <v>914.92</v>
      </c>
      <c r="D109" s="9">
        <v>920.74</v>
      </c>
      <c r="E109" s="9">
        <f t="shared" si="3"/>
        <v>-1.3077441442789316E-2</v>
      </c>
      <c r="F109" s="45">
        <f t="shared" si="4"/>
        <v>5.987347037185925E-2</v>
      </c>
      <c r="G109" s="9">
        <f t="shared" si="5"/>
        <v>1.5483334482854303E-2</v>
      </c>
    </row>
    <row r="110" spans="1:7" x14ac:dyDescent="0.2">
      <c r="A110" s="12">
        <v>37050</v>
      </c>
      <c r="B110" s="9">
        <v>934.13</v>
      </c>
      <c r="C110" s="9">
        <v>906.51</v>
      </c>
      <c r="D110" s="9">
        <v>907.7</v>
      </c>
      <c r="E110" s="9">
        <f t="shared" si="3"/>
        <v>-1.4263767022238494E-2</v>
      </c>
      <c r="F110" s="45">
        <f t="shared" si="4"/>
        <v>3.8588985886898193E-2</v>
      </c>
      <c r="G110" s="9">
        <f t="shared" si="5"/>
        <v>1.5730815082086007E-2</v>
      </c>
    </row>
    <row r="111" spans="1:7" x14ac:dyDescent="0.2">
      <c r="A111" s="12">
        <v>37053</v>
      </c>
      <c r="B111" s="9">
        <v>907.53</v>
      </c>
      <c r="C111" s="9">
        <v>890.42</v>
      </c>
      <c r="D111" s="9">
        <v>894.02</v>
      </c>
      <c r="E111" s="9">
        <f t="shared" si="3"/>
        <v>-1.5185781244649442E-2</v>
      </c>
      <c r="F111" s="45">
        <f t="shared" si="4"/>
        <v>1.3706172771558476E-2</v>
      </c>
      <c r="G111" s="9">
        <f t="shared" si="5"/>
        <v>1.5926824367061068E-2</v>
      </c>
    </row>
    <row r="112" spans="1:7" x14ac:dyDescent="0.2">
      <c r="A112" s="12">
        <v>37054</v>
      </c>
      <c r="B112" s="9">
        <v>893.49</v>
      </c>
      <c r="C112" s="9">
        <v>859.97</v>
      </c>
      <c r="D112" s="9">
        <v>877.64</v>
      </c>
      <c r="E112" s="9">
        <f t="shared" si="3"/>
        <v>-1.8491659514183016E-2</v>
      </c>
      <c r="F112" s="45">
        <f t="shared" si="4"/>
        <v>-1.4153501077122521E-2</v>
      </c>
      <c r="G112" s="9">
        <f t="shared" si="5"/>
        <v>1.6199206731483638E-2</v>
      </c>
    </row>
    <row r="113" spans="1:7" x14ac:dyDescent="0.2">
      <c r="A113" s="12">
        <v>37055</v>
      </c>
      <c r="B113" s="9">
        <v>885.56</v>
      </c>
      <c r="C113" s="9">
        <v>875.23</v>
      </c>
      <c r="D113" s="9">
        <v>876.85</v>
      </c>
      <c r="E113" s="9">
        <f t="shared" si="3"/>
        <v>-9.0054665844753348E-4</v>
      </c>
      <c r="F113" s="45">
        <f t="shared" si="4"/>
        <v>-3.7745819003655243E-2</v>
      </c>
      <c r="G113" s="9">
        <f t="shared" si="5"/>
        <v>1.5597408039351441E-2</v>
      </c>
    </row>
    <row r="114" spans="1:7" x14ac:dyDescent="0.2">
      <c r="A114" s="12">
        <v>37056</v>
      </c>
      <c r="B114" s="9">
        <v>876.07</v>
      </c>
      <c r="C114" s="9">
        <v>855.34</v>
      </c>
      <c r="D114" s="9">
        <v>855.87</v>
      </c>
      <c r="E114" s="9">
        <f t="shared" si="3"/>
        <v>-2.4217444665726468E-2</v>
      </c>
      <c r="F114" s="45">
        <f t="shared" si="4"/>
        <v>-8.7882430479209919E-2</v>
      </c>
      <c r="G114" s="9">
        <f t="shared" si="5"/>
        <v>1.5267526859431791E-2</v>
      </c>
    </row>
    <row r="115" spans="1:7" x14ac:dyDescent="0.2">
      <c r="A115" s="12">
        <v>37057</v>
      </c>
      <c r="B115" s="9">
        <v>869.56</v>
      </c>
      <c r="C115" s="9">
        <v>842.56</v>
      </c>
      <c r="D115" s="9">
        <v>866.96</v>
      </c>
      <c r="E115" s="9">
        <f t="shared" si="3"/>
        <v>1.2874344165164668E-2</v>
      </c>
      <c r="F115" s="45">
        <f t="shared" si="4"/>
        <v>-7.5082990677259348E-2</v>
      </c>
      <c r="G115" s="9">
        <f t="shared" si="5"/>
        <v>1.5530943431887139E-2</v>
      </c>
    </row>
    <row r="116" spans="1:7" x14ac:dyDescent="0.2">
      <c r="A116" s="12">
        <v>37060</v>
      </c>
      <c r="B116" s="9">
        <v>866.96</v>
      </c>
      <c r="C116" s="9">
        <v>849.04</v>
      </c>
      <c r="D116" s="9">
        <v>851.79</v>
      </c>
      <c r="E116" s="9">
        <f t="shared" si="3"/>
        <v>-1.7652822039573281E-2</v>
      </c>
      <c r="F116" s="45">
        <f t="shared" si="4"/>
        <v>-6.3584926752519366E-2</v>
      </c>
      <c r="G116" s="9">
        <f t="shared" si="5"/>
        <v>1.4982853386075343E-2</v>
      </c>
    </row>
    <row r="117" spans="1:7" x14ac:dyDescent="0.2">
      <c r="A117" s="12">
        <v>37061</v>
      </c>
      <c r="B117" s="9">
        <v>862.57</v>
      </c>
      <c r="C117" s="9">
        <v>847.07</v>
      </c>
      <c r="D117" s="9">
        <v>850.67</v>
      </c>
      <c r="E117" s="9">
        <f t="shared" si="3"/>
        <v>-1.3157432909751837E-3</v>
      </c>
      <c r="F117" s="45">
        <f t="shared" si="4"/>
        <v>-8.3888375076858715E-2</v>
      </c>
      <c r="G117" s="9">
        <f t="shared" si="5"/>
        <v>1.4445476551597931E-2</v>
      </c>
    </row>
    <row r="118" spans="1:7" x14ac:dyDescent="0.2">
      <c r="A118" s="12">
        <v>37062</v>
      </c>
      <c r="B118" s="9">
        <v>846.32</v>
      </c>
      <c r="C118" s="9">
        <v>824.31</v>
      </c>
      <c r="D118" s="9">
        <v>839.76</v>
      </c>
      <c r="E118" s="9">
        <f t="shared" si="3"/>
        <v>-1.2908137556649024E-2</v>
      </c>
      <c r="F118" s="45">
        <f t="shared" si="4"/>
        <v>-0.10492458184139709</v>
      </c>
      <c r="G118" s="9">
        <f t="shared" si="5"/>
        <v>1.4407420921530866E-2</v>
      </c>
    </row>
    <row r="119" spans="1:7" x14ac:dyDescent="0.2">
      <c r="A119" s="12">
        <v>37063</v>
      </c>
      <c r="B119" s="9">
        <v>851.2</v>
      </c>
      <c r="C119" s="9">
        <v>842.27</v>
      </c>
      <c r="D119" s="9">
        <v>845.34</v>
      </c>
      <c r="E119" s="9">
        <f t="shared" si="3"/>
        <v>6.6227765656981658E-3</v>
      </c>
      <c r="F119" s="45">
        <f t="shared" si="4"/>
        <v>-8.3253368289381319E-2</v>
      </c>
      <c r="G119" s="9">
        <f t="shared" si="5"/>
        <v>1.4351474852125991E-2</v>
      </c>
    </row>
    <row r="120" spans="1:7" x14ac:dyDescent="0.2">
      <c r="A120" s="12">
        <v>37067</v>
      </c>
      <c r="B120" s="9">
        <v>855.4</v>
      </c>
      <c r="C120" s="9">
        <v>843.23</v>
      </c>
      <c r="D120" s="9">
        <v>849.77</v>
      </c>
      <c r="E120" s="9">
        <f t="shared" si="3"/>
        <v>5.2268113402257196E-3</v>
      </c>
      <c r="F120" s="45">
        <f t="shared" si="4"/>
        <v>-6.8314026125785535E-2</v>
      </c>
      <c r="G120" s="9">
        <f t="shared" si="5"/>
        <v>1.4361639065956503E-2</v>
      </c>
    </row>
    <row r="121" spans="1:7" x14ac:dyDescent="0.2">
      <c r="A121" s="12">
        <v>37068</v>
      </c>
      <c r="B121" s="9">
        <v>848.32</v>
      </c>
      <c r="C121" s="9">
        <v>831.45</v>
      </c>
      <c r="D121" s="9">
        <v>845.13</v>
      </c>
      <c r="E121" s="9">
        <f t="shared" si="3"/>
        <v>-5.4752629555520228E-3</v>
      </c>
      <c r="F121" s="45">
        <f t="shared" si="4"/>
        <v>-8.4872338740880404E-2</v>
      </c>
      <c r="G121" s="9">
        <f t="shared" si="5"/>
        <v>1.4147057547820379E-2</v>
      </c>
    </row>
    <row r="122" spans="1:7" x14ac:dyDescent="0.2">
      <c r="A122" s="12">
        <v>37069</v>
      </c>
      <c r="B122" s="9">
        <v>858.7</v>
      </c>
      <c r="C122" s="9">
        <v>841.52</v>
      </c>
      <c r="D122" s="9">
        <v>849.83</v>
      </c>
      <c r="E122" s="9">
        <f t="shared" si="3"/>
        <v>5.5458678037810334E-3</v>
      </c>
      <c r="F122" s="45">
        <f t="shared" si="4"/>
        <v>-7.4215550909038419E-2</v>
      </c>
      <c r="G122" s="9">
        <f t="shared" si="5"/>
        <v>1.4221384120720283E-2</v>
      </c>
    </row>
    <row r="123" spans="1:7" x14ac:dyDescent="0.2">
      <c r="A123" s="12">
        <v>37070</v>
      </c>
      <c r="B123" s="9">
        <v>878.58</v>
      </c>
      <c r="C123" s="9">
        <v>837.58</v>
      </c>
      <c r="D123" s="9">
        <v>876.58</v>
      </c>
      <c r="E123" s="9">
        <f t="shared" si="3"/>
        <v>3.0991642819511882E-2</v>
      </c>
      <c r="F123" s="45">
        <f t="shared" si="4"/>
        <v>-3.1796468055880552E-2</v>
      </c>
      <c r="G123" s="9">
        <f t="shared" si="5"/>
        <v>1.5363389662526601E-2</v>
      </c>
    </row>
    <row r="124" spans="1:7" x14ac:dyDescent="0.2">
      <c r="A124" s="12">
        <v>37071</v>
      </c>
      <c r="B124" s="9">
        <v>888.97</v>
      </c>
      <c r="C124" s="9">
        <v>875.59</v>
      </c>
      <c r="D124" s="9">
        <v>879.73</v>
      </c>
      <c r="E124" s="9">
        <f t="shared" si="3"/>
        <v>3.5870699108986946E-3</v>
      </c>
      <c r="F124" s="45">
        <f t="shared" si="4"/>
        <v>-2.5309850965830018E-2</v>
      </c>
      <c r="G124" s="9">
        <f t="shared" si="5"/>
        <v>1.5382239841036932E-2</v>
      </c>
    </row>
    <row r="125" spans="1:7" x14ac:dyDescent="0.2">
      <c r="A125" s="12">
        <v>37074</v>
      </c>
      <c r="B125" s="9">
        <v>901.83</v>
      </c>
      <c r="C125" s="9">
        <v>878.04</v>
      </c>
      <c r="D125" s="9">
        <v>896.75</v>
      </c>
      <c r="E125" s="9">
        <f t="shared" si="3"/>
        <v>1.9162074200286251E-2</v>
      </c>
      <c r="F125" s="45">
        <f t="shared" si="4"/>
        <v>-1.5260713695839156E-2</v>
      </c>
      <c r="G125" s="9">
        <f t="shared" si="5"/>
        <v>1.5712410221285705E-2</v>
      </c>
    </row>
    <row r="126" spans="1:7" x14ac:dyDescent="0.2">
      <c r="A126" s="12">
        <v>37075</v>
      </c>
      <c r="B126" s="9">
        <v>899.64</v>
      </c>
      <c r="C126" s="9">
        <v>883.41</v>
      </c>
      <c r="D126" s="9">
        <v>889.79</v>
      </c>
      <c r="E126" s="9">
        <f t="shared" si="3"/>
        <v>-7.7916365841601684E-3</v>
      </c>
      <c r="F126" s="45">
        <f t="shared" si="4"/>
        <v>-4.743043907528554E-2</v>
      </c>
      <c r="G126" s="9">
        <f t="shared" si="5"/>
        <v>1.5038695333063089E-2</v>
      </c>
    </row>
    <row r="127" spans="1:7" x14ac:dyDescent="0.2">
      <c r="A127" s="12">
        <v>37076</v>
      </c>
      <c r="B127" s="9">
        <v>885.89</v>
      </c>
      <c r="C127" s="9">
        <v>870.49</v>
      </c>
      <c r="D127" s="9">
        <v>873.04</v>
      </c>
      <c r="E127" s="9">
        <f t="shared" si="3"/>
        <v>-1.9004106023397378E-2</v>
      </c>
      <c r="F127" s="45">
        <f t="shared" si="4"/>
        <v>-7.9161224750723583E-2</v>
      </c>
      <c r="G127" s="9">
        <f t="shared" si="5"/>
        <v>1.5113365784383111E-2</v>
      </c>
    </row>
    <row r="128" spans="1:7" x14ac:dyDescent="0.2">
      <c r="A128" s="12">
        <v>37077</v>
      </c>
      <c r="B128" s="9">
        <v>873.04</v>
      </c>
      <c r="C128" s="9">
        <v>849.69</v>
      </c>
      <c r="D128" s="9">
        <v>853.13</v>
      </c>
      <c r="E128" s="9">
        <f t="shared" si="3"/>
        <v>-2.3069434642823454E-2</v>
      </c>
      <c r="F128" s="45">
        <f t="shared" si="4"/>
        <v>-0.12899219485061031</v>
      </c>
      <c r="G128" s="9">
        <f t="shared" si="5"/>
        <v>1.4496456651980063E-2</v>
      </c>
    </row>
    <row r="129" spans="1:7" x14ac:dyDescent="0.2">
      <c r="A129" s="12">
        <v>37078</v>
      </c>
      <c r="B129" s="9">
        <v>853.13</v>
      </c>
      <c r="C129" s="9">
        <v>819.99</v>
      </c>
      <c r="D129" s="9">
        <v>823.02</v>
      </c>
      <c r="E129" s="9">
        <f t="shared" si="3"/>
        <v>-3.5931437443640309E-2</v>
      </c>
      <c r="F129" s="45">
        <f t="shared" si="4"/>
        <v>-0.1691492296247937</v>
      </c>
      <c r="G129" s="9">
        <f t="shared" si="5"/>
        <v>1.5501279606850412E-2</v>
      </c>
    </row>
    <row r="130" spans="1:7" x14ac:dyDescent="0.2">
      <c r="A130" s="12">
        <v>37081</v>
      </c>
      <c r="B130" s="9">
        <v>823.61</v>
      </c>
      <c r="C130" s="9">
        <v>804.27</v>
      </c>
      <c r="D130" s="9">
        <v>821.93</v>
      </c>
      <c r="E130" s="9">
        <f t="shared" si="3"/>
        <v>-1.3252684392035688E-3</v>
      </c>
      <c r="F130" s="45">
        <f t="shared" si="4"/>
        <v>-0.15468412484337912</v>
      </c>
      <c r="G130" s="9">
        <f t="shared" si="5"/>
        <v>1.5399242753627258E-2</v>
      </c>
    </row>
    <row r="131" spans="1:7" x14ac:dyDescent="0.2">
      <c r="A131" s="12">
        <v>37082</v>
      </c>
      <c r="B131" s="9">
        <v>834.23</v>
      </c>
      <c r="C131" s="9">
        <v>817.7</v>
      </c>
      <c r="D131" s="9">
        <v>819.75</v>
      </c>
      <c r="E131" s="9">
        <f t="shared" ref="E131:E194" si="6">LN(D131/D130)</f>
        <v>-2.6558175544094827E-3</v>
      </c>
      <c r="F131" s="45">
        <f t="shared" si="4"/>
        <v>-0.15382125686349885</v>
      </c>
      <c r="G131" s="9">
        <f t="shared" si="5"/>
        <v>1.5403211909804608E-2</v>
      </c>
    </row>
    <row r="132" spans="1:7" x14ac:dyDescent="0.2">
      <c r="A132" s="12">
        <v>37083</v>
      </c>
      <c r="B132" s="9">
        <v>820.23</v>
      </c>
      <c r="C132" s="9">
        <v>807.82</v>
      </c>
      <c r="D132" s="9">
        <v>814.03</v>
      </c>
      <c r="E132" s="9">
        <f t="shared" si="6"/>
        <v>-7.0021953644924754E-3</v>
      </c>
      <c r="F132" s="45">
        <f t="shared" si="4"/>
        <v>-0.15951514744713441</v>
      </c>
      <c r="G132" s="9">
        <f t="shared" si="5"/>
        <v>1.5389604808621843E-2</v>
      </c>
    </row>
    <row r="133" spans="1:7" x14ac:dyDescent="0.2">
      <c r="A133" s="12">
        <v>37084</v>
      </c>
      <c r="B133" s="9">
        <v>841.17</v>
      </c>
      <c r="C133" s="9">
        <v>823.97</v>
      </c>
      <c r="D133" s="9">
        <v>832.25</v>
      </c>
      <c r="E133" s="9">
        <f t="shared" si="6"/>
        <v>2.2135656094869189E-2</v>
      </c>
      <c r="F133" s="45">
        <f t="shared" si="4"/>
        <v>-0.12377685215558436</v>
      </c>
      <c r="G133" s="9">
        <f t="shared" si="5"/>
        <v>1.6093254884936278E-2</v>
      </c>
    </row>
    <row r="134" spans="1:7" x14ac:dyDescent="0.2">
      <c r="A134" s="12">
        <v>37085</v>
      </c>
      <c r="B134" s="9">
        <v>842.92</v>
      </c>
      <c r="C134" s="9">
        <v>826.57</v>
      </c>
      <c r="D134" s="9">
        <v>841.92</v>
      </c>
      <c r="E134" s="9">
        <f t="shared" si="6"/>
        <v>1.1552121396793446E-2</v>
      </c>
      <c r="F134" s="45">
        <f t="shared" si="4"/>
        <v>-9.151077327179237E-2</v>
      </c>
      <c r="G134" s="9">
        <f t="shared" si="5"/>
        <v>1.6024470283825268E-2</v>
      </c>
    </row>
    <row r="135" spans="1:7" x14ac:dyDescent="0.2">
      <c r="A135" s="12">
        <v>37088</v>
      </c>
      <c r="B135" s="9">
        <v>845.86</v>
      </c>
      <c r="C135" s="9">
        <v>831.07</v>
      </c>
      <c r="D135" s="9">
        <v>834.76</v>
      </c>
      <c r="E135" s="9">
        <f t="shared" si="6"/>
        <v>-8.5407394652980539E-3</v>
      </c>
      <c r="F135" s="45">
        <f t="shared" si="4"/>
        <v>-0.10446404801563855</v>
      </c>
      <c r="G135" s="9">
        <f t="shared" si="5"/>
        <v>1.5990926696064171E-2</v>
      </c>
    </row>
    <row r="136" spans="1:7" x14ac:dyDescent="0.2">
      <c r="A136" s="12">
        <v>37089</v>
      </c>
      <c r="B136" s="9">
        <v>832.67</v>
      </c>
      <c r="C136" s="9">
        <v>818.14</v>
      </c>
      <c r="D136" s="9">
        <v>826.6</v>
      </c>
      <c r="E136" s="9">
        <f t="shared" si="6"/>
        <v>-9.8233563089977528E-3</v>
      </c>
      <c r="F136" s="45">
        <f t="shared" si="4"/>
        <v>-0.10386290314326058</v>
      </c>
      <c r="G136" s="9">
        <f t="shared" si="5"/>
        <v>1.5982301585302477E-2</v>
      </c>
    </row>
    <row r="137" spans="1:7" x14ac:dyDescent="0.2">
      <c r="A137" s="12">
        <v>37090</v>
      </c>
      <c r="B137" s="9">
        <v>829.75</v>
      </c>
      <c r="C137" s="9">
        <v>810.87</v>
      </c>
      <c r="D137" s="9">
        <v>813.82</v>
      </c>
      <c r="E137" s="9">
        <f t="shared" si="6"/>
        <v>-1.5581690749114131E-2</v>
      </c>
      <c r="F137" s="45">
        <f t="shared" si="4"/>
        <v>-0.14887412426626731</v>
      </c>
      <c r="G137" s="9">
        <f t="shared" si="5"/>
        <v>1.486151789399571E-2</v>
      </c>
    </row>
    <row r="138" spans="1:7" x14ac:dyDescent="0.2">
      <c r="A138" s="12">
        <v>37091</v>
      </c>
      <c r="B138" s="9">
        <v>836.04</v>
      </c>
      <c r="C138" s="9">
        <v>807.71</v>
      </c>
      <c r="D138" s="9">
        <v>834.2</v>
      </c>
      <c r="E138" s="9">
        <f t="shared" si="6"/>
        <v>2.4733970434326964E-2</v>
      </c>
      <c r="F138" s="45">
        <f t="shared" si="4"/>
        <v>-0.11178195423476443</v>
      </c>
      <c r="G138" s="9">
        <f t="shared" si="5"/>
        <v>1.574188083912062E-2</v>
      </c>
    </row>
    <row r="139" spans="1:7" x14ac:dyDescent="0.2">
      <c r="A139" s="12">
        <v>37092</v>
      </c>
      <c r="B139" s="9">
        <v>838.59</v>
      </c>
      <c r="C139" s="9">
        <v>815.25</v>
      </c>
      <c r="D139" s="9">
        <v>828.56</v>
      </c>
      <c r="E139" s="9">
        <f t="shared" si="6"/>
        <v>-6.7839274822215738E-3</v>
      </c>
      <c r="F139" s="45">
        <f t="shared" si="4"/>
        <v>-0.10548844027419681</v>
      </c>
      <c r="G139" s="9">
        <f t="shared" si="5"/>
        <v>1.56546562031607E-2</v>
      </c>
    </row>
    <row r="140" spans="1:7" x14ac:dyDescent="0.2">
      <c r="A140" s="12">
        <v>37095</v>
      </c>
      <c r="B140" s="9">
        <v>836.77</v>
      </c>
      <c r="C140" s="9">
        <v>820.54</v>
      </c>
      <c r="D140" s="9">
        <v>825.14</v>
      </c>
      <c r="E140" s="9">
        <f t="shared" si="6"/>
        <v>-4.1361853731474336E-3</v>
      </c>
      <c r="F140" s="45">
        <f t="shared" si="4"/>
        <v>-9.5360858625105724E-2</v>
      </c>
      <c r="G140" s="9">
        <f t="shared" si="5"/>
        <v>1.5523548815035336E-2</v>
      </c>
    </row>
    <row r="141" spans="1:7" x14ac:dyDescent="0.2">
      <c r="A141" s="12">
        <v>37096</v>
      </c>
      <c r="B141" s="9">
        <v>823.68</v>
      </c>
      <c r="C141" s="9">
        <v>810.8</v>
      </c>
      <c r="D141" s="9">
        <v>811.51</v>
      </c>
      <c r="E141" s="9">
        <f t="shared" si="6"/>
        <v>-1.6656359169852565E-2</v>
      </c>
      <c r="F141" s="45">
        <f t="shared" si="4"/>
        <v>-9.6831436550308722E-2</v>
      </c>
      <c r="G141" s="9">
        <f t="shared" si="5"/>
        <v>1.5565037845104192E-2</v>
      </c>
    </row>
    <row r="142" spans="1:7" x14ac:dyDescent="0.2">
      <c r="A142" s="12">
        <v>37097</v>
      </c>
      <c r="B142" s="9">
        <v>818.71</v>
      </c>
      <c r="C142" s="9">
        <v>797.72</v>
      </c>
      <c r="D142" s="9">
        <v>798.82</v>
      </c>
      <c r="E142" s="9">
        <f t="shared" si="6"/>
        <v>-1.5761070953062981E-2</v>
      </c>
      <c r="F142" s="45">
        <f t="shared" si="4"/>
        <v>-9.4100847989188843E-2</v>
      </c>
      <c r="G142" s="9">
        <f t="shared" si="5"/>
        <v>1.5480455041207243E-2</v>
      </c>
    </row>
    <row r="143" spans="1:7" x14ac:dyDescent="0.2">
      <c r="A143" s="12">
        <v>37098</v>
      </c>
      <c r="B143" s="9">
        <v>811.63</v>
      </c>
      <c r="C143" s="9">
        <v>798.33</v>
      </c>
      <c r="D143" s="9">
        <v>811.63</v>
      </c>
      <c r="E143" s="9">
        <f t="shared" si="6"/>
        <v>1.5908932505632207E-2</v>
      </c>
      <c r="F143" s="45">
        <f t="shared" si="4"/>
        <v>-7.729136882510898E-2</v>
      </c>
      <c r="G143" s="9">
        <f t="shared" si="5"/>
        <v>1.5863650823412897E-2</v>
      </c>
    </row>
    <row r="144" spans="1:7" x14ac:dyDescent="0.2">
      <c r="A144" s="12">
        <v>37099</v>
      </c>
      <c r="B144" s="9">
        <v>839.08</v>
      </c>
      <c r="C144" s="9">
        <v>815.14</v>
      </c>
      <c r="D144" s="9">
        <v>837.1</v>
      </c>
      <c r="E144" s="9">
        <f t="shared" si="6"/>
        <v>3.0898966375818127E-2</v>
      </c>
      <c r="F144" s="45">
        <f t="shared" si="4"/>
        <v>-2.2174957783564469E-2</v>
      </c>
      <c r="G144" s="9">
        <f t="shared" si="5"/>
        <v>1.6451610864421484E-2</v>
      </c>
    </row>
    <row r="145" spans="1:7" x14ac:dyDescent="0.2">
      <c r="A145" s="12">
        <v>37102</v>
      </c>
      <c r="B145" s="9">
        <v>855.58</v>
      </c>
      <c r="C145" s="9">
        <v>834.49</v>
      </c>
      <c r="D145" s="9">
        <v>854.49</v>
      </c>
      <c r="E145" s="9">
        <f t="shared" si="6"/>
        <v>2.056126207101085E-2</v>
      </c>
      <c r="F145" s="45">
        <f t="shared" si="4"/>
        <v>-1.4488039877718165E-2</v>
      </c>
      <c r="G145" s="9">
        <f t="shared" si="5"/>
        <v>1.6728481229410397E-2</v>
      </c>
    </row>
    <row r="146" spans="1:7" x14ac:dyDescent="0.2">
      <c r="A146" s="12">
        <v>37103</v>
      </c>
      <c r="B146" s="9">
        <v>870.23</v>
      </c>
      <c r="C146" s="9">
        <v>855.05</v>
      </c>
      <c r="D146" s="9">
        <v>868.86</v>
      </c>
      <c r="E146" s="9">
        <f t="shared" si="6"/>
        <v>1.6677207831544576E-2</v>
      </c>
      <c r="F146" s="45">
        <f t="shared" si="4"/>
        <v>1.9841989993399641E-2</v>
      </c>
      <c r="G146" s="9">
        <f t="shared" si="5"/>
        <v>1.6687596952291477E-2</v>
      </c>
    </row>
    <row r="147" spans="1:7" x14ac:dyDescent="0.2">
      <c r="A147" s="12">
        <v>37104</v>
      </c>
      <c r="B147" s="9">
        <v>874.98</v>
      </c>
      <c r="C147" s="9">
        <v>862.22</v>
      </c>
      <c r="D147" s="9">
        <v>868.01</v>
      </c>
      <c r="E147" s="9">
        <f t="shared" si="6"/>
        <v>-9.787722372520697E-4</v>
      </c>
      <c r="F147" s="45">
        <f t="shared" si="4"/>
        <v>2.0178961047122919E-2</v>
      </c>
      <c r="G147" s="9">
        <f t="shared" si="5"/>
        <v>1.6686333612951017E-2</v>
      </c>
    </row>
    <row r="148" spans="1:7" x14ac:dyDescent="0.2">
      <c r="A148" s="12">
        <v>37105</v>
      </c>
      <c r="B148" s="9">
        <v>876.49</v>
      </c>
      <c r="C148" s="9">
        <v>864.54</v>
      </c>
      <c r="D148" s="9">
        <v>866.41</v>
      </c>
      <c r="E148" s="9">
        <f t="shared" si="6"/>
        <v>-1.8449976982148181E-3</v>
      </c>
      <c r="F148" s="45">
        <f t="shared" si="4"/>
        <v>3.1242100905557169E-2</v>
      </c>
      <c r="G148" s="9">
        <f t="shared" si="5"/>
        <v>1.6497021195928233E-2</v>
      </c>
    </row>
    <row r="149" spans="1:7" x14ac:dyDescent="0.2">
      <c r="A149" s="12">
        <v>37106</v>
      </c>
      <c r="B149" s="9">
        <v>866.6</v>
      </c>
      <c r="C149" s="9">
        <v>852.6</v>
      </c>
      <c r="D149" s="9">
        <v>854.42</v>
      </c>
      <c r="E149" s="9">
        <f t="shared" si="6"/>
        <v>-1.393536146143725E-2</v>
      </c>
      <c r="F149" s="45">
        <f t="shared" si="4"/>
        <v>1.0683962878421714E-2</v>
      </c>
      <c r="G149" s="9">
        <f t="shared" si="5"/>
        <v>1.6683114939366736E-2</v>
      </c>
    </row>
    <row r="150" spans="1:7" x14ac:dyDescent="0.2">
      <c r="A150" s="12">
        <v>37109</v>
      </c>
      <c r="B150" s="9">
        <v>859.01</v>
      </c>
      <c r="C150" s="9">
        <v>848.57</v>
      </c>
      <c r="D150" s="9">
        <v>855.41</v>
      </c>
      <c r="E150" s="9">
        <f t="shared" si="6"/>
        <v>1.1580099900357185E-3</v>
      </c>
      <c r="F150" s="45">
        <f t="shared" si="4"/>
        <v>6.6151615282318355E-3</v>
      </c>
      <c r="G150" s="9">
        <f t="shared" si="5"/>
        <v>1.6658673884415942E-2</v>
      </c>
    </row>
    <row r="151" spans="1:7" x14ac:dyDescent="0.2">
      <c r="A151" s="12">
        <v>37110</v>
      </c>
      <c r="B151" s="9">
        <v>863.28</v>
      </c>
      <c r="C151" s="9">
        <v>841.37</v>
      </c>
      <c r="D151" s="9">
        <v>858.19</v>
      </c>
      <c r="E151" s="9">
        <f t="shared" si="6"/>
        <v>3.2446340323356339E-3</v>
      </c>
      <c r="F151" s="45">
        <f t="shared" si="4"/>
        <v>1.5335058516119639E-2</v>
      </c>
      <c r="G151" s="9">
        <f t="shared" si="5"/>
        <v>1.6631917876928658E-2</v>
      </c>
    </row>
    <row r="152" spans="1:7" x14ac:dyDescent="0.2">
      <c r="A152" s="12">
        <v>37111</v>
      </c>
      <c r="B152" s="9">
        <v>856.73</v>
      </c>
      <c r="C152" s="9">
        <v>841.26</v>
      </c>
      <c r="D152" s="9">
        <v>843.62</v>
      </c>
      <c r="E152" s="9">
        <f t="shared" si="6"/>
        <v>-1.7123363951997608E-2</v>
      </c>
      <c r="F152" s="45">
        <f t="shared" si="4"/>
        <v>-7.3341732396591348E-3</v>
      </c>
      <c r="G152" s="9">
        <f t="shared" si="5"/>
        <v>1.6907964677403162E-2</v>
      </c>
    </row>
    <row r="153" spans="1:7" x14ac:dyDescent="0.2">
      <c r="A153" s="12">
        <v>37112</v>
      </c>
      <c r="B153" s="9">
        <v>837.77</v>
      </c>
      <c r="C153" s="9">
        <v>819.33</v>
      </c>
      <c r="D153" s="9">
        <v>825.07</v>
      </c>
      <c r="E153" s="9">
        <f t="shared" si="6"/>
        <v>-2.2233925021935566E-2</v>
      </c>
      <c r="F153" s="45">
        <f t="shared" si="4"/>
        <v>-6.0559741081106622E-2</v>
      </c>
      <c r="G153" s="9">
        <f t="shared" si="5"/>
        <v>1.6298834217788046E-2</v>
      </c>
    </row>
    <row r="154" spans="1:7" x14ac:dyDescent="0.2">
      <c r="A154" s="12">
        <v>37113</v>
      </c>
      <c r="B154" s="9">
        <v>835.81</v>
      </c>
      <c r="C154" s="9">
        <v>807.82</v>
      </c>
      <c r="D154" s="9">
        <v>816.1</v>
      </c>
      <c r="E154" s="9">
        <f t="shared" si="6"/>
        <v>-1.0931334744903204E-2</v>
      </c>
      <c r="F154" s="45">
        <f t="shared" si="4"/>
        <v>-7.5078145736908561E-2</v>
      </c>
      <c r="G154" s="9">
        <f t="shared" si="5"/>
        <v>1.6342132340311372E-2</v>
      </c>
    </row>
    <row r="155" spans="1:7" x14ac:dyDescent="0.2">
      <c r="A155" s="12">
        <v>37116</v>
      </c>
      <c r="B155" s="9">
        <v>828.08</v>
      </c>
      <c r="C155" s="9">
        <v>812.76</v>
      </c>
      <c r="D155" s="9">
        <v>819.26</v>
      </c>
      <c r="E155" s="9">
        <f t="shared" si="6"/>
        <v>3.8645973154681126E-3</v>
      </c>
      <c r="F155" s="45">
        <f t="shared" si="4"/>
        <v>-9.0375622621726631E-2</v>
      </c>
      <c r="G155" s="9">
        <f t="shared" si="5"/>
        <v>1.5874807532481904E-2</v>
      </c>
    </row>
    <row r="156" spans="1:7" x14ac:dyDescent="0.2">
      <c r="A156" s="12">
        <v>37117</v>
      </c>
      <c r="B156" s="9">
        <v>842.23</v>
      </c>
      <c r="C156" s="9">
        <v>825.11</v>
      </c>
      <c r="D156" s="9">
        <v>835.44</v>
      </c>
      <c r="E156" s="9">
        <f t="shared" si="6"/>
        <v>1.9557038380627879E-2</v>
      </c>
      <c r="F156" s="45">
        <f t="shared" si="4"/>
        <v>-6.3026947656938545E-2</v>
      </c>
      <c r="G156" s="9">
        <f t="shared" si="5"/>
        <v>1.636848243088182E-2</v>
      </c>
    </row>
    <row r="157" spans="1:7" x14ac:dyDescent="0.2">
      <c r="A157" s="12">
        <v>37118</v>
      </c>
      <c r="B157" s="9">
        <v>839.25</v>
      </c>
      <c r="C157" s="9">
        <v>825.5</v>
      </c>
      <c r="D157" s="9">
        <v>828.24</v>
      </c>
      <c r="E157" s="9">
        <f t="shared" si="6"/>
        <v>-8.655564713435579E-3</v>
      </c>
      <c r="F157" s="45">
        <f t="shared" si="4"/>
        <v>-5.2678406346976701E-2</v>
      </c>
      <c r="G157" s="9">
        <f t="shared" si="5"/>
        <v>1.6106932295906158E-2</v>
      </c>
    </row>
    <row r="158" spans="1:7" x14ac:dyDescent="0.2">
      <c r="A158" s="12">
        <v>37119</v>
      </c>
      <c r="B158" s="9">
        <v>824.95</v>
      </c>
      <c r="C158" s="9">
        <v>810.76</v>
      </c>
      <c r="D158" s="9">
        <v>813.56</v>
      </c>
      <c r="E158" s="9">
        <f t="shared" si="6"/>
        <v>-1.7883288140563062E-2</v>
      </c>
      <c r="F158" s="45">
        <f t="shared" si="4"/>
        <v>-4.749225984471632E-2</v>
      </c>
      <c r="G158" s="9">
        <f t="shared" si="5"/>
        <v>1.5896751576515267E-2</v>
      </c>
    </row>
    <row r="159" spans="1:7" x14ac:dyDescent="0.2">
      <c r="A159" s="12">
        <v>37120</v>
      </c>
      <c r="B159" s="9">
        <v>821.52</v>
      </c>
      <c r="C159" s="9">
        <v>796.71</v>
      </c>
      <c r="D159" s="9">
        <v>799.65</v>
      </c>
      <c r="E159" s="9">
        <f t="shared" si="6"/>
        <v>-1.7245547380414845E-2</v>
      </c>
      <c r="F159" s="45">
        <f t="shared" si="4"/>
        <v>-2.8806369781490929E-2</v>
      </c>
      <c r="G159" s="9">
        <f t="shared" si="5"/>
        <v>1.4835138750983858E-2</v>
      </c>
    </row>
    <row r="160" spans="1:7" x14ac:dyDescent="0.2">
      <c r="A160" s="12">
        <v>37123</v>
      </c>
      <c r="B160" s="9">
        <v>802.58</v>
      </c>
      <c r="C160" s="9">
        <v>783.28</v>
      </c>
      <c r="D160" s="9">
        <v>791.67</v>
      </c>
      <c r="E160" s="9">
        <f t="shared" si="6"/>
        <v>-1.0029493618796327E-2</v>
      </c>
      <c r="F160" s="45">
        <f t="shared" si="4"/>
        <v>-3.7510594961083665E-2</v>
      </c>
      <c r="G160" s="9">
        <f t="shared" si="5"/>
        <v>1.4927355191137861E-2</v>
      </c>
    </row>
    <row r="161" spans="1:7" x14ac:dyDescent="0.2">
      <c r="A161" s="12">
        <v>37124</v>
      </c>
      <c r="B161" s="9">
        <v>808.88</v>
      </c>
      <c r="C161" s="9">
        <v>789.31</v>
      </c>
      <c r="D161" s="9">
        <v>807.76</v>
      </c>
      <c r="E161" s="9">
        <f t="shared" si="6"/>
        <v>2.0120346377982167E-2</v>
      </c>
      <c r="F161" s="45">
        <f t="shared" ref="F161:F224" si="7">LN(D161/D131)</f>
        <v>-1.4734431028692005E-2</v>
      </c>
      <c r="G161" s="9">
        <f t="shared" ref="G161:G224" si="8">STDEV(E132:E161)</f>
        <v>1.5424333370468207E-2</v>
      </c>
    </row>
    <row r="162" spans="1:7" x14ac:dyDescent="0.2">
      <c r="A162" s="12">
        <v>37125</v>
      </c>
      <c r="B162" s="9">
        <v>822.28</v>
      </c>
      <c r="C162" s="9">
        <v>792.71</v>
      </c>
      <c r="D162" s="9">
        <v>815.4</v>
      </c>
      <c r="E162" s="9">
        <f t="shared" si="6"/>
        <v>9.4138056890873054E-3</v>
      </c>
      <c r="F162" s="45">
        <f t="shared" si="7"/>
        <v>1.6815700248878583E-3</v>
      </c>
      <c r="G162" s="9">
        <f t="shared" si="8"/>
        <v>1.5476481892620722E-2</v>
      </c>
    </row>
    <row r="163" spans="1:7" x14ac:dyDescent="0.2">
      <c r="A163" s="12">
        <v>37126</v>
      </c>
      <c r="B163" s="9">
        <v>829.5</v>
      </c>
      <c r="C163" s="9">
        <v>818.81</v>
      </c>
      <c r="D163" s="9">
        <v>822.98</v>
      </c>
      <c r="E163" s="9">
        <f t="shared" si="6"/>
        <v>9.2531086600611111E-3</v>
      </c>
      <c r="F163" s="45">
        <f t="shared" si="7"/>
        <v>-1.1200977409920218E-2</v>
      </c>
      <c r="G163" s="9">
        <f t="shared" si="8"/>
        <v>1.5014554092487593E-2</v>
      </c>
    </row>
    <row r="164" spans="1:7" x14ac:dyDescent="0.2">
      <c r="A164" s="12">
        <v>37127</v>
      </c>
      <c r="B164" s="9">
        <v>841.76</v>
      </c>
      <c r="C164" s="9">
        <v>823.4</v>
      </c>
      <c r="D164" s="9">
        <v>839.7</v>
      </c>
      <c r="E164" s="9">
        <f t="shared" si="6"/>
        <v>2.0112786144303528E-2</v>
      </c>
      <c r="F164" s="45">
        <f t="shared" si="7"/>
        <v>-2.6403126624103095E-3</v>
      </c>
      <c r="G164" s="9">
        <f t="shared" si="8"/>
        <v>1.5327112049031935E-2</v>
      </c>
    </row>
    <row r="165" spans="1:7" x14ac:dyDescent="0.2">
      <c r="A165" s="12">
        <v>37130</v>
      </c>
      <c r="B165" s="9">
        <v>851.14</v>
      </c>
      <c r="C165" s="9">
        <v>835.95</v>
      </c>
      <c r="D165" s="9">
        <v>836.98</v>
      </c>
      <c r="E165" s="9">
        <f t="shared" si="6"/>
        <v>-3.2445098481335699E-3</v>
      </c>
      <c r="F165" s="45">
        <f t="shared" si="7"/>
        <v>2.6559169547541971E-3</v>
      </c>
      <c r="G165" s="9">
        <f t="shared" si="8"/>
        <v>1.5256734417940095E-2</v>
      </c>
    </row>
    <row r="166" spans="1:7" x14ac:dyDescent="0.2">
      <c r="A166" s="12">
        <v>37131</v>
      </c>
      <c r="B166" s="9">
        <v>843.36</v>
      </c>
      <c r="C166" s="9">
        <v>824.67</v>
      </c>
      <c r="D166" s="9">
        <v>826.85</v>
      </c>
      <c r="E166" s="9">
        <f t="shared" si="6"/>
        <v>-1.2176875245178624E-2</v>
      </c>
      <c r="F166" s="45">
        <f t="shared" si="7"/>
        <v>3.0239801857334507E-4</v>
      </c>
      <c r="G166" s="9">
        <f t="shared" si="8"/>
        <v>1.5315397313372489E-2</v>
      </c>
    </row>
    <row r="167" spans="1:7" x14ac:dyDescent="0.2">
      <c r="A167" s="12">
        <v>37132</v>
      </c>
      <c r="B167" s="9">
        <v>830.77</v>
      </c>
      <c r="C167" s="9">
        <v>816.01</v>
      </c>
      <c r="D167" s="9">
        <v>820.16</v>
      </c>
      <c r="E167" s="9">
        <f t="shared" si="6"/>
        <v>-8.1238569204991149E-3</v>
      </c>
      <c r="F167" s="45">
        <f t="shared" si="7"/>
        <v>7.7602318471884646E-3</v>
      </c>
      <c r="G167" s="9">
        <f t="shared" si="8"/>
        <v>1.511277615550501E-2</v>
      </c>
    </row>
    <row r="168" spans="1:7" x14ac:dyDescent="0.2">
      <c r="A168" s="12">
        <v>37133</v>
      </c>
      <c r="B168" s="9">
        <v>822.35</v>
      </c>
      <c r="C168" s="9">
        <v>796.21</v>
      </c>
      <c r="D168" s="9">
        <v>797.95</v>
      </c>
      <c r="E168" s="9">
        <f t="shared" si="6"/>
        <v>-2.7453504330510782E-2</v>
      </c>
      <c r="F168" s="45">
        <f t="shared" si="7"/>
        <v>-4.4427242917649469E-2</v>
      </c>
      <c r="G168" s="9">
        <f t="shared" si="8"/>
        <v>1.5201660987680644E-2</v>
      </c>
    </row>
    <row r="169" spans="1:7" x14ac:dyDescent="0.2">
      <c r="A169" s="12">
        <v>37134</v>
      </c>
      <c r="B169" s="9">
        <v>805.19</v>
      </c>
      <c r="C169" s="9">
        <v>790.04</v>
      </c>
      <c r="D169" s="9">
        <v>793.64</v>
      </c>
      <c r="E169" s="9">
        <f t="shared" si="6"/>
        <v>-5.4159809189258928E-3</v>
      </c>
      <c r="F169" s="45">
        <f t="shared" si="7"/>
        <v>-4.3059296354353821E-2</v>
      </c>
      <c r="G169" s="9">
        <f t="shared" si="8"/>
        <v>1.5187250567651885E-2</v>
      </c>
    </row>
    <row r="170" spans="1:7" x14ac:dyDescent="0.2">
      <c r="A170" s="12">
        <v>37137</v>
      </c>
      <c r="B170" s="9">
        <v>793.64</v>
      </c>
      <c r="C170" s="9">
        <v>779.57</v>
      </c>
      <c r="D170" s="9">
        <v>788.1</v>
      </c>
      <c r="E170" s="9">
        <f t="shared" si="6"/>
        <v>-7.0049725666656727E-3</v>
      </c>
      <c r="F170" s="45">
        <f t="shared" si="7"/>
        <v>-4.5928083547871992E-2</v>
      </c>
      <c r="G170" s="9">
        <f t="shared" si="8"/>
        <v>1.5213851330652896E-2</v>
      </c>
    </row>
    <row r="171" spans="1:7" x14ac:dyDescent="0.2">
      <c r="A171" s="12">
        <v>37138</v>
      </c>
      <c r="B171" s="9">
        <v>802.12</v>
      </c>
      <c r="C171" s="9">
        <v>760.75</v>
      </c>
      <c r="D171" s="9">
        <v>784.24</v>
      </c>
      <c r="E171" s="9">
        <f t="shared" si="6"/>
        <v>-4.9098894061332197E-3</v>
      </c>
      <c r="F171" s="45">
        <f t="shared" si="7"/>
        <v>-3.4181613784152666E-2</v>
      </c>
      <c r="G171" s="9">
        <f t="shared" si="8"/>
        <v>1.4960196017363352E-2</v>
      </c>
    </row>
    <row r="172" spans="1:7" x14ac:dyDescent="0.2">
      <c r="A172" s="12">
        <v>37139</v>
      </c>
      <c r="B172" s="9">
        <v>776.93</v>
      </c>
      <c r="C172" s="9">
        <v>760.31</v>
      </c>
      <c r="D172" s="9">
        <v>760.81</v>
      </c>
      <c r="E172" s="9">
        <f t="shared" si="6"/>
        <v>-3.033144074978723E-2</v>
      </c>
      <c r="F172" s="45">
        <f t="shared" si="7"/>
        <v>-4.875198358087688E-2</v>
      </c>
      <c r="G172" s="9">
        <f t="shared" si="8"/>
        <v>1.5670884837106477E-2</v>
      </c>
    </row>
    <row r="173" spans="1:7" x14ac:dyDescent="0.2">
      <c r="A173" s="12">
        <v>37140</v>
      </c>
      <c r="B173" s="9">
        <v>771.16</v>
      </c>
      <c r="C173" s="9">
        <v>746.65</v>
      </c>
      <c r="D173" s="9">
        <v>750.08</v>
      </c>
      <c r="E173" s="9">
        <f t="shared" si="6"/>
        <v>-1.4203787695144991E-2</v>
      </c>
      <c r="F173" s="45">
        <f t="shared" si="7"/>
        <v>-7.8864703781654139E-2</v>
      </c>
      <c r="G173" s="9">
        <f t="shared" si="8"/>
        <v>1.5472199295920518E-2</v>
      </c>
    </row>
    <row r="174" spans="1:7" x14ac:dyDescent="0.2">
      <c r="A174" s="12">
        <v>37141</v>
      </c>
      <c r="B174" s="9">
        <v>747.77</v>
      </c>
      <c r="C174" s="9">
        <v>732.51</v>
      </c>
      <c r="D174" s="9">
        <v>734.54</v>
      </c>
      <c r="E174" s="9">
        <f t="shared" si="6"/>
        <v>-2.0935414561913203E-2</v>
      </c>
      <c r="F174" s="45">
        <f t="shared" si="7"/>
        <v>-0.13069908471938549</v>
      </c>
      <c r="G174" s="9">
        <f t="shared" si="8"/>
        <v>1.4460097373540377E-2</v>
      </c>
    </row>
    <row r="175" spans="1:7" x14ac:dyDescent="0.2">
      <c r="A175" s="12">
        <v>37144</v>
      </c>
      <c r="B175" s="9">
        <v>739.94</v>
      </c>
      <c r="C175" s="9">
        <v>713.82</v>
      </c>
      <c r="D175" s="9">
        <v>733.1</v>
      </c>
      <c r="E175" s="9">
        <f t="shared" si="6"/>
        <v>-1.9623347170842818E-3</v>
      </c>
      <c r="F175" s="45">
        <f t="shared" si="7"/>
        <v>-0.1532226815074807</v>
      </c>
      <c r="G175" s="9">
        <f t="shared" si="8"/>
        <v>1.368570696527632E-2</v>
      </c>
    </row>
    <row r="176" spans="1:7" x14ac:dyDescent="0.2">
      <c r="A176" s="12">
        <v>37145</v>
      </c>
      <c r="B176" s="9">
        <v>754.27</v>
      </c>
      <c r="C176" s="9">
        <v>667.83</v>
      </c>
      <c r="D176" s="9">
        <v>673.18</v>
      </c>
      <c r="E176" s="9">
        <f t="shared" si="6"/>
        <v>-8.5269365207445047E-2</v>
      </c>
      <c r="F176" s="45">
        <f t="shared" si="7"/>
        <v>-0.25516925454647027</v>
      </c>
      <c r="G176" s="9">
        <f t="shared" si="8"/>
        <v>1.9508255355062835E-2</v>
      </c>
    </row>
    <row r="177" spans="1:7" x14ac:dyDescent="0.2">
      <c r="A177" s="12">
        <v>37146</v>
      </c>
      <c r="B177" s="9">
        <v>715.94</v>
      </c>
      <c r="C177" s="9">
        <v>674.64</v>
      </c>
      <c r="D177" s="9">
        <v>710.09</v>
      </c>
      <c r="E177" s="9">
        <f t="shared" si="6"/>
        <v>5.3378969543204126E-2</v>
      </c>
      <c r="F177" s="45">
        <f t="shared" si="7"/>
        <v>-0.20081151276601411</v>
      </c>
      <c r="G177" s="9">
        <f t="shared" si="8"/>
        <v>2.2522898695844215E-2</v>
      </c>
    </row>
    <row r="178" spans="1:7" x14ac:dyDescent="0.2">
      <c r="A178" s="12">
        <v>37147</v>
      </c>
      <c r="B178" s="9">
        <v>733.25</v>
      </c>
      <c r="C178" s="9">
        <v>700.91</v>
      </c>
      <c r="D178" s="9">
        <v>718.99</v>
      </c>
      <c r="E178" s="9">
        <f t="shared" si="6"/>
        <v>1.2455726853185068E-2</v>
      </c>
      <c r="F178" s="45">
        <f t="shared" si="7"/>
        <v>-0.18651078821461409</v>
      </c>
      <c r="G178" s="9">
        <f t="shared" si="8"/>
        <v>2.2778939232212896E-2</v>
      </c>
    </row>
    <row r="179" spans="1:7" x14ac:dyDescent="0.2">
      <c r="A179" s="12">
        <v>37148</v>
      </c>
      <c r="B179" s="9">
        <v>723.45</v>
      </c>
      <c r="C179" s="9">
        <v>694.1</v>
      </c>
      <c r="D179" s="9">
        <v>695.52</v>
      </c>
      <c r="E179" s="9">
        <f t="shared" si="6"/>
        <v>-3.3187682178003358E-2</v>
      </c>
      <c r="F179" s="45">
        <f t="shared" si="7"/>
        <v>-0.20576310893118019</v>
      </c>
      <c r="G179" s="9">
        <f t="shared" si="8"/>
        <v>2.3269789963834515E-2</v>
      </c>
    </row>
    <row r="180" spans="1:7" x14ac:dyDescent="0.2">
      <c r="A180" s="12">
        <v>37151</v>
      </c>
      <c r="B180" s="9">
        <v>724.47</v>
      </c>
      <c r="C180" s="9">
        <v>673.78</v>
      </c>
      <c r="D180" s="9">
        <v>708.92</v>
      </c>
      <c r="E180" s="9">
        <f t="shared" si="6"/>
        <v>1.9082917946457043E-2</v>
      </c>
      <c r="F180" s="45">
        <f t="shared" si="7"/>
        <v>-0.18783820097475903</v>
      </c>
      <c r="G180" s="9">
        <f t="shared" si="8"/>
        <v>2.3708723092141493E-2</v>
      </c>
    </row>
    <row r="181" spans="1:7" x14ac:dyDescent="0.2">
      <c r="A181" s="12">
        <v>37152</v>
      </c>
      <c r="B181" s="9">
        <v>712.86</v>
      </c>
      <c r="C181" s="9">
        <v>688.13</v>
      </c>
      <c r="D181" s="9">
        <v>695.92</v>
      </c>
      <c r="E181" s="9">
        <f t="shared" si="6"/>
        <v>-1.850797398765356E-2</v>
      </c>
      <c r="F181" s="45">
        <f t="shared" si="7"/>
        <v>-0.20959080899474844</v>
      </c>
      <c r="G181" s="9">
        <f t="shared" si="8"/>
        <v>2.3740587853990372E-2</v>
      </c>
    </row>
    <row r="182" spans="1:7" x14ac:dyDescent="0.2">
      <c r="A182" s="12">
        <v>37153</v>
      </c>
      <c r="B182" s="9">
        <v>705.07</v>
      </c>
      <c r="C182" s="9">
        <v>678.76</v>
      </c>
      <c r="D182" s="9">
        <v>683.78</v>
      </c>
      <c r="E182" s="9">
        <f t="shared" si="6"/>
        <v>-1.7598482740046457E-2</v>
      </c>
      <c r="F182" s="45">
        <f t="shared" si="7"/>
        <v>-0.21006592778279726</v>
      </c>
      <c r="G182" s="9">
        <f t="shared" si="8"/>
        <v>2.3747740809415878E-2</v>
      </c>
    </row>
    <row r="183" spans="1:7" x14ac:dyDescent="0.2">
      <c r="A183" s="12">
        <v>37154</v>
      </c>
      <c r="B183" s="9">
        <v>685.11</v>
      </c>
      <c r="C183" s="9">
        <v>655.58</v>
      </c>
      <c r="D183" s="9">
        <v>659.17</v>
      </c>
      <c r="E183" s="9">
        <f t="shared" si="6"/>
        <v>-3.6654760608312936E-2</v>
      </c>
      <c r="F183" s="45">
        <f t="shared" si="7"/>
        <v>-0.22448676336917461</v>
      </c>
      <c r="G183" s="9">
        <f t="shared" si="8"/>
        <v>2.4208175855494379E-2</v>
      </c>
    </row>
    <row r="184" spans="1:7" x14ac:dyDescent="0.2">
      <c r="A184" s="12">
        <v>37155</v>
      </c>
      <c r="B184" s="9">
        <v>655.37</v>
      </c>
      <c r="C184" s="9">
        <v>616.96</v>
      </c>
      <c r="D184" s="9">
        <v>653.62</v>
      </c>
      <c r="E184" s="9">
        <f t="shared" si="6"/>
        <v>-8.4553250180936183E-3</v>
      </c>
      <c r="F184" s="45">
        <f t="shared" si="7"/>
        <v>-0.22201075364236511</v>
      </c>
      <c r="G184" s="9">
        <f t="shared" si="8"/>
        <v>2.4200233031289483E-2</v>
      </c>
    </row>
    <row r="185" spans="1:7" x14ac:dyDescent="0.2">
      <c r="A185" s="12">
        <v>37158</v>
      </c>
      <c r="B185" s="9">
        <v>689.89</v>
      </c>
      <c r="C185" s="9">
        <v>658.3</v>
      </c>
      <c r="D185" s="9">
        <v>689.4</v>
      </c>
      <c r="E185" s="9">
        <f t="shared" si="6"/>
        <v>5.3295511249932738E-2</v>
      </c>
      <c r="F185" s="45">
        <f t="shared" si="7"/>
        <v>-0.17257983970790033</v>
      </c>
      <c r="G185" s="9">
        <f t="shared" si="8"/>
        <v>2.6561268976693298E-2</v>
      </c>
    </row>
    <row r="186" spans="1:7" x14ac:dyDescent="0.2">
      <c r="A186" s="12">
        <v>37159</v>
      </c>
      <c r="B186" s="9">
        <v>705.48</v>
      </c>
      <c r="C186" s="9">
        <v>677.95</v>
      </c>
      <c r="D186" s="9">
        <v>695.18</v>
      </c>
      <c r="E186" s="9">
        <f t="shared" si="6"/>
        <v>8.3491507549354627E-3</v>
      </c>
      <c r="F186" s="45">
        <f t="shared" si="7"/>
        <v>-0.1837877273335928</v>
      </c>
      <c r="G186" s="9">
        <f t="shared" si="8"/>
        <v>2.6270228501336874E-2</v>
      </c>
    </row>
    <row r="187" spans="1:7" x14ac:dyDescent="0.2">
      <c r="A187" s="12">
        <v>37160</v>
      </c>
      <c r="B187" s="9">
        <v>700.55</v>
      </c>
      <c r="C187" s="9">
        <v>677.82</v>
      </c>
      <c r="D187" s="9">
        <v>680.77</v>
      </c>
      <c r="E187" s="9">
        <f t="shared" si="6"/>
        <v>-2.0946294354397526E-2</v>
      </c>
      <c r="F187" s="45">
        <f t="shared" si="7"/>
        <v>-0.19607845697455484</v>
      </c>
      <c r="G187" s="9">
        <f t="shared" si="8"/>
        <v>2.640651888831198E-2</v>
      </c>
    </row>
    <row r="188" spans="1:7" x14ac:dyDescent="0.2">
      <c r="A188" s="12">
        <v>37161</v>
      </c>
      <c r="B188" s="9">
        <v>688.92</v>
      </c>
      <c r="C188" s="9">
        <v>682.4</v>
      </c>
      <c r="D188" s="9">
        <v>684.92</v>
      </c>
      <c r="E188" s="9">
        <f t="shared" si="6"/>
        <v>6.0775326374674461E-3</v>
      </c>
      <c r="F188" s="45">
        <f t="shared" si="7"/>
        <v>-0.17211763619652426</v>
      </c>
      <c r="G188" s="9">
        <f t="shared" si="8"/>
        <v>2.6413830874408444E-2</v>
      </c>
    </row>
    <row r="189" spans="1:7" x14ac:dyDescent="0.2">
      <c r="A189" s="12">
        <v>37162</v>
      </c>
      <c r="B189" s="9">
        <v>708.87</v>
      </c>
      <c r="C189" s="9">
        <v>689.31</v>
      </c>
      <c r="D189" s="9">
        <v>703.22</v>
      </c>
      <c r="E189" s="9">
        <f t="shared" si="6"/>
        <v>2.6367744256441557E-2</v>
      </c>
      <c r="F189" s="45">
        <f t="shared" si="7"/>
        <v>-0.12850434455966772</v>
      </c>
      <c r="G189" s="9">
        <f t="shared" si="8"/>
        <v>2.6953286251192109E-2</v>
      </c>
    </row>
    <row r="190" spans="1:7" x14ac:dyDescent="0.2">
      <c r="A190" s="12">
        <v>37165</v>
      </c>
      <c r="B190" s="9">
        <v>703.59</v>
      </c>
      <c r="C190" s="9">
        <v>687.06</v>
      </c>
      <c r="D190" s="9">
        <v>693.34</v>
      </c>
      <c r="E190" s="9">
        <f t="shared" si="6"/>
        <v>-1.4149288011570102E-2</v>
      </c>
      <c r="F190" s="45">
        <f t="shared" si="7"/>
        <v>-0.13262413895244152</v>
      </c>
      <c r="G190" s="9">
        <f t="shared" si="8"/>
        <v>2.6994035935165809E-2</v>
      </c>
    </row>
    <row r="191" spans="1:7" x14ac:dyDescent="0.2">
      <c r="A191" s="12">
        <v>37166</v>
      </c>
      <c r="B191" s="9">
        <v>701.81</v>
      </c>
      <c r="C191" s="9">
        <v>682.67</v>
      </c>
      <c r="D191" s="9">
        <v>695.75</v>
      </c>
      <c r="E191" s="9">
        <f t="shared" si="6"/>
        <v>3.469901040358183E-3</v>
      </c>
      <c r="F191" s="45">
        <f t="shared" si="7"/>
        <v>-0.14927458429006543</v>
      </c>
      <c r="G191" s="9">
        <f t="shared" si="8"/>
        <v>2.6640916938755047E-2</v>
      </c>
    </row>
    <row r="192" spans="1:7" x14ac:dyDescent="0.2">
      <c r="A192" s="12">
        <v>37167</v>
      </c>
      <c r="B192" s="9">
        <v>710.3</v>
      </c>
      <c r="C192" s="9">
        <v>679.57</v>
      </c>
      <c r="D192" s="9">
        <v>710.3</v>
      </c>
      <c r="E192" s="9">
        <f t="shared" si="6"/>
        <v>2.0697015597764021E-2</v>
      </c>
      <c r="F192" s="45">
        <f t="shared" si="7"/>
        <v>-0.13799137438138873</v>
      </c>
      <c r="G192" s="9">
        <f t="shared" si="8"/>
        <v>2.6929156522212956E-2</v>
      </c>
    </row>
    <row r="193" spans="1:7" x14ac:dyDescent="0.2">
      <c r="A193" s="12">
        <v>37168</v>
      </c>
      <c r="B193" s="9">
        <v>727.48</v>
      </c>
      <c r="C193" s="9">
        <v>718.88</v>
      </c>
      <c r="D193" s="9">
        <v>725.32</v>
      </c>
      <c r="E193" s="9">
        <f t="shared" si="6"/>
        <v>2.0925520782060742E-2</v>
      </c>
      <c r="F193" s="45">
        <f t="shared" si="7"/>
        <v>-0.12631896225938918</v>
      </c>
      <c r="G193" s="9">
        <f t="shared" si="8"/>
        <v>2.7218971598578355E-2</v>
      </c>
    </row>
    <row r="194" spans="1:7" x14ac:dyDescent="0.2">
      <c r="A194" s="12">
        <v>37169</v>
      </c>
      <c r="B194" s="9">
        <v>736</v>
      </c>
      <c r="C194" s="9">
        <v>713.71</v>
      </c>
      <c r="D194" s="9">
        <v>724.81</v>
      </c>
      <c r="E194" s="9">
        <f t="shared" si="6"/>
        <v>-7.0338524273959205E-4</v>
      </c>
      <c r="F194" s="45">
        <f t="shared" si="7"/>
        <v>-0.14713513364643224</v>
      </c>
      <c r="G194" s="9">
        <f t="shared" si="8"/>
        <v>2.6840222243110046E-2</v>
      </c>
    </row>
    <row r="195" spans="1:7" x14ac:dyDescent="0.2">
      <c r="A195" s="12">
        <v>37172</v>
      </c>
      <c r="B195" s="9">
        <v>730.49</v>
      </c>
      <c r="C195" s="9">
        <v>708.3</v>
      </c>
      <c r="D195" s="9">
        <v>725.82</v>
      </c>
      <c r="E195" s="9">
        <f t="shared" ref="E195:E258" si="9">LN(D195/D194)</f>
        <v>1.3924986567266096E-3</v>
      </c>
      <c r="F195" s="45">
        <f t="shared" si="7"/>
        <v>-0.14249812514157215</v>
      </c>
      <c r="G195" s="9">
        <f t="shared" si="8"/>
        <v>2.6863453131022945E-2</v>
      </c>
    </row>
    <row r="196" spans="1:7" x14ac:dyDescent="0.2">
      <c r="A196" s="12">
        <v>37173</v>
      </c>
      <c r="B196" s="9">
        <v>739.68</v>
      </c>
      <c r="C196" s="9">
        <v>712.52</v>
      </c>
      <c r="D196" s="9">
        <v>712.52</v>
      </c>
      <c r="E196" s="9">
        <f t="shared" si="9"/>
        <v>-1.8494068275527797E-2</v>
      </c>
      <c r="F196" s="45">
        <f t="shared" si="7"/>
        <v>-0.1488153181719212</v>
      </c>
      <c r="G196" s="9">
        <f t="shared" si="8"/>
        <v>2.6948302873487789E-2</v>
      </c>
    </row>
    <row r="197" spans="1:7" x14ac:dyDescent="0.2">
      <c r="A197" s="12">
        <v>37174</v>
      </c>
      <c r="B197" s="9">
        <v>737.67</v>
      </c>
      <c r="C197" s="9">
        <v>710.32</v>
      </c>
      <c r="D197" s="9">
        <v>736.52</v>
      </c>
      <c r="E197" s="9">
        <f t="shared" si="9"/>
        <v>3.3128409074735056E-2</v>
      </c>
      <c r="F197" s="45">
        <f t="shared" si="7"/>
        <v>-0.107563052176687</v>
      </c>
      <c r="G197" s="9">
        <f t="shared" si="8"/>
        <v>2.781971136091585E-2</v>
      </c>
    </row>
    <row r="198" spans="1:7" x14ac:dyDescent="0.2">
      <c r="A198" s="12">
        <v>37175</v>
      </c>
      <c r="B198" s="9">
        <v>767.65</v>
      </c>
      <c r="C198" s="9">
        <v>738.28</v>
      </c>
      <c r="D198" s="9">
        <v>762.82</v>
      </c>
      <c r="E198" s="9">
        <f t="shared" si="9"/>
        <v>3.5085701575976652E-2</v>
      </c>
      <c r="F198" s="45">
        <f t="shared" si="7"/>
        <v>-4.5023846270199501E-2</v>
      </c>
      <c r="G198" s="9">
        <f t="shared" si="8"/>
        <v>2.8308372225099417E-2</v>
      </c>
    </row>
    <row r="199" spans="1:7" x14ac:dyDescent="0.2">
      <c r="A199" s="12">
        <v>37176</v>
      </c>
      <c r="B199" s="9">
        <v>759.01</v>
      </c>
      <c r="C199" s="9">
        <v>745.48</v>
      </c>
      <c r="D199" s="9">
        <v>747.44</v>
      </c>
      <c r="E199" s="9">
        <f t="shared" si="9"/>
        <v>-2.0368058090295665E-2</v>
      </c>
      <c r="F199" s="45">
        <f t="shared" si="7"/>
        <v>-5.997592344156933E-2</v>
      </c>
      <c r="G199" s="9">
        <f t="shared" si="8"/>
        <v>2.8510583025243976E-2</v>
      </c>
    </row>
    <row r="200" spans="1:7" x14ac:dyDescent="0.2">
      <c r="A200" s="12">
        <v>37179</v>
      </c>
      <c r="B200" s="9">
        <v>749.57</v>
      </c>
      <c r="C200" s="9">
        <v>738.89</v>
      </c>
      <c r="D200" s="9">
        <v>743.73</v>
      </c>
      <c r="E200" s="9">
        <f t="shared" si="9"/>
        <v>-4.975968742726081E-3</v>
      </c>
      <c r="F200" s="45">
        <f t="shared" si="7"/>
        <v>-5.7946919617629739E-2</v>
      </c>
      <c r="G200" s="9">
        <f t="shared" si="8"/>
        <v>2.8500703647086626E-2</v>
      </c>
    </row>
    <row r="201" spans="1:7" x14ac:dyDescent="0.2">
      <c r="A201" s="12">
        <v>37180</v>
      </c>
      <c r="B201" s="9">
        <v>754.05</v>
      </c>
      <c r="C201" s="9">
        <v>742.38</v>
      </c>
      <c r="D201" s="9">
        <v>747.55</v>
      </c>
      <c r="E201" s="9">
        <f t="shared" si="9"/>
        <v>5.1231269179625692E-3</v>
      </c>
      <c r="F201" s="45">
        <f t="shared" si="7"/>
        <v>-4.7913903293533962E-2</v>
      </c>
      <c r="G201" s="9">
        <f t="shared" si="8"/>
        <v>2.8523405999107708E-2</v>
      </c>
    </row>
    <row r="202" spans="1:7" x14ac:dyDescent="0.2">
      <c r="A202" s="12">
        <v>37181</v>
      </c>
      <c r="B202" s="9">
        <v>781.11</v>
      </c>
      <c r="C202" s="9">
        <v>752.23</v>
      </c>
      <c r="D202" s="9">
        <v>779.63</v>
      </c>
      <c r="E202" s="9">
        <f t="shared" si="9"/>
        <v>4.2018255505531191E-2</v>
      </c>
      <c r="F202" s="45">
        <f t="shared" si="7"/>
        <v>2.443579296178458E-2</v>
      </c>
      <c r="G202" s="9">
        <f t="shared" si="8"/>
        <v>2.9063613131845582E-2</v>
      </c>
    </row>
    <row r="203" spans="1:7" x14ac:dyDescent="0.2">
      <c r="A203" s="12">
        <v>37182</v>
      </c>
      <c r="B203" s="9">
        <v>774.13</v>
      </c>
      <c r="C203" s="9">
        <v>755.13</v>
      </c>
      <c r="D203" s="9">
        <v>758.42</v>
      </c>
      <c r="E203" s="9">
        <f t="shared" si="9"/>
        <v>-2.7582126264355931E-2</v>
      </c>
      <c r="F203" s="45">
        <f t="shared" si="7"/>
        <v>1.105745439257356E-2</v>
      </c>
      <c r="G203" s="9">
        <f t="shared" si="8"/>
        <v>2.9402655736896849E-2</v>
      </c>
    </row>
    <row r="204" spans="1:7" x14ac:dyDescent="0.2">
      <c r="A204" s="12">
        <v>37183</v>
      </c>
      <c r="B204" s="9">
        <v>757.25</v>
      </c>
      <c r="C204" s="9">
        <v>736.01</v>
      </c>
      <c r="D204" s="9">
        <v>741.79</v>
      </c>
      <c r="E204" s="9">
        <f t="shared" si="9"/>
        <v>-2.2171137659054103E-2</v>
      </c>
      <c r="F204" s="45">
        <f t="shared" si="7"/>
        <v>9.8217312954327115E-3</v>
      </c>
      <c r="G204" s="9">
        <f t="shared" si="8"/>
        <v>2.9434378538827542E-2</v>
      </c>
    </row>
    <row r="205" spans="1:7" x14ac:dyDescent="0.2">
      <c r="A205" s="12">
        <v>37186</v>
      </c>
      <c r="B205" s="9">
        <v>743.75</v>
      </c>
      <c r="C205" s="9">
        <v>733.95</v>
      </c>
      <c r="D205" s="9">
        <v>743.27</v>
      </c>
      <c r="E205" s="9">
        <f t="shared" si="9"/>
        <v>1.9931861203958011E-3</v>
      </c>
      <c r="F205" s="45">
        <f t="shared" si="7"/>
        <v>1.3777252132912721E-2</v>
      </c>
      <c r="G205" s="9">
        <f t="shared" si="8"/>
        <v>2.9432627362336691E-2</v>
      </c>
    </row>
    <row r="206" spans="1:7" x14ac:dyDescent="0.2">
      <c r="A206" s="12">
        <v>37187</v>
      </c>
      <c r="B206" s="9">
        <v>769.64</v>
      </c>
      <c r="C206" s="9">
        <v>745.61</v>
      </c>
      <c r="D206" s="9">
        <v>766.96</v>
      </c>
      <c r="E206" s="9">
        <f t="shared" si="9"/>
        <v>3.1375278406287441E-2</v>
      </c>
      <c r="F206" s="45">
        <f t="shared" si="7"/>
        <v>0.13042189574664534</v>
      </c>
      <c r="G206" s="9">
        <f t="shared" si="8"/>
        <v>2.5103222691257553E-2</v>
      </c>
    </row>
    <row r="207" spans="1:7" x14ac:dyDescent="0.2">
      <c r="A207" s="12">
        <v>37188</v>
      </c>
      <c r="B207" s="9">
        <v>776.31</v>
      </c>
      <c r="C207" s="9">
        <v>758.74</v>
      </c>
      <c r="D207" s="9">
        <v>770.99</v>
      </c>
      <c r="E207" s="9">
        <f t="shared" si="9"/>
        <v>5.2407545418627468E-3</v>
      </c>
      <c r="F207" s="45">
        <f t="shared" si="7"/>
        <v>8.2283680745303955E-2</v>
      </c>
      <c r="G207" s="9">
        <f t="shared" si="8"/>
        <v>2.3337436187402458E-2</v>
      </c>
    </row>
    <row r="208" spans="1:7" x14ac:dyDescent="0.2">
      <c r="A208" s="12">
        <v>37189</v>
      </c>
      <c r="B208" s="9">
        <v>782.2</v>
      </c>
      <c r="C208" s="9">
        <v>751.2</v>
      </c>
      <c r="D208" s="9">
        <v>751.98</v>
      </c>
      <c r="E208" s="9">
        <f t="shared" si="9"/>
        <v>-2.4965675459117979E-2</v>
      </c>
      <c r="F208" s="45">
        <f t="shared" si="7"/>
        <v>4.4862278433000627E-2</v>
      </c>
      <c r="G208" s="9">
        <f t="shared" si="8"/>
        <v>2.3795958119757297E-2</v>
      </c>
    </row>
    <row r="209" spans="1:7" x14ac:dyDescent="0.2">
      <c r="A209" s="12">
        <v>37190</v>
      </c>
      <c r="B209" s="9">
        <v>777.76</v>
      </c>
      <c r="C209" s="9">
        <v>757.69</v>
      </c>
      <c r="D209" s="9">
        <v>777.14</v>
      </c>
      <c r="E209" s="9">
        <f t="shared" si="9"/>
        <v>3.2910786465842591E-2</v>
      </c>
      <c r="F209" s="45">
        <f t="shared" si="7"/>
        <v>0.11096074707684657</v>
      </c>
      <c r="G209" s="9">
        <f t="shared" si="8"/>
        <v>2.3532484201076682E-2</v>
      </c>
    </row>
    <row r="210" spans="1:7" x14ac:dyDescent="0.2">
      <c r="A210" s="12">
        <v>37193</v>
      </c>
      <c r="B210" s="9">
        <v>774.59</v>
      </c>
      <c r="C210" s="9">
        <v>757.88</v>
      </c>
      <c r="D210" s="9">
        <v>757.88</v>
      </c>
      <c r="E210" s="9">
        <f t="shared" si="9"/>
        <v>-2.5095452553167055E-2</v>
      </c>
      <c r="F210" s="45">
        <f t="shared" si="7"/>
        <v>6.6782376577222483E-2</v>
      </c>
      <c r="G210" s="9">
        <f t="shared" si="8"/>
        <v>2.3915748143083868E-2</v>
      </c>
    </row>
    <row r="211" spans="1:7" x14ac:dyDescent="0.2">
      <c r="A211" s="12">
        <v>37194</v>
      </c>
      <c r="B211" s="9">
        <v>750.57</v>
      </c>
      <c r="C211" s="9">
        <v>727.96</v>
      </c>
      <c r="D211" s="9">
        <v>735.34</v>
      </c>
      <c r="E211" s="9">
        <f t="shared" si="9"/>
        <v>-3.0192084476783957E-2</v>
      </c>
      <c r="F211" s="45">
        <f t="shared" si="7"/>
        <v>5.5098266088092283E-2</v>
      </c>
      <c r="G211" s="9">
        <f t="shared" si="8"/>
        <v>2.4356131443924206E-2</v>
      </c>
    </row>
    <row r="212" spans="1:7" x14ac:dyDescent="0.2">
      <c r="A212" s="12">
        <v>37195</v>
      </c>
      <c r="B212" s="9">
        <v>748.24</v>
      </c>
      <c r="C212" s="9">
        <v>731.33</v>
      </c>
      <c r="D212" s="9">
        <v>741.92</v>
      </c>
      <c r="E212" s="9">
        <f t="shared" si="9"/>
        <v>8.9084433557731837E-3</v>
      </c>
      <c r="F212" s="45">
        <f t="shared" si="7"/>
        <v>8.1605192183911976E-2</v>
      </c>
      <c r="G212" s="9">
        <f t="shared" si="8"/>
        <v>2.4106288001114071E-2</v>
      </c>
    </row>
    <row r="213" spans="1:7" x14ac:dyDescent="0.2">
      <c r="A213" s="12">
        <v>37196</v>
      </c>
      <c r="B213" s="9">
        <v>745.66</v>
      </c>
      <c r="C213" s="9">
        <v>730.39</v>
      </c>
      <c r="D213" s="9">
        <v>743.8</v>
      </c>
      <c r="E213" s="9">
        <f t="shared" si="9"/>
        <v>2.5307608478188819E-3</v>
      </c>
      <c r="F213" s="45">
        <f t="shared" si="7"/>
        <v>0.12079071364004386</v>
      </c>
      <c r="G213" s="9">
        <f t="shared" si="8"/>
        <v>2.2932244642624749E-2</v>
      </c>
    </row>
    <row r="214" spans="1:7" x14ac:dyDescent="0.2">
      <c r="A214" s="12">
        <v>37197</v>
      </c>
      <c r="B214" s="9">
        <v>756.63</v>
      </c>
      <c r="C214" s="9">
        <v>745.08</v>
      </c>
      <c r="D214" s="9">
        <v>747.53</v>
      </c>
      <c r="E214" s="9">
        <f t="shared" si="9"/>
        <v>5.0022567477974169E-3</v>
      </c>
      <c r="F214" s="45">
        <f t="shared" si="7"/>
        <v>0.13424829540593491</v>
      </c>
      <c r="G214" s="9">
        <f t="shared" si="8"/>
        <v>2.2810970283987285E-2</v>
      </c>
    </row>
    <row r="215" spans="1:7" x14ac:dyDescent="0.2">
      <c r="A215" s="12">
        <v>37200</v>
      </c>
      <c r="B215" s="9">
        <v>773.37</v>
      </c>
      <c r="C215" s="9">
        <v>750.17</v>
      </c>
      <c r="D215" s="9">
        <v>771.17</v>
      </c>
      <c r="E215" s="9">
        <f t="shared" si="9"/>
        <v>3.1134403885990106E-2</v>
      </c>
      <c r="F215" s="45">
        <f t="shared" si="7"/>
        <v>0.11208718804199236</v>
      </c>
      <c r="G215" s="9">
        <f t="shared" si="8"/>
        <v>2.1496414362403089E-2</v>
      </c>
    </row>
    <row r="216" spans="1:7" x14ac:dyDescent="0.2">
      <c r="A216" s="12">
        <v>37201</v>
      </c>
      <c r="B216" s="9">
        <v>787.82</v>
      </c>
      <c r="C216" s="9">
        <v>774.95</v>
      </c>
      <c r="D216" s="9">
        <v>779.64</v>
      </c>
      <c r="E216" s="9">
        <f t="shared" si="9"/>
        <v>1.0923432555682563E-2</v>
      </c>
      <c r="F216" s="45">
        <f t="shared" si="7"/>
        <v>0.11466146984273951</v>
      </c>
      <c r="G216" s="9">
        <f t="shared" si="8"/>
        <v>2.1520587559643173E-2</v>
      </c>
    </row>
    <row r="217" spans="1:7" x14ac:dyDescent="0.2">
      <c r="A217" s="12">
        <v>37202</v>
      </c>
      <c r="B217" s="9">
        <v>787.74</v>
      </c>
      <c r="C217" s="9">
        <v>774.18</v>
      </c>
      <c r="D217" s="9">
        <v>784.42</v>
      </c>
      <c r="E217" s="9">
        <f t="shared" si="9"/>
        <v>6.1123165120118891E-3</v>
      </c>
      <c r="F217" s="45">
        <f t="shared" si="7"/>
        <v>0.14172008070914888</v>
      </c>
      <c r="G217" s="9">
        <f t="shared" si="8"/>
        <v>2.1007637246247143E-2</v>
      </c>
    </row>
    <row r="218" spans="1:7" x14ac:dyDescent="0.2">
      <c r="A218" s="12">
        <v>37203</v>
      </c>
      <c r="B218" s="9">
        <v>805.4</v>
      </c>
      <c r="C218" s="9">
        <v>781.29</v>
      </c>
      <c r="D218" s="9">
        <v>802.89</v>
      </c>
      <c r="E218" s="9">
        <f t="shared" si="9"/>
        <v>2.3273127069459682E-2</v>
      </c>
      <c r="F218" s="45">
        <f t="shared" si="7"/>
        <v>0.15891567514114113</v>
      </c>
      <c r="G218" s="9">
        <f t="shared" si="8"/>
        <v>2.1278680885904497E-2</v>
      </c>
    </row>
    <row r="219" spans="1:7" x14ac:dyDescent="0.2">
      <c r="A219" s="12">
        <v>37204</v>
      </c>
      <c r="B219" s="9">
        <v>800.81</v>
      </c>
      <c r="C219" s="9">
        <v>787.26</v>
      </c>
      <c r="D219" s="9">
        <v>788.97</v>
      </c>
      <c r="E219" s="9">
        <f t="shared" si="9"/>
        <v>-1.7489420952610905E-2</v>
      </c>
      <c r="F219" s="45">
        <f t="shared" si="7"/>
        <v>0.11505850993208856</v>
      </c>
      <c r="G219" s="9">
        <f t="shared" si="8"/>
        <v>2.128771041371768E-2</v>
      </c>
    </row>
    <row r="220" spans="1:7" x14ac:dyDescent="0.2">
      <c r="A220" s="12">
        <v>37207</v>
      </c>
      <c r="B220" s="9">
        <v>789.08</v>
      </c>
      <c r="C220" s="9">
        <v>768.73</v>
      </c>
      <c r="D220" s="9">
        <v>775.47</v>
      </c>
      <c r="E220" s="9">
        <f t="shared" si="9"/>
        <v>-1.7259000160515809E-2</v>
      </c>
      <c r="F220" s="45">
        <f t="shared" si="7"/>
        <v>0.11194879778314282</v>
      </c>
      <c r="G220" s="9">
        <f t="shared" si="8"/>
        <v>2.1385648969177714E-2</v>
      </c>
    </row>
    <row r="221" spans="1:7" x14ac:dyDescent="0.2">
      <c r="A221" s="12">
        <v>37208</v>
      </c>
      <c r="B221" s="9">
        <v>806.98</v>
      </c>
      <c r="C221" s="9">
        <v>778.98</v>
      </c>
      <c r="D221" s="9">
        <v>806.59</v>
      </c>
      <c r="E221" s="9">
        <f t="shared" si="9"/>
        <v>3.9346187494811072E-2</v>
      </c>
      <c r="F221" s="45">
        <f t="shared" si="7"/>
        <v>0.14782508423759552</v>
      </c>
      <c r="G221" s="9">
        <f t="shared" si="8"/>
        <v>2.23517787022493E-2</v>
      </c>
    </row>
    <row r="222" spans="1:7" x14ac:dyDescent="0.2">
      <c r="A222" s="12">
        <v>37209</v>
      </c>
      <c r="B222" s="9">
        <v>826.66</v>
      </c>
      <c r="C222" s="9">
        <v>810.61</v>
      </c>
      <c r="D222" s="9">
        <v>812.79</v>
      </c>
      <c r="E222" s="9">
        <f t="shared" si="9"/>
        <v>7.6572889553310425E-3</v>
      </c>
      <c r="F222" s="45">
        <f t="shared" si="7"/>
        <v>0.13478535759516247</v>
      </c>
      <c r="G222" s="9">
        <f t="shared" si="8"/>
        <v>2.216051529539061E-2</v>
      </c>
    </row>
    <row r="223" spans="1:7" x14ac:dyDescent="0.2">
      <c r="A223" s="12">
        <v>37210</v>
      </c>
      <c r="B223" s="9">
        <v>827.7</v>
      </c>
      <c r="C223" s="9">
        <v>810.83</v>
      </c>
      <c r="D223" s="9">
        <v>822.73</v>
      </c>
      <c r="E223" s="9">
        <f t="shared" si="9"/>
        <v>1.21553052083072E-2</v>
      </c>
      <c r="F223" s="45">
        <f t="shared" si="7"/>
        <v>0.12601514202140909</v>
      </c>
      <c r="G223" s="9">
        <f t="shared" si="8"/>
        <v>2.1993479664407622E-2</v>
      </c>
    </row>
    <row r="224" spans="1:7" x14ac:dyDescent="0.2">
      <c r="A224" s="12">
        <v>37211</v>
      </c>
      <c r="B224" s="9">
        <v>835.52</v>
      </c>
      <c r="C224" s="9">
        <v>817.26</v>
      </c>
      <c r="D224" s="9">
        <v>835.52</v>
      </c>
      <c r="E224" s="9">
        <f t="shared" si="9"/>
        <v>1.5426206703529871E-2</v>
      </c>
      <c r="F224" s="45">
        <f t="shared" si="7"/>
        <v>0.14214473396767874</v>
      </c>
      <c r="G224" s="9">
        <f t="shared" si="8"/>
        <v>2.2066496220453022E-2</v>
      </c>
    </row>
    <row r="225" spans="1:7" x14ac:dyDescent="0.2">
      <c r="A225" s="12">
        <v>37214</v>
      </c>
      <c r="B225" s="9">
        <v>848.38</v>
      </c>
      <c r="C225" s="9">
        <v>834.25</v>
      </c>
      <c r="D225" s="9">
        <v>840.36</v>
      </c>
      <c r="E225" s="9">
        <f t="shared" si="9"/>
        <v>5.7760859446626843E-3</v>
      </c>
      <c r="F225" s="45">
        <f t="shared" ref="F225:F288" si="10">LN(D225/D195)</f>
        <v>0.14652832125561482</v>
      </c>
      <c r="G225" s="9">
        <f t="shared" ref="G225:G288" si="11">STDEV(E196:E225)</f>
        <v>2.2058090031889764E-2</v>
      </c>
    </row>
    <row r="226" spans="1:7" x14ac:dyDescent="0.2">
      <c r="A226" s="12">
        <v>37215</v>
      </c>
      <c r="B226" s="9">
        <v>837.43</v>
      </c>
      <c r="C226" s="9">
        <v>816.99</v>
      </c>
      <c r="D226" s="9">
        <v>821.32</v>
      </c>
      <c r="E226" s="9">
        <f t="shared" si="9"/>
        <v>-2.2917569368128703E-2</v>
      </c>
      <c r="F226" s="45">
        <f t="shared" si="10"/>
        <v>0.14210482016301376</v>
      </c>
      <c r="G226" s="9">
        <f t="shared" si="11"/>
        <v>2.2233838866397564E-2</v>
      </c>
    </row>
    <row r="227" spans="1:7" x14ac:dyDescent="0.2">
      <c r="A227" s="12">
        <v>37216</v>
      </c>
      <c r="B227" s="9">
        <v>827.68</v>
      </c>
      <c r="C227" s="9">
        <v>811.51</v>
      </c>
      <c r="D227" s="9">
        <v>820.97</v>
      </c>
      <c r="E227" s="9">
        <f t="shared" si="9"/>
        <v>-4.2623410639882974E-4</v>
      </c>
      <c r="F227" s="45">
        <f t="shared" si="10"/>
        <v>0.10855017698187974</v>
      </c>
      <c r="G227" s="9">
        <f t="shared" si="11"/>
        <v>2.1591033381609077E-2</v>
      </c>
    </row>
    <row r="228" spans="1:7" x14ac:dyDescent="0.2">
      <c r="A228" s="12">
        <v>37217</v>
      </c>
      <c r="B228" s="9">
        <v>842.89</v>
      </c>
      <c r="C228" s="9">
        <v>824.67</v>
      </c>
      <c r="D228" s="9">
        <v>841.28</v>
      </c>
      <c r="E228" s="9">
        <f t="shared" si="9"/>
        <v>2.4437973560617152E-2</v>
      </c>
      <c r="F228" s="45">
        <f t="shared" si="10"/>
        <v>9.7902448966520436E-2</v>
      </c>
      <c r="G228" s="9">
        <f t="shared" si="11"/>
        <v>2.1138698044703783E-2</v>
      </c>
    </row>
    <row r="229" spans="1:7" x14ac:dyDescent="0.2">
      <c r="A229" s="12">
        <v>37218</v>
      </c>
      <c r="B229" s="9">
        <v>849.9</v>
      </c>
      <c r="C229" s="9">
        <v>831.03</v>
      </c>
      <c r="D229" s="9">
        <v>841.05</v>
      </c>
      <c r="E229" s="9">
        <f t="shared" si="9"/>
        <v>-2.7343030372516298E-4</v>
      </c>
      <c r="F229" s="45">
        <f t="shared" si="10"/>
        <v>0.117997076753091</v>
      </c>
      <c r="G229" s="9">
        <f t="shared" si="11"/>
        <v>2.0677403166177957E-2</v>
      </c>
    </row>
    <row r="230" spans="1:7" x14ac:dyDescent="0.2">
      <c r="A230" s="12">
        <v>37221</v>
      </c>
      <c r="B230" s="9">
        <v>856.07</v>
      </c>
      <c r="C230" s="9">
        <v>845.43</v>
      </c>
      <c r="D230" s="9">
        <v>848.48</v>
      </c>
      <c r="E230" s="9">
        <f t="shared" si="9"/>
        <v>8.795402151028699E-3</v>
      </c>
      <c r="F230" s="45">
        <f t="shared" si="10"/>
        <v>0.13176844764684564</v>
      </c>
      <c r="G230" s="9">
        <f t="shared" si="11"/>
        <v>2.0625595158956199E-2</v>
      </c>
    </row>
    <row r="231" spans="1:7" x14ac:dyDescent="0.2">
      <c r="A231" s="12">
        <v>37222</v>
      </c>
      <c r="B231" s="9">
        <v>857.25</v>
      </c>
      <c r="C231" s="9">
        <v>834.88</v>
      </c>
      <c r="D231" s="9">
        <v>841.51</v>
      </c>
      <c r="E231" s="9">
        <f t="shared" si="9"/>
        <v>-8.24861628727264E-3</v>
      </c>
      <c r="F231" s="45">
        <f t="shared" si="10"/>
        <v>0.11839670444161048</v>
      </c>
      <c r="G231" s="9">
        <f t="shared" si="11"/>
        <v>2.0753344675318752E-2</v>
      </c>
    </row>
    <row r="232" spans="1:7" x14ac:dyDescent="0.2">
      <c r="A232" s="12">
        <v>37223</v>
      </c>
      <c r="B232" s="9">
        <v>845.88</v>
      </c>
      <c r="C232" s="9">
        <v>827.47</v>
      </c>
      <c r="D232" s="9">
        <v>829.9</v>
      </c>
      <c r="E232" s="9">
        <f t="shared" si="9"/>
        <v>-1.3892685497145067E-2</v>
      </c>
      <c r="F232" s="45">
        <f t="shared" si="10"/>
        <v>6.2485763438934361E-2</v>
      </c>
      <c r="G232" s="9">
        <f t="shared" si="11"/>
        <v>1.9700272495427589E-2</v>
      </c>
    </row>
    <row r="233" spans="1:7" x14ac:dyDescent="0.2">
      <c r="A233" s="12">
        <v>37224</v>
      </c>
      <c r="B233" s="9">
        <v>829.52</v>
      </c>
      <c r="C233" s="9">
        <v>818.78</v>
      </c>
      <c r="D233" s="9">
        <v>826.9</v>
      </c>
      <c r="E233" s="9">
        <f t="shared" si="9"/>
        <v>-3.621442876281326E-3</v>
      </c>
      <c r="F233" s="45">
        <f t="shared" si="10"/>
        <v>8.644644682700886E-2</v>
      </c>
      <c r="G233" s="9">
        <f t="shared" si="11"/>
        <v>1.892663870746392E-2</v>
      </c>
    </row>
    <row r="234" spans="1:7" x14ac:dyDescent="0.2">
      <c r="A234" s="12">
        <v>37225</v>
      </c>
      <c r="B234" s="9">
        <v>840.93</v>
      </c>
      <c r="C234" s="9">
        <v>829.12</v>
      </c>
      <c r="D234" s="9">
        <v>835.06</v>
      </c>
      <c r="E234" s="9">
        <f t="shared" si="9"/>
        <v>9.8198098286201262E-3</v>
      </c>
      <c r="F234" s="45">
        <f t="shared" si="10"/>
        <v>0.11843739431468335</v>
      </c>
      <c r="G234" s="9">
        <f t="shared" si="11"/>
        <v>1.8359156608601549E-2</v>
      </c>
    </row>
    <row r="235" spans="1:7" x14ac:dyDescent="0.2">
      <c r="A235" s="12">
        <v>37228</v>
      </c>
      <c r="B235" s="9">
        <v>836.26</v>
      </c>
      <c r="C235" s="9">
        <v>825.65</v>
      </c>
      <c r="D235" s="9">
        <v>832.06</v>
      </c>
      <c r="E235" s="9">
        <f t="shared" si="9"/>
        <v>-3.5990249511065921E-3</v>
      </c>
      <c r="F235" s="45">
        <f t="shared" si="10"/>
        <v>0.11284518324318081</v>
      </c>
      <c r="G235" s="9">
        <f t="shared" si="11"/>
        <v>1.8408012872377841E-2</v>
      </c>
    </row>
    <row r="236" spans="1:7" x14ac:dyDescent="0.2">
      <c r="A236" s="12">
        <v>37229</v>
      </c>
      <c r="B236" s="9">
        <v>848.96</v>
      </c>
      <c r="C236" s="9">
        <v>833.52</v>
      </c>
      <c r="D236" s="9">
        <v>848.53</v>
      </c>
      <c r="E236" s="9">
        <f t="shared" si="9"/>
        <v>1.9600886955110509E-2</v>
      </c>
      <c r="F236" s="45">
        <f t="shared" si="10"/>
        <v>0.10107079179200398</v>
      </c>
      <c r="G236" s="9">
        <f t="shared" si="11"/>
        <v>1.7917952425602367E-2</v>
      </c>
    </row>
    <row r="237" spans="1:7" x14ac:dyDescent="0.2">
      <c r="A237" s="12">
        <v>37230</v>
      </c>
      <c r="B237" s="9">
        <v>884.67</v>
      </c>
      <c r="C237" s="9">
        <v>854.38</v>
      </c>
      <c r="D237" s="9">
        <v>884.67</v>
      </c>
      <c r="E237" s="9">
        <f t="shared" si="9"/>
        <v>4.1709253553712702E-2</v>
      </c>
      <c r="F237" s="45">
        <f t="shared" si="10"/>
        <v>0.1375392908038538</v>
      </c>
      <c r="G237" s="9">
        <f t="shared" si="11"/>
        <v>1.9237782054681525E-2</v>
      </c>
    </row>
    <row r="238" spans="1:7" x14ac:dyDescent="0.2">
      <c r="A238" s="12">
        <v>37231</v>
      </c>
      <c r="B238" s="9">
        <v>897.65</v>
      </c>
      <c r="C238" s="9">
        <v>879.11</v>
      </c>
      <c r="D238" s="9">
        <v>880.55</v>
      </c>
      <c r="E238" s="9">
        <f t="shared" si="9"/>
        <v>-4.6679818733636269E-3</v>
      </c>
      <c r="F238" s="45">
        <f t="shared" si="10"/>
        <v>0.15783698438960828</v>
      </c>
      <c r="G238" s="9">
        <f t="shared" si="11"/>
        <v>1.8505667375978356E-2</v>
      </c>
    </row>
    <row r="239" spans="1:7" x14ac:dyDescent="0.2">
      <c r="A239" s="12">
        <v>37232</v>
      </c>
      <c r="B239" s="9">
        <v>889.3</v>
      </c>
      <c r="C239" s="9">
        <v>869.29</v>
      </c>
      <c r="D239" s="9">
        <v>871.58</v>
      </c>
      <c r="E239" s="9">
        <f t="shared" si="9"/>
        <v>-1.0239055739544577E-2</v>
      </c>
      <c r="F239" s="45">
        <f t="shared" si="10"/>
        <v>0.11468714218422107</v>
      </c>
      <c r="G239" s="9">
        <f t="shared" si="11"/>
        <v>1.7951111313670682E-2</v>
      </c>
    </row>
    <row r="240" spans="1:7" x14ac:dyDescent="0.2">
      <c r="A240" s="12">
        <v>37235</v>
      </c>
      <c r="B240" s="9">
        <v>870.12</v>
      </c>
      <c r="C240" s="9">
        <v>852.77</v>
      </c>
      <c r="D240" s="9">
        <v>858.48</v>
      </c>
      <c r="E240" s="9">
        <f t="shared" si="9"/>
        <v>-1.5144272882677612E-2</v>
      </c>
      <c r="F240" s="45">
        <f t="shared" si="10"/>
        <v>0.1246383218547106</v>
      </c>
      <c r="G240" s="9">
        <f t="shared" si="11"/>
        <v>1.7484190984438205E-2</v>
      </c>
    </row>
    <row r="241" spans="1:7" x14ac:dyDescent="0.2">
      <c r="A241" s="12">
        <v>37236</v>
      </c>
      <c r="B241" s="9">
        <v>866.58</v>
      </c>
      <c r="C241" s="9">
        <v>849.84</v>
      </c>
      <c r="D241" s="9">
        <v>862.2</v>
      </c>
      <c r="E241" s="9">
        <f t="shared" si="9"/>
        <v>4.3238786941623194E-3</v>
      </c>
      <c r="F241" s="45">
        <f t="shared" si="10"/>
        <v>0.15915428502565679</v>
      </c>
      <c r="G241" s="9">
        <f t="shared" si="11"/>
        <v>1.6237284206165457E-2</v>
      </c>
    </row>
    <row r="242" spans="1:7" x14ac:dyDescent="0.2">
      <c r="A242" s="12">
        <v>37237</v>
      </c>
      <c r="B242" s="9">
        <v>869.08</v>
      </c>
      <c r="C242" s="9">
        <v>844.67</v>
      </c>
      <c r="D242" s="9">
        <v>849.1</v>
      </c>
      <c r="E242" s="9">
        <f t="shared" si="9"/>
        <v>-1.5310297307716544E-2</v>
      </c>
      <c r="F242" s="45">
        <f t="shared" si="10"/>
        <v>0.13493554436216706</v>
      </c>
      <c r="G242" s="9">
        <f t="shared" si="11"/>
        <v>1.6648799864565182E-2</v>
      </c>
    </row>
    <row r="243" spans="1:7" x14ac:dyDescent="0.2">
      <c r="A243" s="12">
        <v>37238</v>
      </c>
      <c r="B243" s="9">
        <v>849.33</v>
      </c>
      <c r="C243" s="9">
        <v>825.04</v>
      </c>
      <c r="D243" s="9">
        <v>831.64</v>
      </c>
      <c r="E243" s="9">
        <f t="shared" si="9"/>
        <v>-2.0777310130130115E-2</v>
      </c>
      <c r="F243" s="45">
        <f t="shared" si="10"/>
        <v>0.11162747338421806</v>
      </c>
      <c r="G243" s="9">
        <f t="shared" si="11"/>
        <v>1.7275804335145216E-2</v>
      </c>
    </row>
    <row r="244" spans="1:7" x14ac:dyDescent="0.2">
      <c r="A244" s="12">
        <v>37239</v>
      </c>
      <c r="B244" s="9">
        <v>832.05</v>
      </c>
      <c r="C244" s="9">
        <v>817.11</v>
      </c>
      <c r="D244" s="9">
        <v>819.87</v>
      </c>
      <c r="E244" s="9">
        <f t="shared" si="9"/>
        <v>-1.4253863770507566E-2</v>
      </c>
      <c r="F244" s="45">
        <f t="shared" si="10"/>
        <v>9.237135286591304E-2</v>
      </c>
      <c r="G244" s="9">
        <f t="shared" si="11"/>
        <v>1.7581573399939741E-2</v>
      </c>
    </row>
    <row r="245" spans="1:7" x14ac:dyDescent="0.2">
      <c r="A245" s="12">
        <v>37242</v>
      </c>
      <c r="B245" s="9">
        <v>835.68</v>
      </c>
      <c r="C245" s="9">
        <v>820.24</v>
      </c>
      <c r="D245" s="9">
        <v>832.64</v>
      </c>
      <c r="E245" s="9">
        <f t="shared" si="9"/>
        <v>1.5455584779405689E-2</v>
      </c>
      <c r="F245" s="45">
        <f t="shared" si="10"/>
        <v>7.6692533759328482E-2</v>
      </c>
      <c r="G245" s="9">
        <f t="shared" si="11"/>
        <v>1.6940180119588699E-2</v>
      </c>
    </row>
    <row r="246" spans="1:7" x14ac:dyDescent="0.2">
      <c r="A246" s="12">
        <v>37243</v>
      </c>
      <c r="B246" s="9">
        <v>840.37</v>
      </c>
      <c r="C246" s="9">
        <v>832.16</v>
      </c>
      <c r="D246" s="9">
        <v>836.05</v>
      </c>
      <c r="E246" s="9">
        <f t="shared" si="9"/>
        <v>4.0870440245922316E-3</v>
      </c>
      <c r="F246" s="45">
        <f t="shared" si="10"/>
        <v>6.985614522823802E-2</v>
      </c>
      <c r="G246" s="9">
        <f t="shared" si="11"/>
        <v>1.6869580232132298E-2</v>
      </c>
    </row>
    <row r="247" spans="1:7" x14ac:dyDescent="0.2">
      <c r="A247" s="12">
        <v>37244</v>
      </c>
      <c r="B247" s="9">
        <v>834.59</v>
      </c>
      <c r="C247" s="9">
        <v>815.88</v>
      </c>
      <c r="D247" s="9">
        <v>820.67</v>
      </c>
      <c r="E247" s="9">
        <f t="shared" si="9"/>
        <v>-1.8567340102213691E-2</v>
      </c>
      <c r="F247" s="45">
        <f t="shared" si="10"/>
        <v>4.5176488614012578E-2</v>
      </c>
      <c r="G247" s="9">
        <f t="shared" si="11"/>
        <v>1.7275573029196151E-2</v>
      </c>
    </row>
    <row r="248" spans="1:7" x14ac:dyDescent="0.2">
      <c r="A248" s="12">
        <v>37245</v>
      </c>
      <c r="B248" s="9">
        <v>825.8</v>
      </c>
      <c r="C248" s="9">
        <v>806.54</v>
      </c>
      <c r="D248" s="9">
        <v>807.61</v>
      </c>
      <c r="E248" s="9">
        <f t="shared" si="9"/>
        <v>-1.6041811076934011E-2</v>
      </c>
      <c r="F248" s="45">
        <f t="shared" si="10"/>
        <v>5.8615504676187589E-3</v>
      </c>
      <c r="G248" s="9">
        <f t="shared" si="11"/>
        <v>1.7057209806543981E-2</v>
      </c>
    </row>
    <row r="249" spans="1:7" x14ac:dyDescent="0.2">
      <c r="A249" s="12">
        <v>37246</v>
      </c>
      <c r="B249" s="9">
        <v>824.57</v>
      </c>
      <c r="C249" s="9">
        <v>800.66</v>
      </c>
      <c r="D249" s="9">
        <v>824.57</v>
      </c>
      <c r="E249" s="9">
        <f t="shared" si="9"/>
        <v>2.078276960568463E-2</v>
      </c>
      <c r="F249" s="45">
        <f t="shared" si="10"/>
        <v>4.4133741025914448E-2</v>
      </c>
      <c r="G249" s="9">
        <f t="shared" si="11"/>
        <v>1.7120029079635533E-2</v>
      </c>
    </row>
    <row r="250" spans="1:7" x14ac:dyDescent="0.2">
      <c r="A250" s="12">
        <v>37252</v>
      </c>
      <c r="B250" s="9">
        <v>840.89</v>
      </c>
      <c r="C250" s="9">
        <v>824.64</v>
      </c>
      <c r="D250" s="9">
        <v>839.23</v>
      </c>
      <c r="E250" s="9">
        <f t="shared" si="9"/>
        <v>1.7622766439660605E-2</v>
      </c>
      <c r="F250" s="45">
        <f t="shared" si="10"/>
        <v>7.90155076260909E-2</v>
      </c>
      <c r="G250" s="9">
        <f t="shared" si="11"/>
        <v>1.698809573780026E-2</v>
      </c>
    </row>
    <row r="251" spans="1:7" x14ac:dyDescent="0.2">
      <c r="A251" s="12">
        <v>37253</v>
      </c>
      <c r="B251" s="9">
        <v>849.66</v>
      </c>
      <c r="C251" s="9">
        <v>841.61</v>
      </c>
      <c r="D251" s="9">
        <v>846.49</v>
      </c>
      <c r="E251" s="9">
        <f t="shared" si="9"/>
        <v>8.6135833794518512E-3</v>
      </c>
      <c r="F251" s="45">
        <f t="shared" si="10"/>
        <v>4.8282903510731674E-2</v>
      </c>
      <c r="G251" s="9">
        <f t="shared" si="11"/>
        <v>1.5564930642379786E-2</v>
      </c>
    </row>
    <row r="252" spans="1:7" x14ac:dyDescent="0.2">
      <c r="A252" s="12">
        <v>37258</v>
      </c>
      <c r="B252" s="9">
        <v>843.66</v>
      </c>
      <c r="C252" s="9">
        <v>829.57</v>
      </c>
      <c r="D252" s="9">
        <v>832.4</v>
      </c>
      <c r="E252" s="9">
        <f t="shared" si="9"/>
        <v>-1.678529363484808E-2</v>
      </c>
      <c r="F252" s="45">
        <f t="shared" si="10"/>
        <v>2.3840320920552535E-2</v>
      </c>
      <c r="G252" s="9">
        <f t="shared" si="11"/>
        <v>1.587409461451255E-2</v>
      </c>
    </row>
    <row r="253" spans="1:7" x14ac:dyDescent="0.2">
      <c r="A253" s="12">
        <v>37259</v>
      </c>
      <c r="B253" s="9">
        <v>867</v>
      </c>
      <c r="C253" s="9">
        <v>835.35</v>
      </c>
      <c r="D253" s="9">
        <v>867</v>
      </c>
      <c r="E253" s="9">
        <f t="shared" si="9"/>
        <v>4.0725882261062621E-2</v>
      </c>
      <c r="F253" s="45">
        <f t="shared" si="10"/>
        <v>5.2410897973307807E-2</v>
      </c>
      <c r="G253" s="9">
        <f t="shared" si="11"/>
        <v>1.7366086165143148E-2</v>
      </c>
    </row>
    <row r="254" spans="1:7" x14ac:dyDescent="0.2">
      <c r="A254" s="12">
        <v>37260</v>
      </c>
      <c r="B254" s="9">
        <v>878.88</v>
      </c>
      <c r="C254" s="9">
        <v>865.4</v>
      </c>
      <c r="D254" s="9">
        <v>869.45</v>
      </c>
      <c r="E254" s="9">
        <f t="shared" si="9"/>
        <v>2.8218510475359758E-3</v>
      </c>
      <c r="F254" s="45">
        <f t="shared" si="10"/>
        <v>3.9806542317313856E-2</v>
      </c>
      <c r="G254" s="9">
        <f t="shared" si="11"/>
        <v>1.7175149666638464E-2</v>
      </c>
    </row>
    <row r="255" spans="1:7" x14ac:dyDescent="0.2">
      <c r="A255" s="12">
        <v>37263</v>
      </c>
      <c r="B255" s="9">
        <v>875.24</v>
      </c>
      <c r="C255" s="9">
        <v>860.41</v>
      </c>
      <c r="D255" s="9">
        <v>864.56</v>
      </c>
      <c r="E255" s="9">
        <f t="shared" si="9"/>
        <v>-5.6401208331677572E-3</v>
      </c>
      <c r="F255" s="45">
        <f t="shared" si="10"/>
        <v>2.839033553948344E-2</v>
      </c>
      <c r="G255" s="9">
        <f t="shared" si="11"/>
        <v>1.7199625763321732E-2</v>
      </c>
    </row>
    <row r="256" spans="1:7" x14ac:dyDescent="0.2">
      <c r="A256" s="12">
        <v>37264</v>
      </c>
      <c r="B256" s="9">
        <v>861.83</v>
      </c>
      <c r="C256" s="9">
        <v>843.45</v>
      </c>
      <c r="D256" s="9">
        <v>843.45</v>
      </c>
      <c r="E256" s="9">
        <f t="shared" si="9"/>
        <v>-2.4720083588589688E-2</v>
      </c>
      <c r="F256" s="45">
        <f t="shared" si="10"/>
        <v>2.65878213190224E-2</v>
      </c>
      <c r="G256" s="9">
        <f t="shared" si="11"/>
        <v>1.728878200115487E-2</v>
      </c>
    </row>
    <row r="257" spans="1:7" x14ac:dyDescent="0.2">
      <c r="A257" s="12">
        <v>37265</v>
      </c>
      <c r="B257" s="9">
        <v>849.68</v>
      </c>
      <c r="C257" s="9">
        <v>836.34</v>
      </c>
      <c r="D257" s="9">
        <v>842.07</v>
      </c>
      <c r="E257" s="9">
        <f t="shared" si="9"/>
        <v>-1.6374772276248788E-3</v>
      </c>
      <c r="F257" s="45">
        <f t="shared" si="10"/>
        <v>2.5376578197796418E-2</v>
      </c>
      <c r="G257" s="9">
        <f t="shared" si="11"/>
        <v>1.7293366494114622E-2</v>
      </c>
    </row>
    <row r="258" spans="1:7" x14ac:dyDescent="0.2">
      <c r="A258" s="12">
        <v>37266</v>
      </c>
      <c r="B258" s="9">
        <v>840.35</v>
      </c>
      <c r="C258" s="9">
        <v>823.28</v>
      </c>
      <c r="D258" s="9">
        <v>828.84</v>
      </c>
      <c r="E258" s="9">
        <f t="shared" si="9"/>
        <v>-1.5836013289813763E-2</v>
      </c>
      <c r="F258" s="45">
        <f t="shared" si="10"/>
        <v>-1.4897408652634494E-2</v>
      </c>
      <c r="G258" s="9">
        <f t="shared" si="11"/>
        <v>1.695876125180348E-2</v>
      </c>
    </row>
    <row r="259" spans="1:7" x14ac:dyDescent="0.2">
      <c r="A259" s="12">
        <v>37267</v>
      </c>
      <c r="B259" s="9">
        <v>840.09</v>
      </c>
      <c r="C259" s="9">
        <v>828.67</v>
      </c>
      <c r="D259" s="9">
        <v>838.23</v>
      </c>
      <c r="E259" s="9">
        <f t="shared" ref="E259:E322" si="12">LN(D259/D258)</f>
        <v>1.1265392942280381E-2</v>
      </c>
      <c r="F259" s="45">
        <f t="shared" si="10"/>
        <v>-3.3585854066290116E-3</v>
      </c>
      <c r="G259" s="9">
        <f t="shared" si="11"/>
        <v>1.7094306354975698E-2</v>
      </c>
    </row>
    <row r="260" spans="1:7" x14ac:dyDescent="0.2">
      <c r="A260" s="12">
        <v>37270</v>
      </c>
      <c r="B260" s="9">
        <v>835.28</v>
      </c>
      <c r="C260" s="9">
        <v>804.61</v>
      </c>
      <c r="D260" s="9">
        <v>809.39</v>
      </c>
      <c r="E260" s="9">
        <f t="shared" si="12"/>
        <v>-3.5011648296457344E-2</v>
      </c>
      <c r="F260" s="45">
        <f t="shared" si="10"/>
        <v>-4.7165635854115019E-2</v>
      </c>
      <c r="G260" s="9">
        <f t="shared" si="11"/>
        <v>1.8145886931530991E-2</v>
      </c>
    </row>
    <row r="261" spans="1:7" x14ac:dyDescent="0.2">
      <c r="A261" s="12">
        <v>37271</v>
      </c>
      <c r="B261" s="9">
        <v>809.51</v>
      </c>
      <c r="C261" s="9">
        <v>791.41</v>
      </c>
      <c r="D261" s="9">
        <v>800.16</v>
      </c>
      <c r="E261" s="9">
        <f t="shared" si="12"/>
        <v>-1.1469169864111237E-2</v>
      </c>
      <c r="F261" s="45">
        <f t="shared" si="10"/>
        <v>-5.0386189430953771E-2</v>
      </c>
      <c r="G261" s="9">
        <f t="shared" si="11"/>
        <v>1.8196203646764129E-2</v>
      </c>
    </row>
    <row r="262" spans="1:7" x14ac:dyDescent="0.2">
      <c r="A262" s="12">
        <v>37272</v>
      </c>
      <c r="B262" s="9">
        <v>797.9</v>
      </c>
      <c r="C262" s="9">
        <v>783.19</v>
      </c>
      <c r="D262" s="9">
        <v>785.52</v>
      </c>
      <c r="E262" s="9">
        <f t="shared" si="12"/>
        <v>-1.8465788809558771E-2</v>
      </c>
      <c r="F262" s="45">
        <f t="shared" si="10"/>
        <v>-5.4959292743367527E-2</v>
      </c>
      <c r="G262" s="9">
        <f t="shared" si="11"/>
        <v>1.8320775005944569E-2</v>
      </c>
    </row>
    <row r="263" spans="1:7" x14ac:dyDescent="0.2">
      <c r="A263" s="12">
        <v>37273</v>
      </c>
      <c r="B263" s="9">
        <v>805.45</v>
      </c>
      <c r="C263" s="9">
        <v>788.48</v>
      </c>
      <c r="D263" s="9">
        <v>797.87</v>
      </c>
      <c r="E263" s="9">
        <f t="shared" si="12"/>
        <v>1.5599758049773319E-2</v>
      </c>
      <c r="F263" s="45">
        <f t="shared" si="10"/>
        <v>-3.5738091817312925E-2</v>
      </c>
      <c r="G263" s="9">
        <f t="shared" si="11"/>
        <v>1.8590154172142791E-2</v>
      </c>
    </row>
    <row r="264" spans="1:7" x14ac:dyDescent="0.2">
      <c r="A264" s="12">
        <v>37274</v>
      </c>
      <c r="B264" s="9">
        <v>796.23</v>
      </c>
      <c r="C264" s="9">
        <v>788.49</v>
      </c>
      <c r="D264" s="9">
        <v>792.24</v>
      </c>
      <c r="E264" s="9">
        <f t="shared" si="12"/>
        <v>-7.0813006977607116E-3</v>
      </c>
      <c r="F264" s="45">
        <f t="shared" si="10"/>
        <v>-5.2639202343693965E-2</v>
      </c>
      <c r="G264" s="9">
        <f t="shared" si="11"/>
        <v>1.8500837016906212E-2</v>
      </c>
    </row>
    <row r="265" spans="1:7" x14ac:dyDescent="0.2">
      <c r="A265" s="12">
        <v>37277</v>
      </c>
      <c r="B265" s="9">
        <v>787.82</v>
      </c>
      <c r="C265" s="9">
        <v>777.94</v>
      </c>
      <c r="D265" s="9">
        <v>784.45</v>
      </c>
      <c r="E265" s="9">
        <f t="shared" si="12"/>
        <v>-9.8815409340826492E-3</v>
      </c>
      <c r="F265" s="45">
        <f t="shared" si="10"/>
        <v>-5.8921718326670001E-2</v>
      </c>
      <c r="G265" s="9">
        <f t="shared" si="11"/>
        <v>1.8557903079483927E-2</v>
      </c>
    </row>
    <row r="266" spans="1:7" x14ac:dyDescent="0.2">
      <c r="A266" s="12">
        <v>37278</v>
      </c>
      <c r="B266" s="9">
        <v>801.98</v>
      </c>
      <c r="C266" s="9">
        <v>784.61</v>
      </c>
      <c r="D266" s="9">
        <v>787.56</v>
      </c>
      <c r="E266" s="9">
        <f t="shared" si="12"/>
        <v>3.9567229946670225E-3</v>
      </c>
      <c r="F266" s="45">
        <f t="shared" si="10"/>
        <v>-7.4565882287113514E-2</v>
      </c>
      <c r="G266" s="9">
        <f t="shared" si="11"/>
        <v>1.8146271639725001E-2</v>
      </c>
    </row>
    <row r="267" spans="1:7" x14ac:dyDescent="0.2">
      <c r="A267" s="12">
        <v>37279</v>
      </c>
      <c r="B267" s="9">
        <v>790.77</v>
      </c>
      <c r="C267" s="9">
        <v>777.05</v>
      </c>
      <c r="D267" s="9">
        <v>789.91</v>
      </c>
      <c r="E267" s="9">
        <f t="shared" si="12"/>
        <v>2.9794566469649557E-3</v>
      </c>
      <c r="F267" s="45">
        <f t="shared" si="10"/>
        <v>-0.11329567919386106</v>
      </c>
      <c r="G267" s="9">
        <f t="shared" si="11"/>
        <v>1.6162979607594306E-2</v>
      </c>
    </row>
    <row r="268" spans="1:7" x14ac:dyDescent="0.2">
      <c r="A268" s="12">
        <v>37280</v>
      </c>
      <c r="B268" s="9">
        <v>802.7</v>
      </c>
      <c r="C268" s="9">
        <v>788.81</v>
      </c>
      <c r="D268" s="9">
        <v>799.14</v>
      </c>
      <c r="E268" s="9">
        <f t="shared" si="12"/>
        <v>1.1617134520397608E-2</v>
      </c>
      <c r="F268" s="45">
        <f t="shared" si="10"/>
        <v>-9.7010562800099981E-2</v>
      </c>
      <c r="G268" s="9">
        <f t="shared" si="11"/>
        <v>1.6403684613495253E-2</v>
      </c>
    </row>
    <row r="269" spans="1:7" x14ac:dyDescent="0.2">
      <c r="A269" s="12">
        <v>37281</v>
      </c>
      <c r="B269" s="9">
        <v>796.19</v>
      </c>
      <c r="C269" s="9">
        <v>779.53</v>
      </c>
      <c r="D269" s="9">
        <v>789.55</v>
      </c>
      <c r="E269" s="9">
        <f t="shared" si="12"/>
        <v>-1.2072986528342055E-2</v>
      </c>
      <c r="F269" s="45">
        <f t="shared" si="10"/>
        <v>-9.8844493588897436E-2</v>
      </c>
      <c r="G269" s="9">
        <f t="shared" si="11"/>
        <v>1.6434080567366238E-2</v>
      </c>
    </row>
    <row r="270" spans="1:7" x14ac:dyDescent="0.2">
      <c r="A270" s="12">
        <v>37284</v>
      </c>
      <c r="B270" s="9">
        <v>794.82</v>
      </c>
      <c r="C270" s="9">
        <v>784.24</v>
      </c>
      <c r="D270" s="9">
        <v>784.71</v>
      </c>
      <c r="E270" s="9">
        <f t="shared" si="12"/>
        <v>-6.1489401367090541E-3</v>
      </c>
      <c r="F270" s="45">
        <f t="shared" si="10"/>
        <v>-8.9849160842928988E-2</v>
      </c>
      <c r="G270" s="9">
        <f t="shared" si="11"/>
        <v>1.6291874770608582E-2</v>
      </c>
    </row>
    <row r="271" spans="1:7" x14ac:dyDescent="0.2">
      <c r="A271" s="12">
        <v>37285</v>
      </c>
      <c r="B271" s="9">
        <v>786.97</v>
      </c>
      <c r="C271" s="9">
        <v>767.17</v>
      </c>
      <c r="D271" s="9">
        <v>768.18</v>
      </c>
      <c r="E271" s="9">
        <f t="shared" si="12"/>
        <v>-2.1290142089800485E-2</v>
      </c>
      <c r="F271" s="45">
        <f t="shared" si="10"/>
        <v>-0.11546318162689172</v>
      </c>
      <c r="G271" s="9">
        <f t="shared" si="11"/>
        <v>1.6563991612151965E-2</v>
      </c>
    </row>
    <row r="272" spans="1:7" x14ac:dyDescent="0.2">
      <c r="A272" s="12">
        <v>37286</v>
      </c>
      <c r="B272" s="9">
        <v>766.11</v>
      </c>
      <c r="C272" s="9">
        <v>753.84</v>
      </c>
      <c r="D272" s="9">
        <v>754.97</v>
      </c>
      <c r="E272" s="9">
        <f t="shared" si="12"/>
        <v>-1.7346067325915523E-2</v>
      </c>
      <c r="F272" s="45">
        <f t="shared" si="10"/>
        <v>-0.11749895164509072</v>
      </c>
      <c r="G272" s="9">
        <f t="shared" si="11"/>
        <v>1.661665242457747E-2</v>
      </c>
    </row>
    <row r="273" spans="1:7" x14ac:dyDescent="0.2">
      <c r="A273" s="12">
        <v>37287</v>
      </c>
      <c r="B273" s="9">
        <v>782.02</v>
      </c>
      <c r="C273" s="9">
        <v>758.77</v>
      </c>
      <c r="D273" s="9">
        <v>782.02</v>
      </c>
      <c r="E273" s="9">
        <f t="shared" si="12"/>
        <v>3.5202302305608169E-2</v>
      </c>
      <c r="F273" s="45">
        <f t="shared" si="10"/>
        <v>-6.1519339209352437E-2</v>
      </c>
      <c r="G273" s="9">
        <f t="shared" si="11"/>
        <v>1.7761671525080128E-2</v>
      </c>
    </row>
    <row r="274" spans="1:7" x14ac:dyDescent="0.2">
      <c r="A274" s="12">
        <v>37288</v>
      </c>
      <c r="B274" s="9">
        <v>795.69</v>
      </c>
      <c r="C274" s="9">
        <v>780.67</v>
      </c>
      <c r="D274" s="9">
        <v>784.49</v>
      </c>
      <c r="E274" s="9">
        <f t="shared" si="12"/>
        <v>3.1535094534146648E-3</v>
      </c>
      <c r="F274" s="45">
        <f t="shared" si="10"/>
        <v>-4.4111965985430143E-2</v>
      </c>
      <c r="G274" s="9">
        <f t="shared" si="11"/>
        <v>1.7633135337923427E-2</v>
      </c>
    </row>
    <row r="275" spans="1:7" x14ac:dyDescent="0.2">
      <c r="A275" s="12">
        <v>37291</v>
      </c>
      <c r="B275" s="9">
        <v>787.95</v>
      </c>
      <c r="C275" s="9">
        <v>775.88</v>
      </c>
      <c r="D275" s="9">
        <v>785.11</v>
      </c>
      <c r="E275" s="9">
        <f t="shared" si="12"/>
        <v>7.9001023476816948E-4</v>
      </c>
      <c r="F275" s="45">
        <f t="shared" si="10"/>
        <v>-5.8777540530067715E-2</v>
      </c>
      <c r="G275" s="9">
        <f t="shared" si="11"/>
        <v>1.734870323872563E-2</v>
      </c>
    </row>
    <row r="276" spans="1:7" x14ac:dyDescent="0.2">
      <c r="A276" s="12">
        <v>37292</v>
      </c>
      <c r="B276" s="9">
        <v>786.29</v>
      </c>
      <c r="C276" s="9">
        <v>774.59</v>
      </c>
      <c r="D276" s="9">
        <v>777.43</v>
      </c>
      <c r="E276" s="9">
        <f t="shared" si="12"/>
        <v>-9.8302275081074454E-3</v>
      </c>
      <c r="F276" s="45">
        <f t="shared" si="10"/>
        <v>-7.2694812062767344E-2</v>
      </c>
      <c r="G276" s="9">
        <f t="shared" si="11"/>
        <v>1.7367514113069117E-2</v>
      </c>
    </row>
    <row r="277" spans="1:7" x14ac:dyDescent="0.2">
      <c r="A277" s="12">
        <v>37293</v>
      </c>
      <c r="B277" s="9">
        <v>781.8</v>
      </c>
      <c r="C277" s="9">
        <v>768.28</v>
      </c>
      <c r="D277" s="9">
        <v>769.89</v>
      </c>
      <c r="E277" s="9">
        <f t="shared" si="12"/>
        <v>-9.7459603460917504E-3</v>
      </c>
      <c r="F277" s="45">
        <f t="shared" si="10"/>
        <v>-6.3873432306645508E-2</v>
      </c>
      <c r="G277" s="9">
        <f t="shared" si="11"/>
        <v>1.7158169680773223E-2</v>
      </c>
    </row>
    <row r="278" spans="1:7" x14ac:dyDescent="0.2">
      <c r="A278" s="12">
        <v>37294</v>
      </c>
      <c r="B278" s="9">
        <v>775.51</v>
      </c>
      <c r="C278" s="9">
        <v>761.44</v>
      </c>
      <c r="D278" s="9">
        <v>774.53</v>
      </c>
      <c r="E278" s="9">
        <f t="shared" si="12"/>
        <v>6.0087462744639834E-3</v>
      </c>
      <c r="F278" s="45">
        <f t="shared" si="10"/>
        <v>-4.1822874955247363E-2</v>
      </c>
      <c r="G278" s="9">
        <f t="shared" si="11"/>
        <v>1.7013316179918525E-2</v>
      </c>
    </row>
    <row r="279" spans="1:7" x14ac:dyDescent="0.2">
      <c r="A279" s="12">
        <v>37295</v>
      </c>
      <c r="B279" s="9">
        <v>773.27</v>
      </c>
      <c r="C279" s="9">
        <v>767.68</v>
      </c>
      <c r="D279" s="9">
        <v>771.5</v>
      </c>
      <c r="E279" s="9">
        <f t="shared" si="12"/>
        <v>-3.9197219710672779E-3</v>
      </c>
      <c r="F279" s="45">
        <f t="shared" si="10"/>
        <v>-6.6525366531999405E-2</v>
      </c>
      <c r="G279" s="9">
        <f t="shared" si="11"/>
        <v>1.6492798727514479E-2</v>
      </c>
    </row>
    <row r="280" spans="1:7" x14ac:dyDescent="0.2">
      <c r="A280" s="12">
        <v>37298</v>
      </c>
      <c r="B280" s="9">
        <v>784.76</v>
      </c>
      <c r="C280" s="9">
        <v>775.34</v>
      </c>
      <c r="D280" s="9">
        <v>783.7</v>
      </c>
      <c r="E280" s="9">
        <f t="shared" si="12"/>
        <v>1.5689622255603546E-2</v>
      </c>
      <c r="F280" s="45">
        <f t="shared" si="10"/>
        <v>-6.8458510716056589E-2</v>
      </c>
      <c r="G280" s="9">
        <f t="shared" si="11"/>
        <v>1.6416207430622335E-2</v>
      </c>
    </row>
    <row r="281" spans="1:7" x14ac:dyDescent="0.2">
      <c r="A281" s="12">
        <v>37299</v>
      </c>
      <c r="B281" s="9">
        <v>796.35</v>
      </c>
      <c r="C281" s="9">
        <v>781.86</v>
      </c>
      <c r="D281" s="9">
        <v>784.66</v>
      </c>
      <c r="E281" s="9">
        <f t="shared" si="12"/>
        <v>1.2242088804801364E-3</v>
      </c>
      <c r="F281" s="45">
        <f t="shared" si="10"/>
        <v>-7.5847885215028318E-2</v>
      </c>
      <c r="G281" s="9">
        <f t="shared" si="11"/>
        <v>1.6302130734187771E-2</v>
      </c>
    </row>
    <row r="282" spans="1:7" x14ac:dyDescent="0.2">
      <c r="A282" s="12">
        <v>37300</v>
      </c>
      <c r="B282" s="9">
        <v>789.6</v>
      </c>
      <c r="C282" s="9">
        <v>779.86</v>
      </c>
      <c r="D282" s="9">
        <v>783.11</v>
      </c>
      <c r="E282" s="9">
        <f t="shared" si="12"/>
        <v>-1.9773315027343313E-3</v>
      </c>
      <c r="F282" s="45">
        <f t="shared" si="10"/>
        <v>-6.1039923082914622E-2</v>
      </c>
      <c r="G282" s="9">
        <f t="shared" si="11"/>
        <v>1.6078209643224706E-2</v>
      </c>
    </row>
    <row r="283" spans="1:7" x14ac:dyDescent="0.2">
      <c r="A283" s="12">
        <v>37301</v>
      </c>
      <c r="B283" s="9">
        <v>789.17</v>
      </c>
      <c r="C283" s="9">
        <v>778.13</v>
      </c>
      <c r="D283" s="9">
        <v>781.75</v>
      </c>
      <c r="E283" s="9">
        <f t="shared" si="12"/>
        <v>-1.7381750986141243E-3</v>
      </c>
      <c r="F283" s="45">
        <f t="shared" si="10"/>
        <v>-0.10350398044259115</v>
      </c>
      <c r="G283" s="9">
        <f t="shared" si="11"/>
        <v>1.3906427410144343E-2</v>
      </c>
    </row>
    <row r="284" spans="1:7" x14ac:dyDescent="0.2">
      <c r="A284" s="12">
        <v>37302</v>
      </c>
      <c r="B284" s="9">
        <v>781.49</v>
      </c>
      <c r="C284" s="9">
        <v>768.4</v>
      </c>
      <c r="D284" s="9">
        <v>770.21</v>
      </c>
      <c r="E284" s="9">
        <f t="shared" si="12"/>
        <v>-1.4871791400815952E-2</v>
      </c>
      <c r="F284" s="45">
        <f t="shared" si="10"/>
        <v>-0.12119762289094323</v>
      </c>
      <c r="G284" s="9">
        <f t="shared" si="11"/>
        <v>1.4006099637564983E-2</v>
      </c>
    </row>
    <row r="285" spans="1:7" x14ac:dyDescent="0.2">
      <c r="A285" s="12">
        <v>37305</v>
      </c>
      <c r="B285" s="9">
        <v>767.85</v>
      </c>
      <c r="C285" s="9">
        <v>759.33</v>
      </c>
      <c r="D285" s="9">
        <v>759.64</v>
      </c>
      <c r="E285" s="9">
        <f t="shared" si="12"/>
        <v>-1.381856809109043E-2</v>
      </c>
      <c r="F285" s="45">
        <f t="shared" si="10"/>
        <v>-0.12937607014886579</v>
      </c>
      <c r="G285" s="9">
        <f t="shared" si="11"/>
        <v>1.4117469883354165E-2</v>
      </c>
    </row>
    <row r="286" spans="1:7" x14ac:dyDescent="0.2">
      <c r="A286" s="12">
        <v>37306</v>
      </c>
      <c r="B286" s="9">
        <v>758.46</v>
      </c>
      <c r="C286" s="9">
        <v>742.94</v>
      </c>
      <c r="D286" s="9">
        <v>747.94</v>
      </c>
      <c r="E286" s="9">
        <f t="shared" si="12"/>
        <v>-1.5521875992617531E-2</v>
      </c>
      <c r="F286" s="45">
        <f t="shared" si="10"/>
        <v>-0.12017786255289373</v>
      </c>
      <c r="G286" s="9">
        <f t="shared" si="11"/>
        <v>1.3754180287015876E-2</v>
      </c>
    </row>
    <row r="287" spans="1:7" x14ac:dyDescent="0.2">
      <c r="A287" s="12">
        <v>37307</v>
      </c>
      <c r="B287" s="9">
        <v>754.08</v>
      </c>
      <c r="C287" s="9">
        <v>741.84</v>
      </c>
      <c r="D287" s="9">
        <v>747.6</v>
      </c>
      <c r="E287" s="9">
        <f t="shared" si="12"/>
        <v>-4.5468527201893079E-4</v>
      </c>
      <c r="F287" s="45">
        <f t="shared" si="10"/>
        <v>-0.11899507059728785</v>
      </c>
      <c r="G287" s="9">
        <f t="shared" si="11"/>
        <v>1.3762896046564364E-2</v>
      </c>
    </row>
    <row r="288" spans="1:7" x14ac:dyDescent="0.2">
      <c r="A288" s="12">
        <v>37308</v>
      </c>
      <c r="B288" s="9">
        <v>763.9</v>
      </c>
      <c r="C288" s="9">
        <v>751.73</v>
      </c>
      <c r="D288" s="9">
        <v>758.51</v>
      </c>
      <c r="E288" s="9">
        <f t="shared" si="12"/>
        <v>1.4487907035894927E-2</v>
      </c>
      <c r="F288" s="45">
        <f t="shared" si="10"/>
        <v>-8.8671150271579041E-2</v>
      </c>
      <c r="G288" s="9">
        <f t="shared" si="11"/>
        <v>1.3973041184002947E-2</v>
      </c>
    </row>
    <row r="289" spans="1:7" x14ac:dyDescent="0.2">
      <c r="A289" s="12">
        <v>37309</v>
      </c>
      <c r="B289" s="9">
        <v>754.97</v>
      </c>
      <c r="C289" s="9">
        <v>746.71</v>
      </c>
      <c r="D289" s="9">
        <v>751.33</v>
      </c>
      <c r="E289" s="9">
        <f t="shared" si="12"/>
        <v>-9.5110132527639769E-3</v>
      </c>
      <c r="F289" s="45">
        <f t="shared" ref="F289:F352" si="13">LN(D289/D259)</f>
        <v>-0.10944755646662337</v>
      </c>
      <c r="G289" s="9">
        <f t="shared" ref="G289:G352" si="14">STDEV(E260:E289)</f>
        <v>1.3757097631515015E-2</v>
      </c>
    </row>
    <row r="290" spans="1:7" x14ac:dyDescent="0.2">
      <c r="A290" s="12">
        <v>37312</v>
      </c>
      <c r="B290" s="9">
        <v>758.7</v>
      </c>
      <c r="C290" s="9">
        <v>748.45</v>
      </c>
      <c r="D290" s="9">
        <v>758.61</v>
      </c>
      <c r="E290" s="9">
        <f t="shared" si="12"/>
        <v>9.6428419810713137E-3</v>
      </c>
      <c r="F290" s="45">
        <f t="shared" si="13"/>
        <v>-6.4793066189094611E-2</v>
      </c>
      <c r="G290" s="9">
        <f t="shared" si="14"/>
        <v>1.261498481340329E-2</v>
      </c>
    </row>
    <row r="291" spans="1:7" x14ac:dyDescent="0.2">
      <c r="A291" s="12">
        <v>37313</v>
      </c>
      <c r="B291" s="9">
        <v>772.37</v>
      </c>
      <c r="C291" s="9">
        <v>758.67</v>
      </c>
      <c r="D291" s="9">
        <v>765.46</v>
      </c>
      <c r="E291" s="9">
        <f t="shared" si="12"/>
        <v>8.9891489577390692E-3</v>
      </c>
      <c r="F291" s="45">
        <f t="shared" si="13"/>
        <v>-4.433474736724434E-2</v>
      </c>
      <c r="G291" s="9">
        <f t="shared" si="14"/>
        <v>1.2647310479313299E-2</v>
      </c>
    </row>
    <row r="292" spans="1:7" x14ac:dyDescent="0.2">
      <c r="A292" s="12">
        <v>37314</v>
      </c>
      <c r="B292" s="9">
        <v>785.91</v>
      </c>
      <c r="C292" s="9">
        <v>767.52</v>
      </c>
      <c r="D292" s="9">
        <v>785.91</v>
      </c>
      <c r="E292" s="9">
        <f t="shared" si="12"/>
        <v>2.6365321753000916E-2</v>
      </c>
      <c r="F292" s="45">
        <f t="shared" si="13"/>
        <v>4.963631953153637E-4</v>
      </c>
      <c r="G292" s="9">
        <f t="shared" si="14"/>
        <v>1.3207018803774295E-2</v>
      </c>
    </row>
    <row r="293" spans="1:7" x14ac:dyDescent="0.2">
      <c r="A293" s="12">
        <v>37315</v>
      </c>
      <c r="B293" s="9">
        <v>788.58</v>
      </c>
      <c r="C293" s="9">
        <v>777.18</v>
      </c>
      <c r="D293" s="9">
        <v>783.64</v>
      </c>
      <c r="E293" s="9">
        <f t="shared" si="12"/>
        <v>-2.8925508365186701E-3</v>
      </c>
      <c r="F293" s="45">
        <f t="shared" si="13"/>
        <v>-1.7995945690976664E-2</v>
      </c>
      <c r="G293" s="9">
        <f t="shared" si="14"/>
        <v>1.2882174935659213E-2</v>
      </c>
    </row>
    <row r="294" spans="1:7" x14ac:dyDescent="0.2">
      <c r="A294" s="12">
        <v>37316</v>
      </c>
      <c r="B294" s="9">
        <v>795.62</v>
      </c>
      <c r="C294" s="9">
        <v>781.5</v>
      </c>
      <c r="D294" s="9">
        <v>792.7</v>
      </c>
      <c r="E294" s="9">
        <f t="shared" si="12"/>
        <v>1.1495108623278785E-2</v>
      </c>
      <c r="F294" s="45">
        <f t="shared" si="13"/>
        <v>5.8046363006289468E-4</v>
      </c>
      <c r="G294" s="9">
        <f t="shared" si="14"/>
        <v>1.3005753511842492E-2</v>
      </c>
    </row>
    <row r="295" spans="1:7" x14ac:dyDescent="0.2">
      <c r="A295" s="12">
        <v>37319</v>
      </c>
      <c r="B295" s="9">
        <v>823.51</v>
      </c>
      <c r="C295" s="9">
        <v>797.12</v>
      </c>
      <c r="D295" s="9">
        <v>823.35</v>
      </c>
      <c r="E295" s="9">
        <f t="shared" si="12"/>
        <v>3.793654382089779E-2</v>
      </c>
      <c r="F295" s="45">
        <f t="shared" si="13"/>
        <v>4.8398548385043351E-2</v>
      </c>
      <c r="G295" s="9">
        <f t="shared" si="14"/>
        <v>1.4584836475503083E-2</v>
      </c>
    </row>
    <row r="296" spans="1:7" x14ac:dyDescent="0.2">
      <c r="A296" s="12">
        <v>37320</v>
      </c>
      <c r="B296" s="9">
        <v>829.84</v>
      </c>
      <c r="C296" s="9">
        <v>814.99</v>
      </c>
      <c r="D296" s="9">
        <v>819.16</v>
      </c>
      <c r="E296" s="9">
        <f t="shared" si="12"/>
        <v>-5.1019586958963156E-3</v>
      </c>
      <c r="F296" s="45">
        <f t="shared" si="13"/>
        <v>3.9339866694480016E-2</v>
      </c>
      <c r="G296" s="9">
        <f t="shared" si="14"/>
        <v>1.4628354218345126E-2</v>
      </c>
    </row>
    <row r="297" spans="1:7" x14ac:dyDescent="0.2">
      <c r="A297" s="12">
        <v>37321</v>
      </c>
      <c r="B297" s="9">
        <v>818.61</v>
      </c>
      <c r="C297" s="9">
        <v>807.72</v>
      </c>
      <c r="D297" s="9">
        <v>814.42</v>
      </c>
      <c r="E297" s="9">
        <f t="shared" si="12"/>
        <v>-5.8032215166170719E-3</v>
      </c>
      <c r="F297" s="45">
        <f t="shared" si="13"/>
        <v>3.0557188530897797E-2</v>
      </c>
      <c r="G297" s="9">
        <f t="shared" si="14"/>
        <v>1.4681605501636212E-2</v>
      </c>
    </row>
    <row r="298" spans="1:7" x14ac:dyDescent="0.2">
      <c r="A298" s="12">
        <v>37322</v>
      </c>
      <c r="B298" s="9">
        <v>834.39</v>
      </c>
      <c r="C298" s="9">
        <v>818.55</v>
      </c>
      <c r="D298" s="9">
        <v>827.54</v>
      </c>
      <c r="E298" s="9">
        <f t="shared" si="12"/>
        <v>1.5981241000042223E-2</v>
      </c>
      <c r="F298" s="45">
        <f t="shared" si="13"/>
        <v>3.4921295010542579E-2</v>
      </c>
      <c r="G298" s="9">
        <f t="shared" si="14"/>
        <v>1.4811288499395728E-2</v>
      </c>
    </row>
    <row r="299" spans="1:7" x14ac:dyDescent="0.2">
      <c r="A299" s="12">
        <v>37323</v>
      </c>
      <c r="B299" s="9">
        <v>833.47</v>
      </c>
      <c r="C299" s="9">
        <v>818.39</v>
      </c>
      <c r="D299" s="9">
        <v>833.47</v>
      </c>
      <c r="E299" s="9">
        <f t="shared" si="12"/>
        <v>7.1402642901158466E-3</v>
      </c>
      <c r="F299" s="45">
        <f t="shared" si="13"/>
        <v>5.4134545829000395E-2</v>
      </c>
      <c r="G299" s="9">
        <f t="shared" si="14"/>
        <v>1.46335055316658E-2</v>
      </c>
    </row>
    <row r="300" spans="1:7" x14ac:dyDescent="0.2">
      <c r="A300" s="12">
        <v>37326</v>
      </c>
      <c r="B300" s="9">
        <v>835.17</v>
      </c>
      <c r="C300" s="9">
        <v>822.64</v>
      </c>
      <c r="D300" s="9">
        <v>822.66</v>
      </c>
      <c r="E300" s="9">
        <f t="shared" si="12"/>
        <v>-1.3054716145033979E-2</v>
      </c>
      <c r="F300" s="45">
        <f t="shared" si="13"/>
        <v>4.7228769820675517E-2</v>
      </c>
      <c r="G300" s="9">
        <f t="shared" si="14"/>
        <v>1.4816107576088618E-2</v>
      </c>
    </row>
    <row r="301" spans="1:7" x14ac:dyDescent="0.2">
      <c r="A301" s="12">
        <v>37327</v>
      </c>
      <c r="B301" s="9">
        <v>822.05</v>
      </c>
      <c r="C301" s="9">
        <v>805.17</v>
      </c>
      <c r="D301" s="9">
        <v>811.25</v>
      </c>
      <c r="E301" s="9">
        <f t="shared" si="12"/>
        <v>-1.3966724578318842E-2</v>
      </c>
      <c r="F301" s="45">
        <f t="shared" si="13"/>
        <v>5.455218733215722E-2</v>
      </c>
      <c r="G301" s="9">
        <f t="shared" si="14"/>
        <v>1.448298331406824E-2</v>
      </c>
    </row>
    <row r="302" spans="1:7" x14ac:dyDescent="0.2">
      <c r="A302" s="12">
        <v>37328</v>
      </c>
      <c r="B302" s="9">
        <v>823.54</v>
      </c>
      <c r="C302" s="9">
        <v>808.74</v>
      </c>
      <c r="D302" s="9">
        <v>812.1</v>
      </c>
      <c r="E302" s="9">
        <f t="shared" si="12"/>
        <v>1.0472172700655444E-3</v>
      </c>
      <c r="F302" s="45">
        <f t="shared" si="13"/>
        <v>7.2945471928138245E-2</v>
      </c>
      <c r="G302" s="9">
        <f t="shared" si="14"/>
        <v>1.4025823416143231E-2</v>
      </c>
    </row>
    <row r="303" spans="1:7" x14ac:dyDescent="0.2">
      <c r="A303" s="12">
        <v>37329</v>
      </c>
      <c r="B303" s="9">
        <v>812.85</v>
      </c>
      <c r="C303" s="9">
        <v>800.63</v>
      </c>
      <c r="D303" s="9">
        <v>803.09</v>
      </c>
      <c r="E303" s="9">
        <f t="shared" si="12"/>
        <v>-1.1156697920943086E-2</v>
      </c>
      <c r="F303" s="45">
        <f t="shared" si="13"/>
        <v>2.6586471701586834E-2</v>
      </c>
      <c r="G303" s="9">
        <f t="shared" si="14"/>
        <v>1.2790169294194504E-2</v>
      </c>
    </row>
    <row r="304" spans="1:7" x14ac:dyDescent="0.2">
      <c r="A304" s="12">
        <v>37330</v>
      </c>
      <c r="B304" s="9">
        <v>805.21</v>
      </c>
      <c r="C304" s="9">
        <v>796.32</v>
      </c>
      <c r="D304" s="9">
        <v>802.78</v>
      </c>
      <c r="E304" s="9">
        <f t="shared" si="12"/>
        <v>-3.8608356075002157E-4</v>
      </c>
      <c r="F304" s="45">
        <f t="shared" si="13"/>
        <v>2.3046878687422254E-2</v>
      </c>
      <c r="G304" s="9">
        <f t="shared" si="14"/>
        <v>1.2784857674964479E-2</v>
      </c>
    </row>
    <row r="305" spans="1:7" x14ac:dyDescent="0.2">
      <c r="A305" s="12">
        <v>37333</v>
      </c>
      <c r="B305" s="9">
        <v>811</v>
      </c>
      <c r="C305" s="9">
        <v>803.39</v>
      </c>
      <c r="D305" s="9">
        <v>804.98</v>
      </c>
      <c r="E305" s="9">
        <f t="shared" si="12"/>
        <v>2.7367285827591208E-3</v>
      </c>
      <c r="F305" s="45">
        <f t="shared" si="13"/>
        <v>2.4993597035413283E-2</v>
      </c>
      <c r="G305" s="9">
        <f t="shared" si="14"/>
        <v>1.2789911404909112E-2</v>
      </c>
    </row>
    <row r="306" spans="1:7" x14ac:dyDescent="0.2">
      <c r="A306" s="12">
        <v>37334</v>
      </c>
      <c r="B306" s="9">
        <v>810.21</v>
      </c>
      <c r="C306" s="9">
        <v>796.32</v>
      </c>
      <c r="D306" s="9">
        <v>797.12</v>
      </c>
      <c r="E306" s="9">
        <f t="shared" si="12"/>
        <v>-9.812200315615742E-3</v>
      </c>
      <c r="F306" s="45">
        <f t="shared" si="13"/>
        <v>2.501162422790499E-2</v>
      </c>
      <c r="G306" s="9">
        <f t="shared" si="14"/>
        <v>1.2789393547849703E-2</v>
      </c>
    </row>
    <row r="307" spans="1:7" x14ac:dyDescent="0.2">
      <c r="A307" s="12">
        <v>37335</v>
      </c>
      <c r="B307" s="9">
        <v>796.51</v>
      </c>
      <c r="C307" s="9">
        <v>784.32</v>
      </c>
      <c r="D307" s="9">
        <v>789.26</v>
      </c>
      <c r="E307" s="9">
        <f t="shared" si="12"/>
        <v>-9.909434459408957E-3</v>
      </c>
      <c r="F307" s="45">
        <f t="shared" si="13"/>
        <v>2.4848150114587811E-2</v>
      </c>
      <c r="G307" s="9">
        <f t="shared" si="14"/>
        <v>1.2794090598877162E-2</v>
      </c>
    </row>
    <row r="308" spans="1:7" x14ac:dyDescent="0.2">
      <c r="A308" s="12">
        <v>37336</v>
      </c>
      <c r="B308" s="9">
        <v>796.44</v>
      </c>
      <c r="C308" s="9">
        <v>784.75</v>
      </c>
      <c r="D308" s="9">
        <v>789.9</v>
      </c>
      <c r="E308" s="9">
        <f t="shared" si="12"/>
        <v>8.105575559667434E-4</v>
      </c>
      <c r="F308" s="45">
        <f t="shared" si="13"/>
        <v>1.9649961396090578E-2</v>
      </c>
      <c r="G308" s="9">
        <f t="shared" si="14"/>
        <v>1.2756656361790724E-2</v>
      </c>
    </row>
    <row r="309" spans="1:7" x14ac:dyDescent="0.2">
      <c r="A309" s="12">
        <v>37337</v>
      </c>
      <c r="B309" s="9">
        <v>812.08</v>
      </c>
      <c r="C309" s="9">
        <v>793.39</v>
      </c>
      <c r="D309" s="9">
        <v>810.58</v>
      </c>
      <c r="E309" s="9">
        <f t="shared" si="12"/>
        <v>2.5843685637781364E-2</v>
      </c>
      <c r="F309" s="45">
        <f t="shared" si="13"/>
        <v>4.9413369004939228E-2</v>
      </c>
      <c r="G309" s="9">
        <f t="shared" si="14"/>
        <v>1.3522968153853543E-2</v>
      </c>
    </row>
    <row r="310" spans="1:7" x14ac:dyDescent="0.2">
      <c r="A310" s="12">
        <v>37340</v>
      </c>
      <c r="B310" s="9">
        <v>819</v>
      </c>
      <c r="C310" s="9">
        <v>800.31</v>
      </c>
      <c r="D310" s="9">
        <v>800.31</v>
      </c>
      <c r="E310" s="9">
        <f t="shared" si="12"/>
        <v>-1.2750888198963039E-2</v>
      </c>
      <c r="F310" s="45">
        <f t="shared" si="13"/>
        <v>2.0972858550372835E-2</v>
      </c>
      <c r="G310" s="9">
        <f t="shared" si="14"/>
        <v>1.3501465575246868E-2</v>
      </c>
    </row>
    <row r="311" spans="1:7" x14ac:dyDescent="0.2">
      <c r="A311" s="12">
        <v>37341</v>
      </c>
      <c r="B311" s="9">
        <v>802.99</v>
      </c>
      <c r="C311" s="9">
        <v>788.79</v>
      </c>
      <c r="D311" s="9">
        <v>790.86</v>
      </c>
      <c r="E311" s="9">
        <f t="shared" si="12"/>
        <v>-1.1878191656762419E-2</v>
      </c>
      <c r="F311" s="45">
        <f t="shared" si="13"/>
        <v>7.8704580131301743E-3</v>
      </c>
      <c r="G311" s="9">
        <f t="shared" si="14"/>
        <v>1.3694433276587993E-2</v>
      </c>
    </row>
    <row r="312" spans="1:7" x14ac:dyDescent="0.2">
      <c r="A312" s="12">
        <v>37342</v>
      </c>
      <c r="B312" s="9">
        <v>795.6</v>
      </c>
      <c r="C312" s="9">
        <v>785.01</v>
      </c>
      <c r="D312" s="9">
        <v>792.53</v>
      </c>
      <c r="E312" s="9">
        <f t="shared" si="12"/>
        <v>2.1093989721178525E-3</v>
      </c>
      <c r="F312" s="45">
        <f t="shared" si="13"/>
        <v>1.195718848798249E-2</v>
      </c>
      <c r="G312" s="9">
        <f t="shared" si="14"/>
        <v>1.3691711935671079E-2</v>
      </c>
    </row>
    <row r="313" spans="1:7" x14ac:dyDescent="0.2">
      <c r="A313" s="12">
        <v>37343</v>
      </c>
      <c r="B313" s="9">
        <v>801.14</v>
      </c>
      <c r="C313" s="9">
        <v>792.38</v>
      </c>
      <c r="D313" s="9">
        <v>798.61</v>
      </c>
      <c r="E313" s="9">
        <f t="shared" si="12"/>
        <v>7.6423565395235841E-3</v>
      </c>
      <c r="F313" s="45">
        <f t="shared" si="13"/>
        <v>2.1337720126120077E-2</v>
      </c>
      <c r="G313" s="9">
        <f t="shared" si="14"/>
        <v>1.3748228549005297E-2</v>
      </c>
    </row>
    <row r="314" spans="1:7" x14ac:dyDescent="0.2">
      <c r="A314" s="12">
        <v>37348</v>
      </c>
      <c r="B314" s="9">
        <v>799.68</v>
      </c>
      <c r="C314" s="9">
        <v>790.43</v>
      </c>
      <c r="D314" s="9">
        <v>790.61</v>
      </c>
      <c r="E314" s="9">
        <f t="shared" si="12"/>
        <v>-1.0067917060178561E-2</v>
      </c>
      <c r="F314" s="45">
        <f t="shared" si="13"/>
        <v>2.6141594466757592E-2</v>
      </c>
      <c r="G314" s="9">
        <f t="shared" si="14"/>
        <v>1.3587506699880937E-2</v>
      </c>
    </row>
    <row r="315" spans="1:7" x14ac:dyDescent="0.2">
      <c r="A315" s="12">
        <v>37349</v>
      </c>
      <c r="B315" s="9">
        <v>792.74</v>
      </c>
      <c r="C315" s="9">
        <v>783.3</v>
      </c>
      <c r="D315" s="9">
        <v>784.38</v>
      </c>
      <c r="E315" s="9">
        <f t="shared" si="12"/>
        <v>-7.9112026020686666E-3</v>
      </c>
      <c r="F315" s="45">
        <f t="shared" si="13"/>
        <v>3.2048959955779451E-2</v>
      </c>
      <c r="G315" s="9">
        <f t="shared" si="14"/>
        <v>1.340890811040263E-2</v>
      </c>
    </row>
    <row r="316" spans="1:7" x14ac:dyDescent="0.2">
      <c r="A316" s="12">
        <v>37350</v>
      </c>
      <c r="B316" s="9">
        <v>784.72</v>
      </c>
      <c r="C316" s="9">
        <v>771.95</v>
      </c>
      <c r="D316" s="9">
        <v>779.15</v>
      </c>
      <c r="E316" s="9">
        <f t="shared" si="12"/>
        <v>-6.6900149102002366E-3</v>
      </c>
      <c r="F316" s="45">
        <f t="shared" si="13"/>
        <v>4.0880821038196721E-2</v>
      </c>
      <c r="G316" s="9">
        <f t="shared" si="14"/>
        <v>1.3126077177518422E-2</v>
      </c>
    </row>
    <row r="317" spans="1:7" x14ac:dyDescent="0.2">
      <c r="A317" s="12">
        <v>37351</v>
      </c>
      <c r="B317" s="9">
        <v>785.56</v>
      </c>
      <c r="C317" s="9">
        <v>777.65</v>
      </c>
      <c r="D317" s="9">
        <v>783.84</v>
      </c>
      <c r="E317" s="9">
        <f t="shared" si="12"/>
        <v>6.0013359986411776E-3</v>
      </c>
      <c r="F317" s="45">
        <f t="shared" si="13"/>
        <v>4.7336842308856875E-2</v>
      </c>
      <c r="G317" s="9">
        <f t="shared" si="14"/>
        <v>1.3148158323121722E-2</v>
      </c>
    </row>
    <row r="318" spans="1:7" x14ac:dyDescent="0.2">
      <c r="A318" s="12">
        <v>37354</v>
      </c>
      <c r="B318" s="9">
        <v>784.61</v>
      </c>
      <c r="C318" s="9">
        <v>769</v>
      </c>
      <c r="D318" s="9">
        <v>773.85</v>
      </c>
      <c r="E318" s="9">
        <f t="shared" si="12"/>
        <v>-1.2826861531496094E-2</v>
      </c>
      <c r="F318" s="45">
        <f t="shared" si="13"/>
        <v>2.0022073741465779E-2</v>
      </c>
      <c r="G318" s="9">
        <f t="shared" si="14"/>
        <v>1.3169068580818391E-2</v>
      </c>
    </row>
    <row r="319" spans="1:7" x14ac:dyDescent="0.2">
      <c r="A319" s="12">
        <v>37355</v>
      </c>
      <c r="B319" s="9">
        <v>781.16</v>
      </c>
      <c r="C319" s="9">
        <v>770.18</v>
      </c>
      <c r="D319" s="9">
        <v>772.28</v>
      </c>
      <c r="E319" s="9">
        <f t="shared" si="12"/>
        <v>-2.0308777911526555E-3</v>
      </c>
      <c r="F319" s="45">
        <f t="shared" si="13"/>
        <v>2.7502209203077173E-2</v>
      </c>
      <c r="G319" s="9">
        <f t="shared" si="14"/>
        <v>1.3039888592103449E-2</v>
      </c>
    </row>
    <row r="320" spans="1:7" x14ac:dyDescent="0.2">
      <c r="A320" s="12">
        <v>37356</v>
      </c>
      <c r="B320" s="9">
        <v>780.73</v>
      </c>
      <c r="C320" s="9">
        <v>766.3</v>
      </c>
      <c r="D320" s="9">
        <v>776.63</v>
      </c>
      <c r="E320" s="9">
        <f t="shared" si="12"/>
        <v>5.6168679091502128E-3</v>
      </c>
      <c r="F320" s="45">
        <f t="shared" si="13"/>
        <v>2.3476235131155883E-2</v>
      </c>
      <c r="G320" s="9">
        <f t="shared" si="14"/>
        <v>1.2967503424870876E-2</v>
      </c>
    </row>
    <row r="321" spans="1:7" x14ac:dyDescent="0.2">
      <c r="A321" s="12">
        <v>37357</v>
      </c>
      <c r="B321" s="9">
        <v>779.17</v>
      </c>
      <c r="C321" s="9">
        <v>763.56</v>
      </c>
      <c r="D321" s="9">
        <v>763.99</v>
      </c>
      <c r="E321" s="9">
        <f t="shared" si="12"/>
        <v>-1.6409346401142891E-2</v>
      </c>
      <c r="F321" s="45">
        <f t="shared" si="13"/>
        <v>-1.9222602277261058E-3</v>
      </c>
      <c r="G321" s="9">
        <f t="shared" si="14"/>
        <v>1.3239489010515231E-2</v>
      </c>
    </row>
    <row r="322" spans="1:7" x14ac:dyDescent="0.2">
      <c r="A322" s="12">
        <v>37358</v>
      </c>
      <c r="B322" s="9">
        <v>770.03</v>
      </c>
      <c r="C322" s="9">
        <v>760.67</v>
      </c>
      <c r="D322" s="9">
        <v>767.71</v>
      </c>
      <c r="E322" s="9">
        <f t="shared" si="12"/>
        <v>4.8573575949770256E-3</v>
      </c>
      <c r="F322" s="45">
        <f t="shared" si="13"/>
        <v>-2.3430224385749914E-2</v>
      </c>
      <c r="G322" s="9">
        <f t="shared" si="14"/>
        <v>1.2308569665607791E-2</v>
      </c>
    </row>
    <row r="323" spans="1:7" x14ac:dyDescent="0.2">
      <c r="A323" s="12">
        <v>37361</v>
      </c>
      <c r="B323" s="9">
        <v>779.06</v>
      </c>
      <c r="C323" s="9">
        <v>769.48</v>
      </c>
      <c r="D323" s="9">
        <v>773.56</v>
      </c>
      <c r="E323" s="9">
        <f t="shared" ref="E323:E385" si="15">LN(D323/D322)</f>
        <v>7.5911788234973247E-3</v>
      </c>
      <c r="F323" s="45">
        <f t="shared" si="13"/>
        <v>-1.2946494725733729E-2</v>
      </c>
      <c r="G323" s="9">
        <f t="shared" si="14"/>
        <v>1.2395072710888811E-2</v>
      </c>
    </row>
    <row r="324" spans="1:7" x14ac:dyDescent="0.2">
      <c r="A324" s="12">
        <v>37362</v>
      </c>
      <c r="B324" s="9">
        <v>794.66</v>
      </c>
      <c r="C324" s="9">
        <v>776.51</v>
      </c>
      <c r="D324" s="9">
        <v>793.64</v>
      </c>
      <c r="E324" s="9">
        <f t="shared" si="15"/>
        <v>2.562672143217189E-2</v>
      </c>
      <c r="F324" s="45">
        <f t="shared" si="13"/>
        <v>1.1851180831592757E-3</v>
      </c>
      <c r="G324" s="9">
        <f t="shared" si="14"/>
        <v>1.3111759091238125E-2</v>
      </c>
    </row>
    <row r="325" spans="1:7" x14ac:dyDescent="0.2">
      <c r="A325" s="12">
        <v>37363</v>
      </c>
      <c r="B325" s="9">
        <v>803.52</v>
      </c>
      <c r="C325" s="9">
        <v>796.3</v>
      </c>
      <c r="D325" s="9">
        <v>796.76</v>
      </c>
      <c r="E325" s="9">
        <f t="shared" si="15"/>
        <v>3.9235462808035037E-3</v>
      </c>
      <c r="F325" s="45">
        <f t="shared" si="13"/>
        <v>-3.2827879456934772E-2</v>
      </c>
      <c r="G325" s="9">
        <f t="shared" si="14"/>
        <v>1.1026560285844832E-2</v>
      </c>
    </row>
    <row r="326" spans="1:7" x14ac:dyDescent="0.2">
      <c r="A326" s="12">
        <v>37364</v>
      </c>
      <c r="B326" s="9">
        <v>799.32</v>
      </c>
      <c r="C326" s="9">
        <v>775.89</v>
      </c>
      <c r="D326" s="9">
        <v>779.39</v>
      </c>
      <c r="E326" s="9">
        <f t="shared" si="15"/>
        <v>-2.204194176711978E-2</v>
      </c>
      <c r="F326" s="45">
        <f t="shared" si="13"/>
        <v>-4.9767862528158228E-2</v>
      </c>
      <c r="G326" s="9">
        <f t="shared" si="14"/>
        <v>1.1654722468943488E-2</v>
      </c>
    </row>
    <row r="327" spans="1:7" x14ac:dyDescent="0.2">
      <c r="A327" s="12">
        <v>37365</v>
      </c>
      <c r="B327" s="9">
        <v>778.21</v>
      </c>
      <c r="C327" s="9">
        <v>767.13</v>
      </c>
      <c r="D327" s="9">
        <v>770.3</v>
      </c>
      <c r="E327" s="9">
        <f t="shared" si="15"/>
        <v>-1.1731513081033306E-2</v>
      </c>
      <c r="F327" s="45">
        <f t="shared" si="13"/>
        <v>-5.5696154092574536E-2</v>
      </c>
      <c r="G327" s="9">
        <f t="shared" si="14"/>
        <v>1.1777029693352243E-2</v>
      </c>
    </row>
    <row r="328" spans="1:7" x14ac:dyDescent="0.2">
      <c r="A328" s="12">
        <v>37368</v>
      </c>
      <c r="B328" s="9">
        <v>747.57</v>
      </c>
      <c r="C328" s="9">
        <v>730.81</v>
      </c>
      <c r="D328" s="9">
        <v>735.64</v>
      </c>
      <c r="E328" s="9">
        <f t="shared" si="15"/>
        <v>-4.6039180728139797E-2</v>
      </c>
      <c r="F328" s="45">
        <f t="shared" si="13"/>
        <v>-0.11771657582075637</v>
      </c>
      <c r="G328" s="9">
        <f t="shared" si="14"/>
        <v>1.3806490436497482E-2</v>
      </c>
    </row>
    <row r="329" spans="1:7" x14ac:dyDescent="0.2">
      <c r="A329" s="12">
        <v>37369</v>
      </c>
      <c r="B329" s="9">
        <v>740.1</v>
      </c>
      <c r="C329" s="9">
        <v>718.04</v>
      </c>
      <c r="D329" s="9">
        <v>730.78</v>
      </c>
      <c r="E329" s="9">
        <f t="shared" si="15"/>
        <v>-6.6284117701657748E-3</v>
      </c>
      <c r="F329" s="45">
        <f t="shared" si="13"/>
        <v>-0.13148525188103813</v>
      </c>
      <c r="G329" s="9">
        <f t="shared" si="14"/>
        <v>1.3654020494387456E-2</v>
      </c>
    </row>
    <row r="330" spans="1:7" x14ac:dyDescent="0.2">
      <c r="A330" s="12">
        <v>37370</v>
      </c>
      <c r="B330" s="9">
        <v>728.7</v>
      </c>
      <c r="C330" s="9">
        <v>705.14</v>
      </c>
      <c r="D330" s="9">
        <v>707.78</v>
      </c>
      <c r="E330" s="9">
        <f t="shared" si="15"/>
        <v>-3.1979145918128386E-2</v>
      </c>
      <c r="F330" s="45">
        <f t="shared" si="13"/>
        <v>-0.15040968165413238</v>
      </c>
      <c r="G330" s="9">
        <f t="shared" si="14"/>
        <v>1.4480608664768689E-2</v>
      </c>
    </row>
    <row r="331" spans="1:7" x14ac:dyDescent="0.2">
      <c r="A331" s="12">
        <v>37371</v>
      </c>
      <c r="B331" s="9">
        <v>708.37</v>
      </c>
      <c r="C331" s="9">
        <v>680.86</v>
      </c>
      <c r="D331" s="9">
        <v>702.65</v>
      </c>
      <c r="E331" s="9">
        <f t="shared" si="15"/>
        <v>-7.2744093957321501E-3</v>
      </c>
      <c r="F331" s="45">
        <f t="shared" si="13"/>
        <v>-0.1437173664715457</v>
      </c>
      <c r="G331" s="9">
        <f t="shared" si="14"/>
        <v>1.4389188300774441E-2</v>
      </c>
    </row>
    <row r="332" spans="1:7" x14ac:dyDescent="0.2">
      <c r="A332" s="12">
        <v>37372</v>
      </c>
      <c r="B332" s="9">
        <v>719.02</v>
      </c>
      <c r="C332" s="9">
        <v>694.78</v>
      </c>
      <c r="D332" s="9">
        <v>717.83</v>
      </c>
      <c r="E332" s="9">
        <f t="shared" si="15"/>
        <v>2.1373870665083929E-2</v>
      </c>
      <c r="F332" s="45">
        <f t="shared" si="13"/>
        <v>-0.12339071307652738</v>
      </c>
      <c r="G332" s="9">
        <f t="shared" si="14"/>
        <v>1.5132904986932511E-2</v>
      </c>
    </row>
    <row r="333" spans="1:7" x14ac:dyDescent="0.2">
      <c r="A333" s="12">
        <v>37375</v>
      </c>
      <c r="B333" s="9">
        <v>714.6</v>
      </c>
      <c r="C333" s="9">
        <v>703.61</v>
      </c>
      <c r="D333" s="9">
        <v>710.42</v>
      </c>
      <c r="E333" s="9">
        <f t="shared" si="15"/>
        <v>-1.0376427777016981E-2</v>
      </c>
      <c r="F333" s="45">
        <f t="shared" si="13"/>
        <v>-0.12261044293260123</v>
      </c>
      <c r="G333" s="9">
        <f t="shared" si="14"/>
        <v>1.5121047419843589E-2</v>
      </c>
    </row>
    <row r="334" spans="1:7" x14ac:dyDescent="0.2">
      <c r="A334" s="12">
        <v>37376</v>
      </c>
      <c r="B334" s="9">
        <v>714.4</v>
      </c>
      <c r="C334" s="9">
        <v>707.05</v>
      </c>
      <c r="D334" s="9">
        <v>714.34</v>
      </c>
      <c r="E334" s="9">
        <f t="shared" si="15"/>
        <v>5.5026950382496432E-3</v>
      </c>
      <c r="F334" s="45">
        <f t="shared" si="13"/>
        <v>-0.11672166433360166</v>
      </c>
      <c r="G334" s="9">
        <f t="shared" si="14"/>
        <v>1.5208715622467037E-2</v>
      </c>
    </row>
    <row r="335" spans="1:7" x14ac:dyDescent="0.2">
      <c r="A335" s="12">
        <v>37378</v>
      </c>
      <c r="B335" s="9">
        <v>720.47</v>
      </c>
      <c r="C335" s="9">
        <v>713.09</v>
      </c>
      <c r="D335" s="9">
        <v>714.39</v>
      </c>
      <c r="E335" s="9">
        <f>LN(D335/D334)</f>
        <v>6.9992230890798414E-5</v>
      </c>
      <c r="F335" s="45">
        <f t="shared" si="13"/>
        <v>-0.11938840068546992</v>
      </c>
      <c r="G335" s="9">
        <f t="shared" si="14"/>
        <v>1.517640296470133E-2</v>
      </c>
    </row>
    <row r="336" spans="1:7" x14ac:dyDescent="0.2">
      <c r="A336" s="12">
        <v>37379</v>
      </c>
      <c r="B336" s="9">
        <v>713.8</v>
      </c>
      <c r="C336" s="9">
        <v>694.47</v>
      </c>
      <c r="D336" s="9">
        <v>695.84</v>
      </c>
      <c r="E336" s="9">
        <f>LN(D336/D335)</f>
        <v>-2.6309282854633066E-2</v>
      </c>
      <c r="F336" s="45">
        <f t="shared" si="13"/>
        <v>-0.13588548322448732</v>
      </c>
      <c r="G336" s="9">
        <f t="shared" si="14"/>
        <v>1.5685372363927672E-2</v>
      </c>
    </row>
    <row r="337" spans="1:7" x14ac:dyDescent="0.2">
      <c r="A337" s="12">
        <v>37382</v>
      </c>
      <c r="B337" s="9">
        <v>696.94</v>
      </c>
      <c r="C337" s="9">
        <v>687.23</v>
      </c>
      <c r="D337" s="9">
        <v>690.51</v>
      </c>
      <c r="E337" s="9">
        <f t="shared" si="15"/>
        <v>-7.689293845615959E-3</v>
      </c>
      <c r="F337" s="45">
        <f t="shared" si="13"/>
        <v>-0.13366534261069435</v>
      </c>
      <c r="G337" s="9">
        <f t="shared" si="14"/>
        <v>1.5664337546914323E-2</v>
      </c>
    </row>
    <row r="338" spans="1:7" x14ac:dyDescent="0.2">
      <c r="A338" s="12">
        <v>37383</v>
      </c>
      <c r="B338" s="9">
        <v>700.6</v>
      </c>
      <c r="C338" s="9">
        <v>682.16</v>
      </c>
      <c r="D338" s="9">
        <v>698.24</v>
      </c>
      <c r="E338" s="9">
        <f t="shared" si="15"/>
        <v>1.1132428200938935E-2</v>
      </c>
      <c r="F338" s="45">
        <f t="shared" si="13"/>
        <v>-0.12334347196572204</v>
      </c>
      <c r="G338" s="9">
        <f t="shared" si="14"/>
        <v>1.5895644236144126E-2</v>
      </c>
    </row>
    <row r="339" spans="1:7" x14ac:dyDescent="0.2">
      <c r="A339" s="12">
        <v>37384</v>
      </c>
      <c r="B339" s="9">
        <v>716.94</v>
      </c>
      <c r="C339" s="9">
        <v>701.5</v>
      </c>
      <c r="D339" s="9">
        <v>715.37</v>
      </c>
      <c r="E339" s="9">
        <f t="shared" si="15"/>
        <v>2.4237008158934856E-2</v>
      </c>
      <c r="F339" s="45">
        <f t="shared" si="13"/>
        <v>-0.12495014944456861</v>
      </c>
      <c r="G339" s="9">
        <f t="shared" si="14"/>
        <v>1.579361781795546E-2</v>
      </c>
    </row>
    <row r="340" spans="1:7" x14ac:dyDescent="0.2">
      <c r="A340" s="12">
        <v>37386</v>
      </c>
      <c r="B340" s="9">
        <v>712.71</v>
      </c>
      <c r="C340" s="9">
        <v>698.89</v>
      </c>
      <c r="D340" s="9">
        <v>701.64</v>
      </c>
      <c r="E340" s="9">
        <f t="shared" si="15"/>
        <v>-1.9379439388006833E-2</v>
      </c>
      <c r="F340" s="45">
        <f t="shared" si="13"/>
        <v>-0.13157870063361232</v>
      </c>
      <c r="G340" s="9">
        <f t="shared" si="14"/>
        <v>1.5963330375453284E-2</v>
      </c>
    </row>
    <row r="341" spans="1:7" x14ac:dyDescent="0.2">
      <c r="A341" s="12">
        <v>37389</v>
      </c>
      <c r="B341" s="9">
        <v>706.9</v>
      </c>
      <c r="C341" s="9">
        <v>695.31</v>
      </c>
      <c r="D341" s="9">
        <v>706.45</v>
      </c>
      <c r="E341" s="9">
        <f t="shared" si="15"/>
        <v>6.8319762362374671E-3</v>
      </c>
      <c r="F341" s="45">
        <f t="shared" si="13"/>
        <v>-0.11286853274061244</v>
      </c>
      <c r="G341" s="9">
        <f t="shared" si="14"/>
        <v>1.6025893923213859E-2</v>
      </c>
    </row>
    <row r="342" spans="1:7" x14ac:dyDescent="0.2">
      <c r="A342" s="12">
        <v>37390</v>
      </c>
      <c r="B342" s="9">
        <v>719.5</v>
      </c>
      <c r="C342" s="9">
        <v>705.16</v>
      </c>
      <c r="D342" s="9">
        <v>714.48</v>
      </c>
      <c r="E342" s="9">
        <f t="shared" si="15"/>
        <v>1.1302577163813729E-2</v>
      </c>
      <c r="F342" s="45">
        <f t="shared" si="13"/>
        <v>-0.1036753545489166</v>
      </c>
      <c r="G342" s="9">
        <f t="shared" si="14"/>
        <v>1.6228652017694543E-2</v>
      </c>
    </row>
    <row r="343" spans="1:7" x14ac:dyDescent="0.2">
      <c r="A343" s="12">
        <v>37391</v>
      </c>
      <c r="B343" s="9">
        <v>721.92</v>
      </c>
      <c r="C343" s="9">
        <v>712.05</v>
      </c>
      <c r="D343" s="9">
        <v>718.25</v>
      </c>
      <c r="E343" s="9">
        <f t="shared" si="15"/>
        <v>5.2626924837682497E-3</v>
      </c>
      <c r="F343" s="45">
        <f t="shared" si="13"/>
        <v>-0.10605501860467186</v>
      </c>
      <c r="G343" s="9">
        <f t="shared" si="14"/>
        <v>1.6178273319826832E-2</v>
      </c>
    </row>
    <row r="344" spans="1:7" x14ac:dyDescent="0.2">
      <c r="A344" s="12">
        <v>37392</v>
      </c>
      <c r="B344" s="9">
        <v>724.2</v>
      </c>
      <c r="C344" s="9">
        <v>708.06</v>
      </c>
      <c r="D344" s="9">
        <v>708.59</v>
      </c>
      <c r="E344" s="9">
        <f t="shared" si="15"/>
        <v>-1.3540617861787231E-2</v>
      </c>
      <c r="F344" s="45">
        <f t="shared" si="13"/>
        <v>-0.10952771940628062</v>
      </c>
      <c r="G344" s="9">
        <f t="shared" si="14"/>
        <v>1.6238937384511491E-2</v>
      </c>
    </row>
    <row r="345" spans="1:7" x14ac:dyDescent="0.2">
      <c r="A345" s="12">
        <v>37393</v>
      </c>
      <c r="B345" s="9">
        <v>721.45</v>
      </c>
      <c r="C345" s="9">
        <v>711.55</v>
      </c>
      <c r="D345" s="9">
        <v>713.84</v>
      </c>
      <c r="E345" s="9">
        <f t="shared" si="15"/>
        <v>7.3817675942843214E-3</v>
      </c>
      <c r="F345" s="45">
        <f t="shared" si="13"/>
        <v>-9.4234749209927693E-2</v>
      </c>
      <c r="G345" s="9">
        <f t="shared" si="14"/>
        <v>1.6340307695746972E-2</v>
      </c>
    </row>
    <row r="346" spans="1:7" x14ac:dyDescent="0.2">
      <c r="A346" s="12">
        <v>37397</v>
      </c>
      <c r="B346" s="9">
        <v>715.53</v>
      </c>
      <c r="C346" s="9">
        <v>702.68</v>
      </c>
      <c r="D346" s="9">
        <v>703.41</v>
      </c>
      <c r="E346" s="9">
        <f t="shared" si="15"/>
        <v>-1.4718910991142026E-2</v>
      </c>
      <c r="F346" s="45">
        <f t="shared" si="13"/>
        <v>-0.1022636452908695</v>
      </c>
      <c r="G346" s="9">
        <f t="shared" si="14"/>
        <v>1.6465706487429101E-2</v>
      </c>
    </row>
    <row r="347" spans="1:7" x14ac:dyDescent="0.2">
      <c r="A347" s="12">
        <v>37398</v>
      </c>
      <c r="B347" s="9">
        <v>701.66</v>
      </c>
      <c r="C347" s="9">
        <v>686.76</v>
      </c>
      <c r="D347" s="9">
        <v>688.13</v>
      </c>
      <c r="E347" s="9">
        <f t="shared" si="15"/>
        <v>-2.1962163028500275E-2</v>
      </c>
      <c r="F347" s="45">
        <f t="shared" si="13"/>
        <v>-0.13022714431801091</v>
      </c>
      <c r="G347" s="9">
        <f t="shared" si="14"/>
        <v>1.6704405007099424E-2</v>
      </c>
    </row>
    <row r="348" spans="1:7" x14ac:dyDescent="0.2">
      <c r="A348" s="12">
        <v>37399</v>
      </c>
      <c r="B348" s="9">
        <v>694.55</v>
      </c>
      <c r="C348" s="9">
        <v>679.5</v>
      </c>
      <c r="D348" s="9">
        <v>690.77</v>
      </c>
      <c r="E348" s="9">
        <f t="shared" si="15"/>
        <v>3.8291438475807804E-3</v>
      </c>
      <c r="F348" s="45">
        <f t="shared" si="13"/>
        <v>-0.11357113893893407</v>
      </c>
      <c r="G348" s="9">
        <f t="shared" si="14"/>
        <v>1.6689422697222334E-2</v>
      </c>
    </row>
    <row r="349" spans="1:7" x14ac:dyDescent="0.2">
      <c r="A349" s="12">
        <v>37400</v>
      </c>
      <c r="B349" s="9">
        <v>695.3</v>
      </c>
      <c r="C349" s="9">
        <v>688.72</v>
      </c>
      <c r="D349" s="9">
        <v>691.3</v>
      </c>
      <c r="E349" s="9">
        <f t="shared" si="15"/>
        <v>7.6696553138468689E-4</v>
      </c>
      <c r="F349" s="45">
        <f t="shared" si="13"/>
        <v>-0.11077329561639668</v>
      </c>
      <c r="G349" s="9">
        <f t="shared" si="14"/>
        <v>1.6707374508956079E-2</v>
      </c>
    </row>
    <row r="350" spans="1:7" x14ac:dyDescent="0.2">
      <c r="A350" s="12">
        <v>37403</v>
      </c>
      <c r="B350" s="9">
        <v>694.67</v>
      </c>
      <c r="C350" s="9">
        <v>685.84</v>
      </c>
      <c r="D350" s="9">
        <v>689.24</v>
      </c>
      <c r="E350" s="9">
        <f t="shared" si="15"/>
        <v>-2.9843416763204933E-3</v>
      </c>
      <c r="F350" s="45">
        <f t="shared" si="13"/>
        <v>-0.11937450520186733</v>
      </c>
      <c r="G350" s="9">
        <f t="shared" si="14"/>
        <v>1.6615662152563732E-2</v>
      </c>
    </row>
    <row r="351" spans="1:7" x14ac:dyDescent="0.2">
      <c r="A351" s="12">
        <v>37404</v>
      </c>
      <c r="B351" s="9">
        <v>695.02</v>
      </c>
      <c r="C351" s="9">
        <v>682.56</v>
      </c>
      <c r="D351" s="9">
        <v>683.94</v>
      </c>
      <c r="E351" s="9">
        <f t="shared" si="15"/>
        <v>-7.719346798156509E-3</v>
      </c>
      <c r="F351" s="45">
        <f t="shared" si="13"/>
        <v>-0.11068450559888085</v>
      </c>
      <c r="G351" s="9">
        <f t="shared" si="14"/>
        <v>1.6466568769002397E-2</v>
      </c>
    </row>
    <row r="352" spans="1:7" x14ac:dyDescent="0.2">
      <c r="A352" s="12">
        <v>37405</v>
      </c>
      <c r="B352" s="9">
        <v>682.78</v>
      </c>
      <c r="C352" s="9">
        <v>670.64</v>
      </c>
      <c r="D352" s="9">
        <v>674.07</v>
      </c>
      <c r="E352" s="9">
        <f t="shared" si="15"/>
        <v>-1.4536231390493237E-2</v>
      </c>
      <c r="F352" s="45">
        <f t="shared" si="13"/>
        <v>-0.13007809458435118</v>
      </c>
      <c r="G352" s="9">
        <f t="shared" si="14"/>
        <v>1.6500109850107185E-2</v>
      </c>
    </row>
    <row r="353" spans="1:7" x14ac:dyDescent="0.2">
      <c r="A353" s="12">
        <v>37406</v>
      </c>
      <c r="B353" s="9">
        <v>671.68</v>
      </c>
      <c r="C353" s="9">
        <v>656.15</v>
      </c>
      <c r="D353" s="9">
        <v>659.02</v>
      </c>
      <c r="E353" s="9">
        <f t="shared" si="15"/>
        <v>-2.2580080030606759E-2</v>
      </c>
      <c r="F353" s="45">
        <f t="shared" ref="F353:F416" si="16">LN(D353/D323)</f>
        <v>-0.16024935343845545</v>
      </c>
      <c r="G353" s="9">
        <f t="shared" ref="G353:G416" si="17">STDEV(E324:E353)</f>
        <v>1.666671711836307E-2</v>
      </c>
    </row>
    <row r="354" spans="1:7" x14ac:dyDescent="0.2">
      <c r="A354" s="12">
        <v>37407</v>
      </c>
      <c r="B354" s="9">
        <v>667.76</v>
      </c>
      <c r="C354" s="9">
        <v>659.89</v>
      </c>
      <c r="D354" s="9">
        <v>659.89</v>
      </c>
      <c r="E354" s="9">
        <f t="shared" si="15"/>
        <v>1.319271407729899E-3</v>
      </c>
      <c r="F354" s="45">
        <f t="shared" si="16"/>
        <v>-0.18455680346289727</v>
      </c>
      <c r="G354" s="9">
        <f t="shared" si="17"/>
        <v>1.567035124604067E-2</v>
      </c>
    </row>
    <row r="355" spans="1:7" x14ac:dyDescent="0.2">
      <c r="A355" s="12">
        <v>37410</v>
      </c>
      <c r="B355" s="9">
        <v>667.21</v>
      </c>
      <c r="C355" s="9">
        <v>657.02</v>
      </c>
      <c r="D355" s="9">
        <v>658.61</v>
      </c>
      <c r="E355" s="9">
        <f t="shared" si="15"/>
        <v>-1.9416009133309798E-3</v>
      </c>
      <c r="F355" s="45">
        <f t="shared" si="16"/>
        <v>-0.19042195065703191</v>
      </c>
      <c r="G355" s="9">
        <f t="shared" si="17"/>
        <v>1.5576621241231246E-2</v>
      </c>
    </row>
    <row r="356" spans="1:7" x14ac:dyDescent="0.2">
      <c r="A356" s="12">
        <v>37411</v>
      </c>
      <c r="B356" s="9">
        <v>656.22</v>
      </c>
      <c r="C356" s="9">
        <v>643.58000000000004</v>
      </c>
      <c r="D356" s="9">
        <v>648.54999999999995</v>
      </c>
      <c r="E356" s="9">
        <f t="shared" si="15"/>
        <v>-1.5392451763359256E-2</v>
      </c>
      <c r="F356" s="45">
        <f t="shared" si="16"/>
        <v>-0.18377246065327141</v>
      </c>
      <c r="G356" s="9">
        <f t="shared" si="17"/>
        <v>1.5391806139110826E-2</v>
      </c>
    </row>
    <row r="357" spans="1:7" x14ac:dyDescent="0.2">
      <c r="A357" s="12">
        <v>37412</v>
      </c>
      <c r="B357" s="9">
        <v>656.09</v>
      </c>
      <c r="C357" s="9">
        <v>647.89</v>
      </c>
      <c r="D357" s="9">
        <v>652.75</v>
      </c>
      <c r="E357" s="9">
        <f t="shared" si="15"/>
        <v>6.4551057925562785E-3</v>
      </c>
      <c r="F357" s="45">
        <f t="shared" si="16"/>
        <v>-0.16558584177968186</v>
      </c>
      <c r="G357" s="9">
        <f t="shared" si="17"/>
        <v>1.5521010667420045E-2</v>
      </c>
    </row>
    <row r="358" spans="1:7" x14ac:dyDescent="0.2">
      <c r="A358" s="12">
        <v>37413</v>
      </c>
      <c r="B358" s="9">
        <v>656.14</v>
      </c>
      <c r="C358" s="9">
        <v>643.46</v>
      </c>
      <c r="D358" s="9">
        <v>644.54999999999995</v>
      </c>
      <c r="E358" s="9">
        <f t="shared" si="15"/>
        <v>-1.264180869012445E-2</v>
      </c>
      <c r="F358" s="45">
        <f t="shared" si="16"/>
        <v>-0.13218846974166648</v>
      </c>
      <c r="G358" s="9">
        <f t="shared" si="17"/>
        <v>1.3592412359818397E-2</v>
      </c>
    </row>
    <row r="359" spans="1:7" x14ac:dyDescent="0.2">
      <c r="A359" s="12">
        <v>37414</v>
      </c>
      <c r="B359" s="9">
        <v>640.22</v>
      </c>
      <c r="C359" s="9">
        <v>626.59</v>
      </c>
      <c r="D359" s="9">
        <v>632.89</v>
      </c>
      <c r="E359" s="9">
        <f t="shared" si="15"/>
        <v>-1.8255767517085027E-2</v>
      </c>
      <c r="F359" s="45">
        <f t="shared" si="16"/>
        <v>-0.14381582548858574</v>
      </c>
      <c r="G359" s="9">
        <f t="shared" si="17"/>
        <v>1.3821797386054683E-2</v>
      </c>
    </row>
    <row r="360" spans="1:7" x14ac:dyDescent="0.2">
      <c r="A360" s="12">
        <v>37417</v>
      </c>
      <c r="B360" s="9">
        <v>640.26</v>
      </c>
      <c r="C360" s="9">
        <v>633.96</v>
      </c>
      <c r="D360" s="9">
        <v>638.71</v>
      </c>
      <c r="E360" s="9">
        <f t="shared" si="15"/>
        <v>9.153885875829184E-3</v>
      </c>
      <c r="F360" s="45">
        <f t="shared" si="16"/>
        <v>-0.1026827936946282</v>
      </c>
      <c r="G360" s="9">
        <f t="shared" si="17"/>
        <v>1.3050726994453612E-2</v>
      </c>
    </row>
    <row r="361" spans="1:7" x14ac:dyDescent="0.2">
      <c r="A361" s="12">
        <v>37418</v>
      </c>
      <c r="B361" s="9">
        <v>640.33000000000004</v>
      </c>
      <c r="C361" s="9">
        <v>626.55999999999995</v>
      </c>
      <c r="D361" s="9">
        <v>635.07000000000005</v>
      </c>
      <c r="E361" s="9">
        <f t="shared" si="15"/>
        <v>-5.7152882102594E-3</v>
      </c>
      <c r="F361" s="45">
        <f t="shared" si="16"/>
        <v>-0.10112367250915548</v>
      </c>
      <c r="G361" s="9">
        <f t="shared" si="17"/>
        <v>1.3037958152325337E-2</v>
      </c>
    </row>
    <row r="362" spans="1:7" x14ac:dyDescent="0.2">
      <c r="A362" s="12">
        <v>37419</v>
      </c>
      <c r="B362" s="9">
        <v>631.80999999999995</v>
      </c>
      <c r="C362" s="9">
        <v>618.49</v>
      </c>
      <c r="D362" s="9">
        <v>620.47</v>
      </c>
      <c r="E362" s="9">
        <f t="shared" si="15"/>
        <v>-2.3257973668109787E-2</v>
      </c>
      <c r="F362" s="45">
        <f t="shared" si="16"/>
        <v>-0.14575551684234903</v>
      </c>
      <c r="G362" s="9">
        <f t="shared" si="17"/>
        <v>1.265791847617578E-2</v>
      </c>
    </row>
    <row r="363" spans="1:7" x14ac:dyDescent="0.2">
      <c r="A363" s="12">
        <v>37420</v>
      </c>
      <c r="B363" s="9">
        <v>634.63</v>
      </c>
      <c r="C363" s="9">
        <v>616.29999999999995</v>
      </c>
      <c r="D363" s="9">
        <v>622.4</v>
      </c>
      <c r="E363" s="9">
        <f t="shared" si="15"/>
        <v>3.1057174946930591E-3</v>
      </c>
      <c r="F363" s="45">
        <f t="shared" si="16"/>
        <v>-0.13227337157063904</v>
      </c>
      <c r="G363" s="9">
        <f t="shared" si="17"/>
        <v>1.2694537055918085E-2</v>
      </c>
    </row>
    <row r="364" spans="1:7" x14ac:dyDescent="0.2">
      <c r="A364" s="12">
        <v>37421</v>
      </c>
      <c r="B364" s="9">
        <v>620.57000000000005</v>
      </c>
      <c r="C364" s="9">
        <v>597.92999999999995</v>
      </c>
      <c r="D364" s="9">
        <v>609.73</v>
      </c>
      <c r="E364" s="9">
        <f t="shared" si="15"/>
        <v>-2.0566736634097919E-2</v>
      </c>
      <c r="F364" s="45">
        <f t="shared" si="16"/>
        <v>-0.15834280324298655</v>
      </c>
      <c r="G364" s="9">
        <f t="shared" si="17"/>
        <v>1.28835071172203E-2</v>
      </c>
    </row>
    <row r="365" spans="1:7" x14ac:dyDescent="0.2">
      <c r="A365" s="12">
        <v>37424</v>
      </c>
      <c r="B365" s="9">
        <v>623.76</v>
      </c>
      <c r="C365" s="9">
        <v>611.12</v>
      </c>
      <c r="D365" s="9">
        <v>620.32000000000005</v>
      </c>
      <c r="E365" s="9">
        <f t="shared" si="15"/>
        <v>1.7219237692535288E-2</v>
      </c>
      <c r="F365" s="45">
        <f t="shared" si="16"/>
        <v>-0.14119355778134232</v>
      </c>
      <c r="G365" s="9">
        <f t="shared" si="17"/>
        <v>1.3494932101979362E-2</v>
      </c>
    </row>
    <row r="366" spans="1:7" x14ac:dyDescent="0.2">
      <c r="A366" s="12">
        <v>37425</v>
      </c>
      <c r="B366" s="9">
        <v>626.57000000000005</v>
      </c>
      <c r="C366" s="9">
        <v>616.54999999999995</v>
      </c>
      <c r="D366" s="9">
        <v>623.92999999999995</v>
      </c>
      <c r="E366" s="9">
        <f t="shared" si="15"/>
        <v>5.802708667039698E-3</v>
      </c>
      <c r="F366" s="45">
        <f t="shared" si="16"/>
        <v>-0.1090815662596695</v>
      </c>
      <c r="G366" s="9">
        <f t="shared" si="17"/>
        <v>1.2986292595983561E-2</v>
      </c>
    </row>
    <row r="367" spans="1:7" x14ac:dyDescent="0.2">
      <c r="A367" s="12">
        <v>37426</v>
      </c>
      <c r="B367" s="9">
        <v>621.79999999999995</v>
      </c>
      <c r="C367" s="9">
        <v>608.27</v>
      </c>
      <c r="D367" s="9">
        <v>611.20000000000005</v>
      </c>
      <c r="E367" s="9">
        <f t="shared" si="15"/>
        <v>-2.0613944737348008E-2</v>
      </c>
      <c r="F367" s="45">
        <f t="shared" si="16"/>
        <v>-0.12200621715140149</v>
      </c>
      <c r="G367" s="9">
        <f t="shared" si="17"/>
        <v>1.3335100058055533E-2</v>
      </c>
    </row>
    <row r="368" spans="1:7" x14ac:dyDescent="0.2">
      <c r="A368" s="12">
        <v>37427</v>
      </c>
      <c r="B368" s="9">
        <v>610.46</v>
      </c>
      <c r="C368" s="9">
        <v>583.34</v>
      </c>
      <c r="D368" s="9">
        <v>583.41</v>
      </c>
      <c r="E368" s="9">
        <f t="shared" si="15"/>
        <v>-4.6534039667410286E-2</v>
      </c>
      <c r="F368" s="45">
        <f t="shared" si="16"/>
        <v>-0.17967268501975078</v>
      </c>
      <c r="G368" s="9">
        <f t="shared" si="17"/>
        <v>1.5107107156716457E-2</v>
      </c>
    </row>
    <row r="369" spans="1:7" x14ac:dyDescent="0.2">
      <c r="A369" s="12">
        <v>37431</v>
      </c>
      <c r="B369" s="9">
        <v>587.11</v>
      </c>
      <c r="C369" s="9">
        <v>562.46</v>
      </c>
      <c r="D369" s="9">
        <v>567.02</v>
      </c>
      <c r="E369" s="9">
        <f t="shared" si="15"/>
        <v>-2.8495621710632472E-2</v>
      </c>
      <c r="F369" s="45">
        <f t="shared" si="16"/>
        <v>-0.23240531488931809</v>
      </c>
      <c r="G369" s="9">
        <f t="shared" si="17"/>
        <v>1.4525544581933275E-2</v>
      </c>
    </row>
    <row r="370" spans="1:7" x14ac:dyDescent="0.2">
      <c r="A370" s="12">
        <v>37432</v>
      </c>
      <c r="B370" s="9">
        <v>590.54</v>
      </c>
      <c r="C370" s="9">
        <v>569.86</v>
      </c>
      <c r="D370" s="9">
        <v>590.35</v>
      </c>
      <c r="E370" s="9">
        <f t="shared" si="15"/>
        <v>4.0321004878850743E-2</v>
      </c>
      <c r="F370" s="45">
        <f t="shared" si="16"/>
        <v>-0.17270487062246059</v>
      </c>
      <c r="G370" s="9">
        <f t="shared" si="17"/>
        <v>1.6789927140894494E-2</v>
      </c>
    </row>
    <row r="371" spans="1:7" x14ac:dyDescent="0.2">
      <c r="A371" s="12">
        <v>37433</v>
      </c>
      <c r="B371" s="9">
        <v>589.72</v>
      </c>
      <c r="C371" s="9">
        <v>554.85</v>
      </c>
      <c r="D371" s="9">
        <v>587.91999999999996</v>
      </c>
      <c r="E371" s="9">
        <f t="shared" si="15"/>
        <v>-4.1246971325030104E-3</v>
      </c>
      <c r="F371" s="45">
        <f t="shared" si="16"/>
        <v>-0.18366154399120116</v>
      </c>
      <c r="G371" s="9">
        <f t="shared" si="17"/>
        <v>1.6625004186837412E-2</v>
      </c>
    </row>
    <row r="372" spans="1:7" x14ac:dyDescent="0.2">
      <c r="A372" s="12">
        <v>37434</v>
      </c>
      <c r="B372" s="9">
        <v>604.67999999999995</v>
      </c>
      <c r="C372" s="9">
        <v>590.01</v>
      </c>
      <c r="D372" s="9">
        <v>594.96</v>
      </c>
      <c r="E372" s="9">
        <f t="shared" si="15"/>
        <v>1.1903292174429154E-2</v>
      </c>
      <c r="F372" s="45">
        <f t="shared" si="16"/>
        <v>-0.18306082898058587</v>
      </c>
      <c r="G372" s="9">
        <f t="shared" si="17"/>
        <v>1.6647061938154798E-2</v>
      </c>
    </row>
    <row r="373" spans="1:7" x14ac:dyDescent="0.2">
      <c r="A373" s="12">
        <v>37435</v>
      </c>
      <c r="B373" s="9">
        <v>608.67999999999995</v>
      </c>
      <c r="C373" s="9">
        <v>597.75</v>
      </c>
      <c r="D373" s="9">
        <v>607.9</v>
      </c>
      <c r="E373" s="9">
        <f t="shared" si="15"/>
        <v>2.1516218359631935E-2</v>
      </c>
      <c r="F373" s="45">
        <f t="shared" si="16"/>
        <v>-0.16680730310472217</v>
      </c>
      <c r="G373" s="9">
        <f t="shared" si="17"/>
        <v>1.7282061867060581E-2</v>
      </c>
    </row>
    <row r="374" spans="1:7" x14ac:dyDescent="0.2">
      <c r="A374" s="12">
        <v>37438</v>
      </c>
      <c r="B374" s="9">
        <v>620.16</v>
      </c>
      <c r="C374" s="9">
        <v>602.37</v>
      </c>
      <c r="D374" s="9">
        <v>609.29</v>
      </c>
      <c r="E374" s="9">
        <f t="shared" si="15"/>
        <v>2.2839500887061994E-3</v>
      </c>
      <c r="F374" s="45">
        <f t="shared" si="16"/>
        <v>-0.15098273515422861</v>
      </c>
      <c r="G374" s="9">
        <f t="shared" si="17"/>
        <v>1.727158117608403E-2</v>
      </c>
    </row>
    <row r="375" spans="1:7" x14ac:dyDescent="0.2">
      <c r="A375" s="12">
        <v>37439</v>
      </c>
      <c r="B375" s="9">
        <v>608.45000000000005</v>
      </c>
      <c r="C375" s="9">
        <v>594.54999999999995</v>
      </c>
      <c r="D375" s="9">
        <v>596.33000000000004</v>
      </c>
      <c r="E375" s="9">
        <f t="shared" si="15"/>
        <v>-2.1500139733320583E-2</v>
      </c>
      <c r="F375" s="45">
        <f t="shared" si="16"/>
        <v>-0.17986464248183359</v>
      </c>
      <c r="G375" s="9">
        <f t="shared" si="17"/>
        <v>1.7360445243370441E-2</v>
      </c>
    </row>
    <row r="376" spans="1:7" x14ac:dyDescent="0.2">
      <c r="A376" s="12">
        <v>37440</v>
      </c>
      <c r="B376" s="9">
        <v>599.38</v>
      </c>
      <c r="C376" s="9">
        <v>577.62</v>
      </c>
      <c r="D376" s="9">
        <v>578.26</v>
      </c>
      <c r="E376" s="9">
        <f t="shared" si="15"/>
        <v>-3.0770610589896198E-2</v>
      </c>
      <c r="F376" s="45">
        <f t="shared" si="16"/>
        <v>-0.19591634208058775</v>
      </c>
      <c r="G376" s="9">
        <f t="shared" si="17"/>
        <v>1.78782151501852E-2</v>
      </c>
    </row>
    <row r="377" spans="1:7" x14ac:dyDescent="0.2">
      <c r="A377" s="12">
        <v>37441</v>
      </c>
      <c r="B377" s="9">
        <v>593.28</v>
      </c>
      <c r="C377" s="9">
        <v>581.59</v>
      </c>
      <c r="D377" s="9">
        <v>586.5</v>
      </c>
      <c r="E377" s="9">
        <f t="shared" si="15"/>
        <v>1.4149073573363785E-2</v>
      </c>
      <c r="F377" s="45">
        <f t="shared" si="16"/>
        <v>-0.1598051054787237</v>
      </c>
      <c r="G377" s="9">
        <f t="shared" si="17"/>
        <v>1.8018506886104062E-2</v>
      </c>
    </row>
    <row r="378" spans="1:7" x14ac:dyDescent="0.2">
      <c r="A378" s="12">
        <v>37442</v>
      </c>
      <c r="B378" s="9">
        <v>610.33000000000004</v>
      </c>
      <c r="C378" s="9">
        <v>589.53</v>
      </c>
      <c r="D378" s="9">
        <v>609.52</v>
      </c>
      <c r="E378" s="9">
        <f t="shared" si="15"/>
        <v>3.8499094071224038E-2</v>
      </c>
      <c r="F378" s="45">
        <f t="shared" si="16"/>
        <v>-0.12513515525508045</v>
      </c>
      <c r="G378" s="9">
        <f t="shared" si="17"/>
        <v>1.9662799211373917E-2</v>
      </c>
    </row>
    <row r="379" spans="1:7" x14ac:dyDescent="0.2">
      <c r="A379" s="12">
        <v>37445</v>
      </c>
      <c r="B379" s="9">
        <v>615.17999999999995</v>
      </c>
      <c r="C379" s="9">
        <v>603.21</v>
      </c>
      <c r="D379" s="9">
        <v>610.47</v>
      </c>
      <c r="E379" s="9">
        <f t="shared" si="15"/>
        <v>1.5573901294533177E-3</v>
      </c>
      <c r="F379" s="45">
        <f t="shared" si="16"/>
        <v>-0.12434473065701163</v>
      </c>
      <c r="G379" s="9">
        <f t="shared" si="17"/>
        <v>1.9670172507542542E-2</v>
      </c>
    </row>
    <row r="380" spans="1:7" x14ac:dyDescent="0.2">
      <c r="A380" s="12">
        <v>37446</v>
      </c>
      <c r="B380" s="9">
        <v>615.24</v>
      </c>
      <c r="C380" s="9">
        <v>598.86</v>
      </c>
      <c r="D380" s="9">
        <v>605.17999999999995</v>
      </c>
      <c r="E380" s="9">
        <f t="shared" si="15"/>
        <v>-8.7032178527043785E-3</v>
      </c>
      <c r="F380" s="45">
        <f t="shared" si="16"/>
        <v>-0.13006360683339552</v>
      </c>
      <c r="G380" s="9">
        <f t="shared" si="17"/>
        <v>1.9686243187446901E-2</v>
      </c>
    </row>
    <row r="381" spans="1:7" x14ac:dyDescent="0.2">
      <c r="A381" s="12">
        <v>37447</v>
      </c>
      <c r="B381" s="9">
        <v>603.46</v>
      </c>
      <c r="C381" s="9">
        <v>590.28</v>
      </c>
      <c r="D381" s="9">
        <v>590.28</v>
      </c>
      <c r="E381" s="9">
        <f t="shared" si="15"/>
        <v>-2.4928933846254553E-2</v>
      </c>
      <c r="F381" s="45">
        <f t="shared" si="16"/>
        <v>-0.1472731938814936</v>
      </c>
      <c r="G381" s="9">
        <f t="shared" si="17"/>
        <v>2.0035886185140274E-2</v>
      </c>
    </row>
    <row r="382" spans="1:7" x14ac:dyDescent="0.2">
      <c r="A382" s="12">
        <v>37448</v>
      </c>
      <c r="B382" s="9">
        <v>588.89</v>
      </c>
      <c r="C382" s="9">
        <v>564.25</v>
      </c>
      <c r="D382" s="9">
        <v>564.36</v>
      </c>
      <c r="E382" s="9">
        <f t="shared" si="15"/>
        <v>-4.4904654850291756E-2</v>
      </c>
      <c r="F382" s="45">
        <f t="shared" si="16"/>
        <v>-0.17764161734129202</v>
      </c>
      <c r="G382" s="9">
        <f t="shared" si="17"/>
        <v>2.126830757536784E-2</v>
      </c>
    </row>
    <row r="383" spans="1:7" x14ac:dyDescent="0.2">
      <c r="A383" s="12">
        <v>37449</v>
      </c>
      <c r="B383" s="9">
        <v>578.19000000000005</v>
      </c>
      <c r="C383" s="9">
        <v>559.63</v>
      </c>
      <c r="D383" s="9">
        <v>563.04</v>
      </c>
      <c r="E383" s="9">
        <f t="shared" si="15"/>
        <v>-2.3416721716820327E-3</v>
      </c>
      <c r="F383" s="45">
        <f t="shared" si="16"/>
        <v>-0.15740320948236736</v>
      </c>
      <c r="G383" s="9">
        <f t="shared" si="17"/>
        <v>2.104144966494776E-2</v>
      </c>
    </row>
    <row r="384" spans="1:7" x14ac:dyDescent="0.2">
      <c r="A384" s="12">
        <v>37452</v>
      </c>
      <c r="B384" s="9">
        <v>567.4</v>
      </c>
      <c r="C384" s="9">
        <v>549.07000000000005</v>
      </c>
      <c r="D384" s="9">
        <v>549.87</v>
      </c>
      <c r="E384" s="9">
        <f t="shared" si="15"/>
        <v>-2.3668786921408808E-2</v>
      </c>
      <c r="F384" s="45">
        <f t="shared" si="16"/>
        <v>-0.182391267811506</v>
      </c>
      <c r="G384" s="9">
        <f t="shared" si="17"/>
        <v>2.1265951178344775E-2</v>
      </c>
    </row>
    <row r="385" spans="1:7" x14ac:dyDescent="0.2">
      <c r="A385" s="12">
        <v>37453</v>
      </c>
      <c r="B385" s="9">
        <v>559.80999999999995</v>
      </c>
      <c r="C385" s="9">
        <v>540.04</v>
      </c>
      <c r="D385" s="9">
        <v>551.83000000000004</v>
      </c>
      <c r="E385" s="9">
        <f t="shared" si="15"/>
        <v>3.5581411779246129E-3</v>
      </c>
      <c r="F385" s="45">
        <f t="shared" si="16"/>
        <v>-0.17689152572025035</v>
      </c>
      <c r="G385" s="9">
        <f t="shared" si="17"/>
        <v>2.1326473498040677E-2</v>
      </c>
    </row>
    <row r="386" spans="1:7" x14ac:dyDescent="0.2">
      <c r="A386" s="12">
        <v>37454</v>
      </c>
      <c r="B386" s="9">
        <v>573.16</v>
      </c>
      <c r="C386" s="9">
        <v>549.35</v>
      </c>
      <c r="D386" s="9">
        <v>572.23</v>
      </c>
      <c r="E386" s="9">
        <f t="shared" ref="E386:E449" si="18">LN(D386/D385)</f>
        <v>3.6300980632407838E-2</v>
      </c>
      <c r="F386" s="45">
        <f t="shared" si="16"/>
        <v>-0.12519809332448345</v>
      </c>
      <c r="G386" s="9">
        <f t="shared" si="17"/>
        <v>2.2584022643617301E-2</v>
      </c>
    </row>
    <row r="387" spans="1:7" x14ac:dyDescent="0.2">
      <c r="A387" s="12">
        <v>37455</v>
      </c>
      <c r="B387" s="9">
        <v>584.04999999999995</v>
      </c>
      <c r="C387" s="9">
        <v>566.89</v>
      </c>
      <c r="D387" s="9">
        <v>569.03</v>
      </c>
      <c r="E387" s="9">
        <f t="shared" si="18"/>
        <v>-5.6078516484044313E-3</v>
      </c>
      <c r="F387" s="45">
        <f t="shared" si="16"/>
        <v>-0.13726105076544395</v>
      </c>
      <c r="G387" s="9">
        <f t="shared" si="17"/>
        <v>2.249547804679991E-2</v>
      </c>
    </row>
    <row r="388" spans="1:7" x14ac:dyDescent="0.2">
      <c r="A388" s="12">
        <v>37456</v>
      </c>
      <c r="B388" s="9">
        <v>559.63</v>
      </c>
      <c r="C388" s="9">
        <v>545.36</v>
      </c>
      <c r="D388" s="9">
        <v>546.48</v>
      </c>
      <c r="E388" s="9">
        <f t="shared" si="18"/>
        <v>-4.043544639020033E-2</v>
      </c>
      <c r="F388" s="45">
        <f t="shared" si="16"/>
        <v>-0.16505468846551979</v>
      </c>
      <c r="G388" s="9">
        <f t="shared" si="17"/>
        <v>2.3393542903415394E-2</v>
      </c>
    </row>
    <row r="389" spans="1:7" x14ac:dyDescent="0.2">
      <c r="A389" s="12">
        <v>37459</v>
      </c>
      <c r="B389" s="9">
        <v>546.02</v>
      </c>
      <c r="C389" s="9">
        <v>521.39</v>
      </c>
      <c r="D389" s="9">
        <v>522.17999999999995</v>
      </c>
      <c r="E389" s="9">
        <f t="shared" si="18"/>
        <v>-4.5485354394116606E-2</v>
      </c>
      <c r="F389" s="45">
        <f t="shared" si="16"/>
        <v>-0.19228427534255149</v>
      </c>
      <c r="G389" s="9">
        <f t="shared" si="17"/>
        <v>2.4411544971552665E-2</v>
      </c>
    </row>
    <row r="390" spans="1:7" x14ac:dyDescent="0.2">
      <c r="A390" s="12">
        <v>37460</v>
      </c>
      <c r="B390" s="9">
        <v>527.01</v>
      </c>
      <c r="C390" s="9">
        <v>502.5</v>
      </c>
      <c r="D390" s="9">
        <v>504.04</v>
      </c>
      <c r="E390" s="9">
        <f t="shared" si="18"/>
        <v>-3.5356726027984807E-2</v>
      </c>
      <c r="F390" s="45">
        <f t="shared" si="16"/>
        <v>-0.23679488724636549</v>
      </c>
      <c r="G390" s="9">
        <f t="shared" si="17"/>
        <v>2.4782827449321643E-2</v>
      </c>
    </row>
    <row r="391" spans="1:7" x14ac:dyDescent="0.2">
      <c r="A391" s="12">
        <v>37461</v>
      </c>
      <c r="B391" s="9">
        <v>501.85</v>
      </c>
      <c r="C391" s="9">
        <v>468.53</v>
      </c>
      <c r="D391" s="9">
        <v>481.49</v>
      </c>
      <c r="E391" s="9">
        <f t="shared" si="18"/>
        <v>-4.5770167410962424E-2</v>
      </c>
      <c r="F391" s="45">
        <f t="shared" si="16"/>
        <v>-0.27684976644706843</v>
      </c>
      <c r="G391" s="9">
        <f t="shared" si="17"/>
        <v>2.5722599823518006E-2</v>
      </c>
    </row>
    <row r="392" spans="1:7" x14ac:dyDescent="0.2">
      <c r="A392" s="12">
        <v>37462</v>
      </c>
      <c r="B392" s="9">
        <v>508.55</v>
      </c>
      <c r="C392" s="9">
        <v>484.44</v>
      </c>
      <c r="D392" s="9">
        <v>505.13</v>
      </c>
      <c r="E392" s="9">
        <f t="shared" si="18"/>
        <v>4.7930359299082848E-2</v>
      </c>
      <c r="F392" s="45">
        <f t="shared" si="16"/>
        <v>-0.20566143347987589</v>
      </c>
      <c r="G392" s="9">
        <f t="shared" si="17"/>
        <v>2.7598894516527077E-2</v>
      </c>
    </row>
    <row r="393" spans="1:7" x14ac:dyDescent="0.2">
      <c r="A393" s="12">
        <v>37463</v>
      </c>
      <c r="B393" s="9">
        <v>505.01</v>
      </c>
      <c r="C393" s="9">
        <v>481.22</v>
      </c>
      <c r="D393" s="9">
        <v>484.34</v>
      </c>
      <c r="E393" s="9">
        <f t="shared" si="18"/>
        <v>-4.2028682457257362E-2</v>
      </c>
      <c r="F393" s="45">
        <f t="shared" si="16"/>
        <v>-0.25079583343182621</v>
      </c>
      <c r="G393" s="9">
        <f t="shared" si="17"/>
        <v>2.8259453235090146E-2</v>
      </c>
    </row>
    <row r="394" spans="1:7" x14ac:dyDescent="0.2">
      <c r="A394" s="12">
        <v>37466</v>
      </c>
      <c r="B394" s="9">
        <v>529.54999999999995</v>
      </c>
      <c r="C394" s="9">
        <v>484.62</v>
      </c>
      <c r="D394" s="9">
        <v>529.11</v>
      </c>
      <c r="E394" s="9">
        <f t="shared" si="18"/>
        <v>8.8409210318027356E-2</v>
      </c>
      <c r="F394" s="45">
        <f t="shared" si="16"/>
        <v>-0.14181988647970092</v>
      </c>
      <c r="G394" s="9">
        <f t="shared" si="17"/>
        <v>3.3207130012343392E-2</v>
      </c>
    </row>
    <row r="395" spans="1:7" x14ac:dyDescent="0.2">
      <c r="A395" s="12">
        <v>37467</v>
      </c>
      <c r="B395" s="9">
        <v>534.01</v>
      </c>
      <c r="C395" s="9">
        <v>521.86</v>
      </c>
      <c r="D395" s="9">
        <v>532.34</v>
      </c>
      <c r="E395" s="9">
        <f t="shared" si="18"/>
        <v>6.0860331996296394E-3</v>
      </c>
      <c r="F395" s="45">
        <f t="shared" si="16"/>
        <v>-0.15295309097260651</v>
      </c>
      <c r="G395" s="9">
        <f t="shared" si="17"/>
        <v>3.3015062611609643E-2</v>
      </c>
    </row>
    <row r="396" spans="1:7" x14ac:dyDescent="0.2">
      <c r="A396" s="12">
        <v>37468</v>
      </c>
      <c r="B396" s="9">
        <v>545.79</v>
      </c>
      <c r="C396" s="9">
        <v>530.66999999999996</v>
      </c>
      <c r="D396" s="9">
        <v>541.32000000000005</v>
      </c>
      <c r="E396" s="9">
        <f t="shared" si="18"/>
        <v>1.6728218258292533E-2</v>
      </c>
      <c r="F396" s="45">
        <f t="shared" si="16"/>
        <v>-0.14202758138135388</v>
      </c>
      <c r="G396" s="9">
        <f t="shared" si="17"/>
        <v>3.3199203051955284E-2</v>
      </c>
    </row>
    <row r="397" spans="1:7" x14ac:dyDescent="0.2">
      <c r="A397" s="12">
        <v>37469</v>
      </c>
      <c r="B397" s="9">
        <v>548.54</v>
      </c>
      <c r="C397" s="9">
        <v>529.39</v>
      </c>
      <c r="D397" s="9">
        <v>529.92999999999995</v>
      </c>
      <c r="E397" s="9">
        <f t="shared" si="18"/>
        <v>-2.1265678856568767E-2</v>
      </c>
      <c r="F397" s="45">
        <f t="shared" si="16"/>
        <v>-0.14267931550057467</v>
      </c>
      <c r="G397" s="9">
        <f t="shared" si="17"/>
        <v>3.3210163944936644E-2</v>
      </c>
    </row>
    <row r="398" spans="1:7" x14ac:dyDescent="0.2">
      <c r="A398" s="12">
        <v>37470</v>
      </c>
      <c r="B398" s="9">
        <v>535.77</v>
      </c>
      <c r="C398" s="9">
        <v>516.95000000000005</v>
      </c>
      <c r="D398" s="9">
        <v>519.94000000000005</v>
      </c>
      <c r="E398" s="9">
        <f t="shared" si="18"/>
        <v>-1.9031502048964453E-2</v>
      </c>
      <c r="F398" s="45">
        <f t="shared" si="16"/>
        <v>-0.11517677788212884</v>
      </c>
      <c r="G398" s="9">
        <f t="shared" si="17"/>
        <v>3.2386515823109911E-2</v>
      </c>
    </row>
    <row r="399" spans="1:7" x14ac:dyDescent="0.2">
      <c r="A399" s="12">
        <v>37473</v>
      </c>
      <c r="B399" s="9">
        <v>518.54999999999995</v>
      </c>
      <c r="C399" s="9">
        <v>495.3</v>
      </c>
      <c r="D399" s="9">
        <v>497.55</v>
      </c>
      <c r="E399" s="9">
        <f t="shared" si="18"/>
        <v>-4.4017366241600533E-2</v>
      </c>
      <c r="F399" s="45">
        <f t="shared" si="16"/>
        <v>-0.13069852241309693</v>
      </c>
      <c r="G399" s="9">
        <f t="shared" si="17"/>
        <v>3.2913690734508401E-2</v>
      </c>
    </row>
    <row r="400" spans="1:7" x14ac:dyDescent="0.2">
      <c r="A400" s="12">
        <v>37474</v>
      </c>
      <c r="B400" s="9">
        <v>511.71</v>
      </c>
      <c r="C400" s="9">
        <v>487.73</v>
      </c>
      <c r="D400" s="9">
        <v>506.24</v>
      </c>
      <c r="E400" s="9">
        <f t="shared" si="18"/>
        <v>1.7314811078063271E-2</v>
      </c>
      <c r="F400" s="45">
        <f t="shared" si="16"/>
        <v>-0.1537047162138844</v>
      </c>
      <c r="G400" s="9">
        <f t="shared" si="17"/>
        <v>3.209465426678014E-2</v>
      </c>
    </row>
    <row r="401" spans="1:7" x14ac:dyDescent="0.2">
      <c r="A401" s="12">
        <v>37475</v>
      </c>
      <c r="B401" s="9">
        <v>521.98</v>
      </c>
      <c r="C401" s="9">
        <v>505.53</v>
      </c>
      <c r="D401" s="9">
        <v>506.78</v>
      </c>
      <c r="E401" s="9">
        <f t="shared" si="18"/>
        <v>1.0661192299211716E-3</v>
      </c>
      <c r="F401" s="45">
        <f t="shared" si="16"/>
        <v>-0.14851389985146005</v>
      </c>
      <c r="G401" s="9">
        <f t="shared" si="17"/>
        <v>3.2114210878961866E-2</v>
      </c>
    </row>
    <row r="402" spans="1:7" x14ac:dyDescent="0.2">
      <c r="A402" s="12">
        <v>37476</v>
      </c>
      <c r="B402" s="9">
        <v>522.36</v>
      </c>
      <c r="C402" s="9">
        <v>508.03</v>
      </c>
      <c r="D402" s="9">
        <v>518.27</v>
      </c>
      <c r="E402" s="9">
        <f t="shared" si="18"/>
        <v>2.241935761551446E-2</v>
      </c>
      <c r="F402" s="45">
        <f t="shared" si="16"/>
        <v>-0.13799783441037483</v>
      </c>
      <c r="G402" s="9">
        <f t="shared" si="17"/>
        <v>3.2360962775262014E-2</v>
      </c>
    </row>
    <row r="403" spans="1:7" x14ac:dyDescent="0.2">
      <c r="A403" s="12">
        <v>37477</v>
      </c>
      <c r="B403" s="9">
        <v>527.57000000000005</v>
      </c>
      <c r="C403" s="9">
        <v>510.58</v>
      </c>
      <c r="D403" s="9">
        <v>517.33000000000004</v>
      </c>
      <c r="E403" s="9">
        <f t="shared" si="18"/>
        <v>-1.8153732293427348E-3</v>
      </c>
      <c r="F403" s="45">
        <f t="shared" si="16"/>
        <v>-0.16132942599934955</v>
      </c>
      <c r="G403" s="9">
        <f t="shared" si="17"/>
        <v>3.1989912556031203E-2</v>
      </c>
    </row>
    <row r="404" spans="1:7" x14ac:dyDescent="0.2">
      <c r="A404" s="12">
        <v>37480</v>
      </c>
      <c r="B404" s="9">
        <v>523.74</v>
      </c>
      <c r="C404" s="9">
        <v>516.45000000000005</v>
      </c>
      <c r="D404" s="9">
        <v>519.95000000000005</v>
      </c>
      <c r="E404" s="9">
        <f t="shared" si="18"/>
        <v>5.0516843509146019E-3</v>
      </c>
      <c r="F404" s="45">
        <f t="shared" si="16"/>
        <v>-0.15856169173714121</v>
      </c>
      <c r="G404" s="9">
        <f t="shared" si="17"/>
        <v>3.2016750031746359E-2</v>
      </c>
    </row>
    <row r="405" spans="1:7" x14ac:dyDescent="0.2">
      <c r="A405" s="12">
        <v>37481</v>
      </c>
      <c r="B405" s="9">
        <v>520.28</v>
      </c>
      <c r="C405" s="9">
        <v>509.85</v>
      </c>
      <c r="D405" s="9">
        <v>519.62</v>
      </c>
      <c r="E405" s="9">
        <f t="shared" si="18"/>
        <v>-6.348779035263405E-4</v>
      </c>
      <c r="F405" s="45">
        <f t="shared" si="16"/>
        <v>-0.13769642990734707</v>
      </c>
      <c r="G405" s="9">
        <f t="shared" si="17"/>
        <v>3.187869971275735E-2</v>
      </c>
    </row>
    <row r="406" spans="1:7" x14ac:dyDescent="0.2">
      <c r="A406" s="12">
        <v>37482</v>
      </c>
      <c r="B406" s="9">
        <v>518.02</v>
      </c>
      <c r="C406" s="9">
        <v>504.52</v>
      </c>
      <c r="D406" s="9">
        <v>509.88</v>
      </c>
      <c r="E406" s="9">
        <f t="shared" si="18"/>
        <v>-1.892237128799501E-2</v>
      </c>
      <c r="F406" s="45">
        <f t="shared" si="16"/>
        <v>-0.1258481906054458</v>
      </c>
      <c r="G406" s="9">
        <f t="shared" si="17"/>
        <v>3.161547181402545E-2</v>
      </c>
    </row>
    <row r="407" spans="1:7" x14ac:dyDescent="0.2">
      <c r="A407" s="12">
        <v>37483</v>
      </c>
      <c r="B407" s="9">
        <v>524.15</v>
      </c>
      <c r="C407" s="9">
        <v>512.26</v>
      </c>
      <c r="D407" s="9">
        <v>523.04</v>
      </c>
      <c r="E407" s="9">
        <f t="shared" si="18"/>
        <v>2.5482539061179907E-2</v>
      </c>
      <c r="F407" s="45">
        <f t="shared" si="16"/>
        <v>-0.1145147251176297</v>
      </c>
      <c r="G407" s="9">
        <f t="shared" si="17"/>
        <v>3.1908582795065199E-2</v>
      </c>
    </row>
    <row r="408" spans="1:7" x14ac:dyDescent="0.2">
      <c r="A408" s="12">
        <v>37484</v>
      </c>
      <c r="B408" s="9">
        <v>526.28</v>
      </c>
      <c r="C408" s="9">
        <v>511.74</v>
      </c>
      <c r="D408" s="9">
        <v>519</v>
      </c>
      <c r="E408" s="9">
        <f t="shared" si="18"/>
        <v>-7.7540598100117788E-3</v>
      </c>
      <c r="F408" s="45">
        <f t="shared" si="16"/>
        <v>-0.1607678789988656</v>
      </c>
      <c r="G408" s="9">
        <f t="shared" si="17"/>
        <v>3.0894756986259621E-2</v>
      </c>
    </row>
    <row r="409" spans="1:7" x14ac:dyDescent="0.2">
      <c r="A409" s="12">
        <v>37487</v>
      </c>
      <c r="B409" s="9">
        <v>524.55999999999995</v>
      </c>
      <c r="C409" s="9">
        <v>506.54</v>
      </c>
      <c r="D409" s="9">
        <v>523.19000000000005</v>
      </c>
      <c r="E409" s="9">
        <f t="shared" si="18"/>
        <v>8.0408036445948471E-3</v>
      </c>
      <c r="F409" s="45">
        <f t="shared" si="16"/>
        <v>-0.15428446548372426</v>
      </c>
      <c r="G409" s="9">
        <f t="shared" si="17"/>
        <v>3.0967396916350972E-2</v>
      </c>
    </row>
    <row r="410" spans="1:7" x14ac:dyDescent="0.2">
      <c r="A410" s="12">
        <v>37488</v>
      </c>
      <c r="B410" s="9">
        <v>525.74</v>
      </c>
      <c r="C410" s="9">
        <v>517.35</v>
      </c>
      <c r="D410" s="9">
        <v>522.48</v>
      </c>
      <c r="E410" s="9">
        <f t="shared" si="18"/>
        <v>-1.3579812160816674E-3</v>
      </c>
      <c r="F410" s="45">
        <f t="shared" si="16"/>
        <v>-0.14693922884710148</v>
      </c>
      <c r="G410" s="9">
        <f t="shared" si="17"/>
        <v>3.0967313452024435E-2</v>
      </c>
    </row>
    <row r="411" spans="1:7" x14ac:dyDescent="0.2">
      <c r="A411" s="12">
        <v>37489</v>
      </c>
      <c r="B411" s="9">
        <v>550.29</v>
      </c>
      <c r="C411" s="9">
        <v>524.66</v>
      </c>
      <c r="D411" s="9">
        <v>537.84</v>
      </c>
      <c r="E411" s="9">
        <f t="shared" si="18"/>
        <v>2.8974412566379643E-2</v>
      </c>
      <c r="F411" s="45">
        <f t="shared" si="16"/>
        <v>-9.3035882434467448E-2</v>
      </c>
      <c r="G411" s="9">
        <f t="shared" si="17"/>
        <v>3.1326703087308942E-2</v>
      </c>
    </row>
    <row r="412" spans="1:7" x14ac:dyDescent="0.2">
      <c r="A412" s="12">
        <v>37490</v>
      </c>
      <c r="B412" s="9">
        <v>564.85</v>
      </c>
      <c r="C412" s="9">
        <v>541.97</v>
      </c>
      <c r="D412" s="9">
        <v>564.14</v>
      </c>
      <c r="E412" s="9">
        <f t="shared" si="18"/>
        <v>4.7741329484419996E-2</v>
      </c>
      <c r="F412" s="45">
        <f t="shared" si="16"/>
        <v>-3.8989809975552601E-4</v>
      </c>
      <c r="G412" s="9">
        <f t="shared" si="17"/>
        <v>3.1628681562276682E-2</v>
      </c>
    </row>
    <row r="413" spans="1:7" x14ac:dyDescent="0.2">
      <c r="A413" s="12">
        <v>37491</v>
      </c>
      <c r="B413" s="9">
        <v>561.99</v>
      </c>
      <c r="C413" s="9">
        <v>545.26</v>
      </c>
      <c r="D413" s="9">
        <v>546.54999999999995</v>
      </c>
      <c r="E413" s="9">
        <f t="shared" si="18"/>
        <v>-3.1676652905356997E-2</v>
      </c>
      <c r="F413" s="45">
        <f t="shared" si="16"/>
        <v>-2.9724878833430512E-2</v>
      </c>
      <c r="G413" s="9">
        <f t="shared" si="17"/>
        <v>3.2152283729166981E-2</v>
      </c>
    </row>
    <row r="414" spans="1:7" x14ac:dyDescent="0.2">
      <c r="A414" s="12">
        <v>37494</v>
      </c>
      <c r="B414" s="9">
        <v>553.91999999999996</v>
      </c>
      <c r="C414" s="9">
        <v>534.22</v>
      </c>
      <c r="D414" s="9">
        <v>537.95000000000005</v>
      </c>
      <c r="E414" s="9">
        <f t="shared" si="18"/>
        <v>-1.5860175699926104E-2</v>
      </c>
      <c r="F414" s="45">
        <f t="shared" si="16"/>
        <v>-2.1916267611947912E-2</v>
      </c>
      <c r="G414" s="9">
        <f t="shared" si="17"/>
        <v>3.1993580358820994E-2</v>
      </c>
    </row>
    <row r="415" spans="1:7" x14ac:dyDescent="0.2">
      <c r="A415" s="12">
        <v>37495</v>
      </c>
      <c r="B415" s="9">
        <v>545.28</v>
      </c>
      <c r="C415" s="9">
        <v>534.17999999999995</v>
      </c>
      <c r="D415" s="9">
        <v>539.05999999999995</v>
      </c>
      <c r="E415" s="9">
        <f t="shared" si="18"/>
        <v>2.0612629279475052E-3</v>
      </c>
      <c r="F415" s="45">
        <f t="shared" si="16"/>
        <v>-2.3413145861925153E-2</v>
      </c>
      <c r="G415" s="9">
        <f t="shared" si="17"/>
        <v>3.19878279778954E-2</v>
      </c>
    </row>
    <row r="416" spans="1:7" x14ac:dyDescent="0.2">
      <c r="A416" s="12">
        <v>37496</v>
      </c>
      <c r="B416" s="9">
        <v>538.66</v>
      </c>
      <c r="C416" s="9">
        <v>527.36</v>
      </c>
      <c r="D416" s="9">
        <v>529.80999999999995</v>
      </c>
      <c r="E416" s="9">
        <f t="shared" si="18"/>
        <v>-1.7308430260840273E-2</v>
      </c>
      <c r="F416" s="45">
        <f t="shared" si="16"/>
        <v>-7.7022556755173277E-2</v>
      </c>
      <c r="G416" s="9">
        <f t="shared" si="17"/>
        <v>3.1335645098506781E-2</v>
      </c>
    </row>
    <row r="417" spans="1:7" x14ac:dyDescent="0.2">
      <c r="A417" s="12">
        <v>37497</v>
      </c>
      <c r="B417" s="9">
        <v>528.78</v>
      </c>
      <c r="C417" s="9">
        <v>517.38</v>
      </c>
      <c r="D417" s="9">
        <v>523.26</v>
      </c>
      <c r="E417" s="9">
        <f t="shared" si="18"/>
        <v>-1.2439979240076109E-2</v>
      </c>
      <c r="F417" s="45">
        <f t="shared" ref="F417:F480" si="19">LN(D417/D387)</f>
        <v>-8.385468434684494E-2</v>
      </c>
      <c r="G417" s="9">
        <f t="shared" ref="G417:G480" si="20">STDEV(E388:E417)</f>
        <v>3.138329461575394E-2</v>
      </c>
    </row>
    <row r="418" spans="1:7" x14ac:dyDescent="0.2">
      <c r="A418" s="12">
        <v>37498</v>
      </c>
      <c r="B418" s="9">
        <v>529.61</v>
      </c>
      <c r="C418" s="9">
        <v>514.88</v>
      </c>
      <c r="D418" s="9">
        <v>525.83000000000004</v>
      </c>
      <c r="E418" s="9">
        <f t="shared" si="18"/>
        <v>4.8994941160012979E-3</v>
      </c>
      <c r="F418" s="45">
        <f t="shared" si="19"/>
        <v>-3.8519743840643238E-2</v>
      </c>
      <c r="G418" s="9">
        <f t="shared" si="20"/>
        <v>3.0589795390586465E-2</v>
      </c>
    </row>
    <row r="419" spans="1:7" x14ac:dyDescent="0.2">
      <c r="A419" s="12">
        <v>37501</v>
      </c>
      <c r="B419" s="9">
        <v>526.67999999999995</v>
      </c>
      <c r="C419" s="9">
        <v>520.12</v>
      </c>
      <c r="D419" s="9">
        <v>523.54</v>
      </c>
      <c r="E419" s="9">
        <f t="shared" si="18"/>
        <v>-4.3645304043513624E-3</v>
      </c>
      <c r="F419" s="45">
        <f t="shared" si="19"/>
        <v>2.601080149122071E-3</v>
      </c>
      <c r="G419" s="9">
        <f t="shared" si="20"/>
        <v>2.9440587186083077E-2</v>
      </c>
    </row>
    <row r="420" spans="1:7" x14ac:dyDescent="0.2">
      <c r="A420" s="12">
        <v>37502</v>
      </c>
      <c r="B420" s="9">
        <v>521.19000000000005</v>
      </c>
      <c r="C420" s="9">
        <v>501.04</v>
      </c>
      <c r="D420" s="9">
        <v>503.26</v>
      </c>
      <c r="E420" s="9">
        <f t="shared" si="18"/>
        <v>-3.9506501016578058E-2</v>
      </c>
      <c r="F420" s="45">
        <f t="shared" si="19"/>
        <v>-1.5486948394711022E-3</v>
      </c>
      <c r="G420" s="9">
        <f t="shared" si="20"/>
        <v>2.9622049197555095E-2</v>
      </c>
    </row>
    <row r="421" spans="1:7" x14ac:dyDescent="0.2">
      <c r="A421" s="12">
        <v>37503</v>
      </c>
      <c r="B421" s="9">
        <v>506.22</v>
      </c>
      <c r="C421" s="9">
        <v>497.1</v>
      </c>
      <c r="D421" s="9">
        <v>503.32</v>
      </c>
      <c r="E421" s="9">
        <f t="shared" si="18"/>
        <v>1.1921556174593294E-4</v>
      </c>
      <c r="F421" s="45">
        <f t="shared" si="19"/>
        <v>4.4340688133237098E-2</v>
      </c>
      <c r="G421" s="9">
        <f t="shared" si="20"/>
        <v>2.8336742045666941E-2</v>
      </c>
    </row>
    <row r="422" spans="1:7" x14ac:dyDescent="0.2">
      <c r="A422" s="12">
        <v>37504</v>
      </c>
      <c r="B422" s="9">
        <v>510.61</v>
      </c>
      <c r="C422" s="9">
        <v>493.04</v>
      </c>
      <c r="D422" s="9">
        <v>501.81</v>
      </c>
      <c r="E422" s="9">
        <f t="shared" si="18"/>
        <v>-3.0045887317400647E-3</v>
      </c>
      <c r="F422" s="45">
        <f t="shared" si="19"/>
        <v>-6.5942598975858449E-3</v>
      </c>
      <c r="G422" s="9">
        <f t="shared" si="20"/>
        <v>2.694947560919642E-2</v>
      </c>
    </row>
    <row r="423" spans="1:7" x14ac:dyDescent="0.2">
      <c r="A423" s="12">
        <v>37505</v>
      </c>
      <c r="B423" s="9">
        <v>517.26</v>
      </c>
      <c r="C423" s="9">
        <v>502.99</v>
      </c>
      <c r="D423" s="9">
        <v>513.17999999999995</v>
      </c>
      <c r="E423" s="9">
        <f t="shared" si="18"/>
        <v>2.2405098828718256E-2</v>
      </c>
      <c r="F423" s="45">
        <f t="shared" si="19"/>
        <v>5.783952138838961E-2</v>
      </c>
      <c r="G423" s="9">
        <f t="shared" si="20"/>
        <v>2.605529063894247E-2</v>
      </c>
    </row>
    <row r="424" spans="1:7" x14ac:dyDescent="0.2">
      <c r="A424" s="12">
        <v>37508</v>
      </c>
      <c r="B424" s="9">
        <v>516.35</v>
      </c>
      <c r="C424" s="9">
        <v>506.35</v>
      </c>
      <c r="D424" s="9">
        <v>510.37</v>
      </c>
      <c r="E424" s="9">
        <f t="shared" si="18"/>
        <v>-5.4907079470929666E-3</v>
      </c>
      <c r="F424" s="45">
        <f t="shared" si="19"/>
        <v>-3.6060396876730738E-2</v>
      </c>
      <c r="G424" s="9">
        <f t="shared" si="20"/>
        <v>2.0316118064576522E-2</v>
      </c>
    </row>
    <row r="425" spans="1:7" x14ac:dyDescent="0.2">
      <c r="A425" s="12">
        <v>37509</v>
      </c>
      <c r="B425" s="9">
        <v>519.48</v>
      </c>
      <c r="C425" s="9">
        <v>510.4</v>
      </c>
      <c r="D425" s="9">
        <v>515.95000000000005</v>
      </c>
      <c r="E425" s="9">
        <f t="shared" si="18"/>
        <v>1.087390868807128E-2</v>
      </c>
      <c r="F425" s="45">
        <f t="shared" si="19"/>
        <v>-3.1272521388289093E-2</v>
      </c>
      <c r="G425" s="9">
        <f t="shared" si="20"/>
        <v>2.0394001051312925E-2</v>
      </c>
    </row>
    <row r="426" spans="1:7" x14ac:dyDescent="0.2">
      <c r="A426" s="12">
        <v>37510</v>
      </c>
      <c r="B426" s="9">
        <v>532.79999999999995</v>
      </c>
      <c r="C426" s="9">
        <v>513.67999999999995</v>
      </c>
      <c r="D426" s="9">
        <v>532.71</v>
      </c>
      <c r="E426" s="9">
        <f t="shared" si="18"/>
        <v>3.1967324477129716E-2</v>
      </c>
      <c r="F426" s="45">
        <f t="shared" si="19"/>
        <v>-1.6033415169451882E-2</v>
      </c>
      <c r="G426" s="9">
        <f t="shared" si="20"/>
        <v>2.1031708116044406E-2</v>
      </c>
    </row>
    <row r="427" spans="1:7" x14ac:dyDescent="0.2">
      <c r="A427" s="12">
        <v>37511</v>
      </c>
      <c r="B427" s="9">
        <v>531.67999999999995</v>
      </c>
      <c r="C427" s="9">
        <v>517.85</v>
      </c>
      <c r="D427" s="9">
        <v>518.53</v>
      </c>
      <c r="E427" s="9">
        <f t="shared" si="18"/>
        <v>-2.6979300833793188E-2</v>
      </c>
      <c r="F427" s="45">
        <f t="shared" si="19"/>
        <v>-2.1747037146676213E-2</v>
      </c>
      <c r="G427" s="9">
        <f t="shared" si="20"/>
        <v>2.1250645245838862E-2</v>
      </c>
    </row>
    <row r="428" spans="1:7" x14ac:dyDescent="0.2">
      <c r="A428" s="12">
        <v>37512</v>
      </c>
      <c r="B428" s="9">
        <v>517.5</v>
      </c>
      <c r="C428" s="9">
        <v>504.26</v>
      </c>
      <c r="D428" s="9">
        <v>511.8</v>
      </c>
      <c r="E428" s="9">
        <f t="shared" si="18"/>
        <v>-1.3063961479371531E-2</v>
      </c>
      <c r="F428" s="45">
        <f t="shared" si="19"/>
        <v>-1.5779496577083219E-2</v>
      </c>
      <c r="G428" s="9">
        <f t="shared" si="20"/>
        <v>2.1100777482499552E-2</v>
      </c>
    </row>
    <row r="429" spans="1:7" x14ac:dyDescent="0.2">
      <c r="A429" s="12">
        <v>37515</v>
      </c>
      <c r="B429" s="9">
        <v>515.49</v>
      </c>
      <c r="C429" s="9">
        <v>508.32</v>
      </c>
      <c r="D429" s="9">
        <v>510.54</v>
      </c>
      <c r="E429" s="9">
        <f t="shared" si="18"/>
        <v>-2.4649346361674289E-3</v>
      </c>
      <c r="F429" s="45">
        <f t="shared" si="19"/>
        <v>2.5772935028349826E-2</v>
      </c>
      <c r="G429" s="9">
        <f t="shared" si="20"/>
        <v>1.9446431416504789E-2</v>
      </c>
    </row>
    <row r="430" spans="1:7" x14ac:dyDescent="0.2">
      <c r="A430" s="12">
        <v>37516</v>
      </c>
      <c r="B430" s="9">
        <v>520.66999999999996</v>
      </c>
      <c r="C430" s="9">
        <v>504.14</v>
      </c>
      <c r="D430" s="9">
        <v>505.36</v>
      </c>
      <c r="E430" s="9">
        <f t="shared" si="18"/>
        <v>-1.019794249907599E-2</v>
      </c>
      <c r="F430" s="45">
        <f t="shared" si="19"/>
        <v>-1.7398185487894112E-3</v>
      </c>
      <c r="G430" s="9">
        <f t="shared" si="20"/>
        <v>1.9291755495213978E-2</v>
      </c>
    </row>
    <row r="431" spans="1:7" x14ac:dyDescent="0.2">
      <c r="A431" s="12">
        <v>37517</v>
      </c>
      <c r="B431" s="9">
        <v>504.74</v>
      </c>
      <c r="C431" s="9">
        <v>484.35</v>
      </c>
      <c r="D431" s="9">
        <v>485.79</v>
      </c>
      <c r="E431" s="9">
        <f t="shared" si="18"/>
        <v>-3.9494614836955787E-2</v>
      </c>
      <c r="F431" s="45">
        <f t="shared" si="19"/>
        <v>-4.2300552615666488E-2</v>
      </c>
      <c r="G431" s="9">
        <f t="shared" si="20"/>
        <v>2.0588017442359378E-2</v>
      </c>
    </row>
    <row r="432" spans="1:7" x14ac:dyDescent="0.2">
      <c r="A432" s="12">
        <v>37518</v>
      </c>
      <c r="B432" s="9">
        <v>489.59</v>
      </c>
      <c r="C432" s="9">
        <v>474.12</v>
      </c>
      <c r="D432" s="9">
        <v>478.84</v>
      </c>
      <c r="E432" s="9">
        <f t="shared" si="18"/>
        <v>-1.4409919370320053E-2</v>
      </c>
      <c r="F432" s="45">
        <f t="shared" si="19"/>
        <v>-7.9129829601500931E-2</v>
      </c>
      <c r="G432" s="9">
        <f t="shared" si="20"/>
        <v>2.0212724294132376E-2</v>
      </c>
    </row>
    <row r="433" spans="1:7" x14ac:dyDescent="0.2">
      <c r="A433" s="12">
        <v>37519</v>
      </c>
      <c r="B433" s="9">
        <v>487.86</v>
      </c>
      <c r="C433" s="9">
        <v>474.28</v>
      </c>
      <c r="D433" s="9">
        <v>475.64</v>
      </c>
      <c r="E433" s="9">
        <f t="shared" si="18"/>
        <v>-6.7052468137909936E-3</v>
      </c>
      <c r="F433" s="45">
        <f t="shared" si="19"/>
        <v>-8.4019703185949188E-2</v>
      </c>
      <c r="G433" s="9">
        <f t="shared" si="20"/>
        <v>2.0225576626913454E-2</v>
      </c>
    </row>
    <row r="434" spans="1:7" x14ac:dyDescent="0.2">
      <c r="A434" s="12">
        <v>37522</v>
      </c>
      <c r="B434" s="9">
        <v>480.1</v>
      </c>
      <c r="C434" s="9">
        <v>454.68</v>
      </c>
      <c r="D434" s="9">
        <v>455.92</v>
      </c>
      <c r="E434" s="9">
        <f t="shared" si="18"/>
        <v>-4.2343910042633874E-2</v>
      </c>
      <c r="F434" s="45">
        <f t="shared" si="19"/>
        <v>-0.13141529757949766</v>
      </c>
      <c r="G434" s="9">
        <f t="shared" si="20"/>
        <v>2.1407601039677142E-2</v>
      </c>
    </row>
    <row r="435" spans="1:7" x14ac:dyDescent="0.2">
      <c r="A435" s="12">
        <v>37523</v>
      </c>
      <c r="B435" s="9">
        <v>456.89</v>
      </c>
      <c r="C435" s="9">
        <v>433.62</v>
      </c>
      <c r="D435" s="9">
        <v>451.83</v>
      </c>
      <c r="E435" s="9">
        <f t="shared" si="18"/>
        <v>-9.0113526348772986E-3</v>
      </c>
      <c r="F435" s="45">
        <f t="shared" si="19"/>
        <v>-0.13979177231084863</v>
      </c>
      <c r="G435" s="9">
        <f t="shared" si="20"/>
        <v>2.1411688869196269E-2</v>
      </c>
    </row>
    <row r="436" spans="1:7" x14ac:dyDescent="0.2">
      <c r="A436" s="12">
        <v>37524</v>
      </c>
      <c r="B436" s="9">
        <v>466.88</v>
      </c>
      <c r="C436" s="9">
        <v>449.46</v>
      </c>
      <c r="D436" s="9">
        <v>459.6</v>
      </c>
      <c r="E436" s="9">
        <f t="shared" si="18"/>
        <v>1.7050543082733779E-2</v>
      </c>
      <c r="F436" s="45">
        <f t="shared" si="19"/>
        <v>-0.10381885794011983</v>
      </c>
      <c r="G436" s="9">
        <f t="shared" si="20"/>
        <v>2.1591928474632698E-2</v>
      </c>
    </row>
    <row r="437" spans="1:7" x14ac:dyDescent="0.2">
      <c r="A437" s="12">
        <v>37525</v>
      </c>
      <c r="B437" s="9">
        <v>482.41</v>
      </c>
      <c r="C437" s="9">
        <v>461.03</v>
      </c>
      <c r="D437" s="9">
        <v>480.95</v>
      </c>
      <c r="E437" s="9">
        <f t="shared" si="18"/>
        <v>4.5406768624023965E-2</v>
      </c>
      <c r="F437" s="45">
        <f t="shared" si="19"/>
        <v>-8.3894628377275834E-2</v>
      </c>
      <c r="G437" s="9">
        <f t="shared" si="20"/>
        <v>2.2786273047156871E-2</v>
      </c>
    </row>
    <row r="438" spans="1:7" x14ac:dyDescent="0.2">
      <c r="A438" s="12">
        <v>37526</v>
      </c>
      <c r="B438" s="9">
        <v>484.68</v>
      </c>
      <c r="C438" s="9">
        <v>470.6</v>
      </c>
      <c r="D438" s="9">
        <v>474.69</v>
      </c>
      <c r="E438" s="9">
        <f t="shared" si="18"/>
        <v>-1.3101355199622983E-2</v>
      </c>
      <c r="F438" s="45">
        <f t="shared" si="19"/>
        <v>-8.9241923766887082E-2</v>
      </c>
      <c r="G438" s="9">
        <f t="shared" si="20"/>
        <v>2.2847223174645003E-2</v>
      </c>
    </row>
    <row r="439" spans="1:7" x14ac:dyDescent="0.2">
      <c r="A439" s="12">
        <v>37529</v>
      </c>
      <c r="B439" s="9">
        <v>473.53</v>
      </c>
      <c r="C439" s="9">
        <v>440.02</v>
      </c>
      <c r="D439" s="9">
        <v>445.65</v>
      </c>
      <c r="E439" s="9">
        <f t="shared" si="18"/>
        <v>-6.3128068822275216E-2</v>
      </c>
      <c r="F439" s="45">
        <f t="shared" si="19"/>
        <v>-0.16041079623375712</v>
      </c>
      <c r="G439" s="9">
        <f t="shared" si="20"/>
        <v>2.5234159292371272E-2</v>
      </c>
    </row>
    <row r="440" spans="1:7" x14ac:dyDescent="0.2">
      <c r="A440" s="12">
        <v>37530</v>
      </c>
      <c r="B440" s="9">
        <v>453.55</v>
      </c>
      <c r="C440" s="9">
        <v>441.6</v>
      </c>
      <c r="D440" s="9">
        <v>453.29</v>
      </c>
      <c r="E440" s="9">
        <f t="shared" si="18"/>
        <v>1.6998206681121179E-2</v>
      </c>
      <c r="F440" s="45">
        <f t="shared" si="19"/>
        <v>-0.14205460833655434</v>
      </c>
      <c r="G440" s="9">
        <f t="shared" si="20"/>
        <v>2.5554732587723054E-2</v>
      </c>
    </row>
    <row r="441" spans="1:7" x14ac:dyDescent="0.2">
      <c r="A441" s="12">
        <v>37531</v>
      </c>
      <c r="B441" s="9">
        <v>469.4</v>
      </c>
      <c r="C441" s="9">
        <v>451.79</v>
      </c>
      <c r="D441" s="9">
        <v>463.66</v>
      </c>
      <c r="E441" s="9">
        <f t="shared" si="18"/>
        <v>2.2619427748900117E-2</v>
      </c>
      <c r="F441" s="45">
        <f t="shared" si="19"/>
        <v>-0.14840959315403388</v>
      </c>
      <c r="G441" s="9">
        <f t="shared" si="20"/>
        <v>2.5290640524725315E-2</v>
      </c>
    </row>
    <row r="442" spans="1:7" x14ac:dyDescent="0.2">
      <c r="A442" s="12">
        <v>37532</v>
      </c>
      <c r="B442" s="9">
        <v>463.75</v>
      </c>
      <c r="C442" s="9">
        <v>453.34</v>
      </c>
      <c r="D442" s="9">
        <v>455.14</v>
      </c>
      <c r="E442" s="9">
        <f t="shared" si="18"/>
        <v>-1.854646107567498E-2</v>
      </c>
      <c r="F442" s="45">
        <f t="shared" si="19"/>
        <v>-0.21469738371412889</v>
      </c>
      <c r="G442" s="9">
        <f t="shared" si="20"/>
        <v>2.3349884798319412E-2</v>
      </c>
    </row>
    <row r="443" spans="1:7" x14ac:dyDescent="0.2">
      <c r="A443" s="12">
        <v>37533</v>
      </c>
      <c r="B443" s="9">
        <v>455.68</v>
      </c>
      <c r="C443" s="9">
        <v>441.36</v>
      </c>
      <c r="D443" s="9">
        <v>448.66</v>
      </c>
      <c r="E443" s="9">
        <f t="shared" si="18"/>
        <v>-1.4339701345913187E-2</v>
      </c>
      <c r="F443" s="45">
        <f t="shared" si="19"/>
        <v>-0.19736043215468493</v>
      </c>
      <c r="G443" s="9">
        <f t="shared" si="20"/>
        <v>2.2932916205224273E-2</v>
      </c>
    </row>
    <row r="444" spans="1:7" x14ac:dyDescent="0.2">
      <c r="A444" s="12">
        <v>37536</v>
      </c>
      <c r="B444" s="9">
        <v>447.59</v>
      </c>
      <c r="C444" s="9">
        <v>428.8</v>
      </c>
      <c r="D444" s="9">
        <v>429</v>
      </c>
      <c r="E444" s="9">
        <f t="shared" si="18"/>
        <v>-4.480844365714242E-2</v>
      </c>
      <c r="F444" s="45">
        <f t="shared" si="19"/>
        <v>-0.2263087001119013</v>
      </c>
      <c r="G444" s="9">
        <f t="shared" si="20"/>
        <v>2.3924504767072287E-2</v>
      </c>
    </row>
    <row r="445" spans="1:7" x14ac:dyDescent="0.2">
      <c r="A445" s="12">
        <v>37537</v>
      </c>
      <c r="B445" s="9">
        <v>437</v>
      </c>
      <c r="C445" s="9">
        <v>420.14</v>
      </c>
      <c r="D445" s="9">
        <v>421.93</v>
      </c>
      <c r="E445" s="9">
        <f t="shared" si="18"/>
        <v>-1.6617495428330502E-2</v>
      </c>
      <c r="F445" s="45">
        <f t="shared" si="19"/>
        <v>-0.24498745846817918</v>
      </c>
      <c r="G445" s="9">
        <f t="shared" si="20"/>
        <v>2.3908970592920329E-2</v>
      </c>
    </row>
    <row r="446" spans="1:7" x14ac:dyDescent="0.2">
      <c r="A446" s="12">
        <v>37538</v>
      </c>
      <c r="B446" s="9">
        <v>429.99</v>
      </c>
      <c r="C446" s="9">
        <v>415.96</v>
      </c>
      <c r="D446" s="9">
        <v>421.01</v>
      </c>
      <c r="E446" s="9">
        <f t="shared" si="18"/>
        <v>-2.1828371302812181E-3</v>
      </c>
      <c r="F446" s="45">
        <f t="shared" si="19"/>
        <v>-0.22986186533762012</v>
      </c>
      <c r="G446" s="9">
        <f t="shared" si="20"/>
        <v>2.3868983609835033E-2</v>
      </c>
    </row>
    <row r="447" spans="1:7" x14ac:dyDescent="0.2">
      <c r="A447" s="12">
        <v>37539</v>
      </c>
      <c r="B447" s="9">
        <v>434.52</v>
      </c>
      <c r="C447" s="9">
        <v>413.99</v>
      </c>
      <c r="D447" s="9">
        <v>434.52</v>
      </c>
      <c r="E447" s="9">
        <f t="shared" si="18"/>
        <v>3.1585387196144815E-2</v>
      </c>
      <c r="F447" s="45">
        <f t="shared" si="19"/>
        <v>-0.18583649890139917</v>
      </c>
      <c r="G447" s="9">
        <f t="shared" si="20"/>
        <v>2.489637074115688E-2</v>
      </c>
    </row>
    <row r="448" spans="1:7" x14ac:dyDescent="0.2">
      <c r="A448" s="12">
        <v>37540</v>
      </c>
      <c r="B448" s="9">
        <v>462.94</v>
      </c>
      <c r="C448" s="9">
        <v>435.53</v>
      </c>
      <c r="D448" s="9">
        <v>462.32</v>
      </c>
      <c r="E448" s="9">
        <f t="shared" si="18"/>
        <v>6.2015318443972504E-2</v>
      </c>
      <c r="F448" s="45">
        <f t="shared" si="19"/>
        <v>-0.12872067457342809</v>
      </c>
      <c r="G448" s="9">
        <f t="shared" si="20"/>
        <v>2.7789738096595521E-2</v>
      </c>
    </row>
    <row r="449" spans="1:7" x14ac:dyDescent="0.2">
      <c r="A449" s="12">
        <v>37543</v>
      </c>
      <c r="B449" s="9">
        <v>473.7</v>
      </c>
      <c r="C449" s="9">
        <v>455.94</v>
      </c>
      <c r="D449" s="9">
        <v>460.22</v>
      </c>
      <c r="E449" s="9">
        <f t="shared" si="18"/>
        <v>-4.5526559870945555E-3</v>
      </c>
      <c r="F449" s="45">
        <f t="shared" si="19"/>
        <v>-0.12890880015617132</v>
      </c>
      <c r="G449" s="9">
        <f t="shared" si="20"/>
        <v>2.7789776559280874E-2</v>
      </c>
    </row>
    <row r="450" spans="1:7" x14ac:dyDescent="0.2">
      <c r="A450" s="12">
        <v>37544</v>
      </c>
      <c r="B450" s="9">
        <v>492.23</v>
      </c>
      <c r="C450" s="9">
        <v>461.37</v>
      </c>
      <c r="D450" s="9">
        <v>492.23</v>
      </c>
      <c r="E450" s="9">
        <f t="shared" ref="E450:E513" si="21">LN(D450/D449)</f>
        <v>6.7241450910095729E-2</v>
      </c>
      <c r="F450" s="45">
        <f t="shared" si="19"/>
        <v>-2.2160848229497661E-2</v>
      </c>
      <c r="G450" s="9">
        <f t="shared" si="20"/>
        <v>2.9881417190036334E-2</v>
      </c>
    </row>
    <row r="451" spans="1:7" x14ac:dyDescent="0.2">
      <c r="A451" s="12">
        <v>37545</v>
      </c>
      <c r="B451" s="9">
        <v>500.51</v>
      </c>
      <c r="C451" s="9">
        <v>478.96</v>
      </c>
      <c r="D451" s="9">
        <v>481.83</v>
      </c>
      <c r="E451" s="9">
        <f t="shared" si="21"/>
        <v>-2.1354732189608139E-2</v>
      </c>
      <c r="F451" s="45">
        <f t="shared" si="19"/>
        <v>-4.3634795980851626E-2</v>
      </c>
      <c r="G451" s="9">
        <f t="shared" si="20"/>
        <v>3.0116433635240799E-2</v>
      </c>
    </row>
    <row r="452" spans="1:7" x14ac:dyDescent="0.2">
      <c r="A452" s="12">
        <v>37546</v>
      </c>
      <c r="B452" s="9">
        <v>505.98</v>
      </c>
      <c r="C452" s="9">
        <v>482.81</v>
      </c>
      <c r="D452" s="9">
        <v>491.46</v>
      </c>
      <c r="E452" s="9">
        <f t="shared" si="21"/>
        <v>1.9789198012650184E-2</v>
      </c>
      <c r="F452" s="45">
        <f t="shared" si="19"/>
        <v>-2.0841009236461421E-2</v>
      </c>
      <c r="G452" s="9">
        <f t="shared" si="20"/>
        <v>3.0362499973897904E-2</v>
      </c>
    </row>
    <row r="453" spans="1:7" x14ac:dyDescent="0.2">
      <c r="A453" s="12">
        <v>37547</v>
      </c>
      <c r="B453" s="9">
        <v>501.44</v>
      </c>
      <c r="C453" s="9">
        <v>480.84</v>
      </c>
      <c r="D453" s="9">
        <v>499.61</v>
      </c>
      <c r="E453" s="9">
        <f t="shared" si="21"/>
        <v>1.644724130834958E-2</v>
      </c>
      <c r="F453" s="45">
        <f t="shared" si="19"/>
        <v>-2.6798866756830027E-2</v>
      </c>
      <c r="G453" s="9">
        <f t="shared" si="20"/>
        <v>3.0225373546819669E-2</v>
      </c>
    </row>
    <row r="454" spans="1:7" x14ac:dyDescent="0.2">
      <c r="A454" s="12">
        <v>37550</v>
      </c>
      <c r="B454" s="9">
        <v>510.35</v>
      </c>
      <c r="C454" s="9">
        <v>497.77</v>
      </c>
      <c r="D454" s="9">
        <v>501.88</v>
      </c>
      <c r="E454" s="9">
        <f t="shared" si="21"/>
        <v>4.5332532275837003E-3</v>
      </c>
      <c r="F454" s="45">
        <f t="shared" si="19"/>
        <v>-1.6774905582153318E-2</v>
      </c>
      <c r="G454" s="9">
        <f t="shared" si="20"/>
        <v>3.0228203820256015E-2</v>
      </c>
    </row>
    <row r="455" spans="1:7" x14ac:dyDescent="0.2">
      <c r="A455" s="12">
        <v>37551</v>
      </c>
      <c r="B455" s="9">
        <v>506.5</v>
      </c>
      <c r="C455" s="9">
        <v>493.38</v>
      </c>
      <c r="D455" s="9">
        <v>496.24</v>
      </c>
      <c r="E455" s="9">
        <f t="shared" si="21"/>
        <v>-1.1301366626636894E-2</v>
      </c>
      <c r="F455" s="45">
        <f t="shared" si="19"/>
        <v>-3.8950180896861301E-2</v>
      </c>
      <c r="G455" s="9">
        <f t="shared" si="20"/>
        <v>3.0210110912728946E-2</v>
      </c>
    </row>
    <row r="456" spans="1:7" x14ac:dyDescent="0.2">
      <c r="A456" s="12">
        <v>37552</v>
      </c>
      <c r="B456" s="9">
        <v>506.28</v>
      </c>
      <c r="C456" s="9">
        <v>480.09</v>
      </c>
      <c r="D456" s="9">
        <v>482.8</v>
      </c>
      <c r="E456" s="9">
        <f t="shared" si="21"/>
        <v>-2.7457191441485659E-2</v>
      </c>
      <c r="F456" s="45">
        <f t="shared" si="19"/>
        <v>-9.8374696815476712E-2</v>
      </c>
      <c r="G456" s="9">
        <f t="shared" si="20"/>
        <v>2.9900320196453264E-2</v>
      </c>
    </row>
    <row r="457" spans="1:7" x14ac:dyDescent="0.2">
      <c r="A457" s="12">
        <v>37553</v>
      </c>
      <c r="B457" s="9">
        <v>498.65</v>
      </c>
      <c r="C457" s="9">
        <v>480.77</v>
      </c>
      <c r="D457" s="9">
        <v>497.4</v>
      </c>
      <c r="E457" s="9">
        <f t="shared" si="21"/>
        <v>2.9792042145927854E-2</v>
      </c>
      <c r="F457" s="45">
        <f t="shared" si="19"/>
        <v>-4.1603353835755738E-2</v>
      </c>
      <c r="G457" s="9">
        <f t="shared" si="20"/>
        <v>3.0144147820468481E-2</v>
      </c>
    </row>
    <row r="458" spans="1:7" x14ac:dyDescent="0.2">
      <c r="A458" s="12">
        <v>37554</v>
      </c>
      <c r="B458" s="9">
        <v>497.85</v>
      </c>
      <c r="C458" s="9">
        <v>488.5</v>
      </c>
      <c r="D458" s="9">
        <v>495.53</v>
      </c>
      <c r="E458" s="9">
        <f t="shared" si="21"/>
        <v>-3.7666345278931325E-3</v>
      </c>
      <c r="F458" s="45">
        <f t="shared" si="19"/>
        <v>-3.2306026884277313E-2</v>
      </c>
      <c r="G458" s="9">
        <f t="shared" si="20"/>
        <v>3.0067651053029394E-2</v>
      </c>
    </row>
    <row r="459" spans="1:7" x14ac:dyDescent="0.2">
      <c r="A459" s="12">
        <v>37557</v>
      </c>
      <c r="B459" s="9">
        <v>511.3</v>
      </c>
      <c r="C459" s="9">
        <v>497.63</v>
      </c>
      <c r="D459" s="9">
        <v>504.7</v>
      </c>
      <c r="E459" s="9">
        <f t="shared" si="21"/>
        <v>1.8336296504805505E-2</v>
      </c>
      <c r="F459" s="45">
        <f t="shared" si="19"/>
        <v>-1.1504795743304356E-2</v>
      </c>
      <c r="G459" s="9">
        <f t="shared" si="20"/>
        <v>3.0273675103505371E-2</v>
      </c>
    </row>
    <row r="460" spans="1:7" x14ac:dyDescent="0.2">
      <c r="A460" s="12">
        <v>37558</v>
      </c>
      <c r="B460" s="9">
        <v>505.92</v>
      </c>
      <c r="C460" s="9">
        <v>483.96</v>
      </c>
      <c r="D460" s="9">
        <v>488.12</v>
      </c>
      <c r="E460" s="9">
        <f t="shared" si="21"/>
        <v>-3.3402916082577852E-2</v>
      </c>
      <c r="F460" s="45">
        <f t="shared" si="19"/>
        <v>-3.4709769326806243E-2</v>
      </c>
      <c r="G460" s="9">
        <f t="shared" si="20"/>
        <v>3.0824518101847841E-2</v>
      </c>
    </row>
    <row r="461" spans="1:7" x14ac:dyDescent="0.2">
      <c r="A461" s="12">
        <v>37559</v>
      </c>
      <c r="B461" s="9">
        <v>501.62</v>
      </c>
      <c r="C461" s="9">
        <v>486.78</v>
      </c>
      <c r="D461" s="9">
        <v>501.62</v>
      </c>
      <c r="E461" s="9">
        <f t="shared" si="21"/>
        <v>2.7281583668482316E-2</v>
      </c>
      <c r="F461" s="45">
        <f t="shared" si="19"/>
        <v>3.2066429178631874E-2</v>
      </c>
      <c r="G461" s="9">
        <f t="shared" si="20"/>
        <v>3.0368268669031077E-2</v>
      </c>
    </row>
    <row r="462" spans="1:7" x14ac:dyDescent="0.2">
      <c r="A462" s="12">
        <v>37560</v>
      </c>
      <c r="B462" s="9">
        <v>517.04</v>
      </c>
      <c r="C462" s="9">
        <v>501.87</v>
      </c>
      <c r="D462" s="9">
        <v>511.32</v>
      </c>
      <c r="E462" s="9">
        <f t="shared" si="21"/>
        <v>1.9152756367699957E-2</v>
      </c>
      <c r="F462" s="45">
        <f t="shared" si="19"/>
        <v>6.5629104916651887E-2</v>
      </c>
      <c r="G462" s="9">
        <f t="shared" si="20"/>
        <v>3.039657726071816E-2</v>
      </c>
    </row>
    <row r="463" spans="1:7" x14ac:dyDescent="0.2">
      <c r="A463" s="12">
        <v>37561</v>
      </c>
      <c r="B463" s="9">
        <v>510.17</v>
      </c>
      <c r="C463" s="9">
        <v>496.85</v>
      </c>
      <c r="D463" s="9">
        <v>502.58</v>
      </c>
      <c r="E463" s="9">
        <f t="shared" si="21"/>
        <v>-1.724078605809945E-2</v>
      </c>
      <c r="F463" s="45">
        <f t="shared" si="19"/>
        <v>5.5093565672343595E-2</v>
      </c>
      <c r="G463" s="9">
        <f t="shared" si="20"/>
        <v>3.0563267158522665E-2</v>
      </c>
    </row>
    <row r="464" spans="1:7" x14ac:dyDescent="0.2">
      <c r="A464" s="12">
        <v>37564</v>
      </c>
      <c r="B464" s="9">
        <v>528.74</v>
      </c>
      <c r="C464" s="9">
        <v>506</v>
      </c>
      <c r="D464" s="9">
        <v>523.41999999999996</v>
      </c>
      <c r="E464" s="9">
        <f t="shared" si="21"/>
        <v>4.0629369817053645E-2</v>
      </c>
      <c r="F464" s="45">
        <f t="shared" si="19"/>
        <v>0.13806684553203113</v>
      </c>
      <c r="G464" s="9">
        <f t="shared" si="20"/>
        <v>3.0179226829159609E-2</v>
      </c>
    </row>
    <row r="465" spans="1:7" x14ac:dyDescent="0.2">
      <c r="A465" s="12">
        <v>37565</v>
      </c>
      <c r="B465" s="9">
        <v>534.78</v>
      </c>
      <c r="C465" s="9">
        <v>517.55999999999995</v>
      </c>
      <c r="D465" s="9">
        <v>534.75</v>
      </c>
      <c r="E465" s="9">
        <f t="shared" si="21"/>
        <v>2.141514690373985E-2</v>
      </c>
      <c r="F465" s="45">
        <f t="shared" si="19"/>
        <v>0.16849334507064806</v>
      </c>
      <c r="G465" s="9">
        <f t="shared" si="20"/>
        <v>3.0217186145976811E-2</v>
      </c>
    </row>
    <row r="466" spans="1:7" x14ac:dyDescent="0.2">
      <c r="A466" s="12">
        <v>37566</v>
      </c>
      <c r="B466" s="9">
        <v>536.04</v>
      </c>
      <c r="C466" s="9">
        <v>526.01</v>
      </c>
      <c r="D466" s="9">
        <v>527.02</v>
      </c>
      <c r="E466" s="9">
        <f t="shared" si="21"/>
        <v>-1.4560849477124292E-2</v>
      </c>
      <c r="F466" s="45">
        <f t="shared" si="19"/>
        <v>0.13688195251079002</v>
      </c>
      <c r="G466" s="9">
        <f t="shared" si="20"/>
        <v>3.0355563646108148E-2</v>
      </c>
    </row>
    <row r="467" spans="1:7" x14ac:dyDescent="0.2">
      <c r="A467" s="12">
        <v>37567</v>
      </c>
      <c r="B467" s="9">
        <v>537.62</v>
      </c>
      <c r="C467" s="9">
        <v>511.54</v>
      </c>
      <c r="D467" s="9">
        <v>514.61</v>
      </c>
      <c r="E467" s="9">
        <f t="shared" si="21"/>
        <v>-2.3829166257571189E-2</v>
      </c>
      <c r="F467" s="45">
        <f t="shared" si="19"/>
        <v>6.7646017629195018E-2</v>
      </c>
      <c r="G467" s="9">
        <f t="shared" si="20"/>
        <v>2.9769473170315544E-2</v>
      </c>
    </row>
    <row r="468" spans="1:7" x14ac:dyDescent="0.2">
      <c r="A468" s="12">
        <v>37568</v>
      </c>
      <c r="B468" s="9">
        <v>523.76</v>
      </c>
      <c r="C468" s="9">
        <v>508.83</v>
      </c>
      <c r="D468" s="9">
        <v>516.23</v>
      </c>
      <c r="E468" s="9">
        <f t="shared" si="21"/>
        <v>3.1430703768774528E-3</v>
      </c>
      <c r="F468" s="45">
        <f t="shared" si="19"/>
        <v>8.3890443205695331E-2</v>
      </c>
      <c r="G468" s="9">
        <f t="shared" si="20"/>
        <v>2.9627924702787897E-2</v>
      </c>
    </row>
    <row r="469" spans="1:7" x14ac:dyDescent="0.2">
      <c r="A469" s="12">
        <v>37571</v>
      </c>
      <c r="B469" s="9">
        <v>515.86</v>
      </c>
      <c r="C469" s="9">
        <v>508.16</v>
      </c>
      <c r="D469" s="9">
        <v>513.20000000000005</v>
      </c>
      <c r="E469" s="9">
        <f t="shared" si="21"/>
        <v>-5.886769863215428E-3</v>
      </c>
      <c r="F469" s="45">
        <f t="shared" si="19"/>
        <v>0.14113174216475524</v>
      </c>
      <c r="G469" s="9">
        <f t="shared" si="20"/>
        <v>2.6958942382419738E-2</v>
      </c>
    </row>
    <row r="470" spans="1:7" x14ac:dyDescent="0.2">
      <c r="A470" s="12">
        <v>37572</v>
      </c>
      <c r="B470" s="9">
        <v>530.41</v>
      </c>
      <c r="C470" s="9">
        <v>513.94000000000005</v>
      </c>
      <c r="D470" s="9">
        <v>529.54999999999995</v>
      </c>
      <c r="E470" s="9">
        <f t="shared" si="21"/>
        <v>3.1361956548196714E-2</v>
      </c>
      <c r="F470" s="45">
        <f t="shared" si="19"/>
        <v>0.15549549203183075</v>
      </c>
      <c r="G470" s="9">
        <f t="shared" si="20"/>
        <v>2.7310073484800974E-2</v>
      </c>
    </row>
    <row r="471" spans="1:7" x14ac:dyDescent="0.2">
      <c r="A471" s="12">
        <v>37573</v>
      </c>
      <c r="B471" s="9">
        <v>536.66</v>
      </c>
      <c r="C471" s="9">
        <v>523.72</v>
      </c>
      <c r="D471" s="9">
        <v>535.11</v>
      </c>
      <c r="E471" s="9">
        <f t="shared" si="21"/>
        <v>1.0444743948643526E-2</v>
      </c>
      <c r="F471" s="45">
        <f t="shared" si="19"/>
        <v>0.14332080823157428</v>
      </c>
      <c r="G471" s="9">
        <f t="shared" si="20"/>
        <v>2.7131915249925871E-2</v>
      </c>
    </row>
    <row r="472" spans="1:7" x14ac:dyDescent="0.2">
      <c r="A472" s="12">
        <v>37574</v>
      </c>
      <c r="B472" s="9">
        <v>549.98</v>
      </c>
      <c r="C472" s="9">
        <v>532.52</v>
      </c>
      <c r="D472" s="9">
        <v>548.03</v>
      </c>
      <c r="E472" s="9">
        <f t="shared" si="21"/>
        <v>2.3857696736814378E-2</v>
      </c>
      <c r="F472" s="45">
        <f t="shared" si="19"/>
        <v>0.18572496604406355</v>
      </c>
      <c r="G472" s="9">
        <f t="shared" si="20"/>
        <v>2.6979050262696501E-2</v>
      </c>
    </row>
    <row r="473" spans="1:7" x14ac:dyDescent="0.2">
      <c r="A473" s="12">
        <v>37575</v>
      </c>
      <c r="B473" s="9">
        <v>558.82000000000005</v>
      </c>
      <c r="C473" s="9">
        <v>539.34</v>
      </c>
      <c r="D473" s="9">
        <v>542.72</v>
      </c>
      <c r="E473" s="9">
        <f t="shared" si="21"/>
        <v>-9.7364968116524977E-3</v>
      </c>
      <c r="F473" s="45">
        <f t="shared" si="19"/>
        <v>0.19032817057832416</v>
      </c>
      <c r="G473" s="9">
        <f t="shared" si="20"/>
        <v>2.6871133161807791E-2</v>
      </c>
    </row>
    <row r="474" spans="1:7" x14ac:dyDescent="0.2">
      <c r="A474" s="12">
        <v>37578</v>
      </c>
      <c r="B474" s="9">
        <v>556.27</v>
      </c>
      <c r="C474" s="9">
        <v>544.70000000000005</v>
      </c>
      <c r="D474" s="9">
        <v>554.37</v>
      </c>
      <c r="E474" s="9">
        <f t="shared" si="21"/>
        <v>2.1238800693960173E-2</v>
      </c>
      <c r="F474" s="45">
        <f t="shared" si="19"/>
        <v>0.25637541492942695</v>
      </c>
      <c r="G474" s="9">
        <f t="shared" si="20"/>
        <v>2.5188609080145707E-2</v>
      </c>
    </row>
    <row r="475" spans="1:7" x14ac:dyDescent="0.2">
      <c r="A475" s="12">
        <v>37579</v>
      </c>
      <c r="B475" s="9">
        <v>552.67999999999995</v>
      </c>
      <c r="C475" s="9">
        <v>538.1</v>
      </c>
      <c r="D475" s="9">
        <v>542.67999999999995</v>
      </c>
      <c r="E475" s="9">
        <f t="shared" si="21"/>
        <v>-2.1312506240336086E-2</v>
      </c>
      <c r="F475" s="45">
        <f t="shared" si="19"/>
        <v>0.25168040411742121</v>
      </c>
      <c r="G475" s="9">
        <f t="shared" si="20"/>
        <v>2.5364316151454808E-2</v>
      </c>
    </row>
    <row r="476" spans="1:7" x14ac:dyDescent="0.2">
      <c r="A476" s="12">
        <v>37580</v>
      </c>
      <c r="B476" s="9">
        <v>549</v>
      </c>
      <c r="C476" s="9">
        <v>534.22</v>
      </c>
      <c r="D476" s="9">
        <v>546.29999999999995</v>
      </c>
      <c r="E476" s="9">
        <f t="shared" si="21"/>
        <v>6.6484477845641307E-3</v>
      </c>
      <c r="F476" s="45">
        <f t="shared" si="19"/>
        <v>0.26051168903226662</v>
      </c>
      <c r="G476" s="9">
        <f t="shared" si="20"/>
        <v>2.5288519555241966E-2</v>
      </c>
    </row>
    <row r="477" spans="1:7" x14ac:dyDescent="0.2">
      <c r="A477" s="12">
        <v>37581</v>
      </c>
      <c r="B477" s="9">
        <v>568.75</v>
      </c>
      <c r="C477" s="9">
        <v>549.13</v>
      </c>
      <c r="D477" s="9">
        <v>568.08000000000004</v>
      </c>
      <c r="E477" s="9">
        <f t="shared" si="21"/>
        <v>3.9093978472166335E-2</v>
      </c>
      <c r="F477" s="45">
        <f t="shared" si="19"/>
        <v>0.26802028030828817</v>
      </c>
      <c r="G477" s="9">
        <f t="shared" si="20"/>
        <v>2.5558712351473337E-2</v>
      </c>
    </row>
    <row r="478" spans="1:7" x14ac:dyDescent="0.2">
      <c r="A478" s="12">
        <v>37582</v>
      </c>
      <c r="B478" s="9">
        <v>576.79</v>
      </c>
      <c r="C478" s="9">
        <v>565.29999999999995</v>
      </c>
      <c r="D478" s="9">
        <v>573.46</v>
      </c>
      <c r="E478" s="9">
        <f t="shared" si="21"/>
        <v>9.4259330966190141E-3</v>
      </c>
      <c r="F478" s="45">
        <f t="shared" si="19"/>
        <v>0.21543089496093479</v>
      </c>
      <c r="G478" s="9">
        <f t="shared" si="20"/>
        <v>2.3514202628980178E-2</v>
      </c>
    </row>
    <row r="479" spans="1:7" x14ac:dyDescent="0.2">
      <c r="A479" s="12">
        <v>37585</v>
      </c>
      <c r="B479" s="9">
        <v>577.46</v>
      </c>
      <c r="C479" s="9">
        <v>564.97</v>
      </c>
      <c r="D479" s="9">
        <v>566.5</v>
      </c>
      <c r="E479" s="9">
        <f t="shared" si="21"/>
        <v>-1.2211106502396318E-2</v>
      </c>
      <c r="F479" s="45">
        <f t="shared" si="19"/>
        <v>0.20777244444563306</v>
      </c>
      <c r="G479" s="9">
        <f t="shared" si="20"/>
        <v>2.3686919524026337E-2</v>
      </c>
    </row>
    <row r="480" spans="1:7" x14ac:dyDescent="0.2">
      <c r="A480" s="12">
        <v>37586</v>
      </c>
      <c r="B480" s="9">
        <v>568.64</v>
      </c>
      <c r="C480" s="9">
        <v>554.75</v>
      </c>
      <c r="D480" s="9">
        <v>555.78</v>
      </c>
      <c r="E480" s="9">
        <f t="shared" si="21"/>
        <v>-1.9104547974069883E-2</v>
      </c>
      <c r="F480" s="45">
        <f t="shared" si="19"/>
        <v>0.12142644556146737</v>
      </c>
      <c r="G480" s="9">
        <f t="shared" si="20"/>
        <v>2.1223040346857652E-2</v>
      </c>
    </row>
    <row r="481" spans="1:7" x14ac:dyDescent="0.2">
      <c r="A481" s="12">
        <v>37587</v>
      </c>
      <c r="B481" s="9">
        <v>578.25</v>
      </c>
      <c r="C481" s="9">
        <v>550.86</v>
      </c>
      <c r="D481" s="9">
        <v>578.25</v>
      </c>
      <c r="E481" s="9">
        <f t="shared" si="21"/>
        <v>3.9633768617557512E-2</v>
      </c>
      <c r="F481" s="45">
        <f t="shared" ref="F481:F544" si="22">LN(D481/D451)</f>
        <v>0.18241494636863301</v>
      </c>
      <c r="G481" s="9">
        <f t="shared" ref="G481:G544" si="23">STDEV(E452:E481)</f>
        <v>2.1623121778037199E-2</v>
      </c>
    </row>
    <row r="482" spans="1:7" x14ac:dyDescent="0.2">
      <c r="A482" s="12">
        <v>37588</v>
      </c>
      <c r="B482" s="9">
        <v>586.89</v>
      </c>
      <c r="C482" s="9">
        <v>573.79999999999995</v>
      </c>
      <c r="D482" s="9">
        <v>584.02</v>
      </c>
      <c r="E482" s="9">
        <f t="shared" si="21"/>
        <v>9.928927705620396E-3</v>
      </c>
      <c r="F482" s="45">
        <f t="shared" si="22"/>
        <v>0.17255467606160324</v>
      </c>
      <c r="G482" s="9">
        <f t="shared" si="23"/>
        <v>2.1482040290099334E-2</v>
      </c>
    </row>
    <row r="483" spans="1:7" x14ac:dyDescent="0.2">
      <c r="A483" s="12">
        <v>37589</v>
      </c>
      <c r="B483" s="9">
        <v>587.23</v>
      </c>
      <c r="C483" s="9">
        <v>573.54999999999995</v>
      </c>
      <c r="D483" s="9">
        <v>575.24</v>
      </c>
      <c r="E483" s="9">
        <f t="shared" si="21"/>
        <v>-1.5147883798990017E-2</v>
      </c>
      <c r="F483" s="45">
        <f t="shared" si="22"/>
        <v>0.14095955095426377</v>
      </c>
      <c r="G483" s="9">
        <f t="shared" si="23"/>
        <v>2.171285514153453E-2</v>
      </c>
    </row>
    <row r="484" spans="1:7" x14ac:dyDescent="0.2">
      <c r="A484" s="12">
        <v>37592</v>
      </c>
      <c r="B484" s="9">
        <v>585.41999999999996</v>
      </c>
      <c r="C484" s="9">
        <v>570.74</v>
      </c>
      <c r="D484" s="9">
        <v>570.82000000000005</v>
      </c>
      <c r="E484" s="9">
        <f t="shared" si="21"/>
        <v>-7.7134214869362281E-3</v>
      </c>
      <c r="F484" s="45">
        <f t="shared" si="22"/>
        <v>0.12871287623974381</v>
      </c>
      <c r="G484" s="9">
        <f t="shared" si="23"/>
        <v>2.1830875880492293E-2</v>
      </c>
    </row>
    <row r="485" spans="1:7" x14ac:dyDescent="0.2">
      <c r="A485" s="12">
        <v>37593</v>
      </c>
      <c r="B485" s="9">
        <v>573.42999999999995</v>
      </c>
      <c r="C485" s="9">
        <v>555.34</v>
      </c>
      <c r="D485" s="9">
        <v>559.57000000000005</v>
      </c>
      <c r="E485" s="9">
        <f t="shared" si="21"/>
        <v>-1.9905291898198361E-2</v>
      </c>
      <c r="F485" s="45">
        <f t="shared" si="22"/>
        <v>0.12010895096818218</v>
      </c>
      <c r="G485" s="9">
        <f t="shared" si="23"/>
        <v>2.209765812817259E-2</v>
      </c>
    </row>
    <row r="486" spans="1:7" x14ac:dyDescent="0.2">
      <c r="A486" s="12">
        <v>37594</v>
      </c>
      <c r="B486" s="9">
        <v>563.27</v>
      </c>
      <c r="C486" s="9">
        <v>552.34</v>
      </c>
      <c r="D486" s="9">
        <v>558.5</v>
      </c>
      <c r="E486" s="9">
        <f t="shared" si="21"/>
        <v>-1.9140131237888899E-3</v>
      </c>
      <c r="F486" s="45">
        <f t="shared" si="22"/>
        <v>0.1456521292858789</v>
      </c>
      <c r="G486" s="9">
        <f t="shared" si="23"/>
        <v>2.1322139222775628E-2</v>
      </c>
    </row>
    <row r="487" spans="1:7" x14ac:dyDescent="0.2">
      <c r="A487" s="12">
        <v>37595</v>
      </c>
      <c r="B487" s="9">
        <v>568.19000000000005</v>
      </c>
      <c r="C487" s="9">
        <v>551.5</v>
      </c>
      <c r="D487" s="9">
        <v>551.91999999999996</v>
      </c>
      <c r="E487" s="9">
        <f t="shared" si="21"/>
        <v>-1.1851510271402181E-2</v>
      </c>
      <c r="F487" s="45">
        <f t="shared" si="22"/>
        <v>0.104008576868549</v>
      </c>
      <c r="G487" s="9">
        <f t="shared" si="23"/>
        <v>2.0995751749242508E-2</v>
      </c>
    </row>
    <row r="488" spans="1:7" x14ac:dyDescent="0.2">
      <c r="A488" s="12">
        <v>37596</v>
      </c>
      <c r="B488" s="9">
        <v>557.71</v>
      </c>
      <c r="C488" s="9">
        <v>540.49</v>
      </c>
      <c r="D488" s="9">
        <v>550.29</v>
      </c>
      <c r="E488" s="9">
        <f t="shared" si="21"/>
        <v>-2.9576962434842008E-3</v>
      </c>
      <c r="F488" s="45">
        <f t="shared" si="22"/>
        <v>0.10481751515295791</v>
      </c>
      <c r="G488" s="9">
        <f t="shared" si="23"/>
        <v>2.0986658875005955E-2</v>
      </c>
    </row>
    <row r="489" spans="1:7" x14ac:dyDescent="0.2">
      <c r="A489" s="12">
        <v>37599</v>
      </c>
      <c r="B489" s="9">
        <v>555.27</v>
      </c>
      <c r="C489" s="9">
        <v>540.9</v>
      </c>
      <c r="D489" s="9">
        <v>542.46</v>
      </c>
      <c r="E489" s="9">
        <f t="shared" si="21"/>
        <v>-1.4331062017038895E-2</v>
      </c>
      <c r="F489" s="45">
        <f t="shared" si="22"/>
        <v>7.2150156631113391E-2</v>
      </c>
      <c r="G489" s="9">
        <f t="shared" si="23"/>
        <v>2.1037419414529947E-2</v>
      </c>
    </row>
    <row r="490" spans="1:7" x14ac:dyDescent="0.2">
      <c r="A490" s="12">
        <v>37600</v>
      </c>
      <c r="B490" s="9">
        <v>543.65</v>
      </c>
      <c r="C490" s="9">
        <v>536.1</v>
      </c>
      <c r="D490" s="9">
        <v>541.64</v>
      </c>
      <c r="E490" s="9">
        <f t="shared" si="21"/>
        <v>-1.512775862706839E-3</v>
      </c>
      <c r="F490" s="45">
        <f t="shared" si="22"/>
        <v>0.10404029685098455</v>
      </c>
      <c r="G490" s="9">
        <f t="shared" si="23"/>
        <v>1.994290113565482E-2</v>
      </c>
    </row>
    <row r="491" spans="1:7" x14ac:dyDescent="0.2">
      <c r="A491" s="12">
        <v>37601</v>
      </c>
      <c r="B491" s="9">
        <v>548.86</v>
      </c>
      <c r="C491" s="9">
        <v>536.88</v>
      </c>
      <c r="D491" s="9">
        <v>543.08000000000004</v>
      </c>
      <c r="E491" s="9">
        <f t="shared" si="21"/>
        <v>2.6550646174571695E-3</v>
      </c>
      <c r="F491" s="45">
        <f t="shared" si="22"/>
        <v>7.9413777799959576E-2</v>
      </c>
      <c r="G491" s="9">
        <f t="shared" si="23"/>
        <v>1.9429109812397385E-2</v>
      </c>
    </row>
    <row r="492" spans="1:7" x14ac:dyDescent="0.2">
      <c r="A492" s="12">
        <v>37602</v>
      </c>
      <c r="B492" s="9">
        <v>542.52</v>
      </c>
      <c r="C492" s="9">
        <v>531.41999999999996</v>
      </c>
      <c r="D492" s="9">
        <v>533.16999999999996</v>
      </c>
      <c r="E492" s="9">
        <f t="shared" si="21"/>
        <v>-1.8416316076425451E-2</v>
      </c>
      <c r="F492" s="45">
        <f t="shared" si="22"/>
        <v>4.1844705355834094E-2</v>
      </c>
      <c r="G492" s="9">
        <f t="shared" si="23"/>
        <v>1.9539000651730584E-2</v>
      </c>
    </row>
    <row r="493" spans="1:7" x14ac:dyDescent="0.2">
      <c r="A493" s="12">
        <v>37603</v>
      </c>
      <c r="B493" s="9">
        <v>534.03</v>
      </c>
      <c r="C493" s="9">
        <v>524.41</v>
      </c>
      <c r="D493" s="9">
        <v>534.03</v>
      </c>
      <c r="E493" s="9">
        <f t="shared" si="21"/>
        <v>1.6116945017961919E-3</v>
      </c>
      <c r="F493" s="45">
        <f t="shared" si="22"/>
        <v>6.0697185915729743E-2</v>
      </c>
      <c r="G493" s="9">
        <f t="shared" si="23"/>
        <v>1.9219528265577296E-2</v>
      </c>
    </row>
    <row r="494" spans="1:7" x14ac:dyDescent="0.2">
      <c r="A494" s="12">
        <v>37606</v>
      </c>
      <c r="B494" s="9">
        <v>537.34</v>
      </c>
      <c r="C494" s="9">
        <v>527.23</v>
      </c>
      <c r="D494" s="9">
        <v>534.16</v>
      </c>
      <c r="E494" s="9">
        <f t="shared" si="21"/>
        <v>2.4340239216199443E-4</v>
      </c>
      <c r="F494" s="45">
        <f t="shared" si="22"/>
        <v>2.0311218490838032E-2</v>
      </c>
      <c r="G494" s="9">
        <f t="shared" si="23"/>
        <v>1.7782871180099333E-2</v>
      </c>
    </row>
    <row r="495" spans="1:7" x14ac:dyDescent="0.2">
      <c r="A495" s="12">
        <v>37607</v>
      </c>
      <c r="B495" s="9">
        <v>536.57000000000005</v>
      </c>
      <c r="C495" s="9">
        <v>518.20000000000005</v>
      </c>
      <c r="D495" s="9">
        <v>518.78</v>
      </c>
      <c r="E495" s="9">
        <f t="shared" si="21"/>
        <v>-2.9215518351570751E-2</v>
      </c>
      <c r="F495" s="45">
        <f t="shared" si="22"/>
        <v>-3.0319446764472478E-2</v>
      </c>
      <c r="G495" s="9">
        <f t="shared" si="23"/>
        <v>1.8145705234525585E-2</v>
      </c>
    </row>
    <row r="496" spans="1:7" x14ac:dyDescent="0.2">
      <c r="A496" s="12">
        <v>37608</v>
      </c>
      <c r="B496" s="9">
        <v>521.29</v>
      </c>
      <c r="C496" s="9">
        <v>505.82</v>
      </c>
      <c r="D496" s="9">
        <v>505.82</v>
      </c>
      <c r="E496" s="9">
        <f t="shared" si="21"/>
        <v>-2.5299026423235168E-2</v>
      </c>
      <c r="F496" s="45">
        <f t="shared" si="22"/>
        <v>-4.1057623710583267E-2</v>
      </c>
      <c r="G496" s="9">
        <f t="shared" si="23"/>
        <v>1.8524174030637743E-2</v>
      </c>
    </row>
    <row r="497" spans="1:7" x14ac:dyDescent="0.2">
      <c r="A497" s="12">
        <v>37609</v>
      </c>
      <c r="B497" s="9">
        <v>515.34</v>
      </c>
      <c r="C497" s="9">
        <v>498.11</v>
      </c>
      <c r="D497" s="9">
        <v>508.36</v>
      </c>
      <c r="E497" s="9">
        <f t="shared" si="21"/>
        <v>5.0089832390622421E-3</v>
      </c>
      <c r="F497" s="45">
        <f t="shared" si="22"/>
        <v>-1.2219474213949819E-2</v>
      </c>
      <c r="G497" s="9">
        <f t="shared" si="23"/>
        <v>1.8060893354756413E-2</v>
      </c>
    </row>
    <row r="498" spans="1:7" x14ac:dyDescent="0.2">
      <c r="A498" s="12">
        <v>37610</v>
      </c>
      <c r="B498" s="9">
        <v>513.41999999999996</v>
      </c>
      <c r="C498" s="9">
        <v>503.63</v>
      </c>
      <c r="D498" s="9">
        <v>509.81</v>
      </c>
      <c r="E498" s="9">
        <f t="shared" si="21"/>
        <v>2.8482492712673712E-3</v>
      </c>
      <c r="F498" s="45">
        <f t="shared" si="22"/>
        <v>-1.251429531955978E-2</v>
      </c>
      <c r="G498" s="9">
        <f t="shared" si="23"/>
        <v>1.805897499572709E-2</v>
      </c>
    </row>
    <row r="499" spans="1:7" x14ac:dyDescent="0.2">
      <c r="A499" s="12">
        <v>37613</v>
      </c>
      <c r="B499" s="9">
        <v>510.87</v>
      </c>
      <c r="C499" s="9">
        <v>503.64</v>
      </c>
      <c r="D499" s="9">
        <v>508.32</v>
      </c>
      <c r="E499" s="9">
        <f t="shared" si="21"/>
        <v>-2.9269367639310723E-3</v>
      </c>
      <c r="F499" s="45">
        <f t="shared" si="22"/>
        <v>-9.5544622202754954E-3</v>
      </c>
      <c r="G499" s="9">
        <f t="shared" si="23"/>
        <v>1.8036133260148992E-2</v>
      </c>
    </row>
    <row r="500" spans="1:7" x14ac:dyDescent="0.2">
      <c r="A500" s="12">
        <v>37617</v>
      </c>
      <c r="B500" s="9">
        <v>507.15</v>
      </c>
      <c r="C500" s="9">
        <v>490.99</v>
      </c>
      <c r="D500" s="9">
        <v>494.37</v>
      </c>
      <c r="E500" s="9">
        <f t="shared" si="21"/>
        <v>-2.7826945830457608E-2</v>
      </c>
      <c r="F500" s="45">
        <f t="shared" si="22"/>
        <v>-6.8743364598929671E-2</v>
      </c>
      <c r="G500" s="9">
        <f t="shared" si="23"/>
        <v>1.7685030524064678E-2</v>
      </c>
    </row>
    <row r="501" spans="1:7" x14ac:dyDescent="0.2">
      <c r="A501" s="12">
        <v>37620</v>
      </c>
      <c r="B501" s="9">
        <v>500.72</v>
      </c>
      <c r="C501" s="9">
        <v>490.79</v>
      </c>
      <c r="D501" s="9">
        <v>493.2</v>
      </c>
      <c r="E501" s="9">
        <f t="shared" si="21"/>
        <v>-2.3694534005592404E-3</v>
      </c>
      <c r="F501" s="45">
        <f t="shared" si="22"/>
        <v>-8.1557561948132518E-2</v>
      </c>
      <c r="G501" s="9">
        <f t="shared" si="23"/>
        <v>1.7520796454160766E-2</v>
      </c>
    </row>
    <row r="502" spans="1:7" x14ac:dyDescent="0.2">
      <c r="A502" s="12">
        <v>37623</v>
      </c>
      <c r="B502" s="9">
        <v>514.97</v>
      </c>
      <c r="C502" s="9">
        <v>494.09</v>
      </c>
      <c r="D502" s="9">
        <v>514.79</v>
      </c>
      <c r="E502" s="9">
        <f t="shared" si="21"/>
        <v>4.2844279223689115E-2</v>
      </c>
      <c r="F502" s="45">
        <f t="shared" si="22"/>
        <v>-6.2570979461257656E-2</v>
      </c>
      <c r="G502" s="9">
        <f t="shared" si="23"/>
        <v>1.8809416625423108E-2</v>
      </c>
    </row>
    <row r="503" spans="1:7" x14ac:dyDescent="0.2">
      <c r="A503" s="12">
        <v>37624</v>
      </c>
      <c r="B503" s="9">
        <v>521.66999999999996</v>
      </c>
      <c r="C503" s="9">
        <v>515.36</v>
      </c>
      <c r="D503" s="9">
        <v>519.75</v>
      </c>
      <c r="E503" s="9">
        <f t="shared" si="21"/>
        <v>9.588876224243828E-3</v>
      </c>
      <c r="F503" s="45">
        <f t="shared" si="22"/>
        <v>-4.3245606425361259E-2</v>
      </c>
      <c r="G503" s="9">
        <f t="shared" si="23"/>
        <v>1.8869188961740516E-2</v>
      </c>
    </row>
    <row r="504" spans="1:7" x14ac:dyDescent="0.2">
      <c r="A504" s="12">
        <v>37628</v>
      </c>
      <c r="B504" s="9">
        <v>525.54999999999995</v>
      </c>
      <c r="C504" s="9">
        <v>512.86</v>
      </c>
      <c r="D504" s="9">
        <v>518.66</v>
      </c>
      <c r="E504" s="9">
        <f t="shared" si="21"/>
        <v>-2.0993642209387172E-3</v>
      </c>
      <c r="F504" s="45">
        <f t="shared" si="22"/>
        <v>-6.6583771340260264E-2</v>
      </c>
      <c r="G504" s="9">
        <f t="shared" si="23"/>
        <v>1.8376542963755186E-2</v>
      </c>
    </row>
    <row r="505" spans="1:7" x14ac:dyDescent="0.2">
      <c r="A505" s="12">
        <v>37629</v>
      </c>
      <c r="B505" s="9">
        <v>517.32000000000005</v>
      </c>
      <c r="C505" s="9">
        <v>501</v>
      </c>
      <c r="D505" s="9">
        <v>504.78</v>
      </c>
      <c r="E505" s="9">
        <f t="shared" si="21"/>
        <v>-2.7125871726406403E-2</v>
      </c>
      <c r="F505" s="45">
        <f t="shared" si="22"/>
        <v>-7.2397136826330533E-2</v>
      </c>
      <c r="G505" s="9">
        <f t="shared" si="23"/>
        <v>1.8613937160507753E-2</v>
      </c>
    </row>
    <row r="506" spans="1:7" x14ac:dyDescent="0.2">
      <c r="A506" s="12">
        <v>37630</v>
      </c>
      <c r="B506" s="9">
        <v>508.83</v>
      </c>
      <c r="C506" s="9">
        <v>494.41</v>
      </c>
      <c r="D506" s="9">
        <v>508.27</v>
      </c>
      <c r="E506" s="9">
        <f t="shared" si="21"/>
        <v>6.8901116566914347E-3</v>
      </c>
      <c r="F506" s="45">
        <f t="shared" si="22"/>
        <v>-7.215547295420327E-2</v>
      </c>
      <c r="G506" s="9">
        <f t="shared" si="23"/>
        <v>1.8618045807167406E-2</v>
      </c>
    </row>
    <row r="507" spans="1:7" x14ac:dyDescent="0.2">
      <c r="A507" s="12">
        <v>37631</v>
      </c>
      <c r="B507" s="9">
        <v>516.66</v>
      </c>
      <c r="C507" s="9">
        <v>506.7</v>
      </c>
      <c r="D507" s="9">
        <v>514.66999999999996</v>
      </c>
      <c r="E507" s="9">
        <f t="shared" si="21"/>
        <v>1.2513116132107255E-2</v>
      </c>
      <c r="F507" s="45">
        <f t="shared" si="22"/>
        <v>-9.8736335294262401E-2</v>
      </c>
      <c r="G507" s="9">
        <f t="shared" si="23"/>
        <v>1.7149586432002085E-2</v>
      </c>
    </row>
    <row r="508" spans="1:7" x14ac:dyDescent="0.2">
      <c r="A508" s="12">
        <v>37634</v>
      </c>
      <c r="B508" s="9">
        <v>526.28</v>
      </c>
      <c r="C508" s="9">
        <v>516.58000000000004</v>
      </c>
      <c r="D508" s="9">
        <v>519.11</v>
      </c>
      <c r="E508" s="9">
        <f t="shared" si="21"/>
        <v>8.5898881790182346E-3</v>
      </c>
      <c r="F508" s="45">
        <f t="shared" si="22"/>
        <v>-9.9572380211863334E-2</v>
      </c>
      <c r="G508" s="9">
        <f t="shared" si="23"/>
        <v>1.7128875190306869E-2</v>
      </c>
    </row>
    <row r="509" spans="1:7" x14ac:dyDescent="0.2">
      <c r="A509" s="12">
        <v>37635</v>
      </c>
      <c r="B509" s="9">
        <v>528.77</v>
      </c>
      <c r="C509" s="9">
        <v>521.23</v>
      </c>
      <c r="D509" s="9">
        <v>526.01</v>
      </c>
      <c r="E509" s="9">
        <f t="shared" si="21"/>
        <v>1.3204417205245468E-2</v>
      </c>
      <c r="F509" s="45">
        <f t="shared" si="22"/>
        <v>-7.4156856504221574E-2</v>
      </c>
      <c r="G509" s="9">
        <f t="shared" si="23"/>
        <v>1.7301563369797508E-2</v>
      </c>
    </row>
    <row r="510" spans="1:7" x14ac:dyDescent="0.2">
      <c r="A510" s="12">
        <v>37636</v>
      </c>
      <c r="B510" s="9">
        <v>530.71</v>
      </c>
      <c r="C510" s="9">
        <v>519.26</v>
      </c>
      <c r="D510" s="9">
        <v>521.32000000000005</v>
      </c>
      <c r="E510" s="9">
        <f t="shared" si="21"/>
        <v>-8.9561673013202753E-3</v>
      </c>
      <c r="F510" s="45">
        <f t="shared" si="22"/>
        <v>-6.4008475831471914E-2</v>
      </c>
      <c r="G510" s="9">
        <f t="shared" si="23"/>
        <v>1.7062710314662694E-2</v>
      </c>
    </row>
    <row r="511" spans="1:7" x14ac:dyDescent="0.2">
      <c r="A511" s="12">
        <v>37637</v>
      </c>
      <c r="B511" s="9">
        <v>522.39</v>
      </c>
      <c r="C511" s="9">
        <v>513.65</v>
      </c>
      <c r="D511" s="9">
        <v>521.44000000000005</v>
      </c>
      <c r="E511" s="9">
        <f t="shared" si="21"/>
        <v>2.3015842673247306E-4</v>
      </c>
      <c r="F511" s="45">
        <f t="shared" si="22"/>
        <v>-0.10341208602229704</v>
      </c>
      <c r="G511" s="9">
        <f t="shared" si="23"/>
        <v>1.5145574773470682E-2</v>
      </c>
    </row>
    <row r="512" spans="1:7" x14ac:dyDescent="0.2">
      <c r="A512" s="12">
        <v>37638</v>
      </c>
      <c r="B512" s="9">
        <v>519.88</v>
      </c>
      <c r="C512" s="9">
        <v>508.47</v>
      </c>
      <c r="D512" s="9">
        <v>509.61</v>
      </c>
      <c r="E512" s="9">
        <f t="shared" si="21"/>
        <v>-2.2948487789922131E-2</v>
      </c>
      <c r="F512" s="45">
        <f t="shared" si="22"/>
        <v>-0.13628950151783945</v>
      </c>
      <c r="G512" s="9">
        <f t="shared" si="23"/>
        <v>1.5332658201491434E-2</v>
      </c>
    </row>
    <row r="513" spans="1:7" x14ac:dyDescent="0.2">
      <c r="A513" s="12">
        <v>37641</v>
      </c>
      <c r="B513" s="9">
        <v>517.41</v>
      </c>
      <c r="C513" s="9">
        <v>509.23</v>
      </c>
      <c r="D513" s="9">
        <v>515.77</v>
      </c>
      <c r="E513" s="9">
        <f t="shared" si="21"/>
        <v>1.2015202378110736E-2</v>
      </c>
      <c r="F513" s="45">
        <f t="shared" si="22"/>
        <v>-0.10912641534073869</v>
      </c>
      <c r="G513" s="9">
        <f t="shared" si="23"/>
        <v>1.5486074923350458E-2</v>
      </c>
    </row>
    <row r="514" spans="1:7" x14ac:dyDescent="0.2">
      <c r="A514" s="12">
        <v>37642</v>
      </c>
      <c r="B514" s="9">
        <v>520.01</v>
      </c>
      <c r="C514" s="9">
        <v>507.09</v>
      </c>
      <c r="D514" s="9">
        <v>508.64</v>
      </c>
      <c r="E514" s="9">
        <f t="shared" ref="E514:E577" si="24">LN(D514/D513)</f>
        <v>-1.3920432514947588E-2</v>
      </c>
      <c r="F514" s="45">
        <f t="shared" si="22"/>
        <v>-0.11533342636875019</v>
      </c>
      <c r="G514" s="9">
        <f t="shared" si="23"/>
        <v>1.5583565310734562E-2</v>
      </c>
    </row>
    <row r="515" spans="1:7" x14ac:dyDescent="0.2">
      <c r="A515" s="12">
        <v>37643</v>
      </c>
      <c r="B515" s="9">
        <v>510.84</v>
      </c>
      <c r="C515" s="9">
        <v>498.55</v>
      </c>
      <c r="D515" s="9">
        <v>500.38</v>
      </c>
      <c r="E515" s="9">
        <f t="shared" si="24"/>
        <v>-1.6372687394058817E-2</v>
      </c>
      <c r="F515" s="45">
        <f t="shared" si="22"/>
        <v>-0.11180082186461054</v>
      </c>
      <c r="G515" s="9">
        <f t="shared" si="23"/>
        <v>1.5470960362853083E-2</v>
      </c>
    </row>
    <row r="516" spans="1:7" x14ac:dyDescent="0.2">
      <c r="A516" s="12">
        <v>37644</v>
      </c>
      <c r="B516" s="9">
        <v>507.46</v>
      </c>
      <c r="C516" s="9">
        <v>495.94</v>
      </c>
      <c r="D516" s="9">
        <v>497.97</v>
      </c>
      <c r="E516" s="9">
        <f t="shared" si="24"/>
        <v>-4.8279755221958412E-3</v>
      </c>
      <c r="F516" s="45">
        <f t="shared" si="22"/>
        <v>-0.11471478426301764</v>
      </c>
      <c r="G516" s="9">
        <f t="shared" si="23"/>
        <v>1.5468334497156178E-2</v>
      </c>
    </row>
    <row r="517" spans="1:7" x14ac:dyDescent="0.2">
      <c r="A517" s="12">
        <v>37645</v>
      </c>
      <c r="B517" s="9">
        <v>503.02</v>
      </c>
      <c r="C517" s="9">
        <v>493.06</v>
      </c>
      <c r="D517" s="9">
        <v>494.18</v>
      </c>
      <c r="E517" s="9">
        <f t="shared" si="24"/>
        <v>-7.6400109562068507E-3</v>
      </c>
      <c r="F517" s="45">
        <f t="shared" si="22"/>
        <v>-0.11050328494782213</v>
      </c>
      <c r="G517" s="9">
        <f t="shared" si="23"/>
        <v>1.5411974879832391E-2</v>
      </c>
    </row>
    <row r="518" spans="1:7" x14ac:dyDescent="0.2">
      <c r="A518" s="12">
        <v>37648</v>
      </c>
      <c r="B518" s="9">
        <v>492.45</v>
      </c>
      <c r="C518" s="9">
        <v>474.93</v>
      </c>
      <c r="D518" s="9">
        <v>475.65</v>
      </c>
      <c r="E518" s="9">
        <f t="shared" si="24"/>
        <v>-3.8217533637565006E-2</v>
      </c>
      <c r="F518" s="45">
        <f t="shared" si="22"/>
        <v>-0.14576312234190306</v>
      </c>
      <c r="G518" s="9">
        <f t="shared" si="23"/>
        <v>1.6649505501390296E-2</v>
      </c>
    </row>
    <row r="519" spans="1:7" x14ac:dyDescent="0.2">
      <c r="A519" s="12">
        <v>37649</v>
      </c>
      <c r="B519" s="9">
        <v>480.77</v>
      </c>
      <c r="C519" s="9">
        <v>467.72</v>
      </c>
      <c r="D519" s="9">
        <v>469.16</v>
      </c>
      <c r="E519" s="9">
        <f t="shared" si="24"/>
        <v>-1.3738427999161642E-2</v>
      </c>
      <c r="F519" s="45">
        <f t="shared" si="22"/>
        <v>-0.14517048832402582</v>
      </c>
      <c r="G519" s="9">
        <f t="shared" si="23"/>
        <v>1.6638226938053974E-2</v>
      </c>
    </row>
    <row r="520" spans="1:7" x14ac:dyDescent="0.2">
      <c r="A520" s="12">
        <v>37650</v>
      </c>
      <c r="B520" s="9">
        <v>471.55</v>
      </c>
      <c r="C520" s="9">
        <v>462.87</v>
      </c>
      <c r="D520" s="9">
        <v>466.82</v>
      </c>
      <c r="E520" s="9">
        <f t="shared" si="24"/>
        <v>-5.0001172572632551E-3</v>
      </c>
      <c r="F520" s="45">
        <f t="shared" si="22"/>
        <v>-0.14865782971858227</v>
      </c>
      <c r="G520" s="9">
        <f t="shared" si="23"/>
        <v>1.6626364571275708E-2</v>
      </c>
    </row>
    <row r="521" spans="1:7" x14ac:dyDescent="0.2">
      <c r="A521" s="12">
        <v>37651</v>
      </c>
      <c r="B521" s="9">
        <v>480.46</v>
      </c>
      <c r="C521" s="9">
        <v>468.48</v>
      </c>
      <c r="D521" s="9">
        <v>479.68</v>
      </c>
      <c r="E521" s="9">
        <f t="shared" si="24"/>
        <v>2.7175470518191757E-2</v>
      </c>
      <c r="F521" s="45">
        <f t="shared" si="22"/>
        <v>-0.12413742381784769</v>
      </c>
      <c r="G521" s="9">
        <f t="shared" si="23"/>
        <v>1.7588269152292793E-2</v>
      </c>
    </row>
    <row r="522" spans="1:7" x14ac:dyDescent="0.2">
      <c r="A522" s="12">
        <v>37652</v>
      </c>
      <c r="B522" s="9">
        <v>478.01</v>
      </c>
      <c r="C522" s="9">
        <v>469.97</v>
      </c>
      <c r="D522" s="9">
        <v>477.8</v>
      </c>
      <c r="E522" s="9">
        <f t="shared" si="24"/>
        <v>-3.9269800225236783E-3</v>
      </c>
      <c r="F522" s="45">
        <f t="shared" si="22"/>
        <v>-0.10964808776394593</v>
      </c>
      <c r="G522" s="9">
        <f t="shared" si="23"/>
        <v>1.7380372246879845E-2</v>
      </c>
    </row>
    <row r="523" spans="1:7" x14ac:dyDescent="0.2">
      <c r="A523" s="12">
        <v>37655</v>
      </c>
      <c r="B523" s="9">
        <v>484.69</v>
      </c>
      <c r="C523" s="9">
        <v>474.86</v>
      </c>
      <c r="D523" s="9">
        <v>481.8</v>
      </c>
      <c r="E523" s="9">
        <f t="shared" si="24"/>
        <v>8.336855289061789E-3</v>
      </c>
      <c r="F523" s="45">
        <f t="shared" si="22"/>
        <v>-0.10292292697668025</v>
      </c>
      <c r="G523" s="9">
        <f t="shared" si="23"/>
        <v>1.7493645068603139E-2</v>
      </c>
    </row>
    <row r="524" spans="1:7" x14ac:dyDescent="0.2">
      <c r="A524" s="12">
        <v>37656</v>
      </c>
      <c r="B524" s="9">
        <v>479.1</v>
      </c>
      <c r="C524" s="9">
        <v>463.81</v>
      </c>
      <c r="D524" s="9">
        <v>464</v>
      </c>
      <c r="E524" s="9">
        <f t="shared" si="24"/>
        <v>-3.7644537954515798E-2</v>
      </c>
      <c r="F524" s="45">
        <f t="shared" si="22"/>
        <v>-0.1408108673233581</v>
      </c>
      <c r="G524" s="9">
        <f t="shared" si="23"/>
        <v>1.8554703707254198E-2</v>
      </c>
    </row>
    <row r="525" spans="1:7" x14ac:dyDescent="0.2">
      <c r="A525" s="12">
        <v>37657</v>
      </c>
      <c r="B525" s="9">
        <v>476.44</v>
      </c>
      <c r="C525" s="9">
        <v>460.54</v>
      </c>
      <c r="D525" s="9">
        <v>476.34</v>
      </c>
      <c r="E525" s="9">
        <f t="shared" si="24"/>
        <v>2.6247332738821766E-2</v>
      </c>
      <c r="F525" s="45">
        <f t="shared" si="22"/>
        <v>-8.5348016232965673E-2</v>
      </c>
      <c r="G525" s="9">
        <f t="shared" si="23"/>
        <v>1.8788774809409541E-2</v>
      </c>
    </row>
    <row r="526" spans="1:7" x14ac:dyDescent="0.2">
      <c r="A526" s="12">
        <v>37658</v>
      </c>
      <c r="B526" s="9">
        <v>481.08</v>
      </c>
      <c r="C526" s="9">
        <v>470.37</v>
      </c>
      <c r="D526" s="9">
        <v>474.25</v>
      </c>
      <c r="E526" s="9">
        <f t="shared" si="24"/>
        <v>-4.3972761499533755E-3</v>
      </c>
      <c r="F526" s="45">
        <f t="shared" si="22"/>
        <v>-6.4446265959683904E-2</v>
      </c>
      <c r="G526" s="9">
        <f t="shared" si="23"/>
        <v>1.8308830005108596E-2</v>
      </c>
    </row>
    <row r="527" spans="1:7" x14ac:dyDescent="0.2">
      <c r="A527" s="12">
        <v>37659</v>
      </c>
      <c r="B527" s="9">
        <v>476.2</v>
      </c>
      <c r="C527" s="9">
        <v>465.59</v>
      </c>
      <c r="D527" s="9">
        <v>466.97</v>
      </c>
      <c r="E527" s="9">
        <f t="shared" si="24"/>
        <v>-1.5469593038386223E-2</v>
      </c>
      <c r="F527" s="45">
        <f t="shared" si="22"/>
        <v>-8.4924842237132314E-2</v>
      </c>
      <c r="G527" s="9">
        <f t="shared" si="23"/>
        <v>1.8414236655413089E-2</v>
      </c>
    </row>
    <row r="528" spans="1:7" x14ac:dyDescent="0.2">
      <c r="A528" s="12">
        <v>37662</v>
      </c>
      <c r="B528" s="9">
        <v>465.98</v>
      </c>
      <c r="C528" s="9">
        <v>456.53</v>
      </c>
      <c r="D528" s="9">
        <v>456.53</v>
      </c>
      <c r="E528" s="9">
        <f t="shared" si="24"/>
        <v>-2.2610600485894E-2</v>
      </c>
      <c r="F528" s="45">
        <f t="shared" si="22"/>
        <v>-0.11038369199429371</v>
      </c>
      <c r="G528" s="9">
        <f t="shared" si="23"/>
        <v>1.8727466103023564E-2</v>
      </c>
    </row>
    <row r="529" spans="1:7" x14ac:dyDescent="0.2">
      <c r="A529" s="12">
        <v>37663</v>
      </c>
      <c r="B529" s="9">
        <v>472.7</v>
      </c>
      <c r="C529" s="9">
        <v>457.52</v>
      </c>
      <c r="D529" s="9">
        <v>469.07</v>
      </c>
      <c r="E529" s="9">
        <f t="shared" si="24"/>
        <v>2.7097595749549161E-2</v>
      </c>
      <c r="F529" s="45">
        <f t="shared" si="22"/>
        <v>-8.0359159480813319E-2</v>
      </c>
      <c r="G529" s="9">
        <f t="shared" si="23"/>
        <v>1.9553139954802342E-2</v>
      </c>
    </row>
    <row r="530" spans="1:7" x14ac:dyDescent="0.2">
      <c r="A530" s="12">
        <v>37664</v>
      </c>
      <c r="B530" s="9">
        <v>474.36</v>
      </c>
      <c r="C530" s="9">
        <v>466.01</v>
      </c>
      <c r="D530" s="9">
        <v>473.17</v>
      </c>
      <c r="E530" s="9">
        <f t="shared" si="24"/>
        <v>8.7027209137708634E-3</v>
      </c>
      <c r="F530" s="45">
        <f t="shared" si="22"/>
        <v>-4.3829492736584985E-2</v>
      </c>
      <c r="G530" s="9">
        <f t="shared" si="23"/>
        <v>1.9064365223932261E-2</v>
      </c>
    </row>
    <row r="531" spans="1:7" x14ac:dyDescent="0.2">
      <c r="A531" s="12">
        <v>37665</v>
      </c>
      <c r="B531" s="9">
        <v>480.73</v>
      </c>
      <c r="C531" s="9">
        <v>470.43</v>
      </c>
      <c r="D531" s="9">
        <v>474.3</v>
      </c>
      <c r="E531" s="9">
        <f t="shared" si="24"/>
        <v>2.3853009293725775E-3</v>
      </c>
      <c r="F531" s="45">
        <f t="shared" si="22"/>
        <v>-3.9074738406653133E-2</v>
      </c>
      <c r="G531" s="9">
        <f t="shared" si="23"/>
        <v>1.9076312819822826E-2</v>
      </c>
    </row>
    <row r="532" spans="1:7" x14ac:dyDescent="0.2">
      <c r="A532" s="12">
        <v>37666</v>
      </c>
      <c r="B532" s="9">
        <v>483.25</v>
      </c>
      <c r="C532" s="9">
        <v>472.28</v>
      </c>
      <c r="D532" s="9">
        <v>479.38</v>
      </c>
      <c r="E532" s="9">
        <f t="shared" si="24"/>
        <v>1.0653569431308291E-2</v>
      </c>
      <c r="F532" s="45">
        <f t="shared" si="22"/>
        <v>-7.1265448199034062E-2</v>
      </c>
      <c r="G532" s="9">
        <f t="shared" si="23"/>
        <v>1.7333179525838974E-2</v>
      </c>
    </row>
    <row r="533" spans="1:7" x14ac:dyDescent="0.2">
      <c r="A533" s="12">
        <v>37669</v>
      </c>
      <c r="B533" s="9">
        <v>494.87</v>
      </c>
      <c r="C533" s="9">
        <v>481.08</v>
      </c>
      <c r="D533" s="9">
        <v>493.91</v>
      </c>
      <c r="E533" s="9">
        <f t="shared" si="24"/>
        <v>2.985971204033231E-2</v>
      </c>
      <c r="F533" s="45">
        <f t="shared" si="22"/>
        <v>-5.0994612382945663E-2</v>
      </c>
      <c r="G533" s="9">
        <f t="shared" si="23"/>
        <v>1.8189614857718979E-2</v>
      </c>
    </row>
    <row r="534" spans="1:7" x14ac:dyDescent="0.2">
      <c r="A534" s="12">
        <v>37670</v>
      </c>
      <c r="B534" s="9">
        <v>501.47</v>
      </c>
      <c r="C534" s="9">
        <v>487.82</v>
      </c>
      <c r="D534" s="9">
        <v>499.17</v>
      </c>
      <c r="E534" s="9">
        <f t="shared" si="24"/>
        <v>1.0593404740348854E-2</v>
      </c>
      <c r="F534" s="45">
        <f t="shared" si="22"/>
        <v>-3.8301843421658009E-2</v>
      </c>
      <c r="G534" s="9">
        <f t="shared" si="23"/>
        <v>1.8327098937145861E-2</v>
      </c>
    </row>
    <row r="535" spans="1:7" x14ac:dyDescent="0.2">
      <c r="A535" s="12">
        <v>37671</v>
      </c>
      <c r="B535" s="9">
        <v>500.84</v>
      </c>
      <c r="C535" s="9">
        <v>489.18</v>
      </c>
      <c r="D535" s="9">
        <v>491.29</v>
      </c>
      <c r="E535" s="9">
        <f t="shared" si="24"/>
        <v>-1.5912134290498012E-2</v>
      </c>
      <c r="F535" s="45">
        <f t="shared" si="22"/>
        <v>-2.7088105985749532E-2</v>
      </c>
      <c r="G535" s="9">
        <f t="shared" si="23"/>
        <v>1.7890875539623041E-2</v>
      </c>
    </row>
    <row r="536" spans="1:7" x14ac:dyDescent="0.2">
      <c r="A536" s="12">
        <v>37672</v>
      </c>
      <c r="B536" s="9">
        <v>490.73</v>
      </c>
      <c r="C536" s="9">
        <v>479.17</v>
      </c>
      <c r="D536" s="9">
        <v>479.98</v>
      </c>
      <c r="E536" s="9">
        <f t="shared" si="24"/>
        <v>-2.3290148437837329E-2</v>
      </c>
      <c r="F536" s="45">
        <f t="shared" si="22"/>
        <v>-5.7268366080278299E-2</v>
      </c>
      <c r="G536" s="9">
        <f t="shared" si="23"/>
        <v>1.8281810663565583E-2</v>
      </c>
    </row>
    <row r="537" spans="1:7" x14ac:dyDescent="0.2">
      <c r="A537" s="12">
        <v>37673</v>
      </c>
      <c r="B537" s="9">
        <v>480.32</v>
      </c>
      <c r="C537" s="9">
        <v>472.34</v>
      </c>
      <c r="D537" s="9">
        <v>478.19</v>
      </c>
      <c r="E537" s="9">
        <f t="shared" si="24"/>
        <v>-3.7362933140245801E-3</v>
      </c>
      <c r="F537" s="45">
        <f t="shared" si="22"/>
        <v>-7.3517775526410103E-2</v>
      </c>
      <c r="G537" s="9">
        <f t="shared" si="23"/>
        <v>1.8079379878154524E-2</v>
      </c>
    </row>
    <row r="538" spans="1:7" x14ac:dyDescent="0.2">
      <c r="A538" s="12">
        <v>37676</v>
      </c>
      <c r="B538" s="9">
        <v>482.52</v>
      </c>
      <c r="C538" s="9">
        <v>473.16</v>
      </c>
      <c r="D538" s="9">
        <v>474.47</v>
      </c>
      <c r="E538" s="9">
        <f t="shared" si="24"/>
        <v>-7.8097514487187871E-3</v>
      </c>
      <c r="F538" s="45">
        <f t="shared" si="22"/>
        <v>-8.9917415154147112E-2</v>
      </c>
      <c r="G538" s="9">
        <f t="shared" si="23"/>
        <v>1.7981713659358477E-2</v>
      </c>
    </row>
    <row r="539" spans="1:7" x14ac:dyDescent="0.2">
      <c r="A539" s="12">
        <v>37677</v>
      </c>
      <c r="B539" s="9">
        <v>473.48</v>
      </c>
      <c r="C539" s="9">
        <v>458.41</v>
      </c>
      <c r="D539" s="9">
        <v>461.46</v>
      </c>
      <c r="E539" s="9">
        <f t="shared" si="24"/>
        <v>-2.7803015307429547E-2</v>
      </c>
      <c r="F539" s="45">
        <f t="shared" si="22"/>
        <v>-0.13092484766682205</v>
      </c>
      <c r="G539" s="9">
        <f t="shared" si="23"/>
        <v>1.8264056760516813E-2</v>
      </c>
    </row>
    <row r="540" spans="1:7" x14ac:dyDescent="0.2">
      <c r="A540" s="12">
        <v>37678</v>
      </c>
      <c r="B540" s="9">
        <v>466.72</v>
      </c>
      <c r="C540" s="9">
        <v>457.34</v>
      </c>
      <c r="D540" s="9">
        <v>459.1</v>
      </c>
      <c r="E540" s="9">
        <f t="shared" si="24"/>
        <v>-5.1273250418410075E-3</v>
      </c>
      <c r="F540" s="45">
        <f t="shared" si="22"/>
        <v>-0.1270960054073427</v>
      </c>
      <c r="G540" s="9">
        <f t="shared" si="23"/>
        <v>1.8244228700506071E-2</v>
      </c>
    </row>
    <row r="541" spans="1:7" x14ac:dyDescent="0.2">
      <c r="A541" s="12">
        <v>37679</v>
      </c>
      <c r="B541" s="9">
        <v>466.32</v>
      </c>
      <c r="C541" s="9">
        <v>451.11</v>
      </c>
      <c r="D541" s="9">
        <v>464</v>
      </c>
      <c r="E541" s="9">
        <f t="shared" si="24"/>
        <v>1.0616500971078897E-2</v>
      </c>
      <c r="F541" s="45">
        <f t="shared" si="22"/>
        <v>-0.11670966286299621</v>
      </c>
      <c r="G541" s="9">
        <f t="shared" si="23"/>
        <v>1.8429520894427325E-2</v>
      </c>
    </row>
    <row r="542" spans="1:7" x14ac:dyDescent="0.2">
      <c r="A542" s="12">
        <v>37680</v>
      </c>
      <c r="B542" s="9">
        <v>470.35</v>
      </c>
      <c r="C542" s="9">
        <v>459.42</v>
      </c>
      <c r="D542" s="9">
        <v>469.97</v>
      </c>
      <c r="E542" s="9">
        <f t="shared" si="24"/>
        <v>1.278431065340753E-2</v>
      </c>
      <c r="F542" s="45">
        <f t="shared" si="22"/>
        <v>-8.0976864419666686E-2</v>
      </c>
      <c r="G542" s="9">
        <f t="shared" si="23"/>
        <v>1.8309634333212751E-2</v>
      </c>
    </row>
    <row r="543" spans="1:7" x14ac:dyDescent="0.2">
      <c r="A543" s="12">
        <v>37683</v>
      </c>
      <c r="B543" s="9">
        <v>475.78</v>
      </c>
      <c r="C543" s="9">
        <v>469.21</v>
      </c>
      <c r="D543" s="9">
        <v>471.43</v>
      </c>
      <c r="E543" s="9">
        <f t="shared" si="24"/>
        <v>3.101765818034433E-3</v>
      </c>
      <c r="F543" s="45">
        <f t="shared" si="22"/>
        <v>-8.9890300979742863E-2</v>
      </c>
      <c r="G543" s="9">
        <f t="shared" si="23"/>
        <v>1.8134105146786272E-2</v>
      </c>
    </row>
    <row r="544" spans="1:7" x14ac:dyDescent="0.2">
      <c r="A544" s="12">
        <v>37684</v>
      </c>
      <c r="B544" s="9">
        <v>470.44</v>
      </c>
      <c r="C544" s="9">
        <v>461.62</v>
      </c>
      <c r="D544" s="9">
        <v>463.13</v>
      </c>
      <c r="E544" s="9">
        <f t="shared" si="24"/>
        <v>-1.7762836484302227E-2</v>
      </c>
      <c r="F544" s="45">
        <f t="shared" si="22"/>
        <v>-9.373270494909744E-2</v>
      </c>
      <c r="G544" s="9">
        <f t="shared" si="23"/>
        <v>1.8227252024369239E-2</v>
      </c>
    </row>
    <row r="545" spans="1:7" x14ac:dyDescent="0.2">
      <c r="A545" s="12">
        <v>37685</v>
      </c>
      <c r="B545" s="9">
        <v>462.81</v>
      </c>
      <c r="C545" s="9">
        <v>456.63</v>
      </c>
      <c r="D545" s="9">
        <v>459.64</v>
      </c>
      <c r="E545" s="9">
        <f t="shared" si="24"/>
        <v>-7.5642178239621674E-3</v>
      </c>
      <c r="F545" s="45">
        <f t="shared" ref="F545:F608" si="25">LN(D545/D515)</f>
        <v>-8.4924235379000776E-2</v>
      </c>
      <c r="G545" s="9">
        <f t="shared" ref="G545:G608" si="26">STDEV(E516:E545)</f>
        <v>1.8076807151802196E-2</v>
      </c>
    </row>
    <row r="546" spans="1:7" x14ac:dyDescent="0.2">
      <c r="A546" s="12">
        <v>37686</v>
      </c>
      <c r="B546" s="9">
        <v>461.97</v>
      </c>
      <c r="C546" s="9">
        <v>455.41</v>
      </c>
      <c r="D546" s="9">
        <v>457.71</v>
      </c>
      <c r="E546" s="9">
        <f t="shared" si="24"/>
        <v>-4.2077785962125122E-3</v>
      </c>
      <c r="F546" s="45">
        <f t="shared" si="25"/>
        <v>-8.4304038453017469E-2</v>
      </c>
      <c r="G546" s="9">
        <f t="shared" si="26"/>
        <v>1.8074798892901138E-2</v>
      </c>
    </row>
    <row r="547" spans="1:7" x14ac:dyDescent="0.2">
      <c r="A547" s="12">
        <v>37687</v>
      </c>
      <c r="B547" s="9">
        <v>456.9</v>
      </c>
      <c r="C547" s="9">
        <v>446.53</v>
      </c>
      <c r="D547" s="9">
        <v>452.03</v>
      </c>
      <c r="E547" s="9">
        <f t="shared" si="24"/>
        <v>-1.2487246482075921E-2</v>
      </c>
      <c r="F547" s="45">
        <f t="shared" si="25"/>
        <v>-8.9151273978886558E-2</v>
      </c>
      <c r="G547" s="9">
        <f t="shared" si="26"/>
        <v>1.8141006981155762E-2</v>
      </c>
    </row>
    <row r="548" spans="1:7" x14ac:dyDescent="0.2">
      <c r="A548" s="12">
        <v>37690</v>
      </c>
      <c r="B548" s="9">
        <v>452.41</v>
      </c>
      <c r="C548" s="9">
        <v>444.13</v>
      </c>
      <c r="D548" s="9">
        <v>446</v>
      </c>
      <c r="E548" s="9">
        <f t="shared" si="24"/>
        <v>-1.3429597291080352E-2</v>
      </c>
      <c r="F548" s="45">
        <f t="shared" si="25"/>
        <v>-6.4363337632401929E-2</v>
      </c>
      <c r="G548" s="9">
        <f t="shared" si="26"/>
        <v>1.7009536656887477E-2</v>
      </c>
    </row>
    <row r="549" spans="1:7" x14ac:dyDescent="0.2">
      <c r="A549" s="12">
        <v>37691</v>
      </c>
      <c r="B549" s="9">
        <v>445.66</v>
      </c>
      <c r="C549" s="9">
        <v>435.4</v>
      </c>
      <c r="D549" s="9">
        <v>440.82</v>
      </c>
      <c r="E549" s="9">
        <f t="shared" si="24"/>
        <v>-1.1682323159823045E-2</v>
      </c>
      <c r="F549" s="45">
        <f t="shared" si="25"/>
        <v>-6.2307232793063369E-2</v>
      </c>
      <c r="G549" s="9">
        <f t="shared" si="26"/>
        <v>1.6965298914808705E-2</v>
      </c>
    </row>
    <row r="550" spans="1:7" x14ac:dyDescent="0.2">
      <c r="A550" s="12">
        <v>37692</v>
      </c>
      <c r="B550" s="9">
        <v>441.87</v>
      </c>
      <c r="C550" s="9">
        <v>430.33</v>
      </c>
      <c r="D550" s="9">
        <v>432.36</v>
      </c>
      <c r="E550" s="9">
        <f t="shared" si="24"/>
        <v>-1.937805431223889E-2</v>
      </c>
      <c r="F550" s="45">
        <f t="shared" si="25"/>
        <v>-7.6685169848038831E-2</v>
      </c>
      <c r="G550" s="9">
        <f t="shared" si="26"/>
        <v>1.7251400076376329E-2</v>
      </c>
    </row>
    <row r="551" spans="1:7" x14ac:dyDescent="0.2">
      <c r="A551" s="12">
        <v>37693</v>
      </c>
      <c r="B551" s="9">
        <v>450.74</v>
      </c>
      <c r="C551" s="9">
        <v>433.17</v>
      </c>
      <c r="D551" s="9">
        <v>450.74</v>
      </c>
      <c r="E551" s="9">
        <f t="shared" si="24"/>
        <v>4.1632102042517362E-2</v>
      </c>
      <c r="F551" s="45">
        <f t="shared" si="25"/>
        <v>-6.2228538323713355E-2</v>
      </c>
      <c r="G551" s="9">
        <f t="shared" si="26"/>
        <v>1.8281684697147329E-2</v>
      </c>
    </row>
    <row r="552" spans="1:7" x14ac:dyDescent="0.2">
      <c r="A552" s="12">
        <v>37694</v>
      </c>
      <c r="B552" s="9">
        <v>465.93</v>
      </c>
      <c r="C552" s="9">
        <v>452.53</v>
      </c>
      <c r="D552" s="9">
        <v>465.77</v>
      </c>
      <c r="E552" s="9">
        <f t="shared" si="24"/>
        <v>3.2801273461435645E-2</v>
      </c>
      <c r="F552" s="45">
        <f t="shared" si="25"/>
        <v>-2.5500284839753976E-2</v>
      </c>
      <c r="G552" s="9">
        <f t="shared" si="26"/>
        <v>1.9351812219667211E-2</v>
      </c>
    </row>
    <row r="553" spans="1:7" x14ac:dyDescent="0.2">
      <c r="A553" s="12">
        <v>37697</v>
      </c>
      <c r="B553" s="9">
        <v>488.3</v>
      </c>
      <c r="C553" s="9">
        <v>453.92</v>
      </c>
      <c r="D553" s="9">
        <v>484</v>
      </c>
      <c r="E553" s="9">
        <f t="shared" si="24"/>
        <v>3.8392956664676466E-2</v>
      </c>
      <c r="F553" s="45">
        <f t="shared" si="25"/>
        <v>4.5558165358606613E-3</v>
      </c>
      <c r="G553" s="9">
        <f t="shared" si="26"/>
        <v>2.058270620769604E-2</v>
      </c>
    </row>
    <row r="554" spans="1:7" x14ac:dyDescent="0.2">
      <c r="A554" s="12">
        <v>37698</v>
      </c>
      <c r="B554" s="9">
        <v>499.2</v>
      </c>
      <c r="C554" s="9">
        <v>483.04</v>
      </c>
      <c r="D554" s="9">
        <v>485.22</v>
      </c>
      <c r="E554" s="9">
        <f t="shared" si="24"/>
        <v>2.5174896191540374E-3</v>
      </c>
      <c r="F554" s="45">
        <f t="shared" si="25"/>
        <v>4.4717844109530558E-2</v>
      </c>
      <c r="G554" s="9">
        <f t="shared" si="26"/>
        <v>1.9306107867773665E-2</v>
      </c>
    </row>
    <row r="555" spans="1:7" x14ac:dyDescent="0.2">
      <c r="A555" s="12">
        <v>37699</v>
      </c>
      <c r="B555" s="9">
        <v>496.47</v>
      </c>
      <c r="C555" s="9">
        <v>481.92</v>
      </c>
      <c r="D555" s="9">
        <v>490.4</v>
      </c>
      <c r="E555" s="9">
        <f t="shared" si="24"/>
        <v>1.0618988286215681E-2</v>
      </c>
      <c r="F555" s="45">
        <f t="shared" si="25"/>
        <v>2.9089499656924641E-2</v>
      </c>
      <c r="G555" s="9">
        <f t="shared" si="26"/>
        <v>1.8819778864207146E-2</v>
      </c>
    </row>
    <row r="556" spans="1:7" x14ac:dyDescent="0.2">
      <c r="A556" s="12">
        <v>37700</v>
      </c>
      <c r="B556" s="9">
        <v>500.12</v>
      </c>
      <c r="C556" s="9">
        <v>486.55</v>
      </c>
      <c r="D556" s="9">
        <v>494.14</v>
      </c>
      <c r="E556" s="9">
        <f t="shared" si="24"/>
        <v>7.5974932252135721E-3</v>
      </c>
      <c r="F556" s="45">
        <f t="shared" si="25"/>
        <v>4.1084269032091683E-2</v>
      </c>
      <c r="G556" s="9">
        <f t="shared" si="26"/>
        <v>1.8829238829281243E-2</v>
      </c>
    </row>
    <row r="557" spans="1:7" x14ac:dyDescent="0.2">
      <c r="A557" s="12">
        <v>37701</v>
      </c>
      <c r="B557" s="9">
        <v>506.03</v>
      </c>
      <c r="C557" s="9">
        <v>494.73</v>
      </c>
      <c r="D557" s="9">
        <v>503.4</v>
      </c>
      <c r="E557" s="9">
        <f t="shared" si="24"/>
        <v>1.8566204854000214E-2</v>
      </c>
      <c r="F557" s="45">
        <f t="shared" si="25"/>
        <v>7.5120066924478035E-2</v>
      </c>
      <c r="G557" s="9">
        <f t="shared" si="26"/>
        <v>1.8805011764071768E-2</v>
      </c>
    </row>
    <row r="558" spans="1:7" x14ac:dyDescent="0.2">
      <c r="A558" s="12">
        <v>37704</v>
      </c>
      <c r="B558" s="9">
        <v>502.07</v>
      </c>
      <c r="C558" s="9">
        <v>488.06</v>
      </c>
      <c r="D558" s="9">
        <v>489.38</v>
      </c>
      <c r="E558" s="9">
        <f t="shared" si="24"/>
        <v>-2.8245798894676905E-2</v>
      </c>
      <c r="F558" s="45">
        <f t="shared" si="25"/>
        <v>6.9484868515695145E-2</v>
      </c>
      <c r="G558" s="9">
        <f t="shared" si="26"/>
        <v>1.9090504988017783E-2</v>
      </c>
    </row>
    <row r="559" spans="1:7" x14ac:dyDescent="0.2">
      <c r="A559" s="12">
        <v>37705</v>
      </c>
      <c r="B559" s="9">
        <v>490.13</v>
      </c>
      <c r="C559" s="9">
        <v>478.52</v>
      </c>
      <c r="D559" s="9">
        <v>489.3</v>
      </c>
      <c r="E559" s="9">
        <f t="shared" si="24"/>
        <v>-1.6348551146070679E-4</v>
      </c>
      <c r="F559" s="45">
        <f t="shared" si="25"/>
        <v>4.2223787254685209E-2</v>
      </c>
      <c r="G559" s="9">
        <f t="shared" si="26"/>
        <v>1.8510231122850274E-2</v>
      </c>
    </row>
    <row r="560" spans="1:7" x14ac:dyDescent="0.2">
      <c r="A560" s="12">
        <v>37706</v>
      </c>
      <c r="B560" s="9">
        <v>493.9</v>
      </c>
      <c r="C560" s="9">
        <v>485.7</v>
      </c>
      <c r="D560" s="9">
        <v>486.82</v>
      </c>
      <c r="E560" s="9">
        <f t="shared" si="24"/>
        <v>-5.0813533913095753E-3</v>
      </c>
      <c r="F560" s="45">
        <f t="shared" si="25"/>
        <v>2.8439712949604852E-2</v>
      </c>
      <c r="G560" s="9">
        <f t="shared" si="26"/>
        <v>1.849397061982249E-2</v>
      </c>
    </row>
    <row r="561" spans="1:7" x14ac:dyDescent="0.2">
      <c r="A561" s="12">
        <v>37707</v>
      </c>
      <c r="B561" s="9">
        <v>486.49</v>
      </c>
      <c r="C561" s="9">
        <v>474.72</v>
      </c>
      <c r="D561" s="9">
        <v>478.9</v>
      </c>
      <c r="E561" s="9">
        <f t="shared" si="24"/>
        <v>-1.6402637555204696E-2</v>
      </c>
      <c r="F561" s="45">
        <f t="shared" si="25"/>
        <v>9.6517744650276415E-3</v>
      </c>
      <c r="G561" s="9">
        <f t="shared" si="26"/>
        <v>1.8759819257186647E-2</v>
      </c>
    </row>
    <row r="562" spans="1:7" x14ac:dyDescent="0.2">
      <c r="A562" s="12">
        <v>37708</v>
      </c>
      <c r="B562" s="9">
        <v>478.73</v>
      </c>
      <c r="C562" s="9">
        <v>470.79</v>
      </c>
      <c r="D562" s="9">
        <v>475.39</v>
      </c>
      <c r="E562" s="9">
        <f t="shared" si="24"/>
        <v>-7.3562875616708795E-3</v>
      </c>
      <c r="F562" s="45">
        <f t="shared" si="25"/>
        <v>-8.3580825279516054E-3</v>
      </c>
      <c r="G562" s="9">
        <f t="shared" si="26"/>
        <v>1.8705878481887667E-2</v>
      </c>
    </row>
    <row r="563" spans="1:7" x14ac:dyDescent="0.2">
      <c r="A563" s="12">
        <v>37711</v>
      </c>
      <c r="B563" s="9">
        <v>472.95</v>
      </c>
      <c r="C563" s="9">
        <v>454.6</v>
      </c>
      <c r="D563" s="9">
        <v>457.78</v>
      </c>
      <c r="E563" s="9">
        <f t="shared" si="24"/>
        <v>-3.7746800422390397E-2</v>
      </c>
      <c r="F563" s="45">
        <f t="shared" si="25"/>
        <v>-7.5964594990674414E-2</v>
      </c>
      <c r="G563" s="9">
        <f t="shared" si="26"/>
        <v>1.9019572439481394E-2</v>
      </c>
    </row>
    <row r="564" spans="1:7" x14ac:dyDescent="0.2">
      <c r="A564" s="12">
        <v>37712</v>
      </c>
      <c r="B564" s="9">
        <v>464.04</v>
      </c>
      <c r="C564" s="9">
        <v>453.38</v>
      </c>
      <c r="D564" s="9">
        <v>461.69</v>
      </c>
      <c r="E564" s="9">
        <f t="shared" si="24"/>
        <v>8.5049508278930257E-3</v>
      </c>
      <c r="F564" s="45">
        <f t="shared" si="25"/>
        <v>-7.8053048903130293E-2</v>
      </c>
      <c r="G564" s="9">
        <f t="shared" si="26"/>
        <v>1.8973640466370664E-2</v>
      </c>
    </row>
    <row r="565" spans="1:7" x14ac:dyDescent="0.2">
      <c r="A565" s="12">
        <v>37713</v>
      </c>
      <c r="B565" s="9">
        <v>482.48</v>
      </c>
      <c r="C565" s="9">
        <v>462.69</v>
      </c>
      <c r="D565" s="9">
        <v>480.45</v>
      </c>
      <c r="E565" s="9">
        <f t="shared" si="24"/>
        <v>3.982949453088145E-2</v>
      </c>
      <c r="F565" s="45">
        <f t="shared" si="25"/>
        <v>-2.2311420081750771E-2</v>
      </c>
      <c r="G565" s="9">
        <f t="shared" si="26"/>
        <v>2.030767410011633E-2</v>
      </c>
    </row>
    <row r="566" spans="1:7" x14ac:dyDescent="0.2">
      <c r="A566" s="12">
        <v>37714</v>
      </c>
      <c r="B566" s="9">
        <v>486.46</v>
      </c>
      <c r="C566" s="9">
        <v>477.41</v>
      </c>
      <c r="D566" s="9">
        <v>480.86</v>
      </c>
      <c r="E566" s="9">
        <f t="shared" si="24"/>
        <v>8.5300272515663272E-4</v>
      </c>
      <c r="F566" s="45">
        <f t="shared" si="25"/>
        <v>1.8317310812430456E-3</v>
      </c>
      <c r="G566" s="9">
        <f t="shared" si="26"/>
        <v>1.9856750148184943E-2</v>
      </c>
    </row>
    <row r="567" spans="1:7" x14ac:dyDescent="0.2">
      <c r="A567" s="12">
        <v>37715</v>
      </c>
      <c r="B567" s="9">
        <v>488.8</v>
      </c>
      <c r="C567" s="9">
        <v>474.9</v>
      </c>
      <c r="D567" s="9">
        <v>482.89</v>
      </c>
      <c r="E567" s="9">
        <f t="shared" si="24"/>
        <v>4.2127169954807968E-3</v>
      </c>
      <c r="F567" s="45">
        <f t="shared" si="25"/>
        <v>9.7807413907483771E-3</v>
      </c>
      <c r="G567" s="9">
        <f t="shared" si="26"/>
        <v>1.9857366774781886E-2</v>
      </c>
    </row>
    <row r="568" spans="1:7" x14ac:dyDescent="0.2">
      <c r="A568" s="12">
        <v>37718</v>
      </c>
      <c r="B568" s="9">
        <v>505.88</v>
      </c>
      <c r="C568" s="9">
        <v>485.87</v>
      </c>
      <c r="D568" s="9">
        <v>503</v>
      </c>
      <c r="E568" s="9">
        <f t="shared" si="24"/>
        <v>4.0801285655825019E-2</v>
      </c>
      <c r="F568" s="45">
        <f t="shared" si="25"/>
        <v>5.8391778495292257E-2</v>
      </c>
      <c r="G568" s="9">
        <f t="shared" si="26"/>
        <v>2.1114158978712955E-2</v>
      </c>
    </row>
    <row r="569" spans="1:7" x14ac:dyDescent="0.2">
      <c r="A569" s="12">
        <v>37719</v>
      </c>
      <c r="B569" s="9">
        <v>501.63</v>
      </c>
      <c r="C569" s="9">
        <v>491.65</v>
      </c>
      <c r="D569" s="9">
        <v>493.71</v>
      </c>
      <c r="E569" s="9">
        <f t="shared" si="24"/>
        <v>-1.8641869824338079E-2</v>
      </c>
      <c r="F569" s="45">
        <f t="shared" si="25"/>
        <v>6.7552923978383667E-2</v>
      </c>
      <c r="G569" s="9">
        <f t="shared" si="26"/>
        <v>2.0731847313264995E-2</v>
      </c>
    </row>
    <row r="570" spans="1:7" x14ac:dyDescent="0.2">
      <c r="A570" s="12">
        <v>37720</v>
      </c>
      <c r="B570" s="9">
        <v>497.48</v>
      </c>
      <c r="C570" s="9">
        <v>486.01</v>
      </c>
      <c r="D570" s="9">
        <v>492.43</v>
      </c>
      <c r="E570" s="9">
        <f t="shared" si="24"/>
        <v>-2.5959817446599958E-3</v>
      </c>
      <c r="F570" s="45">
        <f t="shared" si="25"/>
        <v>7.008426727556466E-2</v>
      </c>
      <c r="G570" s="9">
        <f t="shared" si="26"/>
        <v>2.0705914023308441E-2</v>
      </c>
    </row>
    <row r="571" spans="1:7" x14ac:dyDescent="0.2">
      <c r="A571" s="12">
        <v>37721</v>
      </c>
      <c r="B571" s="9">
        <v>491.17</v>
      </c>
      <c r="C571" s="9">
        <v>481.26</v>
      </c>
      <c r="D571" s="9">
        <v>483.12</v>
      </c>
      <c r="E571" s="9">
        <f t="shared" si="24"/>
        <v>-1.9087248531095374E-2</v>
      </c>
      <c r="F571" s="45">
        <f t="shared" si="25"/>
        <v>4.0380517773390384E-2</v>
      </c>
      <c r="G571" s="9">
        <f t="shared" si="26"/>
        <v>2.1004349547719705E-2</v>
      </c>
    </row>
    <row r="572" spans="1:7" x14ac:dyDescent="0.2">
      <c r="A572" s="12">
        <v>37722</v>
      </c>
      <c r="B572" s="9">
        <v>489.59</v>
      </c>
      <c r="C572" s="9">
        <v>481.61</v>
      </c>
      <c r="D572" s="9">
        <v>483.48</v>
      </c>
      <c r="E572" s="9">
        <f t="shared" si="24"/>
        <v>7.4487899161040244E-4</v>
      </c>
      <c r="F572" s="45">
        <f t="shared" si="25"/>
        <v>2.8341086111593451E-2</v>
      </c>
      <c r="G572" s="9">
        <f t="shared" si="26"/>
        <v>2.0892989677323566E-2</v>
      </c>
    </row>
    <row r="573" spans="1:7" x14ac:dyDescent="0.2">
      <c r="A573" s="12">
        <v>37725</v>
      </c>
      <c r="B573" s="9">
        <v>487.71</v>
      </c>
      <c r="C573" s="9">
        <v>478.61</v>
      </c>
      <c r="D573" s="9">
        <v>483.87</v>
      </c>
      <c r="E573" s="9">
        <f t="shared" si="24"/>
        <v>8.0632660594466142E-4</v>
      </c>
      <c r="F573" s="45">
        <f t="shared" si="25"/>
        <v>2.6045646899503564E-2</v>
      </c>
      <c r="G573" s="9">
        <f t="shared" si="26"/>
        <v>2.0889020465942428E-2</v>
      </c>
    </row>
    <row r="574" spans="1:7" x14ac:dyDescent="0.2">
      <c r="A574" s="12">
        <v>37726</v>
      </c>
      <c r="B574" s="9">
        <v>496.96</v>
      </c>
      <c r="C574" s="9">
        <v>484.94</v>
      </c>
      <c r="D574" s="9">
        <v>495.6</v>
      </c>
      <c r="E574" s="9">
        <f t="shared" si="24"/>
        <v>2.3952874157786599E-2</v>
      </c>
      <c r="F574" s="45">
        <f t="shared" si="25"/>
        <v>6.7761357541592376E-2</v>
      </c>
      <c r="G574" s="9">
        <f t="shared" si="26"/>
        <v>2.0994223395511637E-2</v>
      </c>
    </row>
    <row r="575" spans="1:7" x14ac:dyDescent="0.2">
      <c r="A575" s="12">
        <v>37727</v>
      </c>
      <c r="B575" s="9">
        <v>503.3</v>
      </c>
      <c r="C575" s="9">
        <v>493.89</v>
      </c>
      <c r="D575" s="9">
        <v>493.93</v>
      </c>
      <c r="E575" s="9">
        <f t="shared" si="24"/>
        <v>-3.3753430123740873E-3</v>
      </c>
      <c r="F575" s="45">
        <f t="shared" si="25"/>
        <v>7.1950232353180391E-2</v>
      </c>
      <c r="G575" s="9">
        <f t="shared" si="26"/>
        <v>2.0940500933151623E-2</v>
      </c>
    </row>
    <row r="576" spans="1:7" x14ac:dyDescent="0.2">
      <c r="A576" s="12">
        <v>37728</v>
      </c>
      <c r="B576" s="9">
        <v>496.37</v>
      </c>
      <c r="C576" s="9">
        <v>488.32</v>
      </c>
      <c r="D576" s="9">
        <v>495.59</v>
      </c>
      <c r="E576" s="9">
        <f t="shared" si="24"/>
        <v>3.3551652462537099E-3</v>
      </c>
      <c r="F576" s="45">
        <f t="shared" si="25"/>
        <v>7.9513176195646629E-2</v>
      </c>
      <c r="G576" s="9">
        <f t="shared" si="26"/>
        <v>2.0903720912757506E-2</v>
      </c>
    </row>
    <row r="577" spans="1:7" x14ac:dyDescent="0.2">
      <c r="A577" s="12">
        <v>37733</v>
      </c>
      <c r="B577" s="9">
        <v>500.17</v>
      </c>
      <c r="C577" s="9">
        <v>492.49</v>
      </c>
      <c r="D577" s="9">
        <v>497.98</v>
      </c>
      <c r="E577" s="9">
        <f t="shared" si="24"/>
        <v>4.8109435867553854E-3</v>
      </c>
      <c r="F577" s="45">
        <f t="shared" si="25"/>
        <v>9.6811366264478102E-2</v>
      </c>
      <c r="G577" s="9">
        <f t="shared" si="26"/>
        <v>2.0709438875111053E-2</v>
      </c>
    </row>
    <row r="578" spans="1:7" x14ac:dyDescent="0.2">
      <c r="A578" s="12">
        <v>37734</v>
      </c>
      <c r="B578" s="9">
        <v>508.41</v>
      </c>
      <c r="C578" s="9">
        <v>499.09</v>
      </c>
      <c r="D578" s="9">
        <v>503.67</v>
      </c>
      <c r="E578" s="9">
        <f t="shared" ref="E578:E641" si="27">LN(D578/D577)</f>
        <v>1.1361376140794023E-2</v>
      </c>
      <c r="F578" s="45">
        <f t="shared" si="25"/>
        <v>0.12160233969635244</v>
      </c>
      <c r="G578" s="9">
        <f t="shared" si="26"/>
        <v>2.0515580344122153E-2</v>
      </c>
    </row>
    <row r="579" spans="1:7" x14ac:dyDescent="0.2">
      <c r="A579" s="12">
        <v>37735</v>
      </c>
      <c r="B579" s="9">
        <v>510.16</v>
      </c>
      <c r="C579" s="9">
        <v>502.41</v>
      </c>
      <c r="D579" s="9">
        <v>503.47</v>
      </c>
      <c r="E579" s="9">
        <f t="shared" si="27"/>
        <v>-3.9716425249516939E-4</v>
      </c>
      <c r="F579" s="45">
        <f t="shared" si="25"/>
        <v>0.13288749860368018</v>
      </c>
      <c r="G579" s="9">
        <f t="shared" si="26"/>
        <v>2.0319628010168293E-2</v>
      </c>
    </row>
    <row r="580" spans="1:7" x14ac:dyDescent="0.2">
      <c r="A580" s="12">
        <v>37736</v>
      </c>
      <c r="B580" s="9">
        <v>503.94</v>
      </c>
      <c r="C580" s="9">
        <v>496.85</v>
      </c>
      <c r="D580" s="9">
        <v>497.92</v>
      </c>
      <c r="E580" s="9">
        <f t="shared" si="27"/>
        <v>-1.1084705913949154E-2</v>
      </c>
      <c r="F580" s="45">
        <f t="shared" si="25"/>
        <v>0.14118084700196984</v>
      </c>
      <c r="G580" s="9">
        <f t="shared" si="26"/>
        <v>2.0039037848383262E-2</v>
      </c>
    </row>
    <row r="581" spans="1:7" x14ac:dyDescent="0.2">
      <c r="A581" s="12">
        <v>37739</v>
      </c>
      <c r="B581" s="9">
        <v>514.91</v>
      </c>
      <c r="C581" s="9">
        <v>495.59</v>
      </c>
      <c r="D581" s="9">
        <v>513.59</v>
      </c>
      <c r="E581" s="9">
        <f t="shared" si="27"/>
        <v>3.0985860231244226E-2</v>
      </c>
      <c r="F581" s="45">
        <f t="shared" si="25"/>
        <v>0.13053460519069671</v>
      </c>
      <c r="G581" s="9">
        <f t="shared" si="26"/>
        <v>1.9448113692327219E-2</v>
      </c>
    </row>
    <row r="582" spans="1:7" x14ac:dyDescent="0.2">
      <c r="A582" s="12">
        <v>37740</v>
      </c>
      <c r="B582" s="9">
        <v>527.27</v>
      </c>
      <c r="C582" s="9">
        <v>518.02</v>
      </c>
      <c r="D582" s="9">
        <v>521.49</v>
      </c>
      <c r="E582" s="9">
        <f t="shared" si="27"/>
        <v>1.5264817020342453E-2</v>
      </c>
      <c r="F582" s="45">
        <f t="shared" si="25"/>
        <v>0.11299814874960348</v>
      </c>
      <c r="G582" s="9">
        <f t="shared" si="26"/>
        <v>1.8816805103865269E-2</v>
      </c>
    </row>
    <row r="583" spans="1:7" x14ac:dyDescent="0.2">
      <c r="A583" s="12">
        <v>37741</v>
      </c>
      <c r="B583" s="9">
        <v>523.57000000000005</v>
      </c>
      <c r="C583" s="9">
        <v>517.95000000000005</v>
      </c>
      <c r="D583" s="9">
        <v>521.91999999999996</v>
      </c>
      <c r="E583" s="9">
        <f t="shared" si="27"/>
        <v>8.2422063109038727E-4</v>
      </c>
      <c r="F583" s="45">
        <f t="shared" si="25"/>
        <v>7.5429412716017247E-2</v>
      </c>
      <c r="G583" s="9">
        <f t="shared" si="26"/>
        <v>1.7646645544920143E-2</v>
      </c>
    </row>
    <row r="584" spans="1:7" x14ac:dyDescent="0.2">
      <c r="A584" s="12">
        <v>37743</v>
      </c>
      <c r="B584" s="9">
        <v>522.64</v>
      </c>
      <c r="C584" s="9">
        <v>512.82000000000005</v>
      </c>
      <c r="D584" s="9">
        <v>519.29</v>
      </c>
      <c r="E584" s="9">
        <f t="shared" si="27"/>
        <v>-5.0518254594885612E-3</v>
      </c>
      <c r="F584" s="45">
        <f t="shared" si="25"/>
        <v>6.7860097637374467E-2</v>
      </c>
      <c r="G584" s="9">
        <f t="shared" si="26"/>
        <v>1.7700628768806275E-2</v>
      </c>
    </row>
    <row r="585" spans="1:7" x14ac:dyDescent="0.2">
      <c r="A585" s="12">
        <v>37746</v>
      </c>
      <c r="B585" s="9">
        <v>529.02</v>
      </c>
      <c r="C585" s="9">
        <v>520.33000000000004</v>
      </c>
      <c r="D585" s="9">
        <v>524.29999999999995</v>
      </c>
      <c r="E585" s="9">
        <f t="shared" si="27"/>
        <v>9.6015456053265679E-3</v>
      </c>
      <c r="F585" s="45">
        <f t="shared" si="25"/>
        <v>6.6842654956485392E-2</v>
      </c>
      <c r="G585" s="9">
        <f t="shared" si="26"/>
        <v>1.7685032325534492E-2</v>
      </c>
    </row>
    <row r="586" spans="1:7" x14ac:dyDescent="0.2">
      <c r="A586" s="12">
        <v>37747</v>
      </c>
      <c r="B586" s="9">
        <v>525.87</v>
      </c>
      <c r="C586" s="9">
        <v>519.49</v>
      </c>
      <c r="D586" s="9">
        <v>525.78</v>
      </c>
      <c r="E586" s="9">
        <f t="shared" si="27"/>
        <v>2.8188347173272225E-3</v>
      </c>
      <c r="F586" s="45">
        <f t="shared" si="25"/>
        <v>6.2063996448598988E-2</v>
      </c>
      <c r="G586" s="9">
        <f t="shared" si="26"/>
        <v>1.7656500190535065E-2</v>
      </c>
    </row>
    <row r="587" spans="1:7" x14ac:dyDescent="0.2">
      <c r="A587" s="12">
        <v>37748</v>
      </c>
      <c r="B587" s="9">
        <v>525.52</v>
      </c>
      <c r="C587" s="9">
        <v>513.35</v>
      </c>
      <c r="D587" s="9">
        <v>515.33000000000004</v>
      </c>
      <c r="E587" s="9">
        <f t="shared" si="27"/>
        <v>-2.00754021427802E-2</v>
      </c>
      <c r="F587" s="45">
        <f t="shared" si="25"/>
        <v>2.3422389451818598E-2</v>
      </c>
      <c r="G587" s="9">
        <f t="shared" si="26"/>
        <v>1.7820210168598409E-2</v>
      </c>
    </row>
    <row r="588" spans="1:7" x14ac:dyDescent="0.2">
      <c r="A588" s="12">
        <v>37749</v>
      </c>
      <c r="B588" s="9">
        <v>519.87</v>
      </c>
      <c r="C588" s="9">
        <v>506.04</v>
      </c>
      <c r="D588" s="9">
        <v>506.19</v>
      </c>
      <c r="E588" s="9">
        <f t="shared" si="27"/>
        <v>-1.7895379274678269E-2</v>
      </c>
      <c r="F588" s="45">
        <f t="shared" si="25"/>
        <v>3.3772809071817171E-2</v>
      </c>
      <c r="G588" s="9">
        <f t="shared" si="26"/>
        <v>1.7332372665069515E-2</v>
      </c>
    </row>
    <row r="589" spans="1:7" x14ac:dyDescent="0.2">
      <c r="A589" s="12">
        <v>37750</v>
      </c>
      <c r="B589" s="9">
        <v>513.44000000000005</v>
      </c>
      <c r="C589" s="9">
        <v>500.28</v>
      </c>
      <c r="D589" s="9">
        <v>513.44000000000005</v>
      </c>
      <c r="E589" s="9">
        <f t="shared" si="27"/>
        <v>1.4221084483191015E-2</v>
      </c>
      <c r="F589" s="45">
        <f t="shared" si="25"/>
        <v>4.8157379066469032E-2</v>
      </c>
      <c r="G589" s="9">
        <f t="shared" si="26"/>
        <v>1.749369471564877E-2</v>
      </c>
    </row>
    <row r="590" spans="1:7" x14ac:dyDescent="0.2">
      <c r="A590" s="12">
        <v>37753</v>
      </c>
      <c r="B590" s="9">
        <v>517.47</v>
      </c>
      <c r="C590" s="9">
        <v>510.74</v>
      </c>
      <c r="D590" s="9">
        <v>515.80999999999995</v>
      </c>
      <c r="E590" s="9">
        <f t="shared" si="27"/>
        <v>4.605303257206682E-3</v>
      </c>
      <c r="F590" s="45">
        <f t="shared" si="25"/>
        <v>5.7844035714985184E-2</v>
      </c>
      <c r="G590" s="9">
        <f t="shared" si="26"/>
        <v>1.7455374936941718E-2</v>
      </c>
    </row>
    <row r="591" spans="1:7" x14ac:dyDescent="0.2">
      <c r="A591" s="12">
        <v>37754</v>
      </c>
      <c r="B591" s="9">
        <v>524.29999999999995</v>
      </c>
      <c r="C591" s="9">
        <v>514.84</v>
      </c>
      <c r="D591" s="9">
        <v>524</v>
      </c>
      <c r="E591" s="9">
        <f t="shared" si="27"/>
        <v>1.5753203702288616E-2</v>
      </c>
      <c r="F591" s="45">
        <f t="shared" si="25"/>
        <v>8.9999876972478604E-2</v>
      </c>
      <c r="G591" s="9">
        <f t="shared" si="26"/>
        <v>1.7277314246932129E-2</v>
      </c>
    </row>
    <row r="592" spans="1:7" x14ac:dyDescent="0.2">
      <c r="A592" s="12">
        <v>37755</v>
      </c>
      <c r="B592" s="9">
        <v>526.21</v>
      </c>
      <c r="C592" s="9">
        <v>519.35</v>
      </c>
      <c r="D592" s="9">
        <v>519.78</v>
      </c>
      <c r="E592" s="9">
        <f t="shared" si="27"/>
        <v>-8.0860391909382667E-3</v>
      </c>
      <c r="F592" s="45">
        <f t="shared" si="25"/>
        <v>8.9270125343211132E-2</v>
      </c>
      <c r="G592" s="9">
        <f t="shared" si="26"/>
        <v>1.7292904520281659E-2</v>
      </c>
    </row>
    <row r="593" spans="1:7" x14ac:dyDescent="0.2">
      <c r="A593" s="12">
        <v>37756</v>
      </c>
      <c r="B593" s="9">
        <v>521.52</v>
      </c>
      <c r="C593" s="9">
        <v>516.98</v>
      </c>
      <c r="D593" s="9">
        <v>520.01</v>
      </c>
      <c r="E593" s="9">
        <f t="shared" si="27"/>
        <v>4.423970296910707E-4</v>
      </c>
      <c r="F593" s="45">
        <f t="shared" si="25"/>
        <v>0.12745932279529273</v>
      </c>
      <c r="G593" s="9">
        <f t="shared" si="26"/>
        <v>1.5505033486450364E-2</v>
      </c>
    </row>
    <row r="594" spans="1:7" x14ac:dyDescent="0.2">
      <c r="A594" s="12">
        <v>37757</v>
      </c>
      <c r="B594" s="9">
        <v>526.1</v>
      </c>
      <c r="C594" s="9">
        <v>516.59</v>
      </c>
      <c r="D594" s="9">
        <v>518.45000000000005</v>
      </c>
      <c r="E594" s="9">
        <f t="shared" si="27"/>
        <v>-3.0044511555076463E-3</v>
      </c>
      <c r="F594" s="45">
        <f t="shared" si="25"/>
        <v>0.11594992081189207</v>
      </c>
      <c r="G594" s="9">
        <f t="shared" si="26"/>
        <v>1.5538441250388833E-2</v>
      </c>
    </row>
    <row r="595" spans="1:7" x14ac:dyDescent="0.2">
      <c r="A595" s="12">
        <v>37760</v>
      </c>
      <c r="B595" s="9">
        <v>517.19000000000005</v>
      </c>
      <c r="C595" s="9">
        <v>503.61</v>
      </c>
      <c r="D595" s="9">
        <v>504.75</v>
      </c>
      <c r="E595" s="9">
        <f t="shared" si="27"/>
        <v>-2.6780333811340366E-2</v>
      </c>
      <c r="F595" s="45">
        <f t="shared" si="25"/>
        <v>4.9340092469670048E-2</v>
      </c>
      <c r="G595" s="9">
        <f t="shared" si="26"/>
        <v>1.4970830446067359E-2</v>
      </c>
    </row>
    <row r="596" spans="1:7" x14ac:dyDescent="0.2">
      <c r="A596" s="12">
        <v>37761</v>
      </c>
      <c r="B596" s="9">
        <v>504.61</v>
      </c>
      <c r="C596" s="9">
        <v>497.61</v>
      </c>
      <c r="D596" s="9">
        <v>499.48</v>
      </c>
      <c r="E596" s="9">
        <f t="shared" si="27"/>
        <v>-1.0495699946002449E-2</v>
      </c>
      <c r="F596" s="45">
        <f t="shared" si="25"/>
        <v>3.7991389798511022E-2</v>
      </c>
      <c r="G596" s="9">
        <f t="shared" si="26"/>
        <v>1.5134017290371362E-2</v>
      </c>
    </row>
    <row r="597" spans="1:7" x14ac:dyDescent="0.2">
      <c r="A597" s="12">
        <v>37762</v>
      </c>
      <c r="B597" s="9">
        <v>500.1</v>
      </c>
      <c r="C597" s="9">
        <v>490.19</v>
      </c>
      <c r="D597" s="9">
        <v>492.31</v>
      </c>
      <c r="E597" s="9">
        <f t="shared" si="27"/>
        <v>-1.4458957871704156E-2</v>
      </c>
      <c r="F597" s="45">
        <f t="shared" si="25"/>
        <v>1.9319714931325942E-2</v>
      </c>
      <c r="G597" s="9">
        <f t="shared" si="26"/>
        <v>1.53904361141453E-2</v>
      </c>
    </row>
    <row r="598" spans="1:7" x14ac:dyDescent="0.2">
      <c r="A598" s="12">
        <v>37763</v>
      </c>
      <c r="B598" s="9">
        <v>499.34</v>
      </c>
      <c r="C598" s="9">
        <v>492.74</v>
      </c>
      <c r="D598" s="9">
        <v>497.34</v>
      </c>
      <c r="E598" s="9">
        <f t="shared" si="27"/>
        <v>1.0165297456249552E-2</v>
      </c>
      <c r="F598" s="45">
        <f t="shared" si="25"/>
        <v>-1.1316273268249431E-2</v>
      </c>
      <c r="G598" s="9">
        <f t="shared" si="26"/>
        <v>1.3539038908496972E-2</v>
      </c>
    </row>
    <row r="599" spans="1:7" x14ac:dyDescent="0.2">
      <c r="A599" s="12">
        <v>37764</v>
      </c>
      <c r="B599" s="9">
        <v>501.89</v>
      </c>
      <c r="C599" s="9">
        <v>494.13</v>
      </c>
      <c r="D599" s="9">
        <v>498.95</v>
      </c>
      <c r="E599" s="9">
        <f t="shared" si="27"/>
        <v>3.2319934988316516E-3</v>
      </c>
      <c r="F599" s="45">
        <f t="shared" si="25"/>
        <v>1.0557590054920489E-2</v>
      </c>
      <c r="G599" s="9">
        <f t="shared" si="26"/>
        <v>1.3103489021552908E-2</v>
      </c>
    </row>
    <row r="600" spans="1:7" x14ac:dyDescent="0.2">
      <c r="A600" s="12">
        <v>37767</v>
      </c>
      <c r="B600" s="9">
        <v>500.36</v>
      </c>
      <c r="C600" s="9">
        <v>494.49</v>
      </c>
      <c r="D600" s="9">
        <v>495.55</v>
      </c>
      <c r="E600" s="9">
        <f t="shared" si="27"/>
        <v>-6.8376334776040753E-3</v>
      </c>
      <c r="F600" s="45">
        <f t="shared" si="25"/>
        <v>6.3159383219762947E-3</v>
      </c>
      <c r="G600" s="9">
        <f t="shared" si="26"/>
        <v>1.3159159839790597E-2</v>
      </c>
    </row>
    <row r="601" spans="1:7" x14ac:dyDescent="0.2">
      <c r="A601" s="12">
        <v>37768</v>
      </c>
      <c r="B601" s="9">
        <v>502.35</v>
      </c>
      <c r="C601" s="9">
        <v>491.97</v>
      </c>
      <c r="D601" s="9">
        <v>502.35</v>
      </c>
      <c r="E601" s="9">
        <f t="shared" si="27"/>
        <v>1.3628831055605837E-2</v>
      </c>
      <c r="F601" s="45">
        <f t="shared" si="25"/>
        <v>3.9032017908677684E-2</v>
      </c>
      <c r="G601" s="9">
        <f t="shared" si="26"/>
        <v>1.2856917558758688E-2</v>
      </c>
    </row>
    <row r="602" spans="1:7" x14ac:dyDescent="0.2">
      <c r="A602" s="12">
        <v>37769</v>
      </c>
      <c r="B602" s="9">
        <v>513.97</v>
      </c>
      <c r="C602" s="9">
        <v>503.53</v>
      </c>
      <c r="D602" s="9">
        <v>512.94000000000005</v>
      </c>
      <c r="E602" s="9">
        <f t="shared" si="27"/>
        <v>2.0861791357874051E-2</v>
      </c>
      <c r="F602" s="45">
        <f t="shared" si="25"/>
        <v>5.9148930274941211E-2</v>
      </c>
      <c r="G602" s="9">
        <f t="shared" si="26"/>
        <v>1.3342352134386727E-2</v>
      </c>
    </row>
    <row r="603" spans="1:7" x14ac:dyDescent="0.2">
      <c r="A603" s="12">
        <v>37771</v>
      </c>
      <c r="B603" s="9">
        <v>517.5</v>
      </c>
      <c r="C603" s="9">
        <v>508.13</v>
      </c>
      <c r="D603" s="9">
        <v>514.46</v>
      </c>
      <c r="E603" s="9">
        <f t="shared" si="27"/>
        <v>2.958927601710046E-3</v>
      </c>
      <c r="F603" s="45">
        <f t="shared" si="25"/>
        <v>6.1301531270706561E-2</v>
      </c>
      <c r="G603" s="9">
        <f t="shared" si="26"/>
        <v>1.3341657367062245E-2</v>
      </c>
    </row>
    <row r="604" spans="1:7" x14ac:dyDescent="0.2">
      <c r="A604" s="12">
        <v>37774</v>
      </c>
      <c r="B604" s="9">
        <v>522.04999999999995</v>
      </c>
      <c r="C604" s="9">
        <v>516.04999999999995</v>
      </c>
      <c r="D604" s="9">
        <v>518.52</v>
      </c>
      <c r="E604" s="9">
        <f t="shared" si="27"/>
        <v>7.860792863934641E-3</v>
      </c>
      <c r="F604" s="45">
        <f t="shared" si="25"/>
        <v>4.5209449976854742E-2</v>
      </c>
      <c r="G604" s="9">
        <f t="shared" si="26"/>
        <v>1.2740350615942911E-2</v>
      </c>
    </row>
    <row r="605" spans="1:7" x14ac:dyDescent="0.2">
      <c r="A605" s="12">
        <v>37775</v>
      </c>
      <c r="B605" s="9">
        <v>517.48</v>
      </c>
      <c r="C605" s="9">
        <v>509.05</v>
      </c>
      <c r="D605" s="9">
        <v>511.85</v>
      </c>
      <c r="E605" s="9">
        <f t="shared" si="27"/>
        <v>-1.2946986366062282E-2</v>
      </c>
      <c r="F605" s="45">
        <f t="shared" si="25"/>
        <v>3.5637806623166408E-2</v>
      </c>
      <c r="G605" s="9">
        <f t="shared" si="26"/>
        <v>1.2984348269800527E-2</v>
      </c>
    </row>
    <row r="606" spans="1:7" x14ac:dyDescent="0.2">
      <c r="A606" s="12">
        <v>37776</v>
      </c>
      <c r="B606" s="9">
        <v>517.91</v>
      </c>
      <c r="C606" s="9">
        <v>508.24</v>
      </c>
      <c r="D606" s="9">
        <v>516.96</v>
      </c>
      <c r="E606" s="9">
        <f t="shared" si="27"/>
        <v>9.9338887104083642E-3</v>
      </c>
      <c r="F606" s="45">
        <f t="shared" si="25"/>
        <v>4.2216530087321014E-2</v>
      </c>
      <c r="G606" s="9">
        <f t="shared" si="26"/>
        <v>1.3077432486122512E-2</v>
      </c>
    </row>
    <row r="607" spans="1:7" x14ac:dyDescent="0.2">
      <c r="A607" s="12">
        <v>37777</v>
      </c>
      <c r="B607" s="9">
        <v>522.96</v>
      </c>
      <c r="C607" s="9">
        <v>516.09</v>
      </c>
      <c r="D607" s="9">
        <v>517.03</v>
      </c>
      <c r="E607" s="9">
        <f t="shared" si="27"/>
        <v>1.3539782803872062E-4</v>
      </c>
      <c r="F607" s="45">
        <f t="shared" si="25"/>
        <v>3.7540984328604386E-2</v>
      </c>
      <c r="G607" s="9">
        <f t="shared" si="26"/>
        <v>1.3063322512755507E-2</v>
      </c>
    </row>
    <row r="608" spans="1:7" x14ac:dyDescent="0.2">
      <c r="A608" s="12">
        <v>37778</v>
      </c>
      <c r="B608" s="9">
        <v>531.98</v>
      </c>
      <c r="C608" s="9">
        <v>517.78</v>
      </c>
      <c r="D608" s="9">
        <v>528.88</v>
      </c>
      <c r="E608" s="9">
        <f t="shared" si="27"/>
        <v>2.2660663121095836E-2</v>
      </c>
      <c r="F608" s="45">
        <f t="shared" si="25"/>
        <v>4.8840271308906121E-2</v>
      </c>
      <c r="G608" s="9">
        <f t="shared" si="26"/>
        <v>1.3519782894347743E-2</v>
      </c>
    </row>
    <row r="609" spans="1:7" x14ac:dyDescent="0.2">
      <c r="A609" s="12">
        <v>37782</v>
      </c>
      <c r="B609" s="9">
        <v>529.73</v>
      </c>
      <c r="C609" s="9">
        <v>523.4</v>
      </c>
      <c r="D609" s="9">
        <v>527.04999999999995</v>
      </c>
      <c r="E609" s="9">
        <f t="shared" si="27"/>
        <v>-3.4661423241245889E-3</v>
      </c>
      <c r="F609" s="45">
        <f t="shared" ref="F609:F672" si="28">LN(D609/D579)</f>
        <v>4.5771293237276717E-2</v>
      </c>
      <c r="G609" s="9">
        <f t="shared" ref="G609:G672" si="29">STDEV(E580:E609)</f>
        <v>1.354721813009062E-2</v>
      </c>
    </row>
    <row r="610" spans="1:7" x14ac:dyDescent="0.2">
      <c r="A610" s="12">
        <v>37783</v>
      </c>
      <c r="B610" s="9">
        <v>534.64</v>
      </c>
      <c r="C610" s="9">
        <v>527.15</v>
      </c>
      <c r="D610" s="9">
        <v>533.76</v>
      </c>
      <c r="E610" s="9">
        <f t="shared" si="27"/>
        <v>1.2650879029129099E-2</v>
      </c>
      <c r="F610" s="45">
        <f t="shared" si="28"/>
        <v>6.9506878180355197E-2</v>
      </c>
      <c r="G610" s="9">
        <f t="shared" si="29"/>
        <v>1.3478276255220027E-2</v>
      </c>
    </row>
    <row r="611" spans="1:7" x14ac:dyDescent="0.2">
      <c r="A611" s="12">
        <v>37784</v>
      </c>
      <c r="B611" s="9">
        <v>542.24</v>
      </c>
      <c r="C611" s="9">
        <v>534.62</v>
      </c>
      <c r="D611" s="9">
        <v>539.04</v>
      </c>
      <c r="E611" s="9">
        <f t="shared" si="27"/>
        <v>9.8434799279155435E-3</v>
      </c>
      <c r="F611" s="45">
        <f t="shared" si="28"/>
        <v>4.8364497877026479E-2</v>
      </c>
      <c r="G611" s="9">
        <f t="shared" si="29"/>
        <v>1.244033198685604E-2</v>
      </c>
    </row>
    <row r="612" spans="1:7" x14ac:dyDescent="0.2">
      <c r="A612" s="12">
        <v>37785</v>
      </c>
      <c r="B612" s="9">
        <v>539.34</v>
      </c>
      <c r="C612" s="9">
        <v>528.95000000000005</v>
      </c>
      <c r="D612" s="9">
        <v>529.42999999999995</v>
      </c>
      <c r="E612" s="9">
        <f t="shared" si="27"/>
        <v>-1.7988823544854194E-2</v>
      </c>
      <c r="F612" s="45">
        <f t="shared" si="28"/>
        <v>1.5110857311829675E-2</v>
      </c>
      <c r="G612" s="9">
        <f t="shared" si="29"/>
        <v>1.2661422030351253E-2</v>
      </c>
    </row>
    <row r="613" spans="1:7" x14ac:dyDescent="0.2">
      <c r="A613" s="12">
        <v>37788</v>
      </c>
      <c r="B613" s="9">
        <v>535.27</v>
      </c>
      <c r="C613" s="9">
        <v>524.57000000000005</v>
      </c>
      <c r="D613" s="9">
        <v>534.85</v>
      </c>
      <c r="E613" s="9">
        <f t="shared" si="27"/>
        <v>1.0185377638751405E-2</v>
      </c>
      <c r="F613" s="45">
        <f t="shared" si="28"/>
        <v>2.4472014319490972E-2</v>
      </c>
      <c r="G613" s="9">
        <f t="shared" si="29"/>
        <v>1.2784349028706699E-2</v>
      </c>
    </row>
    <row r="614" spans="1:7" x14ac:dyDescent="0.2">
      <c r="A614" s="12">
        <v>37789</v>
      </c>
      <c r="B614" s="9">
        <v>544.59</v>
      </c>
      <c r="C614" s="9">
        <v>536.46</v>
      </c>
      <c r="D614" s="9">
        <v>541.58000000000004</v>
      </c>
      <c r="E614" s="9">
        <f t="shared" si="27"/>
        <v>1.2504459542222896E-2</v>
      </c>
      <c r="F614" s="45">
        <f t="shared" si="28"/>
        <v>4.2028299321202306E-2</v>
      </c>
      <c r="G614" s="9">
        <f t="shared" si="29"/>
        <v>1.2907725266645378E-2</v>
      </c>
    </row>
    <row r="615" spans="1:7" x14ac:dyDescent="0.2">
      <c r="A615" s="12">
        <v>37790</v>
      </c>
      <c r="B615" s="9">
        <v>545.44000000000005</v>
      </c>
      <c r="C615" s="9">
        <v>536.96</v>
      </c>
      <c r="D615" s="9">
        <v>545.21</v>
      </c>
      <c r="E615" s="9">
        <f t="shared" si="27"/>
        <v>6.6802482526877637E-3</v>
      </c>
      <c r="F615" s="45">
        <f t="shared" si="28"/>
        <v>3.9107001968563579E-2</v>
      </c>
      <c r="G615" s="9">
        <f t="shared" si="29"/>
        <v>1.2854636211743591E-2</v>
      </c>
    </row>
    <row r="616" spans="1:7" x14ac:dyDescent="0.2">
      <c r="A616" s="12">
        <v>37791</v>
      </c>
      <c r="B616" s="9">
        <v>545.86</v>
      </c>
      <c r="C616" s="9">
        <v>538.53</v>
      </c>
      <c r="D616" s="9">
        <v>539.15</v>
      </c>
      <c r="E616" s="9">
        <f t="shared" si="27"/>
        <v>-1.1177216218969187E-2</v>
      </c>
      <c r="F616" s="45">
        <f t="shared" si="28"/>
        <v>2.5110951032267095E-2</v>
      </c>
      <c r="G616" s="9">
        <f t="shared" si="29"/>
        <v>1.3050238140119784E-2</v>
      </c>
    </row>
    <row r="617" spans="1:7" x14ac:dyDescent="0.2">
      <c r="A617" s="12">
        <v>37795</v>
      </c>
      <c r="B617" s="9">
        <v>538.36</v>
      </c>
      <c r="C617" s="9">
        <v>531.6</v>
      </c>
      <c r="D617" s="9">
        <v>531.67999999999995</v>
      </c>
      <c r="E617" s="9">
        <f t="shared" si="27"/>
        <v>-1.3952020721797305E-2</v>
      </c>
      <c r="F617" s="45">
        <f t="shared" si="28"/>
        <v>3.1234332453250056E-2</v>
      </c>
      <c r="G617" s="9">
        <f t="shared" si="29"/>
        <v>1.2756457556311353E-2</v>
      </c>
    </row>
    <row r="618" spans="1:7" x14ac:dyDescent="0.2">
      <c r="A618" s="12">
        <v>37796</v>
      </c>
      <c r="B618" s="9">
        <v>532.54</v>
      </c>
      <c r="C618" s="9">
        <v>524.25</v>
      </c>
      <c r="D618" s="9">
        <v>525.09</v>
      </c>
      <c r="E618" s="9">
        <f t="shared" si="27"/>
        <v>-1.2472128135430171E-2</v>
      </c>
      <c r="F618" s="45">
        <f t="shared" si="28"/>
        <v>3.6657583592498121E-2</v>
      </c>
      <c r="G618" s="9">
        <f t="shared" si="29"/>
        <v>1.2514991409386974E-2</v>
      </c>
    </row>
    <row r="619" spans="1:7" x14ac:dyDescent="0.2">
      <c r="A619" s="12">
        <v>37797</v>
      </c>
      <c r="B619" s="9">
        <v>529.54999999999995</v>
      </c>
      <c r="C619" s="9">
        <v>525.41</v>
      </c>
      <c r="D619" s="9">
        <v>527.96</v>
      </c>
      <c r="E619" s="9">
        <f t="shared" si="27"/>
        <v>5.4508467899000669E-3</v>
      </c>
      <c r="F619" s="45">
        <f t="shared" si="28"/>
        <v>2.7887345899207022E-2</v>
      </c>
      <c r="G619" s="9">
        <f t="shared" si="29"/>
        <v>1.2301481438635055E-2</v>
      </c>
    </row>
    <row r="620" spans="1:7" x14ac:dyDescent="0.2">
      <c r="A620" s="12">
        <v>37798</v>
      </c>
      <c r="B620" s="9">
        <v>530.37</v>
      </c>
      <c r="C620" s="9">
        <v>524.47</v>
      </c>
      <c r="D620" s="9">
        <v>528.67999999999995</v>
      </c>
      <c r="E620" s="9">
        <f t="shared" si="27"/>
        <v>1.3628106288519901E-3</v>
      </c>
      <c r="F620" s="45">
        <f t="shared" si="28"/>
        <v>2.4644853270852397E-2</v>
      </c>
      <c r="G620" s="9">
        <f t="shared" si="29"/>
        <v>1.2282301815848148E-2</v>
      </c>
    </row>
    <row r="621" spans="1:7" x14ac:dyDescent="0.2">
      <c r="A621" s="12">
        <v>37799</v>
      </c>
      <c r="B621" s="9">
        <v>537.66999999999996</v>
      </c>
      <c r="C621" s="9">
        <v>529.61</v>
      </c>
      <c r="D621" s="9">
        <v>536.54</v>
      </c>
      <c r="E621" s="9">
        <f t="shared" si="27"/>
        <v>1.4757782717825397E-2</v>
      </c>
      <c r="F621" s="45">
        <f t="shared" si="28"/>
        <v>2.3649432286388952E-2</v>
      </c>
      <c r="G621" s="9">
        <f t="shared" si="29"/>
        <v>1.2241850717938624E-2</v>
      </c>
    </row>
    <row r="622" spans="1:7" x14ac:dyDescent="0.2">
      <c r="A622" s="12">
        <v>37802</v>
      </c>
      <c r="B622" s="9">
        <v>537.01</v>
      </c>
      <c r="C622" s="9">
        <v>530.37</v>
      </c>
      <c r="D622" s="9">
        <v>531.46</v>
      </c>
      <c r="E622" s="9">
        <f t="shared" si="27"/>
        <v>-9.5131803592940819E-3</v>
      </c>
      <c r="F622" s="45">
        <f t="shared" si="28"/>
        <v>2.2222291118033307E-2</v>
      </c>
      <c r="G622" s="9">
        <f t="shared" si="29"/>
        <v>1.228023799695061E-2</v>
      </c>
    </row>
    <row r="623" spans="1:7" x14ac:dyDescent="0.2">
      <c r="A623" s="12">
        <v>37803</v>
      </c>
      <c r="B623" s="9">
        <v>531.96</v>
      </c>
      <c r="C623" s="9">
        <v>520.54999999999995</v>
      </c>
      <c r="D623" s="9">
        <v>522.32000000000005</v>
      </c>
      <c r="E623" s="9">
        <f t="shared" si="27"/>
        <v>-1.7347509369758971E-2</v>
      </c>
      <c r="F623" s="45">
        <f t="shared" si="28"/>
        <v>4.4323847185831567E-3</v>
      </c>
      <c r="G623" s="9">
        <f t="shared" si="29"/>
        <v>1.271690379038151E-2</v>
      </c>
    </row>
    <row r="624" spans="1:7" x14ac:dyDescent="0.2">
      <c r="A624" s="12">
        <v>37804</v>
      </c>
      <c r="B624" s="9">
        <v>530.71</v>
      </c>
      <c r="C624" s="9">
        <v>523.66999999999996</v>
      </c>
      <c r="D624" s="9">
        <v>529.86</v>
      </c>
      <c r="E624" s="9">
        <f t="shared" si="27"/>
        <v>1.4332393830387709E-2</v>
      </c>
      <c r="F624" s="45">
        <f t="shared" si="28"/>
        <v>2.1769229704478692E-2</v>
      </c>
      <c r="G624" s="9">
        <f t="shared" si="29"/>
        <v>1.2960308940252015E-2</v>
      </c>
    </row>
    <row r="625" spans="1:7" x14ac:dyDescent="0.2">
      <c r="A625" s="12">
        <v>37805</v>
      </c>
      <c r="B625" s="9">
        <v>538.95000000000005</v>
      </c>
      <c r="C625" s="9">
        <v>530.79999999999995</v>
      </c>
      <c r="D625" s="9">
        <v>537.95000000000005</v>
      </c>
      <c r="E625" s="9">
        <f t="shared" si="27"/>
        <v>1.5152798331152335E-2</v>
      </c>
      <c r="F625" s="45">
        <f t="shared" si="28"/>
        <v>6.3702361846971284E-2</v>
      </c>
      <c r="G625" s="9">
        <f t="shared" si="29"/>
        <v>1.212587704200334E-2</v>
      </c>
    </row>
    <row r="626" spans="1:7" x14ac:dyDescent="0.2">
      <c r="A626" s="12">
        <v>37806</v>
      </c>
      <c r="B626" s="9">
        <v>540.39</v>
      </c>
      <c r="C626" s="9">
        <v>535.07000000000005</v>
      </c>
      <c r="D626" s="9">
        <v>539.04999999999995</v>
      </c>
      <c r="E626" s="9">
        <f t="shared" si="27"/>
        <v>2.0427119452084857E-3</v>
      </c>
      <c r="F626" s="45">
        <f t="shared" si="28"/>
        <v>7.6240773738182457E-2</v>
      </c>
      <c r="G626" s="9">
        <f t="shared" si="29"/>
        <v>1.1889714563030481E-2</v>
      </c>
    </row>
    <row r="627" spans="1:7" x14ac:dyDescent="0.2">
      <c r="A627" s="12">
        <v>37809</v>
      </c>
      <c r="B627" s="9">
        <v>553.16</v>
      </c>
      <c r="C627" s="9">
        <v>539.49</v>
      </c>
      <c r="D627" s="9">
        <v>551.94000000000005</v>
      </c>
      <c r="E627" s="9">
        <f t="shared" si="27"/>
        <v>2.3631013731994183E-2</v>
      </c>
      <c r="F627" s="45">
        <f t="shared" si="28"/>
        <v>0.11433074534188085</v>
      </c>
      <c r="G627" s="9">
        <f t="shared" si="29"/>
        <v>1.2044451121285514E-2</v>
      </c>
    </row>
    <row r="628" spans="1:7" x14ac:dyDescent="0.2">
      <c r="A628" s="12">
        <v>37810</v>
      </c>
      <c r="B628" s="9">
        <v>553.76</v>
      </c>
      <c r="C628" s="9">
        <v>546.27</v>
      </c>
      <c r="D628" s="9">
        <v>550.16999999999996</v>
      </c>
      <c r="E628" s="9">
        <f t="shared" si="27"/>
        <v>-3.2120233402676717E-3</v>
      </c>
      <c r="F628" s="45">
        <f t="shared" si="28"/>
        <v>0.1009534245453636</v>
      </c>
      <c r="G628" s="9">
        <f t="shared" si="29"/>
        <v>1.2048718084017172E-2</v>
      </c>
    </row>
    <row r="629" spans="1:7" x14ac:dyDescent="0.2">
      <c r="A629" s="12">
        <v>37811</v>
      </c>
      <c r="B629" s="9">
        <v>550.9</v>
      </c>
      <c r="C629" s="9">
        <v>545.45000000000005</v>
      </c>
      <c r="D629" s="9">
        <v>546.28</v>
      </c>
      <c r="E629" s="9">
        <f t="shared" si="27"/>
        <v>-7.0956565666295789E-3</v>
      </c>
      <c r="F629" s="45">
        <f t="shared" si="28"/>
        <v>9.0625774479902152E-2</v>
      </c>
      <c r="G629" s="9">
        <f t="shared" si="29"/>
        <v>1.2199252767236777E-2</v>
      </c>
    </row>
    <row r="630" spans="1:7" x14ac:dyDescent="0.2">
      <c r="A630" s="12">
        <v>37812</v>
      </c>
      <c r="B630" s="9">
        <v>548.78</v>
      </c>
      <c r="C630" s="9">
        <v>540.80999999999995</v>
      </c>
      <c r="D630" s="9">
        <v>540.83000000000004</v>
      </c>
      <c r="E630" s="9">
        <f t="shared" si="27"/>
        <v>-1.0026668247278898E-2</v>
      </c>
      <c r="F630" s="45">
        <f t="shared" si="28"/>
        <v>8.7436739710227432E-2</v>
      </c>
      <c r="G630" s="9">
        <f t="shared" si="29"/>
        <v>1.2301584381397947E-2</v>
      </c>
    </row>
    <row r="631" spans="1:7" x14ac:dyDescent="0.2">
      <c r="A631" s="12">
        <v>37813</v>
      </c>
      <c r="B631" s="9">
        <v>544.24</v>
      </c>
      <c r="C631" s="9">
        <v>538.09</v>
      </c>
      <c r="D631" s="9">
        <v>544.16</v>
      </c>
      <c r="E631" s="9">
        <f t="shared" si="27"/>
        <v>6.1383246959404447E-3</v>
      </c>
      <c r="F631" s="45">
        <f t="shared" si="28"/>
        <v>7.9946233350561974E-2</v>
      </c>
      <c r="G631" s="9">
        <f t="shared" si="29"/>
        <v>1.215172350307148E-2</v>
      </c>
    </row>
    <row r="632" spans="1:7" x14ac:dyDescent="0.2">
      <c r="A632" s="12">
        <v>37816</v>
      </c>
      <c r="B632" s="9">
        <v>554.01</v>
      </c>
      <c r="C632" s="9">
        <v>544.5</v>
      </c>
      <c r="D632" s="9">
        <v>553.66999999999996</v>
      </c>
      <c r="E632" s="9">
        <f t="shared" si="27"/>
        <v>1.732552013777346E-2</v>
      </c>
      <c r="F632" s="45">
        <f t="shared" si="28"/>
        <v>7.6409962130461376E-2</v>
      </c>
      <c r="G632" s="9">
        <f t="shared" si="29"/>
        <v>1.1985130219944269E-2</v>
      </c>
    </row>
    <row r="633" spans="1:7" x14ac:dyDescent="0.2">
      <c r="A633" s="12">
        <v>37817</v>
      </c>
      <c r="B633" s="9">
        <v>557.71</v>
      </c>
      <c r="C633" s="9">
        <v>549.36</v>
      </c>
      <c r="D633" s="9">
        <v>554.53</v>
      </c>
      <c r="E633" s="9">
        <f t="shared" si="27"/>
        <v>1.5520667255706252E-3</v>
      </c>
      <c r="F633" s="45">
        <f t="shared" si="28"/>
        <v>7.5003101254321816E-2</v>
      </c>
      <c r="G633" s="9">
        <f t="shared" si="29"/>
        <v>1.1986215177776018E-2</v>
      </c>
    </row>
    <row r="634" spans="1:7" x14ac:dyDescent="0.2">
      <c r="A634" s="12">
        <v>37818</v>
      </c>
      <c r="B634" s="9">
        <v>558.25</v>
      </c>
      <c r="C634" s="9">
        <v>549.85</v>
      </c>
      <c r="D634" s="9">
        <v>549.91</v>
      </c>
      <c r="E634" s="9">
        <f t="shared" si="27"/>
        <v>-8.3662796492395743E-3</v>
      </c>
      <c r="F634" s="45">
        <f t="shared" si="28"/>
        <v>5.877602874114761E-2</v>
      </c>
      <c r="G634" s="9">
        <f t="shared" si="29"/>
        <v>1.2101546352946619E-2</v>
      </c>
    </row>
    <row r="635" spans="1:7" x14ac:dyDescent="0.2">
      <c r="A635" s="12">
        <v>37819</v>
      </c>
      <c r="B635" s="9">
        <v>549.67999999999995</v>
      </c>
      <c r="C635" s="9">
        <v>541.41</v>
      </c>
      <c r="D635" s="9">
        <v>546.23</v>
      </c>
      <c r="E635" s="9">
        <f t="shared" si="27"/>
        <v>-6.7144960057831824E-3</v>
      </c>
      <c r="F635" s="45">
        <f t="shared" si="28"/>
        <v>6.5008519101426604E-2</v>
      </c>
      <c r="G635" s="9">
        <f t="shared" si="29"/>
        <v>1.1888445709801864E-2</v>
      </c>
    </row>
    <row r="636" spans="1:7" x14ac:dyDescent="0.2">
      <c r="A636" s="12">
        <v>37820</v>
      </c>
      <c r="B636" s="9">
        <v>561.78</v>
      </c>
      <c r="C636" s="9">
        <v>552.66999999999996</v>
      </c>
      <c r="D636" s="9">
        <v>552.66999999999996</v>
      </c>
      <c r="E636" s="9">
        <f t="shared" si="27"/>
        <v>1.1720945904823496E-2</v>
      </c>
      <c r="F636" s="45">
        <f t="shared" si="28"/>
        <v>6.6795576295841874E-2</v>
      </c>
      <c r="G636" s="9">
        <f t="shared" si="29"/>
        <v>1.1933098199527654E-2</v>
      </c>
    </row>
    <row r="637" spans="1:7" x14ac:dyDescent="0.2">
      <c r="A637" s="12">
        <v>37823</v>
      </c>
      <c r="B637" s="9">
        <v>559.28</v>
      </c>
      <c r="C637" s="9">
        <v>550.64</v>
      </c>
      <c r="D637" s="9">
        <v>551.26</v>
      </c>
      <c r="E637" s="9">
        <f t="shared" si="27"/>
        <v>-2.554511185943588E-3</v>
      </c>
      <c r="F637" s="45">
        <f t="shared" si="28"/>
        <v>6.4105667281859402E-2</v>
      </c>
      <c r="G637" s="9">
        <f t="shared" si="29"/>
        <v>1.195942915046223E-2</v>
      </c>
    </row>
    <row r="638" spans="1:7" x14ac:dyDescent="0.2">
      <c r="A638" s="12">
        <v>37824</v>
      </c>
      <c r="B638" s="9">
        <v>554.21</v>
      </c>
      <c r="C638" s="9">
        <v>547.70000000000005</v>
      </c>
      <c r="D638" s="9">
        <v>549.49</v>
      </c>
      <c r="E638" s="9">
        <f t="shared" si="27"/>
        <v>-3.2159918701498728E-3</v>
      </c>
      <c r="F638" s="45">
        <f t="shared" si="28"/>
        <v>3.8229012290613838E-2</v>
      </c>
      <c r="G638" s="9">
        <f t="shared" si="29"/>
        <v>1.1345539423853912E-2</v>
      </c>
    </row>
    <row r="639" spans="1:7" x14ac:dyDescent="0.2">
      <c r="A639" s="12">
        <v>37825</v>
      </c>
      <c r="B639" s="9">
        <v>552.71</v>
      </c>
      <c r="C639" s="9">
        <v>546.14</v>
      </c>
      <c r="D639" s="9">
        <v>546.73</v>
      </c>
      <c r="E639" s="9">
        <f t="shared" si="27"/>
        <v>-5.0354962177822371E-3</v>
      </c>
      <c r="F639" s="45">
        <f t="shared" si="28"/>
        <v>3.6659658396956153E-2</v>
      </c>
      <c r="G639" s="9">
        <f t="shared" si="29"/>
        <v>1.1371737986499843E-2</v>
      </c>
    </row>
    <row r="640" spans="1:7" x14ac:dyDescent="0.2">
      <c r="A640" s="12">
        <v>37826</v>
      </c>
      <c r="B640" s="9">
        <v>556.75</v>
      </c>
      <c r="C640" s="9">
        <v>546.72</v>
      </c>
      <c r="D640" s="9">
        <v>555.66</v>
      </c>
      <c r="E640" s="9">
        <f t="shared" si="27"/>
        <v>1.6201517312078237E-2</v>
      </c>
      <c r="F640" s="45">
        <f t="shared" si="28"/>
        <v>4.0210296679905361E-2</v>
      </c>
      <c r="G640" s="9">
        <f t="shared" si="29"/>
        <v>1.1512396361685991E-2</v>
      </c>
    </row>
    <row r="641" spans="1:7" x14ac:dyDescent="0.2">
      <c r="A641" s="12">
        <v>37827</v>
      </c>
      <c r="B641" s="9">
        <v>555.25</v>
      </c>
      <c r="C641" s="9">
        <v>551.21</v>
      </c>
      <c r="D641" s="9">
        <v>552.78</v>
      </c>
      <c r="E641" s="9">
        <f t="shared" si="27"/>
        <v>-5.1965040613369574E-3</v>
      </c>
      <c r="F641" s="45">
        <f t="shared" si="28"/>
        <v>2.5170312690652868E-2</v>
      </c>
      <c r="G641" s="9">
        <f t="shared" si="29"/>
        <v>1.1456679772644168E-2</v>
      </c>
    </row>
    <row r="642" spans="1:7" x14ac:dyDescent="0.2">
      <c r="A642" s="12">
        <v>37830</v>
      </c>
      <c r="B642" s="9">
        <v>563.16999999999996</v>
      </c>
      <c r="C642" s="9">
        <v>554.07000000000005</v>
      </c>
      <c r="D642" s="9">
        <v>562.66999999999996</v>
      </c>
      <c r="E642" s="9">
        <f t="shared" ref="E642:E705" si="30">LN(D642/D641)</f>
        <v>1.7733218291965225E-2</v>
      </c>
      <c r="F642" s="45">
        <f t="shared" si="28"/>
        <v>6.0892354527472464E-2</v>
      </c>
      <c r="G642" s="9">
        <f t="shared" si="29"/>
        <v>1.1287468307215278E-2</v>
      </c>
    </row>
    <row r="643" spans="1:7" x14ac:dyDescent="0.2">
      <c r="A643" s="12">
        <v>37831</v>
      </c>
      <c r="B643" s="9">
        <v>564.49</v>
      </c>
      <c r="C643" s="9">
        <v>557.6</v>
      </c>
      <c r="D643" s="9">
        <v>560.4</v>
      </c>
      <c r="E643" s="9">
        <f t="shared" si="30"/>
        <v>-4.0424961780090351E-3</v>
      </c>
      <c r="F643" s="45">
        <f t="shared" si="28"/>
        <v>4.66644807107119E-2</v>
      </c>
      <c r="G643" s="9">
        <f t="shared" si="29"/>
        <v>1.1231745818546239E-2</v>
      </c>
    </row>
    <row r="644" spans="1:7" x14ac:dyDescent="0.2">
      <c r="A644" s="12">
        <v>37832</v>
      </c>
      <c r="B644" s="9">
        <v>565.03</v>
      </c>
      <c r="C644" s="9">
        <v>561.02</v>
      </c>
      <c r="D644" s="9">
        <v>564.86</v>
      </c>
      <c r="E644" s="9">
        <f t="shared" si="30"/>
        <v>7.9270983685473494E-3</v>
      </c>
      <c r="F644" s="45">
        <f t="shared" si="28"/>
        <v>4.2087119537036616E-2</v>
      </c>
      <c r="G644" s="9">
        <f t="shared" si="29"/>
        <v>1.1108291861370877E-2</v>
      </c>
    </row>
    <row r="645" spans="1:7" x14ac:dyDescent="0.2">
      <c r="A645" s="12">
        <v>37833</v>
      </c>
      <c r="B645" s="9">
        <v>571.62</v>
      </c>
      <c r="C645" s="9">
        <v>559.38</v>
      </c>
      <c r="D645" s="9">
        <v>571.01</v>
      </c>
      <c r="E645" s="9">
        <f t="shared" si="30"/>
        <v>1.0828809806108919E-2</v>
      </c>
      <c r="F645" s="45">
        <f t="shared" si="28"/>
        <v>4.6235681090457753E-2</v>
      </c>
      <c r="G645" s="9">
        <f t="shared" si="29"/>
        <v>1.1201683904886453E-2</v>
      </c>
    </row>
    <row r="646" spans="1:7" x14ac:dyDescent="0.2">
      <c r="A646" s="12">
        <v>37834</v>
      </c>
      <c r="B646" s="9">
        <v>572.54999999999995</v>
      </c>
      <c r="C646" s="9">
        <v>566.04999999999995</v>
      </c>
      <c r="D646" s="9">
        <v>568.51</v>
      </c>
      <c r="E646" s="9">
        <f t="shared" si="30"/>
        <v>-4.3878194521060846E-3</v>
      </c>
      <c r="F646" s="45">
        <f t="shared" si="28"/>
        <v>5.3025077857320725E-2</v>
      </c>
      <c r="G646" s="9">
        <f t="shared" si="29"/>
        <v>1.1002684188891883E-2</v>
      </c>
    </row>
    <row r="647" spans="1:7" x14ac:dyDescent="0.2">
      <c r="A647" s="12">
        <v>37837</v>
      </c>
      <c r="B647" s="9">
        <v>572.05999999999995</v>
      </c>
      <c r="C647" s="9">
        <v>564.61</v>
      </c>
      <c r="D647" s="9">
        <v>567.72</v>
      </c>
      <c r="E647" s="9">
        <f t="shared" si="30"/>
        <v>-1.3905637543450118E-3</v>
      </c>
      <c r="F647" s="45">
        <f t="shared" si="28"/>
        <v>6.5586534824773113E-2</v>
      </c>
      <c r="G647" s="9">
        <f t="shared" si="29"/>
        <v>1.0616063004640084E-2</v>
      </c>
    </row>
    <row r="648" spans="1:7" x14ac:dyDescent="0.2">
      <c r="A648" s="12">
        <v>37838</v>
      </c>
      <c r="B648" s="9">
        <v>571.95000000000005</v>
      </c>
      <c r="C648" s="9">
        <v>566.25</v>
      </c>
      <c r="D648" s="9">
        <v>570.62</v>
      </c>
      <c r="E648" s="9">
        <f t="shared" si="30"/>
        <v>5.0951495577712114E-3</v>
      </c>
      <c r="F648" s="45">
        <f t="shared" si="28"/>
        <v>8.3153812517974351E-2</v>
      </c>
      <c r="G648" s="9">
        <f t="shared" si="29"/>
        <v>1.0258101626531456E-2</v>
      </c>
    </row>
    <row r="649" spans="1:7" x14ac:dyDescent="0.2">
      <c r="A649" s="12">
        <v>37839</v>
      </c>
      <c r="B649" s="9">
        <v>568.13</v>
      </c>
      <c r="C649" s="9">
        <v>557.29</v>
      </c>
      <c r="D649" s="9">
        <v>558.44000000000005</v>
      </c>
      <c r="E649" s="9">
        <f t="shared" si="30"/>
        <v>-2.1576306868380923E-2</v>
      </c>
      <c r="F649" s="45">
        <f t="shared" si="28"/>
        <v>5.6126658859693479E-2</v>
      </c>
      <c r="G649" s="9">
        <f t="shared" si="29"/>
        <v>1.1161718131600195E-2</v>
      </c>
    </row>
    <row r="650" spans="1:7" x14ac:dyDescent="0.2">
      <c r="A650" s="12">
        <v>37840</v>
      </c>
      <c r="B650" s="9">
        <v>559.14</v>
      </c>
      <c r="C650" s="9">
        <v>550.41999999999996</v>
      </c>
      <c r="D650" s="9">
        <v>555.74</v>
      </c>
      <c r="E650" s="9">
        <f t="shared" si="30"/>
        <v>-4.8466231402341312E-3</v>
      </c>
      <c r="F650" s="45">
        <f t="shared" si="28"/>
        <v>4.9917225090607274E-2</v>
      </c>
      <c r="G650" s="9">
        <f t="shared" si="29"/>
        <v>1.1228836312953041E-2</v>
      </c>
    </row>
    <row r="651" spans="1:7" x14ac:dyDescent="0.2">
      <c r="A651" s="12">
        <v>37841</v>
      </c>
      <c r="B651" s="9">
        <v>560.79999999999995</v>
      </c>
      <c r="C651" s="9">
        <v>554.91</v>
      </c>
      <c r="D651" s="9">
        <v>557.87</v>
      </c>
      <c r="E651" s="9">
        <f t="shared" si="30"/>
        <v>3.8254013478332396E-3</v>
      </c>
      <c r="F651" s="45">
        <f t="shared" si="28"/>
        <v>3.8984843720615246E-2</v>
      </c>
      <c r="G651" s="9">
        <f t="shared" si="29"/>
        <v>1.0963504933064675E-2</v>
      </c>
    </row>
    <row r="652" spans="1:7" x14ac:dyDescent="0.2">
      <c r="A652" s="12">
        <v>37844</v>
      </c>
      <c r="B652" s="9">
        <v>561.91999999999996</v>
      </c>
      <c r="C652" s="9">
        <v>556.12</v>
      </c>
      <c r="D652" s="9">
        <v>557.91</v>
      </c>
      <c r="E652" s="9">
        <f t="shared" si="30"/>
        <v>7.1698722000827116E-5</v>
      </c>
      <c r="F652" s="45">
        <f t="shared" si="28"/>
        <v>4.856972280191027E-2</v>
      </c>
      <c r="G652" s="9">
        <f t="shared" si="29"/>
        <v>1.0775588600863136E-2</v>
      </c>
    </row>
    <row r="653" spans="1:7" x14ac:dyDescent="0.2">
      <c r="A653" s="12">
        <v>37845</v>
      </c>
      <c r="B653" s="9">
        <v>569.47</v>
      </c>
      <c r="C653" s="9">
        <v>558.80999999999995</v>
      </c>
      <c r="D653" s="9">
        <v>567.64</v>
      </c>
      <c r="E653" s="9">
        <f t="shared" si="30"/>
        <v>1.7289755916289458E-2</v>
      </c>
      <c r="F653" s="45">
        <f t="shared" si="28"/>
        <v>8.3206988087958553E-2</v>
      </c>
      <c r="G653" s="9">
        <f t="shared" si="29"/>
        <v>1.0526058626991457E-2</v>
      </c>
    </row>
    <row r="654" spans="1:7" x14ac:dyDescent="0.2">
      <c r="A654" s="12">
        <v>37846</v>
      </c>
      <c r="B654" s="9">
        <v>576.39</v>
      </c>
      <c r="C654" s="9">
        <v>568.9</v>
      </c>
      <c r="D654" s="9">
        <v>574.52</v>
      </c>
      <c r="E654" s="9">
        <f t="shared" si="30"/>
        <v>1.2047494597285137E-2</v>
      </c>
      <c r="F654" s="45">
        <f t="shared" si="28"/>
        <v>8.0922088854856092E-2</v>
      </c>
      <c r="G654" s="9">
        <f t="shared" si="29"/>
        <v>1.044751186830109E-2</v>
      </c>
    </row>
    <row r="655" spans="1:7" x14ac:dyDescent="0.2">
      <c r="A655" s="12">
        <v>37847</v>
      </c>
      <c r="B655" s="9">
        <v>578.37</v>
      </c>
      <c r="C655" s="9">
        <v>571.65</v>
      </c>
      <c r="D655" s="9">
        <v>578.37</v>
      </c>
      <c r="E655" s="9">
        <f t="shared" si="30"/>
        <v>6.6788927158651697E-3</v>
      </c>
      <c r="F655" s="45">
        <f t="shared" si="28"/>
        <v>7.2448183239568892E-2</v>
      </c>
      <c r="G655" s="9">
        <f t="shared" si="29"/>
        <v>1.0211025887453698E-2</v>
      </c>
    </row>
    <row r="656" spans="1:7" x14ac:dyDescent="0.2">
      <c r="A656" s="12">
        <v>37848</v>
      </c>
      <c r="B656" s="9">
        <v>580.32000000000005</v>
      </c>
      <c r="C656" s="9">
        <v>572.9</v>
      </c>
      <c r="D656" s="9">
        <v>574.94000000000005</v>
      </c>
      <c r="E656" s="9">
        <f t="shared" si="30"/>
        <v>-5.9481147528367799E-3</v>
      </c>
      <c r="F656" s="45">
        <f t="shared" si="28"/>
        <v>6.44573565415235E-2</v>
      </c>
      <c r="G656" s="9">
        <f t="shared" si="29"/>
        <v>1.0324661001345034E-2</v>
      </c>
    </row>
    <row r="657" spans="1:7" x14ac:dyDescent="0.2">
      <c r="A657" s="12">
        <v>37851</v>
      </c>
      <c r="B657" s="9">
        <v>585.26</v>
      </c>
      <c r="C657" s="9">
        <v>575.58000000000004</v>
      </c>
      <c r="D657" s="9">
        <v>585.26</v>
      </c>
      <c r="E657" s="9">
        <f t="shared" si="30"/>
        <v>1.7790505413472393E-2</v>
      </c>
      <c r="F657" s="45">
        <f t="shared" si="28"/>
        <v>5.8616848223001963E-2</v>
      </c>
      <c r="G657" s="9">
        <f t="shared" si="29"/>
        <v>9.9540286808748098E-3</v>
      </c>
    </row>
    <row r="658" spans="1:7" x14ac:dyDescent="0.2">
      <c r="A658" s="12">
        <v>37852</v>
      </c>
      <c r="B658" s="9">
        <v>593.71</v>
      </c>
      <c r="C658" s="9">
        <v>585.98</v>
      </c>
      <c r="D658" s="9">
        <v>592.48</v>
      </c>
      <c r="E658" s="9">
        <f t="shared" si="30"/>
        <v>1.2260924225179739E-2</v>
      </c>
      <c r="F658" s="45">
        <f t="shared" si="28"/>
        <v>7.4089795788449347E-2</v>
      </c>
      <c r="G658" s="9">
        <f t="shared" si="29"/>
        <v>1.0077228785473777E-2</v>
      </c>
    </row>
    <row r="659" spans="1:7" x14ac:dyDescent="0.2">
      <c r="A659" s="12">
        <v>37853</v>
      </c>
      <c r="B659" s="9">
        <v>595.26</v>
      </c>
      <c r="C659" s="9">
        <v>587.48</v>
      </c>
      <c r="D659" s="9">
        <v>592.64</v>
      </c>
      <c r="E659" s="9">
        <f t="shared" si="30"/>
        <v>2.7001485245734989E-4</v>
      </c>
      <c r="F659" s="45">
        <f t="shared" si="28"/>
        <v>8.14554672075362E-2</v>
      </c>
      <c r="G659" s="9">
        <f t="shared" si="29"/>
        <v>9.9247172851077651E-3</v>
      </c>
    </row>
    <row r="660" spans="1:7" x14ac:dyDescent="0.2">
      <c r="A660" s="12">
        <v>37854</v>
      </c>
      <c r="B660" s="9">
        <v>602.5</v>
      </c>
      <c r="C660" s="9">
        <v>592.02</v>
      </c>
      <c r="D660" s="9">
        <v>599.13</v>
      </c>
      <c r="E660" s="9">
        <f t="shared" si="30"/>
        <v>1.0891470931071802E-2</v>
      </c>
      <c r="F660" s="45">
        <f t="shared" si="28"/>
        <v>0.10237360638588677</v>
      </c>
      <c r="G660" s="9">
        <f t="shared" si="29"/>
        <v>9.7315904132675574E-3</v>
      </c>
    </row>
    <row r="661" spans="1:7" x14ac:dyDescent="0.2">
      <c r="A661" s="12">
        <v>37855</v>
      </c>
      <c r="B661" s="9">
        <v>603.26</v>
      </c>
      <c r="C661" s="9">
        <v>594.23</v>
      </c>
      <c r="D661" s="9">
        <v>597.1</v>
      </c>
      <c r="E661" s="9">
        <f t="shared" si="30"/>
        <v>-3.3939993958848158E-3</v>
      </c>
      <c r="F661" s="45">
        <f t="shared" si="28"/>
        <v>9.2841282294061536E-2</v>
      </c>
      <c r="G661" s="9">
        <f t="shared" si="29"/>
        <v>9.7949323547994217E-3</v>
      </c>
    </row>
    <row r="662" spans="1:7" x14ac:dyDescent="0.2">
      <c r="A662" s="12">
        <v>37858</v>
      </c>
      <c r="B662" s="9">
        <v>596.42999999999995</v>
      </c>
      <c r="C662" s="9">
        <v>589.17999999999995</v>
      </c>
      <c r="D662" s="9">
        <v>589.84</v>
      </c>
      <c r="E662" s="9">
        <f t="shared" si="30"/>
        <v>-1.2233289871551544E-2</v>
      </c>
      <c r="F662" s="45">
        <f t="shared" si="28"/>
        <v>6.3282472284736491E-2</v>
      </c>
      <c r="G662" s="9">
        <f t="shared" si="29"/>
        <v>9.8007525659425439E-3</v>
      </c>
    </row>
    <row r="663" spans="1:7" x14ac:dyDescent="0.2">
      <c r="A663" s="12">
        <v>37859</v>
      </c>
      <c r="B663" s="9">
        <v>594.32000000000005</v>
      </c>
      <c r="C663" s="9">
        <v>580.67999999999995</v>
      </c>
      <c r="D663" s="9">
        <v>583.9</v>
      </c>
      <c r="E663" s="9">
        <f t="shared" si="30"/>
        <v>-1.0121578391903311E-2</v>
      </c>
      <c r="F663" s="45">
        <f t="shared" si="28"/>
        <v>5.1608827167262589E-2</v>
      </c>
      <c r="G663" s="9">
        <f t="shared" si="29"/>
        <v>1.0052160323924326E-2</v>
      </c>
    </row>
    <row r="664" spans="1:7" x14ac:dyDescent="0.2">
      <c r="A664" s="12">
        <v>37860</v>
      </c>
      <c r="B664" s="9">
        <v>590.38</v>
      </c>
      <c r="C664" s="9">
        <v>584.91</v>
      </c>
      <c r="D664" s="9">
        <v>588.05999999999995</v>
      </c>
      <c r="E664" s="9">
        <f t="shared" si="30"/>
        <v>7.0992482196514523E-3</v>
      </c>
      <c r="F664" s="45">
        <f t="shared" si="28"/>
        <v>6.7074355036153763E-2</v>
      </c>
      <c r="G664" s="9">
        <f t="shared" si="29"/>
        <v>9.9126413709834226E-3</v>
      </c>
    </row>
    <row r="665" spans="1:7" x14ac:dyDescent="0.2">
      <c r="A665" s="12">
        <v>37861</v>
      </c>
      <c r="B665" s="9">
        <v>595.17999999999995</v>
      </c>
      <c r="C665" s="9">
        <v>587.89</v>
      </c>
      <c r="D665" s="9">
        <v>589.97</v>
      </c>
      <c r="E665" s="9">
        <f t="shared" si="30"/>
        <v>3.2427046402187937E-3</v>
      </c>
      <c r="F665" s="45">
        <f t="shared" si="28"/>
        <v>7.7031555682155681E-2</v>
      </c>
      <c r="G665" s="9">
        <f t="shared" si="29"/>
        <v>9.768270716153292E-3</v>
      </c>
    </row>
    <row r="666" spans="1:7" x14ac:dyDescent="0.2">
      <c r="A666" s="12">
        <v>37862</v>
      </c>
      <c r="B666" s="9">
        <v>594.78</v>
      </c>
      <c r="C666" s="9">
        <v>586.42999999999995</v>
      </c>
      <c r="D666" s="9">
        <v>586.42999999999995</v>
      </c>
      <c r="E666" s="9">
        <f t="shared" si="30"/>
        <v>-6.0183792675210955E-3</v>
      </c>
      <c r="F666" s="45">
        <f t="shared" si="28"/>
        <v>5.9292230509811167E-2</v>
      </c>
      <c r="G666" s="9">
        <f t="shared" si="29"/>
        <v>9.7319316565075715E-3</v>
      </c>
    </row>
    <row r="667" spans="1:7" x14ac:dyDescent="0.2">
      <c r="A667" s="12">
        <v>37865</v>
      </c>
      <c r="B667" s="9">
        <v>599.42999999999995</v>
      </c>
      <c r="C667" s="9">
        <v>587.04999999999995</v>
      </c>
      <c r="D667" s="9">
        <v>598.45000000000005</v>
      </c>
      <c r="E667" s="9">
        <f t="shared" si="30"/>
        <v>2.0289670437538349E-2</v>
      </c>
      <c r="F667" s="45">
        <f t="shared" si="28"/>
        <v>8.2136412133293146E-2</v>
      </c>
      <c r="G667" s="9">
        <f t="shared" si="29"/>
        <v>1.0245361381007649E-2</v>
      </c>
    </row>
    <row r="668" spans="1:7" x14ac:dyDescent="0.2">
      <c r="A668" s="12">
        <v>37866</v>
      </c>
      <c r="B668" s="9">
        <v>604.36</v>
      </c>
      <c r="C668" s="9">
        <v>597.70000000000005</v>
      </c>
      <c r="D668" s="9">
        <v>601.1</v>
      </c>
      <c r="E668" s="9">
        <f t="shared" si="30"/>
        <v>4.4183307257369261E-3</v>
      </c>
      <c r="F668" s="45">
        <f t="shared" si="28"/>
        <v>8.9770734729179943E-2</v>
      </c>
      <c r="G668" s="9">
        <f t="shared" si="29"/>
        <v>1.0187023558564023E-2</v>
      </c>
    </row>
    <row r="669" spans="1:7" x14ac:dyDescent="0.2">
      <c r="A669" s="12">
        <v>37867</v>
      </c>
      <c r="B669" s="9">
        <v>616.39</v>
      </c>
      <c r="C669" s="9">
        <v>603.03</v>
      </c>
      <c r="D669" s="9">
        <v>611.12</v>
      </c>
      <c r="E669" s="9">
        <f t="shared" si="30"/>
        <v>1.6532029187987761E-2</v>
      </c>
      <c r="F669" s="45">
        <f t="shared" si="28"/>
        <v>0.1113382601349501</v>
      </c>
      <c r="G669" s="9">
        <f t="shared" si="29"/>
        <v>1.0360500268971218E-2</v>
      </c>
    </row>
    <row r="670" spans="1:7" x14ac:dyDescent="0.2">
      <c r="A670" s="12">
        <v>37868</v>
      </c>
      <c r="B670" s="9">
        <v>616.88</v>
      </c>
      <c r="C670" s="9">
        <v>608.34</v>
      </c>
      <c r="D670" s="9">
        <v>611.15</v>
      </c>
      <c r="E670" s="9">
        <f t="shared" si="30"/>
        <v>4.9088990167422116E-5</v>
      </c>
      <c r="F670" s="45">
        <f t="shared" si="28"/>
        <v>9.5185831813039176E-2</v>
      </c>
      <c r="G670" s="9">
        <f t="shared" si="29"/>
        <v>1.0105593833536413E-2</v>
      </c>
    </row>
    <row r="671" spans="1:7" x14ac:dyDescent="0.2">
      <c r="A671" s="12">
        <v>37869</v>
      </c>
      <c r="B671" s="9">
        <v>613.98</v>
      </c>
      <c r="C671" s="9">
        <v>606.29</v>
      </c>
      <c r="D671" s="9">
        <v>612.49</v>
      </c>
      <c r="E671" s="9">
        <f t="shared" si="30"/>
        <v>2.190187531718733E-3</v>
      </c>
      <c r="F671" s="45">
        <f t="shared" si="28"/>
        <v>0.10257252340609492</v>
      </c>
      <c r="G671" s="9">
        <f t="shared" si="29"/>
        <v>9.9838980295860868E-3</v>
      </c>
    </row>
    <row r="672" spans="1:7" x14ac:dyDescent="0.2">
      <c r="A672" s="12">
        <v>37872</v>
      </c>
      <c r="B672" s="9">
        <v>615.45000000000005</v>
      </c>
      <c r="C672" s="9">
        <v>609.15</v>
      </c>
      <c r="D672" s="9">
        <v>615.14</v>
      </c>
      <c r="E672" s="9">
        <f t="shared" si="30"/>
        <v>4.3172684213786221E-3</v>
      </c>
      <c r="F672" s="45">
        <f t="shared" si="28"/>
        <v>8.9156573535508238E-2</v>
      </c>
      <c r="G672" s="9">
        <f t="shared" si="29"/>
        <v>9.6142514251222125E-3</v>
      </c>
    </row>
    <row r="673" spans="1:7" x14ac:dyDescent="0.2">
      <c r="A673" s="12">
        <v>37873</v>
      </c>
      <c r="B673" s="9">
        <v>618.41999999999996</v>
      </c>
      <c r="C673" s="9">
        <v>608.74</v>
      </c>
      <c r="D673" s="9">
        <v>609.11</v>
      </c>
      <c r="E673" s="9">
        <f t="shared" si="30"/>
        <v>-9.851008803290583E-3</v>
      </c>
      <c r="F673" s="45">
        <f t="shared" ref="F673:F736" si="31">LN(D673/D643)</f>
        <v>8.3348060910226701E-2</v>
      </c>
      <c r="G673" s="9">
        <f t="shared" ref="G673:G736" si="32">STDEV(E644:E673)</f>
        <v>9.816737163350707E-3</v>
      </c>
    </row>
    <row r="674" spans="1:7" x14ac:dyDescent="0.2">
      <c r="A674" s="12">
        <v>37874</v>
      </c>
      <c r="B674" s="9">
        <v>607.83000000000004</v>
      </c>
      <c r="C674" s="9">
        <v>598.74</v>
      </c>
      <c r="D674" s="9">
        <v>599.17999999999995</v>
      </c>
      <c r="E674" s="9">
        <f t="shared" si="30"/>
        <v>-1.6436821564237512E-2</v>
      </c>
      <c r="F674" s="45">
        <f t="shared" si="31"/>
        <v>5.8984140977441826E-2</v>
      </c>
      <c r="G674" s="9">
        <f t="shared" si="32"/>
        <v>1.0368393763431252E-2</v>
      </c>
    </row>
    <row r="675" spans="1:7" x14ac:dyDescent="0.2">
      <c r="A675" s="12">
        <v>37875</v>
      </c>
      <c r="B675" s="9">
        <v>602.19000000000005</v>
      </c>
      <c r="C675" s="9">
        <v>591.28</v>
      </c>
      <c r="D675" s="9">
        <v>600.44000000000005</v>
      </c>
      <c r="E675" s="9">
        <f t="shared" si="30"/>
        <v>2.1006659831343507E-3</v>
      </c>
      <c r="F675" s="45">
        <f t="shared" si="31"/>
        <v>5.0255997154467297E-2</v>
      </c>
      <c r="G675" s="9">
        <f t="shared" si="32"/>
        <v>1.0232699250792012E-2</v>
      </c>
    </row>
    <row r="676" spans="1:7" x14ac:dyDescent="0.2">
      <c r="A676" s="12">
        <v>37876</v>
      </c>
      <c r="B676" s="9">
        <v>610.35</v>
      </c>
      <c r="C676" s="9">
        <v>600.4</v>
      </c>
      <c r="D676" s="9">
        <v>602.77</v>
      </c>
      <c r="E676" s="9">
        <f t="shared" si="30"/>
        <v>3.8729779714116691E-3</v>
      </c>
      <c r="F676" s="45">
        <f t="shared" si="31"/>
        <v>5.851679457798508E-2</v>
      </c>
      <c r="G676" s="9">
        <f t="shared" si="32"/>
        <v>1.0174903569805941E-2</v>
      </c>
    </row>
    <row r="677" spans="1:7" x14ac:dyDescent="0.2">
      <c r="A677" s="12">
        <v>37879</v>
      </c>
      <c r="B677" s="9">
        <v>609.54999999999995</v>
      </c>
      <c r="C677" s="9">
        <v>602.33000000000004</v>
      </c>
      <c r="D677" s="9">
        <v>603.71</v>
      </c>
      <c r="E677" s="9">
        <f t="shared" si="30"/>
        <v>1.5582524206040874E-3</v>
      </c>
      <c r="F677" s="45">
        <f t="shared" si="31"/>
        <v>6.1465610752934018E-2</v>
      </c>
      <c r="G677" s="9">
        <f t="shared" si="32"/>
        <v>1.0155739272213865E-2</v>
      </c>
    </row>
    <row r="678" spans="1:7" x14ac:dyDescent="0.2">
      <c r="A678" s="12">
        <v>37880</v>
      </c>
      <c r="B678" s="9">
        <v>609.94000000000005</v>
      </c>
      <c r="C678" s="9">
        <v>602.21</v>
      </c>
      <c r="D678" s="9">
        <v>609.53</v>
      </c>
      <c r="E678" s="9">
        <f t="shared" si="30"/>
        <v>9.5942181987199431E-3</v>
      </c>
      <c r="F678" s="45">
        <f t="shared" si="31"/>
        <v>6.5964679393882897E-2</v>
      </c>
      <c r="G678" s="9">
        <f t="shared" si="32"/>
        <v>1.0235182816298984E-2</v>
      </c>
    </row>
    <row r="679" spans="1:7" x14ac:dyDescent="0.2">
      <c r="A679" s="12">
        <v>37881</v>
      </c>
      <c r="B679" s="9">
        <v>617.65</v>
      </c>
      <c r="C679" s="9">
        <v>607.66</v>
      </c>
      <c r="D679" s="9">
        <v>608.99</v>
      </c>
      <c r="E679" s="9">
        <f t="shared" si="30"/>
        <v>-8.8632116887769777E-4</v>
      </c>
      <c r="F679" s="45">
        <f t="shared" si="31"/>
        <v>8.6654665093386138E-2</v>
      </c>
      <c r="G679" s="9">
        <f t="shared" si="32"/>
        <v>9.2251571269944387E-3</v>
      </c>
    </row>
    <row r="680" spans="1:7" x14ac:dyDescent="0.2">
      <c r="A680" s="12">
        <v>37882</v>
      </c>
      <c r="B680" s="9">
        <v>608.92999999999995</v>
      </c>
      <c r="C680" s="9">
        <v>602.14</v>
      </c>
      <c r="D680" s="9">
        <v>608.48</v>
      </c>
      <c r="E680" s="9">
        <f t="shared" si="30"/>
        <v>-8.3780303388398256E-4</v>
      </c>
      <c r="F680" s="45">
        <f t="shared" si="31"/>
        <v>9.0663485199736438E-2</v>
      </c>
      <c r="G680" s="9">
        <f t="shared" si="32"/>
        <v>9.1378708045346223E-3</v>
      </c>
    </row>
    <row r="681" spans="1:7" x14ac:dyDescent="0.2">
      <c r="A681" s="12">
        <v>37883</v>
      </c>
      <c r="B681" s="9">
        <v>608.51</v>
      </c>
      <c r="C681" s="9">
        <v>602.79999999999995</v>
      </c>
      <c r="D681" s="9">
        <v>603.03</v>
      </c>
      <c r="E681" s="9">
        <f t="shared" si="30"/>
        <v>-8.9970974465351187E-3</v>
      </c>
      <c r="F681" s="45">
        <f t="shared" si="31"/>
        <v>7.7840986405368018E-2</v>
      </c>
      <c r="G681" s="9">
        <f t="shared" si="32"/>
        <v>9.3952583091265578E-3</v>
      </c>
    </row>
    <row r="682" spans="1:7" x14ac:dyDescent="0.2">
      <c r="A682" s="12">
        <v>37886</v>
      </c>
      <c r="B682" s="9">
        <v>601.17999999999995</v>
      </c>
      <c r="C682" s="9">
        <v>585.76</v>
      </c>
      <c r="D682" s="9">
        <v>589.36</v>
      </c>
      <c r="E682" s="9">
        <f t="shared" si="30"/>
        <v>-2.2929744358856256E-2</v>
      </c>
      <c r="F682" s="45">
        <f t="shared" si="31"/>
        <v>5.4839543324510721E-2</v>
      </c>
      <c r="G682" s="9">
        <f t="shared" si="32"/>
        <v>1.0483733935314628E-2</v>
      </c>
    </row>
    <row r="683" spans="1:7" x14ac:dyDescent="0.2">
      <c r="A683" s="12">
        <v>37887</v>
      </c>
      <c r="B683" s="9">
        <v>593.6</v>
      </c>
      <c r="C683" s="9">
        <v>582.88</v>
      </c>
      <c r="D683" s="9">
        <v>588.08000000000004</v>
      </c>
      <c r="E683" s="9">
        <f t="shared" si="30"/>
        <v>-2.1742093087258984E-3</v>
      </c>
      <c r="F683" s="45">
        <f t="shared" si="31"/>
        <v>3.5375578099495493E-2</v>
      </c>
      <c r="G683" s="9">
        <f t="shared" si="32"/>
        <v>1.0088700801915294E-2</v>
      </c>
    </row>
    <row r="684" spans="1:7" x14ac:dyDescent="0.2">
      <c r="A684" s="12">
        <v>37888</v>
      </c>
      <c r="B684" s="9">
        <v>595.17999999999995</v>
      </c>
      <c r="C684" s="9">
        <v>581.22</v>
      </c>
      <c r="D684" s="9">
        <v>581.22</v>
      </c>
      <c r="E684" s="9">
        <f t="shared" si="30"/>
        <v>-1.1733650399483642E-2</v>
      </c>
      <c r="F684" s="45">
        <f t="shared" si="31"/>
        <v>1.1594433102726641E-2</v>
      </c>
      <c r="G684" s="9">
        <f t="shared" si="32"/>
        <v>1.0139449098768108E-2</v>
      </c>
    </row>
    <row r="685" spans="1:7" x14ac:dyDescent="0.2">
      <c r="A685" s="12">
        <v>37889</v>
      </c>
      <c r="B685" s="9">
        <v>579.67999999999995</v>
      </c>
      <c r="C685" s="9">
        <v>572.79</v>
      </c>
      <c r="D685" s="9">
        <v>576.78</v>
      </c>
      <c r="E685" s="9">
        <f t="shared" si="30"/>
        <v>-7.6684313605688498E-3</v>
      </c>
      <c r="F685" s="45">
        <f t="shared" si="31"/>
        <v>-2.7528909737074645E-3</v>
      </c>
      <c r="G685" s="9">
        <f t="shared" si="32"/>
        <v>1.017073228310942E-2</v>
      </c>
    </row>
    <row r="686" spans="1:7" x14ac:dyDescent="0.2">
      <c r="A686" s="12">
        <v>37890</v>
      </c>
      <c r="B686" s="9">
        <v>582.94000000000005</v>
      </c>
      <c r="C686" s="9">
        <v>574.74</v>
      </c>
      <c r="D686" s="9">
        <v>581.65</v>
      </c>
      <c r="E686" s="9">
        <f t="shared" si="30"/>
        <v>8.4079809569955512E-3</v>
      </c>
      <c r="F686" s="45">
        <f t="shared" si="31"/>
        <v>1.1603204736124891E-2</v>
      </c>
      <c r="G686" s="9">
        <f t="shared" si="32"/>
        <v>1.0223281301207502E-2</v>
      </c>
    </row>
    <row r="687" spans="1:7" x14ac:dyDescent="0.2">
      <c r="A687" s="12">
        <v>37893</v>
      </c>
      <c r="B687" s="9">
        <v>586.41</v>
      </c>
      <c r="C687" s="9">
        <v>575.33000000000004</v>
      </c>
      <c r="D687" s="9">
        <v>575.61</v>
      </c>
      <c r="E687" s="9">
        <f t="shared" si="30"/>
        <v>-1.0438544224657965E-2</v>
      </c>
      <c r="F687" s="45">
        <f t="shared" si="31"/>
        <v>-1.6625844902005509E-2</v>
      </c>
      <c r="G687" s="9">
        <f t="shared" si="32"/>
        <v>9.8588030219156526E-3</v>
      </c>
    </row>
    <row r="688" spans="1:7" x14ac:dyDescent="0.2">
      <c r="A688" s="12">
        <v>37894</v>
      </c>
      <c r="B688" s="9">
        <v>577.73</v>
      </c>
      <c r="C688" s="9">
        <v>565.01</v>
      </c>
      <c r="D688" s="9">
        <v>567.02</v>
      </c>
      <c r="E688" s="9">
        <f t="shared" si="30"/>
        <v>-1.5035771563849354E-2</v>
      </c>
      <c r="F688" s="45">
        <f t="shared" si="31"/>
        <v>-4.3922540691034441E-2</v>
      </c>
      <c r="G688" s="9">
        <f t="shared" si="32"/>
        <v>9.8948536176368812E-3</v>
      </c>
    </row>
    <row r="689" spans="1:7" x14ac:dyDescent="0.2">
      <c r="A689" s="12">
        <v>37895</v>
      </c>
      <c r="B689" s="9">
        <v>572.55999999999995</v>
      </c>
      <c r="C689" s="9">
        <v>565.04</v>
      </c>
      <c r="D689" s="9">
        <v>572.55999999999995</v>
      </c>
      <c r="E689" s="9">
        <f t="shared" si="30"/>
        <v>9.7229569560739384E-3</v>
      </c>
      <c r="F689" s="45">
        <f t="shared" si="31"/>
        <v>-3.4469598587417841E-2</v>
      </c>
      <c r="G689" s="9">
        <f t="shared" si="32"/>
        <v>1.0100358325954665E-2</v>
      </c>
    </row>
    <row r="690" spans="1:7" x14ac:dyDescent="0.2">
      <c r="A690" s="12">
        <v>37896</v>
      </c>
      <c r="B690" s="9">
        <v>580.12</v>
      </c>
      <c r="C690" s="9">
        <v>570.27</v>
      </c>
      <c r="D690" s="9">
        <v>570.39</v>
      </c>
      <c r="E690" s="9">
        <f t="shared" si="30"/>
        <v>-3.7971960407376213E-3</v>
      </c>
      <c r="F690" s="45">
        <f t="shared" si="31"/>
        <v>-4.9158265559227199E-2</v>
      </c>
      <c r="G690" s="9">
        <f t="shared" si="32"/>
        <v>9.8494677053152391E-3</v>
      </c>
    </row>
    <row r="691" spans="1:7" x14ac:dyDescent="0.2">
      <c r="A691" s="12">
        <v>37897</v>
      </c>
      <c r="B691" s="9">
        <v>591.70000000000005</v>
      </c>
      <c r="C691" s="9">
        <v>571.66999999999996</v>
      </c>
      <c r="D691" s="9">
        <v>591.24</v>
      </c>
      <c r="E691" s="9">
        <f t="shared" si="30"/>
        <v>3.5901688954267576E-2</v>
      </c>
      <c r="F691" s="45">
        <f t="shared" si="31"/>
        <v>-9.8625772090747445E-3</v>
      </c>
      <c r="G691" s="9">
        <f t="shared" si="32"/>
        <v>1.1988599854381757E-2</v>
      </c>
    </row>
    <row r="692" spans="1:7" x14ac:dyDescent="0.2">
      <c r="A692" s="12">
        <v>37900</v>
      </c>
      <c r="B692" s="9">
        <v>597.30999999999995</v>
      </c>
      <c r="C692" s="9">
        <v>588.86</v>
      </c>
      <c r="D692" s="9">
        <v>590.99</v>
      </c>
      <c r="E692" s="9">
        <f t="shared" si="30"/>
        <v>-4.2292955469989008E-4</v>
      </c>
      <c r="F692" s="45">
        <f t="shared" si="31"/>
        <v>1.9477831077769432E-3</v>
      </c>
      <c r="G692" s="9">
        <f t="shared" si="32"/>
        <v>1.1776233578527549E-2</v>
      </c>
    </row>
    <row r="693" spans="1:7" x14ac:dyDescent="0.2">
      <c r="A693" s="12">
        <v>37901</v>
      </c>
      <c r="B693" s="9">
        <v>590.88</v>
      </c>
      <c r="C693" s="9">
        <v>582.80999999999995</v>
      </c>
      <c r="D693" s="9">
        <v>589.73</v>
      </c>
      <c r="E693" s="9">
        <f t="shared" si="30"/>
        <v>-2.1342917512977167E-3</v>
      </c>
      <c r="F693" s="45">
        <f t="shared" si="31"/>
        <v>9.9350697483824961E-3</v>
      </c>
      <c r="G693" s="9">
        <f t="shared" si="32"/>
        <v>1.162733961426618E-2</v>
      </c>
    </row>
    <row r="694" spans="1:7" x14ac:dyDescent="0.2">
      <c r="A694" s="12">
        <v>37902</v>
      </c>
      <c r="B694" s="9">
        <v>597.76</v>
      </c>
      <c r="C694" s="9">
        <v>587.72</v>
      </c>
      <c r="D694" s="9">
        <v>592.96</v>
      </c>
      <c r="E694" s="9">
        <f t="shared" si="30"/>
        <v>5.4621380591206607E-3</v>
      </c>
      <c r="F694" s="45">
        <f t="shared" si="31"/>
        <v>8.2979595878516863E-3</v>
      </c>
      <c r="G694" s="9">
        <f t="shared" si="32"/>
        <v>1.1598285215314664E-2</v>
      </c>
    </row>
    <row r="695" spans="1:7" x14ac:dyDescent="0.2">
      <c r="A695" s="12">
        <v>37903</v>
      </c>
      <c r="B695" s="9">
        <v>601.84</v>
      </c>
      <c r="C695" s="9">
        <v>589.78</v>
      </c>
      <c r="D695" s="9">
        <v>601.75</v>
      </c>
      <c r="E695" s="9">
        <f t="shared" si="30"/>
        <v>1.4715133566186365E-2</v>
      </c>
      <c r="F695" s="45">
        <f t="shared" si="31"/>
        <v>1.9770388513819133E-2</v>
      </c>
      <c r="G695" s="9">
        <f t="shared" si="32"/>
        <v>1.1885042269958967E-2</v>
      </c>
    </row>
    <row r="696" spans="1:7" x14ac:dyDescent="0.2">
      <c r="A696" s="12">
        <v>37904</v>
      </c>
      <c r="B696" s="9">
        <v>602.35</v>
      </c>
      <c r="C696" s="9">
        <v>595.79999999999995</v>
      </c>
      <c r="D696" s="9">
        <v>596.21</v>
      </c>
      <c r="E696" s="9">
        <f t="shared" si="30"/>
        <v>-9.249122664871906E-3</v>
      </c>
      <c r="F696" s="45">
        <f t="shared" si="31"/>
        <v>1.653964511646816E-2</v>
      </c>
      <c r="G696" s="9">
        <f t="shared" si="32"/>
        <v>1.1962020824708026E-2</v>
      </c>
    </row>
    <row r="697" spans="1:7" x14ac:dyDescent="0.2">
      <c r="A697" s="12">
        <v>37907</v>
      </c>
      <c r="B697" s="9">
        <v>606.64</v>
      </c>
      <c r="C697" s="9">
        <v>596.91</v>
      </c>
      <c r="D697" s="9">
        <v>605.33000000000004</v>
      </c>
      <c r="E697" s="9">
        <f t="shared" si="30"/>
        <v>1.5180809871728599E-2</v>
      </c>
      <c r="F697" s="45">
        <f t="shared" si="31"/>
        <v>1.1430784550658522E-2</v>
      </c>
      <c r="G697" s="9">
        <f t="shared" si="32"/>
        <v>1.1704932382341673E-2</v>
      </c>
    </row>
    <row r="698" spans="1:7" x14ac:dyDescent="0.2">
      <c r="A698" s="12">
        <v>37908</v>
      </c>
      <c r="B698" s="9">
        <v>611</v>
      </c>
      <c r="C698" s="9">
        <v>602.71</v>
      </c>
      <c r="D698" s="9">
        <v>610.69000000000005</v>
      </c>
      <c r="E698" s="9">
        <f t="shared" si="30"/>
        <v>8.815701572946328E-3</v>
      </c>
      <c r="F698" s="45">
        <f t="shared" si="31"/>
        <v>1.582815539786795E-2</v>
      </c>
      <c r="G698" s="9">
        <f t="shared" si="32"/>
        <v>1.1784497676408837E-2</v>
      </c>
    </row>
    <row r="699" spans="1:7" x14ac:dyDescent="0.2">
      <c r="A699" s="12">
        <v>37909</v>
      </c>
      <c r="B699" s="9">
        <v>618.9</v>
      </c>
      <c r="C699" s="9">
        <v>610.02</v>
      </c>
      <c r="D699" s="9">
        <v>615.08000000000004</v>
      </c>
      <c r="E699" s="9">
        <f t="shared" si="30"/>
        <v>7.1628752045076729E-3</v>
      </c>
      <c r="F699" s="45">
        <f t="shared" si="31"/>
        <v>6.4590014143880072E-3</v>
      </c>
      <c r="G699" s="9">
        <f t="shared" si="32"/>
        <v>1.1465565183993547E-2</v>
      </c>
    </row>
    <row r="700" spans="1:7" x14ac:dyDescent="0.2">
      <c r="A700" s="12">
        <v>37910</v>
      </c>
      <c r="B700" s="9">
        <v>618.07000000000005</v>
      </c>
      <c r="C700" s="9">
        <v>607.84</v>
      </c>
      <c r="D700" s="9">
        <v>609.66999999999996</v>
      </c>
      <c r="E700" s="9">
        <f t="shared" si="30"/>
        <v>-8.8345134711207644E-3</v>
      </c>
      <c r="F700" s="45">
        <f t="shared" si="31"/>
        <v>-2.4246010469003054E-3</v>
      </c>
      <c r="G700" s="9">
        <f t="shared" si="32"/>
        <v>1.1584111071478269E-2</v>
      </c>
    </row>
    <row r="701" spans="1:7" x14ac:dyDescent="0.2">
      <c r="A701" s="12">
        <v>37911</v>
      </c>
      <c r="B701" s="9">
        <v>614.85</v>
      </c>
      <c r="C701" s="9">
        <v>608.63</v>
      </c>
      <c r="D701" s="9">
        <v>610.02</v>
      </c>
      <c r="E701" s="9">
        <f t="shared" si="30"/>
        <v>5.7391633875314603E-4</v>
      </c>
      <c r="F701" s="45">
        <f t="shared" si="31"/>
        <v>-4.0408722398659232E-3</v>
      </c>
      <c r="G701" s="9">
        <f t="shared" si="32"/>
        <v>1.1576941077690282E-2</v>
      </c>
    </row>
    <row r="702" spans="1:7" x14ac:dyDescent="0.2">
      <c r="A702" s="12">
        <v>37914</v>
      </c>
      <c r="B702" s="9">
        <v>614.12</v>
      </c>
      <c r="C702" s="9">
        <v>606.95000000000005</v>
      </c>
      <c r="D702" s="9">
        <v>613.02</v>
      </c>
      <c r="E702" s="9">
        <f t="shared" si="30"/>
        <v>4.905818316262577E-3</v>
      </c>
      <c r="F702" s="45">
        <f t="shared" si="31"/>
        <v>-3.4523223449818346E-3</v>
      </c>
      <c r="G702" s="9">
        <f t="shared" si="32"/>
        <v>1.1585241246525761E-2</v>
      </c>
    </row>
    <row r="703" spans="1:7" x14ac:dyDescent="0.2">
      <c r="A703" s="12">
        <v>37915</v>
      </c>
      <c r="B703" s="9">
        <v>617.88</v>
      </c>
      <c r="C703" s="9">
        <v>605.75</v>
      </c>
      <c r="D703" s="9">
        <v>608.11</v>
      </c>
      <c r="E703" s="9">
        <f t="shared" si="30"/>
        <v>-8.0417751768285493E-3</v>
      </c>
      <c r="F703" s="45">
        <f t="shared" si="31"/>
        <v>-1.6430887185198406E-3</v>
      </c>
      <c r="G703" s="9">
        <f t="shared" si="32"/>
        <v>1.1537422908900573E-2</v>
      </c>
    </row>
    <row r="704" spans="1:7" x14ac:dyDescent="0.2">
      <c r="A704" s="12">
        <v>37916</v>
      </c>
      <c r="B704" s="9">
        <v>608.16</v>
      </c>
      <c r="C704" s="9">
        <v>594.30999999999995</v>
      </c>
      <c r="D704" s="9">
        <v>594.30999999999995</v>
      </c>
      <c r="E704" s="9">
        <f t="shared" si="30"/>
        <v>-2.2954717904914827E-2</v>
      </c>
      <c r="F704" s="45">
        <f t="shared" si="31"/>
        <v>-8.1609850591972573E-3</v>
      </c>
      <c r="G704" s="9">
        <f t="shared" si="32"/>
        <v>1.1911848057772373E-2</v>
      </c>
    </row>
    <row r="705" spans="1:7" x14ac:dyDescent="0.2">
      <c r="A705" s="12">
        <v>37917</v>
      </c>
      <c r="B705" s="9">
        <v>603.58000000000004</v>
      </c>
      <c r="C705" s="9">
        <v>588.16999999999996</v>
      </c>
      <c r="D705" s="9">
        <v>600.73</v>
      </c>
      <c r="E705" s="9">
        <f t="shared" si="30"/>
        <v>1.0744513594067903E-2</v>
      </c>
      <c r="F705" s="45">
        <f t="shared" si="31"/>
        <v>4.8286255173633763E-4</v>
      </c>
      <c r="G705" s="9">
        <f t="shared" si="32"/>
        <v>1.2074646648963405E-2</v>
      </c>
    </row>
    <row r="706" spans="1:7" x14ac:dyDescent="0.2">
      <c r="A706" s="12">
        <v>37918</v>
      </c>
      <c r="B706" s="9">
        <v>606.67999999999995</v>
      </c>
      <c r="C706" s="9">
        <v>599.69000000000005</v>
      </c>
      <c r="D706" s="9">
        <v>605.59</v>
      </c>
      <c r="E706" s="9">
        <f t="shared" ref="E706:E769" si="33">LN(D706/D705)</f>
        <v>8.0576070936561033E-3</v>
      </c>
      <c r="F706" s="45">
        <f t="shared" si="31"/>
        <v>4.6674916739805799E-3</v>
      </c>
      <c r="G706" s="9">
        <f t="shared" si="32"/>
        <v>1.2144705561639081E-2</v>
      </c>
    </row>
    <row r="707" spans="1:7" x14ac:dyDescent="0.2">
      <c r="A707" s="12">
        <v>37921</v>
      </c>
      <c r="B707" s="9">
        <v>616.70000000000005</v>
      </c>
      <c r="C707" s="9">
        <v>606.21</v>
      </c>
      <c r="D707" s="9">
        <v>614.77</v>
      </c>
      <c r="E707" s="9">
        <f t="shared" si="33"/>
        <v>1.5045024679953445E-2</v>
      </c>
      <c r="F707" s="45">
        <f t="shared" si="31"/>
        <v>1.8154263933329962E-2</v>
      </c>
      <c r="G707" s="9">
        <f t="shared" si="32"/>
        <v>1.2444341203735367E-2</v>
      </c>
    </row>
    <row r="708" spans="1:7" x14ac:dyDescent="0.2">
      <c r="A708" s="12">
        <v>37922</v>
      </c>
      <c r="B708" s="9">
        <v>622.84</v>
      </c>
      <c r="C708" s="9">
        <v>615.16999999999996</v>
      </c>
      <c r="D708" s="9">
        <v>622.03</v>
      </c>
      <c r="E708" s="9">
        <f t="shared" si="33"/>
        <v>1.1740108970010309E-2</v>
      </c>
      <c r="F708" s="45">
        <f t="shared" si="31"/>
        <v>2.0300154704620293E-2</v>
      </c>
      <c r="G708" s="9">
        <f t="shared" si="32"/>
        <v>1.2503816955029995E-2</v>
      </c>
    </row>
    <row r="709" spans="1:7" x14ac:dyDescent="0.2">
      <c r="A709" s="12">
        <v>37923</v>
      </c>
      <c r="B709" s="9">
        <v>626.49</v>
      </c>
      <c r="C709" s="9">
        <v>617.5</v>
      </c>
      <c r="D709" s="9">
        <v>618.55999999999995</v>
      </c>
      <c r="E709" s="9">
        <f t="shared" si="33"/>
        <v>-5.5941270673654786E-3</v>
      </c>
      <c r="F709" s="45">
        <f t="shared" si="31"/>
        <v>1.5592348806132444E-2</v>
      </c>
      <c r="G709" s="9">
        <f t="shared" si="32"/>
        <v>1.2553552739782769E-2</v>
      </c>
    </row>
    <row r="710" spans="1:7" x14ac:dyDescent="0.2">
      <c r="A710" s="12">
        <v>37924</v>
      </c>
      <c r="B710" s="9">
        <v>627.29</v>
      </c>
      <c r="C710" s="9">
        <v>614.64</v>
      </c>
      <c r="D710" s="9">
        <v>620.28</v>
      </c>
      <c r="E710" s="9">
        <f t="shared" si="33"/>
        <v>2.7767929759822908E-3</v>
      </c>
      <c r="F710" s="45">
        <f t="shared" si="31"/>
        <v>1.9206944815998644E-2</v>
      </c>
      <c r="G710" s="9">
        <f t="shared" si="32"/>
        <v>1.2557419464164259E-2</v>
      </c>
    </row>
    <row r="711" spans="1:7" x14ac:dyDescent="0.2">
      <c r="A711" s="12">
        <v>37925</v>
      </c>
      <c r="B711" s="9">
        <v>620.22</v>
      </c>
      <c r="C711" s="9">
        <v>615.33000000000004</v>
      </c>
      <c r="D711" s="9">
        <v>617.57000000000005</v>
      </c>
      <c r="E711" s="9">
        <f t="shared" si="33"/>
        <v>-4.3785665947251558E-3</v>
      </c>
      <c r="F711" s="45">
        <f t="shared" si="31"/>
        <v>2.3825475667808561E-2</v>
      </c>
      <c r="G711" s="9">
        <f t="shared" si="32"/>
        <v>1.2463151095909196E-2</v>
      </c>
    </row>
    <row r="712" spans="1:7" x14ac:dyDescent="0.2">
      <c r="A712" s="12">
        <v>37928</v>
      </c>
      <c r="B712" s="9">
        <v>625.99</v>
      </c>
      <c r="C712" s="9">
        <v>618.22</v>
      </c>
      <c r="D712" s="9">
        <v>622.09</v>
      </c>
      <c r="E712" s="9">
        <f t="shared" si="33"/>
        <v>7.2923544044742414E-3</v>
      </c>
      <c r="F712" s="45">
        <f t="shared" si="31"/>
        <v>5.4047574431139112E-2</v>
      </c>
      <c r="G712" s="9">
        <f t="shared" si="32"/>
        <v>1.1675984210609936E-2</v>
      </c>
    </row>
    <row r="713" spans="1:7" x14ac:dyDescent="0.2">
      <c r="A713" s="12">
        <v>37929</v>
      </c>
      <c r="B713" s="9">
        <v>624.53</v>
      </c>
      <c r="C713" s="9">
        <v>617.15</v>
      </c>
      <c r="D713" s="9">
        <v>619.16</v>
      </c>
      <c r="E713" s="9">
        <f t="shared" si="33"/>
        <v>-4.7210561000205356E-3</v>
      </c>
      <c r="F713" s="45">
        <f t="shared" si="31"/>
        <v>5.1500727639844451E-2</v>
      </c>
      <c r="G713" s="9">
        <f t="shared" si="32"/>
        <v>1.171508209708611E-2</v>
      </c>
    </row>
    <row r="714" spans="1:7" x14ac:dyDescent="0.2">
      <c r="A714" s="12">
        <v>37930</v>
      </c>
      <c r="B714" s="9">
        <v>617.98</v>
      </c>
      <c r="C714" s="9">
        <v>609.86</v>
      </c>
      <c r="D714" s="9">
        <v>612.08000000000004</v>
      </c>
      <c r="E714" s="9">
        <f t="shared" si="33"/>
        <v>-1.1500727782080207E-2</v>
      </c>
      <c r="F714" s="45">
        <f t="shared" si="31"/>
        <v>5.1733650257247799E-2</v>
      </c>
      <c r="G714" s="9">
        <f t="shared" si="32"/>
        <v>1.1705934208040052E-2</v>
      </c>
    </row>
    <row r="715" spans="1:7" x14ac:dyDescent="0.2">
      <c r="A715" s="12">
        <v>37931</v>
      </c>
      <c r="B715" s="9">
        <v>620.17999999999995</v>
      </c>
      <c r="C715" s="9">
        <v>610.78</v>
      </c>
      <c r="D715" s="9">
        <v>616.66</v>
      </c>
      <c r="E715" s="9">
        <f t="shared" si="33"/>
        <v>7.4548256114162856E-3</v>
      </c>
      <c r="F715" s="45">
        <f t="shared" si="31"/>
        <v>6.6856907229233056E-2</v>
      </c>
      <c r="G715" s="9">
        <f t="shared" si="32"/>
        <v>1.1612753162418863E-2</v>
      </c>
    </row>
    <row r="716" spans="1:7" x14ac:dyDescent="0.2">
      <c r="A716" s="12">
        <v>37932</v>
      </c>
      <c r="B716" s="9">
        <v>628.16999999999996</v>
      </c>
      <c r="C716" s="9">
        <v>617.91</v>
      </c>
      <c r="D716" s="9">
        <v>622.38</v>
      </c>
      <c r="E716" s="9">
        <f t="shared" si="33"/>
        <v>9.2330201367789733E-3</v>
      </c>
      <c r="F716" s="45">
        <f t="shared" si="31"/>
        <v>6.7681946409016383E-2</v>
      </c>
      <c r="G716" s="9">
        <f t="shared" si="32"/>
        <v>1.162885763538566E-2</v>
      </c>
    </row>
    <row r="717" spans="1:7" x14ac:dyDescent="0.2">
      <c r="A717" s="12">
        <v>37935</v>
      </c>
      <c r="B717" s="9">
        <v>623.92999999999995</v>
      </c>
      <c r="C717" s="9">
        <v>618.05999999999995</v>
      </c>
      <c r="D717" s="9">
        <v>618.34</v>
      </c>
      <c r="E717" s="9">
        <f t="shared" si="33"/>
        <v>-6.5123706853285309E-3</v>
      </c>
      <c r="F717" s="45">
        <f t="shared" si="31"/>
        <v>7.1608119948345567E-2</v>
      </c>
      <c r="G717" s="9">
        <f t="shared" si="32"/>
        <v>1.1502470650950697E-2</v>
      </c>
    </row>
    <row r="718" spans="1:7" x14ac:dyDescent="0.2">
      <c r="A718" s="12">
        <v>37936</v>
      </c>
      <c r="B718" s="9">
        <v>617.08000000000004</v>
      </c>
      <c r="C718" s="9">
        <v>611.92999999999995</v>
      </c>
      <c r="D718" s="9">
        <v>614.33000000000004</v>
      </c>
      <c r="E718" s="9">
        <f t="shared" si="33"/>
        <v>-6.5062249354438384E-3</v>
      </c>
      <c r="F718" s="45">
        <f t="shared" si="31"/>
        <v>8.0137666576751129E-2</v>
      </c>
      <c r="G718" s="9">
        <f t="shared" si="32"/>
        <v>1.1157200466951926E-2</v>
      </c>
    </row>
    <row r="719" spans="1:7" x14ac:dyDescent="0.2">
      <c r="A719" s="12">
        <v>37937</v>
      </c>
      <c r="B719" s="9">
        <v>619.02</v>
      </c>
      <c r="C719" s="9">
        <v>612.03</v>
      </c>
      <c r="D719" s="9">
        <v>617.21</v>
      </c>
      <c r="E719" s="9">
        <f t="shared" si="33"/>
        <v>4.6770795102319676E-3</v>
      </c>
      <c r="F719" s="45">
        <f t="shared" si="31"/>
        <v>7.5091789130909165E-2</v>
      </c>
      <c r="G719" s="9">
        <f t="shared" si="32"/>
        <v>1.1085029803553434E-2</v>
      </c>
    </row>
    <row r="720" spans="1:7" x14ac:dyDescent="0.2">
      <c r="A720" s="12">
        <v>37938</v>
      </c>
      <c r="B720" s="9">
        <v>625.11</v>
      </c>
      <c r="C720" s="9">
        <v>618.44000000000005</v>
      </c>
      <c r="D720" s="9">
        <v>624.65</v>
      </c>
      <c r="E720" s="9">
        <f t="shared" si="33"/>
        <v>1.1982170316586875E-2</v>
      </c>
      <c r="F720" s="45">
        <f t="shared" si="31"/>
        <v>9.0871155488233823E-2</v>
      </c>
      <c r="G720" s="9">
        <f t="shared" si="32"/>
        <v>1.11499488028082E-2</v>
      </c>
    </row>
    <row r="721" spans="1:7" x14ac:dyDescent="0.2">
      <c r="A721" s="12">
        <v>37939</v>
      </c>
      <c r="B721" s="9">
        <v>634.14</v>
      </c>
      <c r="C721" s="9">
        <v>622.89</v>
      </c>
      <c r="D721" s="9">
        <v>631.29999999999995</v>
      </c>
      <c r="E721" s="9">
        <f t="shared" si="33"/>
        <v>1.0589692495741567E-2</v>
      </c>
      <c r="F721" s="45">
        <f t="shared" si="31"/>
        <v>6.5559159029707839E-2</v>
      </c>
      <c r="G721" s="9">
        <f t="shared" si="32"/>
        <v>9.3964688167006514E-3</v>
      </c>
    </row>
    <row r="722" spans="1:7" x14ac:dyDescent="0.2">
      <c r="A722" s="12">
        <v>37942</v>
      </c>
      <c r="B722" s="9">
        <v>629.42999999999995</v>
      </c>
      <c r="C722" s="9">
        <v>617.4</v>
      </c>
      <c r="D722" s="9">
        <v>617.52</v>
      </c>
      <c r="E722" s="9">
        <f t="shared" si="33"/>
        <v>-2.2069728731981517E-2</v>
      </c>
      <c r="F722" s="45">
        <f t="shared" si="31"/>
        <v>4.3912359852426343E-2</v>
      </c>
      <c r="G722" s="9">
        <f t="shared" si="32"/>
        <v>1.0383009137164939E-2</v>
      </c>
    </row>
    <row r="723" spans="1:7" x14ac:dyDescent="0.2">
      <c r="A723" s="12">
        <v>37943</v>
      </c>
      <c r="B723" s="9">
        <v>622.46</v>
      </c>
      <c r="C723" s="9">
        <v>613.05999999999995</v>
      </c>
      <c r="D723" s="9">
        <v>615.15</v>
      </c>
      <c r="E723" s="9">
        <f t="shared" si="33"/>
        <v>-3.8453161354204436E-3</v>
      </c>
      <c r="F723" s="45">
        <f t="shared" si="31"/>
        <v>4.2201335468303514E-2</v>
      </c>
      <c r="G723" s="9">
        <f t="shared" si="32"/>
        <v>1.0408123749423501E-2</v>
      </c>
    </row>
    <row r="724" spans="1:7" x14ac:dyDescent="0.2">
      <c r="A724" s="12">
        <v>37944</v>
      </c>
      <c r="B724" s="9">
        <v>612.69000000000005</v>
      </c>
      <c r="C724" s="9">
        <v>606.48</v>
      </c>
      <c r="D724" s="9">
        <v>608.38</v>
      </c>
      <c r="E724" s="9">
        <f t="shared" si="33"/>
        <v>-1.106645377116882E-2</v>
      </c>
      <c r="F724" s="45">
        <f t="shared" si="31"/>
        <v>2.5672743638013956E-2</v>
      </c>
      <c r="G724" s="9">
        <f t="shared" si="32"/>
        <v>1.0621333506212294E-2</v>
      </c>
    </row>
    <row r="725" spans="1:7" x14ac:dyDescent="0.2">
      <c r="A725" s="12">
        <v>37945</v>
      </c>
      <c r="B725" s="9">
        <v>611.82000000000005</v>
      </c>
      <c r="C725" s="9">
        <v>599.64</v>
      </c>
      <c r="D725" s="9">
        <v>605.41999999999996</v>
      </c>
      <c r="E725" s="9">
        <f t="shared" si="33"/>
        <v>-4.8772546838177716E-3</v>
      </c>
      <c r="F725" s="45">
        <f t="shared" si="31"/>
        <v>6.0803553880100884E-3</v>
      </c>
      <c r="G725" s="9">
        <f t="shared" si="32"/>
        <v>1.0338343088934143E-2</v>
      </c>
    </row>
    <row r="726" spans="1:7" x14ac:dyDescent="0.2">
      <c r="A726" s="12">
        <v>37946</v>
      </c>
      <c r="B726" s="9">
        <v>606.5</v>
      </c>
      <c r="C726" s="9">
        <v>601.38</v>
      </c>
      <c r="D726" s="9">
        <v>603.13</v>
      </c>
      <c r="E726" s="9">
        <f t="shared" si="33"/>
        <v>-3.7896698368636988E-3</v>
      </c>
      <c r="F726" s="45">
        <f t="shared" si="31"/>
        <v>1.153980821601836E-2</v>
      </c>
      <c r="G726" s="9">
        <f t="shared" si="32"/>
        <v>1.0213526487327455E-2</v>
      </c>
    </row>
    <row r="727" spans="1:7" x14ac:dyDescent="0.2">
      <c r="A727" s="12">
        <v>37949</v>
      </c>
      <c r="B727" s="9">
        <v>613.98</v>
      </c>
      <c r="C727" s="9">
        <v>603.77</v>
      </c>
      <c r="D727" s="9">
        <v>613.61</v>
      </c>
      <c r="E727" s="9">
        <f t="shared" si="33"/>
        <v>1.7226784967979827E-2</v>
      </c>
      <c r="F727" s="45">
        <f t="shared" si="31"/>
        <v>1.3585783312269421E-2</v>
      </c>
      <c r="G727" s="9">
        <f t="shared" si="32"/>
        <v>1.0321987184043918E-2</v>
      </c>
    </row>
    <row r="728" spans="1:7" x14ac:dyDescent="0.2">
      <c r="A728" s="12">
        <v>37950</v>
      </c>
      <c r="B728" s="9">
        <v>616.29999999999995</v>
      </c>
      <c r="C728" s="9">
        <v>611.80999999999995</v>
      </c>
      <c r="D728" s="9">
        <v>612.38</v>
      </c>
      <c r="E728" s="9">
        <f t="shared" si="33"/>
        <v>-2.0065423252828315E-3</v>
      </c>
      <c r="F728" s="45">
        <f t="shared" si="31"/>
        <v>2.76353941404032E-3</v>
      </c>
      <c r="G728" s="9">
        <f t="shared" si="32"/>
        <v>1.0208121614309036E-2</v>
      </c>
    </row>
    <row r="729" spans="1:7" x14ac:dyDescent="0.2">
      <c r="A729" s="12">
        <v>37951</v>
      </c>
      <c r="B729" s="9">
        <v>614.74</v>
      </c>
      <c r="C729" s="9">
        <v>607.38</v>
      </c>
      <c r="D729" s="9">
        <v>609.48</v>
      </c>
      <c r="E729" s="9">
        <f t="shared" si="33"/>
        <v>-4.7468702558707112E-3</v>
      </c>
      <c r="F729" s="45">
        <f t="shared" si="31"/>
        <v>-9.1462060463382462E-3</v>
      </c>
      <c r="G729" s="9">
        <f t="shared" si="32"/>
        <v>1.0155105377160165E-2</v>
      </c>
    </row>
    <row r="730" spans="1:7" x14ac:dyDescent="0.2">
      <c r="A730" s="12">
        <v>37952</v>
      </c>
      <c r="B730" s="9">
        <v>617.36</v>
      </c>
      <c r="C730" s="9">
        <v>609.49</v>
      </c>
      <c r="D730" s="9">
        <v>617.02</v>
      </c>
      <c r="E730" s="9">
        <f t="shared" si="33"/>
        <v>1.2295303689740968E-2</v>
      </c>
      <c r="F730" s="45">
        <f t="shared" si="31"/>
        <v>1.1983611114523538E-2</v>
      </c>
      <c r="G730" s="9">
        <f t="shared" si="32"/>
        <v>1.0275156168442203E-2</v>
      </c>
    </row>
    <row r="731" spans="1:7" x14ac:dyDescent="0.2">
      <c r="A731" s="12">
        <v>37953</v>
      </c>
      <c r="B731" s="9">
        <v>619.54</v>
      </c>
      <c r="C731" s="9">
        <v>612.61</v>
      </c>
      <c r="D731" s="9">
        <v>614.52</v>
      </c>
      <c r="E731" s="9">
        <f t="shared" si="33"/>
        <v>-4.0599630284357006E-3</v>
      </c>
      <c r="F731" s="45">
        <f t="shared" si="31"/>
        <v>7.3497317473346143E-3</v>
      </c>
      <c r="G731" s="9">
        <f t="shared" si="32"/>
        <v>1.0307222766191492E-2</v>
      </c>
    </row>
    <row r="732" spans="1:7" x14ac:dyDescent="0.2">
      <c r="A732" s="12">
        <v>37956</v>
      </c>
      <c r="B732" s="9">
        <v>622.30999999999995</v>
      </c>
      <c r="C732" s="9">
        <v>615.72</v>
      </c>
      <c r="D732" s="9">
        <v>621.26</v>
      </c>
      <c r="E732" s="9">
        <f t="shared" si="33"/>
        <v>1.0908198598307517E-2</v>
      </c>
      <c r="F732" s="45">
        <f t="shared" si="31"/>
        <v>1.3352112029379533E-2</v>
      </c>
      <c r="G732" s="9">
        <f t="shared" si="32"/>
        <v>1.0457971922820714E-2</v>
      </c>
    </row>
    <row r="733" spans="1:7" x14ac:dyDescent="0.2">
      <c r="A733" s="12">
        <v>37957</v>
      </c>
      <c r="B733" s="9">
        <v>627.12</v>
      </c>
      <c r="C733" s="9">
        <v>619.1</v>
      </c>
      <c r="D733" s="9">
        <v>621.91999999999996</v>
      </c>
      <c r="E733" s="9">
        <f t="shared" si="33"/>
        <v>1.0617932431460735E-3</v>
      </c>
      <c r="F733" s="45">
        <f t="shared" si="31"/>
        <v>2.2455680449354226E-2</v>
      </c>
      <c r="G733" s="9">
        <f t="shared" si="32"/>
        <v>1.0334571085339195E-2</v>
      </c>
    </row>
    <row r="734" spans="1:7" x14ac:dyDescent="0.2">
      <c r="A734" s="12">
        <v>37958</v>
      </c>
      <c r="B734" s="9">
        <v>626.42999999999995</v>
      </c>
      <c r="C734" s="9">
        <v>620.36</v>
      </c>
      <c r="D734" s="9">
        <v>622.54</v>
      </c>
      <c r="E734" s="9">
        <f t="shared" si="33"/>
        <v>9.9641619866764654E-4</v>
      </c>
      <c r="F734" s="45">
        <f t="shared" si="31"/>
        <v>4.6406814552936895E-2</v>
      </c>
      <c r="G734" s="9">
        <f t="shared" si="32"/>
        <v>9.3151588891066638E-3</v>
      </c>
    </row>
    <row r="735" spans="1:7" x14ac:dyDescent="0.2">
      <c r="A735" s="12">
        <v>37959</v>
      </c>
      <c r="B735" s="9">
        <v>627.99</v>
      </c>
      <c r="C735" s="9">
        <v>621.66</v>
      </c>
      <c r="D735" s="9">
        <v>626.28</v>
      </c>
      <c r="E735" s="9">
        <f t="shared" si="33"/>
        <v>5.9896721407414217E-3</v>
      </c>
      <c r="F735" s="45">
        <f t="shared" si="31"/>
        <v>4.1651973099610454E-2</v>
      </c>
      <c r="G735" s="9">
        <f t="shared" si="32"/>
        <v>9.192916728228669E-3</v>
      </c>
    </row>
    <row r="736" spans="1:7" x14ac:dyDescent="0.2">
      <c r="A736" s="12">
        <v>37960</v>
      </c>
      <c r="B736" s="9">
        <v>629.34</v>
      </c>
      <c r="C736" s="9">
        <v>621.72</v>
      </c>
      <c r="D736" s="9">
        <v>623.24</v>
      </c>
      <c r="E736" s="9">
        <f t="shared" si="33"/>
        <v>-4.8658780941682588E-3</v>
      </c>
      <c r="F736" s="45">
        <f t="shared" si="31"/>
        <v>2.8728487911786144E-2</v>
      </c>
      <c r="G736" s="9">
        <f t="shared" si="32"/>
        <v>9.172395343131386E-3</v>
      </c>
    </row>
    <row r="737" spans="1:7" x14ac:dyDescent="0.2">
      <c r="A737" s="12">
        <v>37963</v>
      </c>
      <c r="B737" s="9">
        <v>621.99</v>
      </c>
      <c r="C737" s="9">
        <v>614.75</v>
      </c>
      <c r="D737" s="9">
        <v>616.35</v>
      </c>
      <c r="E737" s="9">
        <f t="shared" si="33"/>
        <v>-1.1116693351625418E-2</v>
      </c>
      <c r="F737" s="45">
        <f t="shared" ref="F737:F800" si="34">LN(D737/D707)</f>
        <v>2.566769880207348E-3</v>
      </c>
      <c r="G737" s="9">
        <f t="shared" ref="G737:G800" si="35">STDEV(E708:E737)</f>
        <v>9.0293995180620052E-3</v>
      </c>
    </row>
    <row r="738" spans="1:7" x14ac:dyDescent="0.2">
      <c r="A738" s="12">
        <v>37964</v>
      </c>
      <c r="B738" s="9">
        <v>621.79</v>
      </c>
      <c r="C738" s="9">
        <v>616.51</v>
      </c>
      <c r="D738" s="9">
        <v>616.97</v>
      </c>
      <c r="E738" s="9">
        <f t="shared" si="33"/>
        <v>1.0054163594653707E-3</v>
      </c>
      <c r="F738" s="45">
        <f t="shared" si="34"/>
        <v>-8.1679227303377341E-3</v>
      </c>
      <c r="G738" s="9">
        <f t="shared" si="35"/>
        <v>8.7603103701729725E-3</v>
      </c>
    </row>
    <row r="739" spans="1:7" x14ac:dyDescent="0.2">
      <c r="A739" s="12">
        <v>37965</v>
      </c>
      <c r="B739" s="9">
        <v>618.41999999999996</v>
      </c>
      <c r="C739" s="9">
        <v>611.82000000000005</v>
      </c>
      <c r="D739" s="9">
        <v>616.23</v>
      </c>
      <c r="E739" s="9">
        <f t="shared" si="33"/>
        <v>-1.2001298878028619E-3</v>
      </c>
      <c r="F739" s="45">
        <f t="shared" si="34"/>
        <v>-3.7739255507750198E-3</v>
      </c>
      <c r="G739" s="9">
        <f t="shared" si="35"/>
        <v>8.704820763790198E-3</v>
      </c>
    </row>
    <row r="740" spans="1:7" x14ac:dyDescent="0.2">
      <c r="A740" s="12">
        <v>37966</v>
      </c>
      <c r="B740" s="9">
        <v>618.48</v>
      </c>
      <c r="C740" s="9">
        <v>613.42999999999995</v>
      </c>
      <c r="D740" s="9">
        <v>617.44000000000005</v>
      </c>
      <c r="E740" s="9">
        <f t="shared" si="33"/>
        <v>1.9616273201177887E-3</v>
      </c>
      <c r="F740" s="45">
        <f t="shared" si="34"/>
        <v>-4.5890912066395492E-3</v>
      </c>
      <c r="G740" s="9">
        <f t="shared" si="35"/>
        <v>8.6967163688475412E-3</v>
      </c>
    </row>
    <row r="741" spans="1:7" x14ac:dyDescent="0.2">
      <c r="A741" s="12">
        <v>37967</v>
      </c>
      <c r="B741" s="9">
        <v>621.12</v>
      </c>
      <c r="C741" s="9">
        <v>615.54999999999995</v>
      </c>
      <c r="D741" s="9">
        <v>617.53</v>
      </c>
      <c r="E741" s="9">
        <f t="shared" si="33"/>
        <v>1.4575252865940401E-4</v>
      </c>
      <c r="F741" s="45">
        <f t="shared" si="34"/>
        <v>-6.4772083254891597E-5</v>
      </c>
      <c r="G741" s="9">
        <f t="shared" si="35"/>
        <v>8.6600641927814057E-3</v>
      </c>
    </row>
    <row r="742" spans="1:7" x14ac:dyDescent="0.2">
      <c r="A742" s="12">
        <v>37970</v>
      </c>
      <c r="B742" s="9">
        <v>625.37</v>
      </c>
      <c r="C742" s="9">
        <v>618.78</v>
      </c>
      <c r="D742" s="9">
        <v>621.6</v>
      </c>
      <c r="E742" s="9">
        <f t="shared" si="33"/>
        <v>6.5691487354697115E-3</v>
      </c>
      <c r="F742" s="45">
        <f t="shared" si="34"/>
        <v>-7.8797775225947523E-4</v>
      </c>
      <c r="G742" s="9">
        <f t="shared" si="35"/>
        <v>8.6400418423732157E-3</v>
      </c>
    </row>
    <row r="743" spans="1:7" x14ac:dyDescent="0.2">
      <c r="A743" s="12">
        <v>37971</v>
      </c>
      <c r="B743" s="9">
        <v>620.45000000000005</v>
      </c>
      <c r="C743" s="9">
        <v>613.87</v>
      </c>
      <c r="D743" s="9">
        <v>614.08000000000004</v>
      </c>
      <c r="E743" s="9">
        <f t="shared" si="33"/>
        <v>-1.2171586234102518E-2</v>
      </c>
      <c r="F743" s="45">
        <f t="shared" si="34"/>
        <v>-8.2385078863415444E-3</v>
      </c>
      <c r="G743" s="9">
        <f t="shared" si="35"/>
        <v>8.8832984944051344E-3</v>
      </c>
    </row>
    <row r="744" spans="1:7" x14ac:dyDescent="0.2">
      <c r="A744" s="12">
        <v>37972</v>
      </c>
      <c r="B744" s="9">
        <v>615.54999999999995</v>
      </c>
      <c r="C744" s="9">
        <v>605.91999999999996</v>
      </c>
      <c r="D744" s="9">
        <v>606.08000000000004</v>
      </c>
      <c r="E744" s="9">
        <f t="shared" si="33"/>
        <v>-1.3113222261676376E-2</v>
      </c>
      <c r="F744" s="45">
        <f t="shared" si="34"/>
        <v>-9.8510023659377135E-3</v>
      </c>
      <c r="G744" s="9">
        <f t="shared" si="35"/>
        <v>8.9581292743818614E-3</v>
      </c>
    </row>
    <row r="745" spans="1:7" x14ac:dyDescent="0.2">
      <c r="A745" s="12">
        <v>37973</v>
      </c>
      <c r="B745" s="9">
        <v>614.64</v>
      </c>
      <c r="C745" s="9">
        <v>604.47</v>
      </c>
      <c r="D745" s="9">
        <v>613.78</v>
      </c>
      <c r="E745" s="9">
        <f t="shared" si="33"/>
        <v>1.262456719355845E-2</v>
      </c>
      <c r="F745" s="45">
        <f t="shared" si="34"/>
        <v>-4.6812607837955385E-3</v>
      </c>
      <c r="G745" s="9">
        <f t="shared" si="35"/>
        <v>9.1604544814545465E-3</v>
      </c>
    </row>
    <row r="746" spans="1:7" x14ac:dyDescent="0.2">
      <c r="A746" s="12">
        <v>37974</v>
      </c>
      <c r="B746" s="9">
        <v>619.66999999999996</v>
      </c>
      <c r="C746" s="9">
        <v>612.08000000000004</v>
      </c>
      <c r="D746" s="9">
        <v>618.54999999999995</v>
      </c>
      <c r="E746" s="9">
        <f t="shared" si="33"/>
        <v>7.7414715576232321E-3</v>
      </c>
      <c r="F746" s="45">
        <f t="shared" si="34"/>
        <v>-6.1728093629511253E-3</v>
      </c>
      <c r="G746" s="9">
        <f t="shared" si="35"/>
        <v>9.1116559268789657E-3</v>
      </c>
    </row>
    <row r="747" spans="1:7" x14ac:dyDescent="0.2">
      <c r="A747" s="12">
        <v>37977</v>
      </c>
      <c r="B747" s="9">
        <v>620.95000000000005</v>
      </c>
      <c r="C747" s="9">
        <v>616.24</v>
      </c>
      <c r="D747" s="9">
        <v>618.39</v>
      </c>
      <c r="E747" s="9">
        <f t="shared" si="33"/>
        <v>-2.5870292963654762E-4</v>
      </c>
      <c r="F747" s="45">
        <f t="shared" si="34"/>
        <v>8.085839274087528E-5</v>
      </c>
      <c r="G747" s="9">
        <f t="shared" si="35"/>
        <v>9.0335997229362072E-3</v>
      </c>
    </row>
    <row r="748" spans="1:7" x14ac:dyDescent="0.2">
      <c r="A748" s="12">
        <v>37978</v>
      </c>
      <c r="B748" s="9">
        <v>628.86</v>
      </c>
      <c r="C748" s="9">
        <v>618.44000000000005</v>
      </c>
      <c r="D748" s="9">
        <v>628.11</v>
      </c>
      <c r="E748" s="9">
        <f t="shared" si="33"/>
        <v>1.5595983986075784E-2</v>
      </c>
      <c r="F748" s="45">
        <f t="shared" si="34"/>
        <v>2.21830673142605E-2</v>
      </c>
      <c r="G748" s="9">
        <f t="shared" si="35"/>
        <v>9.3791272607184201E-3</v>
      </c>
    </row>
    <row r="749" spans="1:7" x14ac:dyDescent="0.2">
      <c r="A749" s="12">
        <v>37984</v>
      </c>
      <c r="B749" s="9">
        <v>640</v>
      </c>
      <c r="C749" s="9">
        <v>628.62</v>
      </c>
      <c r="D749" s="9">
        <v>638.62</v>
      </c>
      <c r="E749" s="9">
        <f t="shared" si="33"/>
        <v>1.6594287934226626E-2</v>
      </c>
      <c r="F749" s="45">
        <f t="shared" si="34"/>
        <v>3.4100275738255102E-2</v>
      </c>
      <c r="G749" s="9">
        <f t="shared" si="35"/>
        <v>9.79480883851808E-3</v>
      </c>
    </row>
    <row r="750" spans="1:7" x14ac:dyDescent="0.2">
      <c r="A750" s="12">
        <v>37985</v>
      </c>
      <c r="B750" s="9">
        <v>644.05999999999995</v>
      </c>
      <c r="C750" s="9">
        <v>633.5</v>
      </c>
      <c r="D750" s="9">
        <v>636.29</v>
      </c>
      <c r="E750" s="9">
        <f t="shared" si="33"/>
        <v>-3.655164041555318E-3</v>
      </c>
      <c r="F750" s="45">
        <f t="shared" si="34"/>
        <v>1.8462941380112775E-2</v>
      </c>
      <c r="G750" s="9">
        <f t="shared" si="35"/>
        <v>9.6121263761941283E-3</v>
      </c>
    </row>
    <row r="751" spans="1:7" x14ac:dyDescent="0.2">
      <c r="A751" s="12">
        <v>37988</v>
      </c>
      <c r="B751" s="9">
        <v>644.54999999999995</v>
      </c>
      <c r="C751" s="9">
        <v>635.66999999999996</v>
      </c>
      <c r="D751" s="9">
        <v>644.48</v>
      </c>
      <c r="E751" s="9">
        <f t="shared" si="33"/>
        <v>1.2789355832191738E-2</v>
      </c>
      <c r="F751" s="45">
        <f t="shared" si="34"/>
        <v>2.0662604716562914E-2</v>
      </c>
      <c r="G751" s="9">
        <f t="shared" si="35"/>
        <v>9.6988330234598127E-3</v>
      </c>
    </row>
    <row r="752" spans="1:7" x14ac:dyDescent="0.2">
      <c r="A752" s="12">
        <v>37991</v>
      </c>
      <c r="B752" s="9">
        <v>645.29999999999995</v>
      </c>
      <c r="C752" s="9">
        <v>640.84</v>
      </c>
      <c r="D752" s="9">
        <v>644.54999999999995</v>
      </c>
      <c r="E752" s="9">
        <f t="shared" si="33"/>
        <v>1.0860879897095544E-4</v>
      </c>
      <c r="F752" s="45">
        <f t="shared" si="34"/>
        <v>4.2840942247515383E-2</v>
      </c>
      <c r="G752" s="9">
        <f t="shared" si="35"/>
        <v>8.6978903468591419E-3</v>
      </c>
    </row>
    <row r="753" spans="1:7" x14ac:dyDescent="0.2">
      <c r="A753" s="12">
        <v>37992</v>
      </c>
      <c r="B753" s="9">
        <v>0</v>
      </c>
      <c r="C753" s="9">
        <v>0</v>
      </c>
      <c r="D753" s="9">
        <v>0</v>
      </c>
      <c r="E753" s="9" t="e">
        <f t="shared" si="33"/>
        <v>#NUM!</v>
      </c>
      <c r="F753" s="45" t="e">
        <f t="shared" si="34"/>
        <v>#NUM!</v>
      </c>
      <c r="G753" s="9" t="e">
        <f t="shared" si="35"/>
        <v>#NUM!</v>
      </c>
    </row>
    <row r="754" spans="1:7" x14ac:dyDescent="0.2">
      <c r="A754" s="12">
        <v>37993</v>
      </c>
      <c r="B754" s="9">
        <v>648.79</v>
      </c>
      <c r="C754" s="9">
        <v>633.47</v>
      </c>
      <c r="D754" s="9">
        <v>635.47</v>
      </c>
      <c r="E754" s="9" t="e">
        <f t="shared" si="33"/>
        <v>#DIV/0!</v>
      </c>
      <c r="F754" s="45">
        <f t="shared" si="34"/>
        <v>4.3565195856535663E-2</v>
      </c>
      <c r="G754" s="9" t="e">
        <f t="shared" si="35"/>
        <v>#NUM!</v>
      </c>
    </row>
    <row r="755" spans="1:7" x14ac:dyDescent="0.2">
      <c r="A755" s="12">
        <v>37994</v>
      </c>
      <c r="B755" s="9">
        <v>654.07000000000005</v>
      </c>
      <c r="C755" s="9">
        <v>637.41999999999996</v>
      </c>
      <c r="D755" s="9">
        <v>647.70000000000005</v>
      </c>
      <c r="E755" s="9">
        <f t="shared" si="33"/>
        <v>1.9062743597326622E-2</v>
      </c>
      <c r="F755" s="45">
        <f t="shared" si="34"/>
        <v>6.7505194137680025E-2</v>
      </c>
      <c r="G755" s="9" t="e">
        <f t="shared" si="35"/>
        <v>#NUM!</v>
      </c>
    </row>
    <row r="756" spans="1:7" x14ac:dyDescent="0.2">
      <c r="A756" s="12">
        <v>37995</v>
      </c>
      <c r="B756" s="9">
        <v>653.9</v>
      </c>
      <c r="C756" s="9">
        <v>644.66</v>
      </c>
      <c r="D756" s="9">
        <v>650.48</v>
      </c>
      <c r="E756" s="9">
        <f t="shared" si="33"/>
        <v>4.2829257107106639E-3</v>
      </c>
      <c r="F756" s="45">
        <f t="shared" si="34"/>
        <v>7.5577789685254526E-2</v>
      </c>
      <c r="G756" s="9" t="e">
        <f t="shared" si="35"/>
        <v>#NUM!</v>
      </c>
    </row>
    <row r="757" spans="1:7" x14ac:dyDescent="0.2">
      <c r="A757" s="12">
        <v>37998</v>
      </c>
      <c r="B757" s="9">
        <v>653.69000000000005</v>
      </c>
      <c r="C757" s="9">
        <v>644.74</v>
      </c>
      <c r="D757" s="9">
        <v>652.33000000000004</v>
      </c>
      <c r="E757" s="9">
        <f t="shared" si="33"/>
        <v>2.8400169532953445E-3</v>
      </c>
      <c r="F757" s="45">
        <f t="shared" si="34"/>
        <v>6.1191021670569987E-2</v>
      </c>
      <c r="G757" s="9" t="e">
        <f t="shared" si="35"/>
        <v>#NUM!</v>
      </c>
    </row>
    <row r="758" spans="1:7" x14ac:dyDescent="0.2">
      <c r="A758" s="12">
        <v>37999</v>
      </c>
      <c r="B758" s="9">
        <v>662.06</v>
      </c>
      <c r="C758" s="9">
        <v>651.12</v>
      </c>
      <c r="D758" s="9">
        <v>655.1</v>
      </c>
      <c r="E758" s="9">
        <f t="shared" si="33"/>
        <v>4.2373268849531564E-3</v>
      </c>
      <c r="F758" s="45">
        <f t="shared" si="34"/>
        <v>6.7434890880805981E-2</v>
      </c>
      <c r="G758" s="9" t="e">
        <f t="shared" si="35"/>
        <v>#NUM!</v>
      </c>
    </row>
    <row r="759" spans="1:7" x14ac:dyDescent="0.2">
      <c r="A759" s="12">
        <v>38000</v>
      </c>
      <c r="B759" s="9">
        <v>662.64</v>
      </c>
      <c r="C759" s="9">
        <v>654.58000000000004</v>
      </c>
      <c r="D759" s="9">
        <v>661.13</v>
      </c>
      <c r="E759" s="9">
        <f t="shared" si="33"/>
        <v>9.1625964860412197E-3</v>
      </c>
      <c r="F759" s="45">
        <f t="shared" si="34"/>
        <v>8.1344357622718036E-2</v>
      </c>
      <c r="G759" s="9" t="e">
        <f t="shared" si="35"/>
        <v>#NUM!</v>
      </c>
    </row>
    <row r="760" spans="1:7" x14ac:dyDescent="0.2">
      <c r="A760" s="12">
        <v>38001</v>
      </c>
      <c r="B760" s="9">
        <v>666.37</v>
      </c>
      <c r="C760" s="9">
        <v>657.75</v>
      </c>
      <c r="D760" s="9">
        <v>665.12</v>
      </c>
      <c r="E760" s="9">
        <f t="shared" si="33"/>
        <v>6.016983280455356E-3</v>
      </c>
      <c r="F760" s="45">
        <f t="shared" si="34"/>
        <v>7.5066037213432371E-2</v>
      </c>
      <c r="G760" s="9" t="e">
        <f t="shared" si="35"/>
        <v>#NUM!</v>
      </c>
    </row>
    <row r="761" spans="1:7" x14ac:dyDescent="0.2">
      <c r="A761" s="12">
        <v>38002</v>
      </c>
      <c r="B761" s="9">
        <v>672.83</v>
      </c>
      <c r="C761" s="9">
        <v>667.62</v>
      </c>
      <c r="D761" s="9">
        <v>672.54</v>
      </c>
      <c r="E761" s="9">
        <f t="shared" si="33"/>
        <v>1.1094113756731677E-2</v>
      </c>
      <c r="F761" s="45">
        <f t="shared" si="34"/>
        <v>9.0220113998599749E-2</v>
      </c>
      <c r="G761" s="9" t="e">
        <f t="shared" si="35"/>
        <v>#NUM!</v>
      </c>
    </row>
    <row r="762" spans="1:7" x14ac:dyDescent="0.2">
      <c r="A762" s="12">
        <v>38005</v>
      </c>
      <c r="B762" s="9">
        <v>680.09</v>
      </c>
      <c r="C762" s="9">
        <v>674.87</v>
      </c>
      <c r="D762" s="9">
        <v>676.15</v>
      </c>
      <c r="E762" s="9">
        <f t="shared" si="33"/>
        <v>5.3533556583099488E-3</v>
      </c>
      <c r="F762" s="45">
        <f t="shared" si="34"/>
        <v>8.4665271058601985E-2</v>
      </c>
      <c r="G762" s="9" t="e">
        <f t="shared" si="35"/>
        <v>#NUM!</v>
      </c>
    </row>
    <row r="763" spans="1:7" x14ac:dyDescent="0.2">
      <c r="A763" s="12">
        <v>38006</v>
      </c>
      <c r="B763" s="9">
        <v>678.1</v>
      </c>
      <c r="C763" s="9">
        <v>669.6</v>
      </c>
      <c r="D763" s="9">
        <v>671.25</v>
      </c>
      <c r="E763" s="9">
        <f t="shared" si="33"/>
        <v>-7.2732990962943002E-3</v>
      </c>
      <c r="F763" s="45">
        <f t="shared" si="34"/>
        <v>7.6330178719161423E-2</v>
      </c>
      <c r="G763" s="9" t="e">
        <f t="shared" si="35"/>
        <v>#NUM!</v>
      </c>
    </row>
    <row r="764" spans="1:7" x14ac:dyDescent="0.2">
      <c r="A764" s="12">
        <v>38007</v>
      </c>
      <c r="B764" s="9">
        <v>671.85</v>
      </c>
      <c r="C764" s="9">
        <v>663.58</v>
      </c>
      <c r="D764" s="9">
        <v>667</v>
      </c>
      <c r="E764" s="9">
        <f t="shared" si="33"/>
        <v>-6.3515999074507746E-3</v>
      </c>
      <c r="F764" s="45">
        <f t="shared" si="34"/>
        <v>6.8982162613043019E-2</v>
      </c>
      <c r="G764" s="9" t="e">
        <f t="shared" si="35"/>
        <v>#NUM!</v>
      </c>
    </row>
    <row r="765" spans="1:7" x14ac:dyDescent="0.2">
      <c r="A765" s="12">
        <v>38008</v>
      </c>
      <c r="B765" s="9">
        <v>676.39</v>
      </c>
      <c r="C765" s="9">
        <v>667.4</v>
      </c>
      <c r="D765" s="9">
        <v>672.92</v>
      </c>
      <c r="E765" s="9">
        <f t="shared" si="33"/>
        <v>8.8364059353359045E-3</v>
      </c>
      <c r="F765" s="45">
        <f t="shared" si="34"/>
        <v>7.1828896407637399E-2</v>
      </c>
      <c r="G765" s="9" t="e">
        <f t="shared" si="35"/>
        <v>#NUM!</v>
      </c>
    </row>
    <row r="766" spans="1:7" x14ac:dyDescent="0.2">
      <c r="A766" s="12">
        <v>38009</v>
      </c>
      <c r="B766" s="9">
        <v>677.2</v>
      </c>
      <c r="C766" s="9">
        <v>668.46</v>
      </c>
      <c r="D766" s="9">
        <v>674.65</v>
      </c>
      <c r="E766" s="9">
        <f t="shared" si="33"/>
        <v>2.567586025836672E-3</v>
      </c>
      <c r="F766" s="45">
        <f t="shared" si="34"/>
        <v>7.9262360527642531E-2</v>
      </c>
      <c r="G766" s="9" t="e">
        <f t="shared" si="35"/>
        <v>#NUM!</v>
      </c>
    </row>
    <row r="767" spans="1:7" x14ac:dyDescent="0.2">
      <c r="A767" s="12">
        <v>38012</v>
      </c>
      <c r="B767" s="9">
        <v>676.87</v>
      </c>
      <c r="C767" s="9">
        <v>672.07</v>
      </c>
      <c r="D767" s="9">
        <v>676.87</v>
      </c>
      <c r="E767" s="9">
        <f t="shared" si="33"/>
        <v>3.2851929629023765E-3</v>
      </c>
      <c r="F767" s="45">
        <f t="shared" si="34"/>
        <v>9.3664246842170118E-2</v>
      </c>
      <c r="G767" s="9" t="e">
        <f t="shared" si="35"/>
        <v>#NUM!</v>
      </c>
    </row>
    <row r="768" spans="1:7" x14ac:dyDescent="0.2">
      <c r="A768" s="12">
        <v>38013</v>
      </c>
      <c r="B768" s="9">
        <v>684.06</v>
      </c>
      <c r="C768" s="9">
        <v>675.18</v>
      </c>
      <c r="D768" s="9">
        <v>675.18</v>
      </c>
      <c r="E768" s="9">
        <f t="shared" si="33"/>
        <v>-2.4999088497379687E-3</v>
      </c>
      <c r="F768" s="45">
        <f t="shared" si="34"/>
        <v>9.0158921632966793E-2</v>
      </c>
      <c r="G768" s="9" t="e">
        <f t="shared" si="35"/>
        <v>#NUM!</v>
      </c>
    </row>
    <row r="769" spans="1:7" x14ac:dyDescent="0.2">
      <c r="A769" s="12">
        <v>38014</v>
      </c>
      <c r="B769" s="9">
        <v>675.57</v>
      </c>
      <c r="C769" s="9">
        <v>669.91</v>
      </c>
      <c r="D769" s="9">
        <v>672.1</v>
      </c>
      <c r="E769" s="9">
        <f t="shared" si="33"/>
        <v>-4.5721830140403969E-3</v>
      </c>
      <c r="F769" s="45">
        <f t="shared" si="34"/>
        <v>8.6786868506729328E-2</v>
      </c>
      <c r="G769" s="9" t="e">
        <f t="shared" si="35"/>
        <v>#NUM!</v>
      </c>
    </row>
    <row r="770" spans="1:7" x14ac:dyDescent="0.2">
      <c r="A770" s="12">
        <v>38015</v>
      </c>
      <c r="B770" s="9">
        <v>671.01</v>
      </c>
      <c r="C770" s="9">
        <v>664.42</v>
      </c>
      <c r="D770" s="9">
        <v>666.32</v>
      </c>
      <c r="E770" s="9">
        <f t="shared" ref="E770:E833" si="36">LN(D770/D769)</f>
        <v>-8.6371033488351016E-3</v>
      </c>
      <c r="F770" s="45">
        <f t="shared" si="34"/>
        <v>7.6188137837776476E-2</v>
      </c>
      <c r="G770" s="9" t="e">
        <f t="shared" si="35"/>
        <v>#NUM!</v>
      </c>
    </row>
    <row r="771" spans="1:7" x14ac:dyDescent="0.2">
      <c r="A771" s="12">
        <v>38016</v>
      </c>
      <c r="B771" s="9">
        <v>675.69</v>
      </c>
      <c r="C771" s="9">
        <v>669.59</v>
      </c>
      <c r="D771" s="9">
        <v>673.91</v>
      </c>
      <c r="E771" s="9">
        <f t="shared" si="36"/>
        <v>1.1326535211873087E-2</v>
      </c>
      <c r="F771" s="45">
        <f t="shared" si="34"/>
        <v>8.7368920520990198E-2</v>
      </c>
      <c r="G771" s="9" t="e">
        <f t="shared" si="35"/>
        <v>#NUM!</v>
      </c>
    </row>
    <row r="772" spans="1:7" x14ac:dyDescent="0.2">
      <c r="A772" s="12">
        <v>38019</v>
      </c>
      <c r="B772" s="9">
        <v>680.15</v>
      </c>
      <c r="C772" s="9">
        <v>669.72</v>
      </c>
      <c r="D772" s="9">
        <v>670.48</v>
      </c>
      <c r="E772" s="9">
        <f t="shared" si="36"/>
        <v>-5.1026970483074308E-3</v>
      </c>
      <c r="F772" s="45">
        <f t="shared" si="34"/>
        <v>7.569707473721296E-2</v>
      </c>
      <c r="G772" s="9" t="e">
        <f t="shared" si="35"/>
        <v>#NUM!</v>
      </c>
    </row>
    <row r="773" spans="1:7" x14ac:dyDescent="0.2">
      <c r="A773" s="12">
        <v>38020</v>
      </c>
      <c r="B773" s="9">
        <v>669.95</v>
      </c>
      <c r="C773" s="9">
        <v>665.81</v>
      </c>
      <c r="D773" s="9">
        <v>669.87</v>
      </c>
      <c r="E773" s="9">
        <f t="shared" si="36"/>
        <v>-9.1021008261208335E-4</v>
      </c>
      <c r="F773" s="45">
        <f t="shared" si="34"/>
        <v>8.6958450888703603E-2</v>
      </c>
      <c r="G773" s="9" t="e">
        <f t="shared" si="35"/>
        <v>#NUM!</v>
      </c>
    </row>
    <row r="774" spans="1:7" x14ac:dyDescent="0.2">
      <c r="A774" s="12">
        <v>38021</v>
      </c>
      <c r="B774" s="9">
        <v>669.57</v>
      </c>
      <c r="C774" s="9">
        <v>662.39</v>
      </c>
      <c r="D774" s="9">
        <v>667.89</v>
      </c>
      <c r="E774" s="9">
        <f t="shared" si="36"/>
        <v>-2.9601743897771701E-3</v>
      </c>
      <c r="F774" s="45">
        <f t="shared" si="34"/>
        <v>9.7111498760602821E-2</v>
      </c>
      <c r="G774" s="9" t="e">
        <f t="shared" si="35"/>
        <v>#NUM!</v>
      </c>
    </row>
    <row r="775" spans="1:7" x14ac:dyDescent="0.2">
      <c r="A775" s="12">
        <v>38022</v>
      </c>
      <c r="B775" s="9">
        <v>674.08</v>
      </c>
      <c r="C775" s="9">
        <v>665.85</v>
      </c>
      <c r="D775" s="9">
        <v>673.12</v>
      </c>
      <c r="E775" s="9">
        <f t="shared" si="36"/>
        <v>7.8001305239492145E-3</v>
      </c>
      <c r="F775" s="45">
        <f t="shared" si="34"/>
        <v>9.228706209099348E-2</v>
      </c>
      <c r="G775" s="9" t="e">
        <f t="shared" si="35"/>
        <v>#NUM!</v>
      </c>
    </row>
    <row r="776" spans="1:7" x14ac:dyDescent="0.2">
      <c r="A776" s="12">
        <v>38023</v>
      </c>
      <c r="B776" s="9">
        <v>692.77</v>
      </c>
      <c r="C776" s="9">
        <v>685.19</v>
      </c>
      <c r="D776" s="9">
        <v>687.59</v>
      </c>
      <c r="E776" s="9">
        <f t="shared" si="36"/>
        <v>2.1269110221577483E-2</v>
      </c>
      <c r="F776" s="45">
        <f t="shared" si="34"/>
        <v>0.10581470075494757</v>
      </c>
      <c r="G776" s="9" t="e">
        <f t="shared" si="35"/>
        <v>#NUM!</v>
      </c>
    </row>
    <row r="777" spans="1:7" x14ac:dyDescent="0.2">
      <c r="A777" s="12">
        <v>38026</v>
      </c>
      <c r="B777" s="9">
        <v>695.23</v>
      </c>
      <c r="C777" s="9">
        <v>689.27</v>
      </c>
      <c r="D777" s="9">
        <v>691.47</v>
      </c>
      <c r="E777" s="9">
        <f t="shared" si="36"/>
        <v>5.6270361519747845E-3</v>
      </c>
      <c r="F777" s="45">
        <f t="shared" si="34"/>
        <v>0.11170043983655897</v>
      </c>
      <c r="G777" s="9" t="e">
        <f t="shared" si="35"/>
        <v>#NUM!</v>
      </c>
    </row>
    <row r="778" spans="1:7" x14ac:dyDescent="0.2">
      <c r="A778" s="12">
        <v>38027</v>
      </c>
      <c r="B778" s="9">
        <v>699.79</v>
      </c>
      <c r="C778" s="9">
        <v>688.18</v>
      </c>
      <c r="D778" s="9">
        <v>698.34</v>
      </c>
      <c r="E778" s="9">
        <f t="shared" si="36"/>
        <v>9.8863239661770626E-3</v>
      </c>
      <c r="F778" s="45">
        <f t="shared" si="34"/>
        <v>0.1059907798166603</v>
      </c>
      <c r="G778" s="9" t="e">
        <f t="shared" si="35"/>
        <v>#NUM!</v>
      </c>
    </row>
    <row r="779" spans="1:7" x14ac:dyDescent="0.2">
      <c r="A779" s="12">
        <v>38028</v>
      </c>
      <c r="B779" s="9">
        <v>703.17</v>
      </c>
      <c r="C779" s="9">
        <v>691.26</v>
      </c>
      <c r="D779" s="9">
        <v>699.79</v>
      </c>
      <c r="E779" s="9">
        <f t="shared" si="36"/>
        <v>2.0741998524626505E-3</v>
      </c>
      <c r="F779" s="45">
        <f t="shared" si="34"/>
        <v>9.1470691734896331E-2</v>
      </c>
      <c r="G779" s="9" t="e">
        <f t="shared" si="35"/>
        <v>#NUM!</v>
      </c>
    </row>
    <row r="780" spans="1:7" x14ac:dyDescent="0.2">
      <c r="A780" s="12">
        <v>38029</v>
      </c>
      <c r="B780" s="9">
        <v>706.37</v>
      </c>
      <c r="C780" s="9">
        <v>694.03</v>
      </c>
      <c r="D780" s="9">
        <v>694.13</v>
      </c>
      <c r="E780" s="9">
        <f t="shared" si="36"/>
        <v>-8.1210271850508543E-3</v>
      </c>
      <c r="F780" s="45">
        <f t="shared" si="34"/>
        <v>8.7004828591400754E-2</v>
      </c>
      <c r="G780" s="9" t="e">
        <f t="shared" si="35"/>
        <v>#NUM!</v>
      </c>
    </row>
    <row r="781" spans="1:7" x14ac:dyDescent="0.2">
      <c r="A781" s="12">
        <v>38030</v>
      </c>
      <c r="B781" s="9">
        <v>695.38</v>
      </c>
      <c r="C781" s="9">
        <v>688.61</v>
      </c>
      <c r="D781" s="9">
        <v>689.16</v>
      </c>
      <c r="E781" s="9">
        <f t="shared" si="36"/>
        <v>-7.185798185146342E-3</v>
      </c>
      <c r="F781" s="45">
        <f t="shared" si="34"/>
        <v>6.7029674574062642E-2</v>
      </c>
      <c r="G781" s="9" t="e">
        <f t="shared" si="35"/>
        <v>#NUM!</v>
      </c>
    </row>
    <row r="782" spans="1:7" x14ac:dyDescent="0.2">
      <c r="A782" s="12">
        <v>38033</v>
      </c>
      <c r="B782" s="9">
        <v>697.33</v>
      </c>
      <c r="C782" s="9">
        <v>687.45</v>
      </c>
      <c r="D782" s="9">
        <v>695.8</v>
      </c>
      <c r="E782" s="9">
        <f t="shared" si="36"/>
        <v>9.5887980536361189E-3</v>
      </c>
      <c r="F782" s="45">
        <f t="shared" si="34"/>
        <v>7.6509863828727917E-2</v>
      </c>
      <c r="G782" s="9" t="e">
        <f t="shared" si="35"/>
        <v>#NUM!</v>
      </c>
    </row>
    <row r="783" spans="1:7" x14ac:dyDescent="0.2">
      <c r="A783" s="12">
        <v>38034</v>
      </c>
      <c r="B783" s="9">
        <v>701.78</v>
      </c>
      <c r="C783" s="9">
        <v>696.44</v>
      </c>
      <c r="D783" s="9">
        <v>700</v>
      </c>
      <c r="E783" s="9">
        <f t="shared" si="36"/>
        <v>6.018072325563166E-3</v>
      </c>
      <c r="F783" s="45" t="e">
        <f t="shared" si="34"/>
        <v>#DIV/0!</v>
      </c>
      <c r="G783" s="9" t="e">
        <f t="shared" si="35"/>
        <v>#DIV/0!</v>
      </c>
    </row>
    <row r="784" spans="1:7" x14ac:dyDescent="0.2">
      <c r="A784" s="12">
        <v>38035</v>
      </c>
      <c r="B784" s="9">
        <v>703.62</v>
      </c>
      <c r="C784" s="9">
        <v>696.96</v>
      </c>
      <c r="D784" s="9">
        <v>699.6</v>
      </c>
      <c r="E784" s="9">
        <f t="shared" si="36"/>
        <v>-5.7159189895765331E-4</v>
      </c>
      <c r="F784" s="45">
        <f t="shared" si="34"/>
        <v>9.6143860552902347E-2</v>
      </c>
      <c r="G784" s="9">
        <f t="shared" si="35"/>
        <v>7.6988752853521985E-3</v>
      </c>
    </row>
    <row r="785" spans="1:7" x14ac:dyDescent="0.2">
      <c r="A785" s="12">
        <v>38036</v>
      </c>
      <c r="B785" s="9">
        <v>709.75</v>
      </c>
      <c r="C785" s="9">
        <v>700.81</v>
      </c>
      <c r="D785" s="9">
        <v>705.81</v>
      </c>
      <c r="E785" s="9">
        <f t="shared" si="36"/>
        <v>8.8373363159901623E-3</v>
      </c>
      <c r="F785" s="45">
        <f t="shared" si="34"/>
        <v>8.5918453271565845E-2</v>
      </c>
      <c r="G785" s="9">
        <f t="shared" si="35"/>
        <v>7.1815698884271847E-3</v>
      </c>
    </row>
    <row r="786" spans="1:7" x14ac:dyDescent="0.2">
      <c r="A786" s="12">
        <v>38037</v>
      </c>
      <c r="B786" s="9">
        <v>704.98</v>
      </c>
      <c r="C786" s="9">
        <v>698.16</v>
      </c>
      <c r="D786" s="9">
        <v>700.1</v>
      </c>
      <c r="E786" s="9">
        <f t="shared" si="36"/>
        <v>-8.1228974772852448E-3</v>
      </c>
      <c r="F786" s="45">
        <f t="shared" si="34"/>
        <v>7.351263008356991E-2</v>
      </c>
      <c r="G786" s="9">
        <f t="shared" si="35"/>
        <v>7.449231791645178E-3</v>
      </c>
    </row>
    <row r="787" spans="1:7" x14ac:dyDescent="0.2">
      <c r="A787" s="12">
        <v>38040</v>
      </c>
      <c r="B787" s="9">
        <v>707.89</v>
      </c>
      <c r="C787" s="9">
        <v>700.83</v>
      </c>
      <c r="D787" s="9">
        <v>703.9</v>
      </c>
      <c r="E787" s="9">
        <f t="shared" si="36"/>
        <v>5.4131186309340044E-3</v>
      </c>
      <c r="F787" s="45">
        <f t="shared" si="34"/>
        <v>7.6085731761208322E-2</v>
      </c>
      <c r="G787" s="9">
        <f t="shared" si="35"/>
        <v>7.4686602026123004E-3</v>
      </c>
    </row>
    <row r="788" spans="1:7" x14ac:dyDescent="0.2">
      <c r="A788" s="12">
        <v>38041</v>
      </c>
      <c r="B788" s="9">
        <v>702.02</v>
      </c>
      <c r="C788" s="9">
        <v>687.75</v>
      </c>
      <c r="D788" s="9">
        <v>690.56</v>
      </c>
      <c r="E788" s="9">
        <f t="shared" si="36"/>
        <v>-1.9133437984370817E-2</v>
      </c>
      <c r="F788" s="45">
        <f t="shared" si="34"/>
        <v>5.2714966891884277E-2</v>
      </c>
      <c r="G788" s="9">
        <f t="shared" si="35"/>
        <v>8.4407023108674564E-3</v>
      </c>
    </row>
    <row r="789" spans="1:7" x14ac:dyDescent="0.2">
      <c r="A789" s="12">
        <v>38042</v>
      </c>
      <c r="B789" s="9">
        <v>695.28</v>
      </c>
      <c r="C789" s="9">
        <v>687.49</v>
      </c>
      <c r="D789" s="9">
        <v>693.77</v>
      </c>
      <c r="E789" s="9">
        <f t="shared" si="36"/>
        <v>4.6376308442152266E-3</v>
      </c>
      <c r="F789" s="45">
        <f t="shared" si="34"/>
        <v>4.8190001250058477E-2</v>
      </c>
      <c r="G789" s="9">
        <f t="shared" si="35"/>
        <v>8.3436789457278331E-3</v>
      </c>
    </row>
    <row r="790" spans="1:7" x14ac:dyDescent="0.2">
      <c r="A790" s="12">
        <v>38043</v>
      </c>
      <c r="B790" s="9">
        <v>700.09</v>
      </c>
      <c r="C790" s="9">
        <v>695.18</v>
      </c>
      <c r="D790" s="9">
        <v>697.44</v>
      </c>
      <c r="E790" s="9">
        <f t="shared" si="36"/>
        <v>5.2759950161521416E-3</v>
      </c>
      <c r="F790" s="45">
        <f t="shared" si="34"/>
        <v>4.7449012985755247E-2</v>
      </c>
      <c r="G790" s="9">
        <f t="shared" si="35"/>
        <v>8.3312594858240604E-3</v>
      </c>
    </row>
    <row r="791" spans="1:7" x14ac:dyDescent="0.2">
      <c r="A791" s="12">
        <v>38044</v>
      </c>
      <c r="B791" s="9">
        <v>704.46</v>
      </c>
      <c r="C791" s="9">
        <v>697.19</v>
      </c>
      <c r="D791" s="9">
        <v>698.18</v>
      </c>
      <c r="E791" s="9">
        <f t="shared" si="36"/>
        <v>1.0604606832071472E-3</v>
      </c>
      <c r="F791" s="45">
        <f t="shared" si="34"/>
        <v>3.7415359912230758E-2</v>
      </c>
      <c r="G791" s="9">
        <f t="shared" si="35"/>
        <v>8.1353108440055059E-3</v>
      </c>
    </row>
    <row r="792" spans="1:7" x14ac:dyDescent="0.2">
      <c r="A792" s="12">
        <v>38047</v>
      </c>
      <c r="B792" s="9">
        <v>705.86</v>
      </c>
      <c r="C792" s="9">
        <v>697.51</v>
      </c>
      <c r="D792" s="9">
        <v>704.47</v>
      </c>
      <c r="E792" s="9">
        <f t="shared" si="36"/>
        <v>8.9687978662698967E-3</v>
      </c>
      <c r="F792" s="45">
        <f t="shared" si="34"/>
        <v>4.1030802120190814E-2</v>
      </c>
      <c r="G792" s="9">
        <f t="shared" si="35"/>
        <v>8.2245263836990944E-3</v>
      </c>
    </row>
    <row r="793" spans="1:7" x14ac:dyDescent="0.2">
      <c r="A793" s="12">
        <v>38048</v>
      </c>
      <c r="B793" s="9">
        <v>714.27</v>
      </c>
      <c r="C793" s="9">
        <v>706.97</v>
      </c>
      <c r="D793" s="9">
        <v>713.93</v>
      </c>
      <c r="E793" s="9">
        <f t="shared" si="36"/>
        <v>1.3339171278180403E-2</v>
      </c>
      <c r="F793" s="45">
        <f t="shared" si="34"/>
        <v>6.164327249466546E-2</v>
      </c>
      <c r="G793" s="9">
        <f t="shared" si="35"/>
        <v>8.33796729435928E-3</v>
      </c>
    </row>
    <row r="794" spans="1:7" x14ac:dyDescent="0.2">
      <c r="A794" s="12">
        <v>38049</v>
      </c>
      <c r="B794" s="9">
        <v>719.56</v>
      </c>
      <c r="C794" s="9">
        <v>711.98</v>
      </c>
      <c r="D794" s="9">
        <v>718.99</v>
      </c>
      <c r="E794" s="9">
        <f t="shared" si="36"/>
        <v>7.062531100745173E-3</v>
      </c>
      <c r="F794" s="45">
        <f t="shared" si="34"/>
        <v>7.5057403502861442E-2</v>
      </c>
      <c r="G794" s="9">
        <f t="shared" si="35"/>
        <v>8.2306026044221148E-3</v>
      </c>
    </row>
    <row r="795" spans="1:7" x14ac:dyDescent="0.2">
      <c r="A795" s="12">
        <v>38050</v>
      </c>
      <c r="B795" s="9">
        <v>723.72</v>
      </c>
      <c r="C795" s="9">
        <v>715.59</v>
      </c>
      <c r="D795" s="9">
        <v>716.41</v>
      </c>
      <c r="E795" s="9">
        <f t="shared" si="36"/>
        <v>-3.5948206470497162E-3</v>
      </c>
      <c r="F795" s="45">
        <f t="shared" si="34"/>
        <v>6.2626176920475979E-2</v>
      </c>
      <c r="G795" s="9">
        <f t="shared" si="35"/>
        <v>8.2136029926810333E-3</v>
      </c>
    </row>
    <row r="796" spans="1:7" x14ac:dyDescent="0.2">
      <c r="A796" s="12">
        <v>38051</v>
      </c>
      <c r="B796" s="9">
        <v>721.84</v>
      </c>
      <c r="C796" s="9">
        <v>712.81</v>
      </c>
      <c r="D796" s="9">
        <v>717.24</v>
      </c>
      <c r="E796" s="9">
        <f t="shared" si="36"/>
        <v>1.157883852727596E-3</v>
      </c>
      <c r="F796" s="45">
        <f t="shared" si="34"/>
        <v>6.1216474747366773E-2</v>
      </c>
      <c r="G796" s="9">
        <f t="shared" si="35"/>
        <v>8.2147943112516036E-3</v>
      </c>
    </row>
    <row r="797" spans="1:7" x14ac:dyDescent="0.2">
      <c r="A797" s="12">
        <v>38054</v>
      </c>
      <c r="B797" s="9">
        <v>720.94</v>
      </c>
      <c r="C797" s="9">
        <v>716.01</v>
      </c>
      <c r="D797" s="9">
        <v>718.39</v>
      </c>
      <c r="E797" s="9">
        <f t="shared" si="36"/>
        <v>1.6020844451188816E-3</v>
      </c>
      <c r="F797" s="45">
        <f t="shared" si="34"/>
        <v>5.9533366229583343E-2</v>
      </c>
      <c r="G797" s="9">
        <f t="shared" si="35"/>
        <v>8.2117476957417508E-3</v>
      </c>
    </row>
    <row r="798" spans="1:7" x14ac:dyDescent="0.2">
      <c r="A798" s="12">
        <v>38055</v>
      </c>
      <c r="B798" s="9">
        <v>715.25</v>
      </c>
      <c r="C798" s="9">
        <v>706.48</v>
      </c>
      <c r="D798" s="9">
        <v>706.98</v>
      </c>
      <c r="E798" s="9">
        <f t="shared" si="36"/>
        <v>-1.6010220115977615E-2</v>
      </c>
      <c r="F798" s="45">
        <f t="shared" si="34"/>
        <v>4.6023054963343725E-2</v>
      </c>
      <c r="G798" s="9">
        <f t="shared" si="35"/>
        <v>8.8144972287188816E-3</v>
      </c>
    </row>
    <row r="799" spans="1:7" x14ac:dyDescent="0.2">
      <c r="A799" s="12">
        <v>38056</v>
      </c>
      <c r="B799" s="9">
        <v>706.35</v>
      </c>
      <c r="C799" s="9">
        <v>701.52</v>
      </c>
      <c r="D799" s="9">
        <v>705.83</v>
      </c>
      <c r="E799" s="9">
        <f t="shared" si="36"/>
        <v>-1.6279616565329409E-3</v>
      </c>
      <c r="F799" s="45">
        <f t="shared" si="34"/>
        <v>4.8967276320851273E-2</v>
      </c>
      <c r="G799" s="9">
        <f t="shared" si="35"/>
        <v>8.7603898184433673E-3</v>
      </c>
    </row>
    <row r="800" spans="1:7" x14ac:dyDescent="0.2">
      <c r="A800" s="12">
        <v>38057</v>
      </c>
      <c r="B800" s="9">
        <v>699.07</v>
      </c>
      <c r="C800" s="9">
        <v>676.27</v>
      </c>
      <c r="D800" s="9">
        <v>683.16</v>
      </c>
      <c r="E800" s="9">
        <f t="shared" si="36"/>
        <v>-3.2645322545780675E-2</v>
      </c>
      <c r="F800" s="45">
        <f t="shared" si="34"/>
        <v>2.4959057123905615E-2</v>
      </c>
      <c r="G800" s="9">
        <f t="shared" si="35"/>
        <v>1.0628308513382246E-2</v>
      </c>
    </row>
    <row r="801" spans="1:7" x14ac:dyDescent="0.2">
      <c r="A801" s="12">
        <v>38058</v>
      </c>
      <c r="B801" s="9">
        <v>690.56</v>
      </c>
      <c r="C801" s="9">
        <v>674.18</v>
      </c>
      <c r="D801" s="9">
        <v>688.93</v>
      </c>
      <c r="E801" s="9">
        <f t="shared" si="36"/>
        <v>8.4105765847012522E-3</v>
      </c>
      <c r="F801" s="45">
        <f t="shared" ref="F801:F864" si="37">LN(D801/D771)</f>
        <v>2.2043098496733721E-2</v>
      </c>
      <c r="G801" s="9">
        <f t="shared" ref="G801:G864" si="38">STDEV(E772:E801)</f>
        <v>1.054200670732393E-2</v>
      </c>
    </row>
    <row r="802" spans="1:7" x14ac:dyDescent="0.2">
      <c r="A802" s="12">
        <v>38061</v>
      </c>
      <c r="B802" s="9">
        <v>690.93</v>
      </c>
      <c r="C802" s="9">
        <v>678.35</v>
      </c>
      <c r="D802" s="9">
        <v>680.19</v>
      </c>
      <c r="E802" s="9">
        <f t="shared" si="36"/>
        <v>-1.276749842903091E-2</v>
      </c>
      <c r="F802" s="45">
        <f t="shared" si="37"/>
        <v>1.4378297116010233E-2</v>
      </c>
      <c r="G802" s="9">
        <f t="shared" si="38"/>
        <v>1.0778586980380376E-2</v>
      </c>
    </row>
    <row r="803" spans="1:7" x14ac:dyDescent="0.2">
      <c r="A803" s="12">
        <v>38062</v>
      </c>
      <c r="B803" s="9">
        <v>684.2</v>
      </c>
      <c r="C803" s="9">
        <v>672.92</v>
      </c>
      <c r="D803" s="9">
        <v>683.41</v>
      </c>
      <c r="E803" s="9">
        <f t="shared" si="36"/>
        <v>4.7228013862323798E-3</v>
      </c>
      <c r="F803" s="45">
        <f t="shared" si="37"/>
        <v>2.0011308584854733E-2</v>
      </c>
      <c r="G803" s="9">
        <f t="shared" si="38"/>
        <v>1.0802584807664998E-2</v>
      </c>
    </row>
    <row r="804" spans="1:7" x14ac:dyDescent="0.2">
      <c r="A804" s="12">
        <v>38063</v>
      </c>
      <c r="B804" s="9">
        <v>693.92</v>
      </c>
      <c r="C804" s="9">
        <v>684.12</v>
      </c>
      <c r="D804" s="9">
        <v>693.1</v>
      </c>
      <c r="E804" s="9">
        <f t="shared" si="36"/>
        <v>1.4079316631045766E-2</v>
      </c>
      <c r="F804" s="45">
        <f t="shared" si="37"/>
        <v>3.7050799605677587E-2</v>
      </c>
      <c r="G804" s="9">
        <f t="shared" si="38"/>
        <v>1.1050407282739641E-2</v>
      </c>
    </row>
    <row r="805" spans="1:7" x14ac:dyDescent="0.2">
      <c r="A805" s="12">
        <v>38064</v>
      </c>
      <c r="B805" s="9">
        <v>693.83</v>
      </c>
      <c r="C805" s="9">
        <v>679.36</v>
      </c>
      <c r="D805" s="9">
        <v>679.42</v>
      </c>
      <c r="E805" s="9">
        <f t="shared" si="36"/>
        <v>-1.9934795891555626E-2</v>
      </c>
      <c r="F805" s="45">
        <f t="shared" si="37"/>
        <v>9.3158731901725605E-3</v>
      </c>
      <c r="G805" s="9">
        <f t="shared" si="38"/>
        <v>1.1627336188892721E-2</v>
      </c>
    </row>
    <row r="806" spans="1:7" x14ac:dyDescent="0.2">
      <c r="A806" s="12">
        <v>38065</v>
      </c>
      <c r="B806" s="9">
        <v>684.06</v>
      </c>
      <c r="C806" s="9">
        <v>677.2</v>
      </c>
      <c r="D806" s="9">
        <v>681.76</v>
      </c>
      <c r="E806" s="9">
        <f t="shared" si="36"/>
        <v>3.4381967192184319E-3</v>
      </c>
      <c r="F806" s="45">
        <f t="shared" si="37"/>
        <v>-8.5150403121862887E-3</v>
      </c>
      <c r="G806" s="9">
        <f t="shared" si="38"/>
        <v>1.095535704537561E-2</v>
      </c>
    </row>
    <row r="807" spans="1:7" x14ac:dyDescent="0.2">
      <c r="A807" s="12">
        <v>38068</v>
      </c>
      <c r="B807" s="9">
        <v>677.44</v>
      </c>
      <c r="C807" s="9">
        <v>660.56</v>
      </c>
      <c r="D807" s="9">
        <v>662.73</v>
      </c>
      <c r="E807" s="9">
        <f t="shared" si="36"/>
        <v>-2.8310022329398606E-2</v>
      </c>
      <c r="F807" s="45">
        <f t="shared" si="37"/>
        <v>-4.2452098793559725E-2</v>
      </c>
      <c r="G807" s="9">
        <f t="shared" si="38"/>
        <v>1.2023989805124289E-2</v>
      </c>
    </row>
    <row r="808" spans="1:7" x14ac:dyDescent="0.2">
      <c r="A808" s="12">
        <v>38069</v>
      </c>
      <c r="B808" s="9">
        <v>673.17</v>
      </c>
      <c r="C808" s="9">
        <v>660.11</v>
      </c>
      <c r="D808" s="9">
        <v>670.17</v>
      </c>
      <c r="E808" s="9">
        <f t="shared" si="36"/>
        <v>1.1163744121738796E-2</v>
      </c>
      <c r="F808" s="45">
        <f t="shared" si="37"/>
        <v>-4.117467863799805E-2</v>
      </c>
      <c r="G808" s="9">
        <f t="shared" si="38"/>
        <v>1.2067574478167633E-2</v>
      </c>
    </row>
    <row r="809" spans="1:7" x14ac:dyDescent="0.2">
      <c r="A809" s="12">
        <v>38070</v>
      </c>
      <c r="B809" s="9">
        <v>675.25</v>
      </c>
      <c r="C809" s="9">
        <v>665.26</v>
      </c>
      <c r="D809" s="9">
        <v>666.61</v>
      </c>
      <c r="E809" s="9">
        <f t="shared" si="36"/>
        <v>-5.3262442826739831E-3</v>
      </c>
      <c r="F809" s="45">
        <f t="shared" si="37"/>
        <v>-4.8575122773134659E-2</v>
      </c>
      <c r="G809" s="9">
        <f t="shared" si="38"/>
        <v>1.2070327281622455E-2</v>
      </c>
    </row>
    <row r="810" spans="1:7" x14ac:dyDescent="0.2">
      <c r="A810" s="12">
        <v>38071</v>
      </c>
      <c r="B810" s="9">
        <v>678.4</v>
      </c>
      <c r="C810" s="9">
        <v>668.49</v>
      </c>
      <c r="D810" s="9">
        <v>678.33</v>
      </c>
      <c r="E810" s="9">
        <f t="shared" si="36"/>
        <v>1.742872793032994E-2</v>
      </c>
      <c r="F810" s="45">
        <f t="shared" si="37"/>
        <v>-2.3025367657753825E-2</v>
      </c>
      <c r="G810" s="9">
        <f t="shared" si="38"/>
        <v>1.2489830154228845E-2</v>
      </c>
    </row>
    <row r="811" spans="1:7" x14ac:dyDescent="0.2">
      <c r="A811" s="12">
        <v>38072</v>
      </c>
      <c r="B811" s="9">
        <v>683.4</v>
      </c>
      <c r="C811" s="9">
        <v>675.98</v>
      </c>
      <c r="D811" s="9">
        <v>679.57</v>
      </c>
      <c r="E811" s="9">
        <f t="shared" si="36"/>
        <v>1.8263500179305039E-3</v>
      </c>
      <c r="F811" s="45">
        <f t="shared" si="37"/>
        <v>-1.4013219454676866E-2</v>
      </c>
      <c r="G811" s="9">
        <f t="shared" si="38"/>
        <v>1.2438408666562888E-2</v>
      </c>
    </row>
    <row r="812" spans="1:7" x14ac:dyDescent="0.2">
      <c r="A812" s="12">
        <v>38075</v>
      </c>
      <c r="B812" s="9">
        <v>691.59</v>
      </c>
      <c r="C812" s="9">
        <v>679.8</v>
      </c>
      <c r="D812" s="9">
        <v>691.59</v>
      </c>
      <c r="E812" s="9">
        <f t="shared" si="36"/>
        <v>1.7533049270085914E-2</v>
      </c>
      <c r="F812" s="45">
        <f t="shared" si="37"/>
        <v>-6.068968238227241E-3</v>
      </c>
      <c r="G812" s="9">
        <f t="shared" si="38"/>
        <v>1.274076676439569E-2</v>
      </c>
    </row>
    <row r="813" spans="1:7" x14ac:dyDescent="0.2">
      <c r="A813" s="12">
        <v>38076</v>
      </c>
      <c r="B813" s="9">
        <v>692.6</v>
      </c>
      <c r="C813" s="9">
        <v>685.8</v>
      </c>
      <c r="D813" s="9">
        <v>688.1</v>
      </c>
      <c r="E813" s="9">
        <f t="shared" si="36"/>
        <v>-5.0591182711801266E-3</v>
      </c>
      <c r="F813" s="45">
        <f t="shared" si="37"/>
        <v>-1.7146158834970514E-2</v>
      </c>
      <c r="G813" s="9">
        <f t="shared" si="38"/>
        <v>1.2714765420862591E-2</v>
      </c>
    </row>
    <row r="814" spans="1:7" x14ac:dyDescent="0.2">
      <c r="A814" s="12">
        <v>38077</v>
      </c>
      <c r="B814" s="9">
        <v>694.66</v>
      </c>
      <c r="C814" s="9">
        <v>687.2</v>
      </c>
      <c r="D814" s="9">
        <v>690.28</v>
      </c>
      <c r="E814" s="9">
        <f t="shared" si="36"/>
        <v>3.1631361709438597E-3</v>
      </c>
      <c r="F814" s="45">
        <f t="shared" si="37"/>
        <v>-1.3411430765068923E-2</v>
      </c>
      <c r="G814" s="9">
        <f t="shared" si="38"/>
        <v>1.2733035214689594E-2</v>
      </c>
    </row>
    <row r="815" spans="1:7" x14ac:dyDescent="0.2">
      <c r="A815" s="12">
        <v>38078</v>
      </c>
      <c r="B815" s="9">
        <v>705.55</v>
      </c>
      <c r="C815" s="9">
        <v>693.72</v>
      </c>
      <c r="D815" s="9">
        <v>705.05</v>
      </c>
      <c r="E815" s="9">
        <f t="shared" si="36"/>
        <v>2.1171409903861037E-2</v>
      </c>
      <c r="F815" s="45">
        <f t="shared" si="37"/>
        <v>-1.077357177198204E-3</v>
      </c>
      <c r="G815" s="9">
        <f t="shared" si="38"/>
        <v>1.3232486579151423E-2</v>
      </c>
    </row>
    <row r="816" spans="1:7" x14ac:dyDescent="0.2">
      <c r="A816" s="12">
        <v>38079</v>
      </c>
      <c r="B816" s="9">
        <v>716.1</v>
      </c>
      <c r="C816" s="9">
        <v>703.94</v>
      </c>
      <c r="D816" s="9">
        <v>713.11</v>
      </c>
      <c r="E816" s="9">
        <f t="shared" si="36"/>
        <v>1.136696393133611E-2</v>
      </c>
      <c r="F816" s="45">
        <f t="shared" si="37"/>
        <v>1.8412504231423248E-2</v>
      </c>
      <c r="G816" s="9">
        <f t="shared" si="38"/>
        <v>1.3300021713004788E-2</v>
      </c>
    </row>
    <row r="817" spans="1:7" x14ac:dyDescent="0.2">
      <c r="A817" s="12">
        <v>38082</v>
      </c>
      <c r="B817" s="9">
        <v>721.9</v>
      </c>
      <c r="C817" s="9">
        <v>714.61</v>
      </c>
      <c r="D817" s="9">
        <v>721.04</v>
      </c>
      <c r="E817" s="9">
        <f t="shared" si="36"/>
        <v>1.1058928033579035E-2</v>
      </c>
      <c r="F817" s="45">
        <f t="shared" si="37"/>
        <v>2.4058313634068462E-2</v>
      </c>
      <c r="G817" s="9">
        <f t="shared" si="38"/>
        <v>1.3409764902243892E-2</v>
      </c>
    </row>
    <row r="818" spans="1:7" x14ac:dyDescent="0.2">
      <c r="A818" s="12">
        <v>38083</v>
      </c>
      <c r="B818" s="9">
        <v>725.66</v>
      </c>
      <c r="C818" s="9">
        <v>712.22</v>
      </c>
      <c r="D818" s="9">
        <v>717.59</v>
      </c>
      <c r="E818" s="9">
        <f t="shared" si="36"/>
        <v>-4.7962389406879836E-3</v>
      </c>
      <c r="F818" s="45">
        <f t="shared" si="37"/>
        <v>3.8395512677751382E-2</v>
      </c>
      <c r="G818" s="9">
        <f t="shared" si="38"/>
        <v>1.2921380848839746E-2</v>
      </c>
    </row>
    <row r="819" spans="1:7" x14ac:dyDescent="0.2">
      <c r="A819" s="12">
        <v>38084</v>
      </c>
      <c r="B819" s="9">
        <v>726.23</v>
      </c>
      <c r="C819" s="9">
        <v>717.92</v>
      </c>
      <c r="D819" s="9">
        <v>718.04</v>
      </c>
      <c r="E819" s="9">
        <f t="shared" si="36"/>
        <v>6.2690249540296912E-4</v>
      </c>
      <c r="F819" s="45">
        <f t="shared" si="37"/>
        <v>3.4384784328938871E-2</v>
      </c>
      <c r="G819" s="9">
        <f t="shared" si="38"/>
        <v>1.290618117315533E-2</v>
      </c>
    </row>
    <row r="820" spans="1:7" x14ac:dyDescent="0.2">
      <c r="A820" s="12">
        <v>38085</v>
      </c>
      <c r="B820" s="9">
        <v>725.01</v>
      </c>
      <c r="C820" s="9">
        <v>718.87</v>
      </c>
      <c r="D820" s="9">
        <v>719.93</v>
      </c>
      <c r="E820" s="9">
        <f t="shared" si="36"/>
        <v>2.6287072586227275E-3</v>
      </c>
      <c r="F820" s="45">
        <f t="shared" si="37"/>
        <v>3.1737496571409507E-2</v>
      </c>
      <c r="G820" s="9">
        <f t="shared" si="38"/>
        <v>1.2886005057194136E-2</v>
      </c>
    </row>
    <row r="821" spans="1:7" x14ac:dyDescent="0.2">
      <c r="A821" s="12">
        <v>38090</v>
      </c>
      <c r="B821" s="9">
        <v>726.71</v>
      </c>
      <c r="C821" s="9">
        <v>719.79</v>
      </c>
      <c r="D821" s="9">
        <v>720.87</v>
      </c>
      <c r="E821" s="9">
        <f t="shared" si="36"/>
        <v>1.3048308347711347E-3</v>
      </c>
      <c r="F821" s="45">
        <f t="shared" si="37"/>
        <v>3.1981866722973436E-2</v>
      </c>
      <c r="G821" s="9">
        <f t="shared" si="38"/>
        <v>1.2886083957882315E-2</v>
      </c>
    </row>
    <row r="822" spans="1:7" x14ac:dyDescent="0.2">
      <c r="A822" s="12">
        <v>38091</v>
      </c>
      <c r="B822" s="9">
        <v>717.83</v>
      </c>
      <c r="C822" s="9">
        <v>706.78</v>
      </c>
      <c r="D822" s="9">
        <v>714.18</v>
      </c>
      <c r="E822" s="9">
        <f t="shared" si="36"/>
        <v>-9.3237844884198357E-3</v>
      </c>
      <c r="F822" s="45">
        <f t="shared" si="37"/>
        <v>1.368928436828382E-2</v>
      </c>
      <c r="G822" s="9">
        <f t="shared" si="38"/>
        <v>1.2931951029018438E-2</v>
      </c>
    </row>
    <row r="823" spans="1:7" x14ac:dyDescent="0.2">
      <c r="A823" s="12">
        <v>38092</v>
      </c>
      <c r="B823" s="9">
        <v>717.08</v>
      </c>
      <c r="C823" s="9">
        <v>708.76</v>
      </c>
      <c r="D823" s="9">
        <v>710.89</v>
      </c>
      <c r="E823" s="9">
        <f t="shared" si="36"/>
        <v>-4.6173252473869601E-3</v>
      </c>
      <c r="F823" s="45">
        <f t="shared" si="37"/>
        <v>-4.2672121572836482E-3</v>
      </c>
      <c r="G823" s="9">
        <f t="shared" si="38"/>
        <v>1.2729074982473039E-2</v>
      </c>
    </row>
    <row r="824" spans="1:7" x14ac:dyDescent="0.2">
      <c r="A824" s="12">
        <v>38093</v>
      </c>
      <c r="B824" s="9">
        <v>717.66</v>
      </c>
      <c r="C824" s="9">
        <v>708</v>
      </c>
      <c r="D824" s="9">
        <v>713.12</v>
      </c>
      <c r="E824" s="9">
        <f t="shared" si="36"/>
        <v>3.1320030377893905E-3</v>
      </c>
      <c r="F824" s="45">
        <f t="shared" si="37"/>
        <v>-8.1977402202395595E-3</v>
      </c>
      <c r="G824" s="9">
        <f t="shared" si="38"/>
        <v>1.2672462837520984E-2</v>
      </c>
    </row>
    <row r="825" spans="1:7" x14ac:dyDescent="0.2">
      <c r="A825" s="12">
        <v>38096</v>
      </c>
      <c r="B825" s="9">
        <v>716.91</v>
      </c>
      <c r="C825" s="9">
        <v>712.24</v>
      </c>
      <c r="D825" s="9">
        <v>716.19</v>
      </c>
      <c r="E825" s="9">
        <f t="shared" si="36"/>
        <v>4.295785688324145E-3</v>
      </c>
      <c r="F825" s="45">
        <f t="shared" si="37"/>
        <v>-3.0713388486568503E-4</v>
      </c>
      <c r="G825" s="9">
        <f t="shared" si="38"/>
        <v>1.2683027091164128E-2</v>
      </c>
    </row>
    <row r="826" spans="1:7" x14ac:dyDescent="0.2">
      <c r="A826" s="12">
        <v>38097</v>
      </c>
      <c r="B826" s="9">
        <v>727.84</v>
      </c>
      <c r="C826" s="9">
        <v>719.87</v>
      </c>
      <c r="D826" s="9">
        <v>725.07</v>
      </c>
      <c r="E826" s="9">
        <f t="shared" si="36"/>
        <v>1.2322707031425122E-2</v>
      </c>
      <c r="F826" s="45">
        <f t="shared" si="37"/>
        <v>1.0857689293831841E-2</v>
      </c>
      <c r="G826" s="9">
        <f t="shared" si="38"/>
        <v>1.2880750166061376E-2</v>
      </c>
    </row>
    <row r="827" spans="1:7" x14ac:dyDescent="0.2">
      <c r="A827" s="12">
        <v>38098</v>
      </c>
      <c r="B827" s="9">
        <v>725.6</v>
      </c>
      <c r="C827" s="9">
        <v>716.03</v>
      </c>
      <c r="D827" s="9">
        <v>716.3</v>
      </c>
      <c r="E827" s="9">
        <f t="shared" si="36"/>
        <v>-1.2169128297589624E-2</v>
      </c>
      <c r="F827" s="45">
        <f t="shared" si="37"/>
        <v>-2.9135234488765027E-3</v>
      </c>
      <c r="G827" s="9">
        <f t="shared" si="38"/>
        <v>1.3078892870196103E-2</v>
      </c>
    </row>
    <row r="828" spans="1:7" x14ac:dyDescent="0.2">
      <c r="A828" s="12">
        <v>38099</v>
      </c>
      <c r="B828" s="9">
        <v>728.87</v>
      </c>
      <c r="C828" s="9">
        <v>717.91</v>
      </c>
      <c r="D828" s="9">
        <v>728.07</v>
      </c>
      <c r="E828" s="9">
        <f t="shared" si="36"/>
        <v>1.6298123799949681E-2</v>
      </c>
      <c r="F828" s="45">
        <f t="shared" si="37"/>
        <v>2.9394820467050657E-2</v>
      </c>
      <c r="G828" s="9">
        <f t="shared" si="38"/>
        <v>1.305353501966843E-2</v>
      </c>
    </row>
    <row r="829" spans="1:7" x14ac:dyDescent="0.2">
      <c r="A829" s="12">
        <v>38100</v>
      </c>
      <c r="B829" s="9">
        <v>729.45</v>
      </c>
      <c r="C829" s="9">
        <v>719.36</v>
      </c>
      <c r="D829" s="9">
        <v>720</v>
      </c>
      <c r="E829" s="9">
        <f t="shared" si="36"/>
        <v>-1.1145985410254158E-2</v>
      </c>
      <c r="F829" s="45">
        <f t="shared" si="37"/>
        <v>1.9876796713329453E-2</v>
      </c>
      <c r="G829" s="9">
        <f t="shared" si="38"/>
        <v>1.3233530468484543E-2</v>
      </c>
    </row>
    <row r="830" spans="1:7" x14ac:dyDescent="0.2">
      <c r="A830" s="12">
        <v>38103</v>
      </c>
      <c r="B830" s="9">
        <v>724.89</v>
      </c>
      <c r="C830" s="9">
        <v>714.21</v>
      </c>
      <c r="D830" s="9">
        <v>716.11</v>
      </c>
      <c r="E830" s="9">
        <f t="shared" si="36"/>
        <v>-5.4174255646164517E-3</v>
      </c>
      <c r="F830" s="45">
        <f t="shared" si="37"/>
        <v>4.710469369449382E-2</v>
      </c>
      <c r="G830" s="9">
        <f t="shared" si="38"/>
        <v>1.1717218064700776E-2</v>
      </c>
    </row>
    <row r="831" spans="1:7" x14ac:dyDescent="0.2">
      <c r="A831" s="12">
        <v>38104</v>
      </c>
      <c r="B831" s="9">
        <v>718.22</v>
      </c>
      <c r="C831" s="9">
        <v>713.21</v>
      </c>
      <c r="D831" s="9">
        <v>714.29</v>
      </c>
      <c r="E831" s="9">
        <f t="shared" si="36"/>
        <v>-2.5447441025603559E-3</v>
      </c>
      <c r="F831" s="45">
        <f t="shared" si="37"/>
        <v>3.6149373007232199E-2</v>
      </c>
      <c r="G831" s="9">
        <f t="shared" si="38"/>
        <v>1.1667288784921185E-2</v>
      </c>
    </row>
    <row r="832" spans="1:7" x14ac:dyDescent="0.2">
      <c r="A832" s="12">
        <v>38105</v>
      </c>
      <c r="B832" s="9">
        <v>713.05</v>
      </c>
      <c r="C832" s="9">
        <v>698.32</v>
      </c>
      <c r="D832" s="9">
        <v>698.32</v>
      </c>
      <c r="E832" s="9">
        <f t="shared" si="36"/>
        <v>-2.2611591915829739E-2</v>
      </c>
      <c r="F832" s="45">
        <f t="shared" si="37"/>
        <v>2.6305279520433367E-2</v>
      </c>
      <c r="G832" s="9">
        <f t="shared" si="38"/>
        <v>1.2200073375843961E-2</v>
      </c>
    </row>
    <row r="833" spans="1:7" x14ac:dyDescent="0.2">
      <c r="A833" s="12">
        <v>38106</v>
      </c>
      <c r="B833" s="9">
        <v>697.42</v>
      </c>
      <c r="C833" s="9">
        <v>685.21</v>
      </c>
      <c r="D833" s="9">
        <v>693.6</v>
      </c>
      <c r="E833" s="9">
        <f t="shared" si="36"/>
        <v>-6.7820249607622295E-3</v>
      </c>
      <c r="F833" s="45">
        <f t="shared" si="37"/>
        <v>1.4800453173438708E-2</v>
      </c>
      <c r="G833" s="9">
        <f t="shared" si="38"/>
        <v>1.2255704851897968E-2</v>
      </c>
    </row>
    <row r="834" spans="1:7" x14ac:dyDescent="0.2">
      <c r="A834" s="12">
        <v>38107</v>
      </c>
      <c r="B834" s="9">
        <v>693.42</v>
      </c>
      <c r="C834" s="9">
        <v>684.3</v>
      </c>
      <c r="D834" s="9">
        <v>685.59</v>
      </c>
      <c r="E834" s="9">
        <f t="shared" ref="E834:E895" si="39">LN(D834/D833)</f>
        <v>-1.1615644053429431E-2</v>
      </c>
      <c r="F834" s="45">
        <f t="shared" si="37"/>
        <v>-1.0894507511036306E-2</v>
      </c>
      <c r="G834" s="9">
        <f t="shared" si="38"/>
        <v>1.2171062640836753E-2</v>
      </c>
    </row>
    <row r="835" spans="1:7" x14ac:dyDescent="0.2">
      <c r="A835" s="12">
        <v>38110</v>
      </c>
      <c r="B835" s="9">
        <v>691.89</v>
      </c>
      <c r="C835" s="9">
        <v>680.8</v>
      </c>
      <c r="D835" s="9">
        <v>689.97</v>
      </c>
      <c r="E835" s="9">
        <f t="shared" si="39"/>
        <v>6.3683369723259069E-3</v>
      </c>
      <c r="F835" s="45">
        <f t="shared" si="37"/>
        <v>1.5408625352845279E-2</v>
      </c>
      <c r="G835" s="9">
        <f t="shared" si="38"/>
        <v>1.1648753061753879E-2</v>
      </c>
    </row>
    <row r="836" spans="1:7" x14ac:dyDescent="0.2">
      <c r="A836" s="12">
        <v>38111</v>
      </c>
      <c r="B836" s="9">
        <v>693.07</v>
      </c>
      <c r="C836" s="9">
        <v>686.13</v>
      </c>
      <c r="D836" s="9">
        <v>688.35</v>
      </c>
      <c r="E836" s="9">
        <f t="shared" si="39"/>
        <v>-2.350688876276276E-3</v>
      </c>
      <c r="F836" s="45">
        <f t="shared" si="37"/>
        <v>9.6197397573503565E-3</v>
      </c>
      <c r="G836" s="9">
        <f t="shared" si="38"/>
        <v>1.1646583153178401E-2</v>
      </c>
    </row>
    <row r="837" spans="1:7" x14ac:dyDescent="0.2">
      <c r="A837" s="12">
        <v>38112</v>
      </c>
      <c r="B837" s="9">
        <v>699.42</v>
      </c>
      <c r="C837" s="9">
        <v>689.5</v>
      </c>
      <c r="D837" s="9">
        <v>696.71</v>
      </c>
      <c r="E837" s="9">
        <f t="shared" si="39"/>
        <v>1.2071825804333211E-2</v>
      </c>
      <c r="F837" s="45">
        <f t="shared" si="37"/>
        <v>5.0001587891082222E-2</v>
      </c>
      <c r="G837" s="9">
        <f t="shared" si="38"/>
        <v>1.0500676019580895E-2</v>
      </c>
    </row>
    <row r="838" spans="1:7" x14ac:dyDescent="0.2">
      <c r="A838" s="12">
        <v>38113</v>
      </c>
      <c r="B838" s="9">
        <v>697.09</v>
      </c>
      <c r="C838" s="9">
        <v>676.47</v>
      </c>
      <c r="D838" s="9">
        <v>677.48</v>
      </c>
      <c r="E838" s="9">
        <f t="shared" si="39"/>
        <v>-2.7989223290364941E-2</v>
      </c>
      <c r="F838" s="45">
        <f t="shared" si="37"/>
        <v>1.0848620478978548E-2</v>
      </c>
      <c r="G838" s="9">
        <f t="shared" si="38"/>
        <v>1.1649840442306065E-2</v>
      </c>
    </row>
    <row r="839" spans="1:7" x14ac:dyDescent="0.2">
      <c r="A839" s="12">
        <v>38114</v>
      </c>
      <c r="B839" s="9">
        <v>680.83</v>
      </c>
      <c r="C839" s="9">
        <v>670.01</v>
      </c>
      <c r="D839" s="9">
        <v>676.35</v>
      </c>
      <c r="E839" s="9">
        <f t="shared" si="39"/>
        <v>-1.6693384877176306E-3</v>
      </c>
      <c r="F839" s="45">
        <f t="shared" si="37"/>
        <v>1.4505526273934886E-2</v>
      </c>
      <c r="G839" s="9">
        <f t="shared" si="38"/>
        <v>1.1607328109727852E-2</v>
      </c>
    </row>
    <row r="840" spans="1:7" x14ac:dyDescent="0.2">
      <c r="A840" s="12">
        <v>38117</v>
      </c>
      <c r="B840" s="9">
        <v>672.11</v>
      </c>
      <c r="C840" s="9">
        <v>651.28</v>
      </c>
      <c r="D840" s="9">
        <v>652.21</v>
      </c>
      <c r="E840" s="9">
        <f t="shared" si="39"/>
        <v>-3.6344097577504529E-2</v>
      </c>
      <c r="F840" s="45">
        <f t="shared" si="37"/>
        <v>-3.926729923389953E-2</v>
      </c>
      <c r="G840" s="9">
        <f t="shared" si="38"/>
        <v>1.2972013772085126E-2</v>
      </c>
    </row>
    <row r="841" spans="1:7" x14ac:dyDescent="0.2">
      <c r="A841" s="12">
        <v>38118</v>
      </c>
      <c r="B841" s="9">
        <v>664.88</v>
      </c>
      <c r="C841" s="9">
        <v>653.79</v>
      </c>
      <c r="D841" s="9">
        <v>664.86</v>
      </c>
      <c r="E841" s="9">
        <f t="shared" si="39"/>
        <v>1.9209896218590764E-2</v>
      </c>
      <c r="F841" s="45">
        <f t="shared" si="37"/>
        <v>-2.1883753033239424E-2</v>
      </c>
      <c r="G841" s="9">
        <f t="shared" si="38"/>
        <v>1.3494621824680319E-2</v>
      </c>
    </row>
    <row r="842" spans="1:7" x14ac:dyDescent="0.2">
      <c r="A842" s="12">
        <v>38119</v>
      </c>
      <c r="B842" s="9">
        <v>667.33</v>
      </c>
      <c r="C842" s="9">
        <v>650.78</v>
      </c>
      <c r="D842" s="9">
        <v>651.6</v>
      </c>
      <c r="E842" s="9">
        <f t="shared" si="39"/>
        <v>-2.0145615448399035E-2</v>
      </c>
      <c r="F842" s="45">
        <f t="shared" si="37"/>
        <v>-5.9562417751724273E-2</v>
      </c>
      <c r="G842" s="9">
        <f t="shared" si="38"/>
        <v>1.3489695898061945E-2</v>
      </c>
    </row>
    <row r="843" spans="1:7" x14ac:dyDescent="0.2">
      <c r="A843" s="12">
        <v>38120</v>
      </c>
      <c r="B843" s="9">
        <v>669.92</v>
      </c>
      <c r="C843" s="9">
        <v>653.36</v>
      </c>
      <c r="D843" s="9">
        <v>668.39</v>
      </c>
      <c r="E843" s="9">
        <f t="shared" si="39"/>
        <v>2.5440958780293035E-2</v>
      </c>
      <c r="F843" s="45">
        <f t="shared" si="37"/>
        <v>-2.9062340700250995E-2</v>
      </c>
      <c r="G843" s="9">
        <f t="shared" si="38"/>
        <v>1.4370629456859105E-2</v>
      </c>
    </row>
    <row r="844" spans="1:7" x14ac:dyDescent="0.2">
      <c r="A844" s="12">
        <v>38121</v>
      </c>
      <c r="B844" s="9">
        <v>668.91</v>
      </c>
      <c r="C844" s="9">
        <v>661.22</v>
      </c>
      <c r="D844" s="9">
        <v>663.75</v>
      </c>
      <c r="E844" s="9">
        <f t="shared" si="39"/>
        <v>-6.9662629520346325E-3</v>
      </c>
      <c r="F844" s="45">
        <f t="shared" si="37"/>
        <v>-3.9191739823229502E-2</v>
      </c>
      <c r="G844" s="9">
        <f t="shared" si="38"/>
        <v>1.4389186992567575E-2</v>
      </c>
    </row>
    <row r="845" spans="1:7" x14ac:dyDescent="0.2">
      <c r="A845" s="12">
        <v>38124</v>
      </c>
      <c r="B845" s="9">
        <v>657.64</v>
      </c>
      <c r="C845" s="9">
        <v>649.94000000000005</v>
      </c>
      <c r="D845" s="9">
        <v>653.85</v>
      </c>
      <c r="E845" s="9">
        <f t="shared" si="39"/>
        <v>-1.5027605203637284E-2</v>
      </c>
      <c r="F845" s="45">
        <f t="shared" si="37"/>
        <v>-7.5390754930727777E-2</v>
      </c>
      <c r="G845" s="9">
        <f t="shared" si="38"/>
        <v>1.3950347384694386E-2</v>
      </c>
    </row>
    <row r="846" spans="1:7" x14ac:dyDescent="0.2">
      <c r="A846" s="12">
        <v>38125</v>
      </c>
      <c r="B846" s="9">
        <v>661.08</v>
      </c>
      <c r="C846" s="9">
        <v>655.12</v>
      </c>
      <c r="D846" s="9">
        <v>658.86</v>
      </c>
      <c r="E846" s="9">
        <f t="shared" si="39"/>
        <v>7.6331014851655447E-3</v>
      </c>
      <c r="F846" s="45">
        <f t="shared" si="37"/>
        <v>-7.9124617376898299E-2</v>
      </c>
      <c r="G846" s="9">
        <f t="shared" si="38"/>
        <v>1.3838450477408818E-2</v>
      </c>
    </row>
    <row r="847" spans="1:7" x14ac:dyDescent="0.2">
      <c r="A847" s="12">
        <v>38126</v>
      </c>
      <c r="B847" s="9">
        <v>673.78</v>
      </c>
      <c r="C847" s="9">
        <v>662.55</v>
      </c>
      <c r="D847" s="9">
        <v>670.88</v>
      </c>
      <c r="E847" s="9">
        <f t="shared" si="39"/>
        <v>1.8079214584775682E-2</v>
      </c>
      <c r="F847" s="45">
        <f t="shared" si="37"/>
        <v>-7.2104330825701751E-2</v>
      </c>
      <c r="G847" s="9">
        <f t="shared" si="38"/>
        <v>1.4134240359885687E-2</v>
      </c>
    </row>
    <row r="848" spans="1:7" x14ac:dyDescent="0.2">
      <c r="A848" s="12">
        <v>38128</v>
      </c>
      <c r="B848" s="9">
        <v>670.1</v>
      </c>
      <c r="C848" s="9">
        <v>662.57</v>
      </c>
      <c r="D848" s="9">
        <v>667.02</v>
      </c>
      <c r="E848" s="9">
        <f t="shared" si="39"/>
        <v>-5.7702529488738892E-3</v>
      </c>
      <c r="F848" s="45">
        <f t="shared" si="37"/>
        <v>-7.3078344833887796E-2</v>
      </c>
      <c r="G848" s="9">
        <f t="shared" si="38"/>
        <v>1.4141043237827982E-2</v>
      </c>
    </row>
    <row r="849" spans="1:7" x14ac:dyDescent="0.2">
      <c r="A849" s="12">
        <v>38131</v>
      </c>
      <c r="B849" s="9">
        <v>676.71</v>
      </c>
      <c r="C849" s="9">
        <v>667.62</v>
      </c>
      <c r="D849" s="9">
        <v>670.12</v>
      </c>
      <c r="E849" s="9">
        <f t="shared" si="39"/>
        <v>4.6367703517529116E-3</v>
      </c>
      <c r="F849" s="45">
        <f t="shared" si="37"/>
        <v>-6.9068476977537666E-2</v>
      </c>
      <c r="G849" s="9">
        <f t="shared" si="38"/>
        <v>1.4189858338151933E-2</v>
      </c>
    </row>
    <row r="850" spans="1:7" x14ac:dyDescent="0.2">
      <c r="A850" s="12">
        <v>38132</v>
      </c>
      <c r="B850" s="9">
        <v>668.3</v>
      </c>
      <c r="C850" s="9">
        <v>661.14</v>
      </c>
      <c r="D850" s="9">
        <v>663.77</v>
      </c>
      <c r="E850" s="9">
        <f t="shared" si="39"/>
        <v>-9.5210968963954541E-3</v>
      </c>
      <c r="F850" s="45">
        <f t="shared" si="37"/>
        <v>-8.1218281132555969E-2</v>
      </c>
      <c r="G850" s="9">
        <f t="shared" si="38"/>
        <v>1.4217626673239975E-2</v>
      </c>
    </row>
    <row r="851" spans="1:7" x14ac:dyDescent="0.2">
      <c r="A851" s="12">
        <v>38133</v>
      </c>
      <c r="B851" s="9">
        <v>673.38</v>
      </c>
      <c r="C851" s="9">
        <v>662.14</v>
      </c>
      <c r="D851" s="9">
        <v>665.26</v>
      </c>
      <c r="E851" s="9">
        <f t="shared" si="39"/>
        <v>2.2422377587625049E-3</v>
      </c>
      <c r="F851" s="45">
        <f t="shared" si="37"/>
        <v>-8.0280874208564543E-2</v>
      </c>
      <c r="G851" s="9">
        <f t="shared" si="38"/>
        <v>1.4227774843080481E-2</v>
      </c>
    </row>
    <row r="852" spans="1:7" x14ac:dyDescent="0.2">
      <c r="A852" s="12">
        <v>38134</v>
      </c>
      <c r="B852" s="9">
        <v>674.01</v>
      </c>
      <c r="C852" s="9">
        <v>665.55</v>
      </c>
      <c r="D852" s="9">
        <v>671.79</v>
      </c>
      <c r="E852" s="9">
        <f t="shared" si="39"/>
        <v>9.7678499971508466E-3</v>
      </c>
      <c r="F852" s="45">
        <f t="shared" si="37"/>
        <v>-6.1189239722993734E-2</v>
      </c>
      <c r="G852" s="9">
        <f t="shared" si="38"/>
        <v>1.4346651088040464E-2</v>
      </c>
    </row>
    <row r="853" spans="1:7" x14ac:dyDescent="0.2">
      <c r="A853" s="12">
        <v>38135</v>
      </c>
      <c r="B853" s="9">
        <v>676.06</v>
      </c>
      <c r="C853" s="9">
        <v>672.23</v>
      </c>
      <c r="D853" s="9">
        <v>673.95</v>
      </c>
      <c r="E853" s="9">
        <f t="shared" si="39"/>
        <v>3.2101324994292324E-3</v>
      </c>
      <c r="F853" s="45">
        <f t="shared" si="37"/>
        <v>-5.3361781976177629E-2</v>
      </c>
      <c r="G853" s="9">
        <f t="shared" si="38"/>
        <v>1.436931463996585E-2</v>
      </c>
    </row>
    <row r="854" spans="1:7" x14ac:dyDescent="0.2">
      <c r="A854" s="12">
        <v>38139</v>
      </c>
      <c r="B854" s="9">
        <v>674.21</v>
      </c>
      <c r="C854" s="9">
        <v>666.06</v>
      </c>
      <c r="D854" s="9">
        <v>666.06</v>
      </c>
      <c r="E854" s="9">
        <f>LN(D854/D853)</f>
        <v>-1.177616761166801E-2</v>
      </c>
      <c r="F854" s="45">
        <f t="shared" si="37"/>
        <v>-6.8269952625635053E-2</v>
      </c>
      <c r="G854" s="9">
        <f t="shared" si="38"/>
        <v>1.4451183007107784E-2</v>
      </c>
    </row>
    <row r="855" spans="1:7" x14ac:dyDescent="0.2">
      <c r="A855" s="12">
        <v>38140</v>
      </c>
      <c r="B855" s="9">
        <v>676.3</v>
      </c>
      <c r="C855" s="9">
        <v>667.86</v>
      </c>
      <c r="D855" s="9">
        <v>672.03</v>
      </c>
      <c r="E855" s="9">
        <f t="shared" si="39"/>
        <v>8.9232258112190484E-3</v>
      </c>
      <c r="F855" s="45">
        <f t="shared" si="37"/>
        <v>-6.3642512502740153E-2</v>
      </c>
      <c r="G855" s="9">
        <f t="shared" si="38"/>
        <v>1.4548114509307999E-2</v>
      </c>
    </row>
    <row r="856" spans="1:7" x14ac:dyDescent="0.2">
      <c r="A856" s="12">
        <v>38141</v>
      </c>
      <c r="B856" s="9">
        <v>676</v>
      </c>
      <c r="C856" s="9">
        <v>668.59</v>
      </c>
      <c r="D856" s="9">
        <v>676</v>
      </c>
      <c r="E856" s="9">
        <f t="shared" si="39"/>
        <v>5.8900936591343607E-3</v>
      </c>
      <c r="F856" s="45">
        <f t="shared" si="37"/>
        <v>-7.0075125875030911E-2</v>
      </c>
      <c r="G856" s="9">
        <f t="shared" si="38"/>
        <v>1.437425108886765E-2</v>
      </c>
    </row>
    <row r="857" spans="1:7" x14ac:dyDescent="0.2">
      <c r="A857" s="12">
        <v>38142</v>
      </c>
      <c r="B857" s="9">
        <v>685.9</v>
      </c>
      <c r="C857" s="9">
        <v>677.21</v>
      </c>
      <c r="D857" s="9">
        <v>685.49</v>
      </c>
      <c r="E857" s="9">
        <f t="shared" si="39"/>
        <v>1.3940834960950966E-2</v>
      </c>
      <c r="F857" s="45">
        <f t="shared" si="37"/>
        <v>-4.3965162616490354E-2</v>
      </c>
      <c r="G857" s="9">
        <f t="shared" si="38"/>
        <v>1.4547740501468667E-2</v>
      </c>
    </row>
    <row r="858" spans="1:7" x14ac:dyDescent="0.2">
      <c r="A858" s="12">
        <v>38145</v>
      </c>
      <c r="B858" s="9">
        <v>693.73</v>
      </c>
      <c r="C858" s="9">
        <v>687.94</v>
      </c>
      <c r="D858" s="9">
        <v>693.17</v>
      </c>
      <c r="E858" s="9">
        <f t="shared" si="39"/>
        <v>1.1141368347659887E-2</v>
      </c>
      <c r="F858" s="45">
        <f t="shared" si="37"/>
        <v>-4.9121918068780211E-2</v>
      </c>
      <c r="G858" s="9">
        <f t="shared" si="38"/>
        <v>1.4359865281451662E-2</v>
      </c>
    </row>
    <row r="859" spans="1:7" x14ac:dyDescent="0.2">
      <c r="A859" s="12">
        <v>38146</v>
      </c>
      <c r="B859" s="9">
        <v>694.93</v>
      </c>
      <c r="C859" s="9">
        <v>688.6</v>
      </c>
      <c r="D859" s="9">
        <v>691.3</v>
      </c>
      <c r="E859" s="9">
        <f t="shared" si="39"/>
        <v>-2.7013964003557334E-3</v>
      </c>
      <c r="F859" s="45">
        <f t="shared" si="37"/>
        <v>-4.0677329058881689E-2</v>
      </c>
      <c r="G859" s="9">
        <f t="shared" si="38"/>
        <v>1.4249389588540783E-2</v>
      </c>
    </row>
    <row r="860" spans="1:7" x14ac:dyDescent="0.2">
      <c r="A860" s="12">
        <v>38147</v>
      </c>
      <c r="B860" s="9">
        <v>694.94</v>
      </c>
      <c r="C860" s="9">
        <v>687.24</v>
      </c>
      <c r="D860" s="9">
        <v>687.24</v>
      </c>
      <c r="E860" s="9">
        <f t="shared" si="39"/>
        <v>-5.8903067574529828E-3</v>
      </c>
      <c r="F860" s="45">
        <f t="shared" si="37"/>
        <v>-4.1150210251718299E-2</v>
      </c>
      <c r="G860" s="9">
        <f t="shared" si="38"/>
        <v>1.4254298076797128E-2</v>
      </c>
    </row>
    <row r="861" spans="1:7" x14ac:dyDescent="0.2">
      <c r="A861" s="12">
        <v>38148</v>
      </c>
      <c r="B861" s="9">
        <v>688.92</v>
      </c>
      <c r="C861" s="9">
        <v>685.08</v>
      </c>
      <c r="D861" s="9">
        <v>686.61</v>
      </c>
      <c r="E861" s="9">
        <f t="shared" si="39"/>
        <v>-9.1713075540887363E-4</v>
      </c>
      <c r="F861" s="45">
        <f t="shared" si="37"/>
        <v>-3.9522596904566804E-2</v>
      </c>
      <c r="G861" s="9">
        <f t="shared" si="38"/>
        <v>1.4252776628538777E-2</v>
      </c>
    </row>
    <row r="862" spans="1:7" x14ac:dyDescent="0.2">
      <c r="A862" s="12">
        <v>38149</v>
      </c>
      <c r="B862" s="9">
        <v>688.74</v>
      </c>
      <c r="C862" s="9">
        <v>685.78</v>
      </c>
      <c r="D862" s="9">
        <v>687.26</v>
      </c>
      <c r="E862" s="9">
        <f t="shared" si="39"/>
        <v>9.4623224686237286E-4</v>
      </c>
      <c r="F862" s="45">
        <f t="shared" si="37"/>
        <v>-1.5964772741874637E-2</v>
      </c>
      <c r="G862" s="9">
        <f t="shared" si="38"/>
        <v>1.3676421857801503E-2</v>
      </c>
    </row>
    <row r="863" spans="1:7" x14ac:dyDescent="0.2">
      <c r="A863" s="12">
        <v>38152</v>
      </c>
      <c r="B863" s="9">
        <v>687.2</v>
      </c>
      <c r="C863" s="9">
        <v>676.44</v>
      </c>
      <c r="D863" s="9">
        <v>677.89</v>
      </c>
      <c r="E863" s="9">
        <f t="shared" si="39"/>
        <v>-1.3727644795368633E-2</v>
      </c>
      <c r="F863" s="45">
        <f t="shared" si="37"/>
        <v>-2.2910392576480972E-2</v>
      </c>
      <c r="G863" s="9">
        <f t="shared" si="38"/>
        <v>1.3843637770902037E-2</v>
      </c>
    </row>
    <row r="864" spans="1:7" x14ac:dyDescent="0.2">
      <c r="A864" s="12">
        <v>38153</v>
      </c>
      <c r="B864" s="9">
        <v>684.66</v>
      </c>
      <c r="C864" s="9">
        <v>676.56</v>
      </c>
      <c r="D864" s="9">
        <v>682.92</v>
      </c>
      <c r="E864" s="9">
        <f t="shared" si="39"/>
        <v>7.3926895131817367E-3</v>
      </c>
      <c r="F864" s="45">
        <f t="shared" si="37"/>
        <v>-3.9020590098699922E-3</v>
      </c>
      <c r="G864" s="9">
        <f t="shared" si="38"/>
        <v>1.376459756058184E-2</v>
      </c>
    </row>
    <row r="865" spans="1:7" x14ac:dyDescent="0.2">
      <c r="A865" s="12">
        <v>38154</v>
      </c>
      <c r="B865" s="9">
        <v>687.34</v>
      </c>
      <c r="C865" s="9">
        <v>682.85</v>
      </c>
      <c r="D865" s="9">
        <v>686.46</v>
      </c>
      <c r="E865" s="9">
        <f t="shared" si="39"/>
        <v>5.1702345378747509E-3</v>
      </c>
      <c r="F865" s="45">
        <f t="shared" ref="F865:F928" si="40">LN(D865/D835)</f>
        <v>-5.1001614443210034E-3</v>
      </c>
      <c r="G865" s="9">
        <f t="shared" ref="G865:G928" si="41">STDEV(E836:E865)</f>
        <v>1.3746819474303961E-2</v>
      </c>
    </row>
    <row r="866" spans="1:7" x14ac:dyDescent="0.2">
      <c r="A866" s="12">
        <v>38155</v>
      </c>
      <c r="B866" s="9">
        <v>687.96</v>
      </c>
      <c r="C866" s="9">
        <v>681.61</v>
      </c>
      <c r="D866" s="9">
        <v>683.71</v>
      </c>
      <c r="E866" s="9">
        <f t="shared" si="39"/>
        <v>-4.0141058300385384E-3</v>
      </c>
      <c r="F866" s="45">
        <f t="shared" si="40"/>
        <v>-6.7635783980832401E-3</v>
      </c>
      <c r="G866" s="9">
        <f t="shared" si="41"/>
        <v>1.3759267497547212E-2</v>
      </c>
    </row>
    <row r="867" spans="1:7" x14ac:dyDescent="0.2">
      <c r="A867" s="12">
        <v>38156</v>
      </c>
      <c r="B867" s="9">
        <v>683.65</v>
      </c>
      <c r="C867" s="9">
        <v>679.54</v>
      </c>
      <c r="D867" s="9">
        <v>681.37</v>
      </c>
      <c r="E867" s="9">
        <f t="shared" si="39"/>
        <v>-3.428373856448402E-3</v>
      </c>
      <c r="F867" s="45">
        <f t="shared" si="40"/>
        <v>-2.2263778058864897E-2</v>
      </c>
      <c r="G867" s="9">
        <f t="shared" si="41"/>
        <v>1.357130965697792E-2</v>
      </c>
    </row>
    <row r="868" spans="1:7" x14ac:dyDescent="0.2">
      <c r="A868" s="12">
        <v>38159</v>
      </c>
      <c r="B868" s="9">
        <v>683.5</v>
      </c>
      <c r="C868" s="9">
        <v>678.35</v>
      </c>
      <c r="D868" s="9">
        <v>680.69</v>
      </c>
      <c r="E868" s="9">
        <f t="shared" si="39"/>
        <v>-9.9848766793733884E-4</v>
      </c>
      <c r="F868" s="45">
        <f t="shared" si="40"/>
        <v>4.7269575635628027E-3</v>
      </c>
      <c r="G868" s="9">
        <f t="shared" si="41"/>
        <v>1.255966588678422E-2</v>
      </c>
    </row>
    <row r="869" spans="1:7" x14ac:dyDescent="0.2">
      <c r="A869" s="12">
        <v>38160</v>
      </c>
      <c r="B869" s="9">
        <v>681.72</v>
      </c>
      <c r="C869" s="9">
        <v>676.33</v>
      </c>
      <c r="D869" s="9">
        <v>677.92</v>
      </c>
      <c r="E869" s="9">
        <f t="shared" si="39"/>
        <v>-4.0777027082342524E-3</v>
      </c>
      <c r="F869" s="45">
        <f t="shared" si="40"/>
        <v>2.3185933430461469E-3</v>
      </c>
      <c r="G869" s="9">
        <f t="shared" si="41"/>
        <v>1.2579427081488308E-2</v>
      </c>
    </row>
    <row r="870" spans="1:7" x14ac:dyDescent="0.2">
      <c r="A870" s="12">
        <v>38161</v>
      </c>
      <c r="B870" s="9">
        <v>690.61</v>
      </c>
      <c r="C870" s="9">
        <v>679.75</v>
      </c>
      <c r="D870" s="9">
        <v>690.46</v>
      </c>
      <c r="E870" s="9">
        <f t="shared" si="39"/>
        <v>1.8328755256216685E-2</v>
      </c>
      <c r="F870" s="45">
        <f t="shared" si="40"/>
        <v>5.6991446176767192E-2</v>
      </c>
      <c r="G870" s="9">
        <f t="shared" si="41"/>
        <v>1.0979572134903267E-2</v>
      </c>
    </row>
    <row r="871" spans="1:7" x14ac:dyDescent="0.2">
      <c r="A871" s="12">
        <v>38162</v>
      </c>
      <c r="B871" s="9">
        <v>698.98</v>
      </c>
      <c r="C871" s="9">
        <v>694.95</v>
      </c>
      <c r="D871" s="9">
        <v>697.54</v>
      </c>
      <c r="E871" s="9">
        <f t="shared" si="39"/>
        <v>1.0201817586991109E-2</v>
      </c>
      <c r="F871" s="45">
        <f t="shared" si="40"/>
        <v>4.7983367545167674E-2</v>
      </c>
      <c r="G871" s="9">
        <f t="shared" si="41"/>
        <v>1.0606694056755598E-2</v>
      </c>
    </row>
    <row r="872" spans="1:7" x14ac:dyDescent="0.2">
      <c r="A872" s="12">
        <v>38166</v>
      </c>
      <c r="B872" s="9">
        <v>700.25</v>
      </c>
      <c r="C872" s="9">
        <v>694.31</v>
      </c>
      <c r="D872" s="9">
        <v>699.27</v>
      </c>
      <c r="E872" s="9">
        <f t="shared" si="39"/>
        <v>2.4770740252312326E-3</v>
      </c>
      <c r="F872" s="45">
        <f t="shared" si="40"/>
        <v>7.0606057018797727E-2</v>
      </c>
      <c r="G872" s="9">
        <f t="shared" si="41"/>
        <v>9.7793234057753468E-3</v>
      </c>
    </row>
    <row r="873" spans="1:7" x14ac:dyDescent="0.2">
      <c r="A873" s="12">
        <v>38167</v>
      </c>
      <c r="B873" s="9">
        <v>698.63</v>
      </c>
      <c r="C873" s="9">
        <v>694.85</v>
      </c>
      <c r="D873" s="9">
        <v>697.86</v>
      </c>
      <c r="E873" s="9">
        <f t="shared" si="39"/>
        <v>-2.0184241676854402E-3</v>
      </c>
      <c r="F873" s="45">
        <f t="shared" si="40"/>
        <v>4.3146674070819374E-2</v>
      </c>
      <c r="G873" s="9">
        <f t="shared" si="41"/>
        <v>8.7776573758763556E-3</v>
      </c>
    </row>
    <row r="874" spans="1:7" x14ac:dyDescent="0.2">
      <c r="A874" s="12">
        <v>38168</v>
      </c>
      <c r="B874" s="9">
        <v>701.99</v>
      </c>
      <c r="C874" s="9">
        <v>697.62</v>
      </c>
      <c r="D874" s="9">
        <v>698.13</v>
      </c>
      <c r="E874" s="9">
        <f t="shared" si="39"/>
        <v>3.8682225999717081E-4</v>
      </c>
      <c r="F874" s="45">
        <f t="shared" si="40"/>
        <v>5.0499759282851032E-2</v>
      </c>
      <c r="G874" s="9">
        <f t="shared" si="41"/>
        <v>8.636407711015091E-3</v>
      </c>
    </row>
    <row r="875" spans="1:7" x14ac:dyDescent="0.2">
      <c r="A875" s="12">
        <v>38169</v>
      </c>
      <c r="B875" s="9">
        <v>703.94</v>
      </c>
      <c r="C875" s="9">
        <v>697.73</v>
      </c>
      <c r="D875" s="9">
        <v>697.97</v>
      </c>
      <c r="E875" s="9">
        <f t="shared" si="39"/>
        <v>-2.2920994298466325E-4</v>
      </c>
      <c r="F875" s="45">
        <f t="shared" si="40"/>
        <v>6.52981545435036E-2</v>
      </c>
      <c r="G875" s="9">
        <f t="shared" si="41"/>
        <v>8.0518608874582311E-3</v>
      </c>
    </row>
    <row r="876" spans="1:7" x14ac:dyDescent="0.2">
      <c r="A876" s="12">
        <v>38170</v>
      </c>
      <c r="B876" s="9">
        <v>698.63</v>
      </c>
      <c r="C876" s="9">
        <v>693.08</v>
      </c>
      <c r="D876" s="9">
        <v>695.82</v>
      </c>
      <c r="E876" s="9">
        <f t="shared" si="39"/>
        <v>-3.0851156993479682E-3</v>
      </c>
      <c r="F876" s="45">
        <f t="shared" si="40"/>
        <v>5.4579937358990145E-2</v>
      </c>
      <c r="G876" s="9">
        <f t="shared" si="41"/>
        <v>8.0391809145515421E-3</v>
      </c>
    </row>
    <row r="877" spans="1:7" x14ac:dyDescent="0.2">
      <c r="A877" s="12">
        <v>38173</v>
      </c>
      <c r="B877" s="9">
        <v>697.32</v>
      </c>
      <c r="C877" s="9">
        <v>691.12</v>
      </c>
      <c r="D877" s="9">
        <v>693.08</v>
      </c>
      <c r="E877" s="9">
        <f t="shared" si="39"/>
        <v>-3.945573554020902E-3</v>
      </c>
      <c r="F877" s="45">
        <f t="shared" si="40"/>
        <v>3.2555149220193494E-2</v>
      </c>
      <c r="G877" s="9">
        <f t="shared" si="41"/>
        <v>7.4900050064660344E-3</v>
      </c>
    </row>
    <row r="878" spans="1:7" x14ac:dyDescent="0.2">
      <c r="A878" s="12">
        <v>38174</v>
      </c>
      <c r="B878" s="9">
        <v>692.12</v>
      </c>
      <c r="C878" s="9">
        <v>685.06</v>
      </c>
      <c r="D878" s="9">
        <v>685.4</v>
      </c>
      <c r="E878" s="9">
        <f t="shared" si="39"/>
        <v>-1.1142823202137619E-2</v>
      </c>
      <c r="F878" s="45">
        <f t="shared" si="40"/>
        <v>2.7182578966929931E-2</v>
      </c>
      <c r="G878" s="9">
        <f t="shared" si="41"/>
        <v>7.7202598136369401E-3</v>
      </c>
    </row>
    <row r="879" spans="1:7" x14ac:dyDescent="0.2">
      <c r="A879" s="12">
        <v>38175</v>
      </c>
      <c r="B879" s="9">
        <v>688.38</v>
      </c>
      <c r="C879" s="9">
        <v>682.32</v>
      </c>
      <c r="D879" s="9">
        <v>684.29</v>
      </c>
      <c r="E879" s="9">
        <f t="shared" si="39"/>
        <v>-1.6208050624569618E-3</v>
      </c>
      <c r="F879" s="45">
        <f t="shared" si="40"/>
        <v>2.092500355271985E-2</v>
      </c>
      <c r="G879" s="9">
        <f t="shared" si="41"/>
        <v>7.7004967746623952E-3</v>
      </c>
    </row>
    <row r="880" spans="1:7" x14ac:dyDescent="0.2">
      <c r="A880" s="12">
        <v>38176</v>
      </c>
      <c r="B880" s="9">
        <v>686.24</v>
      </c>
      <c r="C880" s="9">
        <v>681.38</v>
      </c>
      <c r="D880" s="9">
        <v>685.3</v>
      </c>
      <c r="E880" s="9">
        <f t="shared" si="39"/>
        <v>1.4748942137265569E-3</v>
      </c>
      <c r="F880" s="45">
        <f t="shared" si="40"/>
        <v>3.1920994662841783E-2</v>
      </c>
      <c r="G880" s="9">
        <f t="shared" si="41"/>
        <v>7.4551211034190176E-3</v>
      </c>
    </row>
    <row r="881" spans="1:7" x14ac:dyDescent="0.2">
      <c r="A881" s="12">
        <v>38177</v>
      </c>
      <c r="B881" s="9">
        <v>684.65</v>
      </c>
      <c r="C881" s="9">
        <v>676.42</v>
      </c>
      <c r="D881" s="9">
        <v>679.5</v>
      </c>
      <c r="E881" s="9">
        <f t="shared" si="39"/>
        <v>-8.4994650005795081E-3</v>
      </c>
      <c r="F881" s="45">
        <f t="shared" si="40"/>
        <v>2.1179291903499858E-2</v>
      </c>
      <c r="G881" s="9">
        <f t="shared" si="41"/>
        <v>7.6519375075250039E-3</v>
      </c>
    </row>
    <row r="882" spans="1:7" x14ac:dyDescent="0.2">
      <c r="A882" s="12">
        <v>38180</v>
      </c>
      <c r="B882" s="9">
        <v>681</v>
      </c>
      <c r="C882" s="9">
        <v>665.86</v>
      </c>
      <c r="D882" s="9">
        <v>669</v>
      </c>
      <c r="E882" s="9">
        <f t="shared" si="39"/>
        <v>-1.557317346296992E-2</v>
      </c>
      <c r="F882" s="45">
        <f t="shared" si="40"/>
        <v>-4.1617315566210853E-3</v>
      </c>
      <c r="G882" s="9">
        <f t="shared" si="41"/>
        <v>8.0075392613217986E-3</v>
      </c>
    </row>
    <row r="883" spans="1:7" x14ac:dyDescent="0.2">
      <c r="A883" s="12">
        <v>38181</v>
      </c>
      <c r="B883" s="9">
        <v>680.05</v>
      </c>
      <c r="C883" s="9">
        <v>668.16</v>
      </c>
      <c r="D883" s="9">
        <v>676.03</v>
      </c>
      <c r="E883" s="9">
        <f t="shared" si="39"/>
        <v>1.0453393628255118E-2</v>
      </c>
      <c r="F883" s="45">
        <f t="shared" si="40"/>
        <v>3.0815295722048898E-3</v>
      </c>
      <c r="G883" s="9">
        <f t="shared" si="41"/>
        <v>8.218417415147122E-3</v>
      </c>
    </row>
    <row r="884" spans="1:7" x14ac:dyDescent="0.2">
      <c r="A884" s="12">
        <v>38182</v>
      </c>
      <c r="B884" s="9">
        <v>681.91</v>
      </c>
      <c r="C884" s="9">
        <v>670.61</v>
      </c>
      <c r="D884" s="9">
        <v>680.47</v>
      </c>
      <c r="E884" s="9">
        <f t="shared" si="39"/>
        <v>6.5462821318072939E-3</v>
      </c>
      <c r="F884" s="45">
        <f t="shared" si="40"/>
        <v>2.1403979315680353E-2</v>
      </c>
      <c r="G884" s="9">
        <f t="shared" si="41"/>
        <v>7.9826327911557329E-3</v>
      </c>
    </row>
    <row r="885" spans="1:7" x14ac:dyDescent="0.2">
      <c r="A885" s="12">
        <v>38183</v>
      </c>
      <c r="B885" s="9">
        <v>682.39</v>
      </c>
      <c r="C885" s="9">
        <v>667.11</v>
      </c>
      <c r="D885" s="9">
        <v>669.12</v>
      </c>
      <c r="E885" s="9">
        <f t="shared" si="39"/>
        <v>-1.6820319648022244E-2</v>
      </c>
      <c r="F885" s="45">
        <f t="shared" si="40"/>
        <v>-4.3395661435608798E-3</v>
      </c>
      <c r="G885" s="9">
        <f t="shared" si="41"/>
        <v>8.4402419467404025E-3</v>
      </c>
    </row>
    <row r="886" spans="1:7" x14ac:dyDescent="0.2">
      <c r="A886" s="12">
        <v>38184</v>
      </c>
      <c r="B886" s="9">
        <v>674.59</v>
      </c>
      <c r="C886" s="9">
        <v>666.81</v>
      </c>
      <c r="D886" s="9">
        <v>673.44</v>
      </c>
      <c r="E886" s="9">
        <f t="shared" si="39"/>
        <v>6.4354887819918685E-3</v>
      </c>
      <c r="F886" s="45">
        <f t="shared" si="40"/>
        <v>-3.794171020703467E-3</v>
      </c>
      <c r="G886" s="9">
        <f t="shared" si="41"/>
        <v>8.4542644249353018E-3</v>
      </c>
    </row>
    <row r="887" spans="1:7" x14ac:dyDescent="0.2">
      <c r="A887" s="12">
        <v>38187</v>
      </c>
      <c r="B887" s="9">
        <v>675.22</v>
      </c>
      <c r="C887" s="9">
        <v>666.05</v>
      </c>
      <c r="D887" s="9">
        <v>666.28</v>
      </c>
      <c r="E887" s="9">
        <f t="shared" si="39"/>
        <v>-1.0688902413353551E-2</v>
      </c>
      <c r="F887" s="45">
        <f t="shared" si="40"/>
        <v>-2.8423908395008159E-2</v>
      </c>
      <c r="G887" s="9">
        <f t="shared" si="41"/>
        <v>8.2341132643866145E-3</v>
      </c>
    </row>
    <row r="888" spans="1:7" x14ac:dyDescent="0.2">
      <c r="A888" s="12">
        <v>38188</v>
      </c>
      <c r="B888" s="9">
        <v>670.79</v>
      </c>
      <c r="C888" s="9">
        <v>661.93</v>
      </c>
      <c r="D888" s="9">
        <v>668.7</v>
      </c>
      <c r="E888" s="9">
        <f t="shared" si="39"/>
        <v>3.6255264510259328E-3</v>
      </c>
      <c r="F888" s="45">
        <f t="shared" si="40"/>
        <v>-3.5939750291642043E-2</v>
      </c>
      <c r="G888" s="9">
        <f t="shared" si="41"/>
        <v>7.9635104607763546E-3</v>
      </c>
    </row>
    <row r="889" spans="1:7" x14ac:dyDescent="0.2">
      <c r="A889" s="12">
        <v>38189</v>
      </c>
      <c r="B889" s="9">
        <v>694.52</v>
      </c>
      <c r="C889" s="9">
        <v>680.62</v>
      </c>
      <c r="D889" s="9">
        <v>683.09</v>
      </c>
      <c r="E889" s="9">
        <f t="shared" si="39"/>
        <v>2.1291093425643375E-2</v>
      </c>
      <c r="F889" s="45">
        <f t="shared" si="40"/>
        <v>-1.1947260465642833E-2</v>
      </c>
      <c r="G889" s="9">
        <f t="shared" si="41"/>
        <v>8.9508585684676522E-3</v>
      </c>
    </row>
    <row r="890" spans="1:7" x14ac:dyDescent="0.2">
      <c r="A890" s="12">
        <v>38190</v>
      </c>
      <c r="B890" s="9">
        <v>679.4</v>
      </c>
      <c r="C890" s="9">
        <v>668.2</v>
      </c>
      <c r="D890" s="9">
        <v>668.23</v>
      </c>
      <c r="E890" s="9">
        <f t="shared" si="39"/>
        <v>-2.1994196833244845E-2</v>
      </c>
      <c r="F890" s="45">
        <f t="shared" si="40"/>
        <v>-2.8051150541434651E-2</v>
      </c>
      <c r="G890" s="9">
        <f t="shared" si="41"/>
        <v>9.7397093074981633E-3</v>
      </c>
    </row>
    <row r="891" spans="1:7" x14ac:dyDescent="0.2">
      <c r="A891" s="12">
        <v>38191</v>
      </c>
      <c r="B891" s="9">
        <v>674.41</v>
      </c>
      <c r="C891" s="9">
        <v>668.17</v>
      </c>
      <c r="D891" s="9">
        <v>668.45</v>
      </c>
      <c r="E891" s="9">
        <f t="shared" si="39"/>
        <v>3.2917377679999606E-4</v>
      </c>
      <c r="F891" s="45">
        <f t="shared" si="40"/>
        <v>-2.6804846009225697E-2</v>
      </c>
      <c r="G891" s="9">
        <f t="shared" si="41"/>
        <v>9.7424459157756053E-3</v>
      </c>
    </row>
    <row r="892" spans="1:7" x14ac:dyDescent="0.2">
      <c r="A892" s="12">
        <v>38194</v>
      </c>
      <c r="B892" s="9">
        <v>671.52</v>
      </c>
      <c r="C892" s="9">
        <v>661.7</v>
      </c>
      <c r="D892" s="9">
        <v>661.76</v>
      </c>
      <c r="E892" s="9">
        <f t="shared" si="39"/>
        <v>-1.0058646989176674E-2</v>
      </c>
      <c r="F892" s="45">
        <f t="shared" si="40"/>
        <v>-3.7809725245264852E-2</v>
      </c>
      <c r="G892" s="9">
        <f t="shared" si="41"/>
        <v>9.8770385509453738E-3</v>
      </c>
    </row>
    <row r="893" spans="1:7" x14ac:dyDescent="0.2">
      <c r="A893" s="12">
        <v>38195</v>
      </c>
      <c r="B893" s="9">
        <v>671.95</v>
      </c>
      <c r="C893" s="9">
        <v>663.58</v>
      </c>
      <c r="D893" s="9">
        <v>671.95</v>
      </c>
      <c r="E893" s="9">
        <f t="shared" si="39"/>
        <v>1.5280980553118318E-2</v>
      </c>
      <c r="F893" s="45">
        <f t="shared" si="40"/>
        <v>-8.8010998967778791E-3</v>
      </c>
      <c r="G893" s="9">
        <f t="shared" si="41"/>
        <v>1.0033137324730747E-2</v>
      </c>
    </row>
    <row r="894" spans="1:7" x14ac:dyDescent="0.2">
      <c r="A894" s="12">
        <v>38196</v>
      </c>
      <c r="B894" s="9">
        <v>681.38</v>
      </c>
      <c r="C894" s="9">
        <v>672.89</v>
      </c>
      <c r="D894" s="9">
        <v>674.36</v>
      </c>
      <c r="E894" s="9">
        <f t="shared" si="39"/>
        <v>3.5801599545271594E-3</v>
      </c>
      <c r="F894" s="45">
        <f t="shared" si="40"/>
        <v>-1.2613629455432361E-2</v>
      </c>
      <c r="G894" s="9">
        <f t="shared" si="41"/>
        <v>9.9562763145592433E-3</v>
      </c>
    </row>
    <row r="895" spans="1:7" x14ac:dyDescent="0.2">
      <c r="A895" s="12">
        <v>38197</v>
      </c>
      <c r="B895" s="9">
        <v>684.16</v>
      </c>
      <c r="C895" s="9">
        <v>675.54</v>
      </c>
      <c r="D895" s="9">
        <v>680.14</v>
      </c>
      <c r="E895" s="9">
        <f t="shared" si="39"/>
        <v>8.5345663846299741E-3</v>
      </c>
      <c r="F895" s="45">
        <f t="shared" si="40"/>
        <v>-9.2492976086771626E-3</v>
      </c>
      <c r="G895" s="9">
        <f t="shared" si="41"/>
        <v>1.0040014779538066E-2</v>
      </c>
    </row>
    <row r="896" spans="1:7" x14ac:dyDescent="0.2">
      <c r="A896" s="12">
        <v>38198</v>
      </c>
      <c r="B896" s="9">
        <v>686.26</v>
      </c>
      <c r="C896" s="9">
        <v>677.38</v>
      </c>
      <c r="D896" s="9">
        <v>683.3</v>
      </c>
      <c r="E896" s="9">
        <f t="shared" ref="E896:E959" si="42">LN(D896/D895)</f>
        <v>4.6353424545020252E-3</v>
      </c>
      <c r="F896" s="45">
        <f t="shared" si="40"/>
        <v>-5.99849324136506E-4</v>
      </c>
      <c r="G896" s="9">
        <f t="shared" si="41"/>
        <v>1.0054108813054458E-2</v>
      </c>
    </row>
    <row r="897" spans="1:7" x14ac:dyDescent="0.2">
      <c r="A897" s="12">
        <v>38201</v>
      </c>
      <c r="B897" s="9">
        <v>681.43</v>
      </c>
      <c r="C897" s="9">
        <v>675.85</v>
      </c>
      <c r="D897" s="9">
        <v>678.8</v>
      </c>
      <c r="E897" s="9">
        <f t="shared" si="42"/>
        <v>-6.6074684266613885E-3</v>
      </c>
      <c r="F897" s="45">
        <f t="shared" si="40"/>
        <v>-3.7789438943494047E-3</v>
      </c>
      <c r="G897" s="9">
        <f t="shared" si="41"/>
        <v>1.010788167804326E-2</v>
      </c>
    </row>
    <row r="898" spans="1:7" x14ac:dyDescent="0.2">
      <c r="A898" s="12">
        <v>38202</v>
      </c>
      <c r="B898" s="9">
        <v>681.83</v>
      </c>
      <c r="C898" s="9">
        <v>677.35</v>
      </c>
      <c r="D898" s="9">
        <v>679.19</v>
      </c>
      <c r="E898" s="9">
        <f t="shared" si="42"/>
        <v>5.7437832490995892E-4</v>
      </c>
      <c r="F898" s="45">
        <f t="shared" si="40"/>
        <v>-2.2060779015022048E-3</v>
      </c>
      <c r="G898" s="9">
        <f t="shared" si="41"/>
        <v>1.0107279058879341E-2</v>
      </c>
    </row>
    <row r="899" spans="1:7" x14ac:dyDescent="0.2">
      <c r="A899" s="12">
        <v>38203</v>
      </c>
      <c r="B899" s="9">
        <v>677.31</v>
      </c>
      <c r="C899" s="9">
        <v>671.16</v>
      </c>
      <c r="D899" s="9">
        <v>674.23</v>
      </c>
      <c r="E899" s="9">
        <f t="shared" si="42"/>
        <v>-7.3296126931458195E-3</v>
      </c>
      <c r="F899" s="45">
        <f t="shared" si="40"/>
        <v>-5.457987886413683E-3</v>
      </c>
      <c r="G899" s="9">
        <f t="shared" si="41"/>
        <v>1.0168952766017222E-2</v>
      </c>
    </row>
    <row r="900" spans="1:7" x14ac:dyDescent="0.2">
      <c r="A900" s="12">
        <v>38204</v>
      </c>
      <c r="B900" s="9">
        <v>682.26</v>
      </c>
      <c r="C900" s="9">
        <v>675.5</v>
      </c>
      <c r="D900" s="9">
        <v>679.04</v>
      </c>
      <c r="E900" s="9">
        <f t="shared" si="42"/>
        <v>7.1087369937282369E-3</v>
      </c>
      <c r="F900" s="45">
        <f t="shared" si="40"/>
        <v>-1.667800614890207E-2</v>
      </c>
      <c r="G900" s="9">
        <f t="shared" si="41"/>
        <v>9.658179323544288E-3</v>
      </c>
    </row>
    <row r="901" spans="1:7" x14ac:dyDescent="0.2">
      <c r="A901" s="12">
        <v>38205</v>
      </c>
      <c r="B901" s="9">
        <v>676.59</v>
      </c>
      <c r="C901" s="9">
        <v>660.82</v>
      </c>
      <c r="D901" s="9">
        <v>663.15</v>
      </c>
      <c r="E901" s="9">
        <f t="shared" si="42"/>
        <v>-2.3678827045201741E-2</v>
      </c>
      <c r="F901" s="45">
        <f t="shared" si="40"/>
        <v>-5.0558650781094873E-2</v>
      </c>
      <c r="G901" s="9">
        <f t="shared" si="41"/>
        <v>1.0315385450915839E-2</v>
      </c>
    </row>
    <row r="902" spans="1:7" x14ac:dyDescent="0.2">
      <c r="A902" s="12">
        <v>38208</v>
      </c>
      <c r="B902" s="9">
        <v>663.77</v>
      </c>
      <c r="C902" s="9">
        <v>653.49</v>
      </c>
      <c r="D902" s="9">
        <v>656.91</v>
      </c>
      <c r="E902" s="9">
        <f t="shared" si="42"/>
        <v>-9.4541861406016291E-3</v>
      </c>
      <c r="F902" s="45">
        <f t="shared" si="40"/>
        <v>-6.2489910946927685E-2</v>
      </c>
      <c r="G902" s="9">
        <f t="shared" si="41"/>
        <v>1.0379179223918376E-2</v>
      </c>
    </row>
    <row r="903" spans="1:7" x14ac:dyDescent="0.2">
      <c r="A903" s="12">
        <v>38209</v>
      </c>
      <c r="B903" s="9">
        <v>667.13</v>
      </c>
      <c r="C903" s="9">
        <v>656.83</v>
      </c>
      <c r="D903" s="9">
        <v>664.67</v>
      </c>
      <c r="E903" s="9">
        <f t="shared" si="42"/>
        <v>1.1743654086473763E-2</v>
      </c>
      <c r="F903" s="45">
        <f t="shared" si="40"/>
        <v>-4.8727832692768459E-2</v>
      </c>
      <c r="G903" s="9">
        <f t="shared" si="41"/>
        <v>1.0681844782976424E-2</v>
      </c>
    </row>
    <row r="904" spans="1:7" x14ac:dyDescent="0.2">
      <c r="A904" s="12">
        <v>38210</v>
      </c>
      <c r="B904" s="9">
        <v>663.46</v>
      </c>
      <c r="C904" s="9">
        <v>649.32000000000005</v>
      </c>
      <c r="D904" s="9">
        <v>653.37</v>
      </c>
      <c r="E904" s="9">
        <f t="shared" si="42"/>
        <v>-1.714709245560693E-2</v>
      </c>
      <c r="F904" s="45">
        <f t="shared" si="40"/>
        <v>-6.6261747408372457E-2</v>
      </c>
      <c r="G904" s="9">
        <f t="shared" si="41"/>
        <v>1.1041642696364965E-2</v>
      </c>
    </row>
    <row r="905" spans="1:7" x14ac:dyDescent="0.2">
      <c r="A905" s="12">
        <v>38211</v>
      </c>
      <c r="B905" s="9">
        <v>658.22</v>
      </c>
      <c r="C905" s="9">
        <v>644.98</v>
      </c>
      <c r="D905" s="9">
        <v>650.70000000000005</v>
      </c>
      <c r="E905" s="9">
        <f t="shared" si="42"/>
        <v>-4.094877929688651E-3</v>
      </c>
      <c r="F905" s="45">
        <f t="shared" si="40"/>
        <v>-7.0127415395076428E-2</v>
      </c>
      <c r="G905" s="9">
        <f t="shared" si="41"/>
        <v>1.1040301267607446E-2</v>
      </c>
    </row>
    <row r="906" spans="1:7" x14ac:dyDescent="0.2">
      <c r="A906" s="12">
        <v>38212</v>
      </c>
      <c r="B906" s="9">
        <v>654.42999999999995</v>
      </c>
      <c r="C906" s="9">
        <v>646.61</v>
      </c>
      <c r="D906" s="9">
        <v>649.36</v>
      </c>
      <c r="E906" s="9">
        <f t="shared" si="42"/>
        <v>-2.0614440480181584E-3</v>
      </c>
      <c r="F906" s="45">
        <f t="shared" si="40"/>
        <v>-6.9103743743746629E-2</v>
      </c>
      <c r="G906" s="9">
        <f t="shared" si="41"/>
        <v>1.1039493089745556E-2</v>
      </c>
    </row>
    <row r="907" spans="1:7" x14ac:dyDescent="0.2">
      <c r="A907" s="12">
        <v>38215</v>
      </c>
      <c r="B907" s="9">
        <v>656.55</v>
      </c>
      <c r="C907" s="9">
        <v>644.04</v>
      </c>
      <c r="D907" s="9">
        <v>656.02</v>
      </c>
      <c r="E907" s="9">
        <f t="shared" si="42"/>
        <v>1.020401383130316E-2</v>
      </c>
      <c r="F907" s="45">
        <f t="shared" si="40"/>
        <v>-5.495415635842265E-2</v>
      </c>
      <c r="G907" s="9">
        <f t="shared" si="41"/>
        <v>1.1266839412739597E-2</v>
      </c>
    </row>
    <row r="908" spans="1:7" x14ac:dyDescent="0.2">
      <c r="A908" s="12">
        <v>38216</v>
      </c>
      <c r="B908" s="9">
        <v>662.04</v>
      </c>
      <c r="C908" s="9">
        <v>655.65</v>
      </c>
      <c r="D908" s="9">
        <v>658.63</v>
      </c>
      <c r="E908" s="9">
        <f t="shared" si="42"/>
        <v>3.9706437897641719E-3</v>
      </c>
      <c r="F908" s="45">
        <f t="shared" si="40"/>
        <v>-3.9840689366520861E-2</v>
      </c>
      <c r="G908" s="9">
        <f t="shared" si="41"/>
        <v>1.1173657294132229E-2</v>
      </c>
    </row>
    <row r="909" spans="1:7" x14ac:dyDescent="0.2">
      <c r="A909" s="12">
        <v>38217</v>
      </c>
      <c r="B909" s="9">
        <v>666</v>
      </c>
      <c r="C909" s="9">
        <v>655.92</v>
      </c>
      <c r="D909" s="9">
        <v>665.41</v>
      </c>
      <c r="E909" s="9">
        <f t="shared" si="42"/>
        <v>1.0241471951714183E-2</v>
      </c>
      <c r="F909" s="45">
        <f t="shared" si="40"/>
        <v>-2.7978412352349696E-2</v>
      </c>
      <c r="G909" s="9">
        <f t="shared" si="41"/>
        <v>1.137108392645199E-2</v>
      </c>
    </row>
    <row r="910" spans="1:7" x14ac:dyDescent="0.2">
      <c r="A910" s="12">
        <v>38218</v>
      </c>
      <c r="B910" s="9">
        <v>670.7</v>
      </c>
      <c r="C910" s="9">
        <v>664.08</v>
      </c>
      <c r="D910" s="9">
        <v>666.56</v>
      </c>
      <c r="E910" s="9">
        <f t="shared" si="42"/>
        <v>1.7267660469052161E-3</v>
      </c>
      <c r="F910" s="45">
        <f t="shared" si="40"/>
        <v>-2.7726540519170891E-2</v>
      </c>
      <c r="G910" s="9">
        <f t="shared" si="41"/>
        <v>1.1373015600866431E-2</v>
      </c>
    </row>
    <row r="911" spans="1:7" x14ac:dyDescent="0.2">
      <c r="A911" s="12">
        <v>38219</v>
      </c>
      <c r="B911" s="9">
        <v>665.92</v>
      </c>
      <c r="C911" s="9">
        <v>659.98</v>
      </c>
      <c r="D911" s="9">
        <v>664.52</v>
      </c>
      <c r="E911" s="9">
        <f t="shared" si="42"/>
        <v>-3.0651825543291365E-3</v>
      </c>
      <c r="F911" s="45">
        <f t="shared" si="40"/>
        <v>-2.2292258072920408E-2</v>
      </c>
      <c r="G911" s="9">
        <f t="shared" si="41"/>
        <v>1.1291183642335388E-2</v>
      </c>
    </row>
    <row r="912" spans="1:7" x14ac:dyDescent="0.2">
      <c r="A912" s="12">
        <v>38222</v>
      </c>
      <c r="B912" s="9">
        <v>679.23</v>
      </c>
      <c r="C912" s="9">
        <v>666.35</v>
      </c>
      <c r="D912" s="9">
        <v>679.23</v>
      </c>
      <c r="E912" s="9">
        <f t="shared" si="42"/>
        <v>2.189482811471859E-2</v>
      </c>
      <c r="F912" s="45">
        <f t="shared" si="40"/>
        <v>1.5175743504768009E-2</v>
      </c>
      <c r="G912" s="9">
        <f t="shared" si="41"/>
        <v>1.1660398396819866E-2</v>
      </c>
    </row>
    <row r="913" spans="1:7" x14ac:dyDescent="0.2">
      <c r="A913" s="12">
        <v>38223</v>
      </c>
      <c r="B913" s="9">
        <v>683.77</v>
      </c>
      <c r="C913" s="9">
        <v>676.31</v>
      </c>
      <c r="D913" s="9">
        <v>676.86</v>
      </c>
      <c r="E913" s="9">
        <f t="shared" si="42"/>
        <v>-3.495346788112448E-3</v>
      </c>
      <c r="F913" s="45">
        <f t="shared" si="40"/>
        <v>1.2270030884004711E-3</v>
      </c>
      <c r="G913" s="9">
        <f t="shared" si="41"/>
        <v>1.1527407268533098E-2</v>
      </c>
    </row>
    <row r="914" spans="1:7" x14ac:dyDescent="0.2">
      <c r="A914" s="12">
        <v>38224</v>
      </c>
      <c r="B914" s="9">
        <v>683.88</v>
      </c>
      <c r="C914" s="9">
        <v>676.14</v>
      </c>
      <c r="D914" s="9">
        <v>683.26</v>
      </c>
      <c r="E914" s="9">
        <f t="shared" si="42"/>
        <v>9.4110037874003648E-3</v>
      </c>
      <c r="F914" s="45">
        <f t="shared" si="40"/>
        <v>4.0917247439933102E-3</v>
      </c>
      <c r="G914" s="9">
        <f t="shared" si="41"/>
        <v>1.1594823049729253E-2</v>
      </c>
    </row>
    <row r="915" spans="1:7" x14ac:dyDescent="0.2">
      <c r="A915" s="12">
        <v>38225</v>
      </c>
      <c r="B915" s="9">
        <v>690.94</v>
      </c>
      <c r="C915" s="9">
        <v>685.05</v>
      </c>
      <c r="D915" s="9">
        <v>689.02</v>
      </c>
      <c r="E915" s="9">
        <f t="shared" si="42"/>
        <v>8.3948375362796375E-3</v>
      </c>
      <c r="F915" s="45">
        <f t="shared" si="40"/>
        <v>2.9306881928295305E-2</v>
      </c>
      <c r="G915" s="9">
        <f t="shared" si="41"/>
        <v>1.1231476958455298E-2</v>
      </c>
    </row>
    <row r="916" spans="1:7" x14ac:dyDescent="0.2">
      <c r="A916" s="12">
        <v>38226</v>
      </c>
      <c r="B916" s="9">
        <v>691.04</v>
      </c>
      <c r="C916" s="9">
        <v>684.79</v>
      </c>
      <c r="D916" s="9">
        <v>690.92</v>
      </c>
      <c r="E916" s="9">
        <f t="shared" si="42"/>
        <v>2.7537446565196687E-3</v>
      </c>
      <c r="F916" s="45">
        <f t="shared" si="40"/>
        <v>2.5625137802822943E-2</v>
      </c>
      <c r="G916" s="9">
        <f t="shared" si="41"/>
        <v>1.1189812609007E-2</v>
      </c>
    </row>
    <row r="917" spans="1:7" x14ac:dyDescent="0.2">
      <c r="A917" s="12">
        <v>38229</v>
      </c>
      <c r="B917" s="9">
        <v>692.08</v>
      </c>
      <c r="C917" s="9">
        <v>687.81</v>
      </c>
      <c r="D917" s="9">
        <v>689.2</v>
      </c>
      <c r="E917" s="9">
        <f t="shared" si="42"/>
        <v>-2.4925381713090215E-3</v>
      </c>
      <c r="F917" s="45">
        <f t="shared" si="40"/>
        <v>3.382150204486753E-2</v>
      </c>
      <c r="G917" s="9">
        <f t="shared" si="41"/>
        <v>1.0996651290400583E-2</v>
      </c>
    </row>
    <row r="918" spans="1:7" x14ac:dyDescent="0.2">
      <c r="A918" s="12">
        <v>38230</v>
      </c>
      <c r="B918" s="9">
        <v>690.42</v>
      </c>
      <c r="C918" s="9">
        <v>683.2</v>
      </c>
      <c r="D918" s="9">
        <v>685.03</v>
      </c>
      <c r="E918" s="9">
        <f t="shared" si="42"/>
        <v>-6.0688717301116447E-3</v>
      </c>
      <c r="F918" s="45">
        <f t="shared" si="40"/>
        <v>2.4127103863730123E-2</v>
      </c>
      <c r="G918" s="9">
        <f t="shared" si="41"/>
        <v>1.1062949201214381E-2</v>
      </c>
    </row>
    <row r="919" spans="1:7" x14ac:dyDescent="0.2">
      <c r="A919" s="12">
        <v>38231</v>
      </c>
      <c r="B919" s="9">
        <v>693.55</v>
      </c>
      <c r="C919" s="9">
        <v>686.25</v>
      </c>
      <c r="D919" s="9">
        <v>693.43</v>
      </c>
      <c r="E919" s="9">
        <f t="shared" si="42"/>
        <v>1.2187664462020147E-2</v>
      </c>
      <c r="F919" s="45">
        <f t="shared" si="40"/>
        <v>1.5023674900106686E-2</v>
      </c>
      <c r="G919" s="9">
        <f t="shared" si="41"/>
        <v>1.0596657284780622E-2</v>
      </c>
    </row>
    <row r="920" spans="1:7" x14ac:dyDescent="0.2">
      <c r="A920" s="12">
        <v>38232</v>
      </c>
      <c r="B920" s="9">
        <v>697.61</v>
      </c>
      <c r="C920" s="9">
        <v>689.67</v>
      </c>
      <c r="D920" s="9">
        <v>694.28</v>
      </c>
      <c r="E920" s="9">
        <f t="shared" si="42"/>
        <v>1.2250399669977066E-3</v>
      </c>
      <c r="F920" s="45">
        <f t="shared" si="40"/>
        <v>3.8242911700349165E-2</v>
      </c>
      <c r="G920" s="9">
        <f t="shared" si="41"/>
        <v>9.707647657771639E-3</v>
      </c>
    </row>
    <row r="921" spans="1:7" x14ac:dyDescent="0.2">
      <c r="A921" s="12">
        <v>38233</v>
      </c>
      <c r="B921" s="9">
        <v>699.97</v>
      </c>
      <c r="C921" s="9">
        <v>691.93</v>
      </c>
      <c r="D921" s="9">
        <v>696.67</v>
      </c>
      <c r="E921" s="9">
        <f t="shared" si="42"/>
        <v>3.4365036156146739E-3</v>
      </c>
      <c r="F921" s="45">
        <f t="shared" si="40"/>
        <v>4.1350241539164029E-2</v>
      </c>
      <c r="G921" s="9">
        <f t="shared" si="41"/>
        <v>9.7137857910415612E-3</v>
      </c>
    </row>
    <row r="922" spans="1:7" x14ac:dyDescent="0.2">
      <c r="A922" s="12">
        <v>38236</v>
      </c>
      <c r="B922" s="9">
        <v>699.46</v>
      </c>
      <c r="C922" s="9">
        <v>696.4</v>
      </c>
      <c r="D922" s="9">
        <v>697.36</v>
      </c>
      <c r="E922" s="9">
        <f t="shared" si="42"/>
        <v>9.8993573502514833E-4</v>
      </c>
      <c r="F922" s="45">
        <f t="shared" si="40"/>
        <v>5.2398824263365749E-2</v>
      </c>
      <c r="G922" s="9">
        <f t="shared" si="41"/>
        <v>9.4716428207250822E-3</v>
      </c>
    </row>
    <row r="923" spans="1:7" x14ac:dyDescent="0.2">
      <c r="A923" s="12">
        <v>38237</v>
      </c>
      <c r="B923" s="9">
        <v>698.73</v>
      </c>
      <c r="C923" s="9">
        <v>692.85</v>
      </c>
      <c r="D923" s="9">
        <v>695.68</v>
      </c>
      <c r="E923" s="9">
        <f t="shared" si="42"/>
        <v>-2.411992210530798E-3</v>
      </c>
      <c r="F923" s="45">
        <f t="shared" si="40"/>
        <v>3.4705851499716653E-2</v>
      </c>
      <c r="G923" s="9">
        <f t="shared" si="41"/>
        <v>9.1450555868914513E-3</v>
      </c>
    </row>
    <row r="924" spans="1:7" x14ac:dyDescent="0.2">
      <c r="A924" s="12">
        <v>38238</v>
      </c>
      <c r="B924" s="9">
        <v>698.38</v>
      </c>
      <c r="C924" s="9">
        <v>693.59</v>
      </c>
      <c r="D924" s="9">
        <v>693.66</v>
      </c>
      <c r="E924" s="9">
        <f t="shared" si="42"/>
        <v>-2.9078575775045743E-3</v>
      </c>
      <c r="F924" s="45">
        <f t="shared" si="40"/>
        <v>2.8217833967684739E-2</v>
      </c>
      <c r="G924" s="9">
        <f t="shared" si="41"/>
        <v>9.1624714927473674E-3</v>
      </c>
    </row>
    <row r="925" spans="1:7" x14ac:dyDescent="0.2">
      <c r="A925" s="12">
        <v>38239</v>
      </c>
      <c r="B925" s="9">
        <v>692.99</v>
      </c>
      <c r="C925" s="9">
        <v>684.48</v>
      </c>
      <c r="D925" s="9">
        <v>687.44</v>
      </c>
      <c r="E925" s="9">
        <f t="shared" si="42"/>
        <v>-9.0073739103175496E-3</v>
      </c>
      <c r="F925" s="45">
        <f t="shared" si="40"/>
        <v>1.0675893672737238E-2</v>
      </c>
      <c r="G925" s="9">
        <f t="shared" si="41"/>
        <v>9.2206888343126566E-3</v>
      </c>
    </row>
    <row r="926" spans="1:7" x14ac:dyDescent="0.2">
      <c r="A926" s="12">
        <v>38240</v>
      </c>
      <c r="B926" s="9">
        <v>693.01</v>
      </c>
      <c r="C926" s="9">
        <v>688.67</v>
      </c>
      <c r="D926" s="9">
        <v>691.91</v>
      </c>
      <c r="E926" s="9">
        <f t="shared" si="42"/>
        <v>6.4813363509841565E-3</v>
      </c>
      <c r="F926" s="45">
        <f t="shared" si="40"/>
        <v>1.2521887569219275E-2</v>
      </c>
      <c r="G926" s="9">
        <f t="shared" si="41"/>
        <v>9.2563228416845666E-3</v>
      </c>
    </row>
    <row r="927" spans="1:7" x14ac:dyDescent="0.2">
      <c r="A927" s="12">
        <v>38243</v>
      </c>
      <c r="B927" s="9">
        <v>702.97</v>
      </c>
      <c r="C927" s="9">
        <v>689.1</v>
      </c>
      <c r="D927" s="9">
        <v>702.62</v>
      </c>
      <c r="E927" s="9">
        <f t="shared" si="42"/>
        <v>1.5360315769467451E-2</v>
      </c>
      <c r="F927" s="45">
        <f t="shared" si="40"/>
        <v>3.4489671765348118E-2</v>
      </c>
      <c r="G927" s="9">
        <f t="shared" si="41"/>
        <v>9.5458275156376348E-3</v>
      </c>
    </row>
    <row r="928" spans="1:7" x14ac:dyDescent="0.2">
      <c r="A928" s="12">
        <v>38244</v>
      </c>
      <c r="B928" s="9">
        <v>701.97</v>
      </c>
      <c r="C928" s="9">
        <v>695.63</v>
      </c>
      <c r="D928" s="9">
        <v>699.57</v>
      </c>
      <c r="E928" s="9">
        <f t="shared" si="42"/>
        <v>-4.3503445470715451E-3</v>
      </c>
      <c r="F928" s="45">
        <f t="shared" si="40"/>
        <v>2.9564948893366593E-2</v>
      </c>
      <c r="G928" s="9">
        <f t="shared" si="41"/>
        <v>9.598262225718664E-3</v>
      </c>
    </row>
    <row r="929" spans="1:7" x14ac:dyDescent="0.2">
      <c r="A929" s="12">
        <v>38245</v>
      </c>
      <c r="B929" s="9">
        <v>705.6</v>
      </c>
      <c r="C929" s="9">
        <v>698.77</v>
      </c>
      <c r="D929" s="9">
        <v>700.91</v>
      </c>
      <c r="E929" s="9">
        <f t="shared" si="42"/>
        <v>1.9136301966768349E-3</v>
      </c>
      <c r="F929" s="45">
        <f t="shared" ref="F929:F992" si="43">LN(D929/D899)</f>
        <v>3.8808191783189484E-2</v>
      </c>
      <c r="G929" s="9">
        <f t="shared" ref="G929:G992" si="44">STDEV(E900:E929)</f>
        <v>9.4696337454944421E-3</v>
      </c>
    </row>
    <row r="930" spans="1:7" x14ac:dyDescent="0.2">
      <c r="A930" s="12">
        <v>38246</v>
      </c>
      <c r="B930" s="9">
        <v>702.87</v>
      </c>
      <c r="C930" s="9">
        <v>695.13</v>
      </c>
      <c r="D930" s="9">
        <v>700.03</v>
      </c>
      <c r="E930" s="9">
        <f t="shared" si="42"/>
        <v>-1.2562995071039634E-3</v>
      </c>
      <c r="F930" s="45">
        <f t="shared" si="43"/>
        <v>3.0443155282357193E-2</v>
      </c>
      <c r="G930" s="9">
        <f t="shared" si="44"/>
        <v>9.4155021657129096E-3</v>
      </c>
    </row>
    <row r="931" spans="1:7" x14ac:dyDescent="0.2">
      <c r="A931" s="12">
        <v>38247</v>
      </c>
      <c r="B931" s="9">
        <v>704.58</v>
      </c>
      <c r="C931" s="9">
        <v>699.09</v>
      </c>
      <c r="D931" s="9">
        <v>701.86</v>
      </c>
      <c r="E931" s="9">
        <f t="shared" si="42"/>
        <v>2.6107626696137165E-3</v>
      </c>
      <c r="F931" s="45">
        <f t="shared" si="43"/>
        <v>5.6732744997172617E-2</v>
      </c>
      <c r="G931" s="9">
        <f t="shared" si="44"/>
        <v>8.1803676386035303E-3</v>
      </c>
    </row>
    <row r="932" spans="1:7" x14ac:dyDescent="0.2">
      <c r="A932" s="12">
        <v>38250</v>
      </c>
      <c r="B932" s="9">
        <v>701.72</v>
      </c>
      <c r="C932" s="9">
        <v>696.82</v>
      </c>
      <c r="D932" s="9">
        <v>700.17</v>
      </c>
      <c r="E932" s="9">
        <f t="shared" si="42"/>
        <v>-2.410791236294868E-3</v>
      </c>
      <c r="F932" s="45">
        <f t="shared" si="43"/>
        <v>6.3776139901479317E-2</v>
      </c>
      <c r="G932" s="9">
        <f t="shared" si="44"/>
        <v>7.9411005266472566E-3</v>
      </c>
    </row>
    <row r="933" spans="1:7" x14ac:dyDescent="0.2">
      <c r="A933" s="12">
        <v>38251</v>
      </c>
      <c r="B933" s="9">
        <v>703.2</v>
      </c>
      <c r="C933" s="9">
        <v>698.2</v>
      </c>
      <c r="D933" s="9">
        <v>700.98</v>
      </c>
      <c r="E933" s="9">
        <f t="shared" si="42"/>
        <v>1.1561932558725107E-3</v>
      </c>
      <c r="F933" s="45">
        <f t="shared" si="43"/>
        <v>5.3188679070878091E-2</v>
      </c>
      <c r="G933" s="9">
        <f t="shared" si="44"/>
        <v>7.7314255778555439E-3</v>
      </c>
    </row>
    <row r="934" spans="1:7" x14ac:dyDescent="0.2">
      <c r="A934" s="12">
        <v>38252</v>
      </c>
      <c r="B934" s="9">
        <v>707.25</v>
      </c>
      <c r="C934" s="9">
        <v>699.28</v>
      </c>
      <c r="D934" s="9">
        <v>702.1</v>
      </c>
      <c r="E934" s="9">
        <f t="shared" si="42"/>
        <v>1.5964880660911478E-3</v>
      </c>
      <c r="F934" s="45">
        <f t="shared" si="43"/>
        <v>7.1932259592576139E-2</v>
      </c>
      <c r="G934" s="9">
        <f t="shared" si="44"/>
        <v>6.8577303071840744E-3</v>
      </c>
    </row>
    <row r="935" spans="1:7" x14ac:dyDescent="0.2">
      <c r="A935" s="12">
        <v>38253</v>
      </c>
      <c r="B935" s="9">
        <v>701.47</v>
      </c>
      <c r="C935" s="9">
        <v>693.19</v>
      </c>
      <c r="D935" s="9">
        <v>698.91</v>
      </c>
      <c r="E935" s="9">
        <f t="shared" si="42"/>
        <v>-4.5538654438833561E-3</v>
      </c>
      <c r="F935" s="45">
        <f t="shared" si="43"/>
        <v>7.1473272078381417E-2</v>
      </c>
      <c r="G935" s="9">
        <f t="shared" si="44"/>
        <v>6.8732093447051307E-3</v>
      </c>
    </row>
    <row r="936" spans="1:7" x14ac:dyDescent="0.2">
      <c r="A936" s="12">
        <v>38254</v>
      </c>
      <c r="B936" s="9">
        <v>700.31</v>
      </c>
      <c r="C936" s="9">
        <v>694.83</v>
      </c>
      <c r="D936" s="9">
        <v>697.69</v>
      </c>
      <c r="E936" s="9">
        <f t="shared" si="42"/>
        <v>-1.7471005446415343E-3</v>
      </c>
      <c r="F936" s="45">
        <f t="shared" si="43"/>
        <v>7.1787615581758057E-2</v>
      </c>
      <c r="G936" s="9">
        <f t="shared" si="44"/>
        <v>6.8664373602058647E-3</v>
      </c>
    </row>
    <row r="937" spans="1:7" x14ac:dyDescent="0.2">
      <c r="A937" s="12">
        <v>38257</v>
      </c>
      <c r="B937" s="9">
        <v>696.2</v>
      </c>
      <c r="C937" s="9">
        <v>690.58</v>
      </c>
      <c r="D937" s="9">
        <v>693.55</v>
      </c>
      <c r="E937" s="9">
        <f t="shared" si="42"/>
        <v>-5.9515428253791589E-3</v>
      </c>
      <c r="F937" s="45">
        <f t="shared" si="43"/>
        <v>5.5632058925075695E-2</v>
      </c>
      <c r="G937" s="9">
        <f t="shared" si="44"/>
        <v>6.8662285019345281E-3</v>
      </c>
    </row>
    <row r="938" spans="1:7" x14ac:dyDescent="0.2">
      <c r="A938" s="12">
        <v>38258</v>
      </c>
      <c r="B938" s="9">
        <v>696.44</v>
      </c>
      <c r="C938" s="9">
        <v>689.76</v>
      </c>
      <c r="D938" s="9">
        <v>694.51</v>
      </c>
      <c r="E938" s="9">
        <f t="shared" si="42"/>
        <v>1.3832257295291574E-3</v>
      </c>
      <c r="F938" s="45">
        <f t="shared" si="43"/>
        <v>5.3044640864840599E-2</v>
      </c>
      <c r="G938" s="9">
        <f t="shared" si="44"/>
        <v>6.854970739195684E-3</v>
      </c>
    </row>
    <row r="939" spans="1:7" x14ac:dyDescent="0.2">
      <c r="A939" s="12">
        <v>38259</v>
      </c>
      <c r="B939" s="9">
        <v>710.01</v>
      </c>
      <c r="C939" s="9">
        <v>696.22</v>
      </c>
      <c r="D939" s="9">
        <v>709.94</v>
      </c>
      <c r="E939" s="9">
        <f t="shared" si="42"/>
        <v>2.1973898483358213E-2</v>
      </c>
      <c r="F939" s="45">
        <f t="shared" si="43"/>
        <v>6.4777067396484492E-2</v>
      </c>
      <c r="G939" s="9">
        <f t="shared" si="44"/>
        <v>7.6442783204484482E-3</v>
      </c>
    </row>
    <row r="940" spans="1:7" x14ac:dyDescent="0.2">
      <c r="A940" s="12">
        <v>38260</v>
      </c>
      <c r="B940" s="9">
        <v>715.1</v>
      </c>
      <c r="C940" s="9">
        <v>704.96</v>
      </c>
      <c r="D940" s="9">
        <v>705.76</v>
      </c>
      <c r="E940" s="9">
        <f t="shared" si="42"/>
        <v>-5.9052230655567799E-3</v>
      </c>
      <c r="F940" s="45">
        <f t="shared" si="43"/>
        <v>5.7145078284022481E-2</v>
      </c>
      <c r="G940" s="9">
        <f t="shared" si="44"/>
        <v>7.7848695607536066E-3</v>
      </c>
    </row>
    <row r="941" spans="1:7" x14ac:dyDescent="0.2">
      <c r="A941" s="12">
        <v>38261</v>
      </c>
      <c r="B941" s="9">
        <v>717.82</v>
      </c>
      <c r="C941" s="9">
        <v>706.24</v>
      </c>
      <c r="D941" s="9">
        <v>717.1</v>
      </c>
      <c r="E941" s="9">
        <f t="shared" si="42"/>
        <v>1.5940064531899667E-2</v>
      </c>
      <c r="F941" s="45">
        <f t="shared" si="43"/>
        <v>7.6150325370251293E-2</v>
      </c>
      <c r="G941" s="9">
        <f t="shared" si="44"/>
        <v>8.1320316106604697E-3</v>
      </c>
    </row>
    <row r="942" spans="1:7" x14ac:dyDescent="0.2">
      <c r="A942" s="12">
        <v>38264</v>
      </c>
      <c r="B942" s="9">
        <v>727.64</v>
      </c>
      <c r="C942" s="9">
        <v>718.91</v>
      </c>
      <c r="D942" s="9">
        <v>726.79</v>
      </c>
      <c r="E942" s="9">
        <f t="shared" si="42"/>
        <v>1.3422276595518628E-2</v>
      </c>
      <c r="F942" s="45">
        <f t="shared" si="43"/>
        <v>6.7677773851051393E-2</v>
      </c>
      <c r="G942" s="9">
        <f t="shared" si="44"/>
        <v>7.5638931673654725E-3</v>
      </c>
    </row>
    <row r="943" spans="1:7" x14ac:dyDescent="0.2">
      <c r="A943" s="12">
        <v>38265</v>
      </c>
      <c r="B943" s="9">
        <v>730.19</v>
      </c>
      <c r="C943" s="9">
        <v>721.64</v>
      </c>
      <c r="D943" s="9">
        <v>726.7</v>
      </c>
      <c r="E943" s="9">
        <f t="shared" si="42"/>
        <v>-1.2383986145755659E-4</v>
      </c>
      <c r="F943" s="45">
        <f t="shared" si="43"/>
        <v>7.1049280777706295E-2</v>
      </c>
      <c r="G943" s="9">
        <f t="shared" si="44"/>
        <v>7.500273930310504E-3</v>
      </c>
    </row>
    <row r="944" spans="1:7" x14ac:dyDescent="0.2">
      <c r="A944" s="12">
        <v>38266</v>
      </c>
      <c r="B944" s="9">
        <v>726.96</v>
      </c>
      <c r="C944" s="9">
        <v>719.85</v>
      </c>
      <c r="D944" s="9">
        <v>723.1</v>
      </c>
      <c r="E944" s="9">
        <f t="shared" si="42"/>
        <v>-4.9662124416841105E-3</v>
      </c>
      <c r="F944" s="45">
        <f t="shared" si="43"/>
        <v>5.6672064548621913E-2</v>
      </c>
      <c r="G944" s="9">
        <f t="shared" si="44"/>
        <v>7.4940773907505066E-3</v>
      </c>
    </row>
    <row r="945" spans="1:7" x14ac:dyDescent="0.2">
      <c r="A945" s="12">
        <v>38267</v>
      </c>
      <c r="B945" s="9">
        <v>729.25</v>
      </c>
      <c r="C945" s="9">
        <v>723.27</v>
      </c>
      <c r="D945" s="9">
        <v>723.5</v>
      </c>
      <c r="E945" s="9">
        <f t="shared" si="42"/>
        <v>5.5302089063240321E-4</v>
      </c>
      <c r="F945" s="45">
        <f t="shared" si="43"/>
        <v>4.8830247902974501E-2</v>
      </c>
      <c r="G945" s="9">
        <f t="shared" si="44"/>
        <v>7.395443323839861E-3</v>
      </c>
    </row>
    <row r="946" spans="1:7" x14ac:dyDescent="0.2">
      <c r="A946" s="12">
        <v>38268</v>
      </c>
      <c r="B946" s="9">
        <v>726.37</v>
      </c>
      <c r="C946" s="9">
        <v>718.52</v>
      </c>
      <c r="D946" s="9">
        <v>721.73</v>
      </c>
      <c r="E946" s="9">
        <f t="shared" si="42"/>
        <v>-2.4494383384828498E-3</v>
      </c>
      <c r="F946" s="45">
        <f t="shared" si="43"/>
        <v>4.3627064907972121E-2</v>
      </c>
      <c r="G946" s="9">
        <f t="shared" si="44"/>
        <v>7.4290605040087743E-3</v>
      </c>
    </row>
    <row r="947" spans="1:7" x14ac:dyDescent="0.2">
      <c r="A947" s="12">
        <v>38271</v>
      </c>
      <c r="B947" s="9">
        <v>723.11</v>
      </c>
      <c r="C947" s="9">
        <v>717.11</v>
      </c>
      <c r="D947" s="9">
        <v>722.96</v>
      </c>
      <c r="E947" s="9">
        <f t="shared" si="42"/>
        <v>1.7027878606446544E-3</v>
      </c>
      <c r="F947" s="45">
        <f t="shared" si="43"/>
        <v>4.7822390939925852E-2</v>
      </c>
      <c r="G947" s="9">
        <f t="shared" si="44"/>
        <v>7.3915966337048441E-3</v>
      </c>
    </row>
    <row r="948" spans="1:7" x14ac:dyDescent="0.2">
      <c r="A948" s="12">
        <v>38272</v>
      </c>
      <c r="B948" s="9">
        <v>723.32</v>
      </c>
      <c r="C948" s="9">
        <v>712.7</v>
      </c>
      <c r="D948" s="9">
        <v>716.44</v>
      </c>
      <c r="E948" s="9">
        <f t="shared" si="42"/>
        <v>-9.059392236642488E-3</v>
      </c>
      <c r="F948" s="45">
        <f t="shared" si="43"/>
        <v>4.4831870433394809E-2</v>
      </c>
      <c r="G948" s="9">
        <f t="shared" si="44"/>
        <v>7.5175951208789867E-3</v>
      </c>
    </row>
    <row r="949" spans="1:7" x14ac:dyDescent="0.2">
      <c r="A949" s="12">
        <v>38273</v>
      </c>
      <c r="B949" s="9">
        <v>724.93</v>
      </c>
      <c r="C949" s="9">
        <v>717.53</v>
      </c>
      <c r="D949" s="9">
        <v>724.19</v>
      </c>
      <c r="E949" s="9">
        <f t="shared" si="42"/>
        <v>1.0759285538909454E-2</v>
      </c>
      <c r="F949" s="45">
        <f t="shared" si="43"/>
        <v>4.3403491510284199E-2</v>
      </c>
      <c r="G949" s="9">
        <f t="shared" si="44"/>
        <v>7.4517691341247907E-3</v>
      </c>
    </row>
    <row r="950" spans="1:7" x14ac:dyDescent="0.2">
      <c r="A950" s="12">
        <v>38274</v>
      </c>
      <c r="B950" s="9">
        <v>724.76</v>
      </c>
      <c r="C950" s="9">
        <v>716.44</v>
      </c>
      <c r="D950" s="9">
        <v>717.78</v>
      </c>
      <c r="E950" s="9">
        <f t="shared" si="42"/>
        <v>-8.8906734850995577E-3</v>
      </c>
      <c r="F950" s="45">
        <f t="shared" si="43"/>
        <v>3.3287778058187015E-2</v>
      </c>
      <c r="G950" s="9">
        <f t="shared" si="44"/>
        <v>7.687293477557559E-3</v>
      </c>
    </row>
    <row r="951" spans="1:7" x14ac:dyDescent="0.2">
      <c r="A951" s="12">
        <v>38275</v>
      </c>
      <c r="B951" s="9">
        <v>716.39</v>
      </c>
      <c r="C951" s="9">
        <v>710.08</v>
      </c>
      <c r="D951" s="9">
        <v>713.8</v>
      </c>
      <c r="E951" s="9">
        <f t="shared" si="42"/>
        <v>-5.5603043548078336E-3</v>
      </c>
      <c r="F951" s="45">
        <f t="shared" si="43"/>
        <v>2.4290970087764357E-2</v>
      </c>
      <c r="G951" s="9">
        <f t="shared" si="44"/>
        <v>7.7684482867182323E-3</v>
      </c>
    </row>
    <row r="952" spans="1:7" x14ac:dyDescent="0.2">
      <c r="A952" s="12">
        <v>38278</v>
      </c>
      <c r="B952" s="9">
        <v>715.87</v>
      </c>
      <c r="C952" s="9">
        <v>711.86</v>
      </c>
      <c r="D952" s="9">
        <v>713.09</v>
      </c>
      <c r="E952" s="9">
        <f t="shared" si="42"/>
        <v>-9.9517139877154073E-4</v>
      </c>
      <c r="F952" s="45">
        <f t="shared" si="43"/>
        <v>2.230586295396772E-2</v>
      </c>
      <c r="G952" s="9">
        <f t="shared" si="44"/>
        <v>7.775311484159296E-3</v>
      </c>
    </row>
    <row r="953" spans="1:7" x14ac:dyDescent="0.2">
      <c r="A953" s="12">
        <v>38279</v>
      </c>
      <c r="B953" s="9">
        <v>726.51</v>
      </c>
      <c r="C953" s="9">
        <v>716.52</v>
      </c>
      <c r="D953" s="9">
        <v>723.85</v>
      </c>
      <c r="E953" s="9">
        <f t="shared" si="42"/>
        <v>1.4976548942764357E-2</v>
      </c>
      <c r="F953" s="45">
        <f t="shared" si="43"/>
        <v>3.9694404107262687E-2</v>
      </c>
      <c r="G953" s="9">
        <f t="shared" si="44"/>
        <v>8.1700703374122767E-3</v>
      </c>
    </row>
    <row r="954" spans="1:7" x14ac:dyDescent="0.2">
      <c r="A954" s="12">
        <v>38280</v>
      </c>
      <c r="B954" s="9">
        <v>721.21</v>
      </c>
      <c r="C954" s="9">
        <v>709.88</v>
      </c>
      <c r="D954" s="9">
        <v>713.77</v>
      </c>
      <c r="E954" s="9">
        <f t="shared" si="42"/>
        <v>-1.4023407006652168E-2</v>
      </c>
      <c r="F954" s="45">
        <f t="shared" si="43"/>
        <v>2.8578854678115089E-2</v>
      </c>
      <c r="G954" s="9">
        <f t="shared" si="44"/>
        <v>8.6088331368588435E-3</v>
      </c>
    </row>
    <row r="955" spans="1:7" x14ac:dyDescent="0.2">
      <c r="A955" s="12">
        <v>38281</v>
      </c>
      <c r="B955" s="9">
        <v>716.7</v>
      </c>
      <c r="C955" s="9">
        <v>707.35</v>
      </c>
      <c r="D955" s="9">
        <v>710.9</v>
      </c>
      <c r="E955" s="9">
        <f t="shared" si="42"/>
        <v>-4.0290086579630024E-3</v>
      </c>
      <c r="F955" s="45">
        <f t="shared" si="43"/>
        <v>3.3557219930469777E-2</v>
      </c>
      <c r="G955" s="9">
        <f t="shared" si="44"/>
        <v>8.4568624549658557E-3</v>
      </c>
    </row>
    <row r="956" spans="1:7" x14ac:dyDescent="0.2">
      <c r="A956" s="12">
        <v>38282</v>
      </c>
      <c r="B956" s="9">
        <v>707.05</v>
      </c>
      <c r="C956" s="9">
        <v>699.8</v>
      </c>
      <c r="D956" s="9">
        <v>702.79</v>
      </c>
      <c r="E956" s="9">
        <f t="shared" si="42"/>
        <v>-1.147364552281494E-2</v>
      </c>
      <c r="F956" s="45">
        <f t="shared" si="43"/>
        <v>1.5602238056670515E-2</v>
      </c>
      <c r="G956" s="9">
        <f t="shared" si="44"/>
        <v>8.6962058343251544E-3</v>
      </c>
    </row>
    <row r="957" spans="1:7" x14ac:dyDescent="0.2">
      <c r="A957" s="12">
        <v>38285</v>
      </c>
      <c r="B957" s="9">
        <v>699.12</v>
      </c>
      <c r="C957" s="9">
        <v>685</v>
      </c>
      <c r="D957" s="9">
        <v>686.33</v>
      </c>
      <c r="E957" s="9">
        <f t="shared" si="42"/>
        <v>-2.3699565791302855E-2</v>
      </c>
      <c r="F957" s="45">
        <f t="shared" si="43"/>
        <v>-2.3457643504099641E-2</v>
      </c>
      <c r="G957" s="9">
        <f t="shared" si="44"/>
        <v>9.3007198326434792E-3</v>
      </c>
    </row>
    <row r="958" spans="1:7" x14ac:dyDescent="0.2">
      <c r="A958" s="12">
        <v>38286</v>
      </c>
      <c r="B958" s="9">
        <v>691.73</v>
      </c>
      <c r="C958" s="9">
        <v>685.71</v>
      </c>
      <c r="D958" s="9">
        <v>690.12</v>
      </c>
      <c r="E958" s="9">
        <f t="shared" si="42"/>
        <v>5.5069338923435778E-3</v>
      </c>
      <c r="F958" s="45">
        <f t="shared" si="43"/>
        <v>-1.360036506468466E-2</v>
      </c>
      <c r="G958" s="9">
        <f t="shared" si="44"/>
        <v>9.3443242708160026E-3</v>
      </c>
    </row>
    <row r="959" spans="1:7" x14ac:dyDescent="0.2">
      <c r="A959" s="12">
        <v>38287</v>
      </c>
      <c r="B959" s="9">
        <v>702.49</v>
      </c>
      <c r="C959" s="9">
        <v>693.22</v>
      </c>
      <c r="D959" s="9">
        <v>701.36</v>
      </c>
      <c r="E959" s="9">
        <f t="shared" si="42"/>
        <v>1.6155811766667035E-2</v>
      </c>
      <c r="F959" s="45">
        <f t="shared" si="43"/>
        <v>6.4181650530541244E-4</v>
      </c>
      <c r="G959" s="9">
        <f t="shared" si="44"/>
        <v>9.81848308559128E-3</v>
      </c>
    </row>
    <row r="960" spans="1:7" x14ac:dyDescent="0.2">
      <c r="A960" s="12">
        <v>38288</v>
      </c>
      <c r="B960" s="9">
        <v>708.06</v>
      </c>
      <c r="C960" s="9">
        <v>702.44</v>
      </c>
      <c r="D960" s="9">
        <v>705.07</v>
      </c>
      <c r="E960" s="9">
        <f t="shared" ref="E960:E1023" si="45">LN(D960/D959)</f>
        <v>5.2757813830771327E-3</v>
      </c>
      <c r="F960" s="45">
        <f t="shared" si="43"/>
        <v>7.1738973954867452E-3</v>
      </c>
      <c r="G960" s="9">
        <f t="shared" si="44"/>
        <v>9.8615056400892971E-3</v>
      </c>
    </row>
    <row r="961" spans="1:7" x14ac:dyDescent="0.2">
      <c r="A961" s="12">
        <v>38289</v>
      </c>
      <c r="B961" s="9">
        <v>708.55</v>
      </c>
      <c r="C961" s="9">
        <v>701.79</v>
      </c>
      <c r="D961" s="9">
        <v>702.55</v>
      </c>
      <c r="E961" s="9">
        <f t="shared" si="45"/>
        <v>-3.5805156110581167E-3</v>
      </c>
      <c r="F961" s="45">
        <f t="shared" si="43"/>
        <v>9.8261911481468825E-4</v>
      </c>
      <c r="G961" s="9">
        <f t="shared" si="44"/>
        <v>9.8749366306194273E-3</v>
      </c>
    </row>
    <row r="962" spans="1:7" x14ac:dyDescent="0.2">
      <c r="A962" s="12">
        <v>38292</v>
      </c>
      <c r="B962" s="9">
        <v>711.52</v>
      </c>
      <c r="C962" s="9">
        <v>700.61</v>
      </c>
      <c r="D962" s="9">
        <v>711.49</v>
      </c>
      <c r="E962" s="9">
        <f t="shared" si="45"/>
        <v>1.2644789565014348E-2</v>
      </c>
      <c r="F962" s="45">
        <f t="shared" si="43"/>
        <v>1.6038199916124006E-2</v>
      </c>
      <c r="G962" s="9">
        <f t="shared" si="44"/>
        <v>1.0125852327153149E-2</v>
      </c>
    </row>
    <row r="963" spans="1:7" x14ac:dyDescent="0.2">
      <c r="A963" s="12">
        <v>38293</v>
      </c>
      <c r="B963" s="9">
        <v>723.83</v>
      </c>
      <c r="C963" s="9">
        <v>711.7</v>
      </c>
      <c r="D963" s="9">
        <v>723.72</v>
      </c>
      <c r="E963" s="9">
        <f t="shared" si="45"/>
        <v>1.7043214633532269E-2</v>
      </c>
      <c r="F963" s="45">
        <f t="shared" si="43"/>
        <v>3.1925221293783772E-2</v>
      </c>
      <c r="G963" s="9">
        <f t="shared" si="44"/>
        <v>1.0565376429995364E-2</v>
      </c>
    </row>
    <row r="964" spans="1:7" x14ac:dyDescent="0.2">
      <c r="A964" s="12">
        <v>38294</v>
      </c>
      <c r="B964" s="9">
        <v>729.46</v>
      </c>
      <c r="C964" s="9">
        <v>722.19</v>
      </c>
      <c r="D964" s="9">
        <v>726.49</v>
      </c>
      <c r="E964" s="9">
        <f t="shared" si="45"/>
        <v>3.8201410397945127E-3</v>
      </c>
      <c r="F964" s="45">
        <f t="shared" si="43"/>
        <v>3.4148874267487063E-2</v>
      </c>
      <c r="G964" s="9">
        <f t="shared" si="44"/>
        <v>1.0577033299104031E-2</v>
      </c>
    </row>
    <row r="965" spans="1:7" x14ac:dyDescent="0.2">
      <c r="A965" s="12">
        <v>38295</v>
      </c>
      <c r="B965" s="9">
        <v>725.71</v>
      </c>
      <c r="C965" s="9">
        <v>718.75</v>
      </c>
      <c r="D965" s="9">
        <v>722.28</v>
      </c>
      <c r="E965" s="9">
        <f t="shared" si="45"/>
        <v>-5.8118429430106221E-3</v>
      </c>
      <c r="F965" s="45">
        <f t="shared" si="43"/>
        <v>3.2890896768360017E-2</v>
      </c>
      <c r="G965" s="9">
        <f t="shared" si="44"/>
        <v>1.0602840132844687E-2</v>
      </c>
    </row>
    <row r="966" spans="1:7" x14ac:dyDescent="0.2">
      <c r="A966" s="12">
        <v>38296</v>
      </c>
      <c r="B966" s="9">
        <v>728.47</v>
      </c>
      <c r="C966" s="9">
        <v>724.14</v>
      </c>
      <c r="D966" s="9">
        <v>726.54</v>
      </c>
      <c r="E966" s="9">
        <f t="shared" si="45"/>
        <v>5.8806646466502488E-3</v>
      </c>
      <c r="F966" s="45">
        <f t="shared" si="43"/>
        <v>4.0518661959651529E-2</v>
      </c>
      <c r="G966" s="9">
        <f t="shared" si="44"/>
        <v>1.0623739153983668E-2</v>
      </c>
    </row>
    <row r="967" spans="1:7" x14ac:dyDescent="0.2">
      <c r="A967" s="12">
        <v>38299</v>
      </c>
      <c r="B967" s="9">
        <v>730.48</v>
      </c>
      <c r="C967" s="9">
        <v>722.55</v>
      </c>
      <c r="D967" s="9">
        <v>728.4</v>
      </c>
      <c r="E967" s="9">
        <f t="shared" si="45"/>
        <v>2.5568078591230556E-3</v>
      </c>
      <c r="F967" s="45">
        <f t="shared" si="43"/>
        <v>4.9027012644153802E-2</v>
      </c>
      <c r="G967" s="9">
        <f t="shared" si="44"/>
        <v>1.0535279612855672E-2</v>
      </c>
    </row>
    <row r="968" spans="1:7" x14ac:dyDescent="0.2">
      <c r="A968" s="12">
        <v>38300</v>
      </c>
      <c r="B968" s="9">
        <v>732.79</v>
      </c>
      <c r="C968" s="9">
        <v>727.38</v>
      </c>
      <c r="D968" s="9">
        <v>727.83</v>
      </c>
      <c r="E968" s="9">
        <f t="shared" si="45"/>
        <v>-7.8284340950258904E-4</v>
      </c>
      <c r="F968" s="45">
        <f t="shared" si="43"/>
        <v>4.6860943505121933E-2</v>
      </c>
      <c r="G968" s="9">
        <f t="shared" si="44"/>
        <v>1.054447762136434E-2</v>
      </c>
    </row>
    <row r="969" spans="1:7" x14ac:dyDescent="0.2">
      <c r="A969" s="12">
        <v>38301</v>
      </c>
      <c r="B969" s="9">
        <v>735.7</v>
      </c>
      <c r="C969" s="9">
        <v>729.02</v>
      </c>
      <c r="D969" s="9">
        <v>730.27</v>
      </c>
      <c r="E969" s="9">
        <f t="shared" si="45"/>
        <v>3.3468243297215968E-3</v>
      </c>
      <c r="F969" s="45">
        <f t="shared" si="43"/>
        <v>2.8233869351485495E-2</v>
      </c>
      <c r="G969" s="9">
        <f t="shared" si="44"/>
        <v>9.8249678675869194E-3</v>
      </c>
    </row>
    <row r="970" spans="1:7" x14ac:dyDescent="0.2">
      <c r="A970" s="12">
        <v>38302</v>
      </c>
      <c r="B970" s="9">
        <v>737.8</v>
      </c>
      <c r="C970" s="9">
        <v>729.18</v>
      </c>
      <c r="D970" s="9">
        <v>735.98</v>
      </c>
      <c r="E970" s="9">
        <f t="shared" si="45"/>
        <v>7.7886156729434055E-3</v>
      </c>
      <c r="F970" s="45">
        <f t="shared" si="43"/>
        <v>4.1927708089985839E-2</v>
      </c>
      <c r="G970" s="9">
        <f t="shared" si="44"/>
        <v>9.8140199587714635E-3</v>
      </c>
    </row>
    <row r="971" spans="1:7" x14ac:dyDescent="0.2">
      <c r="A971" s="12">
        <v>38303</v>
      </c>
      <c r="B971" s="9">
        <v>743.42</v>
      </c>
      <c r="C971" s="9">
        <v>738.54</v>
      </c>
      <c r="D971" s="9">
        <v>742.41</v>
      </c>
      <c r="E971" s="9">
        <f t="shared" si="45"/>
        <v>8.6987067622444417E-3</v>
      </c>
      <c r="F971" s="45">
        <f t="shared" si="43"/>
        <v>3.4686350320330524E-2</v>
      </c>
      <c r="G971" s="9">
        <f t="shared" si="44"/>
        <v>9.5289205532770559E-3</v>
      </c>
    </row>
    <row r="972" spans="1:7" x14ac:dyDescent="0.2">
      <c r="A972" s="12">
        <v>38306</v>
      </c>
      <c r="B972" s="9">
        <v>748.97</v>
      </c>
      <c r="C972" s="9">
        <v>740.19</v>
      </c>
      <c r="D972" s="9">
        <v>742.64</v>
      </c>
      <c r="E972" s="9">
        <f t="shared" si="45"/>
        <v>3.0975388281739396E-4</v>
      </c>
      <c r="F972" s="45">
        <f t="shared" si="43"/>
        <v>2.1573827607629374E-2</v>
      </c>
      <c r="G972" s="9">
        <f t="shared" si="44"/>
        <v>9.2433356189413826E-3</v>
      </c>
    </row>
    <row r="973" spans="1:7" x14ac:dyDescent="0.2">
      <c r="A973" s="12">
        <v>38307</v>
      </c>
      <c r="B973" s="9">
        <v>743.38</v>
      </c>
      <c r="C973" s="9">
        <v>737.02</v>
      </c>
      <c r="D973" s="9">
        <v>739.63</v>
      </c>
      <c r="E973" s="9">
        <f t="shared" si="45"/>
        <v>-4.0613439351440137E-3</v>
      </c>
      <c r="F973" s="45">
        <f t="shared" si="43"/>
        <v>1.7636323533942896E-2</v>
      </c>
      <c r="G973" s="9">
        <f t="shared" si="44"/>
        <v>9.2835855578305322E-3</v>
      </c>
    </row>
    <row r="974" spans="1:7" x14ac:dyDescent="0.2">
      <c r="A974" s="12">
        <v>38308</v>
      </c>
      <c r="B974" s="9">
        <v>748.99</v>
      </c>
      <c r="C974" s="9">
        <v>740.11</v>
      </c>
      <c r="D974" s="9">
        <v>748.98</v>
      </c>
      <c r="E974" s="9">
        <f t="shared" si="45"/>
        <v>1.2562219734481548E-2</v>
      </c>
      <c r="F974" s="45">
        <f t="shared" si="43"/>
        <v>3.5164755710108513E-2</v>
      </c>
      <c r="G974" s="9">
        <f t="shared" si="44"/>
        <v>9.4716624381157386E-3</v>
      </c>
    </row>
    <row r="975" spans="1:7" x14ac:dyDescent="0.2">
      <c r="A975" s="12">
        <v>38309</v>
      </c>
      <c r="B975" s="9">
        <v>751.22</v>
      </c>
      <c r="C975" s="9">
        <v>745.71</v>
      </c>
      <c r="D975" s="9">
        <v>748.44</v>
      </c>
      <c r="E975" s="9">
        <f t="shared" si="45"/>
        <v>-7.2124056498299209E-4</v>
      </c>
      <c r="F975" s="45">
        <f t="shared" si="43"/>
        <v>3.3890494254493149E-2</v>
      </c>
      <c r="G975" s="9">
        <f t="shared" si="44"/>
        <v>9.4773901450170544E-3</v>
      </c>
    </row>
    <row r="976" spans="1:7" x14ac:dyDescent="0.2">
      <c r="A976" s="12">
        <v>38310</v>
      </c>
      <c r="B976" s="9">
        <v>748.47</v>
      </c>
      <c r="C976" s="9">
        <v>739.29</v>
      </c>
      <c r="D976" s="9">
        <v>740.17</v>
      </c>
      <c r="E976" s="9">
        <f t="shared" si="45"/>
        <v>-1.1111150781920197E-2</v>
      </c>
      <c r="F976" s="45">
        <f t="shared" si="43"/>
        <v>2.5228781811055749E-2</v>
      </c>
      <c r="G976" s="9">
        <f t="shared" si="44"/>
        <v>9.7190425549467819E-3</v>
      </c>
    </row>
    <row r="977" spans="1:7" x14ac:dyDescent="0.2">
      <c r="A977" s="12">
        <v>38313</v>
      </c>
      <c r="B977" s="9">
        <v>737.98</v>
      </c>
      <c r="C977" s="9">
        <v>731.23</v>
      </c>
      <c r="D977" s="9">
        <v>735.01</v>
      </c>
      <c r="E977" s="9">
        <f t="shared" si="45"/>
        <v>-6.9957849816511064E-3</v>
      </c>
      <c r="F977" s="45">
        <f t="shared" si="43"/>
        <v>1.6530208968760014E-2</v>
      </c>
      <c r="G977" s="9">
        <f t="shared" si="44"/>
        <v>9.8216571028674569E-3</v>
      </c>
    </row>
    <row r="978" spans="1:7" x14ac:dyDescent="0.2">
      <c r="A978" s="12">
        <v>38314</v>
      </c>
      <c r="B978" s="9">
        <v>741.88</v>
      </c>
      <c r="C978" s="9">
        <v>736.58</v>
      </c>
      <c r="D978" s="9">
        <v>737.83</v>
      </c>
      <c r="E978" s="9">
        <f t="shared" si="45"/>
        <v>3.8293411993223104E-3</v>
      </c>
      <c r="F978" s="45">
        <f t="shared" si="43"/>
        <v>2.9418942404724792E-2</v>
      </c>
      <c r="G978" s="9">
        <f t="shared" si="44"/>
        <v>9.667460328120386E-3</v>
      </c>
    </row>
    <row r="979" spans="1:7" x14ac:dyDescent="0.2">
      <c r="A979" s="12">
        <v>38315</v>
      </c>
      <c r="B979" s="9">
        <v>742.25</v>
      </c>
      <c r="C979" s="9">
        <v>737.34</v>
      </c>
      <c r="D979" s="9">
        <v>738.17</v>
      </c>
      <c r="E979" s="9">
        <f t="shared" si="45"/>
        <v>4.6070461519457815E-4</v>
      </c>
      <c r="F979" s="45">
        <f t="shared" si="43"/>
        <v>1.9120361481009904E-2</v>
      </c>
      <c r="G979" s="9">
        <f t="shared" si="44"/>
        <v>9.4894619866398647E-3</v>
      </c>
    </row>
    <row r="980" spans="1:7" x14ac:dyDescent="0.2">
      <c r="A980" s="12">
        <v>38316</v>
      </c>
      <c r="B980" s="9">
        <v>743.86</v>
      </c>
      <c r="C980" s="9">
        <v>738.31</v>
      </c>
      <c r="D980" s="9">
        <v>743.56</v>
      </c>
      <c r="E980" s="9">
        <f t="shared" si="45"/>
        <v>7.2753116619661152E-3</v>
      </c>
      <c r="F980" s="45">
        <f t="shared" si="43"/>
        <v>3.52863466280754E-2</v>
      </c>
      <c r="G980" s="9">
        <f t="shared" si="44"/>
        <v>9.3882078002770226E-3</v>
      </c>
    </row>
    <row r="981" spans="1:7" x14ac:dyDescent="0.2">
      <c r="A981" s="12">
        <v>38317</v>
      </c>
      <c r="B981" s="9">
        <v>744.48</v>
      </c>
      <c r="C981" s="9">
        <v>739.8</v>
      </c>
      <c r="D981" s="9">
        <v>743.52</v>
      </c>
      <c r="E981" s="9">
        <f t="shared" si="45"/>
        <v>-5.3796702275032606E-5</v>
      </c>
      <c r="F981" s="45">
        <f t="shared" si="43"/>
        <v>4.0792854280608352E-2</v>
      </c>
      <c r="G981" s="9">
        <f t="shared" si="44"/>
        <v>9.3054238506515372E-3</v>
      </c>
    </row>
    <row r="982" spans="1:7" x14ac:dyDescent="0.2">
      <c r="A982" s="12">
        <v>38320</v>
      </c>
      <c r="B982" s="9">
        <v>753.58</v>
      </c>
      <c r="C982" s="9">
        <v>744.26</v>
      </c>
      <c r="D982" s="9">
        <v>745.81</v>
      </c>
      <c r="E982" s="9">
        <f t="shared" si="45"/>
        <v>3.0752107386482867E-3</v>
      </c>
      <c r="F982" s="45">
        <f t="shared" si="43"/>
        <v>4.4863236418027995E-2</v>
      </c>
      <c r="G982" s="9">
        <f t="shared" si="44"/>
        <v>9.2995759372309587E-3</v>
      </c>
    </row>
    <row r="983" spans="1:7" x14ac:dyDescent="0.2">
      <c r="A983" s="12">
        <v>38321</v>
      </c>
      <c r="B983" s="9">
        <v>747.69</v>
      </c>
      <c r="C983" s="9">
        <v>742.8</v>
      </c>
      <c r="D983" s="9">
        <v>743.34</v>
      </c>
      <c r="E983" s="9">
        <f t="shared" si="45"/>
        <v>-3.3173317196138656E-3</v>
      </c>
      <c r="F983" s="45">
        <f t="shared" si="43"/>
        <v>2.6569355755649962E-2</v>
      </c>
      <c r="G983" s="9">
        <f t="shared" si="44"/>
        <v>8.9793791502889766E-3</v>
      </c>
    </row>
    <row r="984" spans="1:7" x14ac:dyDescent="0.2">
      <c r="A984" s="12">
        <v>38322</v>
      </c>
      <c r="B984" s="9">
        <v>750.13</v>
      </c>
      <c r="C984" s="9">
        <v>742.05</v>
      </c>
      <c r="D984" s="9">
        <v>750.13</v>
      </c>
      <c r="E984" s="9">
        <f t="shared" si="45"/>
        <v>9.0929804875004537E-3</v>
      </c>
      <c r="F984" s="45">
        <f t="shared" si="43"/>
        <v>4.9685743249802371E-2</v>
      </c>
      <c r="G984" s="9">
        <f t="shared" si="44"/>
        <v>8.6413530975096766E-3</v>
      </c>
    </row>
    <row r="985" spans="1:7" x14ac:dyDescent="0.2">
      <c r="A985" s="12">
        <v>38323</v>
      </c>
      <c r="B985" s="9">
        <v>755.9</v>
      </c>
      <c r="C985" s="9">
        <v>750.54</v>
      </c>
      <c r="D985" s="9">
        <v>753.74</v>
      </c>
      <c r="E985" s="9">
        <f t="shared" si="45"/>
        <v>4.8009561118432104E-3</v>
      </c>
      <c r="F985" s="45">
        <f t="shared" si="43"/>
        <v>5.8515708019608884E-2</v>
      </c>
      <c r="G985" s="9">
        <f t="shared" si="44"/>
        <v>8.5912658522617098E-3</v>
      </c>
    </row>
    <row r="986" spans="1:7" x14ac:dyDescent="0.2">
      <c r="A986" s="12">
        <v>38324</v>
      </c>
      <c r="B986" s="9">
        <v>753.85</v>
      </c>
      <c r="C986" s="9">
        <v>744.06</v>
      </c>
      <c r="D986" s="9">
        <v>744.4</v>
      </c>
      <c r="E986" s="9">
        <f t="shared" si="45"/>
        <v>-1.2468956186950536E-2</v>
      </c>
      <c r="F986" s="45">
        <f t="shared" si="43"/>
        <v>5.7520397355473339E-2</v>
      </c>
      <c r="G986" s="9">
        <f t="shared" si="44"/>
        <v>8.6466371350840208E-3</v>
      </c>
    </row>
    <row r="987" spans="1:7" x14ac:dyDescent="0.2">
      <c r="A987" s="12">
        <v>38327</v>
      </c>
      <c r="B987" s="9">
        <v>743.6</v>
      </c>
      <c r="C987" s="9">
        <v>737.69</v>
      </c>
      <c r="D987" s="9">
        <v>740.45</v>
      </c>
      <c r="E987" s="9">
        <f t="shared" si="45"/>
        <v>-5.3204152845832192E-3</v>
      </c>
      <c r="F987" s="45">
        <f t="shared" si="43"/>
        <v>7.5899547862192718E-2</v>
      </c>
      <c r="G987" s="9">
        <f t="shared" si="44"/>
        <v>7.3180572690684786E-3</v>
      </c>
    </row>
    <row r="988" spans="1:7" x14ac:dyDescent="0.2">
      <c r="A988" s="12">
        <v>38328</v>
      </c>
      <c r="B988" s="9">
        <v>747.8</v>
      </c>
      <c r="C988" s="9">
        <v>740.44</v>
      </c>
      <c r="D988" s="9">
        <v>746.05</v>
      </c>
      <c r="E988" s="9">
        <f t="shared" si="45"/>
        <v>7.534512602918108E-3</v>
      </c>
      <c r="F988" s="45">
        <f t="shared" si="43"/>
        <v>7.7927126572767333E-2</v>
      </c>
      <c r="G988" s="9">
        <f t="shared" si="44"/>
        <v>7.3557646637594275E-3</v>
      </c>
    </row>
    <row r="989" spans="1:7" x14ac:dyDescent="0.2">
      <c r="A989" s="12">
        <v>38329</v>
      </c>
      <c r="B989" s="9">
        <v>745.17</v>
      </c>
      <c r="C989" s="9">
        <v>738.22</v>
      </c>
      <c r="D989" s="9">
        <v>740.82</v>
      </c>
      <c r="E989" s="9">
        <f t="shared" si="45"/>
        <v>-7.0349412787231612E-3</v>
      </c>
      <c r="F989" s="45">
        <f t="shared" si="43"/>
        <v>5.4736373527377181E-2</v>
      </c>
      <c r="G989" s="9">
        <f t="shared" si="44"/>
        <v>7.0957571112087942E-3</v>
      </c>
    </row>
    <row r="990" spans="1:7" x14ac:dyDescent="0.2">
      <c r="A990" s="12">
        <v>38330</v>
      </c>
      <c r="B990" s="9">
        <v>740.12</v>
      </c>
      <c r="C990" s="9">
        <v>731.81</v>
      </c>
      <c r="D990" s="9">
        <v>731.91</v>
      </c>
      <c r="E990" s="9">
        <f t="shared" si="45"/>
        <v>-1.2100125225139579E-2</v>
      </c>
      <c r="F990" s="45">
        <f t="shared" si="43"/>
        <v>3.7360466919160423E-2</v>
      </c>
      <c r="G990" s="9">
        <f t="shared" si="44"/>
        <v>7.5018725593441167E-3</v>
      </c>
    </row>
    <row r="991" spans="1:7" x14ac:dyDescent="0.2">
      <c r="A991" s="12">
        <v>38331</v>
      </c>
      <c r="B991" s="9">
        <v>738.1</v>
      </c>
      <c r="C991" s="9">
        <v>732.86</v>
      </c>
      <c r="D991" s="9">
        <v>736.89</v>
      </c>
      <c r="E991" s="9">
        <f t="shared" si="45"/>
        <v>6.7810717359790603E-3</v>
      </c>
      <c r="F991" s="45">
        <f t="shared" si="43"/>
        <v>4.7722054266197467E-2</v>
      </c>
      <c r="G991" s="9">
        <f t="shared" si="44"/>
        <v>7.5105470078373187E-3</v>
      </c>
    </row>
    <row r="992" spans="1:7" x14ac:dyDescent="0.2">
      <c r="A992" s="12">
        <v>38334</v>
      </c>
      <c r="B992" s="9">
        <v>741.76</v>
      </c>
      <c r="C992" s="9">
        <v>735.78</v>
      </c>
      <c r="D992" s="9">
        <v>738.26</v>
      </c>
      <c r="E992" s="9">
        <f t="shared" si="45"/>
        <v>1.8574387606467093E-3</v>
      </c>
      <c r="F992" s="45">
        <f t="shared" si="43"/>
        <v>3.6934703461829768E-2</v>
      </c>
      <c r="G992" s="9">
        <f t="shared" si="44"/>
        <v>7.2155036340011561E-3</v>
      </c>
    </row>
    <row r="993" spans="1:7" x14ac:dyDescent="0.2">
      <c r="A993" s="12">
        <v>38335</v>
      </c>
      <c r="B993" s="9">
        <v>741.26</v>
      </c>
      <c r="C993" s="9">
        <v>736.03</v>
      </c>
      <c r="D993" s="9">
        <v>739.11</v>
      </c>
      <c r="E993" s="9">
        <f t="shared" si="45"/>
        <v>1.1506935889996396E-3</v>
      </c>
      <c r="F993" s="45">
        <f t="shared" ref="F993:F1056" si="46">LN(D993/D963)</f>
        <v>2.1042182417297287E-2</v>
      </c>
      <c r="G993" s="9">
        <f t="shared" ref="G993:G1056" si="47">STDEV(E964:E993)</f>
        <v>6.5690169178203774E-3</v>
      </c>
    </row>
    <row r="994" spans="1:7" x14ac:dyDescent="0.2">
      <c r="A994" s="12">
        <v>38336</v>
      </c>
      <c r="B994" s="9">
        <v>743.39</v>
      </c>
      <c r="C994" s="9">
        <v>737.13</v>
      </c>
      <c r="D994" s="9">
        <v>737.25</v>
      </c>
      <c r="E994" s="9">
        <f t="shared" si="45"/>
        <v>-2.5197119728073629E-3</v>
      </c>
      <c r="F994" s="45">
        <f t="shared" si="46"/>
        <v>1.4702329404695416E-2</v>
      </c>
      <c r="G994" s="9">
        <f t="shared" si="47"/>
        <v>6.5672038276216047E-3</v>
      </c>
    </row>
    <row r="995" spans="1:7" x14ac:dyDescent="0.2">
      <c r="A995" s="12">
        <v>38337</v>
      </c>
      <c r="B995" s="9">
        <v>742.58</v>
      </c>
      <c r="C995" s="9">
        <v>736.84</v>
      </c>
      <c r="D995" s="9">
        <v>739.94</v>
      </c>
      <c r="E995" s="9">
        <f t="shared" si="45"/>
        <v>3.6420541345003493E-3</v>
      </c>
      <c r="F995" s="45">
        <f t="shared" si="46"/>
        <v>2.415622648220625E-2</v>
      </c>
      <c r="G995" s="9">
        <f t="shared" si="47"/>
        <v>6.4806299296988135E-3</v>
      </c>
    </row>
    <row r="996" spans="1:7" x14ac:dyDescent="0.2">
      <c r="A996" s="12">
        <v>38338</v>
      </c>
      <c r="B996" s="9">
        <v>740.72</v>
      </c>
      <c r="C996" s="9">
        <v>728.76</v>
      </c>
      <c r="D996" s="9">
        <v>728.94</v>
      </c>
      <c r="E996" s="9">
        <f t="shared" si="45"/>
        <v>-1.4977677735180056E-2</v>
      </c>
      <c r="F996" s="45">
        <f t="shared" si="46"/>
        <v>3.2978841003758878E-3</v>
      </c>
      <c r="G996" s="9">
        <f t="shared" si="47"/>
        <v>7.0142594153167204E-3</v>
      </c>
    </row>
    <row r="997" spans="1:7" x14ac:dyDescent="0.2">
      <c r="A997" s="12">
        <v>38341</v>
      </c>
      <c r="B997" s="9">
        <v>736.96</v>
      </c>
      <c r="C997" s="9">
        <v>730</v>
      </c>
      <c r="D997" s="9">
        <v>735.05</v>
      </c>
      <c r="E997" s="9">
        <f t="shared" si="45"/>
        <v>8.3471000152693098E-3</v>
      </c>
      <c r="F997" s="45">
        <f t="shared" si="46"/>
        <v>9.0881762565222721E-3</v>
      </c>
      <c r="G997" s="9">
        <f t="shared" si="47"/>
        <v>7.1620200415247184E-3</v>
      </c>
    </row>
    <row r="998" spans="1:7" x14ac:dyDescent="0.2">
      <c r="A998" s="12">
        <v>38342</v>
      </c>
      <c r="B998" s="9">
        <v>739.08</v>
      </c>
      <c r="C998" s="9">
        <v>733.73</v>
      </c>
      <c r="D998" s="9">
        <v>737.69</v>
      </c>
      <c r="E998" s="9">
        <f t="shared" si="45"/>
        <v>3.5851580424763022E-3</v>
      </c>
      <c r="F998" s="45">
        <f t="shared" si="46"/>
        <v>1.345617770850137E-2</v>
      </c>
      <c r="G998" s="9">
        <f t="shared" si="47"/>
        <v>7.1835527098920915E-3</v>
      </c>
    </row>
    <row r="999" spans="1:7" x14ac:dyDescent="0.2">
      <c r="A999" s="12">
        <v>38343</v>
      </c>
      <c r="B999" s="9">
        <v>743.65</v>
      </c>
      <c r="C999" s="9">
        <v>739.12</v>
      </c>
      <c r="D999" s="9">
        <v>743.3</v>
      </c>
      <c r="E999" s="9">
        <f t="shared" si="45"/>
        <v>7.576049578796205E-3</v>
      </c>
      <c r="F999" s="45">
        <f t="shared" si="46"/>
        <v>1.7685402957575903E-2</v>
      </c>
      <c r="G999" s="9">
        <f t="shared" si="47"/>
        <v>7.2831988804249372E-3</v>
      </c>
    </row>
    <row r="1000" spans="1:7" x14ac:dyDescent="0.2">
      <c r="A1000" s="12">
        <v>38344</v>
      </c>
      <c r="B1000" s="9">
        <v>742.47</v>
      </c>
      <c r="C1000" s="9">
        <v>737.75</v>
      </c>
      <c r="D1000" s="9">
        <v>741.98</v>
      </c>
      <c r="E1000" s="9">
        <f t="shared" si="45"/>
        <v>-1.7774431050352007E-3</v>
      </c>
      <c r="F1000" s="45">
        <f t="shared" si="46"/>
        <v>8.1193441795972682E-3</v>
      </c>
      <c r="G1000" s="9">
        <f t="shared" si="47"/>
        <v>7.1656019459249405E-3</v>
      </c>
    </row>
    <row r="1001" spans="1:7" x14ac:dyDescent="0.2">
      <c r="A1001" s="12">
        <v>38348</v>
      </c>
      <c r="B1001" s="9">
        <v>744.35</v>
      </c>
      <c r="C1001" s="9">
        <v>739.77</v>
      </c>
      <c r="D1001" s="9">
        <v>741.89</v>
      </c>
      <c r="E1001" s="9">
        <f t="shared" si="45"/>
        <v>-1.2130442708649895E-4</v>
      </c>
      <c r="F1001" s="45">
        <f t="shared" si="46"/>
        <v>-7.0066700973362675E-4</v>
      </c>
      <c r="G1001" s="9">
        <f t="shared" si="47"/>
        <v>6.9865831900157533E-3</v>
      </c>
    </row>
    <row r="1002" spans="1:7" x14ac:dyDescent="0.2">
      <c r="A1002" s="12">
        <v>38349</v>
      </c>
      <c r="B1002" s="9">
        <v>744.14</v>
      </c>
      <c r="C1002" s="9">
        <v>736.61</v>
      </c>
      <c r="D1002" s="9">
        <v>739.84</v>
      </c>
      <c r="E1002" s="9">
        <f t="shared" si="45"/>
        <v>-2.7670375952227938E-3</v>
      </c>
      <c r="F1002" s="45">
        <f t="shared" si="46"/>
        <v>-3.7774584877738005E-3</v>
      </c>
      <c r="G1002" s="9">
        <f t="shared" si="47"/>
        <v>7.0040856790034665E-3</v>
      </c>
    </row>
    <row r="1003" spans="1:7" x14ac:dyDescent="0.2">
      <c r="A1003" s="12">
        <v>38350</v>
      </c>
      <c r="B1003" s="9">
        <v>742.05</v>
      </c>
      <c r="C1003" s="9">
        <v>736.58</v>
      </c>
      <c r="D1003" s="9">
        <v>740.79</v>
      </c>
      <c r="E1003" s="9">
        <f t="shared" si="45"/>
        <v>1.2832377168686938E-3</v>
      </c>
      <c r="F1003" s="45">
        <f t="shared" si="46"/>
        <v>1.5671231642388438E-3</v>
      </c>
      <c r="G1003" s="9">
        <f t="shared" si="47"/>
        <v>6.9684145317383331E-3</v>
      </c>
    </row>
    <row r="1004" spans="1:7" x14ac:dyDescent="0.2">
      <c r="A1004" s="12">
        <v>38351</v>
      </c>
      <c r="B1004" s="9">
        <v>743.28</v>
      </c>
      <c r="C1004" s="9">
        <v>740.49</v>
      </c>
      <c r="D1004" s="9">
        <v>741.88</v>
      </c>
      <c r="E1004" s="9">
        <f t="shared" si="45"/>
        <v>1.4703207003142547E-3</v>
      </c>
      <c r="F1004" s="45">
        <f t="shared" si="46"/>
        <v>-9.5247758699285104E-3</v>
      </c>
      <c r="G1004" s="9">
        <f t="shared" si="47"/>
        <v>6.5643118900975605E-3</v>
      </c>
    </row>
    <row r="1005" spans="1:7" x14ac:dyDescent="0.2">
      <c r="A1005" s="12">
        <v>38355</v>
      </c>
      <c r="B1005" s="9">
        <v>750.77</v>
      </c>
      <c r="C1005" s="9">
        <v>740.23</v>
      </c>
      <c r="D1005" s="9">
        <v>747.76</v>
      </c>
      <c r="E1005" s="9">
        <f t="shared" si="45"/>
        <v>7.8945658532418948E-3</v>
      </c>
      <c r="F1005" s="45">
        <f t="shared" si="46"/>
        <v>-9.0896945170369499E-4</v>
      </c>
      <c r="G1005" s="9">
        <f t="shared" si="47"/>
        <v>6.7323614074949146E-3</v>
      </c>
    </row>
    <row r="1006" spans="1:7" x14ac:dyDescent="0.2">
      <c r="A1006" s="12">
        <v>38356</v>
      </c>
      <c r="B1006" s="9">
        <v>754.67</v>
      </c>
      <c r="C1006" s="9">
        <v>746.32</v>
      </c>
      <c r="D1006" s="9">
        <v>753.56</v>
      </c>
      <c r="E1006" s="9">
        <f t="shared" si="45"/>
        <v>7.7265724228454723E-3</v>
      </c>
      <c r="F1006" s="45">
        <f t="shared" si="46"/>
        <v>1.7928753753062059E-2</v>
      </c>
      <c r="G1006" s="9">
        <f t="shared" si="47"/>
        <v>6.5389315017790562E-3</v>
      </c>
    </row>
    <row r="1007" spans="1:7" x14ac:dyDescent="0.2">
      <c r="A1007" s="12">
        <v>38357</v>
      </c>
      <c r="B1007" s="9">
        <v>751.6</v>
      </c>
      <c r="C1007" s="9">
        <v>744.24</v>
      </c>
      <c r="D1007" s="9">
        <v>745.23</v>
      </c>
      <c r="E1007" s="9">
        <f t="shared" si="45"/>
        <v>-1.1115747731104211E-2</v>
      </c>
      <c r="F1007" s="45">
        <f t="shared" si="46"/>
        <v>1.3808791003609076E-2</v>
      </c>
      <c r="G1007" s="9">
        <f t="shared" si="47"/>
        <v>6.7439591203230613E-3</v>
      </c>
    </row>
    <row r="1008" spans="1:7" x14ac:dyDescent="0.2">
      <c r="A1008" s="12">
        <v>38358</v>
      </c>
      <c r="B1008" s="9">
        <v>0</v>
      </c>
      <c r="C1008" s="9">
        <v>0</v>
      </c>
      <c r="D1008" s="9">
        <v>0</v>
      </c>
      <c r="E1008" s="9" t="e">
        <f t="shared" si="45"/>
        <v>#NUM!</v>
      </c>
      <c r="F1008" s="45" t="e">
        <f t="shared" si="46"/>
        <v>#NUM!</v>
      </c>
      <c r="G1008" s="9" t="e">
        <f t="shared" si="47"/>
        <v>#NUM!</v>
      </c>
    </row>
    <row r="1009" spans="1:7" x14ac:dyDescent="0.2">
      <c r="A1009" s="12">
        <v>38359</v>
      </c>
      <c r="B1009" s="9">
        <v>748.65</v>
      </c>
      <c r="C1009" s="9">
        <v>743.94</v>
      </c>
      <c r="D1009" s="9">
        <v>748.02</v>
      </c>
      <c r="E1009" s="9" t="e">
        <f t="shared" si="45"/>
        <v>#DIV/0!</v>
      </c>
      <c r="F1009" s="45">
        <f t="shared" si="46"/>
        <v>1.3255565207961419E-2</v>
      </c>
      <c r="G1009" s="9" t="e">
        <f t="shared" si="47"/>
        <v>#NUM!</v>
      </c>
    </row>
    <row r="1010" spans="1:7" x14ac:dyDescent="0.2">
      <c r="A1010" s="12">
        <v>38362</v>
      </c>
      <c r="B1010" s="9">
        <v>757.9</v>
      </c>
      <c r="C1010" s="9">
        <v>748.84</v>
      </c>
      <c r="D1010" s="9">
        <v>757.45</v>
      </c>
      <c r="E1010" s="9">
        <f t="shared" si="45"/>
        <v>1.2527813019394112E-2</v>
      </c>
      <c r="F1010" s="45">
        <f t="shared" si="46"/>
        <v>1.8508066565389388E-2</v>
      </c>
      <c r="G1010" s="9" t="e">
        <f t="shared" si="47"/>
        <v>#NUM!</v>
      </c>
    </row>
    <row r="1011" spans="1:7" x14ac:dyDescent="0.2">
      <c r="A1011" s="12">
        <v>38363</v>
      </c>
      <c r="B1011" s="9">
        <v>758.13</v>
      </c>
      <c r="C1011" s="9">
        <v>747.22</v>
      </c>
      <c r="D1011" s="9">
        <v>747.8</v>
      </c>
      <c r="E1011" s="9">
        <f t="shared" si="45"/>
        <v>-1.2821966061319339E-2</v>
      </c>
      <c r="F1011" s="45">
        <f t="shared" si="46"/>
        <v>5.7398972063450425E-3</v>
      </c>
      <c r="G1011" s="9" t="e">
        <f t="shared" si="47"/>
        <v>#NUM!</v>
      </c>
    </row>
    <row r="1012" spans="1:7" x14ac:dyDescent="0.2">
      <c r="A1012" s="12">
        <v>38364</v>
      </c>
      <c r="B1012" s="9">
        <v>748.77</v>
      </c>
      <c r="C1012" s="9">
        <v>732.43</v>
      </c>
      <c r="D1012" s="9">
        <v>734.31</v>
      </c>
      <c r="E1012" s="9">
        <f t="shared" si="45"/>
        <v>-1.8204279766085147E-2</v>
      </c>
      <c r="F1012" s="45">
        <f t="shared" si="46"/>
        <v>-1.5539593298388266E-2</v>
      </c>
      <c r="G1012" s="9" t="e">
        <f t="shared" si="47"/>
        <v>#NUM!</v>
      </c>
    </row>
    <row r="1013" spans="1:7" x14ac:dyDescent="0.2">
      <c r="A1013" s="12">
        <v>38365</v>
      </c>
      <c r="B1013" s="9">
        <v>741.12</v>
      </c>
      <c r="C1013" s="9">
        <v>733.16</v>
      </c>
      <c r="D1013" s="9">
        <v>737.36</v>
      </c>
      <c r="E1013" s="9">
        <f t="shared" si="45"/>
        <v>4.1449569084807498E-3</v>
      </c>
      <c r="F1013" s="45">
        <f t="shared" si="46"/>
        <v>-8.0773046702937359E-3</v>
      </c>
      <c r="G1013" s="9" t="e">
        <f t="shared" si="47"/>
        <v>#NUM!</v>
      </c>
    </row>
    <row r="1014" spans="1:7" x14ac:dyDescent="0.2">
      <c r="A1014" s="12">
        <v>38366</v>
      </c>
      <c r="B1014" s="9">
        <v>743.08</v>
      </c>
      <c r="C1014" s="9">
        <v>733.95</v>
      </c>
      <c r="D1014" s="9">
        <v>742.63</v>
      </c>
      <c r="E1014" s="9">
        <f t="shared" si="45"/>
        <v>7.1216998410845982E-3</v>
      </c>
      <c r="F1014" s="45">
        <f t="shared" si="46"/>
        <v>-1.0048585316709468E-2</v>
      </c>
      <c r="G1014" s="9" t="e">
        <f t="shared" si="47"/>
        <v>#NUM!</v>
      </c>
    </row>
    <row r="1015" spans="1:7" x14ac:dyDescent="0.2">
      <c r="A1015" s="12">
        <v>38369</v>
      </c>
      <c r="B1015" s="9">
        <v>749.18</v>
      </c>
      <c r="C1015" s="9">
        <v>743.51</v>
      </c>
      <c r="D1015" s="9">
        <v>747.73</v>
      </c>
      <c r="E1015" s="9">
        <f t="shared" si="45"/>
        <v>6.8440107184701776E-3</v>
      </c>
      <c r="F1015" s="45">
        <f t="shared" si="46"/>
        <v>-8.0055307100824723E-3</v>
      </c>
      <c r="G1015" s="9" t="e">
        <f t="shared" si="47"/>
        <v>#NUM!</v>
      </c>
    </row>
    <row r="1016" spans="1:7" x14ac:dyDescent="0.2">
      <c r="A1016" s="12">
        <v>38370</v>
      </c>
      <c r="B1016" s="9">
        <v>747.09</v>
      </c>
      <c r="C1016" s="9">
        <v>739.5</v>
      </c>
      <c r="D1016" s="9">
        <v>746.16</v>
      </c>
      <c r="E1016" s="9">
        <f t="shared" si="45"/>
        <v>-2.1018958263556448E-3</v>
      </c>
      <c r="F1016" s="45">
        <f t="shared" si="46"/>
        <v>2.3615296505122923E-3</v>
      </c>
      <c r="G1016" s="9" t="e">
        <f t="shared" si="47"/>
        <v>#NUM!</v>
      </c>
    </row>
    <row r="1017" spans="1:7" x14ac:dyDescent="0.2">
      <c r="A1017" s="12">
        <v>38371</v>
      </c>
      <c r="B1017" s="9">
        <v>748.08</v>
      </c>
      <c r="C1017" s="9">
        <v>744.59</v>
      </c>
      <c r="D1017" s="9">
        <v>746.09</v>
      </c>
      <c r="E1017" s="9">
        <f t="shared" si="45"/>
        <v>-9.3818060045319006E-5</v>
      </c>
      <c r="F1017" s="45">
        <f t="shared" si="46"/>
        <v>7.5881268750503141E-3</v>
      </c>
      <c r="G1017" s="9" t="e">
        <f t="shared" si="47"/>
        <v>#NUM!</v>
      </c>
    </row>
    <row r="1018" spans="1:7" x14ac:dyDescent="0.2">
      <c r="A1018" s="12">
        <v>38372</v>
      </c>
      <c r="B1018" s="9">
        <v>743.27</v>
      </c>
      <c r="C1018" s="9">
        <v>736.03</v>
      </c>
      <c r="D1018" s="9">
        <v>736.87</v>
      </c>
      <c r="E1018" s="9">
        <f t="shared" si="45"/>
        <v>-1.2434750501313903E-2</v>
      </c>
      <c r="F1018" s="45">
        <f t="shared" si="46"/>
        <v>-1.238113622918178E-2</v>
      </c>
      <c r="G1018" s="9" t="e">
        <f t="shared" si="47"/>
        <v>#NUM!</v>
      </c>
    </row>
    <row r="1019" spans="1:7" x14ac:dyDescent="0.2">
      <c r="A1019" s="12">
        <v>38373</v>
      </c>
      <c r="B1019" s="9">
        <v>739.36</v>
      </c>
      <c r="C1019" s="9">
        <v>734.25</v>
      </c>
      <c r="D1019" s="9">
        <v>735.1</v>
      </c>
      <c r="E1019" s="9">
        <f t="shared" si="45"/>
        <v>-2.4049414772067831E-3</v>
      </c>
      <c r="F1019" s="45">
        <f t="shared" si="46"/>
        <v>-7.7511364276653602E-3</v>
      </c>
      <c r="G1019" s="9" t="e">
        <f t="shared" si="47"/>
        <v>#NUM!</v>
      </c>
    </row>
    <row r="1020" spans="1:7" x14ac:dyDescent="0.2">
      <c r="A1020" s="12">
        <v>38376</v>
      </c>
      <c r="B1020" s="9">
        <v>733.2</v>
      </c>
      <c r="C1020" s="9">
        <v>724.73</v>
      </c>
      <c r="D1020" s="9">
        <v>727.56</v>
      </c>
      <c r="E1020" s="9">
        <f t="shared" si="45"/>
        <v>-1.0310074508402402E-2</v>
      </c>
      <c r="F1020" s="45">
        <f t="shared" si="46"/>
        <v>-5.9610857109281762E-3</v>
      </c>
      <c r="G1020" s="9" t="e">
        <f t="shared" si="47"/>
        <v>#NUM!</v>
      </c>
    </row>
    <row r="1021" spans="1:7" x14ac:dyDescent="0.2">
      <c r="A1021" s="12">
        <v>38377</v>
      </c>
      <c r="B1021" s="9">
        <v>737.49</v>
      </c>
      <c r="C1021" s="9">
        <v>725.22</v>
      </c>
      <c r="D1021" s="9">
        <v>736.19</v>
      </c>
      <c r="E1021" s="9">
        <f t="shared" si="45"/>
        <v>1.1791767715610963E-2</v>
      </c>
      <c r="F1021" s="45">
        <f t="shared" si="46"/>
        <v>-9.5038973129624139E-4</v>
      </c>
      <c r="G1021" s="9" t="e">
        <f t="shared" si="47"/>
        <v>#NUM!</v>
      </c>
    </row>
    <row r="1022" spans="1:7" x14ac:dyDescent="0.2">
      <c r="A1022" s="12">
        <v>38378</v>
      </c>
      <c r="B1022" s="9">
        <v>739.04</v>
      </c>
      <c r="C1022" s="9">
        <v>733.09</v>
      </c>
      <c r="D1022" s="9">
        <v>736.73</v>
      </c>
      <c r="E1022" s="9">
        <f t="shared" si="45"/>
        <v>7.3323741166347065E-4</v>
      </c>
      <c r="F1022" s="45">
        <f t="shared" si="46"/>
        <v>-2.074591080279561E-3</v>
      </c>
      <c r="G1022" s="9" t="e">
        <f t="shared" si="47"/>
        <v>#NUM!</v>
      </c>
    </row>
    <row r="1023" spans="1:7" x14ac:dyDescent="0.2">
      <c r="A1023" s="12">
        <v>38379</v>
      </c>
      <c r="B1023" s="9">
        <v>744.38</v>
      </c>
      <c r="C1023" s="9">
        <v>734.86</v>
      </c>
      <c r="D1023" s="9">
        <v>741.92</v>
      </c>
      <c r="E1023" s="9">
        <f t="shared" si="45"/>
        <v>7.0199456442368163E-3</v>
      </c>
      <c r="F1023" s="45">
        <f t="shared" si="46"/>
        <v>3.7946609749575839E-3</v>
      </c>
      <c r="G1023" s="9" t="e">
        <f t="shared" si="47"/>
        <v>#NUM!</v>
      </c>
    </row>
    <row r="1024" spans="1:7" x14ac:dyDescent="0.2">
      <c r="A1024" s="12">
        <v>38380</v>
      </c>
      <c r="B1024" s="9">
        <v>742.43</v>
      </c>
      <c r="C1024" s="9">
        <v>735.25</v>
      </c>
      <c r="D1024" s="9">
        <v>735.32</v>
      </c>
      <c r="E1024" s="9">
        <f t="shared" ref="E1024:E1087" si="48">LN(D1024/D1023)</f>
        <v>-8.9356420284796706E-3</v>
      </c>
      <c r="F1024" s="45">
        <f t="shared" si="46"/>
        <v>-2.6212690807145673E-3</v>
      </c>
      <c r="G1024" s="9" t="e">
        <f t="shared" si="47"/>
        <v>#NUM!</v>
      </c>
    </row>
    <row r="1025" spans="1:7" x14ac:dyDescent="0.2">
      <c r="A1025" s="12">
        <v>38383</v>
      </c>
      <c r="B1025" s="9">
        <v>745.99</v>
      </c>
      <c r="C1025" s="9">
        <v>736.68</v>
      </c>
      <c r="D1025" s="9">
        <v>741.5</v>
      </c>
      <c r="E1025" s="9">
        <f t="shared" si="48"/>
        <v>8.3693829633158714E-3</v>
      </c>
      <c r="F1025" s="45">
        <f t="shared" si="46"/>
        <v>2.1060597481007948E-3</v>
      </c>
      <c r="G1025" s="9" t="e">
        <f t="shared" si="47"/>
        <v>#NUM!</v>
      </c>
    </row>
    <row r="1026" spans="1:7" x14ac:dyDescent="0.2">
      <c r="A1026" s="12">
        <v>38384</v>
      </c>
      <c r="B1026" s="9">
        <v>750.55</v>
      </c>
      <c r="C1026" s="9">
        <v>739.98</v>
      </c>
      <c r="D1026" s="9">
        <v>750.06</v>
      </c>
      <c r="E1026" s="9">
        <f t="shared" si="48"/>
        <v>1.1478041752539832E-2</v>
      </c>
      <c r="F1026" s="45">
        <f t="shared" si="46"/>
        <v>2.8561779235820785E-2</v>
      </c>
      <c r="G1026" s="9" t="e">
        <f t="shared" si="47"/>
        <v>#NUM!</v>
      </c>
    </row>
    <row r="1027" spans="1:7" x14ac:dyDescent="0.2">
      <c r="A1027" s="12">
        <v>38385</v>
      </c>
      <c r="B1027" s="9">
        <v>756.55</v>
      </c>
      <c r="C1027" s="9">
        <v>749.74</v>
      </c>
      <c r="D1027" s="9">
        <v>754.04</v>
      </c>
      <c r="E1027" s="9">
        <f t="shared" si="48"/>
        <v>5.2922136681847623E-3</v>
      </c>
      <c r="F1027" s="45">
        <f t="shared" si="46"/>
        <v>2.550689288873613E-2</v>
      </c>
      <c r="G1027" s="9" t="e">
        <f t="shared" si="47"/>
        <v>#NUM!</v>
      </c>
    </row>
    <row r="1028" spans="1:7" x14ac:dyDescent="0.2">
      <c r="A1028" s="12">
        <v>38386</v>
      </c>
      <c r="B1028" s="9">
        <v>755.22</v>
      </c>
      <c r="C1028" s="9">
        <v>748.9</v>
      </c>
      <c r="D1028" s="9">
        <v>750.12</v>
      </c>
      <c r="E1028" s="9">
        <f t="shared" si="48"/>
        <v>-5.2122232669901004E-3</v>
      </c>
      <c r="F1028" s="45">
        <f t="shared" si="46"/>
        <v>1.6709511579269833E-2</v>
      </c>
      <c r="G1028" s="9" t="e">
        <f t="shared" si="47"/>
        <v>#NUM!</v>
      </c>
    </row>
    <row r="1029" spans="1:7" x14ac:dyDescent="0.2">
      <c r="A1029" s="12">
        <v>38387</v>
      </c>
      <c r="B1029" s="9">
        <v>757.98</v>
      </c>
      <c r="C1029" s="9">
        <v>750.15</v>
      </c>
      <c r="D1029" s="9">
        <v>755.57</v>
      </c>
      <c r="E1029" s="9">
        <f t="shared" si="48"/>
        <v>7.2392375605764498E-3</v>
      </c>
      <c r="F1029" s="45">
        <f t="shared" si="46"/>
        <v>1.6372699561049985E-2</v>
      </c>
      <c r="G1029" s="9" t="e">
        <f t="shared" si="47"/>
        <v>#NUM!</v>
      </c>
    </row>
    <row r="1030" spans="1:7" x14ac:dyDescent="0.2">
      <c r="A1030" s="12">
        <v>38390</v>
      </c>
      <c r="B1030" s="9">
        <v>765.69</v>
      </c>
      <c r="C1030" s="9">
        <v>758.61</v>
      </c>
      <c r="D1030" s="9">
        <v>765.69</v>
      </c>
      <c r="E1030" s="9">
        <f t="shared" si="48"/>
        <v>1.3304956796350163E-2</v>
      </c>
      <c r="F1030" s="45">
        <f t="shared" si="46"/>
        <v>3.145509946243516E-2</v>
      </c>
      <c r="G1030" s="9" t="e">
        <f t="shared" si="47"/>
        <v>#NUM!</v>
      </c>
    </row>
    <row r="1031" spans="1:7" x14ac:dyDescent="0.2">
      <c r="A1031" s="12">
        <v>38391</v>
      </c>
      <c r="B1031" s="9">
        <v>766.75</v>
      </c>
      <c r="C1031" s="9">
        <v>762.57</v>
      </c>
      <c r="D1031" s="9">
        <v>762.98</v>
      </c>
      <c r="E1031" s="9">
        <f t="shared" si="48"/>
        <v>-3.5455694675298995E-3</v>
      </c>
      <c r="F1031" s="45">
        <f t="shared" si="46"/>
        <v>2.8030834421991849E-2</v>
      </c>
      <c r="G1031" s="9" t="e">
        <f t="shared" si="47"/>
        <v>#NUM!</v>
      </c>
    </row>
    <row r="1032" spans="1:7" x14ac:dyDescent="0.2">
      <c r="A1032" s="12">
        <v>38392</v>
      </c>
      <c r="B1032" s="9">
        <v>771.69</v>
      </c>
      <c r="C1032" s="9">
        <v>759.3</v>
      </c>
      <c r="D1032" s="9">
        <v>769.05</v>
      </c>
      <c r="E1032" s="9">
        <f t="shared" si="48"/>
        <v>7.9241682767013637E-3</v>
      </c>
      <c r="F1032" s="45">
        <f t="shared" si="46"/>
        <v>3.8722040293915808E-2</v>
      </c>
      <c r="G1032" s="9" t="e">
        <f t="shared" si="47"/>
        <v>#NUM!</v>
      </c>
    </row>
    <row r="1033" spans="1:7" x14ac:dyDescent="0.2">
      <c r="A1033" s="12">
        <v>38393</v>
      </c>
      <c r="B1033" s="9">
        <v>763</v>
      </c>
      <c r="C1033" s="9">
        <v>754.69</v>
      </c>
      <c r="D1033" s="9">
        <v>755.63</v>
      </c>
      <c r="E1033" s="9">
        <f t="shared" si="48"/>
        <v>-1.7604148511779556E-2</v>
      </c>
      <c r="F1033" s="45">
        <f t="shared" si="46"/>
        <v>1.983465406526776E-2</v>
      </c>
      <c r="G1033" s="9" t="e">
        <f t="shared" si="47"/>
        <v>#NUM!</v>
      </c>
    </row>
    <row r="1034" spans="1:7" x14ac:dyDescent="0.2">
      <c r="A1034" s="12">
        <v>38394</v>
      </c>
      <c r="B1034" s="9">
        <v>767.98</v>
      </c>
      <c r="C1034" s="9">
        <v>758.54</v>
      </c>
      <c r="D1034" s="9">
        <v>766.82</v>
      </c>
      <c r="E1034" s="9">
        <f t="shared" si="48"/>
        <v>1.4700254865757984E-2</v>
      </c>
      <c r="F1034" s="45">
        <f t="shared" si="46"/>
        <v>3.3064588230711477E-2</v>
      </c>
      <c r="G1034" s="9" t="e">
        <f t="shared" si="47"/>
        <v>#NUM!</v>
      </c>
    </row>
    <row r="1035" spans="1:7" x14ac:dyDescent="0.2">
      <c r="A1035" s="12">
        <v>38397</v>
      </c>
      <c r="B1035" s="9">
        <v>770.92</v>
      </c>
      <c r="C1035" s="9">
        <v>763.68</v>
      </c>
      <c r="D1035" s="9">
        <v>765.38</v>
      </c>
      <c r="E1035" s="9">
        <f t="shared" si="48"/>
        <v>-1.8796507296311659E-3</v>
      </c>
      <c r="F1035" s="45">
        <f t="shared" si="46"/>
        <v>2.3290371647838547E-2</v>
      </c>
      <c r="G1035" s="9" t="e">
        <f t="shared" si="47"/>
        <v>#NUM!</v>
      </c>
    </row>
    <row r="1036" spans="1:7" x14ac:dyDescent="0.2">
      <c r="A1036" s="12">
        <v>38398</v>
      </c>
      <c r="B1036" s="9">
        <v>773.49</v>
      </c>
      <c r="C1036" s="9">
        <v>764.08</v>
      </c>
      <c r="D1036" s="9">
        <v>770.4</v>
      </c>
      <c r="E1036" s="9">
        <f t="shared" si="48"/>
        <v>6.5374179617492959E-3</v>
      </c>
      <c r="F1036" s="45">
        <f t="shared" si="46"/>
        <v>2.2101217186742256E-2</v>
      </c>
      <c r="G1036" s="9" t="e">
        <f t="shared" si="47"/>
        <v>#NUM!</v>
      </c>
    </row>
    <row r="1037" spans="1:7" x14ac:dyDescent="0.2">
      <c r="A1037" s="12">
        <v>38399</v>
      </c>
      <c r="B1037" s="9">
        <v>769.83</v>
      </c>
      <c r="C1037" s="9">
        <v>759.82</v>
      </c>
      <c r="D1037" s="9">
        <v>764.56</v>
      </c>
      <c r="E1037" s="9">
        <f t="shared" si="48"/>
        <v>-7.6093555259916157E-3</v>
      </c>
      <c r="F1037" s="45">
        <f t="shared" si="46"/>
        <v>2.5607609391854903E-2</v>
      </c>
      <c r="G1037" s="9" t="e">
        <f t="shared" si="47"/>
        <v>#NUM!</v>
      </c>
    </row>
    <row r="1038" spans="1:7" x14ac:dyDescent="0.2">
      <c r="A1038" s="12">
        <v>38400</v>
      </c>
      <c r="B1038" s="9">
        <v>768.76</v>
      </c>
      <c r="C1038" s="9">
        <v>760.29</v>
      </c>
      <c r="D1038" s="9">
        <v>764.11</v>
      </c>
      <c r="E1038" s="9">
        <f t="shared" si="48"/>
        <v>-5.8874709780172205E-4</v>
      </c>
      <c r="F1038" s="45" t="e">
        <f t="shared" si="46"/>
        <v>#DIV/0!</v>
      </c>
      <c r="G1038" s="9" t="e">
        <f t="shared" si="47"/>
        <v>#DIV/0!</v>
      </c>
    </row>
    <row r="1039" spans="1:7" x14ac:dyDescent="0.2">
      <c r="A1039" s="12">
        <v>38401</v>
      </c>
      <c r="B1039" s="9">
        <v>764.01</v>
      </c>
      <c r="C1039" s="9">
        <v>758.02</v>
      </c>
      <c r="D1039" s="9">
        <v>758.02</v>
      </c>
      <c r="E1039" s="9">
        <f t="shared" si="48"/>
        <v>-8.0019873415602839E-3</v>
      </c>
      <c r="F1039" s="45">
        <f t="shared" si="46"/>
        <v>1.3280054933623669E-2</v>
      </c>
      <c r="G1039" s="9">
        <f t="shared" si="47"/>
        <v>9.3914114548844588E-3</v>
      </c>
    </row>
    <row r="1040" spans="1:7" x14ac:dyDescent="0.2">
      <c r="A1040" s="12">
        <v>38404</v>
      </c>
      <c r="B1040" s="9">
        <v>764.2</v>
      </c>
      <c r="C1040" s="9">
        <v>758.14</v>
      </c>
      <c r="D1040" s="9">
        <v>760.86</v>
      </c>
      <c r="E1040" s="9">
        <f t="shared" si="48"/>
        <v>3.7396019563010539E-3</v>
      </c>
      <c r="F1040" s="45">
        <f t="shared" si="46"/>
        <v>4.4918438705306672E-3</v>
      </c>
      <c r="G1040" s="9">
        <f t="shared" si="47"/>
        <v>9.1350108896471986E-3</v>
      </c>
    </row>
    <row r="1041" spans="1:7" x14ac:dyDescent="0.2">
      <c r="A1041" s="12">
        <v>38405</v>
      </c>
      <c r="B1041" s="9">
        <v>760.84</v>
      </c>
      <c r="C1041" s="9">
        <v>754.08</v>
      </c>
      <c r="D1041" s="9">
        <v>758.64</v>
      </c>
      <c r="E1041" s="9">
        <f t="shared" si="48"/>
        <v>-2.922015899391321E-3</v>
      </c>
      <c r="F1041" s="45">
        <f t="shared" si="46"/>
        <v>1.4391794032458634E-2</v>
      </c>
      <c r="G1041" s="9">
        <f t="shared" si="47"/>
        <v>8.8237690140123733E-3</v>
      </c>
    </row>
    <row r="1042" spans="1:7" x14ac:dyDescent="0.2">
      <c r="A1042" s="12">
        <v>38406</v>
      </c>
      <c r="B1042" s="9">
        <v>761.54</v>
      </c>
      <c r="C1042" s="9">
        <v>750.6</v>
      </c>
      <c r="D1042" s="9">
        <v>759.16</v>
      </c>
      <c r="E1042" s="9">
        <f t="shared" si="48"/>
        <v>6.852022932469083E-4</v>
      </c>
      <c r="F1042" s="45">
        <f t="shared" si="46"/>
        <v>3.3281276091790768E-2</v>
      </c>
      <c r="G1042" s="9">
        <f t="shared" si="47"/>
        <v>8.0878036510779339E-3</v>
      </c>
    </row>
    <row r="1043" spans="1:7" x14ac:dyDescent="0.2">
      <c r="A1043" s="12">
        <v>38407</v>
      </c>
      <c r="B1043" s="9">
        <v>764.57</v>
      </c>
      <c r="C1043" s="9">
        <v>759.19</v>
      </c>
      <c r="D1043" s="9">
        <v>761.61</v>
      </c>
      <c r="E1043" s="9">
        <f t="shared" si="48"/>
        <v>3.2220547743364437E-3</v>
      </c>
      <c r="F1043" s="45">
        <f t="shared" si="46"/>
        <v>3.2358373957646638E-2</v>
      </c>
      <c r="G1043" s="9">
        <f t="shared" si="47"/>
        <v>8.0776079110024615E-3</v>
      </c>
    </row>
    <row r="1044" spans="1:7" x14ac:dyDescent="0.2">
      <c r="A1044" s="12">
        <v>38408</v>
      </c>
      <c r="B1044" s="9">
        <v>770.03</v>
      </c>
      <c r="C1044" s="9">
        <v>764.17</v>
      </c>
      <c r="D1044" s="9">
        <v>769.89</v>
      </c>
      <c r="E1044" s="9">
        <f t="shared" si="48"/>
        <v>1.0813033856763387E-2</v>
      </c>
      <c r="F1044" s="45">
        <f t="shared" si="46"/>
        <v>3.6049707973325296E-2</v>
      </c>
      <c r="G1044" s="9">
        <f t="shared" si="47"/>
        <v>8.200022274825013E-3</v>
      </c>
    </row>
    <row r="1045" spans="1:7" x14ac:dyDescent="0.2">
      <c r="A1045" s="12">
        <v>38411</v>
      </c>
      <c r="B1045" s="9">
        <v>774.52</v>
      </c>
      <c r="C1045" s="9">
        <v>769.06</v>
      </c>
      <c r="D1045" s="9">
        <v>769.97</v>
      </c>
      <c r="E1045" s="9">
        <f t="shared" si="48"/>
        <v>1.0390554994878249E-4</v>
      </c>
      <c r="F1045" s="45">
        <f t="shared" si="46"/>
        <v>2.9309602804803842E-2</v>
      </c>
      <c r="G1045" s="9">
        <f t="shared" si="47"/>
        <v>8.1321524384486647E-3</v>
      </c>
    </row>
    <row r="1046" spans="1:7" x14ac:dyDescent="0.2">
      <c r="A1046" s="12">
        <v>38412</v>
      </c>
      <c r="B1046" s="9">
        <v>774.25</v>
      </c>
      <c r="C1046" s="9">
        <v>765.36</v>
      </c>
      <c r="D1046" s="9">
        <v>772.09</v>
      </c>
      <c r="E1046" s="9">
        <f t="shared" si="48"/>
        <v>2.7495704909332331E-3</v>
      </c>
      <c r="F1046" s="45">
        <f t="shared" si="46"/>
        <v>3.4161069122092651E-2</v>
      </c>
      <c r="G1046" s="9">
        <f t="shared" si="47"/>
        <v>8.1170386411794759E-3</v>
      </c>
    </row>
    <row r="1047" spans="1:7" x14ac:dyDescent="0.2">
      <c r="A1047" s="12">
        <v>38413</v>
      </c>
      <c r="B1047" s="9">
        <v>776.56</v>
      </c>
      <c r="C1047" s="9">
        <v>769.92</v>
      </c>
      <c r="D1047" s="9">
        <v>776.54</v>
      </c>
      <c r="E1047" s="9">
        <f t="shared" si="48"/>
        <v>5.7470309215391637E-3</v>
      </c>
      <c r="F1047" s="45">
        <f t="shared" si="46"/>
        <v>4.0001918103677148E-2</v>
      </c>
      <c r="G1047" s="9">
        <f t="shared" si="47"/>
        <v>8.1564097389807515E-3</v>
      </c>
    </row>
    <row r="1048" spans="1:7" x14ac:dyDescent="0.2">
      <c r="A1048" s="12">
        <v>38414</v>
      </c>
      <c r="B1048" s="9">
        <v>780.03</v>
      </c>
      <c r="C1048" s="9">
        <v>774.77</v>
      </c>
      <c r="D1048" s="9">
        <v>775.55</v>
      </c>
      <c r="E1048" s="9">
        <f t="shared" si="48"/>
        <v>-1.2756993914801939E-3</v>
      </c>
      <c r="F1048" s="45">
        <f t="shared" si="46"/>
        <v>5.116096921351098E-2</v>
      </c>
      <c r="G1048" s="9">
        <f t="shared" si="47"/>
        <v>7.7512585259601058E-3</v>
      </c>
    </row>
    <row r="1049" spans="1:7" x14ac:dyDescent="0.2">
      <c r="A1049" s="12">
        <v>38415</v>
      </c>
      <c r="B1049" s="9">
        <v>784.17</v>
      </c>
      <c r="C1049" s="9">
        <v>776.26</v>
      </c>
      <c r="D1049" s="9">
        <v>784.17</v>
      </c>
      <c r="E1049" s="9">
        <f t="shared" si="48"/>
        <v>1.1053378508654964E-2</v>
      </c>
      <c r="F1049" s="45">
        <f t="shared" si="46"/>
        <v>6.4619289199372723E-2</v>
      </c>
      <c r="G1049" s="9">
        <f t="shared" si="47"/>
        <v>7.8933219863806716E-3</v>
      </c>
    </row>
    <row r="1050" spans="1:7" x14ac:dyDescent="0.2">
      <c r="A1050" s="12">
        <v>38418</v>
      </c>
      <c r="B1050" s="9">
        <v>787.39</v>
      </c>
      <c r="C1050" s="9">
        <v>778.74</v>
      </c>
      <c r="D1050" s="9">
        <v>780.47</v>
      </c>
      <c r="E1050" s="9">
        <f t="shared" si="48"/>
        <v>-4.7295312620680117E-3</v>
      </c>
      <c r="F1050" s="45">
        <f t="shared" si="46"/>
        <v>7.0199832445707266E-2</v>
      </c>
      <c r="G1050" s="9">
        <f t="shared" si="47"/>
        <v>7.6515120413993502E-3</v>
      </c>
    </row>
    <row r="1051" spans="1:7" x14ac:dyDescent="0.2">
      <c r="A1051" s="12">
        <v>38419</v>
      </c>
      <c r="B1051" s="9">
        <v>779.87</v>
      </c>
      <c r="C1051" s="9">
        <v>775.62</v>
      </c>
      <c r="D1051" s="9">
        <v>775.78</v>
      </c>
      <c r="E1051" s="9">
        <f t="shared" si="48"/>
        <v>-6.0273274839507812E-3</v>
      </c>
      <c r="F1051" s="45">
        <f t="shared" si="46"/>
        <v>5.2380737246145538E-2</v>
      </c>
      <c r="G1051" s="9">
        <f t="shared" si="47"/>
        <v>7.5838201436728165E-3</v>
      </c>
    </row>
    <row r="1052" spans="1:7" x14ac:dyDescent="0.2">
      <c r="A1052" s="12">
        <v>38420</v>
      </c>
      <c r="B1052" s="9">
        <v>780.08</v>
      </c>
      <c r="C1052" s="9">
        <v>772.71</v>
      </c>
      <c r="D1052" s="9">
        <v>775.63</v>
      </c>
      <c r="E1052" s="9">
        <f t="shared" si="48"/>
        <v>-1.9337248112020404E-4</v>
      </c>
      <c r="F1052" s="45">
        <f t="shared" si="46"/>
        <v>5.1454127353361814E-2</v>
      </c>
      <c r="G1052" s="9">
        <f t="shared" si="47"/>
        <v>7.5899716370423972E-3</v>
      </c>
    </row>
    <row r="1053" spans="1:7" x14ac:dyDescent="0.2">
      <c r="A1053" s="12">
        <v>38421</v>
      </c>
      <c r="B1053" s="9">
        <v>774.64</v>
      </c>
      <c r="C1053" s="9">
        <v>765.82</v>
      </c>
      <c r="D1053" s="9">
        <v>766.64</v>
      </c>
      <c r="E1053" s="9">
        <f t="shared" si="48"/>
        <v>-1.1658272316768973E-2</v>
      </c>
      <c r="F1053" s="45">
        <f t="shared" si="46"/>
        <v>3.2775909392356112E-2</v>
      </c>
      <c r="G1053" s="9">
        <f t="shared" si="47"/>
        <v>7.8995860290620931E-3</v>
      </c>
    </row>
    <row r="1054" spans="1:7" x14ac:dyDescent="0.2">
      <c r="A1054" s="12">
        <v>38422</v>
      </c>
      <c r="B1054" s="9">
        <v>774.5</v>
      </c>
      <c r="C1054" s="9">
        <v>768.78</v>
      </c>
      <c r="D1054" s="9">
        <v>771.22</v>
      </c>
      <c r="E1054" s="9">
        <f t="shared" si="48"/>
        <v>5.9563465345175096E-3</v>
      </c>
      <c r="F1054" s="45">
        <f t="shared" si="46"/>
        <v>4.7667897955353082E-2</v>
      </c>
      <c r="G1054" s="9">
        <f t="shared" si="47"/>
        <v>7.7134017133741817E-3</v>
      </c>
    </row>
    <row r="1055" spans="1:7" x14ac:dyDescent="0.2">
      <c r="A1055" s="12">
        <v>38425</v>
      </c>
      <c r="B1055" s="9">
        <v>774.6</v>
      </c>
      <c r="C1055" s="9">
        <v>766.25</v>
      </c>
      <c r="D1055" s="9">
        <v>773.37</v>
      </c>
      <c r="E1055" s="9">
        <f t="shared" si="48"/>
        <v>2.7839120913269615E-3</v>
      </c>
      <c r="F1055" s="45">
        <f t="shared" si="46"/>
        <v>4.208242708336421E-2</v>
      </c>
      <c r="G1055" s="9">
        <f t="shared" si="47"/>
        <v>7.6108224591855825E-3</v>
      </c>
    </row>
    <row r="1056" spans="1:7" x14ac:dyDescent="0.2">
      <c r="A1056" s="12">
        <v>38426</v>
      </c>
      <c r="B1056" s="9">
        <v>779.52</v>
      </c>
      <c r="C1056" s="9">
        <v>774.16</v>
      </c>
      <c r="D1056" s="9">
        <v>778.35</v>
      </c>
      <c r="E1056" s="9">
        <f t="shared" si="48"/>
        <v>6.4187058205072891E-3</v>
      </c>
      <c r="F1056" s="45">
        <f t="shared" si="46"/>
        <v>3.7023091151331643E-2</v>
      </c>
      <c r="G1056" s="9">
        <f t="shared" si="47"/>
        <v>7.4338670301041035E-3</v>
      </c>
    </row>
    <row r="1057" spans="1:7" x14ac:dyDescent="0.2">
      <c r="A1057" s="12">
        <v>38427</v>
      </c>
      <c r="B1057" s="9">
        <v>777.16</v>
      </c>
      <c r="C1057" s="9">
        <v>765.17</v>
      </c>
      <c r="D1057" s="9">
        <v>765.43</v>
      </c>
      <c r="E1057" s="9">
        <f t="shared" si="48"/>
        <v>-1.6738527066311557E-2</v>
      </c>
      <c r="F1057" s="45">
        <f t="shared" ref="F1057:F1120" si="49">LN(D1057/D1027)</f>
        <v>1.499235041683534E-2</v>
      </c>
      <c r="G1057" s="9">
        <f t="shared" ref="G1057:G1120" si="50">STDEV(E1028:E1057)</f>
        <v>8.0793003097727762E-3</v>
      </c>
    </row>
    <row r="1058" spans="1:7" x14ac:dyDescent="0.2">
      <c r="A1058" s="12">
        <v>38428</v>
      </c>
      <c r="B1058" s="9">
        <v>768.66</v>
      </c>
      <c r="C1058" s="9">
        <v>764.22</v>
      </c>
      <c r="D1058" s="9">
        <v>766.6</v>
      </c>
      <c r="E1058" s="9">
        <f t="shared" si="48"/>
        <v>1.5273855309078494E-3</v>
      </c>
      <c r="F1058" s="45">
        <f t="shared" si="49"/>
        <v>2.1731959214733344E-2</v>
      </c>
      <c r="G1058" s="9">
        <f t="shared" si="50"/>
        <v>8.0083859004847907E-3</v>
      </c>
    </row>
    <row r="1059" spans="1:7" x14ac:dyDescent="0.2">
      <c r="A1059" s="12">
        <v>38429</v>
      </c>
      <c r="B1059" s="9">
        <v>769.6</v>
      </c>
      <c r="C1059" s="9">
        <v>763.63</v>
      </c>
      <c r="D1059" s="9">
        <v>764.26</v>
      </c>
      <c r="E1059" s="9">
        <f t="shared" si="48"/>
        <v>-3.0571075375299527E-3</v>
      </c>
      <c r="F1059" s="45">
        <f t="shared" si="49"/>
        <v>1.1435614116627186E-2</v>
      </c>
      <c r="G1059" s="9">
        <f t="shared" si="50"/>
        <v>7.9398947616187987E-3</v>
      </c>
    </row>
    <row r="1060" spans="1:7" x14ac:dyDescent="0.2">
      <c r="A1060" s="12">
        <v>38432</v>
      </c>
      <c r="B1060" s="9">
        <v>767.37</v>
      </c>
      <c r="C1060" s="9">
        <v>759.22</v>
      </c>
      <c r="D1060" s="9">
        <v>760.17</v>
      </c>
      <c r="E1060" s="9">
        <f t="shared" si="48"/>
        <v>-5.3659529316048291E-3</v>
      </c>
      <c r="F1060" s="45">
        <f t="shared" si="49"/>
        <v>-7.2352956113277168E-3</v>
      </c>
      <c r="G1060" s="9">
        <f t="shared" si="50"/>
        <v>7.617135032600802E-3</v>
      </c>
    </row>
    <row r="1061" spans="1:7" x14ac:dyDescent="0.2">
      <c r="A1061" s="12">
        <v>38433</v>
      </c>
      <c r="B1061" s="9">
        <v>768.37</v>
      </c>
      <c r="C1061" s="9">
        <v>760.53</v>
      </c>
      <c r="D1061" s="9">
        <v>766.32</v>
      </c>
      <c r="E1061" s="9">
        <f t="shared" si="48"/>
        <v>8.0577445973163114E-3</v>
      </c>
      <c r="F1061" s="45">
        <f t="shared" si="49"/>
        <v>4.3680184535184689E-3</v>
      </c>
      <c r="G1061" s="9">
        <f t="shared" si="50"/>
        <v>7.7372070596513137E-3</v>
      </c>
    </row>
    <row r="1062" spans="1:7" x14ac:dyDescent="0.2">
      <c r="A1062" s="12">
        <v>38434</v>
      </c>
      <c r="B1062" s="9">
        <v>769.16</v>
      </c>
      <c r="C1062" s="9">
        <v>759.01</v>
      </c>
      <c r="D1062" s="9">
        <v>769.11</v>
      </c>
      <c r="E1062" s="9">
        <f t="shared" si="48"/>
        <v>3.6341651142196693E-3</v>
      </c>
      <c r="F1062" s="45">
        <f t="shared" si="49"/>
        <v>7.8015291036580501E-5</v>
      </c>
      <c r="G1062" s="9">
        <f t="shared" si="50"/>
        <v>7.6273494196818529E-3</v>
      </c>
    </row>
    <row r="1063" spans="1:7" x14ac:dyDescent="0.2">
      <c r="A1063" s="12">
        <v>38435</v>
      </c>
      <c r="B1063" s="9">
        <v>772.31</v>
      </c>
      <c r="C1063" s="9">
        <v>768.26</v>
      </c>
      <c r="D1063" s="9">
        <v>770.48</v>
      </c>
      <c r="E1063" s="9">
        <f t="shared" si="48"/>
        <v>1.7796950637529007E-3</v>
      </c>
      <c r="F1063" s="45">
        <f t="shared" si="49"/>
        <v>1.9461858866569204E-2</v>
      </c>
      <c r="G1063" s="9">
        <f t="shared" si="50"/>
        <v>6.8675983943701632E-3</v>
      </c>
    </row>
    <row r="1064" spans="1:7" x14ac:dyDescent="0.2">
      <c r="A1064" s="12">
        <v>38440</v>
      </c>
      <c r="B1064" s="9">
        <v>775.24</v>
      </c>
      <c r="C1064" s="9">
        <v>766.56</v>
      </c>
      <c r="D1064" s="9">
        <v>771.08</v>
      </c>
      <c r="E1064" s="9">
        <f t="shared" si="48"/>
        <v>7.784322767818776E-4</v>
      </c>
      <c r="F1064" s="45">
        <f t="shared" si="49"/>
        <v>5.5400362775929928E-3</v>
      </c>
      <c r="G1064" s="9">
        <f t="shared" si="50"/>
        <v>6.3350807236012552E-3</v>
      </c>
    </row>
    <row r="1065" spans="1:7" x14ac:dyDescent="0.2">
      <c r="A1065" s="12">
        <v>38441</v>
      </c>
      <c r="B1065" s="9">
        <v>769.69</v>
      </c>
      <c r="C1065" s="9">
        <v>764.62</v>
      </c>
      <c r="D1065" s="9">
        <v>769.49</v>
      </c>
      <c r="E1065" s="9">
        <f t="shared" si="48"/>
        <v>-2.0641717864902571E-3</v>
      </c>
      <c r="F1065" s="45">
        <f t="shared" si="49"/>
        <v>5.355515220733964E-3</v>
      </c>
      <c r="G1065" s="9">
        <f t="shared" si="50"/>
        <v>6.3372432792994961E-3</v>
      </c>
    </row>
    <row r="1066" spans="1:7" x14ac:dyDescent="0.2">
      <c r="A1066" s="12">
        <v>38442</v>
      </c>
      <c r="B1066" s="9">
        <v>775.2</v>
      </c>
      <c r="C1066" s="9">
        <v>769.4</v>
      </c>
      <c r="D1066" s="9">
        <v>770.39</v>
      </c>
      <c r="E1066" s="9">
        <f t="shared" si="48"/>
        <v>1.1689223867814139E-3</v>
      </c>
      <c r="F1066" s="45">
        <f t="shared" si="49"/>
        <v>-1.2980354234071041E-5</v>
      </c>
      <c r="G1066" s="9">
        <f t="shared" si="50"/>
        <v>6.2263165366321198E-3</v>
      </c>
    </row>
    <row r="1067" spans="1:7" x14ac:dyDescent="0.2">
      <c r="A1067" s="12">
        <v>38443</v>
      </c>
      <c r="B1067" s="9">
        <v>779.93</v>
      </c>
      <c r="C1067" s="9">
        <v>770.96</v>
      </c>
      <c r="D1067" s="9">
        <v>778.64</v>
      </c>
      <c r="E1067" s="9">
        <f t="shared" si="48"/>
        <v>1.0651927988556345E-2</v>
      </c>
      <c r="F1067" s="45">
        <f t="shared" si="49"/>
        <v>1.8248303160313933E-2</v>
      </c>
      <c r="G1067" s="9">
        <f t="shared" si="50"/>
        <v>6.3482410701123275E-3</v>
      </c>
    </row>
    <row r="1068" spans="1:7" x14ac:dyDescent="0.2">
      <c r="A1068" s="12">
        <v>38446</v>
      </c>
      <c r="B1068" s="9">
        <v>777.62</v>
      </c>
      <c r="C1068" s="9">
        <v>772.52</v>
      </c>
      <c r="D1068" s="9">
        <v>775.46</v>
      </c>
      <c r="E1068" s="9">
        <f t="shared" si="48"/>
        <v>-4.0924064579669845E-3</v>
      </c>
      <c r="F1068" s="45">
        <f t="shared" si="49"/>
        <v>1.4744643800148893E-2</v>
      </c>
      <c r="G1068" s="9">
        <f t="shared" si="50"/>
        <v>6.4030142279507566E-3</v>
      </c>
    </row>
    <row r="1069" spans="1:7" x14ac:dyDescent="0.2">
      <c r="A1069" s="12">
        <v>38447</v>
      </c>
      <c r="B1069" s="9">
        <v>784.13</v>
      </c>
      <c r="C1069" s="9">
        <v>777.57</v>
      </c>
      <c r="D1069" s="9">
        <v>784.13</v>
      </c>
      <c r="E1069" s="9">
        <f t="shared" si="48"/>
        <v>1.1118421270659632E-2</v>
      </c>
      <c r="F1069" s="45">
        <f t="shared" si="49"/>
        <v>3.3865052412368743E-2</v>
      </c>
      <c r="G1069" s="9">
        <f t="shared" si="50"/>
        <v>6.479584366275869E-3</v>
      </c>
    </row>
    <row r="1070" spans="1:7" x14ac:dyDescent="0.2">
      <c r="A1070" s="12">
        <v>38448</v>
      </c>
      <c r="B1070" s="9">
        <v>789.47</v>
      </c>
      <c r="C1070" s="9">
        <v>783.88</v>
      </c>
      <c r="D1070" s="9">
        <v>789.39</v>
      </c>
      <c r="E1070" s="9">
        <f t="shared" si="48"/>
        <v>6.6856723685787866E-3</v>
      </c>
      <c r="F1070" s="45">
        <f t="shared" si="49"/>
        <v>3.6811122824646311E-2</v>
      </c>
      <c r="G1070" s="9">
        <f t="shared" si="50"/>
        <v>6.5425356762330786E-3</v>
      </c>
    </row>
    <row r="1071" spans="1:7" x14ac:dyDescent="0.2">
      <c r="A1071" s="12">
        <v>38449</v>
      </c>
      <c r="B1071" s="9">
        <v>790.31</v>
      </c>
      <c r="C1071" s="9">
        <v>785.09</v>
      </c>
      <c r="D1071" s="9">
        <v>788.29</v>
      </c>
      <c r="E1071" s="9">
        <f t="shared" si="48"/>
        <v>-1.3944528399241001E-3</v>
      </c>
      <c r="F1071" s="45">
        <f t="shared" si="49"/>
        <v>3.8338685884113495E-2</v>
      </c>
      <c r="G1071" s="9">
        <f t="shared" si="50"/>
        <v>6.5150176786790649E-3</v>
      </c>
    </row>
    <row r="1072" spans="1:7" x14ac:dyDescent="0.2">
      <c r="A1072" s="12">
        <v>38450</v>
      </c>
      <c r="B1072" s="9">
        <v>791.48</v>
      </c>
      <c r="C1072" s="9">
        <v>788.53</v>
      </c>
      <c r="D1072" s="9">
        <v>791.09</v>
      </c>
      <c r="E1072" s="9">
        <f t="shared" si="48"/>
        <v>3.5456988608967626E-3</v>
      </c>
      <c r="F1072" s="45">
        <f t="shared" si="49"/>
        <v>4.1199182451763294E-2</v>
      </c>
      <c r="G1072" s="9">
        <f t="shared" si="50"/>
        <v>6.5269646449998171E-3</v>
      </c>
    </row>
    <row r="1073" spans="1:7" x14ac:dyDescent="0.2">
      <c r="A1073" s="12">
        <v>38453</v>
      </c>
      <c r="B1073" s="9">
        <v>792.81</v>
      </c>
      <c r="C1073" s="9">
        <v>785.57</v>
      </c>
      <c r="D1073" s="9">
        <v>792.3</v>
      </c>
      <c r="E1073" s="9">
        <f t="shared" si="48"/>
        <v>1.5283666507139885E-3</v>
      </c>
      <c r="F1073" s="45">
        <f t="shared" si="49"/>
        <v>3.9505494328140794E-2</v>
      </c>
      <c r="G1073" s="9">
        <f t="shared" si="50"/>
        <v>6.5177405371312051E-3</v>
      </c>
    </row>
    <row r="1074" spans="1:7" x14ac:dyDescent="0.2">
      <c r="A1074" s="12">
        <v>38454</v>
      </c>
      <c r="B1074" s="9">
        <v>792.3</v>
      </c>
      <c r="C1074" s="9">
        <v>786.17</v>
      </c>
      <c r="D1074" s="9">
        <v>787.77</v>
      </c>
      <c r="E1074" s="9">
        <f t="shared" si="48"/>
        <v>-5.7339388906301652E-3</v>
      </c>
      <c r="F1074" s="45">
        <f t="shared" si="49"/>
        <v>2.2958521580747206E-2</v>
      </c>
      <c r="G1074" s="9">
        <f t="shared" si="50"/>
        <v>6.3852110269002607E-3</v>
      </c>
    </row>
    <row r="1075" spans="1:7" x14ac:dyDescent="0.2">
      <c r="A1075" s="12">
        <v>38455</v>
      </c>
      <c r="B1075" s="9">
        <v>794.03</v>
      </c>
      <c r="C1075" s="9">
        <v>789.35</v>
      </c>
      <c r="D1075" s="9">
        <v>791.83</v>
      </c>
      <c r="E1075" s="9">
        <f t="shared" si="48"/>
        <v>5.1405532293641006E-3</v>
      </c>
      <c r="F1075" s="45">
        <f t="shared" si="49"/>
        <v>2.7995169260162572E-2</v>
      </c>
      <c r="G1075" s="9">
        <f t="shared" si="50"/>
        <v>6.4332558409354616E-3</v>
      </c>
    </row>
    <row r="1076" spans="1:7" x14ac:dyDescent="0.2">
      <c r="A1076" s="12">
        <v>38456</v>
      </c>
      <c r="B1076" s="9">
        <v>797.19</v>
      </c>
      <c r="C1076" s="9">
        <v>787.38</v>
      </c>
      <c r="D1076" s="9">
        <v>796.37</v>
      </c>
      <c r="E1076" s="9">
        <f t="shared" si="48"/>
        <v>5.7171796577896832E-3</v>
      </c>
      <c r="F1076" s="45">
        <f t="shared" si="49"/>
        <v>3.0962778427019052E-2</v>
      </c>
      <c r="G1076" s="9">
        <f t="shared" si="50"/>
        <v>6.4847580123603811E-3</v>
      </c>
    </row>
    <row r="1077" spans="1:7" x14ac:dyDescent="0.2">
      <c r="A1077" s="12">
        <v>38457</v>
      </c>
      <c r="B1077" s="9">
        <v>792.9</v>
      </c>
      <c r="C1077" s="9">
        <v>782.44</v>
      </c>
      <c r="D1077" s="9">
        <v>784.29</v>
      </c>
      <c r="E1077" s="9">
        <f t="shared" si="48"/>
        <v>-1.5285052053512667E-2</v>
      </c>
      <c r="F1077" s="45">
        <f t="shared" si="49"/>
        <v>9.9306954519671441E-3</v>
      </c>
      <c r="G1077" s="9">
        <f t="shared" si="50"/>
        <v>7.0681025212548905E-3</v>
      </c>
    </row>
    <row r="1078" spans="1:7" x14ac:dyDescent="0.2">
      <c r="A1078" s="12">
        <v>38460</v>
      </c>
      <c r="B1078" s="9">
        <v>783.15</v>
      </c>
      <c r="C1078" s="9">
        <v>768.22</v>
      </c>
      <c r="D1078" s="9">
        <v>772.86</v>
      </c>
      <c r="E1078" s="9">
        <f t="shared" si="48"/>
        <v>-1.4680930278155528E-2</v>
      </c>
      <c r="F1078" s="45">
        <f t="shared" si="49"/>
        <v>-3.4745354347081882E-3</v>
      </c>
      <c r="G1078" s="9">
        <f t="shared" si="50"/>
        <v>7.5784888548326382E-3</v>
      </c>
    </row>
    <row r="1079" spans="1:7" x14ac:dyDescent="0.2">
      <c r="A1079" s="12">
        <v>38461</v>
      </c>
      <c r="B1079" s="9">
        <v>778.91</v>
      </c>
      <c r="C1079" s="9">
        <v>772.33</v>
      </c>
      <c r="D1079" s="9">
        <v>773.9</v>
      </c>
      <c r="E1079" s="9">
        <f t="shared" si="48"/>
        <v>1.344746640361934E-3</v>
      </c>
      <c r="F1079" s="45">
        <f t="shared" si="49"/>
        <v>-1.3183167303001406E-2</v>
      </c>
      <c r="G1079" s="9">
        <f t="shared" si="50"/>
        <v>7.2867657315729721E-3</v>
      </c>
    </row>
    <row r="1080" spans="1:7" x14ac:dyDescent="0.2">
      <c r="A1080" s="12">
        <v>38462</v>
      </c>
      <c r="B1080" s="9">
        <v>780.77</v>
      </c>
      <c r="C1080" s="9">
        <v>773.08</v>
      </c>
      <c r="D1080" s="9">
        <v>773.1</v>
      </c>
      <c r="E1080" s="9">
        <f t="shared" si="48"/>
        <v>-1.034259949984305E-3</v>
      </c>
      <c r="F1080" s="45">
        <f t="shared" si="49"/>
        <v>-9.4878959909176497E-3</v>
      </c>
      <c r="G1080" s="9">
        <f t="shared" si="50"/>
        <v>7.2428453210381383E-3</v>
      </c>
    </row>
    <row r="1081" spans="1:7" x14ac:dyDescent="0.2">
      <c r="A1081" s="12">
        <v>38463</v>
      </c>
      <c r="B1081" s="9">
        <v>778.4</v>
      </c>
      <c r="C1081" s="9">
        <v>771.03</v>
      </c>
      <c r="D1081" s="9">
        <v>775.28</v>
      </c>
      <c r="E1081" s="9">
        <f t="shared" si="48"/>
        <v>2.815848099865547E-3</v>
      </c>
      <c r="F1081" s="45">
        <f t="shared" si="49"/>
        <v>-6.447204071014245E-4</v>
      </c>
      <c r="G1081" s="9">
        <f t="shared" si="50"/>
        <v>7.1820959931195583E-3</v>
      </c>
    </row>
    <row r="1082" spans="1:7" x14ac:dyDescent="0.2">
      <c r="A1082" s="12">
        <v>38464</v>
      </c>
      <c r="B1082" s="9">
        <v>787.22</v>
      </c>
      <c r="C1082" s="9">
        <v>781.55</v>
      </c>
      <c r="D1082" s="9">
        <v>785.96</v>
      </c>
      <c r="E1082" s="9">
        <f t="shared" si="48"/>
        <v>1.3681646122700428E-2</v>
      </c>
      <c r="F1082" s="45">
        <f t="shared" si="49"/>
        <v>1.3230298196719373E-2</v>
      </c>
      <c r="G1082" s="9">
        <f t="shared" si="50"/>
        <v>7.6049480103306368E-3</v>
      </c>
    </row>
    <row r="1083" spans="1:7" x14ac:dyDescent="0.2">
      <c r="A1083" s="12">
        <v>38467</v>
      </c>
      <c r="B1083" s="9">
        <v>786.65</v>
      </c>
      <c r="C1083" s="9">
        <v>779.53</v>
      </c>
      <c r="D1083" s="9">
        <v>786.16</v>
      </c>
      <c r="E1083" s="9">
        <f t="shared" si="48"/>
        <v>2.5443350517623757E-4</v>
      </c>
      <c r="F1083" s="45">
        <f t="shared" si="49"/>
        <v>2.5143004018664605E-2</v>
      </c>
      <c r="G1083" s="9">
        <f t="shared" si="50"/>
        <v>7.254329394440177E-3</v>
      </c>
    </row>
    <row r="1084" spans="1:7" x14ac:dyDescent="0.2">
      <c r="A1084" s="12">
        <v>38468</v>
      </c>
      <c r="B1084" s="9">
        <v>786.73</v>
      </c>
      <c r="C1084" s="9">
        <v>775.73</v>
      </c>
      <c r="D1084" s="9">
        <v>780.32</v>
      </c>
      <c r="E1084" s="9">
        <f t="shared" si="48"/>
        <v>-7.4562420924288251E-3</v>
      </c>
      <c r="F1084" s="45">
        <f t="shared" si="49"/>
        <v>1.1730415391718365E-2</v>
      </c>
      <c r="G1084" s="9">
        <f t="shared" si="50"/>
        <v>7.3408085531917562E-3</v>
      </c>
    </row>
    <row r="1085" spans="1:7" x14ac:dyDescent="0.2">
      <c r="A1085" s="12">
        <v>38469</v>
      </c>
      <c r="B1085" s="9">
        <v>779.18</v>
      </c>
      <c r="C1085" s="9">
        <v>755.18</v>
      </c>
      <c r="D1085" s="9">
        <v>757.05</v>
      </c>
      <c r="E1085" s="9">
        <f t="shared" si="48"/>
        <v>-3.0274790507361524E-2</v>
      </c>
      <c r="F1085" s="45">
        <f t="shared" si="49"/>
        <v>-2.1328287206970047E-2</v>
      </c>
      <c r="G1085" s="9">
        <f t="shared" si="50"/>
        <v>9.2120104703927626E-3</v>
      </c>
    </row>
    <row r="1086" spans="1:7" x14ac:dyDescent="0.2">
      <c r="A1086" s="12">
        <v>38470</v>
      </c>
      <c r="B1086" s="9">
        <v>760.05</v>
      </c>
      <c r="C1086" s="9">
        <v>742.84</v>
      </c>
      <c r="D1086" s="9">
        <v>748.24</v>
      </c>
      <c r="E1086" s="9">
        <f t="shared" si="48"/>
        <v>-1.1705519328085442E-2</v>
      </c>
      <c r="F1086" s="45">
        <f t="shared" si="49"/>
        <v>-3.9452512355562783E-2</v>
      </c>
      <c r="G1086" s="9">
        <f t="shared" si="50"/>
        <v>9.3219655420034506E-3</v>
      </c>
    </row>
    <row r="1087" spans="1:7" x14ac:dyDescent="0.2">
      <c r="A1087" s="12">
        <v>38471</v>
      </c>
      <c r="B1087" s="9">
        <v>753.97</v>
      </c>
      <c r="C1087" s="9">
        <v>744.84</v>
      </c>
      <c r="D1087" s="9">
        <v>749.54</v>
      </c>
      <c r="E1087" s="9">
        <f t="shared" si="48"/>
        <v>1.7359029048954681E-3</v>
      </c>
      <c r="F1087" s="45">
        <f t="shared" si="49"/>
        <v>-2.0978082384355754E-2</v>
      </c>
      <c r="G1087" s="9">
        <f t="shared" si="50"/>
        <v>8.8670667356175667E-3</v>
      </c>
    </row>
    <row r="1088" spans="1:7" x14ac:dyDescent="0.2">
      <c r="A1088" s="12">
        <v>38474</v>
      </c>
      <c r="B1088" s="9">
        <v>757.47</v>
      </c>
      <c r="C1088" s="9">
        <v>750.11</v>
      </c>
      <c r="D1088" s="9">
        <v>754.79</v>
      </c>
      <c r="E1088" s="9">
        <f t="shared" ref="E1088:E1151" si="51">LN(D1088/D1087)</f>
        <v>6.9798798327809922E-3</v>
      </c>
      <c r="F1088" s="45">
        <f t="shared" si="49"/>
        <v>-1.5525588082482613E-2</v>
      </c>
      <c r="G1088" s="9">
        <f t="shared" si="50"/>
        <v>8.9695685772869255E-3</v>
      </c>
    </row>
    <row r="1089" spans="1:7" x14ac:dyDescent="0.2">
      <c r="A1089" s="12">
        <v>38475</v>
      </c>
      <c r="B1089" s="9">
        <v>760.26</v>
      </c>
      <c r="C1089" s="9">
        <v>753.37</v>
      </c>
      <c r="D1089" s="9">
        <v>757.64</v>
      </c>
      <c r="E1089" s="9">
        <f t="shared" si="51"/>
        <v>3.7687739245688256E-3</v>
      </c>
      <c r="F1089" s="45">
        <f t="shared" si="49"/>
        <v>-8.6997066203840789E-3</v>
      </c>
      <c r="G1089" s="9">
        <f t="shared" si="50"/>
        <v>8.9894792341776632E-3</v>
      </c>
    </row>
    <row r="1090" spans="1:7" x14ac:dyDescent="0.2">
      <c r="A1090" s="12">
        <v>38476</v>
      </c>
      <c r="B1090" s="9">
        <v>760.61</v>
      </c>
      <c r="C1090" s="9">
        <v>755.26</v>
      </c>
      <c r="D1090" s="9">
        <v>756.54</v>
      </c>
      <c r="E1090" s="9">
        <f t="shared" si="51"/>
        <v>-1.4529318753508822E-3</v>
      </c>
      <c r="F1090" s="45">
        <f t="shared" si="49"/>
        <v>-4.7866855641300341E-3</v>
      </c>
      <c r="G1090" s="9">
        <f t="shared" si="50"/>
        <v>8.9415496899410713E-3</v>
      </c>
    </row>
    <row r="1091" spans="1:7" x14ac:dyDescent="0.2">
      <c r="A1091" s="12">
        <v>38478</v>
      </c>
      <c r="B1091" s="9">
        <v>769.16</v>
      </c>
      <c r="C1091" s="9">
        <v>757.69</v>
      </c>
      <c r="D1091" s="9">
        <v>766.25</v>
      </c>
      <c r="E1091" s="9">
        <f t="shared" si="51"/>
        <v>1.2753080337231116E-2</v>
      </c>
      <c r="F1091" s="45">
        <f t="shared" si="49"/>
        <v>-9.1349824215162614E-5</v>
      </c>
      <c r="G1091" s="9">
        <f t="shared" si="50"/>
        <v>9.1294621439471264E-3</v>
      </c>
    </row>
    <row r="1092" spans="1:7" x14ac:dyDescent="0.2">
      <c r="A1092" s="12">
        <v>38481</v>
      </c>
      <c r="B1092" s="9">
        <v>770.26</v>
      </c>
      <c r="C1092" s="9">
        <v>765.02</v>
      </c>
      <c r="D1092" s="9">
        <v>768.8</v>
      </c>
      <c r="E1092" s="9">
        <f t="shared" si="51"/>
        <v>3.3223704056616205E-3</v>
      </c>
      <c r="F1092" s="45">
        <f t="shared" si="49"/>
        <v>-4.0314453277324173E-4</v>
      </c>
      <c r="G1092" s="9">
        <f t="shared" si="50"/>
        <v>9.1253552444268814E-3</v>
      </c>
    </row>
    <row r="1093" spans="1:7" x14ac:dyDescent="0.2">
      <c r="A1093" s="12">
        <v>38482</v>
      </c>
      <c r="B1093" s="9">
        <v>773.62</v>
      </c>
      <c r="C1093" s="9">
        <v>762.93</v>
      </c>
      <c r="D1093" s="9">
        <v>765.45</v>
      </c>
      <c r="E1093" s="9">
        <f t="shared" si="51"/>
        <v>-4.3669614779924355E-3</v>
      </c>
      <c r="F1093" s="45">
        <f t="shared" si="49"/>
        <v>-6.5498010745187142E-3</v>
      </c>
      <c r="G1093" s="9">
        <f t="shared" si="50"/>
        <v>9.1526698589285364E-3</v>
      </c>
    </row>
    <row r="1094" spans="1:7" x14ac:dyDescent="0.2">
      <c r="A1094" s="12">
        <v>38483</v>
      </c>
      <c r="B1094" s="9">
        <v>768.34</v>
      </c>
      <c r="C1094" s="9">
        <v>760.1</v>
      </c>
      <c r="D1094" s="9">
        <v>762.13</v>
      </c>
      <c r="E1094" s="9">
        <f t="shared" si="51"/>
        <v>-4.3467513680551491E-3</v>
      </c>
      <c r="F1094" s="45">
        <f t="shared" si="49"/>
        <v>-1.1674984719355635E-2</v>
      </c>
      <c r="G1094" s="9">
        <f t="shared" si="50"/>
        <v>9.1812109092173164E-3</v>
      </c>
    </row>
    <row r="1095" spans="1:7" x14ac:dyDescent="0.2">
      <c r="A1095" s="12">
        <v>38484</v>
      </c>
      <c r="B1095" s="9">
        <v>771.85</v>
      </c>
      <c r="C1095" s="9">
        <v>763.28</v>
      </c>
      <c r="D1095" s="9">
        <v>770.4</v>
      </c>
      <c r="E1095" s="9">
        <f t="shared" si="51"/>
        <v>1.0792715673880744E-2</v>
      </c>
      <c r="F1095" s="45">
        <f t="shared" si="49"/>
        <v>1.1819027410153058E-3</v>
      </c>
      <c r="G1095" s="9">
        <f t="shared" si="50"/>
        <v>9.3978413355611818E-3</v>
      </c>
    </row>
    <row r="1096" spans="1:7" x14ac:dyDescent="0.2">
      <c r="A1096" s="12">
        <v>38485</v>
      </c>
      <c r="B1096" s="9">
        <v>775.34</v>
      </c>
      <c r="C1096" s="9">
        <v>767.55</v>
      </c>
      <c r="D1096" s="9">
        <v>775.2</v>
      </c>
      <c r="E1096" s="9">
        <f t="shared" si="51"/>
        <v>6.2112000926406764E-3</v>
      </c>
      <c r="F1096" s="45">
        <f t="shared" si="49"/>
        <v>6.2241804468748524E-3</v>
      </c>
      <c r="G1096" s="9">
        <f t="shared" si="50"/>
        <v>9.4635982696239518E-3</v>
      </c>
    </row>
    <row r="1097" spans="1:7" x14ac:dyDescent="0.2">
      <c r="A1097" s="12">
        <v>38488</v>
      </c>
      <c r="B1097" s="9">
        <v>775.47</v>
      </c>
      <c r="C1097" s="9">
        <v>769.95</v>
      </c>
      <c r="D1097" s="9">
        <v>774.92</v>
      </c>
      <c r="E1097" s="9">
        <f t="shared" si="51"/>
        <v>-3.6126235781146887E-4</v>
      </c>
      <c r="F1097" s="45">
        <f t="shared" si="49"/>
        <v>-4.7890098994930836E-3</v>
      </c>
      <c r="G1097" s="9">
        <f t="shared" si="50"/>
        <v>9.2557994399182948E-3</v>
      </c>
    </row>
    <row r="1098" spans="1:7" x14ac:dyDescent="0.2">
      <c r="A1098" s="12">
        <v>38489</v>
      </c>
      <c r="B1098" s="9">
        <v>778.98</v>
      </c>
      <c r="C1098" s="9">
        <v>773.52</v>
      </c>
      <c r="D1098" s="9">
        <v>776.08</v>
      </c>
      <c r="E1098" s="9">
        <f t="shared" si="51"/>
        <v>1.4958094342829539E-3</v>
      </c>
      <c r="F1098" s="45">
        <f t="shared" si="49"/>
        <v>7.9920599275697753E-4</v>
      </c>
      <c r="G1098" s="9">
        <f t="shared" si="50"/>
        <v>9.2301188514051224E-3</v>
      </c>
    </row>
    <row r="1099" spans="1:7" x14ac:dyDescent="0.2">
      <c r="A1099" s="12">
        <v>38490</v>
      </c>
      <c r="B1099" s="9">
        <v>783.58</v>
      </c>
      <c r="C1099" s="9">
        <v>776.65</v>
      </c>
      <c r="D1099" s="9">
        <v>781.66</v>
      </c>
      <c r="E1099" s="9">
        <f t="shared" si="51"/>
        <v>7.1642557382234308E-3</v>
      </c>
      <c r="F1099" s="45">
        <f t="shared" si="49"/>
        <v>-3.1549595396793881E-3</v>
      </c>
      <c r="G1099" s="9">
        <f t="shared" si="50"/>
        <v>9.0934885641732414E-3</v>
      </c>
    </row>
    <row r="1100" spans="1:7" x14ac:dyDescent="0.2">
      <c r="A1100" s="12">
        <v>38491</v>
      </c>
      <c r="B1100" s="9">
        <v>786.46</v>
      </c>
      <c r="C1100" s="9">
        <v>781.64</v>
      </c>
      <c r="D1100" s="9">
        <v>785.11</v>
      </c>
      <c r="E1100" s="9">
        <f t="shared" si="51"/>
        <v>4.4039719627664946E-3</v>
      </c>
      <c r="F1100" s="45">
        <f t="shared" si="49"/>
        <v>-5.4366599454915478E-3</v>
      </c>
      <c r="G1100" s="9">
        <f t="shared" si="50"/>
        <v>9.0441404115079414E-3</v>
      </c>
    </row>
    <row r="1101" spans="1:7" x14ac:dyDescent="0.2">
      <c r="A1101" s="12">
        <v>38492</v>
      </c>
      <c r="B1101" s="9">
        <v>787.92</v>
      </c>
      <c r="C1101" s="9">
        <v>783.34</v>
      </c>
      <c r="D1101" s="9">
        <v>784.58</v>
      </c>
      <c r="E1101" s="9">
        <f t="shared" si="51"/>
        <v>-6.7529259935514903E-4</v>
      </c>
      <c r="F1101" s="45">
        <f t="shared" si="49"/>
        <v>-4.7174997049226116E-3</v>
      </c>
      <c r="G1101" s="9">
        <f t="shared" si="50"/>
        <v>9.0417665627403557E-3</v>
      </c>
    </row>
    <row r="1102" spans="1:7" x14ac:dyDescent="0.2">
      <c r="A1102" s="12">
        <v>38495</v>
      </c>
      <c r="B1102" s="9">
        <v>787.77</v>
      </c>
      <c r="C1102" s="9">
        <v>783.25</v>
      </c>
      <c r="D1102" s="9">
        <v>784.34</v>
      </c>
      <c r="E1102" s="9">
        <f t="shared" si="51"/>
        <v>-3.0594294402781156E-4</v>
      </c>
      <c r="F1102" s="45">
        <f t="shared" si="49"/>
        <v>-8.5691415098471217E-3</v>
      </c>
      <c r="G1102" s="9">
        <f t="shared" si="50"/>
        <v>9.0146786605929969E-3</v>
      </c>
    </row>
    <row r="1103" spans="1:7" x14ac:dyDescent="0.2">
      <c r="A1103" s="12">
        <v>38496</v>
      </c>
      <c r="B1103" s="9">
        <v>785.99</v>
      </c>
      <c r="C1103" s="9">
        <v>782.75</v>
      </c>
      <c r="D1103" s="9">
        <v>784.64</v>
      </c>
      <c r="E1103" s="9">
        <f t="shared" si="51"/>
        <v>3.824140571019399E-4</v>
      </c>
      <c r="F1103" s="45">
        <f t="shared" si="49"/>
        <v>-9.7150941034589381E-3</v>
      </c>
      <c r="G1103" s="9">
        <f t="shared" si="50"/>
        <v>9.0091532309883055E-3</v>
      </c>
    </row>
    <row r="1104" spans="1:7" x14ac:dyDescent="0.2">
      <c r="A1104" s="12">
        <v>38497</v>
      </c>
      <c r="B1104" s="9">
        <v>787.21</v>
      </c>
      <c r="C1104" s="9">
        <v>782.56</v>
      </c>
      <c r="D1104" s="9">
        <v>783.17</v>
      </c>
      <c r="E1104" s="9">
        <f t="shared" si="51"/>
        <v>-1.8752277773055259E-3</v>
      </c>
      <c r="F1104" s="45">
        <f t="shared" si="49"/>
        <v>-5.8563829901343099E-3</v>
      </c>
      <c r="G1104" s="9">
        <f t="shared" si="50"/>
        <v>8.9566421150119088E-3</v>
      </c>
    </row>
    <row r="1105" spans="1:7" x14ac:dyDescent="0.2">
      <c r="A1105" s="12">
        <v>38498</v>
      </c>
      <c r="B1105" s="9">
        <v>791.24</v>
      </c>
      <c r="C1105" s="9">
        <v>783.17</v>
      </c>
      <c r="D1105" s="9">
        <v>790.13</v>
      </c>
      <c r="E1105" s="9">
        <f t="shared" si="51"/>
        <v>8.8477027946492273E-3</v>
      </c>
      <c r="F1105" s="45">
        <f t="shared" si="49"/>
        <v>-2.1492334248492178E-3</v>
      </c>
      <c r="G1105" s="9">
        <f t="shared" si="50"/>
        <v>9.0577981753985608E-3</v>
      </c>
    </row>
    <row r="1106" spans="1:7" x14ac:dyDescent="0.2">
      <c r="A1106" s="12">
        <v>38499</v>
      </c>
      <c r="B1106" s="9">
        <v>793.65</v>
      </c>
      <c r="C1106" s="9">
        <v>787.71</v>
      </c>
      <c r="D1106" s="9">
        <v>790.72</v>
      </c>
      <c r="E1106" s="9">
        <f t="shared" si="51"/>
        <v>7.4643391516446549E-4</v>
      </c>
      <c r="F1106" s="45">
        <f t="shared" si="49"/>
        <v>-7.1199791674743506E-3</v>
      </c>
      <c r="G1106" s="9">
        <f t="shared" si="50"/>
        <v>8.9934894385996916E-3</v>
      </c>
    </row>
    <row r="1107" spans="1:7" x14ac:dyDescent="0.2">
      <c r="A1107" s="12">
        <v>38502</v>
      </c>
      <c r="B1107" s="9">
        <v>793.8</v>
      </c>
      <c r="C1107" s="9">
        <v>788.07</v>
      </c>
      <c r="D1107" s="9">
        <v>793.8</v>
      </c>
      <c r="E1107" s="9">
        <f t="shared" si="51"/>
        <v>3.8876175487197492E-3</v>
      </c>
      <c r="F1107" s="45">
        <f t="shared" si="49"/>
        <v>1.2052690434757899E-2</v>
      </c>
      <c r="G1107" s="9">
        <f t="shared" si="50"/>
        <v>8.5579787910720871E-3</v>
      </c>
    </row>
    <row r="1108" spans="1:7" x14ac:dyDescent="0.2">
      <c r="A1108" s="12">
        <v>38503</v>
      </c>
      <c r="B1108" s="9">
        <v>796.92</v>
      </c>
      <c r="C1108" s="9">
        <v>792.31</v>
      </c>
      <c r="D1108" s="9">
        <v>792.39</v>
      </c>
      <c r="E1108" s="9">
        <f t="shared" si="51"/>
        <v>-1.7778454931455707E-3</v>
      </c>
      <c r="F1108" s="45">
        <f t="shared" si="49"/>
        <v>2.4955775219767856E-2</v>
      </c>
      <c r="G1108" s="9">
        <f t="shared" si="50"/>
        <v>8.0849895053779347E-3</v>
      </c>
    </row>
    <row r="1109" spans="1:7" x14ac:dyDescent="0.2">
      <c r="A1109" s="12">
        <v>38504</v>
      </c>
      <c r="B1109" s="9">
        <v>796.79</v>
      </c>
      <c r="C1109" s="9">
        <v>792.01</v>
      </c>
      <c r="D1109" s="9">
        <v>795.58</v>
      </c>
      <c r="E1109" s="9">
        <f t="shared" si="51"/>
        <v>4.0177135475939372E-3</v>
      </c>
      <c r="F1109" s="45">
        <f t="shared" si="49"/>
        <v>2.7628742127000033E-2</v>
      </c>
      <c r="G1109" s="9">
        <f t="shared" si="50"/>
        <v>8.1055388893023737E-3</v>
      </c>
    </row>
    <row r="1110" spans="1:7" x14ac:dyDescent="0.2">
      <c r="A1110" s="12">
        <v>38505</v>
      </c>
      <c r="B1110" s="9">
        <v>797.05</v>
      </c>
      <c r="C1110" s="9">
        <v>789.28</v>
      </c>
      <c r="D1110" s="9">
        <v>789.97</v>
      </c>
      <c r="E1110" s="9">
        <f t="shared" si="51"/>
        <v>-7.076438346947064E-3</v>
      </c>
      <c r="F1110" s="45">
        <f t="shared" si="49"/>
        <v>2.1586563730037294E-2</v>
      </c>
      <c r="G1110" s="9">
        <f t="shared" si="50"/>
        <v>8.2299109669408954E-3</v>
      </c>
    </row>
    <row r="1111" spans="1:7" x14ac:dyDescent="0.2">
      <c r="A1111" s="12">
        <v>38506</v>
      </c>
      <c r="B1111" s="9">
        <v>793.76</v>
      </c>
      <c r="C1111" s="9">
        <v>785.5</v>
      </c>
      <c r="D1111" s="9">
        <v>787.58</v>
      </c>
      <c r="E1111" s="9">
        <f t="shared" si="51"/>
        <v>-3.0300172147314079E-3</v>
      </c>
      <c r="F1111" s="45">
        <f t="shared" si="49"/>
        <v>1.5740698415440402E-2</v>
      </c>
      <c r="G1111" s="9">
        <f t="shared" si="50"/>
        <v>8.2477526229632874E-3</v>
      </c>
    </row>
    <row r="1112" spans="1:7" x14ac:dyDescent="0.2">
      <c r="A1112" s="12">
        <v>38510</v>
      </c>
      <c r="B1112" s="9">
        <v>793.85</v>
      </c>
      <c r="C1112" s="9">
        <v>786.21</v>
      </c>
      <c r="D1112" s="9">
        <v>793.48</v>
      </c>
      <c r="E1112" s="9">
        <f t="shared" si="51"/>
        <v>7.4633820181728488E-3</v>
      </c>
      <c r="F1112" s="45">
        <f t="shared" si="49"/>
        <v>9.5224343109127016E-3</v>
      </c>
      <c r="G1112" s="9">
        <f t="shared" si="50"/>
        <v>7.9794743902479367E-3</v>
      </c>
    </row>
    <row r="1113" spans="1:7" x14ac:dyDescent="0.2">
      <c r="A1113" s="12">
        <v>38511</v>
      </c>
      <c r="B1113" s="9">
        <v>798.12</v>
      </c>
      <c r="C1113" s="9">
        <v>791.74</v>
      </c>
      <c r="D1113" s="9">
        <v>796.64</v>
      </c>
      <c r="E1113" s="9">
        <f t="shared" si="51"/>
        <v>3.9745480339647785E-3</v>
      </c>
      <c r="F1113" s="45">
        <f t="shared" si="49"/>
        <v>1.3242548839701263E-2</v>
      </c>
      <c r="G1113" s="9">
        <f t="shared" si="50"/>
        <v>8.0073192501501304E-3</v>
      </c>
    </row>
    <row r="1114" spans="1:7" x14ac:dyDescent="0.2">
      <c r="A1114" s="12">
        <v>38512</v>
      </c>
      <c r="B1114" s="9">
        <v>797.49</v>
      </c>
      <c r="C1114" s="9">
        <v>793.35</v>
      </c>
      <c r="D1114" s="9">
        <v>794.6</v>
      </c>
      <c r="E1114" s="9">
        <f t="shared" si="51"/>
        <v>-2.5640395133739616E-3</v>
      </c>
      <c r="F1114" s="45">
        <f t="shared" si="49"/>
        <v>1.8134751418756038E-2</v>
      </c>
      <c r="G1114" s="9">
        <f t="shared" si="50"/>
        <v>7.8898879728171775E-3</v>
      </c>
    </row>
    <row r="1115" spans="1:7" x14ac:dyDescent="0.2">
      <c r="A1115" s="12">
        <v>38513</v>
      </c>
      <c r="B1115" s="9">
        <v>801.37</v>
      </c>
      <c r="C1115" s="9">
        <v>795.76</v>
      </c>
      <c r="D1115" s="9">
        <v>799.59</v>
      </c>
      <c r="E1115" s="9">
        <f t="shared" si="51"/>
        <v>6.2602529144160073E-3</v>
      </c>
      <c r="F1115" s="45">
        <f t="shared" si="49"/>
        <v>5.4669794840533692E-2</v>
      </c>
      <c r="G1115" s="9">
        <f t="shared" si="50"/>
        <v>5.3794742472977287E-3</v>
      </c>
    </row>
    <row r="1116" spans="1:7" x14ac:dyDescent="0.2">
      <c r="A1116" s="12">
        <v>38516</v>
      </c>
      <c r="B1116" s="9">
        <v>803.35</v>
      </c>
      <c r="C1116" s="9">
        <v>797.85</v>
      </c>
      <c r="D1116" s="9">
        <v>801.17</v>
      </c>
      <c r="E1116" s="9">
        <f t="shared" si="51"/>
        <v>1.9740629614620553E-3</v>
      </c>
      <c r="F1116" s="45">
        <f t="shared" si="49"/>
        <v>6.8349377130081018E-2</v>
      </c>
      <c r="G1116" s="9">
        <f t="shared" si="50"/>
        <v>4.7343435784287565E-3</v>
      </c>
    </row>
    <row r="1117" spans="1:7" x14ac:dyDescent="0.2">
      <c r="A1117" s="12">
        <v>38517</v>
      </c>
      <c r="B1117" s="9">
        <v>807.8</v>
      </c>
      <c r="C1117" s="9">
        <v>799.96</v>
      </c>
      <c r="D1117" s="9">
        <v>807.62</v>
      </c>
      <c r="E1117" s="9">
        <f t="shared" si="51"/>
        <v>8.0184916106821793E-3</v>
      </c>
      <c r="F1117" s="45">
        <f t="shared" si="49"/>
        <v>7.4631965835867745E-2</v>
      </c>
      <c r="G1117" s="9">
        <f t="shared" si="50"/>
        <v>4.8471321568739067E-3</v>
      </c>
    </row>
    <row r="1118" spans="1:7" x14ac:dyDescent="0.2">
      <c r="A1118" s="12">
        <v>38518</v>
      </c>
      <c r="B1118" s="9">
        <v>809.35</v>
      </c>
      <c r="C1118" s="9">
        <v>802.38</v>
      </c>
      <c r="D1118" s="9">
        <v>804.45</v>
      </c>
      <c r="E1118" s="9">
        <f t="shared" si="51"/>
        <v>-3.9328367700147996E-3</v>
      </c>
      <c r="F1118" s="45">
        <f t="shared" si="49"/>
        <v>6.371924923307197E-2</v>
      </c>
      <c r="G1118" s="9">
        <f t="shared" si="50"/>
        <v>4.9074916347508655E-3</v>
      </c>
    </row>
    <row r="1119" spans="1:7" x14ac:dyDescent="0.2">
      <c r="A1119" s="12">
        <v>38519</v>
      </c>
      <c r="B1119" s="9">
        <v>809.8</v>
      </c>
      <c r="C1119" s="9">
        <v>804.45</v>
      </c>
      <c r="D1119" s="9">
        <v>809.8</v>
      </c>
      <c r="E1119" s="9">
        <f t="shared" si="51"/>
        <v>6.6284895010167606E-3</v>
      </c>
      <c r="F1119" s="45">
        <f t="shared" si="49"/>
        <v>6.6578964809519983E-2</v>
      </c>
      <c r="G1119" s="9">
        <f t="shared" si="50"/>
        <v>4.9679435787137885E-3</v>
      </c>
    </row>
    <row r="1120" spans="1:7" x14ac:dyDescent="0.2">
      <c r="A1120" s="12">
        <v>38520</v>
      </c>
      <c r="B1120" s="9">
        <v>812.59</v>
      </c>
      <c r="C1120" s="9">
        <v>808.35</v>
      </c>
      <c r="D1120" s="9">
        <v>808.62</v>
      </c>
      <c r="E1120" s="9">
        <f t="shared" si="51"/>
        <v>-1.4582125889377982E-3</v>
      </c>
      <c r="F1120" s="45">
        <f t="shared" si="49"/>
        <v>6.6573684095932881E-2</v>
      </c>
      <c r="G1120" s="9">
        <f t="shared" si="50"/>
        <v>4.9680782713264577E-3</v>
      </c>
    </row>
    <row r="1121" spans="1:7" x14ac:dyDescent="0.2">
      <c r="A1121" s="12">
        <v>38523</v>
      </c>
      <c r="B1121" s="9">
        <v>813.31</v>
      </c>
      <c r="C1121" s="9">
        <v>806.57</v>
      </c>
      <c r="D1121" s="9">
        <v>811.85</v>
      </c>
      <c r="E1121" s="9">
        <f t="shared" si="51"/>
        <v>3.9865030240005817E-3</v>
      </c>
      <c r="F1121" s="45">
        <f t="shared" ref="F1121:F1184" si="52">LN(D1121/D1091)</f>
        <v>5.7807106782702275E-2</v>
      </c>
      <c r="G1121" s="9">
        <f t="shared" ref="G1121:G1184" si="53">STDEV(E1092:E1121)</f>
        <v>4.5688973185413718E-3</v>
      </c>
    </row>
    <row r="1122" spans="1:7" x14ac:dyDescent="0.2">
      <c r="A1122" s="12">
        <v>38524</v>
      </c>
      <c r="B1122" s="9">
        <v>818.98</v>
      </c>
      <c r="C1122" s="9">
        <v>812.43</v>
      </c>
      <c r="D1122" s="9">
        <v>818.37</v>
      </c>
      <c r="E1122" s="9">
        <f t="shared" si="51"/>
        <v>7.9989630409173125E-3</v>
      </c>
      <c r="F1122" s="45">
        <f t="shared" si="52"/>
        <v>6.2483699417958276E-2</v>
      </c>
      <c r="G1122" s="9">
        <f t="shared" si="53"/>
        <v>4.6961591784560287E-3</v>
      </c>
    </row>
    <row r="1123" spans="1:7" x14ac:dyDescent="0.2">
      <c r="A1123" s="12">
        <v>38525</v>
      </c>
      <c r="B1123" s="9">
        <v>820.57</v>
      </c>
      <c r="C1123" s="9">
        <v>816.51</v>
      </c>
      <c r="D1123" s="9">
        <v>818.93</v>
      </c>
      <c r="E1123" s="9">
        <f t="shared" si="51"/>
        <v>6.8405304078252135E-4</v>
      </c>
      <c r="F1123" s="45">
        <f t="shared" si="52"/>
        <v>6.7534713936733118E-2</v>
      </c>
      <c r="G1123" s="9">
        <f t="shared" si="53"/>
        <v>4.5450623685240133E-3</v>
      </c>
    </row>
    <row r="1124" spans="1:7" x14ac:dyDescent="0.2">
      <c r="A1124" s="12">
        <v>38526</v>
      </c>
      <c r="B1124" s="9">
        <v>828.93</v>
      </c>
      <c r="C1124" s="9">
        <v>819.5</v>
      </c>
      <c r="D1124" s="9">
        <v>828.23</v>
      </c>
      <c r="E1124" s="9">
        <f t="shared" si="51"/>
        <v>1.1292283475110165E-2</v>
      </c>
      <c r="F1124" s="45">
        <f t="shared" si="52"/>
        <v>8.3173748779898568E-2</v>
      </c>
      <c r="G1124" s="9">
        <f t="shared" si="53"/>
        <v>4.6576858544854233E-3</v>
      </c>
    </row>
    <row r="1125" spans="1:7" x14ac:dyDescent="0.2">
      <c r="A1125" s="12">
        <v>38530</v>
      </c>
      <c r="B1125" s="9">
        <v>825.35</v>
      </c>
      <c r="C1125" s="9">
        <v>809.52</v>
      </c>
      <c r="D1125" s="9">
        <v>809.91</v>
      </c>
      <c r="E1125" s="9">
        <f t="shared" si="51"/>
        <v>-2.2367763207857112E-2</v>
      </c>
      <c r="F1125" s="45">
        <f t="shared" si="52"/>
        <v>5.001326989816083E-2</v>
      </c>
      <c r="G1125" s="9">
        <f t="shared" si="53"/>
        <v>6.3250443223157862E-3</v>
      </c>
    </row>
    <row r="1126" spans="1:7" x14ac:dyDescent="0.2">
      <c r="A1126" s="12">
        <v>38531</v>
      </c>
      <c r="B1126" s="9">
        <v>816</v>
      </c>
      <c r="C1126" s="9">
        <v>810.49</v>
      </c>
      <c r="D1126" s="9">
        <v>814.28</v>
      </c>
      <c r="E1126" s="9">
        <f t="shared" si="51"/>
        <v>5.3811568167689248E-3</v>
      </c>
      <c r="F1126" s="45">
        <f t="shared" si="52"/>
        <v>4.9183226622288821E-2</v>
      </c>
      <c r="G1126" s="9">
        <f t="shared" si="53"/>
        <v>6.3062689288651119E-3</v>
      </c>
    </row>
    <row r="1127" spans="1:7" x14ac:dyDescent="0.2">
      <c r="A1127" s="12">
        <v>38532</v>
      </c>
      <c r="B1127" s="9">
        <v>823.22</v>
      </c>
      <c r="C1127" s="9">
        <v>814.86</v>
      </c>
      <c r="D1127" s="9">
        <v>821.26</v>
      </c>
      <c r="E1127" s="9">
        <f t="shared" si="51"/>
        <v>8.5354590859627755E-3</v>
      </c>
      <c r="F1127" s="45">
        <f t="shared" si="52"/>
        <v>5.8079948066063133E-2</v>
      </c>
      <c r="G1127" s="9">
        <f t="shared" si="53"/>
        <v>6.4171528529250446E-3</v>
      </c>
    </row>
    <row r="1128" spans="1:7" x14ac:dyDescent="0.2">
      <c r="A1128" s="12">
        <v>38533</v>
      </c>
      <c r="B1128" s="9">
        <v>825.88</v>
      </c>
      <c r="C1128" s="9">
        <v>818.76</v>
      </c>
      <c r="D1128" s="9">
        <v>822.49</v>
      </c>
      <c r="E1128" s="9">
        <f t="shared" si="51"/>
        <v>1.4965782260976319E-3</v>
      </c>
      <c r="F1128" s="45">
        <f t="shared" si="52"/>
        <v>5.8080716857877759E-2</v>
      </c>
      <c r="G1128" s="9">
        <f t="shared" si="53"/>
        <v>6.4171510359846062E-3</v>
      </c>
    </row>
    <row r="1129" spans="1:7" x14ac:dyDescent="0.2">
      <c r="A1129" s="12">
        <v>38534</v>
      </c>
      <c r="B1129" s="9">
        <v>830.15</v>
      </c>
      <c r="C1129" s="9">
        <v>819.02</v>
      </c>
      <c r="D1129" s="9">
        <v>830.15</v>
      </c>
      <c r="E1129" s="9">
        <f t="shared" si="51"/>
        <v>9.2700828428894134E-3</v>
      </c>
      <c r="F1129" s="45">
        <f t="shared" si="52"/>
        <v>6.0186543962543838E-2</v>
      </c>
      <c r="G1129" s="9">
        <f t="shared" si="53"/>
        <v>6.4874446131647631E-3</v>
      </c>
    </row>
    <row r="1130" spans="1:7" x14ac:dyDescent="0.2">
      <c r="A1130" s="12">
        <v>38537</v>
      </c>
      <c r="B1130" s="9">
        <v>833.95</v>
      </c>
      <c r="C1130" s="9">
        <v>830.04</v>
      </c>
      <c r="D1130" s="9">
        <v>832.34</v>
      </c>
      <c r="E1130" s="9">
        <f t="shared" si="51"/>
        <v>2.6346038373254066E-3</v>
      </c>
      <c r="F1130" s="45">
        <f t="shared" si="52"/>
        <v>5.8417175837102583E-2</v>
      </c>
      <c r="G1130" s="9">
        <f t="shared" si="53"/>
        <v>6.4729209959311579E-3</v>
      </c>
    </row>
    <row r="1131" spans="1:7" x14ac:dyDescent="0.2">
      <c r="A1131" s="12">
        <v>38538</v>
      </c>
      <c r="B1131" s="9">
        <v>833</v>
      </c>
      <c r="C1131" s="9">
        <v>828.25</v>
      </c>
      <c r="D1131" s="9">
        <v>830.03</v>
      </c>
      <c r="E1131" s="9">
        <f t="shared" si="51"/>
        <v>-2.7791664753633186E-3</v>
      </c>
      <c r="F1131" s="45">
        <f t="shared" si="52"/>
        <v>5.6313301961094374E-2</v>
      </c>
      <c r="G1131" s="9">
        <f t="shared" si="53"/>
        <v>6.5135830890245845E-3</v>
      </c>
    </row>
    <row r="1132" spans="1:7" x14ac:dyDescent="0.2">
      <c r="A1132" s="12">
        <v>38539</v>
      </c>
      <c r="B1132" s="9">
        <v>834.63</v>
      </c>
      <c r="C1132" s="9">
        <v>829.13</v>
      </c>
      <c r="D1132" s="9">
        <v>831.58</v>
      </c>
      <c r="E1132" s="9">
        <f t="shared" si="51"/>
        <v>1.8656609548441446E-3</v>
      </c>
      <c r="F1132" s="45">
        <f t="shared" si="52"/>
        <v>5.8484905859966296E-2</v>
      </c>
      <c r="G1132" s="9">
        <f t="shared" si="53"/>
        <v>6.5005394743282378E-3</v>
      </c>
    </row>
    <row r="1133" spans="1:7" x14ac:dyDescent="0.2">
      <c r="A1133" s="12">
        <v>38540</v>
      </c>
      <c r="B1133" s="9">
        <v>830.43</v>
      </c>
      <c r="C1133" s="9">
        <v>799.11</v>
      </c>
      <c r="D1133" s="9">
        <v>818.54</v>
      </c>
      <c r="E1133" s="9">
        <f t="shared" si="51"/>
        <v>-1.5805240169571681E-2</v>
      </c>
      <c r="F1133" s="45">
        <f t="shared" si="52"/>
        <v>4.2297251633292593E-2</v>
      </c>
      <c r="G1133" s="9">
        <f t="shared" si="53"/>
        <v>7.2623109677080761E-3</v>
      </c>
    </row>
    <row r="1134" spans="1:7" x14ac:dyDescent="0.2">
      <c r="A1134" s="12">
        <v>38541</v>
      </c>
      <c r="B1134" s="9">
        <v>832.46</v>
      </c>
      <c r="C1134" s="9">
        <v>819.7</v>
      </c>
      <c r="D1134" s="9">
        <v>832.23</v>
      </c>
      <c r="E1134" s="9">
        <f t="shared" si="51"/>
        <v>1.6586579424736986E-2</v>
      </c>
      <c r="F1134" s="45">
        <f t="shared" si="52"/>
        <v>6.075905883533509E-2</v>
      </c>
      <c r="G1134" s="9">
        <f t="shared" si="53"/>
        <v>7.7407822909364215E-3</v>
      </c>
    </row>
    <row r="1135" spans="1:7" x14ac:dyDescent="0.2">
      <c r="A1135" s="12">
        <v>38544</v>
      </c>
      <c r="B1135" s="9">
        <v>846.39</v>
      </c>
      <c r="C1135" s="9">
        <v>833.97</v>
      </c>
      <c r="D1135" s="9">
        <v>845.63</v>
      </c>
      <c r="E1135" s="9">
        <f t="shared" si="51"/>
        <v>1.5973066768206017E-2</v>
      </c>
      <c r="F1135" s="45">
        <f t="shared" si="52"/>
        <v>6.7884422808891884E-2</v>
      </c>
      <c r="G1135" s="9">
        <f t="shared" si="53"/>
        <v>8.0600638171990958E-3</v>
      </c>
    </row>
    <row r="1136" spans="1:7" x14ac:dyDescent="0.2">
      <c r="A1136" s="12">
        <v>38545</v>
      </c>
      <c r="B1136" s="9">
        <v>848.08</v>
      </c>
      <c r="C1136" s="9">
        <v>841.2</v>
      </c>
      <c r="D1136" s="9">
        <v>843.81</v>
      </c>
      <c r="E1136" s="9">
        <f t="shared" si="51"/>
        <v>-2.1545609243972235E-3</v>
      </c>
      <c r="F1136" s="45">
        <f t="shared" si="52"/>
        <v>6.4983427969330126E-2</v>
      </c>
      <c r="G1136" s="9">
        <f t="shared" si="53"/>
        <v>8.0962049451124042E-3</v>
      </c>
    </row>
    <row r="1137" spans="1:7" x14ac:dyDescent="0.2">
      <c r="A1137" s="12">
        <v>38546</v>
      </c>
      <c r="B1137" s="9">
        <v>851.47</v>
      </c>
      <c r="C1137" s="9">
        <v>844.16</v>
      </c>
      <c r="D1137" s="9">
        <v>850.15</v>
      </c>
      <c r="E1137" s="9">
        <f t="shared" si="51"/>
        <v>7.48545373391926E-3</v>
      </c>
      <c r="F1137" s="45">
        <f t="shared" si="52"/>
        <v>6.8581264154529892E-2</v>
      </c>
      <c r="G1137" s="9">
        <f t="shared" si="53"/>
        <v>8.1490592198059028E-3</v>
      </c>
    </row>
    <row r="1138" spans="1:7" x14ac:dyDescent="0.2">
      <c r="A1138" s="12">
        <v>38547</v>
      </c>
      <c r="D1138" s="9">
        <v>849.89</v>
      </c>
      <c r="E1138" s="9">
        <f t="shared" si="51"/>
        <v>-3.0587515826345106E-4</v>
      </c>
      <c r="F1138" s="45">
        <f t="shared" si="52"/>
        <v>7.0053234489412017E-2</v>
      </c>
      <c r="G1138" s="9">
        <f t="shared" si="53"/>
        <v>8.1281512684421298E-3</v>
      </c>
    </row>
    <row r="1139" spans="1:7" x14ac:dyDescent="0.2">
      <c r="A1139" s="12">
        <v>38548</v>
      </c>
      <c r="B1139" s="9">
        <v>851.92</v>
      </c>
      <c r="C1139" s="9">
        <v>847.3</v>
      </c>
      <c r="D1139" s="9">
        <v>848.46</v>
      </c>
      <c r="E1139" s="9">
        <f t="shared" si="51"/>
        <v>-1.6839877974911218E-3</v>
      </c>
      <c r="F1139" s="45">
        <f t="shared" si="52"/>
        <v>6.4351533144326775E-2</v>
      </c>
      <c r="G1139" s="9">
        <f t="shared" si="53"/>
        <v>8.1540697880345455E-3</v>
      </c>
    </row>
    <row r="1140" spans="1:7" x14ac:dyDescent="0.2">
      <c r="A1140" s="12">
        <v>38551</v>
      </c>
      <c r="B1140" s="9">
        <v>853.08</v>
      </c>
      <c r="C1140" s="9">
        <v>847.4</v>
      </c>
      <c r="D1140" s="9">
        <v>849.75</v>
      </c>
      <c r="E1140" s="9">
        <f t="shared" si="51"/>
        <v>1.5192470284851262E-3</v>
      </c>
      <c r="F1140" s="45">
        <f t="shared" si="52"/>
        <v>7.2947218519759119E-2</v>
      </c>
      <c r="G1140" s="9">
        <f t="shared" si="53"/>
        <v>7.9677575955313471E-3</v>
      </c>
    </row>
    <row r="1141" spans="1:7" x14ac:dyDescent="0.2">
      <c r="A1141" s="12">
        <v>38552</v>
      </c>
      <c r="B1141" s="9">
        <v>852.5</v>
      </c>
      <c r="C1141" s="9">
        <v>847.51</v>
      </c>
      <c r="D1141" s="9">
        <v>852.5</v>
      </c>
      <c r="E1141" s="9">
        <f t="shared" si="51"/>
        <v>3.23102058144654E-3</v>
      </c>
      <c r="F1141" s="45">
        <f t="shared" si="52"/>
        <v>7.9208256315936906E-2</v>
      </c>
      <c r="G1141" s="9">
        <f t="shared" si="53"/>
        <v>7.9014907417453047E-3</v>
      </c>
    </row>
    <row r="1142" spans="1:7" x14ac:dyDescent="0.2">
      <c r="A1142" s="12">
        <v>38553</v>
      </c>
      <c r="B1142" s="9">
        <v>851.34</v>
      </c>
      <c r="C1142" s="9">
        <v>843.6</v>
      </c>
      <c r="D1142" s="9">
        <v>846.8</v>
      </c>
      <c r="E1142" s="9">
        <f t="shared" si="51"/>
        <v>-6.7086698969617891E-3</v>
      </c>
      <c r="F1142" s="45">
        <f t="shared" si="52"/>
        <v>6.5036204400802072E-2</v>
      </c>
      <c r="G1142" s="9">
        <f t="shared" si="53"/>
        <v>8.0258604347193396E-3</v>
      </c>
    </row>
    <row r="1143" spans="1:7" x14ac:dyDescent="0.2">
      <c r="A1143" s="12">
        <v>38554</v>
      </c>
      <c r="B1143" s="9">
        <v>855.74</v>
      </c>
      <c r="C1143" s="9">
        <v>847.71</v>
      </c>
      <c r="D1143" s="9">
        <v>852.79</v>
      </c>
      <c r="E1143" s="9">
        <f t="shared" si="51"/>
        <v>7.0487880033197163E-3</v>
      </c>
      <c r="F1143" s="45">
        <f t="shared" si="52"/>
        <v>6.8110444370157203E-2</v>
      </c>
      <c r="G1143" s="9">
        <f t="shared" si="53"/>
        <v>8.0692324502248235E-3</v>
      </c>
    </row>
    <row r="1144" spans="1:7" x14ac:dyDescent="0.2">
      <c r="A1144" s="12">
        <v>38555</v>
      </c>
      <c r="B1144" s="9">
        <v>855.12</v>
      </c>
      <c r="C1144" s="9">
        <v>850.96</v>
      </c>
      <c r="D1144" s="9">
        <v>852.52</v>
      </c>
      <c r="E1144" s="9">
        <f t="shared" si="51"/>
        <v>-3.1665797099191049E-4</v>
      </c>
      <c r="F1144" s="45">
        <f t="shared" si="52"/>
        <v>7.0357825912539348E-2</v>
      </c>
      <c r="G1144" s="9">
        <f t="shared" si="53"/>
        <v>8.0331549968238793E-3</v>
      </c>
    </row>
    <row r="1145" spans="1:7" x14ac:dyDescent="0.2">
      <c r="A1145" s="12">
        <v>38558</v>
      </c>
      <c r="D1145" s="9">
        <v>852.41</v>
      </c>
      <c r="E1145" s="9">
        <f t="shared" si="51"/>
        <v>-1.2903755597313201E-4</v>
      </c>
      <c r="F1145" s="45">
        <f t="shared" si="52"/>
        <v>6.396853544215006E-2</v>
      </c>
      <c r="G1145" s="9">
        <f t="shared" si="53"/>
        <v>8.0104458075664613E-3</v>
      </c>
    </row>
    <row r="1146" spans="1:7" x14ac:dyDescent="0.2">
      <c r="A1146" s="12">
        <v>38559</v>
      </c>
      <c r="B1146" s="9">
        <v>859.3</v>
      </c>
      <c r="C1146" s="9">
        <v>852.34</v>
      </c>
      <c r="D1146" s="9">
        <v>854.52</v>
      </c>
      <c r="E1146" s="9">
        <f t="shared" si="51"/>
        <v>2.4722760449690079E-3</v>
      </c>
      <c r="F1146" s="45">
        <f t="shared" si="52"/>
        <v>6.4466748525656981E-2</v>
      </c>
      <c r="G1146" s="9">
        <f t="shared" si="53"/>
        <v>8.010622915525737E-3</v>
      </c>
    </row>
    <row r="1147" spans="1:7" x14ac:dyDescent="0.2">
      <c r="A1147" s="12">
        <v>38560</v>
      </c>
      <c r="B1147" s="9">
        <v>862.29</v>
      </c>
      <c r="C1147" s="9">
        <v>855.1</v>
      </c>
      <c r="D1147" s="9">
        <v>861.49</v>
      </c>
      <c r="E1147" s="9">
        <f t="shared" si="51"/>
        <v>8.1235404575249123E-3</v>
      </c>
      <c r="F1147" s="45">
        <f t="shared" si="52"/>
        <v>6.457179737249974E-2</v>
      </c>
      <c r="G1147" s="9">
        <f t="shared" si="53"/>
        <v>8.0132996393436993E-3</v>
      </c>
    </row>
    <row r="1148" spans="1:7" x14ac:dyDescent="0.2">
      <c r="A1148" s="12">
        <v>38561</v>
      </c>
      <c r="B1148" s="9">
        <v>866.81</v>
      </c>
      <c r="C1148" s="9">
        <v>861.61</v>
      </c>
      <c r="D1148" s="9">
        <v>863.8</v>
      </c>
      <c r="E1148" s="9">
        <f t="shared" si="51"/>
        <v>2.6778122870420606E-3</v>
      </c>
      <c r="F1148" s="45">
        <f t="shared" si="52"/>
        <v>7.1182446429556706E-2</v>
      </c>
      <c r="G1148" s="9">
        <f t="shared" si="53"/>
        <v>7.93065965349205E-3</v>
      </c>
    </row>
    <row r="1149" spans="1:7" x14ac:dyDescent="0.2">
      <c r="A1149" s="12">
        <v>38562</v>
      </c>
      <c r="B1149" s="9">
        <v>869.01</v>
      </c>
      <c r="C1149" s="9">
        <v>862.52</v>
      </c>
      <c r="D1149" s="9">
        <v>863.84</v>
      </c>
      <c r="E1149" s="9">
        <f t="shared" si="51"/>
        <v>4.6305943376258294E-5</v>
      </c>
      <c r="F1149" s="45">
        <f t="shared" si="52"/>
        <v>6.4600262871916295E-2</v>
      </c>
      <c r="G1149" s="9">
        <f t="shared" si="53"/>
        <v>7.8998523382986918E-3</v>
      </c>
    </row>
    <row r="1150" spans="1:7" x14ac:dyDescent="0.2">
      <c r="A1150" s="12">
        <v>38565</v>
      </c>
      <c r="B1150" s="9">
        <v>866.66</v>
      </c>
      <c r="C1150" s="9">
        <v>861.88</v>
      </c>
      <c r="D1150" s="9">
        <v>862.97</v>
      </c>
      <c r="E1150" s="9">
        <f t="shared" si="51"/>
        <v>-1.0076384473240872E-3</v>
      </c>
      <c r="F1150" s="45">
        <f t="shared" si="52"/>
        <v>6.5050837013530038E-2</v>
      </c>
      <c r="G1150" s="9">
        <f t="shared" si="53"/>
        <v>7.8931748027991511E-3</v>
      </c>
    </row>
    <row r="1151" spans="1:7" x14ac:dyDescent="0.2">
      <c r="A1151" s="12">
        <v>38566</v>
      </c>
      <c r="B1151" s="9">
        <v>871.11</v>
      </c>
      <c r="C1151" s="9">
        <v>862.97</v>
      </c>
      <c r="D1151" s="9">
        <v>870.87</v>
      </c>
      <c r="E1151" s="9">
        <f t="shared" si="51"/>
        <v>9.1127839590601466E-3</v>
      </c>
      <c r="F1151" s="45">
        <f t="shared" si="52"/>
        <v>7.017711794858944E-2</v>
      </c>
      <c r="G1151" s="9">
        <f t="shared" si="53"/>
        <v>7.9888013309060823E-3</v>
      </c>
    </row>
    <row r="1152" spans="1:7" x14ac:dyDescent="0.2">
      <c r="A1152" s="12">
        <v>38567</v>
      </c>
      <c r="B1152" s="9">
        <v>871.15</v>
      </c>
      <c r="C1152" s="9">
        <v>864.78</v>
      </c>
      <c r="D1152" s="9">
        <v>869.22</v>
      </c>
      <c r="E1152" s="9">
        <f t="shared" ref="E1152:E1215" si="54">LN(D1152/D1151)</f>
        <v>-1.8964542000976725E-3</v>
      </c>
      <c r="F1152" s="45">
        <f t="shared" si="52"/>
        <v>6.0281700707574305E-2</v>
      </c>
      <c r="G1152" s="9">
        <f t="shared" si="53"/>
        <v>7.9512568182099567E-3</v>
      </c>
    </row>
    <row r="1153" spans="1:7" x14ac:dyDescent="0.2">
      <c r="A1153" s="12">
        <v>38568</v>
      </c>
      <c r="B1153" s="9">
        <v>871.69</v>
      </c>
      <c r="C1153" s="9">
        <v>861.57</v>
      </c>
      <c r="D1153" s="9">
        <v>863.53</v>
      </c>
      <c r="E1153" s="9">
        <f t="shared" si="54"/>
        <v>-6.5676184706467151E-3</v>
      </c>
      <c r="F1153" s="45">
        <f t="shared" si="52"/>
        <v>5.3030029196145197E-2</v>
      </c>
      <c r="G1153" s="9">
        <f t="shared" si="53"/>
        <v>8.101740404665882E-3</v>
      </c>
    </row>
    <row r="1154" spans="1:7" x14ac:dyDescent="0.2">
      <c r="A1154" s="12">
        <v>38569</v>
      </c>
      <c r="B1154" s="9">
        <v>865.72</v>
      </c>
      <c r="C1154" s="9">
        <v>859.5</v>
      </c>
      <c r="D1154" s="9">
        <v>860.88</v>
      </c>
      <c r="E1154" s="9">
        <f t="shared" si="54"/>
        <v>-3.0735174188316785E-3</v>
      </c>
      <c r="F1154" s="45">
        <f t="shared" si="52"/>
        <v>3.866422830220323E-2</v>
      </c>
      <c r="G1154" s="9">
        <f t="shared" si="53"/>
        <v>7.9423510982598641E-3</v>
      </c>
    </row>
    <row r="1155" spans="1:7" x14ac:dyDescent="0.2">
      <c r="A1155" s="12">
        <v>38572</v>
      </c>
      <c r="D1155" s="9">
        <v>861</v>
      </c>
      <c r="E1155" s="9">
        <f t="shared" si="54"/>
        <v>1.3938253559404276E-4</v>
      </c>
      <c r="F1155" s="45">
        <f t="shared" si="52"/>
        <v>6.1171374045654217E-2</v>
      </c>
      <c r="G1155" s="9">
        <f t="shared" si="53"/>
        <v>6.576209480716513E-3</v>
      </c>
    </row>
    <row r="1156" spans="1:7" x14ac:dyDescent="0.2">
      <c r="A1156" s="12">
        <v>38573</v>
      </c>
      <c r="B1156" s="9">
        <v>863.79</v>
      </c>
      <c r="C1156" s="9">
        <v>858.69</v>
      </c>
      <c r="D1156" s="9">
        <v>863.67</v>
      </c>
      <c r="E1156" s="9">
        <f t="shared" si="54"/>
        <v>3.0962469725228843E-3</v>
      </c>
      <c r="F1156" s="45">
        <f t="shared" si="52"/>
        <v>5.8886464201408112E-2</v>
      </c>
      <c r="G1156" s="9">
        <f t="shared" si="53"/>
        <v>6.5493441210750765E-3</v>
      </c>
    </row>
    <row r="1157" spans="1:7" x14ac:dyDescent="0.2">
      <c r="A1157" s="12">
        <v>38574</v>
      </c>
      <c r="B1157" s="9">
        <v>876.2</v>
      </c>
      <c r="C1157" s="9">
        <v>863.53</v>
      </c>
      <c r="D1157" s="9">
        <v>874.86</v>
      </c>
      <c r="E1157" s="9">
        <f t="shared" si="54"/>
        <v>1.2873122155995413E-2</v>
      </c>
      <c r="F1157" s="45">
        <f t="shared" si="52"/>
        <v>6.322412727144068E-2</v>
      </c>
      <c r="G1157" s="9">
        <f t="shared" si="53"/>
        <v>6.7444248654454841E-3</v>
      </c>
    </row>
    <row r="1158" spans="1:7" x14ac:dyDescent="0.2">
      <c r="A1158" s="12">
        <v>38575</v>
      </c>
      <c r="B1158" s="9">
        <v>874.28</v>
      </c>
      <c r="C1158" s="9">
        <v>866.72</v>
      </c>
      <c r="D1158" s="9">
        <v>870.16</v>
      </c>
      <c r="E1158" s="9">
        <f t="shared" si="54"/>
        <v>-5.3867707706541819E-3</v>
      </c>
      <c r="F1158" s="45">
        <f t="shared" si="52"/>
        <v>5.6340778274688724E-2</v>
      </c>
      <c r="G1158" s="9">
        <f t="shared" si="53"/>
        <v>6.8816143227039368E-3</v>
      </c>
    </row>
    <row r="1159" spans="1:7" x14ac:dyDescent="0.2">
      <c r="A1159" s="12">
        <v>38576</v>
      </c>
      <c r="B1159" s="9">
        <v>872</v>
      </c>
      <c r="C1159" s="9">
        <v>866</v>
      </c>
      <c r="D1159" s="9">
        <v>866.86</v>
      </c>
      <c r="E1159" s="9">
        <f t="shared" si="54"/>
        <v>-3.7996153990112243E-3</v>
      </c>
      <c r="F1159" s="45">
        <f t="shared" si="52"/>
        <v>4.3271080032788324E-2</v>
      </c>
      <c r="G1159" s="9">
        <f t="shared" si="53"/>
        <v>6.8108459662065499E-3</v>
      </c>
    </row>
    <row r="1160" spans="1:7" x14ac:dyDescent="0.2">
      <c r="A1160" s="12">
        <v>38579</v>
      </c>
      <c r="B1160" s="9">
        <v>869.49</v>
      </c>
      <c r="C1160" s="9">
        <v>864.66</v>
      </c>
      <c r="D1160" s="9">
        <v>867.3</v>
      </c>
      <c r="E1160" s="9">
        <f t="shared" si="54"/>
        <v>5.0745030382641921E-4</v>
      </c>
      <c r="F1160" s="45">
        <f t="shared" si="52"/>
        <v>4.1143926499289434E-2</v>
      </c>
      <c r="G1160" s="9">
        <f t="shared" si="53"/>
        <v>6.8090783337480783E-3</v>
      </c>
    </row>
    <row r="1161" spans="1:7" x14ac:dyDescent="0.2">
      <c r="A1161" s="12">
        <v>38580</v>
      </c>
      <c r="D1161" s="9">
        <v>865.51</v>
      </c>
      <c r="E1161" s="9">
        <f t="shared" si="54"/>
        <v>-2.0660091258729394E-3</v>
      </c>
      <c r="F1161" s="45">
        <f t="shared" si="52"/>
        <v>4.1857083848779841E-2</v>
      </c>
      <c r="G1161" s="9">
        <f t="shared" si="53"/>
        <v>6.7953189253616951E-3</v>
      </c>
    </row>
    <row r="1162" spans="1:7" x14ac:dyDescent="0.2">
      <c r="A1162" s="12">
        <v>38581</v>
      </c>
      <c r="B1162" s="9">
        <v>864.93</v>
      </c>
      <c r="C1162" s="9">
        <v>858.27</v>
      </c>
      <c r="D1162" s="9">
        <v>861.34</v>
      </c>
      <c r="E1162" s="9">
        <f t="shared" si="54"/>
        <v>-4.8296124220268541E-3</v>
      </c>
      <c r="F1162" s="45">
        <f t="shared" si="52"/>
        <v>3.5161810471908812E-2</v>
      </c>
      <c r="G1162" s="9">
        <f t="shared" si="53"/>
        <v>6.8886404162012806E-3</v>
      </c>
    </row>
    <row r="1163" spans="1:7" x14ac:dyDescent="0.2">
      <c r="A1163" s="12">
        <v>38582</v>
      </c>
      <c r="B1163" s="9">
        <v>864.37</v>
      </c>
      <c r="C1163" s="9">
        <v>857.1</v>
      </c>
      <c r="D1163" s="9">
        <v>861.41</v>
      </c>
      <c r="E1163" s="9">
        <f t="shared" si="54"/>
        <v>8.1265418706664381E-5</v>
      </c>
      <c r="F1163" s="45">
        <f t="shared" si="52"/>
        <v>5.1048316060187018E-2</v>
      </c>
      <c r="G1163" s="9">
        <f t="shared" si="53"/>
        <v>6.1045377000663844E-3</v>
      </c>
    </row>
    <row r="1164" spans="1:7" x14ac:dyDescent="0.2">
      <c r="A1164" s="12">
        <v>38583</v>
      </c>
      <c r="B1164" s="9">
        <v>868.97</v>
      </c>
      <c r="C1164" s="9">
        <v>860.8</v>
      </c>
      <c r="D1164" s="9">
        <v>866.47</v>
      </c>
      <c r="E1164" s="9">
        <f t="shared" si="54"/>
        <v>5.8569049523867663E-3</v>
      </c>
      <c r="F1164" s="45">
        <f t="shared" si="52"/>
        <v>4.0318641587836782E-2</v>
      </c>
      <c r="G1164" s="9">
        <f t="shared" si="53"/>
        <v>5.4852865193840321E-3</v>
      </c>
    </row>
    <row r="1165" spans="1:7" x14ac:dyDescent="0.2">
      <c r="A1165" s="12">
        <v>38586</v>
      </c>
      <c r="B1165" s="9">
        <v>869.63</v>
      </c>
      <c r="C1165" s="9">
        <v>864.52</v>
      </c>
      <c r="D1165" s="9">
        <v>866.94</v>
      </c>
      <c r="E1165" s="9">
        <f t="shared" si="54"/>
        <v>5.4228371997136504E-4</v>
      </c>
      <c r="F1165" s="45">
        <f t="shared" si="52"/>
        <v>2.4887858539602268E-2</v>
      </c>
      <c r="G1165" s="9">
        <f t="shared" si="53"/>
        <v>4.7388979731716047E-3</v>
      </c>
    </row>
    <row r="1166" spans="1:7" x14ac:dyDescent="0.2">
      <c r="A1166" s="12">
        <v>38587</v>
      </c>
      <c r="B1166" s="9">
        <v>866.36</v>
      </c>
      <c r="C1166" s="9">
        <v>859</v>
      </c>
      <c r="D1166" s="9">
        <v>859.25</v>
      </c>
      <c r="E1166" s="9">
        <f t="shared" si="54"/>
        <v>-8.9098545036316798E-3</v>
      </c>
      <c r="F1166" s="45">
        <f t="shared" si="52"/>
        <v>1.8132564960367793E-2</v>
      </c>
      <c r="G1166" s="9">
        <f t="shared" si="53"/>
        <v>5.0367204260570808E-3</v>
      </c>
    </row>
    <row r="1167" spans="1:7" x14ac:dyDescent="0.2">
      <c r="A1167" s="12">
        <v>38588</v>
      </c>
      <c r="B1167" s="9">
        <v>859.83</v>
      </c>
      <c r="C1167" s="9">
        <v>846.42</v>
      </c>
      <c r="D1167" s="9">
        <v>849.47</v>
      </c>
      <c r="E1167" s="9">
        <f t="shared" si="54"/>
        <v>-1.1447290132654421E-2</v>
      </c>
      <c r="F1167" s="45">
        <f t="shared" si="52"/>
        <v>-8.0017890620592434E-4</v>
      </c>
      <c r="G1167" s="9">
        <f t="shared" si="53"/>
        <v>5.3228031942432795E-3</v>
      </c>
    </row>
    <row r="1168" spans="1:7" x14ac:dyDescent="0.2">
      <c r="A1168" s="12">
        <v>38589</v>
      </c>
      <c r="B1168" s="9">
        <v>848.9</v>
      </c>
      <c r="C1168" s="9">
        <v>838.9</v>
      </c>
      <c r="D1168" s="9">
        <v>839.94</v>
      </c>
      <c r="E1168" s="9">
        <f t="shared" si="54"/>
        <v>-1.1282164882499971E-2</v>
      </c>
      <c r="F1168" s="45">
        <f t="shared" si="52"/>
        <v>-1.1776468630442445E-2</v>
      </c>
      <c r="G1168" s="9">
        <f t="shared" si="53"/>
        <v>5.7060976723558848E-3</v>
      </c>
    </row>
    <row r="1169" spans="1:7" x14ac:dyDescent="0.2">
      <c r="A1169" s="12">
        <v>38590</v>
      </c>
      <c r="B1169" s="9">
        <v>844.79</v>
      </c>
      <c r="C1169" s="9">
        <v>832.32</v>
      </c>
      <c r="D1169" s="9">
        <v>833.86</v>
      </c>
      <c r="E1169" s="9">
        <f t="shared" si="54"/>
        <v>-7.2649381545009462E-3</v>
      </c>
      <c r="F1169" s="45">
        <f t="shared" si="52"/>
        <v>-1.7357418987452262E-2</v>
      </c>
      <c r="G1169" s="9">
        <f t="shared" si="53"/>
        <v>5.8390795632040169E-3</v>
      </c>
    </row>
    <row r="1170" spans="1:7" x14ac:dyDescent="0.2">
      <c r="A1170" s="12">
        <v>38593</v>
      </c>
      <c r="B1170" s="9">
        <v>842.08</v>
      </c>
      <c r="C1170" s="9">
        <v>826.2</v>
      </c>
      <c r="D1170" s="9">
        <v>841.07</v>
      </c>
      <c r="E1170" s="9">
        <f t="shared" si="54"/>
        <v>8.6093681938292383E-3</v>
      </c>
      <c r="F1170" s="45">
        <f t="shared" si="52"/>
        <v>-1.0267297822108305E-2</v>
      </c>
      <c r="G1170" s="9">
        <f t="shared" si="53"/>
        <v>6.0659948621425985E-3</v>
      </c>
    </row>
    <row r="1171" spans="1:7" x14ac:dyDescent="0.2">
      <c r="A1171" s="12">
        <v>38594</v>
      </c>
      <c r="B1171" s="9">
        <v>847.37</v>
      </c>
      <c r="C1171" s="9">
        <v>837.66</v>
      </c>
      <c r="D1171" s="9">
        <v>838.33</v>
      </c>
      <c r="E1171" s="9">
        <f t="shared" si="54"/>
        <v>-3.2630730394331742E-3</v>
      </c>
      <c r="F1171" s="45">
        <f t="shared" si="52"/>
        <v>-1.6761391442987932E-2</v>
      </c>
      <c r="G1171" s="9">
        <f t="shared" si="53"/>
        <v>6.0499352330637265E-3</v>
      </c>
    </row>
    <row r="1172" spans="1:7" x14ac:dyDescent="0.2">
      <c r="A1172" s="12">
        <v>38595</v>
      </c>
      <c r="B1172" s="9">
        <v>850.26</v>
      </c>
      <c r="C1172" s="9">
        <v>838.28</v>
      </c>
      <c r="D1172" s="9">
        <v>849.51</v>
      </c>
      <c r="E1172" s="9">
        <f t="shared" si="54"/>
        <v>1.3247894958388552E-2</v>
      </c>
      <c r="F1172" s="45">
        <f t="shared" si="52"/>
        <v>3.1951734123622996E-3</v>
      </c>
      <c r="G1172" s="9">
        <f t="shared" si="53"/>
        <v>6.435287272508191E-3</v>
      </c>
    </row>
    <row r="1173" spans="1:7" x14ac:dyDescent="0.2">
      <c r="A1173" s="12">
        <v>38596</v>
      </c>
      <c r="B1173" s="9">
        <v>855.56</v>
      </c>
      <c r="C1173" s="9">
        <v>849.36</v>
      </c>
      <c r="D1173" s="9">
        <v>851.89</v>
      </c>
      <c r="E1173" s="9">
        <f t="shared" si="54"/>
        <v>2.7976978398698482E-3</v>
      </c>
      <c r="F1173" s="45">
        <f t="shared" si="52"/>
        <v>-1.0559167510876099E-3</v>
      </c>
      <c r="G1173" s="9">
        <f t="shared" si="53"/>
        <v>6.3229728551917729E-3</v>
      </c>
    </row>
    <row r="1174" spans="1:7" x14ac:dyDescent="0.2">
      <c r="A1174" s="12">
        <v>38597</v>
      </c>
      <c r="B1174" s="9">
        <v>853.68</v>
      </c>
      <c r="C1174" s="9">
        <v>845.91</v>
      </c>
      <c r="D1174" s="9">
        <v>853.67</v>
      </c>
      <c r="E1174" s="9">
        <f t="shared" si="54"/>
        <v>2.0872917355668754E-3</v>
      </c>
      <c r="F1174" s="45">
        <f t="shared" si="52"/>
        <v>1.3480329554710951E-3</v>
      </c>
      <c r="G1174" s="9">
        <f t="shared" si="53"/>
        <v>6.334505105075449E-3</v>
      </c>
    </row>
    <row r="1175" spans="1:7" x14ac:dyDescent="0.2">
      <c r="A1175" s="12">
        <v>38600</v>
      </c>
      <c r="B1175" s="9">
        <v>858.61</v>
      </c>
      <c r="C1175" s="9">
        <v>851.3</v>
      </c>
      <c r="D1175" s="9">
        <v>856.21</v>
      </c>
      <c r="E1175" s="9">
        <f t="shared" si="54"/>
        <v>2.97097090826395E-3</v>
      </c>
      <c r="F1175" s="45">
        <f t="shared" si="52"/>
        <v>4.4480414197082133E-3</v>
      </c>
      <c r="G1175" s="9">
        <f t="shared" si="53"/>
        <v>6.3568149175584976E-3</v>
      </c>
    </row>
    <row r="1176" spans="1:7" x14ac:dyDescent="0.2">
      <c r="A1176" s="12">
        <v>38601</v>
      </c>
      <c r="B1176" s="9">
        <v>864.47</v>
      </c>
      <c r="C1176" s="9">
        <v>856.59</v>
      </c>
      <c r="D1176" s="9">
        <v>860.39</v>
      </c>
      <c r="E1176" s="9">
        <f t="shared" si="54"/>
        <v>4.870101668097886E-3</v>
      </c>
      <c r="F1176" s="45">
        <f t="shared" si="52"/>
        <v>6.8458670428371933E-3</v>
      </c>
      <c r="G1176" s="9">
        <f t="shared" si="53"/>
        <v>6.4019577509367362E-3</v>
      </c>
    </row>
    <row r="1177" spans="1:7" x14ac:dyDescent="0.2">
      <c r="A1177" s="12">
        <v>38602</v>
      </c>
      <c r="B1177" s="9">
        <v>865.99</v>
      </c>
      <c r="C1177" s="9">
        <v>861.51</v>
      </c>
      <c r="D1177" s="9">
        <v>863.54</v>
      </c>
      <c r="E1177" s="9">
        <f t="shared" si="54"/>
        <v>3.6544447926284379E-3</v>
      </c>
      <c r="F1177" s="45">
        <f t="shared" si="52"/>
        <v>2.376771377940649E-3</v>
      </c>
      <c r="G1177" s="9">
        <f t="shared" si="53"/>
        <v>6.2623774833875856E-3</v>
      </c>
    </row>
    <row r="1178" spans="1:7" x14ac:dyDescent="0.2">
      <c r="A1178" s="12">
        <v>38603</v>
      </c>
      <c r="B1178" s="9">
        <v>865.28</v>
      </c>
      <c r="C1178" s="9">
        <v>858.56</v>
      </c>
      <c r="D1178" s="9">
        <v>860.78</v>
      </c>
      <c r="E1178" s="9">
        <f t="shared" si="54"/>
        <v>-3.2012646806411356E-3</v>
      </c>
      <c r="F1178" s="45">
        <f t="shared" si="52"/>
        <v>-3.5023055897424812E-3</v>
      </c>
      <c r="G1178" s="9">
        <f t="shared" si="53"/>
        <v>6.270237930436566E-3</v>
      </c>
    </row>
    <row r="1179" spans="1:7" x14ac:dyDescent="0.2">
      <c r="A1179" s="12">
        <v>38604</v>
      </c>
      <c r="B1179" s="9">
        <v>869.46</v>
      </c>
      <c r="C1179" s="9">
        <v>861.36</v>
      </c>
      <c r="D1179" s="9">
        <v>868.93</v>
      </c>
      <c r="E1179" s="9">
        <f t="shared" si="54"/>
        <v>9.4236147249849231E-3</v>
      </c>
      <c r="F1179" s="45">
        <f t="shared" si="52"/>
        <v>5.875003191866267E-3</v>
      </c>
      <c r="G1179" s="9">
        <f t="shared" si="53"/>
        <v>6.5078767846113604E-3</v>
      </c>
    </row>
    <row r="1180" spans="1:7" x14ac:dyDescent="0.2">
      <c r="A1180" s="12">
        <v>38607</v>
      </c>
      <c r="B1180" s="9">
        <v>873.66</v>
      </c>
      <c r="C1180" s="9">
        <v>868.05</v>
      </c>
      <c r="D1180" s="9">
        <v>869.58</v>
      </c>
      <c r="E1180" s="9">
        <f t="shared" si="54"/>
        <v>7.4776680063698398E-4</v>
      </c>
      <c r="F1180" s="45">
        <f t="shared" si="52"/>
        <v>7.6304084398272605E-3</v>
      </c>
      <c r="G1180" s="9">
        <f t="shared" si="53"/>
        <v>6.5045737701259158E-3</v>
      </c>
    </row>
    <row r="1181" spans="1:7" x14ac:dyDescent="0.2">
      <c r="A1181" s="12">
        <v>38608</v>
      </c>
      <c r="B1181" s="9">
        <v>870.98</v>
      </c>
      <c r="C1181" s="9">
        <v>863.9</v>
      </c>
      <c r="D1181" s="9">
        <v>869.2</v>
      </c>
      <c r="E1181" s="9">
        <f t="shared" si="54"/>
        <v>-4.3708808020541097E-4</v>
      </c>
      <c r="F1181" s="45">
        <f t="shared" si="52"/>
        <v>-1.9194635994382633E-3</v>
      </c>
      <c r="G1181" s="9">
        <f t="shared" si="53"/>
        <v>6.286112477333493E-3</v>
      </c>
    </row>
    <row r="1182" spans="1:7" x14ac:dyDescent="0.2">
      <c r="A1182" s="12">
        <v>38609</v>
      </c>
      <c r="B1182" s="9">
        <v>874.96</v>
      </c>
      <c r="C1182" s="9">
        <v>867.8</v>
      </c>
      <c r="D1182" s="9">
        <v>873.03</v>
      </c>
      <c r="E1182" s="9">
        <f t="shared" si="54"/>
        <v>4.3966711280582979E-3</v>
      </c>
      <c r="F1182" s="45">
        <f t="shared" si="52"/>
        <v>4.3736617287175317E-3</v>
      </c>
      <c r="G1182" s="9">
        <f t="shared" si="53"/>
        <v>6.3277180380820249E-3</v>
      </c>
    </row>
    <row r="1183" spans="1:7" x14ac:dyDescent="0.2">
      <c r="A1183" s="12">
        <v>38610</v>
      </c>
      <c r="B1183" s="9">
        <v>872.94</v>
      </c>
      <c r="C1183" s="9">
        <v>868.17</v>
      </c>
      <c r="D1183" s="9">
        <v>869.44</v>
      </c>
      <c r="E1183" s="9">
        <f t="shared" si="54"/>
        <v>-4.1205932723498897E-3</v>
      </c>
      <c r="F1183" s="45">
        <f t="shared" si="52"/>
        <v>6.8206869270144533E-3</v>
      </c>
      <c r="G1183" s="9">
        <f t="shared" si="53"/>
        <v>6.2535315069574497E-3</v>
      </c>
    </row>
    <row r="1184" spans="1:7" x14ac:dyDescent="0.2">
      <c r="A1184" s="12">
        <v>38611</v>
      </c>
      <c r="B1184" s="9">
        <v>874.63</v>
      </c>
      <c r="C1184" s="9">
        <v>868.66</v>
      </c>
      <c r="D1184" s="9">
        <v>872.43</v>
      </c>
      <c r="E1184" s="9">
        <f t="shared" si="54"/>
        <v>3.4330953937016244E-3</v>
      </c>
      <c r="F1184" s="45">
        <f t="shared" si="52"/>
        <v>1.3327299739547861E-2</v>
      </c>
      <c r="G1184" s="9">
        <f t="shared" si="53"/>
        <v>6.2479316007231197E-3</v>
      </c>
    </row>
    <row r="1185" spans="1:7" x14ac:dyDescent="0.2">
      <c r="A1185" s="12">
        <v>38614</v>
      </c>
      <c r="B1185" s="9">
        <v>876.49</v>
      </c>
      <c r="C1185" s="9">
        <v>869.67</v>
      </c>
      <c r="D1185" s="9">
        <v>872.39</v>
      </c>
      <c r="E1185" s="9">
        <f t="shared" si="54"/>
        <v>-4.5850001727352944E-5</v>
      </c>
      <c r="F1185" s="45">
        <f t="shared" ref="F1185:F1248" si="55">LN(D1185/D1155)</f>
        <v>1.3142067202226482E-2</v>
      </c>
      <c r="G1185" s="9">
        <f t="shared" ref="G1185:G1248" si="56">STDEV(E1156:E1185)</f>
        <v>6.2483347767746189E-3</v>
      </c>
    </row>
    <row r="1186" spans="1:7" x14ac:dyDescent="0.2">
      <c r="A1186" s="12">
        <v>38615</v>
      </c>
      <c r="B1186" s="9">
        <v>875.47</v>
      </c>
      <c r="C1186" s="9">
        <v>869.67</v>
      </c>
      <c r="D1186" s="9">
        <v>872.68</v>
      </c>
      <c r="E1186" s="9">
        <f t="shared" si="54"/>
        <v>3.3236489386630262E-4</v>
      </c>
      <c r="F1186" s="45">
        <f t="shared" si="55"/>
        <v>1.0378185123569935E-2</v>
      </c>
      <c r="G1186" s="9">
        <f t="shared" si="56"/>
        <v>6.2281329601253481E-3</v>
      </c>
    </row>
    <row r="1187" spans="1:7" x14ac:dyDescent="0.2">
      <c r="A1187" s="12">
        <v>38616</v>
      </c>
      <c r="B1187" s="9">
        <v>872.44</v>
      </c>
      <c r="C1187" s="9">
        <v>863.48</v>
      </c>
      <c r="D1187" s="9">
        <v>864.05</v>
      </c>
      <c r="E1187" s="9">
        <f t="shared" si="54"/>
        <v>-9.9382990238228042E-3</v>
      </c>
      <c r="F1187" s="45">
        <f t="shared" si="55"/>
        <v>-1.2433236056248298E-2</v>
      </c>
      <c r="G1187" s="9">
        <f t="shared" si="56"/>
        <v>6.0354968862831836E-3</v>
      </c>
    </row>
    <row r="1188" spans="1:7" x14ac:dyDescent="0.2">
      <c r="A1188" s="12">
        <v>38617</v>
      </c>
      <c r="B1188" s="9">
        <v>868.41</v>
      </c>
      <c r="C1188" s="9">
        <v>859.16</v>
      </c>
      <c r="D1188" s="9">
        <v>867.9</v>
      </c>
      <c r="E1188" s="9">
        <f t="shared" si="54"/>
        <v>4.4458631501984877E-3</v>
      </c>
      <c r="F1188" s="45">
        <f t="shared" si="55"/>
        <v>-2.6006021353957411E-3</v>
      </c>
      <c r="G1188" s="9">
        <f t="shared" si="56"/>
        <v>6.023131459170974E-3</v>
      </c>
    </row>
    <row r="1189" spans="1:7" x14ac:dyDescent="0.2">
      <c r="A1189" s="12">
        <v>38618</v>
      </c>
      <c r="B1189" s="9">
        <v>870.34</v>
      </c>
      <c r="C1189" s="9">
        <v>867</v>
      </c>
      <c r="D1189" s="9">
        <v>870.03</v>
      </c>
      <c r="E1189" s="9">
        <f t="shared" si="54"/>
        <v>2.4511931625343635E-3</v>
      </c>
      <c r="F1189" s="45">
        <f t="shared" si="55"/>
        <v>3.650206426149842E-3</v>
      </c>
      <c r="G1189" s="9">
        <f t="shared" si="56"/>
        <v>5.9983268918673916E-3</v>
      </c>
    </row>
    <row r="1190" spans="1:7" x14ac:dyDescent="0.2">
      <c r="A1190" s="12">
        <v>38621</v>
      </c>
      <c r="B1190" s="9">
        <v>883.04</v>
      </c>
      <c r="C1190" s="9">
        <v>871.19</v>
      </c>
      <c r="D1190" s="9">
        <v>882.83</v>
      </c>
      <c r="E1190" s="9">
        <f t="shared" si="54"/>
        <v>1.4604962774503384E-2</v>
      </c>
      <c r="F1190" s="45">
        <f t="shared" si="55"/>
        <v>1.7747718896826851E-2</v>
      </c>
      <c r="G1190" s="9">
        <f t="shared" si="56"/>
        <v>6.5558871167692738E-3</v>
      </c>
    </row>
    <row r="1191" spans="1:7" x14ac:dyDescent="0.2">
      <c r="A1191" s="12">
        <v>38622</v>
      </c>
      <c r="B1191" s="9">
        <v>884.94</v>
      </c>
      <c r="C1191" s="9">
        <v>880.23</v>
      </c>
      <c r="D1191" s="9">
        <v>882.77</v>
      </c>
      <c r="E1191" s="9">
        <f t="shared" si="54"/>
        <v>-6.7965564140361233E-5</v>
      </c>
      <c r="F1191" s="45">
        <f t="shared" si="55"/>
        <v>1.9745762458559364E-2</v>
      </c>
      <c r="G1191" s="9">
        <f t="shared" si="56"/>
        <v>6.5380824090954257E-3</v>
      </c>
    </row>
    <row r="1192" spans="1:7" x14ac:dyDescent="0.2">
      <c r="A1192" s="12">
        <v>38623</v>
      </c>
      <c r="B1192" s="9">
        <v>892.25</v>
      </c>
      <c r="C1192" s="9">
        <v>882.77</v>
      </c>
      <c r="D1192" s="9">
        <v>890.36</v>
      </c>
      <c r="E1192" s="9">
        <f t="shared" si="54"/>
        <v>8.5611842993129766E-3</v>
      </c>
      <c r="F1192" s="45">
        <f t="shared" si="55"/>
        <v>3.3136559179899085E-2</v>
      </c>
      <c r="G1192" s="9">
        <f t="shared" si="56"/>
        <v>6.6072408013619251E-3</v>
      </c>
    </row>
    <row r="1193" spans="1:7" x14ac:dyDescent="0.2">
      <c r="A1193" s="12">
        <v>38624</v>
      </c>
      <c r="B1193" s="9">
        <v>895.46</v>
      </c>
      <c r="C1193" s="9">
        <v>888.36</v>
      </c>
      <c r="D1193" s="9">
        <v>890.99</v>
      </c>
      <c r="E1193" s="9">
        <f t="shared" si="54"/>
        <v>7.0732874086116562E-4</v>
      </c>
      <c r="F1193" s="45">
        <f t="shared" si="55"/>
        <v>3.3762622502053696E-2</v>
      </c>
      <c r="G1193" s="9">
        <f t="shared" si="56"/>
        <v>6.6048856132425509E-3</v>
      </c>
    </row>
    <row r="1194" spans="1:7" x14ac:dyDescent="0.2">
      <c r="A1194" s="12">
        <v>38625</v>
      </c>
      <c r="B1194" s="9">
        <v>898.98</v>
      </c>
      <c r="C1194" s="9">
        <v>891.96</v>
      </c>
      <c r="D1194" s="9">
        <v>896.29</v>
      </c>
      <c r="E1194" s="9">
        <f t="shared" si="54"/>
        <v>5.9308172591158535E-3</v>
      </c>
      <c r="F1194" s="45">
        <f t="shared" si="55"/>
        <v>3.3836534808782813E-2</v>
      </c>
      <c r="G1194" s="9">
        <f t="shared" si="56"/>
        <v>6.6067249325786701E-3</v>
      </c>
    </row>
    <row r="1195" spans="1:7" x14ac:dyDescent="0.2">
      <c r="A1195" s="12">
        <v>38628</v>
      </c>
      <c r="B1195" s="9">
        <v>905.55</v>
      </c>
      <c r="C1195" s="9">
        <v>896.87</v>
      </c>
      <c r="D1195" s="9">
        <v>905.38</v>
      </c>
      <c r="E1195" s="9">
        <f t="shared" si="54"/>
        <v>1.0090723751373728E-2</v>
      </c>
      <c r="F1195" s="45">
        <f t="shared" si="55"/>
        <v>4.3384974840185157E-2</v>
      </c>
      <c r="G1195" s="9">
        <f t="shared" si="56"/>
        <v>6.8045777815445843E-3</v>
      </c>
    </row>
    <row r="1196" spans="1:7" x14ac:dyDescent="0.2">
      <c r="A1196" s="12">
        <v>38629</v>
      </c>
      <c r="B1196" s="9">
        <v>906.91</v>
      </c>
      <c r="C1196" s="9">
        <v>900.87</v>
      </c>
      <c r="D1196" s="9">
        <v>902.79</v>
      </c>
      <c r="E1196" s="9">
        <f t="shared" si="54"/>
        <v>-2.8647768421469089E-3</v>
      </c>
      <c r="F1196" s="45">
        <f t="shared" si="55"/>
        <v>4.9430052501669951E-2</v>
      </c>
      <c r="G1196" s="9">
        <f t="shared" si="56"/>
        <v>6.5728938033827854E-3</v>
      </c>
    </row>
    <row r="1197" spans="1:7" x14ac:dyDescent="0.2">
      <c r="A1197" s="12">
        <v>38630</v>
      </c>
      <c r="B1197" s="9">
        <v>901.63</v>
      </c>
      <c r="C1197" s="9">
        <v>893.85</v>
      </c>
      <c r="D1197" s="9">
        <v>898.5</v>
      </c>
      <c r="E1197" s="9">
        <f t="shared" si="54"/>
        <v>-4.7632620079993459E-3</v>
      </c>
      <c r="F1197" s="45">
        <f t="shared" si="55"/>
        <v>5.6114080626324864E-2</v>
      </c>
      <c r="G1197" s="9">
        <f t="shared" si="56"/>
        <v>6.2173781405476707E-3</v>
      </c>
    </row>
    <row r="1198" spans="1:7" x14ac:dyDescent="0.2">
      <c r="A1198" s="12">
        <v>38631</v>
      </c>
      <c r="B1198" s="9">
        <v>896.18</v>
      </c>
      <c r="C1198" s="9">
        <v>885.54</v>
      </c>
      <c r="D1198" s="9">
        <v>889.51</v>
      </c>
      <c r="E1198" s="9">
        <f t="shared" si="54"/>
        <v>-1.005595690997905E-2</v>
      </c>
      <c r="F1198" s="45">
        <f t="shared" si="55"/>
        <v>5.7340288598845809E-2</v>
      </c>
      <c r="G1198" s="9">
        <f t="shared" si="56"/>
        <v>6.1313655841589024E-3</v>
      </c>
    </row>
    <row r="1199" spans="1:7" x14ac:dyDescent="0.2">
      <c r="A1199" s="12">
        <v>38632</v>
      </c>
      <c r="B1199" s="9">
        <v>890.27</v>
      </c>
      <c r="C1199" s="9">
        <v>885.9</v>
      </c>
      <c r="D1199" s="9">
        <v>888.13</v>
      </c>
      <c r="E1199" s="9">
        <f t="shared" si="54"/>
        <v>-1.5526206399749517E-3</v>
      </c>
      <c r="F1199" s="45">
        <f t="shared" si="55"/>
        <v>6.3052606113371906E-2</v>
      </c>
      <c r="G1199" s="9">
        <f t="shared" si="56"/>
        <v>5.9216810781985716E-3</v>
      </c>
    </row>
    <row r="1200" spans="1:7" x14ac:dyDescent="0.2">
      <c r="A1200" s="12">
        <v>38635</v>
      </c>
      <c r="B1200" s="9">
        <v>895.75</v>
      </c>
      <c r="C1200" s="9">
        <v>824.91</v>
      </c>
      <c r="D1200" s="9">
        <v>892.06</v>
      </c>
      <c r="E1200" s="9">
        <f t="shared" si="54"/>
        <v>4.4152662181806742E-3</v>
      </c>
      <c r="F1200" s="45">
        <f t="shared" si="55"/>
        <v>5.8858504137723269E-2</v>
      </c>
      <c r="G1200" s="9">
        <f t="shared" si="56"/>
        <v>5.8112252837529731E-3</v>
      </c>
    </row>
    <row r="1201" spans="1:7" x14ac:dyDescent="0.2">
      <c r="A1201" s="12">
        <v>38636</v>
      </c>
      <c r="B1201" s="9">
        <v>897.17</v>
      </c>
      <c r="C1201" s="9">
        <v>890.86</v>
      </c>
      <c r="D1201" s="9">
        <v>892.51</v>
      </c>
      <c r="E1201" s="9">
        <f t="shared" si="54"/>
        <v>5.04323180976838E-4</v>
      </c>
      <c r="F1201" s="45">
        <f t="shared" si="55"/>
        <v>6.2625900358133202E-2</v>
      </c>
      <c r="G1201" s="9">
        <f t="shared" si="56"/>
        <v>5.7346212322877087E-3</v>
      </c>
    </row>
    <row r="1202" spans="1:7" x14ac:dyDescent="0.2">
      <c r="A1202" s="12">
        <v>38637</v>
      </c>
      <c r="B1202" s="9">
        <v>891.93</v>
      </c>
      <c r="C1202" s="9">
        <v>881.69</v>
      </c>
      <c r="D1202" s="9">
        <v>882.77</v>
      </c>
      <c r="E1202" s="9">
        <f t="shared" si="54"/>
        <v>-1.0973027049720705E-2</v>
      </c>
      <c r="F1202" s="45">
        <f t="shared" si="55"/>
        <v>3.8404978350023988E-2</v>
      </c>
      <c r="G1202" s="9">
        <f t="shared" si="56"/>
        <v>5.8136576491431688E-3</v>
      </c>
    </row>
    <row r="1203" spans="1:7" x14ac:dyDescent="0.2">
      <c r="A1203" s="12">
        <v>38638</v>
      </c>
      <c r="B1203" s="9">
        <v>884.78</v>
      </c>
      <c r="C1203" s="9">
        <v>872.67</v>
      </c>
      <c r="D1203" s="9">
        <v>873.94</v>
      </c>
      <c r="E1203" s="9">
        <f t="shared" si="54"/>
        <v>-1.00529676096556E-2</v>
      </c>
      <c r="F1203" s="45">
        <f t="shared" si="55"/>
        <v>2.5554312900498557E-2</v>
      </c>
      <c r="G1203" s="9">
        <f t="shared" si="56"/>
        <v>6.1610349619843161E-3</v>
      </c>
    </row>
    <row r="1204" spans="1:7" x14ac:dyDescent="0.2">
      <c r="A1204" s="12">
        <v>38639</v>
      </c>
      <c r="B1204" s="9">
        <v>879.45</v>
      </c>
      <c r="C1204" s="9">
        <v>872.14</v>
      </c>
      <c r="D1204" s="9">
        <v>876.33</v>
      </c>
      <c r="E1204" s="9">
        <f t="shared" si="54"/>
        <v>2.7310089134434312E-3</v>
      </c>
      <c r="F1204" s="45">
        <f t="shared" si="55"/>
        <v>2.6198030078375265E-2</v>
      </c>
      <c r="G1204" s="9">
        <f t="shared" si="56"/>
        <v>6.1666046175633225E-3</v>
      </c>
    </row>
    <row r="1205" spans="1:7" x14ac:dyDescent="0.2">
      <c r="A1205" s="12">
        <v>38642</v>
      </c>
      <c r="B1205" s="9">
        <v>880.93</v>
      </c>
      <c r="C1205" s="9">
        <v>872.75</v>
      </c>
      <c r="D1205" s="9">
        <v>872.89</v>
      </c>
      <c r="E1205" s="9">
        <f t="shared" si="54"/>
        <v>-3.9331867171883564E-3</v>
      </c>
      <c r="F1205" s="45">
        <f t="shared" si="55"/>
        <v>1.9293872452922856E-2</v>
      </c>
      <c r="G1205" s="9">
        <f t="shared" si="56"/>
        <v>6.2142663854694441E-3</v>
      </c>
    </row>
    <row r="1206" spans="1:7" x14ac:dyDescent="0.2">
      <c r="A1206" s="12">
        <v>38643</v>
      </c>
      <c r="B1206" s="9">
        <v>874.35</v>
      </c>
      <c r="C1206" s="9">
        <v>868.62</v>
      </c>
      <c r="D1206" s="9">
        <v>870.06</v>
      </c>
      <c r="E1206" s="9">
        <f t="shared" si="54"/>
        <v>-3.2473708218371615E-3</v>
      </c>
      <c r="F1206" s="45">
        <f t="shared" si="55"/>
        <v>1.1176399962987806E-2</v>
      </c>
      <c r="G1206" s="9">
        <f t="shared" si="56"/>
        <v>6.2005793430969132E-3</v>
      </c>
    </row>
    <row r="1207" spans="1:7" x14ac:dyDescent="0.2">
      <c r="A1207" s="12">
        <v>38644</v>
      </c>
      <c r="B1207" s="9">
        <v>867.74</v>
      </c>
      <c r="C1207" s="9">
        <v>855.34</v>
      </c>
      <c r="D1207" s="9">
        <v>856.5</v>
      </c>
      <c r="E1207" s="9">
        <f t="shared" si="54"/>
        <v>-1.5707857023684189E-2</v>
      </c>
      <c r="F1207" s="45">
        <f t="shared" si="55"/>
        <v>-8.1859018533247604E-3</v>
      </c>
      <c r="G1207" s="9">
        <f t="shared" si="56"/>
        <v>6.8235905317668164E-3</v>
      </c>
    </row>
    <row r="1208" spans="1:7" x14ac:dyDescent="0.2">
      <c r="A1208" s="12">
        <v>38645</v>
      </c>
      <c r="B1208" s="9">
        <v>866.55</v>
      </c>
      <c r="C1208" s="9">
        <v>857.8</v>
      </c>
      <c r="D1208" s="9">
        <v>858.7</v>
      </c>
      <c r="E1208" s="9">
        <f t="shared" si="54"/>
        <v>2.5652999142644324E-3</v>
      </c>
      <c r="F1208" s="45">
        <f t="shared" si="55"/>
        <v>-2.4193372584191421E-3</v>
      </c>
      <c r="G1208" s="9">
        <f t="shared" si="56"/>
        <v>6.8194737365263203E-3</v>
      </c>
    </row>
    <row r="1209" spans="1:7" x14ac:dyDescent="0.2">
      <c r="A1209" s="12">
        <v>38646</v>
      </c>
      <c r="B1209" s="9">
        <v>858.75</v>
      </c>
      <c r="C1209" s="9">
        <v>851</v>
      </c>
      <c r="D1209" s="9">
        <v>854.6</v>
      </c>
      <c r="E1209" s="9">
        <f t="shared" si="54"/>
        <v>-4.7860944685145478E-3</v>
      </c>
      <c r="F1209" s="45">
        <f t="shared" si="55"/>
        <v>-1.6629046451918528E-2</v>
      </c>
      <c r="G1209" s="9">
        <f t="shared" si="56"/>
        <v>6.6273498766997816E-3</v>
      </c>
    </row>
    <row r="1210" spans="1:7" x14ac:dyDescent="0.2">
      <c r="A1210" s="12">
        <v>38649</v>
      </c>
      <c r="B1210" s="9">
        <v>864.96</v>
      </c>
      <c r="C1210" s="9">
        <v>852.53</v>
      </c>
      <c r="D1210" s="9">
        <v>863.5</v>
      </c>
      <c r="E1210" s="9">
        <f t="shared" si="54"/>
        <v>1.0360374376808664E-2</v>
      </c>
      <c r="F1210" s="45">
        <f t="shared" si="55"/>
        <v>-7.0164388757467866E-3</v>
      </c>
      <c r="G1210" s="9">
        <f t="shared" si="56"/>
        <v>6.9184558763503226E-3</v>
      </c>
    </row>
    <row r="1211" spans="1:7" x14ac:dyDescent="0.2">
      <c r="A1211" s="12">
        <v>38650</v>
      </c>
      <c r="B1211" s="9">
        <v>877.78</v>
      </c>
      <c r="C1211" s="9">
        <v>865.24</v>
      </c>
      <c r="D1211" s="9">
        <v>870.78</v>
      </c>
      <c r="E1211" s="9">
        <f t="shared" si="54"/>
        <v>8.3954641235931948E-3</v>
      </c>
      <c r="F1211" s="45">
        <f t="shared" si="55"/>
        <v>1.8161133280517549E-3</v>
      </c>
      <c r="G1211" s="9">
        <f t="shared" si="56"/>
        <v>7.0951896358716271E-3</v>
      </c>
    </row>
    <row r="1212" spans="1:7" x14ac:dyDescent="0.2">
      <c r="A1212" s="12">
        <v>38651</v>
      </c>
      <c r="B1212" s="9">
        <v>878.72</v>
      </c>
      <c r="C1212" s="9">
        <v>870.17</v>
      </c>
      <c r="D1212" s="9">
        <v>872.91</v>
      </c>
      <c r="E1212" s="9">
        <f t="shared" si="54"/>
        <v>2.4430960313442484E-3</v>
      </c>
      <c r="F1212" s="45">
        <f t="shared" si="55"/>
        <v>-1.3746176866211344E-4</v>
      </c>
      <c r="G1212" s="9">
        <f t="shared" si="56"/>
        <v>7.0629120611108683E-3</v>
      </c>
    </row>
    <row r="1213" spans="1:7" x14ac:dyDescent="0.2">
      <c r="A1213" s="12">
        <v>38652</v>
      </c>
      <c r="B1213" s="9">
        <v>872.33</v>
      </c>
      <c r="C1213" s="9">
        <v>860.97</v>
      </c>
      <c r="D1213" s="9">
        <v>862.86</v>
      </c>
      <c r="E1213" s="9">
        <f t="shared" si="54"/>
        <v>-1.1580004615327471E-2</v>
      </c>
      <c r="F1213" s="45">
        <f t="shared" si="55"/>
        <v>-7.5968731116396954E-3</v>
      </c>
      <c r="G1213" s="9">
        <f t="shared" si="56"/>
        <v>7.3387285734543613E-3</v>
      </c>
    </row>
    <row r="1214" spans="1:7" x14ac:dyDescent="0.2">
      <c r="A1214" s="12">
        <v>38653</v>
      </c>
      <c r="B1214" s="9">
        <v>865.05</v>
      </c>
      <c r="C1214" s="9">
        <v>856.46</v>
      </c>
      <c r="D1214" s="9">
        <v>862.66</v>
      </c>
      <c r="E1214" s="9">
        <f t="shared" si="54"/>
        <v>-2.3181417879327299E-4</v>
      </c>
      <c r="F1214" s="45">
        <f t="shared" si="55"/>
        <v>-1.1261782684134542E-2</v>
      </c>
      <c r="G1214" s="9">
        <f t="shared" si="56"/>
        <v>7.3056778267265293E-3</v>
      </c>
    </row>
    <row r="1215" spans="1:7" x14ac:dyDescent="0.2">
      <c r="A1215" s="12">
        <v>38656</v>
      </c>
      <c r="B1215" s="9">
        <v>882.75</v>
      </c>
      <c r="C1215" s="9">
        <v>864.4</v>
      </c>
      <c r="D1215" s="9">
        <v>882.63</v>
      </c>
      <c r="E1215" s="9">
        <f t="shared" si="54"/>
        <v>2.288544779289833E-2</v>
      </c>
      <c r="F1215" s="45">
        <f t="shared" si="55"/>
        <v>1.1669515110490965E-2</v>
      </c>
      <c r="G1215" s="9">
        <f t="shared" si="56"/>
        <v>8.4511678117034986E-3</v>
      </c>
    </row>
    <row r="1216" spans="1:7" x14ac:dyDescent="0.2">
      <c r="A1216" s="12">
        <v>38657</v>
      </c>
      <c r="D1216" s="9">
        <v>885.81</v>
      </c>
      <c r="E1216" s="9">
        <f t="shared" ref="E1216:E1279" si="57">LN(D1216/D1215)</f>
        <v>3.5963939150011194E-3</v>
      </c>
      <c r="F1216" s="45">
        <f t="shared" si="55"/>
        <v>1.4933544131625892E-2</v>
      </c>
      <c r="G1216" s="9">
        <f t="shared" si="56"/>
        <v>8.4714002186143406E-3</v>
      </c>
    </row>
    <row r="1217" spans="1:7" x14ac:dyDescent="0.2">
      <c r="A1217" s="12">
        <v>38658</v>
      </c>
      <c r="D1217" s="9">
        <v>888.65</v>
      </c>
      <c r="E1217" s="9">
        <f t="shared" si="57"/>
        <v>3.2009765505512399E-3</v>
      </c>
      <c r="F1217" s="45">
        <f t="shared" si="55"/>
        <v>2.8072819706000108E-2</v>
      </c>
      <c r="G1217" s="9">
        <f t="shared" si="56"/>
        <v>8.2500046871056346E-3</v>
      </c>
    </row>
    <row r="1218" spans="1:7" x14ac:dyDescent="0.2">
      <c r="A1218" s="12">
        <v>38659</v>
      </c>
      <c r="B1218" s="9">
        <v>898.81</v>
      </c>
      <c r="C1218" s="9">
        <v>889.23</v>
      </c>
      <c r="D1218" s="9">
        <v>898.24</v>
      </c>
      <c r="E1218" s="9">
        <f t="shared" si="57"/>
        <v>1.0733835967516989E-2</v>
      </c>
      <c r="F1218" s="45">
        <f t="shared" si="55"/>
        <v>3.4360792523318542E-2</v>
      </c>
      <c r="G1218" s="9">
        <f t="shared" si="56"/>
        <v>8.4203739978678891E-3</v>
      </c>
    </row>
    <row r="1219" spans="1:7" x14ac:dyDescent="0.2">
      <c r="A1219" s="12">
        <v>38660</v>
      </c>
      <c r="B1219" s="9">
        <v>900.99</v>
      </c>
      <c r="C1219" s="9">
        <v>894.94</v>
      </c>
      <c r="D1219" s="9">
        <v>896.62</v>
      </c>
      <c r="E1219" s="9">
        <f t="shared" si="57"/>
        <v>-1.8051552097756878E-3</v>
      </c>
      <c r="F1219" s="45">
        <f t="shared" si="55"/>
        <v>3.0104444151008602E-2</v>
      </c>
      <c r="G1219" s="9">
        <f t="shared" si="56"/>
        <v>8.4334610719404013E-3</v>
      </c>
    </row>
    <row r="1220" spans="1:7" x14ac:dyDescent="0.2">
      <c r="A1220" s="12">
        <v>38663</v>
      </c>
      <c r="B1220" s="9">
        <v>904.29</v>
      </c>
      <c r="C1220" s="9">
        <v>896.96</v>
      </c>
      <c r="D1220" s="9">
        <v>901.61</v>
      </c>
      <c r="E1220" s="9">
        <f t="shared" si="57"/>
        <v>5.549916093394603E-3</v>
      </c>
      <c r="F1220" s="45">
        <f t="shared" si="55"/>
        <v>2.1049397469899669E-2</v>
      </c>
      <c r="G1220" s="9">
        <f t="shared" si="56"/>
        <v>8.084705332381488E-3</v>
      </c>
    </row>
    <row r="1221" spans="1:7" x14ac:dyDescent="0.2">
      <c r="A1221" s="12">
        <v>38664</v>
      </c>
      <c r="B1221" s="9">
        <v>907.04</v>
      </c>
      <c r="C1221" s="9">
        <v>898.5</v>
      </c>
      <c r="D1221" s="9">
        <v>899.28</v>
      </c>
      <c r="E1221" s="9">
        <f t="shared" si="57"/>
        <v>-2.5876109035949243E-3</v>
      </c>
      <c r="F1221" s="45">
        <f t="shared" si="55"/>
        <v>1.8529752130445266E-2</v>
      </c>
      <c r="G1221" s="9">
        <f t="shared" si="56"/>
        <v>8.1060357260398334E-3</v>
      </c>
    </row>
    <row r="1222" spans="1:7" x14ac:dyDescent="0.2">
      <c r="A1222" s="12">
        <v>38665</v>
      </c>
      <c r="B1222" s="9">
        <v>902.37</v>
      </c>
      <c r="C1222" s="9">
        <v>895.29</v>
      </c>
      <c r="D1222" s="9">
        <v>900.97</v>
      </c>
      <c r="E1222" s="9">
        <f t="shared" si="57"/>
        <v>1.8775175630580396E-3</v>
      </c>
      <c r="F1222" s="45">
        <f t="shared" si="55"/>
        <v>1.1846085394190464E-2</v>
      </c>
      <c r="G1222" s="9">
        <f t="shared" si="56"/>
        <v>7.9709066574629363E-3</v>
      </c>
    </row>
    <row r="1223" spans="1:7" x14ac:dyDescent="0.2">
      <c r="A1223" s="12">
        <v>38666</v>
      </c>
      <c r="B1223" s="9">
        <v>907</v>
      </c>
      <c r="C1223" s="9">
        <v>900.09</v>
      </c>
      <c r="D1223" s="9">
        <v>900.64</v>
      </c>
      <c r="E1223" s="9">
        <f t="shared" si="57"/>
        <v>-3.6633900088331797E-4</v>
      </c>
      <c r="F1223" s="45">
        <f t="shared" si="55"/>
        <v>1.0772417652446095E-2</v>
      </c>
      <c r="G1223" s="9">
        <f t="shared" si="56"/>
        <v>7.9718656526572285E-3</v>
      </c>
    </row>
    <row r="1224" spans="1:7" x14ac:dyDescent="0.2">
      <c r="A1224" s="12">
        <v>38667</v>
      </c>
      <c r="B1224" s="9">
        <v>914.82</v>
      </c>
      <c r="C1224" s="9">
        <v>902.38</v>
      </c>
      <c r="D1224" s="9">
        <v>914.1</v>
      </c>
      <c r="E1224" s="9">
        <f t="shared" si="57"/>
        <v>1.4834352944056743E-2</v>
      </c>
      <c r="F1224" s="45">
        <f t="shared" si="55"/>
        <v>1.9675953337386844E-2</v>
      </c>
      <c r="G1224" s="9">
        <f t="shared" si="56"/>
        <v>8.3435199844344912E-3</v>
      </c>
    </row>
    <row r="1225" spans="1:7" x14ac:dyDescent="0.2">
      <c r="A1225" s="12">
        <v>38670</v>
      </c>
      <c r="B1225" s="9">
        <v>918.08</v>
      </c>
      <c r="C1225" s="9">
        <v>912.74</v>
      </c>
      <c r="D1225" s="9">
        <v>914.3</v>
      </c>
      <c r="E1225" s="9">
        <f t="shared" si="57"/>
        <v>2.1877051060774282E-4</v>
      </c>
      <c r="F1225" s="45">
        <f t="shared" si="55"/>
        <v>9.8040000966208348E-3</v>
      </c>
      <c r="G1225" s="9">
        <f t="shared" si="56"/>
        <v>8.1510342583862392E-3</v>
      </c>
    </row>
    <row r="1226" spans="1:7" x14ac:dyDescent="0.2">
      <c r="A1226" s="12">
        <v>38671</v>
      </c>
      <c r="B1226" s="9">
        <v>916.34</v>
      </c>
      <c r="C1226" s="9">
        <v>909.72</v>
      </c>
      <c r="D1226" s="9">
        <v>911.53</v>
      </c>
      <c r="E1226" s="9">
        <f t="shared" si="57"/>
        <v>-3.0342388121468306E-3</v>
      </c>
      <c r="F1226" s="45">
        <f t="shared" si="55"/>
        <v>9.6345381266209635E-3</v>
      </c>
      <c r="G1226" s="9">
        <f t="shared" si="56"/>
        <v>8.1533806969096099E-3</v>
      </c>
    </row>
    <row r="1227" spans="1:7" x14ac:dyDescent="0.2">
      <c r="A1227" s="12">
        <v>38672</v>
      </c>
      <c r="B1227" s="9">
        <v>913.63</v>
      </c>
      <c r="C1227" s="9">
        <v>907.74</v>
      </c>
      <c r="D1227" s="9">
        <v>912.46</v>
      </c>
      <c r="E1227" s="9">
        <f t="shared" si="57"/>
        <v>1.0197425211655943E-3</v>
      </c>
      <c r="F1227" s="45">
        <f t="shared" si="55"/>
        <v>1.5417542655785836E-2</v>
      </c>
      <c r="G1227" s="9">
        <f t="shared" si="56"/>
        <v>8.0971959532156312E-3</v>
      </c>
    </row>
    <row r="1228" spans="1:7" x14ac:dyDescent="0.2">
      <c r="A1228" s="12">
        <v>38673</v>
      </c>
      <c r="B1228" s="9">
        <v>917.35</v>
      </c>
      <c r="C1228" s="9">
        <v>912.37</v>
      </c>
      <c r="D1228" s="9">
        <v>914.41</v>
      </c>
      <c r="E1228" s="9">
        <f t="shared" si="57"/>
        <v>2.1347996743855519E-3</v>
      </c>
      <c r="F1228" s="45">
        <f t="shared" si="55"/>
        <v>2.7608299240150555E-2</v>
      </c>
      <c r="G1228" s="9">
        <f t="shared" si="56"/>
        <v>7.8505964374039772E-3</v>
      </c>
    </row>
    <row r="1229" spans="1:7" x14ac:dyDescent="0.2">
      <c r="A1229" s="12">
        <v>38674</v>
      </c>
      <c r="B1229" s="9">
        <v>923.3</v>
      </c>
      <c r="C1229" s="9">
        <v>915.57</v>
      </c>
      <c r="D1229" s="9">
        <v>918.98</v>
      </c>
      <c r="E1229" s="9">
        <f t="shared" si="57"/>
        <v>4.9853107794524875E-3</v>
      </c>
      <c r="F1229" s="45">
        <f t="shared" si="55"/>
        <v>3.4146230659577892E-2</v>
      </c>
      <c r="G1229" s="9">
        <f t="shared" si="56"/>
        <v>7.870303266305655E-3</v>
      </c>
    </row>
    <row r="1230" spans="1:7" x14ac:dyDescent="0.2">
      <c r="A1230" s="12">
        <v>38677</v>
      </c>
      <c r="B1230" s="9">
        <v>924.88</v>
      </c>
      <c r="C1230" s="9">
        <v>918.44</v>
      </c>
      <c r="D1230" s="9">
        <v>922.74</v>
      </c>
      <c r="E1230" s="9">
        <f t="shared" si="57"/>
        <v>4.0831453466495622E-3</v>
      </c>
      <c r="F1230" s="45">
        <f t="shared" si="55"/>
        <v>3.3814109788046852E-2</v>
      </c>
      <c r="G1230" s="9">
        <f t="shared" si="56"/>
        <v>7.8657669464047425E-3</v>
      </c>
    </row>
    <row r="1231" spans="1:7" x14ac:dyDescent="0.2">
      <c r="A1231" s="12">
        <v>38678</v>
      </c>
      <c r="B1231" s="9">
        <v>926</v>
      </c>
      <c r="C1231" s="9">
        <v>915.4</v>
      </c>
      <c r="D1231" s="9">
        <v>916.84</v>
      </c>
      <c r="E1231" s="9">
        <f t="shared" si="57"/>
        <v>-6.4145296537215244E-3</v>
      </c>
      <c r="F1231" s="45">
        <f t="shared" si="55"/>
        <v>2.6895256953348604E-2</v>
      </c>
      <c r="G1231" s="9">
        <f t="shared" si="56"/>
        <v>7.9851835956108487E-3</v>
      </c>
    </row>
    <row r="1232" spans="1:7" x14ac:dyDescent="0.2">
      <c r="A1232" s="12">
        <v>38679</v>
      </c>
      <c r="B1232" s="9">
        <v>922.59</v>
      </c>
      <c r="C1232" s="9">
        <v>916.83</v>
      </c>
      <c r="D1232" s="9">
        <v>921.71</v>
      </c>
      <c r="E1232" s="9">
        <f t="shared" si="57"/>
        <v>5.2976654317938099E-3</v>
      </c>
      <c r="F1232" s="45">
        <f t="shared" si="55"/>
        <v>4.3165949434863016E-2</v>
      </c>
      <c r="G1232" s="9">
        <f t="shared" si="56"/>
        <v>7.6986146228087181E-3</v>
      </c>
    </row>
    <row r="1233" spans="1:7" x14ac:dyDescent="0.2">
      <c r="A1233" s="12">
        <v>38680</v>
      </c>
      <c r="B1233" s="9">
        <v>923.84</v>
      </c>
      <c r="C1233" s="9">
        <v>914.73</v>
      </c>
      <c r="D1233" s="9">
        <v>917.62</v>
      </c>
      <c r="E1233" s="9">
        <f t="shared" si="57"/>
        <v>-4.4472788907897976E-3</v>
      </c>
      <c r="F1233" s="45">
        <f t="shared" si="55"/>
        <v>4.8771638153728959E-2</v>
      </c>
      <c r="G1233" s="9">
        <f t="shared" si="56"/>
        <v>7.4748506187142984E-3</v>
      </c>
    </row>
    <row r="1234" spans="1:7" x14ac:dyDescent="0.2">
      <c r="A1234" s="12">
        <v>38681</v>
      </c>
      <c r="B1234" s="9">
        <v>923.57</v>
      </c>
      <c r="C1234" s="9">
        <v>916.68</v>
      </c>
      <c r="D1234" s="9">
        <v>919.65</v>
      </c>
      <c r="E1234" s="9">
        <f t="shared" si="57"/>
        <v>2.2098013096368422E-3</v>
      </c>
      <c r="F1234" s="45">
        <f t="shared" si="55"/>
        <v>4.8250430549922334E-2</v>
      </c>
      <c r="G1234" s="9">
        <f t="shared" si="56"/>
        <v>7.4727984760938129E-3</v>
      </c>
    </row>
    <row r="1235" spans="1:7" x14ac:dyDescent="0.2">
      <c r="A1235" s="12">
        <v>38684</v>
      </c>
      <c r="B1235" s="9">
        <v>926.58</v>
      </c>
      <c r="C1235" s="9">
        <v>918.9</v>
      </c>
      <c r="D1235" s="9">
        <v>921.8</v>
      </c>
      <c r="E1235" s="9">
        <f t="shared" si="57"/>
        <v>2.3351174096011844E-3</v>
      </c>
      <c r="F1235" s="45">
        <f t="shared" si="55"/>
        <v>5.4518734676712054E-2</v>
      </c>
      <c r="G1235" s="9">
        <f t="shared" si="56"/>
        <v>7.3997871925274806E-3</v>
      </c>
    </row>
    <row r="1236" spans="1:7" x14ac:dyDescent="0.2">
      <c r="A1236" s="12">
        <v>38685</v>
      </c>
      <c r="B1236" s="9">
        <v>922.74</v>
      </c>
      <c r="C1236" s="9">
        <v>916.56</v>
      </c>
      <c r="D1236" s="9">
        <v>919.32</v>
      </c>
      <c r="E1236" s="9">
        <f t="shared" si="57"/>
        <v>-2.6940139696779576E-3</v>
      </c>
      <c r="F1236" s="45">
        <f t="shared" si="55"/>
        <v>5.5072091528871193E-2</v>
      </c>
      <c r="G1236" s="9">
        <f t="shared" si="56"/>
        <v>7.3874066434148613E-3</v>
      </c>
    </row>
    <row r="1237" spans="1:7" x14ac:dyDescent="0.2">
      <c r="A1237" s="12">
        <v>38686</v>
      </c>
      <c r="B1237" s="9">
        <v>919.66</v>
      </c>
      <c r="C1237" s="9">
        <v>911.11</v>
      </c>
      <c r="D1237" s="9">
        <v>911.16</v>
      </c>
      <c r="E1237" s="9">
        <f t="shared" si="57"/>
        <v>-8.9157533035873083E-3</v>
      </c>
      <c r="F1237" s="45">
        <f t="shared" si="55"/>
        <v>6.1864195248968065E-2</v>
      </c>
      <c r="G1237" s="9">
        <f t="shared" si="56"/>
        <v>6.9205307640264309E-3</v>
      </c>
    </row>
    <row r="1238" spans="1:7" x14ac:dyDescent="0.2">
      <c r="A1238" s="12">
        <v>38687</v>
      </c>
      <c r="B1238" s="9">
        <v>927.74</v>
      </c>
      <c r="C1238" s="9">
        <v>911.73</v>
      </c>
      <c r="D1238" s="9">
        <v>927.16</v>
      </c>
      <c r="E1238" s="9">
        <f t="shared" si="57"/>
        <v>1.7407637443333627E-2</v>
      </c>
      <c r="F1238" s="45">
        <f t="shared" si="55"/>
        <v>7.670653277803724E-2</v>
      </c>
      <c r="G1238" s="9">
        <f t="shared" si="56"/>
        <v>7.4667229484848743E-3</v>
      </c>
    </row>
    <row r="1239" spans="1:7" x14ac:dyDescent="0.2">
      <c r="A1239" s="12">
        <v>38688</v>
      </c>
      <c r="B1239" s="9">
        <v>935.97</v>
      </c>
      <c r="C1239" s="9">
        <v>925.87</v>
      </c>
      <c r="D1239" s="9">
        <v>933.69</v>
      </c>
      <c r="E1239" s="9">
        <f t="shared" si="57"/>
        <v>7.0183268978670143E-3</v>
      </c>
      <c r="F1239" s="45">
        <f t="shared" si="55"/>
        <v>8.8510954144418702E-2</v>
      </c>
      <c r="G1239" s="9">
        <f t="shared" si="56"/>
        <v>7.376913927814267E-3</v>
      </c>
    </row>
    <row r="1240" spans="1:7" x14ac:dyDescent="0.2">
      <c r="A1240" s="12">
        <v>38691</v>
      </c>
      <c r="B1240" s="9">
        <v>937.65</v>
      </c>
      <c r="C1240" s="9">
        <v>926.98</v>
      </c>
      <c r="D1240" s="9">
        <v>926.98</v>
      </c>
      <c r="E1240" s="9">
        <f t="shared" si="57"/>
        <v>-7.2124869942625652E-3</v>
      </c>
      <c r="F1240" s="45">
        <f t="shared" si="55"/>
        <v>7.0938092773347533E-2</v>
      </c>
      <c r="G1240" s="9">
        <f t="shared" si="56"/>
        <v>7.4653884698692398E-3</v>
      </c>
    </row>
    <row r="1241" spans="1:7" x14ac:dyDescent="0.2">
      <c r="A1241" s="12">
        <v>38692</v>
      </c>
      <c r="B1241" s="9">
        <v>940.43</v>
      </c>
      <c r="C1241" s="9">
        <v>926.98</v>
      </c>
      <c r="D1241" s="9">
        <v>936.08</v>
      </c>
      <c r="E1241" s="9">
        <f t="shared" si="57"/>
        <v>9.7689525506217192E-3</v>
      </c>
      <c r="F1241" s="45">
        <f t="shared" si="55"/>
        <v>7.231158120037616E-2</v>
      </c>
      <c r="G1241" s="9">
        <f t="shared" si="56"/>
        <v>7.5077407156485029E-3</v>
      </c>
    </row>
    <row r="1242" spans="1:7" x14ac:dyDescent="0.2">
      <c r="A1242" s="12">
        <v>38693</v>
      </c>
      <c r="B1242" s="9">
        <v>940.84</v>
      </c>
      <c r="C1242" s="9">
        <v>935.5</v>
      </c>
      <c r="D1242" s="9">
        <v>936.78</v>
      </c>
      <c r="E1242" s="9">
        <f t="shared" si="57"/>
        <v>7.4751987078131151E-4</v>
      </c>
      <c r="F1242" s="45">
        <f t="shared" si="55"/>
        <v>7.0616005039813079E-2</v>
      </c>
      <c r="G1242" s="9">
        <f t="shared" si="56"/>
        <v>7.5138657351381541E-3</v>
      </c>
    </row>
    <row r="1243" spans="1:7" x14ac:dyDescent="0.2">
      <c r="A1243" s="12">
        <v>38694</v>
      </c>
      <c r="B1243" s="9">
        <v>943.05</v>
      </c>
      <c r="C1243" s="9">
        <v>933.21</v>
      </c>
      <c r="D1243" s="9">
        <v>943.05</v>
      </c>
      <c r="E1243" s="9">
        <f t="shared" si="57"/>
        <v>6.6708407156957786E-3</v>
      </c>
      <c r="F1243" s="45">
        <f t="shared" si="55"/>
        <v>8.8866850370836539E-2</v>
      </c>
      <c r="G1243" s="9">
        <f t="shared" si="56"/>
        <v>7.0726953072003853E-3</v>
      </c>
    </row>
    <row r="1244" spans="1:7" x14ac:dyDescent="0.2">
      <c r="A1244" s="12">
        <v>38695</v>
      </c>
      <c r="B1244" s="9">
        <v>945.29</v>
      </c>
      <c r="C1244" s="9">
        <v>939.66</v>
      </c>
      <c r="D1244" s="9">
        <v>943.16</v>
      </c>
      <c r="E1244" s="9">
        <f t="shared" si="57"/>
        <v>1.1663600566709231E-4</v>
      </c>
      <c r="F1244" s="45">
        <f t="shared" si="55"/>
        <v>8.9215300555296903E-2</v>
      </c>
      <c r="G1244" s="9">
        <f t="shared" si="56"/>
        <v>7.0675533229577611E-3</v>
      </c>
    </row>
    <row r="1245" spans="1:7" x14ac:dyDescent="0.2">
      <c r="A1245" s="12">
        <v>38698</v>
      </c>
      <c r="B1245" s="9">
        <v>947.89</v>
      </c>
      <c r="C1245" s="9">
        <v>940.02</v>
      </c>
      <c r="D1245" s="9">
        <v>940.29</v>
      </c>
      <c r="E1245" s="9">
        <f t="shared" si="57"/>
        <v>-3.047601180120782E-3</v>
      </c>
      <c r="F1245" s="45">
        <f t="shared" si="55"/>
        <v>6.3282251582277682E-2</v>
      </c>
      <c r="G1245" s="9">
        <f t="shared" si="56"/>
        <v>6.0626822268977885E-3</v>
      </c>
    </row>
    <row r="1246" spans="1:7" x14ac:dyDescent="0.2">
      <c r="A1246" s="12">
        <v>38699</v>
      </c>
      <c r="B1246" s="9">
        <v>943.31</v>
      </c>
      <c r="C1246" s="9">
        <v>937.47</v>
      </c>
      <c r="D1246" s="9">
        <v>942.78</v>
      </c>
      <c r="E1246" s="9">
        <f t="shared" si="57"/>
        <v>2.6446191073692983E-3</v>
      </c>
      <c r="F1246" s="45">
        <f t="shared" si="55"/>
        <v>6.233047677464592E-2</v>
      </c>
      <c r="G1246" s="9">
        <f t="shared" si="56"/>
        <v>6.0571203083247043E-3</v>
      </c>
    </row>
    <row r="1247" spans="1:7" x14ac:dyDescent="0.2">
      <c r="A1247" s="12">
        <v>38700</v>
      </c>
      <c r="B1247" s="9">
        <v>942.78</v>
      </c>
      <c r="C1247" s="9">
        <v>935.2</v>
      </c>
      <c r="D1247" s="9">
        <v>937.12</v>
      </c>
      <c r="E1247" s="9">
        <f t="shared" si="57"/>
        <v>-6.0216150886232712E-3</v>
      </c>
      <c r="F1247" s="45">
        <f t="shared" si="55"/>
        <v>5.310788513547144E-2</v>
      </c>
      <c r="G1247" s="9">
        <f t="shared" si="56"/>
        <v>6.2297232818957693E-3</v>
      </c>
    </row>
    <row r="1248" spans="1:7" x14ac:dyDescent="0.2">
      <c r="A1248" s="12">
        <v>38701</v>
      </c>
      <c r="B1248" s="9">
        <v>938.71</v>
      </c>
      <c r="C1248" s="9">
        <v>932.8</v>
      </c>
      <c r="D1248" s="9">
        <v>934.79</v>
      </c>
      <c r="E1248" s="9">
        <f t="shared" si="57"/>
        <v>-2.4894372093834539E-3</v>
      </c>
      <c r="F1248" s="45">
        <f t="shared" si="55"/>
        <v>3.9884611958570883E-2</v>
      </c>
      <c r="G1248" s="9">
        <f t="shared" si="56"/>
        <v>6.0385115078765107E-3</v>
      </c>
    </row>
    <row r="1249" spans="1:7" x14ac:dyDescent="0.2">
      <c r="A1249" s="12">
        <v>38702</v>
      </c>
      <c r="B1249" s="9">
        <v>944.43</v>
      </c>
      <c r="C1249" s="9">
        <v>934.87</v>
      </c>
      <c r="D1249" s="9">
        <v>943.57</v>
      </c>
      <c r="E1249" s="9">
        <f t="shared" si="57"/>
        <v>9.3486487633356839E-3</v>
      </c>
      <c r="F1249" s="45">
        <f t="shared" ref="F1249:F1312" si="58">LN(D1249/D1219)</f>
        <v>5.1038415931682311E-2</v>
      </c>
      <c r="G1249" s="9">
        <f t="shared" ref="G1249:G1312" si="59">STDEV(E1220:E1249)</f>
        <v>6.1805564876198597E-3</v>
      </c>
    </row>
    <row r="1250" spans="1:7" x14ac:dyDescent="0.2">
      <c r="A1250" s="12">
        <v>38705</v>
      </c>
      <c r="B1250" s="9">
        <v>947.7</v>
      </c>
      <c r="C1250" s="9">
        <v>941.77</v>
      </c>
      <c r="D1250" s="9">
        <v>943.72</v>
      </c>
      <c r="E1250" s="9">
        <f t="shared" si="57"/>
        <v>1.5895808308820977E-4</v>
      </c>
      <c r="F1250" s="45">
        <f t="shared" si="58"/>
        <v>4.5647457921376054E-2</v>
      </c>
      <c r="G1250" s="9">
        <f t="shared" si="59"/>
        <v>6.1430563314115874E-3</v>
      </c>
    </row>
    <row r="1251" spans="1:7" x14ac:dyDescent="0.2">
      <c r="A1251" s="12">
        <v>38706</v>
      </c>
      <c r="B1251" s="9">
        <v>944.57</v>
      </c>
      <c r="C1251" s="9">
        <v>937.8</v>
      </c>
      <c r="D1251" s="9">
        <v>943.73</v>
      </c>
      <c r="E1251" s="9">
        <f t="shared" si="57"/>
        <v>1.0596307187057899E-5</v>
      </c>
      <c r="F1251" s="45">
        <f t="shared" si="58"/>
        <v>4.8245665132157931E-2</v>
      </c>
      <c r="G1251" s="9">
        <f t="shared" si="59"/>
        <v>6.1012991289041288E-3</v>
      </c>
    </row>
    <row r="1252" spans="1:7" x14ac:dyDescent="0.2">
      <c r="A1252" s="12">
        <v>38707</v>
      </c>
      <c r="B1252" s="9">
        <v>949.5</v>
      </c>
      <c r="C1252" s="9">
        <v>944.31</v>
      </c>
      <c r="D1252" s="9">
        <v>949.27</v>
      </c>
      <c r="E1252" s="9">
        <f t="shared" si="57"/>
        <v>5.8531598694676005E-3</v>
      </c>
      <c r="F1252" s="45">
        <f t="shared" si="58"/>
        <v>5.2221307438567607E-2</v>
      </c>
      <c r="G1252" s="9">
        <f t="shared" si="59"/>
        <v>6.1503295794044094E-3</v>
      </c>
    </row>
    <row r="1253" spans="1:7" x14ac:dyDescent="0.2">
      <c r="A1253" s="12">
        <v>38708</v>
      </c>
      <c r="B1253" s="9">
        <v>952.68</v>
      </c>
      <c r="C1253" s="9">
        <v>948.34</v>
      </c>
      <c r="D1253" s="9">
        <v>951.31</v>
      </c>
      <c r="E1253" s="9">
        <f t="shared" si="57"/>
        <v>2.1467139330357578E-3</v>
      </c>
      <c r="F1253" s="45">
        <f t="shared" si="58"/>
        <v>5.4734360372486586E-2</v>
      </c>
      <c r="G1253" s="9">
        <f t="shared" si="59"/>
        <v>6.1377428516523266E-3</v>
      </c>
    </row>
    <row r="1254" spans="1:7" x14ac:dyDescent="0.2">
      <c r="A1254" s="12">
        <v>38709</v>
      </c>
      <c r="B1254" s="9">
        <v>959.7</v>
      </c>
      <c r="C1254" s="9">
        <v>951.12</v>
      </c>
      <c r="D1254" s="9">
        <v>958.44</v>
      </c>
      <c r="E1254" s="9">
        <f t="shared" si="57"/>
        <v>7.4669806290949695E-3</v>
      </c>
      <c r="F1254" s="45">
        <f t="shared" si="58"/>
        <v>4.7366988057524935E-2</v>
      </c>
      <c r="G1254" s="9">
        <f t="shared" si="59"/>
        <v>5.7333160033941457E-3</v>
      </c>
    </row>
    <row r="1255" spans="1:7" x14ac:dyDescent="0.2">
      <c r="A1255" s="12">
        <v>38713</v>
      </c>
      <c r="B1255" s="9">
        <v>965.5</v>
      </c>
      <c r="C1255" s="9">
        <v>958.4</v>
      </c>
      <c r="D1255" s="9">
        <v>964.64</v>
      </c>
      <c r="E1255" s="9">
        <f t="shared" si="57"/>
        <v>6.4480120237974245E-3</v>
      </c>
      <c r="F1255" s="45">
        <f t="shared" si="58"/>
        <v>5.3596229570714575E-2</v>
      </c>
      <c r="G1255" s="9">
        <f t="shared" si="59"/>
        <v>5.794829192545984E-3</v>
      </c>
    </row>
    <row r="1256" spans="1:7" x14ac:dyDescent="0.2">
      <c r="A1256" s="12">
        <v>38714</v>
      </c>
      <c r="B1256" s="9">
        <v>964.39</v>
      </c>
      <c r="C1256" s="9">
        <v>959.43</v>
      </c>
      <c r="D1256" s="9">
        <v>961.12</v>
      </c>
      <c r="E1256" s="9">
        <f t="shared" si="57"/>
        <v>-3.6557036392441565E-3</v>
      </c>
      <c r="F1256" s="45">
        <f t="shared" si="58"/>
        <v>5.2974764743617238E-2</v>
      </c>
      <c r="G1256" s="9">
        <f t="shared" si="59"/>
        <v>5.8137368554261231E-3</v>
      </c>
    </row>
    <row r="1257" spans="1:7" x14ac:dyDescent="0.2">
      <c r="A1257" s="12">
        <v>38715</v>
      </c>
      <c r="B1257" s="9">
        <v>966.74</v>
      </c>
      <c r="C1257" s="9">
        <v>960.94</v>
      </c>
      <c r="D1257" s="9">
        <v>966.74</v>
      </c>
      <c r="E1257" s="9">
        <f t="shared" si="57"/>
        <v>5.830315396188804E-3</v>
      </c>
      <c r="F1257" s="45">
        <f t="shared" si="58"/>
        <v>5.7785337618640374E-2</v>
      </c>
      <c r="G1257" s="9">
        <f t="shared" si="59"/>
        <v>5.8586175897973403E-3</v>
      </c>
    </row>
    <row r="1258" spans="1:7" x14ac:dyDescent="0.2">
      <c r="A1258" s="12">
        <v>38716</v>
      </c>
      <c r="B1258" s="9">
        <v>966.71</v>
      </c>
      <c r="C1258" s="9">
        <v>959.07</v>
      </c>
      <c r="D1258" s="9">
        <v>960.01</v>
      </c>
      <c r="E1258" s="9">
        <f t="shared" si="57"/>
        <v>-6.9858854237445436E-3</v>
      </c>
      <c r="F1258" s="45">
        <f t="shared" si="58"/>
        <v>4.8664652520510214E-2</v>
      </c>
      <c r="G1258" s="9">
        <f t="shared" si="59"/>
        <v>6.0798906957720738E-3</v>
      </c>
    </row>
    <row r="1259" spans="1:7" x14ac:dyDescent="0.2">
      <c r="A1259" s="12">
        <v>38719</v>
      </c>
      <c r="B1259" s="9">
        <v>963.88</v>
      </c>
      <c r="C1259" s="9">
        <v>959.18</v>
      </c>
      <c r="D1259" s="9">
        <v>963.39</v>
      </c>
      <c r="E1259" s="9">
        <f t="shared" si="57"/>
        <v>3.5146131634484507E-3</v>
      </c>
      <c r="F1259" s="45">
        <f t="shared" si="58"/>
        <v>4.7193954904506251E-2</v>
      </c>
      <c r="G1259" s="9">
        <f t="shared" si="59"/>
        <v>6.0577267224470217E-3</v>
      </c>
    </row>
    <row r="1260" spans="1:7" x14ac:dyDescent="0.2">
      <c r="A1260" s="12">
        <v>38720</v>
      </c>
      <c r="B1260" s="9">
        <v>971.79</v>
      </c>
      <c r="C1260" s="9">
        <v>963.37</v>
      </c>
      <c r="D1260" s="9">
        <v>967.6</v>
      </c>
      <c r="E1260" s="9">
        <f t="shared" si="57"/>
        <v>4.360464498128349E-3</v>
      </c>
      <c r="F1260" s="45">
        <f t="shared" si="58"/>
        <v>4.7471274055984995E-2</v>
      </c>
      <c r="G1260" s="9">
        <f t="shared" si="59"/>
        <v>6.0618991854157782E-3</v>
      </c>
    </row>
    <row r="1261" spans="1:7" x14ac:dyDescent="0.2">
      <c r="A1261" s="12">
        <v>38721</v>
      </c>
      <c r="B1261" s="9">
        <v>975.19</v>
      </c>
      <c r="C1261" s="9">
        <v>968.19</v>
      </c>
      <c r="D1261" s="9">
        <v>973.61</v>
      </c>
      <c r="E1261" s="9">
        <f t="shared" si="57"/>
        <v>6.1920340432840256E-3</v>
      </c>
      <c r="F1261" s="45">
        <f t="shared" si="58"/>
        <v>6.0077837752990526E-2</v>
      </c>
      <c r="G1261" s="9">
        <f t="shared" si="59"/>
        <v>5.9238063473484809E-3</v>
      </c>
    </row>
    <row r="1262" spans="1:7" x14ac:dyDescent="0.2">
      <c r="A1262" s="12">
        <v>38722</v>
      </c>
      <c r="B1262" s="9">
        <v>974.42</v>
      </c>
      <c r="C1262" s="9">
        <v>971.07</v>
      </c>
      <c r="D1262" s="9">
        <v>972.89</v>
      </c>
      <c r="E1262" s="9">
        <f t="shared" si="57"/>
        <v>-7.3978939926769391E-4</v>
      </c>
      <c r="F1262" s="45">
        <f t="shared" si="58"/>
        <v>5.4040382921928851E-2</v>
      </c>
      <c r="G1262" s="9">
        <f t="shared" si="59"/>
        <v>5.9105432301964416E-3</v>
      </c>
    </row>
    <row r="1263" spans="1:7" x14ac:dyDescent="0.2">
      <c r="A1263" s="12">
        <v>38726</v>
      </c>
      <c r="B1263" s="9">
        <v>982.67</v>
      </c>
      <c r="C1263" s="9">
        <v>974.65</v>
      </c>
      <c r="D1263" s="9">
        <v>982.63</v>
      </c>
      <c r="E1263" s="9">
        <f t="shared" si="57"/>
        <v>9.9616271322299707E-3</v>
      </c>
      <c r="F1263" s="45">
        <f t="shared" si="58"/>
        <v>6.8449288944948436E-2</v>
      </c>
      <c r="G1263" s="9">
        <f t="shared" si="59"/>
        <v>5.9704023918656177E-3</v>
      </c>
    </row>
    <row r="1264" spans="1:7" x14ac:dyDescent="0.2">
      <c r="A1264" s="12">
        <v>38727</v>
      </c>
      <c r="B1264" s="9">
        <v>984.22</v>
      </c>
      <c r="C1264" s="9">
        <v>972.45</v>
      </c>
      <c r="D1264" s="9">
        <v>975.42</v>
      </c>
      <c r="E1264" s="9">
        <f t="shared" si="57"/>
        <v>-7.3645030379307285E-3</v>
      </c>
      <c r="F1264" s="45">
        <f t="shared" si="58"/>
        <v>5.8874984597380893E-2</v>
      </c>
      <c r="G1264" s="9">
        <f t="shared" si="59"/>
        <v>6.2248468520003583E-3</v>
      </c>
    </row>
    <row r="1265" spans="1:7" x14ac:dyDescent="0.2">
      <c r="A1265" s="12">
        <v>38728</v>
      </c>
      <c r="B1265" s="9">
        <v>979.8</v>
      </c>
      <c r="C1265" s="9">
        <v>975.19</v>
      </c>
      <c r="D1265" s="9">
        <v>979.78</v>
      </c>
      <c r="E1265" s="9">
        <f t="shared" si="57"/>
        <v>4.4599091929058221E-3</v>
      </c>
      <c r="F1265" s="45">
        <f t="shared" si="58"/>
        <v>6.0999776380685281E-2</v>
      </c>
      <c r="G1265" s="9">
        <f t="shared" si="59"/>
        <v>6.24129891261644E-3</v>
      </c>
    </row>
    <row r="1266" spans="1:7" x14ac:dyDescent="0.2">
      <c r="A1266" s="12">
        <v>38729</v>
      </c>
      <c r="B1266" s="9">
        <v>979.12</v>
      </c>
      <c r="C1266" s="9">
        <v>972.02</v>
      </c>
      <c r="D1266" s="9">
        <v>976.02</v>
      </c>
      <c r="E1266" s="9">
        <f t="shared" si="57"/>
        <v>-3.8449786606762062E-3</v>
      </c>
      <c r="F1266" s="45">
        <f t="shared" si="58"/>
        <v>5.9848811689687198E-2</v>
      </c>
      <c r="G1266" s="9">
        <f t="shared" si="59"/>
        <v>6.2748076389674652E-3</v>
      </c>
    </row>
    <row r="1267" spans="1:7" x14ac:dyDescent="0.2">
      <c r="A1267" s="12">
        <v>38730</v>
      </c>
      <c r="B1267" s="9">
        <v>974.88</v>
      </c>
      <c r="C1267" s="9">
        <v>964.3</v>
      </c>
      <c r="D1267" s="9">
        <v>967.26</v>
      </c>
      <c r="E1267" s="9">
        <f t="shared" si="57"/>
        <v>-9.0157458904548786E-3</v>
      </c>
      <c r="F1267" s="45">
        <f t="shared" si="58"/>
        <v>5.9748819102819532E-2</v>
      </c>
      <c r="G1267" s="9">
        <f t="shared" si="59"/>
        <v>6.2808267698754036E-3</v>
      </c>
    </row>
    <row r="1268" spans="1:7" x14ac:dyDescent="0.2">
      <c r="A1268" s="12">
        <v>38733</v>
      </c>
      <c r="B1268" s="9">
        <v>971.93</v>
      </c>
      <c r="C1268" s="9">
        <v>963.03</v>
      </c>
      <c r="D1268" s="9">
        <v>971.64</v>
      </c>
      <c r="E1268" s="9">
        <f t="shared" si="57"/>
        <v>4.5180333700610602E-3</v>
      </c>
      <c r="F1268" s="45">
        <f t="shared" si="58"/>
        <v>4.6859215029546986E-2</v>
      </c>
      <c r="G1268" s="9">
        <f t="shared" si="59"/>
        <v>5.5931178719511041E-3</v>
      </c>
    </row>
    <row r="1269" spans="1:7" x14ac:dyDescent="0.2">
      <c r="A1269" s="12">
        <v>38734</v>
      </c>
      <c r="B1269" s="9">
        <v>971.08</v>
      </c>
      <c r="C1269" s="9">
        <v>959.18</v>
      </c>
      <c r="D1269" s="9">
        <v>960.77</v>
      </c>
      <c r="E1269" s="9">
        <f t="shared" si="57"/>
        <v>-1.1250319187744736E-2</v>
      </c>
      <c r="F1269" s="45">
        <f t="shared" si="58"/>
        <v>2.8590568943935184E-2</v>
      </c>
      <c r="G1269" s="9">
        <f t="shared" si="59"/>
        <v>5.9609775323444768E-3</v>
      </c>
    </row>
    <row r="1270" spans="1:7" x14ac:dyDescent="0.2">
      <c r="A1270" s="12">
        <v>38735</v>
      </c>
      <c r="B1270" s="9">
        <v>958.43</v>
      </c>
      <c r="C1270" s="9">
        <v>940.97</v>
      </c>
      <c r="D1270" s="9">
        <v>941.61</v>
      </c>
      <c r="E1270" s="9">
        <f t="shared" si="57"/>
        <v>-2.0143870187705099E-2</v>
      </c>
      <c r="F1270" s="45">
        <f t="shared" si="58"/>
        <v>1.5659185750492608E-2</v>
      </c>
      <c r="G1270" s="9">
        <f t="shared" si="59"/>
        <v>6.9562513762092453E-3</v>
      </c>
    </row>
    <row r="1271" spans="1:7" x14ac:dyDescent="0.2">
      <c r="A1271" s="12">
        <v>38736</v>
      </c>
      <c r="B1271" s="9">
        <v>950.15</v>
      </c>
      <c r="C1271" s="9">
        <v>943.2</v>
      </c>
      <c r="D1271" s="9">
        <v>943.44</v>
      </c>
      <c r="E1271" s="9">
        <f t="shared" si="57"/>
        <v>1.9415936711412373E-3</v>
      </c>
      <c r="F1271" s="45">
        <f t="shared" si="58"/>
        <v>7.8318268710120213E-3</v>
      </c>
      <c r="G1271" s="9">
        <f t="shared" si="59"/>
        <v>6.74091982190856E-3</v>
      </c>
    </row>
    <row r="1272" spans="1:7" x14ac:dyDescent="0.2">
      <c r="A1272" s="12">
        <v>38737</v>
      </c>
      <c r="B1272" s="9">
        <v>950.23</v>
      </c>
      <c r="C1272" s="9">
        <v>935.87</v>
      </c>
      <c r="D1272" s="9">
        <v>935.87</v>
      </c>
      <c r="E1272" s="9">
        <f t="shared" si="57"/>
        <v>-8.0561918389663433E-3</v>
      </c>
      <c r="F1272" s="45">
        <f t="shared" si="58"/>
        <v>-9.7188483873558566E-4</v>
      </c>
      <c r="G1272" s="9">
        <f t="shared" si="59"/>
        <v>6.9085567650597488E-3</v>
      </c>
    </row>
    <row r="1273" spans="1:7" x14ac:dyDescent="0.2">
      <c r="A1273" s="12">
        <v>38740</v>
      </c>
      <c r="B1273" s="9">
        <v>936.2</v>
      </c>
      <c r="C1273" s="9">
        <v>922.17</v>
      </c>
      <c r="D1273" s="9">
        <v>935.14</v>
      </c>
      <c r="E1273" s="9">
        <f t="shared" si="57"/>
        <v>-7.8032724255034801E-4</v>
      </c>
      <c r="F1273" s="45">
        <f t="shared" si="58"/>
        <v>-8.4230527969818246E-3</v>
      </c>
      <c r="G1273" s="9">
        <f t="shared" si="59"/>
        <v>6.792216370568936E-3</v>
      </c>
    </row>
    <row r="1274" spans="1:7" x14ac:dyDescent="0.2">
      <c r="A1274" s="12">
        <v>38741</v>
      </c>
      <c r="B1274" s="9">
        <v>938.58</v>
      </c>
      <c r="C1274" s="9">
        <v>928.55</v>
      </c>
      <c r="D1274" s="9">
        <v>929.22</v>
      </c>
      <c r="E1274" s="9">
        <f t="shared" si="57"/>
        <v>-6.3507261440598657E-3</v>
      </c>
      <c r="F1274" s="45">
        <f t="shared" si="58"/>
        <v>-1.4890414946708857E-2</v>
      </c>
      <c r="G1274" s="9">
        <f t="shared" si="59"/>
        <v>6.8812191285310695E-3</v>
      </c>
    </row>
    <row r="1275" spans="1:7" x14ac:dyDescent="0.2">
      <c r="A1275" s="12">
        <v>38742</v>
      </c>
      <c r="B1275" s="9">
        <v>938.88</v>
      </c>
      <c r="C1275" s="9">
        <v>929.8</v>
      </c>
      <c r="D1275" s="9">
        <v>938.88</v>
      </c>
      <c r="E1275" s="9">
        <f t="shared" si="57"/>
        <v>1.0342150958424232E-2</v>
      </c>
      <c r="F1275" s="45">
        <f t="shared" si="58"/>
        <v>-1.5006628081638302E-3</v>
      </c>
      <c r="G1275" s="9">
        <f t="shared" si="59"/>
        <v>7.1394293372648325E-3</v>
      </c>
    </row>
    <row r="1276" spans="1:7" x14ac:dyDescent="0.2">
      <c r="A1276" s="12">
        <v>38743</v>
      </c>
      <c r="B1276" s="9">
        <v>947.41</v>
      </c>
      <c r="C1276" s="9">
        <v>937.99</v>
      </c>
      <c r="D1276" s="9">
        <v>946.16</v>
      </c>
      <c r="E1276" s="9">
        <f t="shared" si="57"/>
        <v>7.7240124282992196E-3</v>
      </c>
      <c r="F1276" s="45">
        <f t="shared" si="58"/>
        <v>3.5787305127660319E-3</v>
      </c>
      <c r="G1276" s="9">
        <f t="shared" si="59"/>
        <v>7.2646679214378746E-3</v>
      </c>
    </row>
    <row r="1277" spans="1:7" x14ac:dyDescent="0.2">
      <c r="A1277" s="12">
        <v>38744</v>
      </c>
      <c r="B1277" s="9">
        <v>961.13</v>
      </c>
      <c r="C1277" s="9">
        <v>947.91</v>
      </c>
      <c r="D1277" s="9">
        <v>959.35</v>
      </c>
      <c r="E1277" s="9">
        <f t="shared" si="57"/>
        <v>1.3844283861246616E-2</v>
      </c>
      <c r="F1277" s="45">
        <f t="shared" si="58"/>
        <v>2.3444629462636077E-2</v>
      </c>
      <c r="G1277" s="9">
        <f t="shared" si="59"/>
        <v>7.58400351387962E-3</v>
      </c>
    </row>
    <row r="1278" spans="1:7" x14ac:dyDescent="0.2">
      <c r="A1278" s="12">
        <v>38747</v>
      </c>
      <c r="B1278" s="9">
        <v>962.57</v>
      </c>
      <c r="C1278" s="9">
        <v>956.4</v>
      </c>
      <c r="D1278" s="9">
        <v>958.99</v>
      </c>
      <c r="E1278" s="9">
        <f t="shared" si="57"/>
        <v>-3.75324503712677E-4</v>
      </c>
      <c r="F1278" s="45">
        <f t="shared" si="58"/>
        <v>2.5558742168306798E-2</v>
      </c>
      <c r="G1278" s="9">
        <f t="shared" si="59"/>
        <v>7.562353337804726E-3</v>
      </c>
    </row>
    <row r="1279" spans="1:7" x14ac:dyDescent="0.2">
      <c r="A1279" s="12">
        <v>38748</v>
      </c>
      <c r="B1279" s="9">
        <v>966.88</v>
      </c>
      <c r="C1279" s="9">
        <v>955.26</v>
      </c>
      <c r="D1279" s="9">
        <v>961.98</v>
      </c>
      <c r="E1279" s="9">
        <f t="shared" si="57"/>
        <v>3.1130131284056034E-3</v>
      </c>
      <c r="F1279" s="45">
        <f t="shared" si="58"/>
        <v>1.9323106533376617E-2</v>
      </c>
      <c r="G1279" s="9">
        <f t="shared" si="59"/>
        <v>7.4048189443898481E-3</v>
      </c>
    </row>
    <row r="1280" spans="1:7" x14ac:dyDescent="0.2">
      <c r="A1280" s="12">
        <v>38749</v>
      </c>
      <c r="B1280" s="9">
        <v>970.76</v>
      </c>
      <c r="C1280" s="9">
        <v>962.42</v>
      </c>
      <c r="D1280" s="9">
        <v>968.9</v>
      </c>
      <c r="E1280" s="9">
        <f t="shared" ref="E1280:E1343" si="60">LN(D1280/D1279)</f>
        <v>7.1677469621574501E-3</v>
      </c>
      <c r="F1280" s="45">
        <f t="shared" si="58"/>
        <v>2.6331895412445881E-2</v>
      </c>
      <c r="G1280" s="9">
        <f t="shared" si="59"/>
        <v>7.498951844507263E-3</v>
      </c>
    </row>
    <row r="1281" spans="1:7" x14ac:dyDescent="0.2">
      <c r="A1281" s="12">
        <v>38750</v>
      </c>
      <c r="B1281" s="9">
        <v>975.83</v>
      </c>
      <c r="C1281" s="9">
        <v>968.65</v>
      </c>
      <c r="D1281" s="9">
        <v>969.68</v>
      </c>
      <c r="E1281" s="9">
        <f t="shared" si="60"/>
        <v>8.047127712981128E-4</v>
      </c>
      <c r="F1281" s="45">
        <f t="shared" si="58"/>
        <v>2.7126011876556836E-2</v>
      </c>
      <c r="G1281" s="9">
        <f t="shared" si="59"/>
        <v>7.4971867699448677E-3</v>
      </c>
    </row>
    <row r="1282" spans="1:7" x14ac:dyDescent="0.2">
      <c r="A1282" s="12">
        <v>38751</v>
      </c>
      <c r="B1282" s="9">
        <v>970.68</v>
      </c>
      <c r="C1282" s="9">
        <v>961.78</v>
      </c>
      <c r="D1282" s="9">
        <v>963.14</v>
      </c>
      <c r="E1282" s="9">
        <f t="shared" si="60"/>
        <v>-6.7673399067535367E-3</v>
      </c>
      <c r="F1282" s="45">
        <f t="shared" si="58"/>
        <v>1.4505512100335812E-2</v>
      </c>
      <c r="G1282" s="9">
        <f t="shared" si="59"/>
        <v>7.5637009080426979E-3</v>
      </c>
    </row>
    <row r="1283" spans="1:7" x14ac:dyDescent="0.2">
      <c r="A1283" s="12">
        <v>38754</v>
      </c>
      <c r="B1283" s="9">
        <v>969.34</v>
      </c>
      <c r="C1283" s="9">
        <v>963.09</v>
      </c>
      <c r="D1283" s="9">
        <v>968.45</v>
      </c>
      <c r="E1283" s="9">
        <f t="shared" si="60"/>
        <v>5.4980750327452092E-3</v>
      </c>
      <c r="F1283" s="45">
        <f t="shared" si="58"/>
        <v>1.7856873200045309E-2</v>
      </c>
      <c r="G1283" s="9">
        <f t="shared" si="59"/>
        <v>7.6136962606777108E-3</v>
      </c>
    </row>
    <row r="1284" spans="1:7" x14ac:dyDescent="0.2">
      <c r="A1284" s="12">
        <v>38755</v>
      </c>
      <c r="B1284" s="9">
        <v>972.21</v>
      </c>
      <c r="C1284" s="9">
        <v>960.9</v>
      </c>
      <c r="D1284" s="9">
        <v>961.71</v>
      </c>
      <c r="E1284" s="9">
        <f t="shared" si="60"/>
        <v>-6.9839053707801196E-3</v>
      </c>
      <c r="F1284" s="45">
        <f t="shared" si="58"/>
        <v>3.4059872001702225E-3</v>
      </c>
      <c r="G1284" s="9">
        <f t="shared" si="59"/>
        <v>7.6210781328755741E-3</v>
      </c>
    </row>
    <row r="1285" spans="1:7" x14ac:dyDescent="0.2">
      <c r="A1285" s="12">
        <v>38756</v>
      </c>
      <c r="B1285" s="9">
        <v>967.5</v>
      </c>
      <c r="C1285" s="9">
        <v>952.6</v>
      </c>
      <c r="D1285" s="9">
        <v>965.81</v>
      </c>
      <c r="E1285" s="9">
        <f t="shared" si="60"/>
        <v>4.2541775789517742E-3</v>
      </c>
      <c r="F1285" s="45">
        <f t="shared" si="58"/>
        <v>1.2121527553244275E-3</v>
      </c>
      <c r="G1285" s="9">
        <f t="shared" si="59"/>
        <v>7.5685442676550491E-3</v>
      </c>
    </row>
    <row r="1286" spans="1:7" x14ac:dyDescent="0.2">
      <c r="A1286" s="12">
        <v>38757</v>
      </c>
      <c r="B1286" s="9">
        <v>978.97</v>
      </c>
      <c r="C1286" s="9">
        <v>965.81</v>
      </c>
      <c r="D1286" s="9">
        <v>977.4</v>
      </c>
      <c r="E1286" s="9">
        <f t="shared" si="60"/>
        <v>1.1928857339634511E-2</v>
      </c>
      <c r="F1286" s="45">
        <f t="shared" si="58"/>
        <v>1.6796713734203172E-2</v>
      </c>
      <c r="G1286" s="9">
        <f t="shared" si="59"/>
        <v>7.8362137526615389E-3</v>
      </c>
    </row>
    <row r="1287" spans="1:7" x14ac:dyDescent="0.2">
      <c r="A1287" s="12">
        <v>38758</v>
      </c>
      <c r="B1287" s="9">
        <v>976.4</v>
      </c>
      <c r="C1287" s="9">
        <v>967.28</v>
      </c>
      <c r="D1287" s="9">
        <v>968.57</v>
      </c>
      <c r="E1287" s="9">
        <f t="shared" si="60"/>
        <v>-9.0752278842678238E-3</v>
      </c>
      <c r="F1287" s="45">
        <f t="shared" si="58"/>
        <v>1.8911704537466951E-3</v>
      </c>
      <c r="G1287" s="9">
        <f t="shared" si="59"/>
        <v>7.962050981431391E-3</v>
      </c>
    </row>
    <row r="1288" spans="1:7" x14ac:dyDescent="0.2">
      <c r="A1288" s="12">
        <v>38761</v>
      </c>
      <c r="B1288" s="9">
        <v>974.14</v>
      </c>
      <c r="C1288" s="9">
        <v>968.58</v>
      </c>
      <c r="D1288" s="9">
        <v>973.37</v>
      </c>
      <c r="E1288" s="9">
        <f t="shared" si="60"/>
        <v>4.9435201657646935E-3</v>
      </c>
      <c r="F1288" s="45">
        <f t="shared" si="58"/>
        <v>1.3820576043255877E-2</v>
      </c>
      <c r="G1288" s="9">
        <f t="shared" si="59"/>
        <v>7.8954842812372934E-3</v>
      </c>
    </row>
    <row r="1289" spans="1:7" x14ac:dyDescent="0.2">
      <c r="A1289" s="12">
        <v>38762</v>
      </c>
      <c r="B1289" s="9">
        <v>980.45</v>
      </c>
      <c r="C1289" s="9">
        <v>973.61</v>
      </c>
      <c r="D1289" s="9">
        <v>977.83</v>
      </c>
      <c r="E1289" s="9">
        <f t="shared" si="60"/>
        <v>4.5715536772215747E-3</v>
      </c>
      <c r="F1289" s="45">
        <f t="shared" si="58"/>
        <v>1.4877516557029014E-2</v>
      </c>
      <c r="G1289" s="9">
        <f t="shared" si="59"/>
        <v>7.9119225045013557E-3</v>
      </c>
    </row>
    <row r="1290" spans="1:7" x14ac:dyDescent="0.2">
      <c r="A1290" s="12">
        <v>38763</v>
      </c>
      <c r="B1290" s="9">
        <v>979.66</v>
      </c>
      <c r="C1290" s="9">
        <v>974.22</v>
      </c>
      <c r="D1290" s="9">
        <v>976.12</v>
      </c>
      <c r="E1290" s="9">
        <f t="shared" si="60"/>
        <v>-1.7503011198408197E-3</v>
      </c>
      <c r="F1290" s="45">
        <f t="shared" si="58"/>
        <v>8.7667509390599516E-3</v>
      </c>
      <c r="G1290" s="9">
        <f t="shared" si="59"/>
        <v>7.8876224942301225E-3</v>
      </c>
    </row>
    <row r="1291" spans="1:7" x14ac:dyDescent="0.2">
      <c r="A1291" s="12">
        <v>38764</v>
      </c>
      <c r="B1291" s="9">
        <v>984.57</v>
      </c>
      <c r="C1291" s="9">
        <v>977.87</v>
      </c>
      <c r="D1291" s="9">
        <v>983.58</v>
      </c>
      <c r="E1291" s="9">
        <f t="shared" si="60"/>
        <v>7.6134469914878079E-3</v>
      </c>
      <c r="F1291" s="45">
        <f t="shared" si="58"/>
        <v>1.0188163887263834E-2</v>
      </c>
      <c r="G1291" s="9">
        <f t="shared" si="59"/>
        <v>7.9284478351943268E-3</v>
      </c>
    </row>
    <row r="1292" spans="1:7" x14ac:dyDescent="0.2">
      <c r="A1292" s="12">
        <v>38765</v>
      </c>
      <c r="B1292" s="9">
        <v>989.9</v>
      </c>
      <c r="C1292" s="9">
        <v>982.89</v>
      </c>
      <c r="D1292" s="9">
        <v>982.89</v>
      </c>
      <c r="E1292" s="9">
        <f t="shared" si="60"/>
        <v>-7.0176512056355873E-4</v>
      </c>
      <c r="F1292" s="45">
        <f t="shared" si="58"/>
        <v>1.0226188165968054E-2</v>
      </c>
      <c r="G1292" s="9">
        <f t="shared" si="59"/>
        <v>7.9282723656529282E-3</v>
      </c>
    </row>
    <row r="1293" spans="1:7" x14ac:dyDescent="0.2">
      <c r="A1293" s="12">
        <v>38768</v>
      </c>
      <c r="B1293" s="9">
        <v>986.41</v>
      </c>
      <c r="C1293" s="9">
        <v>980.57</v>
      </c>
      <c r="D1293" s="9">
        <v>985.77</v>
      </c>
      <c r="E1293" s="9">
        <f t="shared" si="60"/>
        <v>2.9258501260181879E-3</v>
      </c>
      <c r="F1293" s="45">
        <f t="shared" si="58"/>
        <v>3.1904111597563832E-3</v>
      </c>
      <c r="G1293" s="9">
        <f t="shared" si="59"/>
        <v>7.7355888309593394E-3</v>
      </c>
    </row>
    <row r="1294" spans="1:7" x14ac:dyDescent="0.2">
      <c r="A1294" s="12">
        <v>38769</v>
      </c>
      <c r="B1294" s="9">
        <v>997.66</v>
      </c>
      <c r="C1294" s="9">
        <v>986.35</v>
      </c>
      <c r="D1294" s="9">
        <v>993.51</v>
      </c>
      <c r="E1294" s="9">
        <f t="shared" si="60"/>
        <v>7.8210656946051376E-3</v>
      </c>
      <c r="F1294" s="45">
        <f t="shared" si="58"/>
        <v>1.8375979892292175E-2</v>
      </c>
      <c r="G1294" s="9">
        <f t="shared" si="59"/>
        <v>7.726705299492014E-3</v>
      </c>
    </row>
    <row r="1295" spans="1:7" x14ac:dyDescent="0.2">
      <c r="A1295" s="12">
        <v>38770</v>
      </c>
      <c r="B1295" s="9">
        <v>1002.26</v>
      </c>
      <c r="C1295" s="9">
        <v>991.42</v>
      </c>
      <c r="D1295" s="9">
        <v>1001.06</v>
      </c>
      <c r="E1295" s="9">
        <f t="shared" si="60"/>
        <v>7.5705902123473874E-3</v>
      </c>
      <c r="F1295" s="45">
        <f t="shared" si="58"/>
        <v>2.1486660911733773E-2</v>
      </c>
      <c r="G1295" s="9">
        <f t="shared" si="59"/>
        <v>7.800634330795116E-3</v>
      </c>
    </row>
    <row r="1296" spans="1:7" x14ac:dyDescent="0.2">
      <c r="A1296" s="12">
        <v>38771</v>
      </c>
      <c r="B1296" s="9">
        <v>1007.96</v>
      </c>
      <c r="C1296" s="9">
        <v>1000.41</v>
      </c>
      <c r="D1296" s="9">
        <v>1001.66</v>
      </c>
      <c r="E1296" s="9">
        <f t="shared" si="60"/>
        <v>5.9918512617951271E-4</v>
      </c>
      <c r="F1296" s="45">
        <f t="shared" si="58"/>
        <v>2.5930824698589414E-2</v>
      </c>
      <c r="G1296" s="9">
        <f t="shared" si="59"/>
        <v>7.7530812023006044E-3</v>
      </c>
    </row>
    <row r="1297" spans="1:7" x14ac:dyDescent="0.2">
      <c r="A1297" s="12">
        <v>38772</v>
      </c>
      <c r="B1297" s="9">
        <v>1010.74</v>
      </c>
      <c r="C1297" s="9">
        <v>1001.64</v>
      </c>
      <c r="D1297" s="9">
        <v>1010.74</v>
      </c>
      <c r="E1297" s="9">
        <f t="shared" si="60"/>
        <v>9.0241121235970778E-3</v>
      </c>
      <c r="F1297" s="45">
        <f t="shared" si="58"/>
        <v>4.3970682712641478E-2</v>
      </c>
      <c r="G1297" s="9">
        <f t="shared" si="59"/>
        <v>7.6593754264824964E-3</v>
      </c>
    </row>
    <row r="1298" spans="1:7" x14ac:dyDescent="0.2">
      <c r="A1298" s="12">
        <v>38775</v>
      </c>
      <c r="B1298" s="9">
        <v>1015.81</v>
      </c>
      <c r="C1298" s="9">
        <v>1009.15</v>
      </c>
      <c r="D1298" s="9">
        <v>1015.71</v>
      </c>
      <c r="E1298" s="9">
        <f t="shared" si="60"/>
        <v>4.9051394951852238E-3</v>
      </c>
      <c r="F1298" s="45">
        <f t="shared" si="58"/>
        <v>4.4357788837765512E-2</v>
      </c>
      <c r="G1298" s="9">
        <f t="shared" si="59"/>
        <v>7.6650189373300513E-3</v>
      </c>
    </row>
    <row r="1299" spans="1:7" x14ac:dyDescent="0.2">
      <c r="A1299" s="12">
        <v>38776</v>
      </c>
      <c r="B1299" s="9">
        <v>1016.66</v>
      </c>
      <c r="C1299" s="9">
        <v>993.28</v>
      </c>
      <c r="D1299" s="9">
        <v>995.01</v>
      </c>
      <c r="E1299" s="9">
        <f t="shared" si="60"/>
        <v>-2.0590366964443212E-2</v>
      </c>
      <c r="F1299" s="45">
        <f t="shared" si="58"/>
        <v>3.5017741061067122E-2</v>
      </c>
      <c r="G1299" s="9">
        <f t="shared" si="59"/>
        <v>8.3582064744199807E-3</v>
      </c>
    </row>
    <row r="1300" spans="1:7" x14ac:dyDescent="0.2">
      <c r="A1300" s="12">
        <v>38777</v>
      </c>
      <c r="B1300" s="9">
        <v>1006.29</v>
      </c>
      <c r="C1300" s="9">
        <v>994.58</v>
      </c>
      <c r="D1300" s="9">
        <v>1006</v>
      </c>
      <c r="E1300" s="9">
        <f t="shared" si="60"/>
        <v>1.0984563300338829E-2</v>
      </c>
      <c r="F1300" s="45">
        <f t="shared" si="58"/>
        <v>6.614617454911105E-2</v>
      </c>
      <c r="G1300" s="9">
        <f t="shared" si="59"/>
        <v>7.5105554061272216E-3</v>
      </c>
    </row>
    <row r="1301" spans="1:7" x14ac:dyDescent="0.2">
      <c r="A1301" s="12">
        <v>38778</v>
      </c>
      <c r="B1301" s="9">
        <v>1012.39</v>
      </c>
      <c r="C1301" s="9">
        <v>1001.52</v>
      </c>
      <c r="D1301" s="9">
        <v>1005.82</v>
      </c>
      <c r="E1301" s="9">
        <f t="shared" si="60"/>
        <v>-1.7894245059725506E-4</v>
      </c>
      <c r="F1301" s="45">
        <f t="shared" si="58"/>
        <v>6.4025638427372633E-2</v>
      </c>
      <c r="G1301" s="9">
        <f t="shared" si="59"/>
        <v>7.5230867691419828E-3</v>
      </c>
    </row>
    <row r="1302" spans="1:7" x14ac:dyDescent="0.2">
      <c r="A1302" s="12">
        <v>38779</v>
      </c>
      <c r="B1302" s="9">
        <v>1011.75</v>
      </c>
      <c r="C1302" s="9">
        <v>1004.07</v>
      </c>
      <c r="D1302" s="9">
        <v>1010.05</v>
      </c>
      <c r="E1302" s="9">
        <f t="shared" si="60"/>
        <v>4.1967053513832257E-3</v>
      </c>
      <c r="F1302" s="45">
        <f t="shared" si="58"/>
        <v>7.6278535617722146E-2</v>
      </c>
      <c r="G1302" s="9">
        <f t="shared" si="59"/>
        <v>7.2794322669403272E-3</v>
      </c>
    </row>
    <row r="1303" spans="1:7" x14ac:dyDescent="0.2">
      <c r="A1303" s="12">
        <v>38782</v>
      </c>
      <c r="B1303" s="9">
        <v>1018.85</v>
      </c>
      <c r="C1303" s="9">
        <v>1009.47</v>
      </c>
      <c r="D1303" s="9">
        <v>1014.78</v>
      </c>
      <c r="E1303" s="9">
        <f t="shared" si="60"/>
        <v>4.6720056535351877E-3</v>
      </c>
      <c r="F1303" s="45">
        <f t="shared" si="58"/>
        <v>8.1730868513807731E-2</v>
      </c>
      <c r="G1303" s="9">
        <f t="shared" si="59"/>
        <v>7.2616500615918225E-3</v>
      </c>
    </row>
    <row r="1304" spans="1:7" x14ac:dyDescent="0.2">
      <c r="A1304" s="12">
        <v>38783</v>
      </c>
      <c r="B1304" s="9">
        <v>1014.19</v>
      </c>
      <c r="C1304" s="9">
        <v>1002.97</v>
      </c>
      <c r="D1304" s="9">
        <v>1006.28</v>
      </c>
      <c r="E1304" s="9">
        <f t="shared" si="60"/>
        <v>-8.4114772610547409E-3</v>
      </c>
      <c r="F1304" s="45">
        <f t="shared" si="58"/>
        <v>7.9670117396812859E-2</v>
      </c>
      <c r="G1304" s="9">
        <f t="shared" si="59"/>
        <v>7.3595432363493954E-3</v>
      </c>
    </row>
    <row r="1305" spans="1:7" x14ac:dyDescent="0.2">
      <c r="A1305" s="12">
        <v>38784</v>
      </c>
      <c r="B1305" s="9">
        <v>1009.15</v>
      </c>
      <c r="C1305" s="9">
        <v>996.95</v>
      </c>
      <c r="D1305" s="9">
        <v>997.44</v>
      </c>
      <c r="E1305" s="9">
        <f t="shared" si="60"/>
        <v>-8.8236453739786152E-3</v>
      </c>
      <c r="F1305" s="45">
        <f t="shared" si="58"/>
        <v>6.0504321064410067E-2</v>
      </c>
      <c r="G1305" s="9">
        <f t="shared" si="59"/>
        <v>7.4998204085179408E-3</v>
      </c>
    </row>
    <row r="1306" spans="1:7" x14ac:dyDescent="0.2">
      <c r="A1306" s="12">
        <v>38785</v>
      </c>
      <c r="B1306" s="9">
        <v>1008.99</v>
      </c>
      <c r="C1306" s="9">
        <v>998.02</v>
      </c>
      <c r="D1306" s="9">
        <v>1007.76</v>
      </c>
      <c r="E1306" s="9">
        <f t="shared" si="60"/>
        <v>1.0293328465075144E-2</v>
      </c>
      <c r="F1306" s="45">
        <f t="shared" si="58"/>
        <v>6.3073637101186034E-2</v>
      </c>
      <c r="G1306" s="9">
        <f t="shared" si="59"/>
        <v>7.5814665745612304E-3</v>
      </c>
    </row>
    <row r="1307" spans="1:7" x14ac:dyDescent="0.2">
      <c r="A1307" s="12">
        <v>38786</v>
      </c>
      <c r="B1307" s="9">
        <v>1010.1</v>
      </c>
      <c r="C1307" s="9">
        <v>1002.56</v>
      </c>
      <c r="D1307" s="9">
        <v>1009.43</v>
      </c>
      <c r="E1307" s="9">
        <f t="shared" si="60"/>
        <v>1.6557690465799151E-3</v>
      </c>
      <c r="F1307" s="45">
        <f t="shared" si="58"/>
        <v>5.0885122286519265E-2</v>
      </c>
      <c r="G1307" s="9">
        <f t="shared" si="59"/>
        <v>7.2498689729450332E-3</v>
      </c>
    </row>
    <row r="1308" spans="1:7" x14ac:dyDescent="0.2">
      <c r="A1308" s="12">
        <v>38789</v>
      </c>
      <c r="B1308" s="9">
        <v>1018.96</v>
      </c>
      <c r="C1308" s="9">
        <v>1010.6</v>
      </c>
      <c r="D1308" s="9">
        <v>1018.36</v>
      </c>
      <c r="E1308" s="9">
        <f t="shared" si="60"/>
        <v>8.8076750834741018E-3</v>
      </c>
      <c r="F1308" s="45">
        <f t="shared" si="58"/>
        <v>6.0068121873706158E-2</v>
      </c>
      <c r="G1308" s="9">
        <f t="shared" si="59"/>
        <v>7.3525245230594925E-3</v>
      </c>
    </row>
    <row r="1309" spans="1:7" x14ac:dyDescent="0.2">
      <c r="A1309" s="12">
        <v>38790</v>
      </c>
      <c r="B1309" s="9">
        <v>1020.66</v>
      </c>
      <c r="C1309" s="9">
        <v>1014.87</v>
      </c>
      <c r="D1309" s="9">
        <v>1017.71</v>
      </c>
      <c r="E1309" s="9">
        <f t="shared" si="60"/>
        <v>-6.3848494607917023E-4</v>
      </c>
      <c r="F1309" s="45">
        <f t="shared" si="58"/>
        <v>5.6316623799221407E-2</v>
      </c>
      <c r="G1309" s="9">
        <f t="shared" si="59"/>
        <v>7.364873775795644E-3</v>
      </c>
    </row>
    <row r="1310" spans="1:7" x14ac:dyDescent="0.2">
      <c r="A1310" s="12">
        <v>38791</v>
      </c>
      <c r="B1310" s="9">
        <v>1027.46</v>
      </c>
      <c r="C1310" s="9">
        <v>1018.88</v>
      </c>
      <c r="D1310" s="9">
        <v>1024.44</v>
      </c>
      <c r="E1310" s="9">
        <f t="shared" si="60"/>
        <v>6.5911165821930084E-3</v>
      </c>
      <c r="F1310" s="45">
        <f t="shared" si="58"/>
        <v>5.5739993419256999E-2</v>
      </c>
      <c r="G1310" s="9">
        <f t="shared" si="59"/>
        <v>7.3513303258052609E-3</v>
      </c>
    </row>
    <row r="1311" spans="1:7" x14ac:dyDescent="0.2">
      <c r="A1311" s="12">
        <v>38792</v>
      </c>
      <c r="B1311" s="9">
        <v>1033.1300000000001</v>
      </c>
      <c r="C1311" s="9">
        <v>1022.34</v>
      </c>
      <c r="D1311" s="9">
        <v>1030.2</v>
      </c>
      <c r="E1311" s="9">
        <f t="shared" si="60"/>
        <v>5.6068363212696034E-3</v>
      </c>
      <c r="F1311" s="45">
        <f t="shared" si="58"/>
        <v>6.0542116969228281E-2</v>
      </c>
      <c r="G1311" s="9">
        <f t="shared" si="59"/>
        <v>7.3798312087323169E-3</v>
      </c>
    </row>
    <row r="1312" spans="1:7" x14ac:dyDescent="0.2">
      <c r="A1312" s="12">
        <v>38793</v>
      </c>
      <c r="B1312" s="9">
        <v>1037.42</v>
      </c>
      <c r="C1312" s="9">
        <v>1030.5999999999999</v>
      </c>
      <c r="D1312" s="9">
        <v>1034.06</v>
      </c>
      <c r="E1312" s="9">
        <f t="shared" si="60"/>
        <v>3.7398433326873348E-3</v>
      </c>
      <c r="F1312" s="45">
        <f t="shared" si="58"/>
        <v>7.1049300208669175E-2</v>
      </c>
      <c r="G1312" s="9">
        <f t="shared" si="59"/>
        <v>7.1955359382417207E-3</v>
      </c>
    </row>
    <row r="1313" spans="1:7" x14ac:dyDescent="0.2">
      <c r="A1313" s="12">
        <v>38796</v>
      </c>
      <c r="B1313" s="9">
        <v>1046.48</v>
      </c>
      <c r="C1313" s="9">
        <v>1035.23</v>
      </c>
      <c r="D1313" s="9">
        <v>1041.3699999999999</v>
      </c>
      <c r="E1313" s="9">
        <f t="shared" si="60"/>
        <v>7.0443524749980724E-3</v>
      </c>
      <c r="F1313" s="45">
        <f t="shared" ref="F1313:F1376" si="61">LN(D1313/D1283)</f>
        <v>7.2595577650922005E-2</v>
      </c>
      <c r="G1313" s="9">
        <f t="shared" ref="G1313:G1376" si="62">STDEV(E1284:E1313)</f>
        <v>7.2242088950795532E-3</v>
      </c>
    </row>
    <row r="1314" spans="1:7" x14ac:dyDescent="0.2">
      <c r="A1314" s="12">
        <v>38797</v>
      </c>
      <c r="B1314" s="9">
        <v>1046.24</v>
      </c>
      <c r="C1314" s="9">
        <v>1037.76</v>
      </c>
      <c r="D1314" s="9">
        <v>1045.1199999999999</v>
      </c>
      <c r="E1314" s="9">
        <f t="shared" si="60"/>
        <v>3.5945574028751377E-3</v>
      </c>
      <c r="F1314" s="45">
        <f t="shared" si="61"/>
        <v>8.3174040424577336E-2</v>
      </c>
      <c r="G1314" s="9">
        <f t="shared" si="62"/>
        <v>7.0042001416997027E-3</v>
      </c>
    </row>
    <row r="1315" spans="1:7" x14ac:dyDescent="0.2">
      <c r="A1315" s="12">
        <v>38798</v>
      </c>
      <c r="B1315" s="9">
        <v>1048.8900000000001</v>
      </c>
      <c r="C1315" s="9">
        <v>1038.4100000000001</v>
      </c>
      <c r="D1315" s="9">
        <v>1047.1199999999999</v>
      </c>
      <c r="E1315" s="9">
        <f t="shared" si="60"/>
        <v>1.9118271414182849E-3</v>
      </c>
      <c r="F1315" s="45">
        <f t="shared" si="61"/>
        <v>8.0831689987043834E-2</v>
      </c>
      <c r="G1315" s="9">
        <f t="shared" si="62"/>
        <v>7.0001677855497197E-3</v>
      </c>
    </row>
    <row r="1316" spans="1:7" x14ac:dyDescent="0.2">
      <c r="A1316" s="12">
        <v>38799</v>
      </c>
      <c r="B1316" s="9">
        <v>1056.27</v>
      </c>
      <c r="C1316" s="9">
        <v>1048.29</v>
      </c>
      <c r="D1316" s="9">
        <v>1054.54</v>
      </c>
      <c r="E1316" s="9">
        <f t="shared" si="60"/>
        <v>7.0611143854515087E-3</v>
      </c>
      <c r="F1316" s="45">
        <f t="shared" si="61"/>
        <v>7.5963947032860829E-2</v>
      </c>
      <c r="G1316" s="9">
        <f t="shared" si="62"/>
        <v>6.8331624995094063E-3</v>
      </c>
    </row>
    <row r="1317" spans="1:7" x14ac:dyDescent="0.2">
      <c r="A1317" s="12">
        <v>38800</v>
      </c>
      <c r="B1317" s="9">
        <v>1063.92</v>
      </c>
      <c r="C1317" s="9">
        <v>1053.9000000000001</v>
      </c>
      <c r="D1317" s="9">
        <v>1063.74</v>
      </c>
      <c r="E1317" s="9">
        <f t="shared" si="60"/>
        <v>8.6863472694287906E-3</v>
      </c>
      <c r="F1317" s="45">
        <f t="shared" si="61"/>
        <v>9.3725522186557469E-2</v>
      </c>
      <c r="G1317" s="9">
        <f t="shared" si="62"/>
        <v>6.556646995766394E-3</v>
      </c>
    </row>
    <row r="1318" spans="1:7" x14ac:dyDescent="0.2">
      <c r="A1318" s="12">
        <v>38803</v>
      </c>
      <c r="B1318" s="9">
        <v>1063.6199999999999</v>
      </c>
      <c r="C1318" s="9">
        <v>1056.6600000000001</v>
      </c>
      <c r="D1318" s="9">
        <v>1056.92</v>
      </c>
      <c r="E1318" s="9">
        <f t="shared" si="60"/>
        <v>-6.4319820359293933E-3</v>
      </c>
      <c r="F1318" s="45">
        <f t="shared" si="61"/>
        <v>8.2350019984863243E-2</v>
      </c>
      <c r="G1318" s="9">
        <f t="shared" si="62"/>
        <v>6.7731617946229531E-3</v>
      </c>
    </row>
    <row r="1319" spans="1:7" x14ac:dyDescent="0.2">
      <c r="A1319" s="12">
        <v>38804</v>
      </c>
      <c r="B1319" s="9">
        <v>1061.01</v>
      </c>
      <c r="C1319" s="9">
        <v>1051.53</v>
      </c>
      <c r="D1319" s="9">
        <v>1052.67</v>
      </c>
      <c r="E1319" s="9">
        <f t="shared" si="60"/>
        <v>-4.0292243988358598E-3</v>
      </c>
      <c r="F1319" s="45">
        <f t="shared" si="61"/>
        <v>7.3749241908805968E-2</v>
      </c>
      <c r="G1319" s="9">
        <f t="shared" si="62"/>
        <v>6.874450323020552E-3</v>
      </c>
    </row>
    <row r="1320" spans="1:7" x14ac:dyDescent="0.2">
      <c r="A1320" s="12">
        <v>38805</v>
      </c>
      <c r="B1320" s="9">
        <v>1060.77</v>
      </c>
      <c r="C1320" s="9">
        <v>1044.98</v>
      </c>
      <c r="D1320" s="9">
        <v>1059.93</v>
      </c>
      <c r="E1320" s="9">
        <f t="shared" si="60"/>
        <v>6.8730744860976403E-3</v>
      </c>
      <c r="F1320" s="45">
        <f t="shared" si="61"/>
        <v>8.2372617514744409E-2</v>
      </c>
      <c r="G1320" s="9">
        <f t="shared" si="62"/>
        <v>6.8726920083589816E-3</v>
      </c>
    </row>
    <row r="1321" spans="1:7" x14ac:dyDescent="0.2">
      <c r="A1321" s="12">
        <v>38806</v>
      </c>
      <c r="B1321" s="9">
        <v>1069.8499999999999</v>
      </c>
      <c r="C1321" s="9">
        <v>1061.1099999999999</v>
      </c>
      <c r="D1321" s="9">
        <v>1069.3399999999999</v>
      </c>
      <c r="E1321" s="9">
        <f t="shared" si="60"/>
        <v>8.8387675231499235E-3</v>
      </c>
      <c r="F1321" s="45">
        <f t="shared" si="61"/>
        <v>8.3597938046406681E-2</v>
      </c>
      <c r="G1321" s="9">
        <f t="shared" si="62"/>
        <v>6.9061773940249458E-3</v>
      </c>
    </row>
    <row r="1322" spans="1:7" x14ac:dyDescent="0.2">
      <c r="A1322" s="12">
        <v>38807</v>
      </c>
      <c r="B1322" s="9">
        <v>1067.58</v>
      </c>
      <c r="C1322" s="9">
        <v>1059.06</v>
      </c>
      <c r="D1322" s="9">
        <v>1059.94</v>
      </c>
      <c r="E1322" s="9">
        <f t="shared" si="60"/>
        <v>-8.8293329823525904E-3</v>
      </c>
      <c r="F1322" s="45">
        <f t="shared" si="61"/>
        <v>7.5470370184617622E-2</v>
      </c>
      <c r="G1322" s="9">
        <f t="shared" si="62"/>
        <v>7.2008681517400207E-3</v>
      </c>
    </row>
    <row r="1323" spans="1:7" x14ac:dyDescent="0.2">
      <c r="A1323" s="12">
        <v>38810</v>
      </c>
      <c r="B1323" s="9">
        <v>1076.5899999999999</v>
      </c>
      <c r="C1323" s="9">
        <v>1060.53</v>
      </c>
      <c r="D1323" s="9">
        <v>1076.5</v>
      </c>
      <c r="E1323" s="9">
        <f t="shared" si="60"/>
        <v>1.5502735073943702E-2</v>
      </c>
      <c r="F1323" s="45">
        <f t="shared" si="61"/>
        <v>8.804725513254312E-2</v>
      </c>
      <c r="G1323" s="9">
        <f t="shared" si="62"/>
        <v>7.5816142076543169E-3</v>
      </c>
    </row>
    <row r="1324" spans="1:7" x14ac:dyDescent="0.2">
      <c r="A1324" s="12">
        <v>38811</v>
      </c>
      <c r="B1324" s="9">
        <v>1075.33</v>
      </c>
      <c r="C1324" s="9">
        <v>1066.1400000000001</v>
      </c>
      <c r="D1324" s="9">
        <v>1066.1400000000001</v>
      </c>
      <c r="E1324" s="9">
        <f t="shared" si="60"/>
        <v>-9.6703886193791524E-3</v>
      </c>
      <c r="F1324" s="45">
        <f t="shared" si="61"/>
        <v>7.0555800818558903E-2</v>
      </c>
      <c r="G1324" s="9">
        <f t="shared" si="62"/>
        <v>7.8603456173658992E-3</v>
      </c>
    </row>
    <row r="1325" spans="1:7" x14ac:dyDescent="0.2">
      <c r="A1325" s="12">
        <v>38812</v>
      </c>
      <c r="B1325" s="9">
        <v>1071.43</v>
      </c>
      <c r="C1325" s="9">
        <v>1065.3699999999999</v>
      </c>
      <c r="D1325" s="9">
        <v>1071.43</v>
      </c>
      <c r="E1325" s="9">
        <f t="shared" si="60"/>
        <v>4.949555616494363E-3</v>
      </c>
      <c r="F1325" s="45">
        <f t="shared" si="61"/>
        <v>6.7934766222706056E-2</v>
      </c>
      <c r="G1325" s="9">
        <f t="shared" si="62"/>
        <v>7.8147734696141103E-3</v>
      </c>
    </row>
    <row r="1326" spans="1:7" x14ac:dyDescent="0.2">
      <c r="A1326" s="12">
        <v>38813</v>
      </c>
      <c r="B1326" s="9">
        <v>1073.6099999999999</v>
      </c>
      <c r="C1326" s="9">
        <v>1059.7</v>
      </c>
      <c r="D1326" s="9">
        <v>1060.67</v>
      </c>
      <c r="E1326" s="9">
        <f t="shared" si="60"/>
        <v>-1.0093420899287338E-2</v>
      </c>
      <c r="F1326" s="45">
        <f t="shared" si="61"/>
        <v>5.7242160197239184E-2</v>
      </c>
      <c r="G1326" s="9">
        <f t="shared" si="62"/>
        <v>8.1307919513990499E-3</v>
      </c>
    </row>
    <row r="1327" spans="1:7" x14ac:dyDescent="0.2">
      <c r="A1327" s="12">
        <v>38814</v>
      </c>
      <c r="B1327" s="9">
        <v>1065.22</v>
      </c>
      <c r="C1327" s="9">
        <v>1055.18</v>
      </c>
      <c r="D1327" s="9">
        <v>1055.71</v>
      </c>
      <c r="E1327" s="9">
        <f t="shared" si="60"/>
        <v>-4.687257563470157E-3</v>
      </c>
      <c r="F1327" s="45">
        <f t="shared" si="61"/>
        <v>4.3530790510171682E-2</v>
      </c>
      <c r="G1327" s="9">
        <f t="shared" si="62"/>
        <v>8.1023137993373722E-3</v>
      </c>
    </row>
    <row r="1328" spans="1:7" x14ac:dyDescent="0.2">
      <c r="A1328" s="12">
        <v>38817</v>
      </c>
      <c r="B1328" s="9">
        <v>1059.97</v>
      </c>
      <c r="C1328" s="9">
        <v>1052.32</v>
      </c>
      <c r="D1328" s="9">
        <v>1059.1400000000001</v>
      </c>
      <c r="E1328" s="9">
        <f t="shared" si="60"/>
        <v>3.2437317138135496E-3</v>
      </c>
      <c r="F1328" s="45">
        <f t="shared" si="61"/>
        <v>4.1869382728800204E-2</v>
      </c>
      <c r="G1328" s="9">
        <f t="shared" si="62"/>
        <v>8.0835466437185199E-3</v>
      </c>
    </row>
    <row r="1329" spans="1:7" x14ac:dyDescent="0.2">
      <c r="A1329" s="12">
        <v>38818</v>
      </c>
      <c r="B1329" s="9">
        <v>1058</v>
      </c>
      <c r="C1329" s="9">
        <v>1044.82</v>
      </c>
      <c r="D1329" s="9">
        <v>1046.21</v>
      </c>
      <c r="E1329" s="9">
        <f t="shared" si="60"/>
        <v>-1.2283147759924411E-2</v>
      </c>
      <c r="F1329" s="45">
        <f t="shared" si="61"/>
        <v>5.0176601933319034E-2</v>
      </c>
      <c r="G1329" s="9">
        <f t="shared" si="62"/>
        <v>7.4194347896532334E-3</v>
      </c>
    </row>
    <row r="1330" spans="1:7" x14ac:dyDescent="0.2">
      <c r="A1330" s="12">
        <v>38819</v>
      </c>
      <c r="B1330" s="9">
        <v>1051.17</v>
      </c>
      <c r="C1330" s="9">
        <v>1037.3499999999999</v>
      </c>
      <c r="D1330" s="9">
        <v>1049.55</v>
      </c>
      <c r="E1330" s="9">
        <f t="shared" si="60"/>
        <v>3.187390567350653E-3</v>
      </c>
      <c r="F1330" s="45">
        <f t="shared" si="61"/>
        <v>4.2379429200330963E-2</v>
      </c>
      <c r="G1330" s="9">
        <f t="shared" si="62"/>
        <v>7.2157563191826354E-3</v>
      </c>
    </row>
    <row r="1331" spans="1:7" x14ac:dyDescent="0.2">
      <c r="A1331" s="12">
        <v>38820</v>
      </c>
      <c r="B1331" s="9">
        <v>1054.96</v>
      </c>
      <c r="C1331" s="9">
        <v>1050.1400000000001</v>
      </c>
      <c r="D1331" s="9">
        <v>1052.03</v>
      </c>
      <c r="E1331" s="9">
        <f t="shared" si="60"/>
        <v>2.3601301413008423E-3</v>
      </c>
      <c r="F1331" s="45">
        <f t="shared" si="61"/>
        <v>4.4918501792228969E-2</v>
      </c>
      <c r="G1331" s="9">
        <f t="shared" si="62"/>
        <v>7.2113337668961702E-3</v>
      </c>
    </row>
    <row r="1332" spans="1:7" x14ac:dyDescent="0.2">
      <c r="A1332" s="12">
        <v>38825</v>
      </c>
      <c r="B1332" s="9">
        <v>1051.53</v>
      </c>
      <c r="C1332" s="9">
        <v>1044.57</v>
      </c>
      <c r="D1332" s="9">
        <v>1049.68</v>
      </c>
      <c r="E1332" s="9">
        <f t="shared" si="60"/>
        <v>-2.2362752038558678E-3</v>
      </c>
      <c r="F1332" s="45">
        <f t="shared" si="61"/>
        <v>3.8485521236989728E-2</v>
      </c>
      <c r="G1332" s="9">
        <f t="shared" si="62"/>
        <v>7.2239301697452291E-3</v>
      </c>
    </row>
    <row r="1333" spans="1:7" x14ac:dyDescent="0.2">
      <c r="A1333" s="12">
        <v>38826</v>
      </c>
      <c r="B1333" s="9">
        <v>1062.8900000000001</v>
      </c>
      <c r="C1333" s="9">
        <v>1050.3699999999999</v>
      </c>
      <c r="D1333" s="9">
        <v>1061.4100000000001</v>
      </c>
      <c r="E1333" s="9">
        <f t="shared" si="60"/>
        <v>1.1112857070701018E-2</v>
      </c>
      <c r="F1333" s="45">
        <f t="shared" si="61"/>
        <v>4.4926372654155639E-2</v>
      </c>
      <c r="G1333" s="9">
        <f t="shared" si="62"/>
        <v>7.4211479750759153E-3</v>
      </c>
    </row>
    <row r="1334" spans="1:7" x14ac:dyDescent="0.2">
      <c r="A1334" s="12">
        <v>38827</v>
      </c>
      <c r="B1334" s="9">
        <v>1067.51</v>
      </c>
      <c r="C1334" s="9">
        <v>1058.44</v>
      </c>
      <c r="D1334" s="9">
        <v>1064.9000000000001</v>
      </c>
      <c r="E1334" s="9">
        <f t="shared" si="60"/>
        <v>3.282685153176812E-3</v>
      </c>
      <c r="F1334" s="45">
        <f t="shared" si="61"/>
        <v>5.6620535068387191E-2</v>
      </c>
      <c r="G1334" s="9">
        <f t="shared" si="62"/>
        <v>7.1861198068824848E-3</v>
      </c>
    </row>
    <row r="1335" spans="1:7" x14ac:dyDescent="0.2">
      <c r="A1335" s="12">
        <v>38828</v>
      </c>
      <c r="B1335" s="9">
        <v>1068.1199999999999</v>
      </c>
      <c r="C1335" s="9">
        <v>1060.1500000000001</v>
      </c>
      <c r="D1335" s="9">
        <v>1062.79</v>
      </c>
      <c r="E1335" s="9">
        <f t="shared" si="60"/>
        <v>-1.9833722879622467E-3</v>
      </c>
      <c r="F1335" s="45">
        <f t="shared" si="61"/>
        <v>6.3460808154403636E-2</v>
      </c>
      <c r="G1335" s="9">
        <f t="shared" si="62"/>
        <v>6.9388129440297224E-3</v>
      </c>
    </row>
    <row r="1336" spans="1:7" x14ac:dyDescent="0.2">
      <c r="A1336" s="12">
        <v>38831</v>
      </c>
      <c r="B1336" s="9">
        <v>1065.82</v>
      </c>
      <c r="C1336" s="9">
        <v>1049.01</v>
      </c>
      <c r="D1336" s="9">
        <v>1054.49</v>
      </c>
      <c r="E1336" s="9">
        <f t="shared" si="60"/>
        <v>-7.840288026889998E-3</v>
      </c>
      <c r="F1336" s="45">
        <f t="shared" si="61"/>
        <v>4.5327191662438281E-2</v>
      </c>
      <c r="G1336" s="9">
        <f t="shared" si="62"/>
        <v>6.9914762425884588E-3</v>
      </c>
    </row>
    <row r="1337" spans="1:7" x14ac:dyDescent="0.2">
      <c r="A1337" s="12">
        <v>38832</v>
      </c>
      <c r="B1337" s="9">
        <v>1068.45</v>
      </c>
      <c r="C1337" s="9">
        <v>1050.8</v>
      </c>
      <c r="D1337" s="9">
        <v>1052.99</v>
      </c>
      <c r="E1337" s="9">
        <f t="shared" si="60"/>
        <v>-1.4235012937673897E-3</v>
      </c>
      <c r="F1337" s="45">
        <f t="shared" si="61"/>
        <v>4.2247921322090938E-2</v>
      </c>
      <c r="G1337" s="9">
        <f t="shared" si="62"/>
        <v>7.0118499728221784E-3</v>
      </c>
    </row>
    <row r="1338" spans="1:7" x14ac:dyDescent="0.2">
      <c r="A1338" s="12">
        <v>38833</v>
      </c>
      <c r="B1338" s="9">
        <v>1057</v>
      </c>
      <c r="C1338" s="9">
        <v>1045.07</v>
      </c>
      <c r="D1338" s="9">
        <v>1054.06</v>
      </c>
      <c r="E1338" s="9">
        <f t="shared" si="60"/>
        <v>1.0156380645709503E-3</v>
      </c>
      <c r="F1338" s="45">
        <f t="shared" si="61"/>
        <v>3.4455884303187877E-2</v>
      </c>
      <c r="G1338" s="9">
        <f t="shared" si="62"/>
        <v>6.8712147479624355E-3</v>
      </c>
    </row>
    <row r="1339" spans="1:7" x14ac:dyDescent="0.2">
      <c r="A1339" s="12">
        <v>38834</v>
      </c>
      <c r="B1339" s="9">
        <v>1054.97</v>
      </c>
      <c r="C1339" s="9">
        <v>1038.3800000000001</v>
      </c>
      <c r="D1339" s="9">
        <v>1050.03</v>
      </c>
      <c r="E1339" s="9">
        <f t="shared" si="60"/>
        <v>-3.8306393053045605E-3</v>
      </c>
      <c r="F1339" s="45">
        <f t="shared" si="61"/>
        <v>3.1263729943962607E-2</v>
      </c>
      <c r="G1339" s="9">
        <f t="shared" si="62"/>
        <v>6.9243528536915774E-3</v>
      </c>
    </row>
    <row r="1340" spans="1:7" x14ac:dyDescent="0.2">
      <c r="A1340" s="12">
        <v>38835</v>
      </c>
      <c r="B1340" s="9">
        <v>1050.03</v>
      </c>
      <c r="C1340" s="9">
        <v>1033.78</v>
      </c>
      <c r="D1340" s="9">
        <v>1036.8699999999999</v>
      </c>
      <c r="E1340" s="9">
        <f t="shared" si="60"/>
        <v>-1.2612175420940253E-2</v>
      </c>
      <c r="F1340" s="45">
        <f t="shared" si="61"/>
        <v>1.2060437940829297E-2</v>
      </c>
      <c r="G1340" s="9">
        <f t="shared" si="62"/>
        <v>7.2725501466604356E-3</v>
      </c>
    </row>
    <row r="1341" spans="1:7" x14ac:dyDescent="0.2">
      <c r="A1341" s="12">
        <v>38839</v>
      </c>
      <c r="B1341" s="9">
        <v>1045.92</v>
      </c>
      <c r="C1341" s="9">
        <v>1033.4000000000001</v>
      </c>
      <c r="D1341" s="9">
        <v>1045.92</v>
      </c>
      <c r="E1341" s="9">
        <f t="shared" si="60"/>
        <v>8.6903211133748381E-3</v>
      </c>
      <c r="F1341" s="45">
        <f t="shared" si="61"/>
        <v>1.5143922732934563E-2</v>
      </c>
      <c r="G1341" s="9">
        <f t="shared" si="62"/>
        <v>7.3697857309294804E-3</v>
      </c>
    </row>
    <row r="1342" spans="1:7" x14ac:dyDescent="0.2">
      <c r="A1342" s="12">
        <v>38840</v>
      </c>
      <c r="B1342" s="9">
        <v>1053.52</v>
      </c>
      <c r="C1342" s="9">
        <v>1036.94</v>
      </c>
      <c r="D1342" s="9">
        <v>1041.0999999999999</v>
      </c>
      <c r="E1342" s="9">
        <f t="shared" si="60"/>
        <v>-4.6190343837123919E-3</v>
      </c>
      <c r="F1342" s="45">
        <f t="shared" si="61"/>
        <v>6.7850450165348351E-3</v>
      </c>
      <c r="G1342" s="9">
        <f t="shared" si="62"/>
        <v>7.4012058951155504E-3</v>
      </c>
    </row>
    <row r="1343" spans="1:7" x14ac:dyDescent="0.2">
      <c r="A1343" s="12">
        <v>38841</v>
      </c>
      <c r="B1343" s="9">
        <v>1047.1199999999999</v>
      </c>
      <c r="C1343" s="9">
        <v>1033.76</v>
      </c>
      <c r="D1343" s="9">
        <v>1045.6600000000001</v>
      </c>
      <c r="E1343" s="9">
        <f t="shared" si="60"/>
        <v>4.3704185035269467E-3</v>
      </c>
      <c r="F1343" s="45">
        <f t="shared" si="61"/>
        <v>4.1111110450636453E-3</v>
      </c>
      <c r="G1343" s="9">
        <f t="shared" si="62"/>
        <v>7.3320422313512936E-3</v>
      </c>
    </row>
    <row r="1344" spans="1:7" x14ac:dyDescent="0.2">
      <c r="A1344" s="12">
        <v>38842</v>
      </c>
      <c r="B1344" s="9">
        <v>1056.95</v>
      </c>
      <c r="C1344" s="9">
        <v>1046.25</v>
      </c>
      <c r="D1344" s="9">
        <v>1055.45</v>
      </c>
      <c r="E1344" s="9">
        <f t="shared" ref="E1344:E1407" si="63">LN(D1344/D1343)</f>
        <v>9.3189512678456057E-3</v>
      </c>
      <c r="F1344" s="45">
        <f t="shared" si="61"/>
        <v>9.8355049100339945E-3</v>
      </c>
      <c r="G1344" s="9">
        <f t="shared" si="62"/>
        <v>7.497740504634226E-3</v>
      </c>
    </row>
    <row r="1345" spans="1:7" x14ac:dyDescent="0.2">
      <c r="A1345" s="12">
        <v>38845</v>
      </c>
      <c r="B1345" s="9">
        <v>1062.99</v>
      </c>
      <c r="C1345" s="9">
        <v>1053.3</v>
      </c>
      <c r="D1345" s="9">
        <v>1053.76</v>
      </c>
      <c r="E1345" s="9">
        <f t="shared" si="63"/>
        <v>-1.6024960640800645E-3</v>
      </c>
      <c r="F1345" s="45">
        <f t="shared" si="61"/>
        <v>6.321181704535662E-3</v>
      </c>
      <c r="G1345" s="9">
        <f t="shared" si="62"/>
        <v>7.4995927218381728E-3</v>
      </c>
    </row>
    <row r="1346" spans="1:7" x14ac:dyDescent="0.2">
      <c r="A1346" s="12">
        <v>38846</v>
      </c>
      <c r="B1346" s="9">
        <v>1057.0999999999999</v>
      </c>
      <c r="C1346" s="9">
        <v>1049.48</v>
      </c>
      <c r="D1346" s="9">
        <v>1054.1199999999999</v>
      </c>
      <c r="E1346" s="9">
        <f t="shared" si="63"/>
        <v>3.4157542507174678E-4</v>
      </c>
      <c r="F1346" s="45">
        <f t="shared" si="61"/>
        <v>-3.9835725584411522E-4</v>
      </c>
      <c r="G1346" s="9">
        <f t="shared" si="62"/>
        <v>7.387446943321216E-3</v>
      </c>
    </row>
    <row r="1347" spans="1:7" x14ac:dyDescent="0.2">
      <c r="A1347" s="12">
        <v>38847</v>
      </c>
      <c r="B1347" s="9">
        <v>1056.6500000000001</v>
      </c>
      <c r="C1347" s="9">
        <v>1045.44</v>
      </c>
      <c r="D1347" s="9">
        <v>1047.24</v>
      </c>
      <c r="E1347" s="9">
        <f t="shared" si="63"/>
        <v>-6.5481636498508746E-3</v>
      </c>
      <c r="F1347" s="45">
        <f t="shared" si="61"/>
        <v>-1.5632868175123816E-2</v>
      </c>
      <c r="G1347" s="9">
        <f t="shared" si="62"/>
        <v>7.2918038231773053E-3</v>
      </c>
    </row>
    <row r="1348" spans="1:7" x14ac:dyDescent="0.2">
      <c r="A1348" s="12">
        <v>38848</v>
      </c>
      <c r="B1348" s="9">
        <v>1052.8900000000001</v>
      </c>
      <c r="C1348" s="9">
        <v>1042.56</v>
      </c>
      <c r="D1348" s="9">
        <v>1043.4000000000001</v>
      </c>
      <c r="E1348" s="9">
        <f t="shared" si="63"/>
        <v>-3.6735203749278518E-3</v>
      </c>
      <c r="F1348" s="45">
        <f t="shared" si="61"/>
        <v>-1.28744065141223E-2</v>
      </c>
      <c r="G1348" s="9">
        <f t="shared" si="62"/>
        <v>7.2318435036713554E-3</v>
      </c>
    </row>
    <row r="1349" spans="1:7" x14ac:dyDescent="0.2">
      <c r="A1349" s="12">
        <v>38849</v>
      </c>
      <c r="B1349" s="9">
        <v>1042.81</v>
      </c>
      <c r="C1349" s="9">
        <v>1013.69</v>
      </c>
      <c r="D1349" s="9">
        <v>1013.69</v>
      </c>
      <c r="E1349" s="9">
        <f t="shared" si="63"/>
        <v>-2.8887473100130415E-2</v>
      </c>
      <c r="F1349" s="45">
        <f t="shared" si="61"/>
        <v>-3.7732655215416785E-2</v>
      </c>
      <c r="G1349" s="9">
        <f t="shared" si="62"/>
        <v>8.892083413132303E-3</v>
      </c>
    </row>
    <row r="1350" spans="1:7" x14ac:dyDescent="0.2">
      <c r="A1350" s="12">
        <v>38852</v>
      </c>
      <c r="B1350" s="9">
        <v>1013.09</v>
      </c>
      <c r="C1350" s="9">
        <v>992.88</v>
      </c>
      <c r="D1350" s="9">
        <v>997.35</v>
      </c>
      <c r="E1350" s="9">
        <f t="shared" si="63"/>
        <v>-1.6250655971588396E-2</v>
      </c>
      <c r="F1350" s="45">
        <f t="shared" si="61"/>
        <v>-6.0856385673102871E-2</v>
      </c>
      <c r="G1350" s="9">
        <f t="shared" si="62"/>
        <v>9.1611217410067572E-3</v>
      </c>
    </row>
    <row r="1351" spans="1:7" x14ac:dyDescent="0.2">
      <c r="A1351" s="12">
        <v>38853</v>
      </c>
      <c r="B1351" s="9">
        <v>1010.02</v>
      </c>
      <c r="C1351" s="9">
        <v>989.22</v>
      </c>
      <c r="D1351" s="9">
        <v>1001.63</v>
      </c>
      <c r="E1351" s="9">
        <f t="shared" si="63"/>
        <v>4.282190457383251E-3</v>
      </c>
      <c r="F1351" s="45">
        <f t="shared" si="61"/>
        <v>-6.5412962738869693E-2</v>
      </c>
      <c r="G1351" s="9">
        <f t="shared" si="62"/>
        <v>9.0112825925768754E-3</v>
      </c>
    </row>
    <row r="1352" spans="1:7" x14ac:dyDescent="0.2">
      <c r="A1352" s="12">
        <v>38854</v>
      </c>
      <c r="B1352" s="9">
        <v>1007.23</v>
      </c>
      <c r="C1352" s="9">
        <v>958.18</v>
      </c>
      <c r="D1352" s="9">
        <v>958.19</v>
      </c>
      <c r="E1352" s="9">
        <f t="shared" si="63"/>
        <v>-4.4337863813999463E-2</v>
      </c>
      <c r="F1352" s="45">
        <f t="shared" si="61"/>
        <v>-0.10092149357051657</v>
      </c>
      <c r="G1352" s="9">
        <f t="shared" si="62"/>
        <v>1.1811604238521569E-2</v>
      </c>
    </row>
    <row r="1353" spans="1:7" x14ac:dyDescent="0.2">
      <c r="A1353" s="12">
        <v>38855</v>
      </c>
      <c r="B1353" s="9">
        <v>970.36</v>
      </c>
      <c r="C1353" s="9">
        <v>944.14</v>
      </c>
      <c r="D1353" s="9">
        <v>950.08</v>
      </c>
      <c r="E1353" s="9">
        <f t="shared" si="63"/>
        <v>-8.4998965845623463E-3</v>
      </c>
      <c r="F1353" s="45">
        <f t="shared" si="61"/>
        <v>-0.1249241252290227</v>
      </c>
      <c r="G1353" s="9">
        <f t="shared" si="62"/>
        <v>1.1291014105601658E-2</v>
      </c>
    </row>
    <row r="1354" spans="1:7" x14ac:dyDescent="0.2">
      <c r="A1354" s="12">
        <v>38856</v>
      </c>
      <c r="B1354" s="9">
        <v>960.29</v>
      </c>
      <c r="C1354" s="9">
        <v>946.01</v>
      </c>
      <c r="D1354" s="9">
        <v>951.59</v>
      </c>
      <c r="E1354" s="9">
        <f t="shared" si="63"/>
        <v>1.5880781811257606E-3</v>
      </c>
      <c r="F1354" s="45">
        <f t="shared" si="61"/>
        <v>-0.11366565842851784</v>
      </c>
      <c r="G1354" s="9">
        <f t="shared" si="62"/>
        <v>1.1288790699090752E-2</v>
      </c>
    </row>
    <row r="1355" spans="1:7" x14ac:dyDescent="0.2">
      <c r="A1355" s="12">
        <v>38859</v>
      </c>
      <c r="B1355" s="9">
        <v>950.41</v>
      </c>
      <c r="C1355" s="9">
        <v>904.36</v>
      </c>
      <c r="D1355" s="9">
        <v>906.25</v>
      </c>
      <c r="E1355" s="9">
        <f t="shared" si="63"/>
        <v>-4.881906358763622E-2</v>
      </c>
      <c r="F1355" s="45">
        <f t="shared" si="61"/>
        <v>-0.16743427763264851</v>
      </c>
      <c r="G1355" s="9">
        <f t="shared" si="62"/>
        <v>1.3834811277472856E-2</v>
      </c>
    </row>
    <row r="1356" spans="1:7" x14ac:dyDescent="0.2">
      <c r="A1356" s="12">
        <v>38860</v>
      </c>
      <c r="B1356" s="9">
        <v>959.77</v>
      </c>
      <c r="C1356" s="9">
        <v>906.84</v>
      </c>
      <c r="D1356" s="9">
        <v>956.05</v>
      </c>
      <c r="E1356" s="9">
        <f t="shared" si="63"/>
        <v>5.3495006770083814E-2</v>
      </c>
      <c r="F1356" s="45">
        <f t="shared" si="61"/>
        <v>-0.1038458499632772</v>
      </c>
      <c r="G1356" s="9">
        <f t="shared" si="62"/>
        <v>1.7504192521460508E-2</v>
      </c>
    </row>
    <row r="1357" spans="1:7" x14ac:dyDescent="0.2">
      <c r="A1357" s="12">
        <v>38861</v>
      </c>
      <c r="B1357" s="9">
        <v>958.43</v>
      </c>
      <c r="C1357" s="9">
        <v>933.18</v>
      </c>
      <c r="D1357" s="9">
        <v>933.27</v>
      </c>
      <c r="E1357" s="9">
        <f t="shared" si="63"/>
        <v>-2.4115664889039996E-2</v>
      </c>
      <c r="F1357" s="45">
        <f t="shared" si="61"/>
        <v>-0.1232742572888471</v>
      </c>
      <c r="G1357" s="9">
        <f t="shared" si="62"/>
        <v>1.7905898434269034E-2</v>
      </c>
    </row>
    <row r="1358" spans="1:7" x14ac:dyDescent="0.2">
      <c r="A1358" s="12">
        <v>38863</v>
      </c>
      <c r="B1358" s="9">
        <v>972.79</v>
      </c>
      <c r="C1358" s="9">
        <v>936.82</v>
      </c>
      <c r="D1358" s="9">
        <v>972.79</v>
      </c>
      <c r="E1358" s="9">
        <f t="shared" si="63"/>
        <v>4.1473683503875501E-2</v>
      </c>
      <c r="F1358" s="45">
        <f t="shared" si="61"/>
        <v>-8.5044305498785153E-2</v>
      </c>
      <c r="G1358" s="9">
        <f t="shared" si="62"/>
        <v>1.9716111340296164E-2</v>
      </c>
    </row>
    <row r="1359" spans="1:7" x14ac:dyDescent="0.2">
      <c r="A1359" s="12">
        <v>38866</v>
      </c>
      <c r="B1359" s="9">
        <v>979.34</v>
      </c>
      <c r="C1359" s="9">
        <v>966.74</v>
      </c>
      <c r="D1359" s="9">
        <v>971.17</v>
      </c>
      <c r="E1359" s="9">
        <f t="shared" si="63"/>
        <v>-1.6667013467515704E-3</v>
      </c>
      <c r="F1359" s="45">
        <f t="shared" si="61"/>
        <v>-7.4427859085612433E-2</v>
      </c>
      <c r="G1359" s="9">
        <f t="shared" si="62"/>
        <v>1.9635789611122965E-2</v>
      </c>
    </row>
    <row r="1360" spans="1:7" x14ac:dyDescent="0.2">
      <c r="A1360" s="12">
        <v>38867</v>
      </c>
      <c r="B1360" s="9">
        <v>972.34</v>
      </c>
      <c r="C1360" s="9">
        <v>937.47</v>
      </c>
      <c r="D1360" s="9">
        <v>937.47</v>
      </c>
      <c r="E1360" s="9">
        <f t="shared" si="63"/>
        <v>-3.5316772874497318E-2</v>
      </c>
      <c r="F1360" s="45">
        <f t="shared" si="61"/>
        <v>-0.11293202252746042</v>
      </c>
      <c r="G1360" s="9">
        <f t="shared" si="62"/>
        <v>2.0492224412745265E-2</v>
      </c>
    </row>
    <row r="1361" spans="1:7" x14ac:dyDescent="0.2">
      <c r="A1361" s="12">
        <v>38868</v>
      </c>
      <c r="B1361" s="9">
        <v>952.22</v>
      </c>
      <c r="C1361" s="9">
        <v>915.52</v>
      </c>
      <c r="D1361" s="9">
        <v>948.05</v>
      </c>
      <c r="E1361" s="9">
        <f t="shared" si="63"/>
        <v>1.1222486147657569E-2</v>
      </c>
      <c r="F1361" s="45">
        <f t="shared" si="61"/>
        <v>-0.10406966652110365</v>
      </c>
      <c r="G1361" s="9">
        <f t="shared" si="62"/>
        <v>2.0646854511385444E-2</v>
      </c>
    </row>
    <row r="1362" spans="1:7" x14ac:dyDescent="0.2">
      <c r="A1362" s="12">
        <v>38869</v>
      </c>
      <c r="B1362" s="9">
        <v>962.8</v>
      </c>
      <c r="C1362" s="9">
        <v>936.53</v>
      </c>
      <c r="D1362" s="9">
        <v>962.29</v>
      </c>
      <c r="E1362" s="9">
        <f t="shared" si="63"/>
        <v>1.4908617058429175E-2</v>
      </c>
      <c r="F1362" s="45">
        <f t="shared" si="61"/>
        <v>-8.692477425881838E-2</v>
      </c>
      <c r="G1362" s="9">
        <f t="shared" si="62"/>
        <v>2.0917657948957762E-2</v>
      </c>
    </row>
    <row r="1363" spans="1:7" x14ac:dyDescent="0.2">
      <c r="A1363" s="12">
        <v>38870</v>
      </c>
      <c r="B1363" s="9">
        <v>980.77</v>
      </c>
      <c r="C1363" s="9">
        <v>954.69</v>
      </c>
      <c r="D1363" s="9">
        <v>954.69</v>
      </c>
      <c r="E1363" s="9">
        <f t="shared" si="63"/>
        <v>-7.9291800841178664E-3</v>
      </c>
      <c r="F1363" s="45">
        <f t="shared" si="61"/>
        <v>-0.10596681141363719</v>
      </c>
      <c r="G1363" s="9">
        <f t="shared" si="62"/>
        <v>2.0766223698767163E-2</v>
      </c>
    </row>
    <row r="1364" spans="1:7" x14ac:dyDescent="0.2">
      <c r="A1364" s="12">
        <v>38873</v>
      </c>
      <c r="B1364" s="9">
        <v>955.92</v>
      </c>
      <c r="C1364" s="9">
        <v>944.24</v>
      </c>
      <c r="D1364" s="9">
        <v>951.29</v>
      </c>
      <c r="E1364" s="9">
        <f t="shared" si="63"/>
        <v>-3.5677222284052463E-3</v>
      </c>
      <c r="F1364" s="45">
        <f t="shared" si="61"/>
        <v>-0.11281721879521932</v>
      </c>
      <c r="G1364" s="9">
        <f t="shared" si="62"/>
        <v>2.0726327848767778E-2</v>
      </c>
    </row>
    <row r="1365" spans="1:7" x14ac:dyDescent="0.2">
      <c r="A1365" s="12">
        <v>38875</v>
      </c>
      <c r="B1365" s="9">
        <v>950.1</v>
      </c>
      <c r="C1365" s="9">
        <v>926.7</v>
      </c>
      <c r="D1365" s="9">
        <v>932.79</v>
      </c>
      <c r="E1365" s="9">
        <f t="shared" si="63"/>
        <v>-1.9638863099018817E-2</v>
      </c>
      <c r="F1365" s="45">
        <f t="shared" si="61"/>
        <v>-0.13047270960627583</v>
      </c>
      <c r="G1365" s="9">
        <f t="shared" si="62"/>
        <v>2.0923844170900575E-2</v>
      </c>
    </row>
    <row r="1366" spans="1:7" x14ac:dyDescent="0.2">
      <c r="A1366" s="12">
        <v>38876</v>
      </c>
      <c r="B1366" s="9">
        <v>929.84</v>
      </c>
      <c r="C1366" s="9">
        <v>892.33</v>
      </c>
      <c r="D1366" s="9">
        <v>892.33</v>
      </c>
      <c r="E1366" s="9">
        <f t="shared" si="63"/>
        <v>-4.4344075806675584E-2</v>
      </c>
      <c r="F1366" s="45">
        <f t="shared" si="61"/>
        <v>-0.16697649738606135</v>
      </c>
      <c r="G1366" s="9">
        <f t="shared" si="62"/>
        <v>2.2158833564820388E-2</v>
      </c>
    </row>
    <row r="1367" spans="1:7" x14ac:dyDescent="0.2">
      <c r="A1367" s="12">
        <v>38877</v>
      </c>
      <c r="B1367" s="9">
        <v>918.26</v>
      </c>
      <c r="C1367" s="9">
        <v>895.33</v>
      </c>
      <c r="D1367" s="9">
        <v>917.5</v>
      </c>
      <c r="E1367" s="9">
        <f t="shared" si="63"/>
        <v>2.7816560608300785E-2</v>
      </c>
      <c r="F1367" s="45">
        <f t="shared" si="61"/>
        <v>-0.13773643548399314</v>
      </c>
      <c r="G1367" s="9">
        <f t="shared" si="62"/>
        <v>2.2975348182500587E-2</v>
      </c>
    </row>
    <row r="1368" spans="1:7" x14ac:dyDescent="0.2">
      <c r="A1368" s="12">
        <v>38880</v>
      </c>
      <c r="B1368" s="9">
        <v>918.65</v>
      </c>
      <c r="C1368" s="9">
        <v>900.97</v>
      </c>
      <c r="D1368" s="9">
        <v>902.16</v>
      </c>
      <c r="E1368" s="9">
        <f t="shared" si="63"/>
        <v>-1.6860692004693117E-2</v>
      </c>
      <c r="F1368" s="45">
        <f t="shared" si="61"/>
        <v>-0.15561276555325732</v>
      </c>
      <c r="G1368" s="9">
        <f t="shared" si="62"/>
        <v>2.3056589510036838E-2</v>
      </c>
    </row>
    <row r="1369" spans="1:7" x14ac:dyDescent="0.2">
      <c r="A1369" s="12">
        <v>38881</v>
      </c>
      <c r="B1369" s="9">
        <v>899.76</v>
      </c>
      <c r="C1369" s="9">
        <v>870.05</v>
      </c>
      <c r="D1369" s="9">
        <v>878.16</v>
      </c>
      <c r="E1369" s="9">
        <f t="shared" si="63"/>
        <v>-2.6963078544971236E-2</v>
      </c>
      <c r="F1369" s="45">
        <f t="shared" si="61"/>
        <v>-0.17874520479292394</v>
      </c>
      <c r="G1369" s="9">
        <f t="shared" si="62"/>
        <v>2.3394001516171044E-2</v>
      </c>
    </row>
    <row r="1370" spans="1:7" x14ac:dyDescent="0.2">
      <c r="A1370" s="12">
        <v>38882</v>
      </c>
      <c r="B1370" s="9">
        <v>899.85</v>
      </c>
      <c r="C1370" s="9">
        <v>879.7</v>
      </c>
      <c r="D1370" s="9">
        <v>899.72</v>
      </c>
      <c r="E1370" s="9">
        <f t="shared" si="63"/>
        <v>2.4254794429037056E-2</v>
      </c>
      <c r="F1370" s="45">
        <f t="shared" si="61"/>
        <v>-0.14187823494294663</v>
      </c>
      <c r="G1370" s="9">
        <f t="shared" si="62"/>
        <v>2.399306064047706E-2</v>
      </c>
    </row>
    <row r="1371" spans="1:7" x14ac:dyDescent="0.2">
      <c r="A1371" s="12">
        <v>38883</v>
      </c>
      <c r="B1371" s="9">
        <v>924.8</v>
      </c>
      <c r="C1371" s="9">
        <v>896.63</v>
      </c>
      <c r="D1371" s="9">
        <v>924.8</v>
      </c>
      <c r="E1371" s="9">
        <f t="shared" si="63"/>
        <v>2.7493894110014943E-2</v>
      </c>
      <c r="F1371" s="45">
        <f t="shared" si="61"/>
        <v>-0.12307466194630652</v>
      </c>
      <c r="G1371" s="9">
        <f t="shared" si="62"/>
        <v>2.459380567154891E-2</v>
      </c>
    </row>
    <row r="1372" spans="1:7" x14ac:dyDescent="0.2">
      <c r="A1372" s="12">
        <v>38884</v>
      </c>
      <c r="B1372" s="9">
        <v>940.51</v>
      </c>
      <c r="C1372" s="9">
        <v>909.79</v>
      </c>
      <c r="D1372" s="9">
        <v>909.79</v>
      </c>
      <c r="E1372" s="9">
        <f t="shared" si="63"/>
        <v>-1.6363694269302707E-2</v>
      </c>
      <c r="F1372" s="45">
        <f t="shared" si="61"/>
        <v>-0.13481932183189679</v>
      </c>
      <c r="G1372" s="9">
        <f t="shared" si="62"/>
        <v>2.4695577913186415E-2</v>
      </c>
    </row>
    <row r="1373" spans="1:7" x14ac:dyDescent="0.2">
      <c r="A1373" s="12">
        <v>38887</v>
      </c>
      <c r="B1373" s="9">
        <v>930.59</v>
      </c>
      <c r="C1373" s="9">
        <v>908.59</v>
      </c>
      <c r="D1373" s="9">
        <v>920.86</v>
      </c>
      <c r="E1373" s="9">
        <f t="shared" si="63"/>
        <v>1.2094212365794527E-2</v>
      </c>
      <c r="F1373" s="45">
        <f t="shared" si="61"/>
        <v>-0.12709552796962906</v>
      </c>
      <c r="G1373" s="9">
        <f t="shared" si="62"/>
        <v>2.4831068861976942E-2</v>
      </c>
    </row>
    <row r="1374" spans="1:7" x14ac:dyDescent="0.2">
      <c r="A1374" s="12">
        <v>38888</v>
      </c>
      <c r="B1374" s="9">
        <v>921.64</v>
      </c>
      <c r="C1374" s="9">
        <v>908.43</v>
      </c>
      <c r="D1374" s="9">
        <v>919.12</v>
      </c>
      <c r="E1374" s="9">
        <f t="shared" si="63"/>
        <v>-1.8913254694956029E-3</v>
      </c>
      <c r="F1374" s="45">
        <f t="shared" si="61"/>
        <v>-0.13830580470697015</v>
      </c>
      <c r="G1374" s="9">
        <f t="shared" si="62"/>
        <v>2.4704067530359704E-2</v>
      </c>
    </row>
    <row r="1375" spans="1:7" x14ac:dyDescent="0.2">
      <c r="A1375" s="12">
        <v>38889</v>
      </c>
      <c r="B1375" s="9">
        <v>926.95</v>
      </c>
      <c r="C1375" s="9">
        <v>915.67</v>
      </c>
      <c r="D1375" s="9">
        <v>925.23</v>
      </c>
      <c r="E1375" s="9">
        <f t="shared" si="63"/>
        <v>6.6256647080125564E-3</v>
      </c>
      <c r="F1375" s="45">
        <f t="shared" si="61"/>
        <v>-0.13007764393487745</v>
      </c>
      <c r="G1375" s="9">
        <f t="shared" si="62"/>
        <v>2.4784157297252266E-2</v>
      </c>
    </row>
    <row r="1376" spans="1:7" x14ac:dyDescent="0.2">
      <c r="A1376" s="12">
        <v>38890</v>
      </c>
      <c r="B1376" s="9">
        <v>941.99</v>
      </c>
      <c r="C1376" s="9">
        <v>925.05</v>
      </c>
      <c r="D1376" s="9">
        <v>928.72</v>
      </c>
      <c r="E1376" s="9">
        <f t="shared" si="63"/>
        <v>3.7649387766583164E-3</v>
      </c>
      <c r="F1376" s="45">
        <f t="shared" si="61"/>
        <v>-0.1266542805832909</v>
      </c>
      <c r="G1376" s="9">
        <f t="shared" si="62"/>
        <v>2.4814298886332416E-2</v>
      </c>
    </row>
    <row r="1377" spans="1:7" x14ac:dyDescent="0.2">
      <c r="A1377" s="12">
        <v>38894</v>
      </c>
      <c r="B1377" s="9">
        <v>934.94</v>
      </c>
      <c r="C1377" s="9">
        <v>926.23</v>
      </c>
      <c r="D1377" s="9">
        <v>928.56</v>
      </c>
      <c r="E1377" s="9">
        <f t="shared" si="63"/>
        <v>-1.7229496941321257E-4</v>
      </c>
      <c r="F1377" s="45">
        <f t="shared" ref="F1377:F1440" si="64">LN(D1377/D1347)</f>
        <v>-0.12027841190285316</v>
      </c>
      <c r="G1377" s="9">
        <f t="shared" ref="G1377:G1440" si="65">STDEV(E1348:E1377)</f>
        <v>2.4820990166902132E-2</v>
      </c>
    </row>
    <row r="1378" spans="1:7" x14ac:dyDescent="0.2">
      <c r="A1378" s="12">
        <v>38895</v>
      </c>
      <c r="B1378" s="9">
        <v>935.78</v>
      </c>
      <c r="C1378" s="9">
        <v>915.98</v>
      </c>
      <c r="D1378" s="9">
        <v>915.98</v>
      </c>
      <c r="E1378" s="9">
        <f t="shared" si="63"/>
        <v>-1.3640468685738845E-2</v>
      </c>
      <c r="F1378" s="45">
        <f t="shared" si="64"/>
        <v>-0.13024536021366415</v>
      </c>
      <c r="G1378" s="9">
        <f t="shared" si="65"/>
        <v>2.4882967967221874E-2</v>
      </c>
    </row>
    <row r="1379" spans="1:7" x14ac:dyDescent="0.2">
      <c r="A1379" s="12">
        <v>38896</v>
      </c>
      <c r="B1379" s="9">
        <v>926.21</v>
      </c>
      <c r="C1379" s="9">
        <v>907.61</v>
      </c>
      <c r="D1379" s="9">
        <v>917.17</v>
      </c>
      <c r="E1379" s="9">
        <f t="shared" si="63"/>
        <v>1.298311831717666E-3</v>
      </c>
      <c r="F1379" s="45">
        <f t="shared" si="64"/>
        <v>-0.10005957528181612</v>
      </c>
      <c r="G1379" s="9">
        <f t="shared" si="65"/>
        <v>2.4462942725844983E-2</v>
      </c>
    </row>
    <row r="1380" spans="1:7" x14ac:dyDescent="0.2">
      <c r="A1380" s="12">
        <v>38897</v>
      </c>
      <c r="B1380" s="9">
        <v>943.04</v>
      </c>
      <c r="C1380" s="9">
        <v>918.36</v>
      </c>
      <c r="D1380" s="9">
        <v>942.52</v>
      </c>
      <c r="E1380" s="9">
        <f t="shared" si="63"/>
        <v>2.7264297049826542E-2</v>
      </c>
      <c r="F1380" s="45">
        <f t="shared" si="64"/>
        <v>-5.6544622260401044E-2</v>
      </c>
      <c r="G1380" s="9">
        <f t="shared" si="65"/>
        <v>2.4955853196951226E-2</v>
      </c>
    </row>
    <row r="1381" spans="1:7" x14ac:dyDescent="0.2">
      <c r="A1381" s="12">
        <v>38898</v>
      </c>
      <c r="B1381" s="9">
        <v>960.94</v>
      </c>
      <c r="C1381" s="9">
        <v>944.92</v>
      </c>
      <c r="D1381" s="9">
        <v>956.49</v>
      </c>
      <c r="E1381" s="9">
        <f t="shared" si="63"/>
        <v>1.4713194786420096E-2</v>
      </c>
      <c r="F1381" s="45">
        <f t="shared" si="64"/>
        <v>-4.6113617931364169E-2</v>
      </c>
      <c r="G1381" s="9">
        <f t="shared" si="65"/>
        <v>2.5116884611808287E-2</v>
      </c>
    </row>
    <row r="1382" spans="1:7" x14ac:dyDescent="0.2">
      <c r="A1382" s="12">
        <v>38901</v>
      </c>
      <c r="B1382" s="9">
        <v>963.28</v>
      </c>
      <c r="C1382" s="9">
        <v>953.32</v>
      </c>
      <c r="D1382" s="9">
        <v>961.24</v>
      </c>
      <c r="E1382" s="9">
        <f t="shared" si="63"/>
        <v>4.9537836022118522E-3</v>
      </c>
      <c r="F1382" s="45">
        <f t="shared" si="64"/>
        <v>3.1780294848471656E-3</v>
      </c>
      <c r="G1382" s="9">
        <f t="shared" si="65"/>
        <v>2.3798086144035977E-2</v>
      </c>
    </row>
    <row r="1383" spans="1:7" x14ac:dyDescent="0.2">
      <c r="A1383" s="12">
        <v>38902</v>
      </c>
      <c r="B1383" s="9">
        <v>967.12</v>
      </c>
      <c r="C1383" s="9">
        <v>958.58</v>
      </c>
      <c r="D1383" s="9">
        <v>965.42</v>
      </c>
      <c r="E1383" s="9">
        <f t="shared" si="63"/>
        <v>4.3391221683238262E-3</v>
      </c>
      <c r="F1383" s="45">
        <f t="shared" si="64"/>
        <v>1.6017048237733381E-2</v>
      </c>
      <c r="G1383" s="9">
        <f t="shared" si="65"/>
        <v>2.3753390388325066E-2</v>
      </c>
    </row>
    <row r="1384" spans="1:7" x14ac:dyDescent="0.2">
      <c r="A1384" s="12">
        <v>38903</v>
      </c>
      <c r="B1384" s="9">
        <v>964.82</v>
      </c>
      <c r="C1384" s="9">
        <v>950.58</v>
      </c>
      <c r="D1384" s="9">
        <v>952.44</v>
      </c>
      <c r="E1384" s="9">
        <f t="shared" si="63"/>
        <v>-1.3536126922343872E-2</v>
      </c>
      <c r="F1384" s="45">
        <f t="shared" si="64"/>
        <v>8.9284313426381777E-4</v>
      </c>
      <c r="G1384" s="9">
        <f t="shared" si="65"/>
        <v>2.389034777573858E-2</v>
      </c>
    </row>
    <row r="1385" spans="1:7" x14ac:dyDescent="0.2">
      <c r="A1385" s="12">
        <v>38904</v>
      </c>
      <c r="B1385" s="9">
        <v>961.16</v>
      </c>
      <c r="C1385" s="9">
        <v>951.25</v>
      </c>
      <c r="D1385" s="9">
        <v>960.57</v>
      </c>
      <c r="E1385" s="9">
        <f t="shared" si="63"/>
        <v>8.499745371308487E-3</v>
      </c>
      <c r="F1385" s="45">
        <f t="shared" si="64"/>
        <v>5.8211652093208437E-2</v>
      </c>
      <c r="G1385" s="9">
        <f t="shared" si="65"/>
        <v>2.2071772305116127E-2</v>
      </c>
    </row>
    <row r="1386" spans="1:7" x14ac:dyDescent="0.2">
      <c r="A1386" s="12">
        <v>38905</v>
      </c>
      <c r="B1386" s="9">
        <v>959.97</v>
      </c>
      <c r="C1386" s="9">
        <v>947.3</v>
      </c>
      <c r="D1386" s="9">
        <v>949.62</v>
      </c>
      <c r="E1386" s="9">
        <f t="shared" si="63"/>
        <v>-1.1464953688846258E-2</v>
      </c>
      <c r="F1386" s="45">
        <f t="shared" si="64"/>
        <v>-6.748308365721589E-3</v>
      </c>
      <c r="G1386" s="9">
        <f t="shared" si="65"/>
        <v>1.9921306811726529E-2</v>
      </c>
    </row>
    <row r="1387" spans="1:7" x14ac:dyDescent="0.2">
      <c r="A1387" s="12">
        <v>38908</v>
      </c>
      <c r="B1387" s="9">
        <v>954.32</v>
      </c>
      <c r="C1387" s="9">
        <v>942.11</v>
      </c>
      <c r="D1387" s="9">
        <v>954.1</v>
      </c>
      <c r="E1387" s="9">
        <f t="shared" si="63"/>
        <v>4.7065831845535169E-3</v>
      </c>
      <c r="F1387" s="45">
        <f t="shared" si="64"/>
        <v>2.2073939707871918E-2</v>
      </c>
      <c r="G1387" s="9">
        <f t="shared" si="65"/>
        <v>1.9418048969912519E-2</v>
      </c>
    </row>
    <row r="1388" spans="1:7" x14ac:dyDescent="0.2">
      <c r="A1388" s="12">
        <v>38909</v>
      </c>
      <c r="B1388" s="9">
        <v>951.71</v>
      </c>
      <c r="C1388" s="9">
        <v>937.82</v>
      </c>
      <c r="D1388" s="9">
        <v>939.37</v>
      </c>
      <c r="E1388" s="9">
        <f t="shared" si="63"/>
        <v>-1.5559049952684282E-2</v>
      </c>
      <c r="F1388" s="45">
        <f t="shared" si="64"/>
        <v>-3.4958793748687912E-2</v>
      </c>
      <c r="G1388" s="9">
        <f t="shared" si="65"/>
        <v>1.8034717934805922E-2</v>
      </c>
    </row>
    <row r="1389" spans="1:7" x14ac:dyDescent="0.2">
      <c r="A1389" s="12">
        <v>38910</v>
      </c>
      <c r="B1389" s="9">
        <v>946.57</v>
      </c>
      <c r="C1389" s="9">
        <v>936.23</v>
      </c>
      <c r="D1389" s="9">
        <v>937.87</v>
      </c>
      <c r="E1389" s="9">
        <f t="shared" si="63"/>
        <v>-1.5980911542870545E-3</v>
      </c>
      <c r="F1389" s="45">
        <f t="shared" si="64"/>
        <v>-3.489018355622335E-2</v>
      </c>
      <c r="G1389" s="9">
        <f t="shared" si="65"/>
        <v>1.8034656508176674E-2</v>
      </c>
    </row>
    <row r="1390" spans="1:7" x14ac:dyDescent="0.2">
      <c r="A1390" s="12">
        <v>38911</v>
      </c>
      <c r="B1390" s="9">
        <v>937.27</v>
      </c>
      <c r="C1390" s="9">
        <v>915.9</v>
      </c>
      <c r="D1390" s="9">
        <v>921.49</v>
      </c>
      <c r="E1390" s="9">
        <f t="shared" si="63"/>
        <v>-1.7619421471780798E-2</v>
      </c>
      <c r="F1390" s="45">
        <f t="shared" si="64"/>
        <v>-1.7192832153506935E-2</v>
      </c>
      <c r="G1390" s="9">
        <f t="shared" si="65"/>
        <v>1.7146538982666236E-2</v>
      </c>
    </row>
    <row r="1391" spans="1:7" x14ac:dyDescent="0.2">
      <c r="A1391" s="12">
        <v>38912</v>
      </c>
      <c r="B1391" s="9">
        <v>920.9</v>
      </c>
      <c r="C1391" s="9">
        <v>903.87</v>
      </c>
      <c r="D1391" s="9">
        <v>906.05</v>
      </c>
      <c r="E1391" s="9">
        <f t="shared" si="63"/>
        <v>-1.6897433020881404E-2</v>
      </c>
      <c r="F1391" s="45">
        <f t="shared" si="64"/>
        <v>-4.5312751322045944E-2</v>
      </c>
      <c r="G1391" s="9">
        <f t="shared" si="65"/>
        <v>1.7247789285928929E-2</v>
      </c>
    </row>
    <row r="1392" spans="1:7" x14ac:dyDescent="0.2">
      <c r="A1392" s="12">
        <v>38915</v>
      </c>
      <c r="B1392" s="9">
        <v>908.44</v>
      </c>
      <c r="C1392" s="9">
        <v>893.87</v>
      </c>
      <c r="D1392" s="9">
        <v>899.35</v>
      </c>
      <c r="E1392" s="9">
        <f t="shared" si="63"/>
        <v>-7.4222119841869504E-3</v>
      </c>
      <c r="F1392" s="45">
        <f t="shared" si="64"/>
        <v>-6.7643580364662087E-2</v>
      </c>
      <c r="G1392" s="9">
        <f t="shared" si="65"/>
        <v>1.6994768876739241E-2</v>
      </c>
    </row>
    <row r="1393" spans="1:7" x14ac:dyDescent="0.2">
      <c r="A1393" s="12">
        <v>38916</v>
      </c>
      <c r="B1393" s="9">
        <v>906.83</v>
      </c>
      <c r="C1393" s="9">
        <v>890.62</v>
      </c>
      <c r="D1393" s="9">
        <v>893.57</v>
      </c>
      <c r="E1393" s="9">
        <f t="shared" si="63"/>
        <v>-6.4476050505826426E-3</v>
      </c>
      <c r="F1393" s="45">
        <f t="shared" si="64"/>
        <v>-6.6162005331126886E-2</v>
      </c>
      <c r="G1393" s="9">
        <f t="shared" si="65"/>
        <v>1.6979856951415538E-2</v>
      </c>
    </row>
    <row r="1394" spans="1:7" x14ac:dyDescent="0.2">
      <c r="A1394" s="12">
        <v>38917</v>
      </c>
      <c r="B1394" s="9">
        <v>929.54</v>
      </c>
      <c r="C1394" s="9">
        <v>895.36</v>
      </c>
      <c r="D1394" s="9">
        <v>929.54</v>
      </c>
      <c r="E1394" s="9">
        <f t="shared" si="63"/>
        <v>3.9465165001357938E-2</v>
      </c>
      <c r="F1394" s="45">
        <f t="shared" si="64"/>
        <v>-2.3129118101363665E-2</v>
      </c>
      <c r="G1394" s="9">
        <f t="shared" si="65"/>
        <v>1.8601078162566335E-2</v>
      </c>
    </row>
    <row r="1395" spans="1:7" x14ac:dyDescent="0.2">
      <c r="A1395" s="12">
        <v>38918</v>
      </c>
      <c r="B1395" s="9">
        <v>935.64</v>
      </c>
      <c r="C1395" s="9">
        <v>925.55</v>
      </c>
      <c r="D1395" s="9">
        <v>928.55</v>
      </c>
      <c r="E1395" s="9">
        <f t="shared" si="63"/>
        <v>-1.0656104856932786E-3</v>
      </c>
      <c r="F1395" s="45">
        <f t="shared" si="64"/>
        <v>-4.5558654880381941E-3</v>
      </c>
      <c r="G1395" s="9">
        <f t="shared" si="65"/>
        <v>1.8257349718752793E-2</v>
      </c>
    </row>
    <row r="1396" spans="1:7" x14ac:dyDescent="0.2">
      <c r="A1396" s="12">
        <v>38919</v>
      </c>
      <c r="B1396" s="9">
        <v>928.38</v>
      </c>
      <c r="C1396" s="9">
        <v>913.14</v>
      </c>
      <c r="D1396" s="9">
        <v>914.6</v>
      </c>
      <c r="E1396" s="9">
        <f t="shared" si="63"/>
        <v>-1.5137418415107058E-2</v>
      </c>
      <c r="F1396" s="45">
        <f t="shared" si="64"/>
        <v>2.4650791903530284E-2</v>
      </c>
      <c r="G1396" s="9">
        <f t="shared" si="65"/>
        <v>1.6515170246568116E-2</v>
      </c>
    </row>
    <row r="1397" spans="1:7" x14ac:dyDescent="0.2">
      <c r="A1397" s="12">
        <v>38922</v>
      </c>
      <c r="B1397" s="9">
        <v>931.96</v>
      </c>
      <c r="C1397" s="9">
        <v>913.41</v>
      </c>
      <c r="D1397" s="9">
        <v>931.96</v>
      </c>
      <c r="E1397" s="9">
        <f t="shared" si="63"/>
        <v>1.8803084085677435E-2</v>
      </c>
      <c r="F1397" s="45">
        <f t="shared" si="64"/>
        <v>1.5637315380907107E-2</v>
      </c>
      <c r="G1397" s="9">
        <f t="shared" si="65"/>
        <v>1.6083482700223736E-2</v>
      </c>
    </row>
    <row r="1398" spans="1:7" x14ac:dyDescent="0.2">
      <c r="A1398" s="12">
        <v>38923</v>
      </c>
      <c r="B1398" s="9">
        <v>937.79</v>
      </c>
      <c r="C1398" s="9">
        <v>927.82</v>
      </c>
      <c r="D1398" s="9">
        <v>928.69</v>
      </c>
      <c r="E1398" s="9">
        <f t="shared" si="63"/>
        <v>-3.5149043254935706E-3</v>
      </c>
      <c r="F1398" s="45">
        <f t="shared" si="64"/>
        <v>2.8983103060106461E-2</v>
      </c>
      <c r="G1398" s="9">
        <f t="shared" si="65"/>
        <v>1.5767596468927794E-2</v>
      </c>
    </row>
    <row r="1399" spans="1:7" x14ac:dyDescent="0.2">
      <c r="A1399" s="12">
        <v>38924</v>
      </c>
      <c r="B1399" s="9">
        <v>945.07</v>
      </c>
      <c r="C1399" s="9">
        <v>929.89</v>
      </c>
      <c r="D1399" s="9">
        <v>944.62</v>
      </c>
      <c r="E1399" s="9">
        <f t="shared" si="63"/>
        <v>1.7007739237006859E-2</v>
      </c>
      <c r="F1399" s="45">
        <f t="shared" si="64"/>
        <v>7.2953920842084519E-2</v>
      </c>
      <c r="G1399" s="9">
        <f t="shared" si="65"/>
        <v>1.5111930621724289E-2</v>
      </c>
    </row>
    <row r="1400" spans="1:7" x14ac:dyDescent="0.2">
      <c r="A1400" s="12">
        <v>38925</v>
      </c>
      <c r="B1400" s="9">
        <v>953.42</v>
      </c>
      <c r="C1400" s="9">
        <v>944.11</v>
      </c>
      <c r="D1400" s="9">
        <v>951.98</v>
      </c>
      <c r="E1400" s="9">
        <f t="shared" si="63"/>
        <v>7.7612959461786576E-3</v>
      </c>
      <c r="F1400" s="45">
        <f t="shared" si="64"/>
        <v>5.6460422359226194E-2</v>
      </c>
      <c r="G1400" s="9">
        <f t="shared" si="65"/>
        <v>1.4581324227704069E-2</v>
      </c>
    </row>
    <row r="1401" spans="1:7" x14ac:dyDescent="0.2">
      <c r="A1401" s="12">
        <v>38926</v>
      </c>
      <c r="B1401" s="9">
        <v>955.78</v>
      </c>
      <c r="C1401" s="9">
        <v>945.06</v>
      </c>
      <c r="D1401" s="9">
        <v>955.05</v>
      </c>
      <c r="E1401" s="9">
        <f t="shared" si="63"/>
        <v>3.2196689638195109E-3</v>
      </c>
      <c r="F1401" s="45">
        <f t="shared" si="64"/>
        <v>3.2186197213031113E-2</v>
      </c>
      <c r="G1401" s="9">
        <f t="shared" si="65"/>
        <v>1.3761534504625812E-2</v>
      </c>
    </row>
    <row r="1402" spans="1:7" x14ac:dyDescent="0.2">
      <c r="A1402" s="12">
        <v>38929</v>
      </c>
      <c r="B1402" s="9">
        <v>961.56</v>
      </c>
      <c r="C1402" s="9">
        <v>946.22</v>
      </c>
      <c r="D1402" s="9">
        <v>946.26</v>
      </c>
      <c r="E1402" s="9">
        <f t="shared" si="63"/>
        <v>-9.2463224036226522E-3</v>
      </c>
      <c r="F1402" s="45">
        <f t="shared" si="64"/>
        <v>3.9303569078711097E-2</v>
      </c>
      <c r="G1402" s="9">
        <f t="shared" si="65"/>
        <v>1.3509611485111565E-2</v>
      </c>
    </row>
    <row r="1403" spans="1:7" x14ac:dyDescent="0.2">
      <c r="A1403" s="12">
        <v>38930</v>
      </c>
      <c r="B1403" s="9">
        <v>946.62</v>
      </c>
      <c r="C1403" s="9">
        <v>930.65</v>
      </c>
      <c r="D1403" s="9">
        <v>932.04</v>
      </c>
      <c r="E1403" s="9">
        <f t="shared" si="63"/>
        <v>-1.5141640507965178E-2</v>
      </c>
      <c r="F1403" s="45">
        <f t="shared" si="64"/>
        <v>1.2067716204951182E-2</v>
      </c>
      <c r="G1403" s="9">
        <f t="shared" si="65"/>
        <v>1.3674057746018488E-2</v>
      </c>
    </row>
    <row r="1404" spans="1:7" x14ac:dyDescent="0.2">
      <c r="A1404" s="12">
        <v>38931</v>
      </c>
      <c r="B1404" s="9">
        <v>942.3</v>
      </c>
      <c r="C1404" s="9">
        <v>933.24</v>
      </c>
      <c r="D1404" s="9">
        <v>942.21</v>
      </c>
      <c r="E1404" s="9">
        <f t="shared" si="63"/>
        <v>1.0852447447926768E-2</v>
      </c>
      <c r="F1404" s="45">
        <f t="shared" si="64"/>
        <v>2.4811489122373628E-2</v>
      </c>
      <c r="G1404" s="9">
        <f t="shared" si="65"/>
        <v>1.3797736318975844E-2</v>
      </c>
    </row>
    <row r="1405" spans="1:7" x14ac:dyDescent="0.2">
      <c r="A1405" s="12">
        <v>38932</v>
      </c>
      <c r="B1405" s="9">
        <v>943.74</v>
      </c>
      <c r="C1405" s="9">
        <v>932.74</v>
      </c>
      <c r="D1405" s="9">
        <v>938.38</v>
      </c>
      <c r="E1405" s="9">
        <f t="shared" si="63"/>
        <v>-4.0731954283150552E-3</v>
      </c>
      <c r="F1405" s="45">
        <f t="shared" si="64"/>
        <v>1.4112628986045938E-2</v>
      </c>
      <c r="G1405" s="9">
        <f t="shared" si="65"/>
        <v>1.3780947921709074E-2</v>
      </c>
    </row>
    <row r="1406" spans="1:7" x14ac:dyDescent="0.2">
      <c r="A1406" s="12">
        <v>38933</v>
      </c>
      <c r="B1406" s="9">
        <v>949.28</v>
      </c>
      <c r="C1406" s="9">
        <v>938.38</v>
      </c>
      <c r="D1406" s="9">
        <v>944.97</v>
      </c>
      <c r="E1406" s="9">
        <f t="shared" si="63"/>
        <v>6.9981967189129517E-3</v>
      </c>
      <c r="F1406" s="45">
        <f t="shared" si="64"/>
        <v>1.7345886928300469E-2</v>
      </c>
      <c r="G1406" s="9">
        <f t="shared" si="65"/>
        <v>1.3820188613973697E-2</v>
      </c>
    </row>
    <row r="1407" spans="1:7" x14ac:dyDescent="0.2">
      <c r="A1407" s="12">
        <v>38936</v>
      </c>
      <c r="B1407" s="9">
        <v>943.18</v>
      </c>
      <c r="C1407" s="9">
        <v>930.58</v>
      </c>
      <c r="D1407" s="9">
        <v>932.1</v>
      </c>
      <c r="E1407" s="9">
        <f t="shared" si="63"/>
        <v>-1.3713075890969397E-2</v>
      </c>
      <c r="F1407" s="45">
        <f t="shared" si="64"/>
        <v>3.8051060067442544E-3</v>
      </c>
      <c r="G1407" s="9">
        <f t="shared" si="65"/>
        <v>1.4064501964782393E-2</v>
      </c>
    </row>
    <row r="1408" spans="1:7" x14ac:dyDescent="0.2">
      <c r="A1408" s="12">
        <v>38937</v>
      </c>
      <c r="B1408" s="9">
        <v>938.72</v>
      </c>
      <c r="C1408" s="9">
        <v>928.75</v>
      </c>
      <c r="D1408" s="9">
        <v>932.75</v>
      </c>
      <c r="E1408" s="9">
        <f t="shared" ref="E1408:E1471" si="66">LN(D1408/D1407)</f>
        <v>6.9710703415573443E-4</v>
      </c>
      <c r="F1408" s="45">
        <f t="shared" si="64"/>
        <v>1.8142681726638913E-2</v>
      </c>
      <c r="G1408" s="9">
        <f t="shared" si="65"/>
        <v>1.3822059521803055E-2</v>
      </c>
    </row>
    <row r="1409" spans="1:7" x14ac:dyDescent="0.2">
      <c r="A1409" s="12">
        <v>38938</v>
      </c>
      <c r="B1409" s="9">
        <v>942.41</v>
      </c>
      <c r="C1409" s="9">
        <v>921.66</v>
      </c>
      <c r="D1409" s="9">
        <v>941.06</v>
      </c>
      <c r="E1409" s="9">
        <f t="shared" si="66"/>
        <v>8.869687406771954E-3</v>
      </c>
      <c r="F1409" s="45">
        <f t="shared" si="64"/>
        <v>2.5714057301693037E-2</v>
      </c>
      <c r="G1409" s="9">
        <f t="shared" si="65"/>
        <v>1.3904040303768621E-2</v>
      </c>
    </row>
    <row r="1410" spans="1:7" x14ac:dyDescent="0.2">
      <c r="A1410" s="12">
        <v>38939</v>
      </c>
      <c r="B1410" s="9">
        <v>939.86</v>
      </c>
      <c r="C1410" s="9">
        <v>922.66</v>
      </c>
      <c r="D1410" s="9">
        <v>932.94</v>
      </c>
      <c r="E1410" s="9">
        <f t="shared" si="66"/>
        <v>-8.6660094102592247E-3</v>
      </c>
      <c r="F1410" s="45">
        <f t="shared" si="64"/>
        <v>-1.0216249158392627E-2</v>
      </c>
      <c r="G1410" s="9">
        <f t="shared" si="65"/>
        <v>1.3073620397062684E-2</v>
      </c>
    </row>
    <row r="1411" spans="1:7" x14ac:dyDescent="0.2">
      <c r="A1411" s="12">
        <v>38940</v>
      </c>
      <c r="B1411" s="9">
        <v>941.37</v>
      </c>
      <c r="C1411" s="9">
        <v>930.46</v>
      </c>
      <c r="D1411" s="9">
        <v>937.13</v>
      </c>
      <c r="E1411" s="9">
        <f t="shared" si="66"/>
        <v>4.4811231787328914E-3</v>
      </c>
      <c r="F1411" s="45">
        <f t="shared" si="64"/>
        <v>-2.0448320766079824E-2</v>
      </c>
      <c r="G1411" s="9">
        <f t="shared" si="65"/>
        <v>1.2797912796671824E-2</v>
      </c>
    </row>
    <row r="1412" spans="1:7" x14ac:dyDescent="0.2">
      <c r="A1412" s="12">
        <v>38943</v>
      </c>
      <c r="B1412" s="9">
        <v>947.01</v>
      </c>
      <c r="C1412" s="9">
        <v>937.24</v>
      </c>
      <c r="D1412" s="9">
        <v>945.37</v>
      </c>
      <c r="E1412" s="9">
        <f t="shared" si="66"/>
        <v>8.7543719791758796E-3</v>
      </c>
      <c r="F1412" s="45">
        <f t="shared" si="64"/>
        <v>-1.6647732389115898E-2</v>
      </c>
      <c r="G1412" s="9">
        <f t="shared" si="65"/>
        <v>1.2874204634697515E-2</v>
      </c>
    </row>
    <row r="1413" spans="1:7" x14ac:dyDescent="0.2">
      <c r="A1413" s="12">
        <v>38944</v>
      </c>
      <c r="B1413" s="9">
        <v>960.15</v>
      </c>
      <c r="C1413" s="9">
        <v>940.54</v>
      </c>
      <c r="D1413" s="9">
        <v>959.33</v>
      </c>
      <c r="E1413" s="9">
        <f t="shared" si="66"/>
        <v>1.4658738882315005E-2</v>
      </c>
      <c r="F1413" s="45">
        <f t="shared" si="64"/>
        <v>-6.3281156751248133E-3</v>
      </c>
      <c r="G1413" s="9">
        <f t="shared" si="65"/>
        <v>1.3144506190701431E-2</v>
      </c>
    </row>
    <row r="1414" spans="1:7" x14ac:dyDescent="0.2">
      <c r="A1414" s="12">
        <v>38945</v>
      </c>
      <c r="B1414" s="9">
        <v>969.35</v>
      </c>
      <c r="C1414" s="9">
        <v>957.21</v>
      </c>
      <c r="D1414" s="9">
        <v>967.99</v>
      </c>
      <c r="E1414" s="9">
        <f t="shared" si="66"/>
        <v>8.9866325067003063E-3</v>
      </c>
      <c r="F1414" s="45">
        <f t="shared" si="64"/>
        <v>1.6194643753919234E-2</v>
      </c>
      <c r="G1414" s="9">
        <f t="shared" si="65"/>
        <v>1.299958712527341E-2</v>
      </c>
    </row>
    <row r="1415" spans="1:7" x14ac:dyDescent="0.2">
      <c r="A1415" s="12">
        <v>38946</v>
      </c>
      <c r="B1415" s="9">
        <v>980.05</v>
      </c>
      <c r="C1415" s="9">
        <v>968.08</v>
      </c>
      <c r="D1415" s="9">
        <v>979.85</v>
      </c>
      <c r="E1415" s="9">
        <f t="shared" si="66"/>
        <v>1.2177742080359426E-2</v>
      </c>
      <c r="F1415" s="45">
        <f t="shared" si="64"/>
        <v>1.98726404629701E-2</v>
      </c>
      <c r="G1415" s="9">
        <f t="shared" si="65"/>
        <v>1.3094245357657953E-2</v>
      </c>
    </row>
    <row r="1416" spans="1:7" x14ac:dyDescent="0.2">
      <c r="A1416" s="12">
        <v>38947</v>
      </c>
      <c r="B1416" s="9">
        <v>983.15</v>
      </c>
      <c r="C1416" s="9">
        <v>975.36</v>
      </c>
      <c r="D1416" s="9">
        <v>978.15</v>
      </c>
      <c r="E1416" s="9">
        <f t="shared" si="66"/>
        <v>-1.7364662177422662E-3</v>
      </c>
      <c r="F1416" s="45">
        <f t="shared" si="64"/>
        <v>2.9601127934074097E-2</v>
      </c>
      <c r="G1416" s="9">
        <f t="shared" si="65"/>
        <v>1.2902612989945763E-2</v>
      </c>
    </row>
    <row r="1417" spans="1:7" x14ac:dyDescent="0.2">
      <c r="A1417" s="12">
        <v>38950</v>
      </c>
      <c r="B1417" s="9">
        <v>981.91</v>
      </c>
      <c r="C1417" s="9">
        <v>973.03</v>
      </c>
      <c r="D1417" s="9">
        <v>977.69</v>
      </c>
      <c r="E1417" s="9">
        <f t="shared" si="66"/>
        <v>-4.7038613432767815E-4</v>
      </c>
      <c r="F1417" s="45">
        <f t="shared" si="64"/>
        <v>2.4424158615193071E-2</v>
      </c>
      <c r="G1417" s="9">
        <f t="shared" si="65"/>
        <v>1.2885754608771881E-2</v>
      </c>
    </row>
    <row r="1418" spans="1:7" x14ac:dyDescent="0.2">
      <c r="A1418" s="12">
        <v>38951</v>
      </c>
      <c r="B1418" s="9">
        <v>985.17</v>
      </c>
      <c r="C1418" s="9">
        <v>974.98</v>
      </c>
      <c r="D1418" s="9">
        <v>982.92</v>
      </c>
      <c r="E1418" s="9">
        <f t="shared" si="66"/>
        <v>5.3350869425175659E-3</v>
      </c>
      <c r="F1418" s="45">
        <f t="shared" si="64"/>
        <v>4.5318295510394971E-2</v>
      </c>
      <c r="G1418" s="9">
        <f t="shared" si="65"/>
        <v>1.253002323764842E-2</v>
      </c>
    </row>
    <row r="1419" spans="1:7" x14ac:dyDescent="0.2">
      <c r="A1419" s="12">
        <v>38952</v>
      </c>
      <c r="B1419" s="9">
        <v>982.92</v>
      </c>
      <c r="C1419" s="9">
        <v>971.96</v>
      </c>
      <c r="D1419" s="9">
        <v>972.19</v>
      </c>
      <c r="E1419" s="9">
        <f t="shared" si="66"/>
        <v>-1.0976474706449676E-2</v>
      </c>
      <c r="F1419" s="45">
        <f t="shared" si="64"/>
        <v>3.5939911958232297E-2</v>
      </c>
      <c r="G1419" s="9">
        <f t="shared" si="65"/>
        <v>1.2725719875220561E-2</v>
      </c>
    </row>
    <row r="1420" spans="1:7" x14ac:dyDescent="0.2">
      <c r="A1420" s="12">
        <v>38953</v>
      </c>
      <c r="B1420" s="9">
        <v>978.76</v>
      </c>
      <c r="C1420" s="9">
        <v>964.67</v>
      </c>
      <c r="D1420" s="9">
        <v>971.78</v>
      </c>
      <c r="E1420" s="9">
        <f t="shared" si="66"/>
        <v>-4.21817215367851E-4</v>
      </c>
      <c r="F1420" s="45">
        <f t="shared" si="64"/>
        <v>5.3137516214645401E-2</v>
      </c>
      <c r="G1420" s="9">
        <f t="shared" si="65"/>
        <v>1.2226376821749024E-2</v>
      </c>
    </row>
    <row r="1421" spans="1:7" x14ac:dyDescent="0.2">
      <c r="A1421" s="12">
        <v>38954</v>
      </c>
      <c r="B1421" s="9">
        <v>979.85</v>
      </c>
      <c r="C1421" s="9">
        <v>972.21</v>
      </c>
      <c r="D1421" s="9">
        <v>972.59</v>
      </c>
      <c r="E1421" s="9">
        <f t="shared" si="66"/>
        <v>8.3317480403125889E-4</v>
      </c>
      <c r="F1421" s="45">
        <f t="shared" si="64"/>
        <v>7.0868124039558084E-2</v>
      </c>
      <c r="G1421" s="9">
        <f t="shared" si="65"/>
        <v>1.1710480874643095E-2</v>
      </c>
    </row>
    <row r="1422" spans="1:7" x14ac:dyDescent="0.2">
      <c r="A1422" s="12">
        <v>38957</v>
      </c>
      <c r="B1422" s="9">
        <v>980.23</v>
      </c>
      <c r="C1422" s="9">
        <v>968.68</v>
      </c>
      <c r="D1422" s="9">
        <v>978.3</v>
      </c>
      <c r="E1422" s="9">
        <f t="shared" si="66"/>
        <v>5.8537552656583412E-3</v>
      </c>
      <c r="F1422" s="45">
        <f t="shared" si="64"/>
        <v>8.4144091289403214E-2</v>
      </c>
      <c r="G1422" s="9">
        <f t="shared" si="65"/>
        <v>1.1578078013305772E-2</v>
      </c>
    </row>
    <row r="1423" spans="1:7" x14ac:dyDescent="0.2">
      <c r="A1423" s="12">
        <v>38958</v>
      </c>
      <c r="B1423" s="9">
        <v>991.66</v>
      </c>
      <c r="C1423" s="9">
        <v>978.9</v>
      </c>
      <c r="D1423" s="9">
        <v>985.46</v>
      </c>
      <c r="E1423" s="9">
        <f t="shared" si="66"/>
        <v>7.2921657719157099E-3</v>
      </c>
      <c r="F1423" s="45">
        <f t="shared" si="64"/>
        <v>9.7883862111901823E-2</v>
      </c>
      <c r="G1423" s="9">
        <f t="shared" si="65"/>
        <v>1.1470714559469131E-2</v>
      </c>
    </row>
    <row r="1424" spans="1:7" x14ac:dyDescent="0.2">
      <c r="A1424" s="12">
        <v>38959</v>
      </c>
      <c r="B1424" s="9">
        <v>996.78</v>
      </c>
      <c r="C1424" s="9">
        <v>986.66</v>
      </c>
      <c r="D1424" s="9">
        <v>993.9</v>
      </c>
      <c r="E1424" s="9">
        <f t="shared" si="66"/>
        <v>8.5280607386610217E-3</v>
      </c>
      <c r="F1424" s="45">
        <f t="shared" si="64"/>
        <v>6.6946757849204744E-2</v>
      </c>
      <c r="G1424" s="9">
        <f t="shared" si="65"/>
        <v>9.28652983800329E-3</v>
      </c>
    </row>
    <row r="1425" spans="1:7" x14ac:dyDescent="0.2">
      <c r="A1425" s="12">
        <v>38960</v>
      </c>
      <c r="B1425" s="9">
        <v>999.01</v>
      </c>
      <c r="C1425" s="9">
        <v>989.73</v>
      </c>
      <c r="D1425" s="9">
        <v>994.16</v>
      </c>
      <c r="E1425" s="9">
        <f t="shared" si="66"/>
        <v>2.6156152377934032E-4</v>
      </c>
      <c r="F1425" s="45">
        <f t="shared" si="64"/>
        <v>6.8273929858677182E-2</v>
      </c>
      <c r="G1425" s="9">
        <f t="shared" si="65"/>
        <v>9.2734331480592899E-3</v>
      </c>
    </row>
    <row r="1426" spans="1:7" x14ac:dyDescent="0.2">
      <c r="A1426" s="12">
        <v>38961</v>
      </c>
      <c r="B1426" s="9">
        <v>1001.48</v>
      </c>
      <c r="C1426" s="9">
        <v>993.35</v>
      </c>
      <c r="D1426" s="9">
        <v>997.57</v>
      </c>
      <c r="E1426" s="9">
        <f t="shared" si="66"/>
        <v>3.4241622426950855E-3</v>
      </c>
      <c r="F1426" s="45">
        <f t="shared" si="64"/>
        <v>8.6835510516479239E-2</v>
      </c>
      <c r="G1426" s="9">
        <f t="shared" si="65"/>
        <v>8.6712257933944138E-3</v>
      </c>
    </row>
    <row r="1427" spans="1:7" x14ac:dyDescent="0.2">
      <c r="A1427" s="12">
        <v>38964</v>
      </c>
      <c r="B1427" s="9">
        <v>1013.43</v>
      </c>
      <c r="C1427" s="9">
        <v>998.66</v>
      </c>
      <c r="D1427" s="9">
        <v>1011.58</v>
      </c>
      <c r="E1427" s="9">
        <f t="shared" si="66"/>
        <v>1.3946422199593885E-2</v>
      </c>
      <c r="F1427" s="45">
        <f t="shared" si="64"/>
        <v>8.1978848630395534E-2</v>
      </c>
      <c r="G1427" s="9">
        <f t="shared" si="65"/>
        <v>8.4052331999215496E-3</v>
      </c>
    </row>
    <row r="1428" spans="1:7" x14ac:dyDescent="0.2">
      <c r="A1428" s="12">
        <v>38965</v>
      </c>
      <c r="B1428" s="9">
        <v>1014.82</v>
      </c>
      <c r="C1428" s="9">
        <v>1005.74</v>
      </c>
      <c r="D1428" s="9">
        <v>1008.25</v>
      </c>
      <c r="E1428" s="9">
        <f t="shared" si="66"/>
        <v>-3.2973101865504382E-3</v>
      </c>
      <c r="F1428" s="45">
        <f t="shared" si="64"/>
        <v>8.2196442769338823E-2</v>
      </c>
      <c r="G1428" s="9">
        <f t="shared" si="65"/>
        <v>8.3997482006941369E-3</v>
      </c>
    </row>
    <row r="1429" spans="1:7" x14ac:dyDescent="0.2">
      <c r="A1429" s="12">
        <v>38966</v>
      </c>
      <c r="B1429" s="9">
        <v>1009.5</v>
      </c>
      <c r="C1429" s="9">
        <v>999.25</v>
      </c>
      <c r="D1429" s="9">
        <v>1001.94</v>
      </c>
      <c r="E1429" s="9">
        <f t="shared" si="66"/>
        <v>-6.2780341410813914E-3</v>
      </c>
      <c r="F1429" s="45">
        <f t="shared" si="64"/>
        <v>5.8910669391250461E-2</v>
      </c>
      <c r="G1429" s="9">
        <f t="shared" si="65"/>
        <v>8.1066046263405193E-3</v>
      </c>
    </row>
    <row r="1430" spans="1:7" x14ac:dyDescent="0.2">
      <c r="A1430" s="12">
        <v>38967</v>
      </c>
      <c r="B1430" s="9">
        <v>999.56</v>
      </c>
      <c r="C1430" s="9">
        <v>986.24</v>
      </c>
      <c r="D1430" s="9">
        <v>989.53</v>
      </c>
      <c r="E1430" s="9">
        <f t="shared" si="66"/>
        <v>-1.2463316686770134E-2</v>
      </c>
      <c r="F1430" s="45">
        <f t="shared" si="64"/>
        <v>3.8686056758301682E-2</v>
      </c>
      <c r="G1430" s="9">
        <f t="shared" si="65"/>
        <v>8.4418617530913065E-3</v>
      </c>
    </row>
    <row r="1431" spans="1:7" x14ac:dyDescent="0.2">
      <c r="A1431" s="12">
        <v>38968</v>
      </c>
      <c r="B1431" s="9">
        <v>999.2</v>
      </c>
      <c r="C1431" s="9">
        <v>990.65</v>
      </c>
      <c r="D1431" s="9">
        <v>999.08</v>
      </c>
      <c r="E1431" s="9">
        <f t="shared" si="66"/>
        <v>9.6047725967692149E-3</v>
      </c>
      <c r="F1431" s="45">
        <f t="shared" si="64"/>
        <v>4.5071160391251218E-2</v>
      </c>
      <c r="G1431" s="9">
        <f t="shared" si="65"/>
        <v>8.5716948737262679E-3</v>
      </c>
    </row>
    <row r="1432" spans="1:7" x14ac:dyDescent="0.2">
      <c r="A1432" s="12">
        <v>38971</v>
      </c>
      <c r="B1432" s="9">
        <v>999.68</v>
      </c>
      <c r="C1432" s="9">
        <v>989.36</v>
      </c>
      <c r="D1432" s="9">
        <v>993.11</v>
      </c>
      <c r="E1432" s="9">
        <f t="shared" si="66"/>
        <v>-5.9934221843713168E-3</v>
      </c>
      <c r="F1432" s="45">
        <f t="shared" si="64"/>
        <v>4.8324060610502463E-2</v>
      </c>
      <c r="G1432" s="9">
        <f t="shared" si="65"/>
        <v>8.4507588400999211E-3</v>
      </c>
    </row>
    <row r="1433" spans="1:7" x14ac:dyDescent="0.2">
      <c r="A1433" s="12">
        <v>38972</v>
      </c>
      <c r="B1433" s="9">
        <v>1012.8</v>
      </c>
      <c r="C1433" s="9">
        <v>993.11</v>
      </c>
      <c r="D1433" s="9">
        <v>1011.69</v>
      </c>
      <c r="E1433" s="9">
        <f t="shared" si="66"/>
        <v>1.8536045471901186E-2</v>
      </c>
      <c r="F1433" s="45">
        <f t="shared" si="64"/>
        <v>8.2001746590368921E-2</v>
      </c>
      <c r="G1433" s="9">
        <f t="shared" si="65"/>
        <v>8.3852451318120781E-3</v>
      </c>
    </row>
    <row r="1434" spans="1:7" x14ac:dyDescent="0.2">
      <c r="A1434" s="12">
        <v>38973</v>
      </c>
      <c r="B1434" s="9">
        <v>1023.78</v>
      </c>
      <c r="C1434" s="9">
        <v>1012.88</v>
      </c>
      <c r="D1434" s="9">
        <v>1022.14</v>
      </c>
      <c r="E1434" s="9">
        <f t="shared" si="66"/>
        <v>1.0276268873327939E-2</v>
      </c>
      <c r="F1434" s="45">
        <f t="shared" si="64"/>
        <v>8.1425568015769959E-2</v>
      </c>
      <c r="G1434" s="9">
        <f t="shared" si="65"/>
        <v>8.366646848798993E-3</v>
      </c>
    </row>
    <row r="1435" spans="1:7" x14ac:dyDescent="0.2">
      <c r="A1435" s="12">
        <v>38974</v>
      </c>
      <c r="B1435" s="9">
        <v>1033.6099999999999</v>
      </c>
      <c r="C1435" s="9">
        <v>1022.73</v>
      </c>
      <c r="D1435" s="9">
        <v>1027.8699999999999</v>
      </c>
      <c r="E1435" s="9">
        <f t="shared" si="66"/>
        <v>5.5902311912567103E-3</v>
      </c>
      <c r="F1435" s="45">
        <f t="shared" si="64"/>
        <v>9.1088994635341897E-2</v>
      </c>
      <c r="G1435" s="9">
        <f t="shared" si="65"/>
        <v>8.2819141864458271E-3</v>
      </c>
    </row>
    <row r="1436" spans="1:7" x14ac:dyDescent="0.2">
      <c r="A1436" s="12">
        <v>38975</v>
      </c>
      <c r="B1436" s="9">
        <v>1031.6500000000001</v>
      </c>
      <c r="C1436" s="9">
        <v>1022.81</v>
      </c>
      <c r="D1436" s="9">
        <v>1025.47</v>
      </c>
      <c r="E1436" s="9">
        <f t="shared" si="66"/>
        <v>-2.3376558124097637E-3</v>
      </c>
      <c r="F1436" s="45">
        <f t="shared" si="64"/>
        <v>8.1753142104019225E-2</v>
      </c>
      <c r="G1436" s="9">
        <f t="shared" si="65"/>
        <v>8.3032824333371547E-3</v>
      </c>
    </row>
    <row r="1437" spans="1:7" x14ac:dyDescent="0.2">
      <c r="A1437" s="12">
        <v>38978</v>
      </c>
      <c r="B1437" s="9">
        <v>1036.77</v>
      </c>
      <c r="C1437" s="9">
        <v>1026.53</v>
      </c>
      <c r="D1437" s="9">
        <v>1032.1099999999999</v>
      </c>
      <c r="E1437" s="9">
        <f t="shared" si="66"/>
        <v>6.4542064464753407E-3</v>
      </c>
      <c r="F1437" s="45">
        <f t="shared" si="64"/>
        <v>0.10192042444146381</v>
      </c>
      <c r="G1437" s="9">
        <f t="shared" si="65"/>
        <v>7.7226169940029388E-3</v>
      </c>
    </row>
    <row r="1438" spans="1:7" x14ac:dyDescent="0.2">
      <c r="A1438" s="12">
        <v>38979</v>
      </c>
      <c r="B1438" s="9">
        <v>1034.75</v>
      </c>
      <c r="C1438" s="9">
        <v>1024.79</v>
      </c>
      <c r="D1438" s="9">
        <v>1026.69</v>
      </c>
      <c r="E1438" s="9">
        <f t="shared" si="66"/>
        <v>-5.2652151945979794E-3</v>
      </c>
      <c r="F1438" s="45">
        <f t="shared" si="64"/>
        <v>9.5958102212710103E-2</v>
      </c>
      <c r="G1438" s="9">
        <f t="shared" si="65"/>
        <v>7.8698229863900654E-3</v>
      </c>
    </row>
    <row r="1439" spans="1:7" x14ac:dyDescent="0.2">
      <c r="A1439" s="12">
        <v>38980</v>
      </c>
      <c r="B1439" s="9">
        <v>1042.56</v>
      </c>
      <c r="C1439" s="9">
        <v>1026.02</v>
      </c>
      <c r="D1439" s="9">
        <v>1039.97</v>
      </c>
      <c r="E1439" s="9">
        <f t="shared" si="66"/>
        <v>1.2851831251536786E-2</v>
      </c>
      <c r="F1439" s="45">
        <f t="shared" si="64"/>
        <v>9.9940246057474744E-2</v>
      </c>
      <c r="G1439" s="9">
        <f t="shared" si="65"/>
        <v>8.0012592393465514E-3</v>
      </c>
    </row>
    <row r="1440" spans="1:7" x14ac:dyDescent="0.2">
      <c r="A1440" s="12">
        <v>38981</v>
      </c>
      <c r="B1440" s="9">
        <v>1045.25</v>
      </c>
      <c r="C1440" s="9">
        <v>1037.5999999999999</v>
      </c>
      <c r="D1440" s="9">
        <v>1041.08</v>
      </c>
      <c r="E1440" s="9">
        <f t="shared" si="66"/>
        <v>1.0667692801851368E-3</v>
      </c>
      <c r="F1440" s="45">
        <f t="shared" si="64"/>
        <v>0.10967302474791914</v>
      </c>
      <c r="G1440" s="9">
        <f t="shared" si="65"/>
        <v>7.6892639547209846E-3</v>
      </c>
    </row>
    <row r="1441" spans="1:7" x14ac:dyDescent="0.2">
      <c r="A1441" s="12">
        <v>38982</v>
      </c>
      <c r="B1441" s="9">
        <v>1039.8800000000001</v>
      </c>
      <c r="C1441" s="9">
        <v>1026</v>
      </c>
      <c r="D1441" s="9">
        <v>1028.69</v>
      </c>
      <c r="E1441" s="9">
        <f t="shared" si="66"/>
        <v>-1.1972487763060188E-2</v>
      </c>
      <c r="F1441" s="45">
        <f t="shared" ref="F1441:F1504" si="67">LN(D1441/D1411)</f>
        <v>9.3219413806125861E-2</v>
      </c>
      <c r="G1441" s="9">
        <f t="shared" ref="G1441:G1504" si="68">STDEV(E1412:E1441)</f>
        <v>8.198308764454789E-3</v>
      </c>
    </row>
    <row r="1442" spans="1:7" x14ac:dyDescent="0.2">
      <c r="A1442" s="12">
        <v>38985</v>
      </c>
      <c r="B1442" s="9">
        <v>1033.69</v>
      </c>
      <c r="C1442" s="9">
        <v>1013.35</v>
      </c>
      <c r="D1442" s="9">
        <v>1017.35</v>
      </c>
      <c r="E1442" s="9">
        <f t="shared" si="66"/>
        <v>-1.1084940780726821E-2</v>
      </c>
      <c r="F1442" s="45">
        <f t="shared" si="67"/>
        <v>7.3380101046223223E-2</v>
      </c>
      <c r="G1442" s="9">
        <f t="shared" si="68"/>
        <v>8.5209004921407826E-3</v>
      </c>
    </row>
    <row r="1443" spans="1:7" x14ac:dyDescent="0.2">
      <c r="A1443" s="12">
        <v>38986</v>
      </c>
      <c r="B1443" s="9">
        <v>1027.68</v>
      </c>
      <c r="C1443" s="9">
        <v>1018.89</v>
      </c>
      <c r="D1443" s="9">
        <v>1025.2</v>
      </c>
      <c r="E1443" s="9">
        <f t="shared" si="66"/>
        <v>7.6865081880042553E-3</v>
      </c>
      <c r="F1443" s="45">
        <f t="shared" si="67"/>
        <v>6.6407870351912493E-2</v>
      </c>
      <c r="G1443" s="9">
        <f t="shared" si="68"/>
        <v>8.2676315098812649E-3</v>
      </c>
    </row>
    <row r="1444" spans="1:7" x14ac:dyDescent="0.2">
      <c r="A1444" s="12">
        <v>38987</v>
      </c>
      <c r="B1444" s="9">
        <v>1041.29</v>
      </c>
      <c r="C1444" s="9">
        <v>1026.4000000000001</v>
      </c>
      <c r="D1444" s="9">
        <v>1040.6500000000001</v>
      </c>
      <c r="E1444" s="9">
        <f t="shared" si="66"/>
        <v>1.495780241434439E-2</v>
      </c>
      <c r="F1444" s="45">
        <f t="shared" si="67"/>
        <v>7.2379040259556701E-2</v>
      </c>
      <c r="G1444" s="9">
        <f t="shared" si="68"/>
        <v>8.5047866329627068E-3</v>
      </c>
    </row>
    <row r="1445" spans="1:7" x14ac:dyDescent="0.2">
      <c r="A1445" s="12">
        <v>38988</v>
      </c>
      <c r="B1445" s="9">
        <v>1044.3699999999999</v>
      </c>
      <c r="C1445" s="9">
        <v>1035.8699999999999</v>
      </c>
      <c r="D1445" s="9">
        <v>1038.7</v>
      </c>
      <c r="E1445" s="9">
        <f t="shared" si="66"/>
        <v>-1.8755866704947225E-3</v>
      </c>
      <c r="F1445" s="45">
        <f t="shared" si="67"/>
        <v>5.8325711508702541E-2</v>
      </c>
      <c r="G1445" s="9">
        <f t="shared" si="68"/>
        <v>8.3336848507158303E-3</v>
      </c>
    </row>
    <row r="1446" spans="1:7" x14ac:dyDescent="0.2">
      <c r="A1446" s="12">
        <v>38989</v>
      </c>
      <c r="B1446" s="9">
        <v>1046.69</v>
      </c>
      <c r="C1446" s="9">
        <v>1038.77</v>
      </c>
      <c r="D1446" s="9">
        <v>1039.3399999999999</v>
      </c>
      <c r="E1446" s="9">
        <f t="shared" si="66"/>
        <v>6.15965063459098E-4</v>
      </c>
      <c r="F1446" s="45">
        <f t="shared" si="67"/>
        <v>6.0678142789903911E-2</v>
      </c>
      <c r="G1446" s="9">
        <f t="shared" si="68"/>
        <v>8.3088886297650339E-3</v>
      </c>
    </row>
    <row r="1447" spans="1:7" x14ac:dyDescent="0.2">
      <c r="A1447" s="12">
        <v>38992</v>
      </c>
      <c r="B1447" s="9">
        <v>1047.23</v>
      </c>
      <c r="C1447" s="9">
        <v>1038.8900000000001</v>
      </c>
      <c r="D1447" s="9">
        <v>1043.3599999999999</v>
      </c>
      <c r="E1447" s="9">
        <f t="shared" si="66"/>
        <v>3.8603783476672143E-3</v>
      </c>
      <c r="F1447" s="45">
        <f t="shared" si="67"/>
        <v>6.5008907271898758E-2</v>
      </c>
      <c r="G1447" s="9">
        <f t="shared" si="68"/>
        <v>8.3017000787401658E-3</v>
      </c>
    </row>
    <row r="1448" spans="1:7" x14ac:dyDescent="0.2">
      <c r="A1448" s="12">
        <v>38993</v>
      </c>
      <c r="B1448" s="9">
        <v>1043.06</v>
      </c>
      <c r="C1448" s="9">
        <v>1027.78</v>
      </c>
      <c r="D1448" s="9">
        <v>1034.1500000000001</v>
      </c>
      <c r="E1448" s="9">
        <f t="shared" si="66"/>
        <v>-8.8664413995593605E-3</v>
      </c>
      <c r="F1448" s="45">
        <f t="shared" si="67"/>
        <v>5.0807378929821775E-2</v>
      </c>
      <c r="G1448" s="9">
        <f t="shared" si="68"/>
        <v>8.5169298765967825E-3</v>
      </c>
    </row>
    <row r="1449" spans="1:7" x14ac:dyDescent="0.2">
      <c r="A1449" s="12">
        <v>38994</v>
      </c>
      <c r="B1449" s="9">
        <v>1047.9000000000001</v>
      </c>
      <c r="C1449" s="9">
        <v>1035.05</v>
      </c>
      <c r="D1449" s="9">
        <v>1046.8699999999999</v>
      </c>
      <c r="E1449" s="9">
        <f t="shared" si="66"/>
        <v>1.2224926637289874E-2</v>
      </c>
      <c r="F1449" s="45">
        <f t="shared" si="67"/>
        <v>7.4008780273561156E-2</v>
      </c>
      <c r="G1449" s="9">
        <f t="shared" si="68"/>
        <v>8.3790383957240856E-3</v>
      </c>
    </row>
    <row r="1450" spans="1:7" x14ac:dyDescent="0.2">
      <c r="A1450" s="12">
        <v>38995</v>
      </c>
      <c r="B1450" s="9">
        <v>1060.8</v>
      </c>
      <c r="C1450" s="9">
        <v>1048.96</v>
      </c>
      <c r="D1450" s="9">
        <v>1060.3399999999999</v>
      </c>
      <c r="E1450" s="9">
        <f t="shared" si="66"/>
        <v>1.2784851509674641E-2</v>
      </c>
      <c r="F1450" s="45">
        <f t="shared" si="67"/>
        <v>8.7215448998603784E-2</v>
      </c>
      <c r="G1450" s="9">
        <f t="shared" si="68"/>
        <v>8.5668572426985581E-3</v>
      </c>
    </row>
    <row r="1451" spans="1:7" x14ac:dyDescent="0.2">
      <c r="A1451" s="12">
        <v>38996</v>
      </c>
      <c r="B1451" s="9">
        <v>1063.9000000000001</v>
      </c>
      <c r="C1451" s="9">
        <v>1054.21</v>
      </c>
      <c r="D1451" s="9">
        <v>1059.82</v>
      </c>
      <c r="E1451" s="9">
        <f t="shared" si="66"/>
        <v>-4.9052902651386279E-4</v>
      </c>
      <c r="F1451" s="45">
        <f t="shared" si="67"/>
        <v>8.58917451680586E-2</v>
      </c>
      <c r="G1451" s="9">
        <f t="shared" si="68"/>
        <v>8.581304407099961E-3</v>
      </c>
    </row>
    <row r="1452" spans="1:7" x14ac:dyDescent="0.2">
      <c r="A1452" s="12">
        <v>38999</v>
      </c>
      <c r="B1452" s="9">
        <v>1067.5899999999999</v>
      </c>
      <c r="C1452" s="9">
        <v>1058.43</v>
      </c>
      <c r="D1452" s="9">
        <v>1066.93</v>
      </c>
      <c r="E1452" s="9">
        <f t="shared" si="66"/>
        <v>6.6862832853066302E-3</v>
      </c>
      <c r="F1452" s="45">
        <f t="shared" si="67"/>
        <v>8.672427318770691E-2</v>
      </c>
      <c r="G1452" s="9">
        <f t="shared" si="68"/>
        <v>8.5926481250413484E-3</v>
      </c>
    </row>
    <row r="1453" spans="1:7" x14ac:dyDescent="0.2">
      <c r="A1453" s="12">
        <v>39000</v>
      </c>
      <c r="B1453" s="9">
        <v>1071.3499999999999</v>
      </c>
      <c r="C1453" s="9">
        <v>1065.4100000000001</v>
      </c>
      <c r="D1453" s="9">
        <v>1071.3</v>
      </c>
      <c r="E1453" s="9">
        <f t="shared" si="66"/>
        <v>4.0874986174223729E-3</v>
      </c>
      <c r="F1453" s="45">
        <f t="shared" si="67"/>
        <v>8.3519606033213553E-2</v>
      </c>
      <c r="G1453" s="9">
        <f t="shared" si="68"/>
        <v>8.5558857494896449E-3</v>
      </c>
    </row>
    <row r="1454" spans="1:7" x14ac:dyDescent="0.2">
      <c r="A1454" s="12">
        <v>39001</v>
      </c>
      <c r="B1454" s="9">
        <v>1083.03</v>
      </c>
      <c r="C1454" s="9">
        <v>1064.97</v>
      </c>
      <c r="D1454" s="9">
        <v>1080.17</v>
      </c>
      <c r="E1454" s="9">
        <f t="shared" si="66"/>
        <v>8.2455718699143647E-3</v>
      </c>
      <c r="F1454" s="45">
        <f t="shared" si="67"/>
        <v>8.3237117164466856E-2</v>
      </c>
      <c r="G1454" s="9">
        <f t="shared" si="68"/>
        <v>8.5494991059044696E-3</v>
      </c>
    </row>
    <row r="1455" spans="1:7" x14ac:dyDescent="0.2">
      <c r="A1455" s="12">
        <v>39002</v>
      </c>
      <c r="B1455" s="9">
        <v>1097.4000000000001</v>
      </c>
      <c r="C1455" s="9">
        <v>1082.3499999999999</v>
      </c>
      <c r="D1455" s="9">
        <v>1097.27</v>
      </c>
      <c r="E1455" s="9">
        <f t="shared" si="66"/>
        <v>1.5706840650448223E-2</v>
      </c>
      <c r="F1455" s="45">
        <f t="shared" si="67"/>
        <v>9.8682396291135899E-2</v>
      </c>
      <c r="G1455" s="9">
        <f t="shared" si="68"/>
        <v>8.8526259898162023E-3</v>
      </c>
    </row>
    <row r="1456" spans="1:7" x14ac:dyDescent="0.2">
      <c r="A1456" s="12">
        <v>39003</v>
      </c>
      <c r="B1456" s="9">
        <v>1098.5899999999999</v>
      </c>
      <c r="C1456" s="9">
        <v>1090.33</v>
      </c>
      <c r="D1456" s="9">
        <v>1092.1199999999999</v>
      </c>
      <c r="E1456" s="9">
        <f t="shared" si="66"/>
        <v>-4.7045154116104864E-3</v>
      </c>
      <c r="F1456" s="45">
        <f t="shared" si="67"/>
        <v>9.0553718636830344E-2</v>
      </c>
      <c r="G1456" s="9">
        <f t="shared" si="68"/>
        <v>8.971954088282795E-3</v>
      </c>
    </row>
    <row r="1457" spans="1:7" x14ac:dyDescent="0.2">
      <c r="A1457" s="12">
        <v>39006</v>
      </c>
      <c r="B1457" s="9">
        <v>1095.95</v>
      </c>
      <c r="C1457" s="9">
        <v>1087.81</v>
      </c>
      <c r="D1457" s="9">
        <v>1093.3</v>
      </c>
      <c r="E1457" s="9">
        <f t="shared" si="66"/>
        <v>1.079884063174546E-3</v>
      </c>
      <c r="F1457" s="45">
        <f t="shared" si="67"/>
        <v>7.7687180500411152E-2</v>
      </c>
      <c r="G1457" s="9">
        <f t="shared" si="68"/>
        <v>8.7359783882933178E-3</v>
      </c>
    </row>
    <row r="1458" spans="1:7" x14ac:dyDescent="0.2">
      <c r="A1458" s="12">
        <v>39007</v>
      </c>
      <c r="B1458" s="9">
        <v>1093.02</v>
      </c>
      <c r="C1458" s="9">
        <v>1077.3499999999999</v>
      </c>
      <c r="D1458" s="9">
        <v>1077.5</v>
      </c>
      <c r="E1458" s="9">
        <f t="shared" si="66"/>
        <v>-1.4557102462536201E-2</v>
      </c>
      <c r="F1458" s="45">
        <f t="shared" si="67"/>
        <v>6.6427388224425274E-2</v>
      </c>
      <c r="G1458" s="9">
        <f t="shared" si="68"/>
        <v>9.2257682884490082E-3</v>
      </c>
    </row>
    <row r="1459" spans="1:7" x14ac:dyDescent="0.2">
      <c r="A1459" s="12">
        <v>39008</v>
      </c>
      <c r="B1459" s="9">
        <v>1092.33</v>
      </c>
      <c r="C1459" s="9">
        <v>1076.82</v>
      </c>
      <c r="D1459" s="9">
        <v>1091.28</v>
      </c>
      <c r="E1459" s="9">
        <f t="shared" si="66"/>
        <v>1.2707776206961932E-2</v>
      </c>
      <c r="F1459" s="45">
        <f t="shared" si="67"/>
        <v>8.5413198572468652E-2</v>
      </c>
      <c r="G1459" s="9">
        <f t="shared" si="68"/>
        <v>9.2741933233489414E-3</v>
      </c>
    </row>
    <row r="1460" spans="1:7" x14ac:dyDescent="0.2">
      <c r="A1460" s="12">
        <v>39009</v>
      </c>
      <c r="B1460" s="9">
        <v>1095.3399999999999</v>
      </c>
      <c r="C1460" s="9">
        <v>1087.6500000000001</v>
      </c>
      <c r="D1460" s="9">
        <v>1089.8900000000001</v>
      </c>
      <c r="E1460" s="9">
        <f t="shared" si="66"/>
        <v>-1.274545485374537E-3</v>
      </c>
      <c r="F1460" s="45">
        <f t="shared" si="67"/>
        <v>9.6601969773864246E-2</v>
      </c>
      <c r="G1460" s="9">
        <f t="shared" si="68"/>
        <v>8.8526543712077813E-3</v>
      </c>
    </row>
    <row r="1461" spans="1:7" x14ac:dyDescent="0.2">
      <c r="A1461" s="12">
        <v>39010</v>
      </c>
      <c r="B1461" s="9">
        <v>1098.3900000000001</v>
      </c>
      <c r="C1461" s="9">
        <v>1089.9100000000001</v>
      </c>
      <c r="D1461" s="9">
        <v>1094.22</v>
      </c>
      <c r="E1461" s="9">
        <f t="shared" si="66"/>
        <v>3.9650069573055682E-3</v>
      </c>
      <c r="F1461" s="45">
        <f t="shared" si="67"/>
        <v>9.096220413440062E-2</v>
      </c>
      <c r="G1461" s="9">
        <f t="shared" si="68"/>
        <v>8.7719093506837351E-3</v>
      </c>
    </row>
    <row r="1462" spans="1:7" x14ac:dyDescent="0.2">
      <c r="A1462" s="12">
        <v>39013</v>
      </c>
      <c r="B1462" s="9">
        <v>1101.92</v>
      </c>
      <c r="C1462" s="9">
        <v>1089.82</v>
      </c>
      <c r="D1462" s="9">
        <v>1099.1600000000001</v>
      </c>
      <c r="E1462" s="9">
        <f t="shared" si="66"/>
        <v>4.5044710472610695E-3</v>
      </c>
      <c r="F1462" s="45">
        <f t="shared" si="67"/>
        <v>0.10146009736603295</v>
      </c>
      <c r="G1462" s="9">
        <f t="shared" si="68"/>
        <v>8.6072949682152664E-3</v>
      </c>
    </row>
    <row r="1463" spans="1:7" x14ac:dyDescent="0.2">
      <c r="A1463" s="12">
        <v>39014</v>
      </c>
      <c r="B1463" s="9">
        <v>1101.98</v>
      </c>
      <c r="C1463" s="9">
        <v>1093.8800000000001</v>
      </c>
      <c r="D1463" s="9">
        <v>1097.79</v>
      </c>
      <c r="E1463" s="9">
        <f t="shared" si="66"/>
        <v>-1.2471837571020204E-3</v>
      </c>
      <c r="F1463" s="45">
        <f t="shared" si="67"/>
        <v>8.1676868137029818E-2</v>
      </c>
      <c r="G1463" s="9">
        <f t="shared" si="68"/>
        <v>8.1520439112031523E-3</v>
      </c>
    </row>
    <row r="1464" spans="1:7" x14ac:dyDescent="0.2">
      <c r="A1464" s="12">
        <v>39015</v>
      </c>
      <c r="B1464" s="9">
        <v>1107.82</v>
      </c>
      <c r="C1464" s="9">
        <v>1097.27</v>
      </c>
      <c r="D1464" s="9">
        <v>1099.81</v>
      </c>
      <c r="E1464" s="9">
        <f t="shared" si="66"/>
        <v>1.838369647706368E-3</v>
      </c>
      <c r="F1464" s="45">
        <f t="shared" si="67"/>
        <v>7.3238968911408228E-2</v>
      </c>
      <c r="G1464" s="9">
        <f t="shared" si="68"/>
        <v>8.0270422682150334E-3</v>
      </c>
    </row>
    <row r="1465" spans="1:7" x14ac:dyDescent="0.2">
      <c r="A1465" s="12">
        <v>39016</v>
      </c>
      <c r="B1465" s="9">
        <v>1106.8399999999999</v>
      </c>
      <c r="C1465" s="9">
        <v>1093.67</v>
      </c>
      <c r="D1465" s="9">
        <v>1094.6199999999999</v>
      </c>
      <c r="E1465" s="9">
        <f t="shared" si="66"/>
        <v>-4.7301665370570517E-3</v>
      </c>
      <c r="F1465" s="45">
        <f t="shared" si="67"/>
        <v>6.2918571183094449E-2</v>
      </c>
      <c r="G1465" s="9">
        <f t="shared" si="68"/>
        <v>8.1081751195477524E-3</v>
      </c>
    </row>
    <row r="1466" spans="1:7" x14ac:dyDescent="0.2">
      <c r="A1466" s="12">
        <v>39017</v>
      </c>
      <c r="B1466" s="9">
        <v>1099.17</v>
      </c>
      <c r="C1466" s="9">
        <v>1081.6400000000001</v>
      </c>
      <c r="D1466" s="9">
        <v>1088.3</v>
      </c>
      <c r="E1466" s="9">
        <f t="shared" si="66"/>
        <v>-5.7904253555882586E-3</v>
      </c>
      <c r="F1466" s="45">
        <f t="shared" si="67"/>
        <v>5.9465801639915904E-2</v>
      </c>
      <c r="G1466" s="9">
        <f t="shared" si="68"/>
        <v>8.1973134824935238E-3</v>
      </c>
    </row>
    <row r="1467" spans="1:7" x14ac:dyDescent="0.2">
      <c r="A1467" s="12">
        <v>39020</v>
      </c>
      <c r="B1467" s="9">
        <v>1087.0999999999999</v>
      </c>
      <c r="C1467" s="9">
        <v>1076.98</v>
      </c>
      <c r="D1467" s="9">
        <v>1082.8699999999999</v>
      </c>
      <c r="E1467" s="9">
        <f t="shared" si="66"/>
        <v>-5.0019218404761586E-3</v>
      </c>
      <c r="F1467" s="45">
        <f t="shared" si="67"/>
        <v>4.8009673352964542E-2</v>
      </c>
      <c r="G1467" s="9">
        <f t="shared" si="68"/>
        <v>8.2484830450635475E-3</v>
      </c>
    </row>
    <row r="1468" spans="1:7" x14ac:dyDescent="0.2">
      <c r="A1468" s="12">
        <v>39021</v>
      </c>
      <c r="B1468" s="9">
        <v>1089.08</v>
      </c>
      <c r="C1468" s="9">
        <v>1082.8800000000001</v>
      </c>
      <c r="D1468" s="9">
        <v>1085.56</v>
      </c>
      <c r="E1468" s="9">
        <f t="shared" si="66"/>
        <v>2.4810589965019157E-3</v>
      </c>
      <c r="F1468" s="45">
        <f t="shared" si="67"/>
        <v>5.5755947544064294E-2</v>
      </c>
      <c r="G1468" s="9">
        <f t="shared" si="68"/>
        <v>8.1467713824777983E-3</v>
      </c>
    </row>
    <row r="1469" spans="1:7" x14ac:dyDescent="0.2">
      <c r="A1469" s="12">
        <v>39022</v>
      </c>
      <c r="B1469" s="9">
        <v>1096.8699999999999</v>
      </c>
      <c r="C1469" s="9">
        <v>1085.06</v>
      </c>
      <c r="D1469" s="9">
        <v>1094.9100000000001</v>
      </c>
      <c r="E1469" s="9">
        <f t="shared" si="66"/>
        <v>8.5761852338082402E-3</v>
      </c>
      <c r="F1469" s="45">
        <f t="shared" si="67"/>
        <v>5.1480301526335918E-2</v>
      </c>
      <c r="G1469" s="9">
        <f t="shared" si="68"/>
        <v>7.9835855226981535E-3</v>
      </c>
    </row>
    <row r="1470" spans="1:7" x14ac:dyDescent="0.2">
      <c r="A1470" s="12">
        <v>39023</v>
      </c>
      <c r="B1470" s="9">
        <v>1093.8900000000001</v>
      </c>
      <c r="C1470" s="9">
        <v>1075.2</v>
      </c>
      <c r="D1470" s="9">
        <v>1084.96</v>
      </c>
      <c r="E1470" s="9">
        <f t="shared" si="66"/>
        <v>-9.1290481563177719E-3</v>
      </c>
      <c r="F1470" s="45">
        <f t="shared" si="67"/>
        <v>4.128448408983295E-2</v>
      </c>
      <c r="G1470" s="9">
        <f t="shared" si="68"/>
        <v>8.2255282057582535E-3</v>
      </c>
    </row>
    <row r="1471" spans="1:7" x14ac:dyDescent="0.2">
      <c r="A1471" s="12">
        <v>39024</v>
      </c>
      <c r="B1471" s="9">
        <v>1087.31</v>
      </c>
      <c r="C1471" s="9">
        <v>1081.3399999999999</v>
      </c>
      <c r="D1471" s="9">
        <v>1084.8599999999999</v>
      </c>
      <c r="E1471" s="9">
        <f t="shared" si="66"/>
        <v>-9.2173544414712733E-5</v>
      </c>
      <c r="F1471" s="45">
        <f t="shared" si="67"/>
        <v>5.3164798308478596E-2</v>
      </c>
      <c r="G1471" s="9">
        <f t="shared" si="68"/>
        <v>7.8375428091806195E-3</v>
      </c>
    </row>
    <row r="1472" spans="1:7" x14ac:dyDescent="0.2">
      <c r="A1472" s="12">
        <v>39027</v>
      </c>
      <c r="B1472" s="9">
        <v>1102.8599999999999</v>
      </c>
      <c r="C1472" s="9">
        <v>1085.1600000000001</v>
      </c>
      <c r="D1472" s="9">
        <v>1102.8599999999999</v>
      </c>
      <c r="E1472" s="9">
        <f t="shared" ref="E1472:E1535" si="69">LN(D1472/D1471)</f>
        <v>1.6455859242610421E-2</v>
      </c>
      <c r="F1472" s="45">
        <f t="shared" si="67"/>
        <v>8.07055983318158E-2</v>
      </c>
      <c r="G1472" s="9">
        <f t="shared" si="68"/>
        <v>7.8923971239232317E-3</v>
      </c>
    </row>
    <row r="1473" spans="1:7" x14ac:dyDescent="0.2">
      <c r="A1473" s="12">
        <v>39028</v>
      </c>
      <c r="B1473" s="9">
        <v>1110.23</v>
      </c>
      <c r="C1473" s="9">
        <v>1103.45</v>
      </c>
      <c r="D1473" s="9">
        <v>1108.71</v>
      </c>
      <c r="E1473" s="9">
        <f t="shared" si="69"/>
        <v>5.2903716763743449E-3</v>
      </c>
      <c r="F1473" s="45">
        <f t="shared" si="67"/>
        <v>7.8309461820186138E-2</v>
      </c>
      <c r="G1473" s="9">
        <f t="shared" si="68"/>
        <v>7.85211236508538E-3</v>
      </c>
    </row>
    <row r="1474" spans="1:7" x14ac:dyDescent="0.2">
      <c r="A1474" s="12">
        <v>39029</v>
      </c>
      <c r="B1474" s="9">
        <v>1109.73</v>
      </c>
      <c r="C1474" s="9">
        <v>1101.8599999999999</v>
      </c>
      <c r="D1474" s="9">
        <v>1107.58</v>
      </c>
      <c r="E1474" s="9">
        <f t="shared" si="69"/>
        <v>-1.0197222366367035E-3</v>
      </c>
      <c r="F1474" s="45">
        <f t="shared" si="67"/>
        <v>6.2331937169204994E-2</v>
      </c>
      <c r="G1474" s="9">
        <f t="shared" si="68"/>
        <v>7.5205964323284283E-3</v>
      </c>
    </row>
    <row r="1475" spans="1:7" x14ac:dyDescent="0.2">
      <c r="A1475" s="12">
        <v>39030</v>
      </c>
      <c r="B1475" s="9">
        <v>1116.8599999999999</v>
      </c>
      <c r="C1475" s="9">
        <v>1106.07</v>
      </c>
      <c r="D1475" s="9">
        <v>1107.17</v>
      </c>
      <c r="E1475" s="9">
        <f t="shared" si="69"/>
        <v>-3.7024495286912577E-4</v>
      </c>
      <c r="F1475" s="45">
        <f t="shared" si="67"/>
        <v>6.3837278886830592E-2</v>
      </c>
      <c r="G1475" s="9">
        <f t="shared" si="68"/>
        <v>7.4982988416918287E-3</v>
      </c>
    </row>
    <row r="1476" spans="1:7" x14ac:dyDescent="0.2">
      <c r="A1476" s="12">
        <v>39031</v>
      </c>
      <c r="B1476" s="9">
        <v>1105.9100000000001</v>
      </c>
      <c r="C1476" s="9">
        <v>1095.45</v>
      </c>
      <c r="D1476" s="9">
        <v>1099.3699999999999</v>
      </c>
      <c r="E1476" s="9">
        <f t="shared" si="69"/>
        <v>-7.0699216777744432E-3</v>
      </c>
      <c r="F1476" s="45">
        <f t="shared" si="67"/>
        <v>5.6151392145596918E-2</v>
      </c>
      <c r="G1476" s="9">
        <f t="shared" si="68"/>
        <v>7.6808205024994662E-3</v>
      </c>
    </row>
    <row r="1477" spans="1:7" x14ac:dyDescent="0.2">
      <c r="A1477" s="12">
        <v>39034</v>
      </c>
      <c r="B1477" s="9">
        <v>1107.04</v>
      </c>
      <c r="C1477" s="9">
        <v>1097.01</v>
      </c>
      <c r="D1477" s="9">
        <v>1106.5899999999999</v>
      </c>
      <c r="E1477" s="9">
        <f t="shared" si="69"/>
        <v>6.5459262913992143E-3</v>
      </c>
      <c r="F1477" s="45">
        <f t="shared" si="67"/>
        <v>5.8836940089328951E-2</v>
      </c>
      <c r="G1477" s="9">
        <f t="shared" si="68"/>
        <v>7.7203452178693658E-3</v>
      </c>
    </row>
    <row r="1478" spans="1:7" x14ac:dyDescent="0.2">
      <c r="A1478" s="12">
        <v>39035</v>
      </c>
      <c r="B1478" s="9">
        <v>1113.3399999999999</v>
      </c>
      <c r="C1478" s="9">
        <v>1101.6400000000001</v>
      </c>
      <c r="D1478" s="9">
        <v>1103.27</v>
      </c>
      <c r="E1478" s="9">
        <f t="shared" si="69"/>
        <v>-3.0047174914580544E-3</v>
      </c>
      <c r="F1478" s="45">
        <f t="shared" si="67"/>
        <v>6.4698663997430308E-2</v>
      </c>
      <c r="G1478" s="9">
        <f t="shared" si="68"/>
        <v>7.508122043972428E-3</v>
      </c>
    </row>
    <row r="1479" spans="1:7" x14ac:dyDescent="0.2">
      <c r="A1479" s="12">
        <v>39036</v>
      </c>
      <c r="B1479" s="9">
        <v>1118.0999999999999</v>
      </c>
      <c r="C1479" s="9">
        <v>1105.67</v>
      </c>
      <c r="D1479" s="9">
        <v>1117.95</v>
      </c>
      <c r="E1479" s="9">
        <f t="shared" si="69"/>
        <v>1.321815375304968E-2</v>
      </c>
      <c r="F1479" s="45">
        <f t="shared" si="67"/>
        <v>6.5691891113190043E-2</v>
      </c>
      <c r="G1479" s="9">
        <f t="shared" si="68"/>
        <v>7.5560864825953327E-3</v>
      </c>
    </row>
    <row r="1480" spans="1:7" x14ac:dyDescent="0.2">
      <c r="A1480" s="12">
        <v>39037</v>
      </c>
      <c r="B1480" s="9">
        <v>1121.76</v>
      </c>
      <c r="C1480" s="9">
        <v>1112.2</v>
      </c>
      <c r="D1480" s="9">
        <v>1112.24</v>
      </c>
      <c r="E1480" s="9">
        <f t="shared" si="69"/>
        <v>-5.1206511345247094E-3</v>
      </c>
      <c r="F1480" s="45">
        <f t="shared" si="67"/>
        <v>4.7786388468990811E-2</v>
      </c>
      <c r="G1480" s="9">
        <f t="shared" si="68"/>
        <v>7.3957979824730343E-3</v>
      </c>
    </row>
    <row r="1481" spans="1:7" x14ac:dyDescent="0.2">
      <c r="A1481" s="12">
        <v>39038</v>
      </c>
      <c r="B1481" s="9">
        <v>1113.8399999999999</v>
      </c>
      <c r="C1481" s="9">
        <v>1096.94</v>
      </c>
      <c r="D1481" s="9">
        <v>1098.82</v>
      </c>
      <c r="E1481" s="9">
        <f t="shared" si="69"/>
        <v>-1.2139123131263559E-2</v>
      </c>
      <c r="F1481" s="45">
        <f t="shared" si="67"/>
        <v>3.6137794364241048E-2</v>
      </c>
      <c r="G1481" s="9">
        <f t="shared" si="68"/>
        <v>7.8034946250058858E-3</v>
      </c>
    </row>
    <row r="1482" spans="1:7" x14ac:dyDescent="0.2">
      <c r="A1482" s="12">
        <v>39041</v>
      </c>
      <c r="B1482" s="9">
        <v>1108.27</v>
      </c>
      <c r="C1482" s="9">
        <v>1090.51</v>
      </c>
      <c r="D1482" s="9">
        <v>1106.54</v>
      </c>
      <c r="E1482" s="9">
        <f t="shared" si="69"/>
        <v>7.0011531302773848E-3</v>
      </c>
      <c r="F1482" s="45">
        <f t="shared" si="67"/>
        <v>3.6452664209211665E-2</v>
      </c>
      <c r="G1482" s="9">
        <f t="shared" si="68"/>
        <v>7.8113295230518741E-3</v>
      </c>
    </row>
    <row r="1483" spans="1:7" x14ac:dyDescent="0.2">
      <c r="A1483" s="12">
        <v>39042</v>
      </c>
      <c r="B1483" s="9">
        <v>1111.45</v>
      </c>
      <c r="C1483" s="9">
        <v>1101.58</v>
      </c>
      <c r="D1483" s="9">
        <v>1109.55</v>
      </c>
      <c r="E1483" s="9">
        <f t="shared" si="69"/>
        <v>2.716497841684512E-3</v>
      </c>
      <c r="F1483" s="45">
        <f t="shared" si="67"/>
        <v>3.5081663433473964E-2</v>
      </c>
      <c r="G1483" s="9">
        <f t="shared" si="68"/>
        <v>7.7979441030905147E-3</v>
      </c>
    </row>
    <row r="1484" spans="1:7" x14ac:dyDescent="0.2">
      <c r="A1484" s="12">
        <v>39043</v>
      </c>
      <c r="B1484" s="9">
        <v>1119.3499999999999</v>
      </c>
      <c r="C1484" s="9">
        <v>1105.22</v>
      </c>
      <c r="D1484" s="9">
        <v>1107.53</v>
      </c>
      <c r="E1484" s="9">
        <f t="shared" si="69"/>
        <v>-1.8222171134524531E-3</v>
      </c>
      <c r="F1484" s="45">
        <f t="shared" si="67"/>
        <v>2.501387445010704E-2</v>
      </c>
      <c r="G1484" s="9">
        <f t="shared" si="68"/>
        <v>7.6989222137949535E-3</v>
      </c>
    </row>
    <row r="1485" spans="1:7" x14ac:dyDescent="0.2">
      <c r="A1485" s="12">
        <v>39044</v>
      </c>
      <c r="B1485" s="9">
        <v>1111.28</v>
      </c>
      <c r="C1485" s="9">
        <v>1103.76</v>
      </c>
      <c r="D1485" s="9">
        <v>1108.6500000000001</v>
      </c>
      <c r="E1485" s="9">
        <f t="shared" si="69"/>
        <v>1.0107483104716563E-3</v>
      </c>
      <c r="F1485" s="45">
        <f t="shared" si="67"/>
        <v>1.0317782110130477E-2</v>
      </c>
      <c r="G1485" s="9">
        <f t="shared" si="68"/>
        <v>7.1692671988200403E-3</v>
      </c>
    </row>
    <row r="1486" spans="1:7" x14ac:dyDescent="0.2">
      <c r="A1486" s="12">
        <v>39045</v>
      </c>
      <c r="B1486" s="9">
        <v>1107.75</v>
      </c>
      <c r="C1486" s="9">
        <v>1088.21</v>
      </c>
      <c r="D1486" s="9">
        <v>1089.75</v>
      </c>
      <c r="E1486" s="9">
        <f t="shared" si="69"/>
        <v>-1.7194746780503541E-2</v>
      </c>
      <c r="F1486" s="45">
        <f t="shared" si="67"/>
        <v>-2.1724492587626145E-3</v>
      </c>
      <c r="G1486" s="9">
        <f t="shared" si="68"/>
        <v>7.8068746469844505E-3</v>
      </c>
    </row>
    <row r="1487" spans="1:7" x14ac:dyDescent="0.2">
      <c r="A1487" s="12">
        <v>39048</v>
      </c>
      <c r="B1487" s="9">
        <v>1090.0899999999999</v>
      </c>
      <c r="C1487" s="9">
        <v>1057.8900000000001</v>
      </c>
      <c r="D1487" s="9">
        <v>1058.07</v>
      </c>
      <c r="E1487" s="9">
        <f t="shared" si="69"/>
        <v>-2.9501818318015245E-2</v>
      </c>
      <c r="F1487" s="45">
        <f t="shared" si="67"/>
        <v>-3.2754151639952295E-2</v>
      </c>
      <c r="G1487" s="9">
        <f t="shared" si="68"/>
        <v>9.4705692303797238E-3</v>
      </c>
    </row>
    <row r="1488" spans="1:7" x14ac:dyDescent="0.2">
      <c r="A1488" s="12">
        <v>39049</v>
      </c>
      <c r="B1488" s="9">
        <v>1066.3900000000001</v>
      </c>
      <c r="C1488" s="9">
        <v>1043.72</v>
      </c>
      <c r="D1488" s="9">
        <v>1061.8699999999999</v>
      </c>
      <c r="E1488" s="9">
        <f t="shared" si="69"/>
        <v>3.585010962475454E-3</v>
      </c>
      <c r="F1488" s="45">
        <f t="shared" si="67"/>
        <v>-1.4612038214940589E-2</v>
      </c>
      <c r="G1488" s="9">
        <f t="shared" si="68"/>
        <v>9.1550738322288255E-3</v>
      </c>
    </row>
    <row r="1489" spans="1:7" x14ac:dyDescent="0.2">
      <c r="A1489" s="12">
        <v>39050</v>
      </c>
      <c r="B1489" s="9">
        <v>1085.56</v>
      </c>
      <c r="C1489" s="9">
        <v>1063.07</v>
      </c>
      <c r="D1489" s="9">
        <v>1085.1400000000001</v>
      </c>
      <c r="E1489" s="9">
        <f t="shared" si="69"/>
        <v>2.1677506145716414E-2</v>
      </c>
      <c r="F1489" s="45">
        <f t="shared" si="67"/>
        <v>-5.6423082761860085E-3</v>
      </c>
      <c r="G1489" s="9">
        <f t="shared" si="68"/>
        <v>9.7293166878733468E-3</v>
      </c>
    </row>
    <row r="1490" spans="1:7" x14ac:dyDescent="0.2">
      <c r="A1490" s="12">
        <v>39051</v>
      </c>
      <c r="B1490" s="9">
        <v>1088.46</v>
      </c>
      <c r="C1490" s="9">
        <v>1067.94</v>
      </c>
      <c r="D1490" s="9">
        <v>1068.07</v>
      </c>
      <c r="E1490" s="9">
        <f t="shared" si="69"/>
        <v>-1.5855729465230825E-2</v>
      </c>
      <c r="F1490" s="45">
        <f t="shared" si="67"/>
        <v>-2.0223492256042391E-2</v>
      </c>
      <c r="G1490" s="9">
        <f t="shared" si="68"/>
        <v>1.0140965716063818E-2</v>
      </c>
    </row>
    <row r="1491" spans="1:7" x14ac:dyDescent="0.2">
      <c r="A1491" s="12">
        <v>39052</v>
      </c>
      <c r="B1491" s="9">
        <v>1078.97</v>
      </c>
      <c r="C1491" s="9">
        <v>1055.49</v>
      </c>
      <c r="D1491" s="9">
        <v>1059.8399999999999</v>
      </c>
      <c r="E1491" s="9">
        <f t="shared" si="69"/>
        <v>-7.73532812666251E-3</v>
      </c>
      <c r="F1491" s="45">
        <f t="shared" si="67"/>
        <v>-3.1923827340010459E-2</v>
      </c>
      <c r="G1491" s="9">
        <f t="shared" si="68"/>
        <v>1.0181308715979919E-2</v>
      </c>
    </row>
    <row r="1492" spans="1:7" x14ac:dyDescent="0.2">
      <c r="A1492" s="12">
        <v>39055</v>
      </c>
      <c r="B1492" s="9">
        <v>1075.3900000000001</v>
      </c>
      <c r="C1492" s="9">
        <v>1057.8900000000001</v>
      </c>
      <c r="D1492" s="9">
        <v>1074.67</v>
      </c>
      <c r="E1492" s="9">
        <f t="shared" si="69"/>
        <v>1.3895684373786184E-2</v>
      </c>
      <c r="F1492" s="45">
        <f t="shared" si="67"/>
        <v>-2.2532614013485251E-2</v>
      </c>
      <c r="G1492" s="9">
        <f t="shared" si="68"/>
        <v>1.0497880280823603E-2</v>
      </c>
    </row>
    <row r="1493" spans="1:7" x14ac:dyDescent="0.2">
      <c r="A1493" s="12">
        <v>39056</v>
      </c>
      <c r="B1493" s="9">
        <v>1090.1099999999999</v>
      </c>
      <c r="C1493" s="9">
        <v>1075.27</v>
      </c>
      <c r="D1493" s="9">
        <v>1089.6199999999999</v>
      </c>
      <c r="E1493" s="9">
        <f t="shared" si="69"/>
        <v>1.3815373895983666E-2</v>
      </c>
      <c r="F1493" s="45">
        <f t="shared" si="67"/>
        <v>-7.4700563603995835E-3</v>
      </c>
      <c r="G1493" s="9">
        <f t="shared" si="68"/>
        <v>1.0828334810523307E-2</v>
      </c>
    </row>
    <row r="1494" spans="1:7" x14ac:dyDescent="0.2">
      <c r="A1494" s="12">
        <v>39057</v>
      </c>
      <c r="B1494" s="9">
        <v>1092.31</v>
      </c>
      <c r="C1494" s="9">
        <v>1084.53</v>
      </c>
      <c r="D1494" s="9">
        <v>1086.48</v>
      </c>
      <c r="E1494" s="9">
        <f t="shared" si="69"/>
        <v>-2.885898790742449E-3</v>
      </c>
      <c r="F1494" s="45">
        <f t="shared" si="67"/>
        <v>-1.2194324798848332E-2</v>
      </c>
      <c r="G1494" s="9">
        <f t="shared" si="68"/>
        <v>1.0831283485977502E-2</v>
      </c>
    </row>
    <row r="1495" spans="1:7" x14ac:dyDescent="0.2">
      <c r="A1495" s="12">
        <v>39058</v>
      </c>
      <c r="B1495" s="9">
        <v>1097.7</v>
      </c>
      <c r="C1495" s="9">
        <v>1083.3</v>
      </c>
      <c r="D1495" s="9">
        <v>1096.19</v>
      </c>
      <c r="E1495" s="9">
        <f t="shared" si="69"/>
        <v>8.8974183516781317E-3</v>
      </c>
      <c r="F1495" s="45">
        <f t="shared" si="67"/>
        <v>1.433260089886787E-3</v>
      </c>
      <c r="G1495" s="9">
        <f t="shared" si="68"/>
        <v>1.09290220697083E-2</v>
      </c>
    </row>
    <row r="1496" spans="1:7" x14ac:dyDescent="0.2">
      <c r="A1496" s="12">
        <v>39059</v>
      </c>
      <c r="B1496" s="9">
        <v>1097.22</v>
      </c>
      <c r="C1496" s="9">
        <v>1087.01</v>
      </c>
      <c r="D1496" s="9">
        <v>1095.93</v>
      </c>
      <c r="E1496" s="9">
        <f t="shared" si="69"/>
        <v>-2.372132923554877E-4</v>
      </c>
      <c r="F1496" s="45">
        <f t="shared" si="67"/>
        <v>6.9864721531195861E-3</v>
      </c>
      <c r="G1496" s="9">
        <f t="shared" si="68"/>
        <v>1.0873617028190731E-2</v>
      </c>
    </row>
    <row r="1497" spans="1:7" x14ac:dyDescent="0.2">
      <c r="A1497" s="12">
        <v>39062</v>
      </c>
      <c r="B1497" s="9">
        <v>1111.5899999999999</v>
      </c>
      <c r="C1497" s="9">
        <v>1097.1300000000001</v>
      </c>
      <c r="D1497" s="9">
        <v>1111.5899999999999</v>
      </c>
      <c r="E1497" s="9">
        <f t="shared" si="69"/>
        <v>1.4188104931006914E-2</v>
      </c>
      <c r="F1497" s="45">
        <f t="shared" si="67"/>
        <v>2.6176498924602481E-2</v>
      </c>
      <c r="G1497" s="9">
        <f t="shared" si="68"/>
        <v>1.1116779324085359E-2</v>
      </c>
    </row>
    <row r="1498" spans="1:7" x14ac:dyDescent="0.2">
      <c r="A1498" s="12">
        <v>39063</v>
      </c>
      <c r="B1498" s="9">
        <v>1130.03</v>
      </c>
      <c r="C1498" s="9">
        <v>1109.73</v>
      </c>
      <c r="D1498" s="9">
        <v>1130.03</v>
      </c>
      <c r="E1498" s="9">
        <f t="shared" si="69"/>
        <v>1.645275824040061E-2</v>
      </c>
      <c r="F1498" s="45">
        <f t="shared" si="67"/>
        <v>4.0148198168501223E-2</v>
      </c>
      <c r="G1498" s="9">
        <f t="shared" si="68"/>
        <v>1.1473431582850172E-2</v>
      </c>
    </row>
    <row r="1499" spans="1:7" x14ac:dyDescent="0.2">
      <c r="A1499" s="12">
        <v>39064</v>
      </c>
      <c r="B1499" s="9">
        <v>1132.43</v>
      </c>
      <c r="C1499" s="9">
        <v>1121.55</v>
      </c>
      <c r="D1499" s="9">
        <v>1128.69</v>
      </c>
      <c r="E1499" s="9">
        <f t="shared" si="69"/>
        <v>-1.1865128543649844E-3</v>
      </c>
      <c r="F1499" s="45">
        <f t="shared" si="67"/>
        <v>3.03855000803279E-2</v>
      </c>
      <c r="G1499" s="9">
        <f t="shared" si="68"/>
        <v>1.1399273271746203E-2</v>
      </c>
    </row>
    <row r="1500" spans="1:7" x14ac:dyDescent="0.2">
      <c r="A1500" s="12">
        <v>39065</v>
      </c>
      <c r="B1500" s="9">
        <v>1133.02</v>
      </c>
      <c r="C1500" s="9">
        <v>1119.58</v>
      </c>
      <c r="D1500" s="9">
        <v>1128.93</v>
      </c>
      <c r="E1500" s="9">
        <f t="shared" si="69"/>
        <v>2.1261328381583691E-4</v>
      </c>
      <c r="F1500" s="45">
        <f t="shared" si="67"/>
        <v>3.9727161520461518E-2</v>
      </c>
      <c r="G1500" s="9">
        <f t="shared" si="68"/>
        <v>1.1239144793800724E-2</v>
      </c>
    </row>
    <row r="1501" spans="1:7" x14ac:dyDescent="0.2">
      <c r="A1501" s="12">
        <v>39066</v>
      </c>
      <c r="B1501" s="9">
        <v>1139.54</v>
      </c>
      <c r="C1501" s="9">
        <v>1127.1400000000001</v>
      </c>
      <c r="D1501" s="9">
        <v>1139.05</v>
      </c>
      <c r="E1501" s="9">
        <f t="shared" si="69"/>
        <v>8.9243001839700506E-3</v>
      </c>
      <c r="F1501" s="45">
        <f t="shared" si="67"/>
        <v>4.874363524884625E-2</v>
      </c>
      <c r="G1501" s="9">
        <f t="shared" si="68"/>
        <v>1.1320225586430371E-2</v>
      </c>
    </row>
    <row r="1502" spans="1:7" x14ac:dyDescent="0.2">
      <c r="A1502" s="12">
        <v>39069</v>
      </c>
      <c r="B1502" s="9">
        <v>1144.3900000000001</v>
      </c>
      <c r="C1502" s="9">
        <v>1137.1400000000001</v>
      </c>
      <c r="D1502" s="9">
        <v>1138.82</v>
      </c>
      <c r="E1502" s="9">
        <f t="shared" si="69"/>
        <v>-2.019430439679777E-4</v>
      </c>
      <c r="F1502" s="45">
        <f t="shared" si="67"/>
        <v>3.208583296226801E-2</v>
      </c>
      <c r="G1502" s="9">
        <f t="shared" si="68"/>
        <v>1.097081483592841E-2</v>
      </c>
    </row>
    <row r="1503" spans="1:7" x14ac:dyDescent="0.2">
      <c r="A1503" s="12">
        <v>39070</v>
      </c>
      <c r="B1503" s="9">
        <v>1137.6199999999999</v>
      </c>
      <c r="C1503" s="9">
        <v>1123.67</v>
      </c>
      <c r="D1503" s="9">
        <v>1126.55</v>
      </c>
      <c r="E1503" s="9">
        <f t="shared" si="69"/>
        <v>-1.083277344460102E-2</v>
      </c>
      <c r="F1503" s="45">
        <f t="shared" si="67"/>
        <v>1.5962687841292587E-2</v>
      </c>
      <c r="G1503" s="9">
        <f t="shared" si="68"/>
        <v>1.1150365115277486E-2</v>
      </c>
    </row>
    <row r="1504" spans="1:7" x14ac:dyDescent="0.2">
      <c r="A1504" s="12">
        <v>39071</v>
      </c>
      <c r="B1504" s="9">
        <v>1140.99</v>
      </c>
      <c r="C1504" s="9">
        <v>1128.05</v>
      </c>
      <c r="D1504" s="9">
        <v>1136.45</v>
      </c>
      <c r="E1504" s="9">
        <f t="shared" si="69"/>
        <v>8.7495034527735206E-3</v>
      </c>
      <c r="F1504" s="45">
        <f t="shared" si="67"/>
        <v>2.5731913530702932E-2</v>
      </c>
      <c r="G1504" s="9">
        <f t="shared" si="68"/>
        <v>1.1245727365586126E-2</v>
      </c>
    </row>
    <row r="1505" spans="1:7" x14ac:dyDescent="0.2">
      <c r="A1505" s="12">
        <v>39072</v>
      </c>
      <c r="B1505" s="9">
        <v>1139.32</v>
      </c>
      <c r="C1505" s="9">
        <v>1133.01</v>
      </c>
      <c r="D1505" s="9">
        <v>1138.45</v>
      </c>
      <c r="E1505" s="9">
        <f t="shared" si="69"/>
        <v>1.7583195000054773E-3</v>
      </c>
      <c r="F1505" s="45">
        <f t="shared" ref="F1505:F1568" si="70">LN(D1505/D1475)</f>
        <v>2.7860477983577485E-2</v>
      </c>
      <c r="G1505" s="9">
        <f t="shared" ref="G1505:G1568" si="71">STDEV(E1476:E1505)</f>
        <v>1.1244427349723777E-2</v>
      </c>
    </row>
    <row r="1506" spans="1:7" x14ac:dyDescent="0.2">
      <c r="A1506" s="12">
        <v>39073</v>
      </c>
      <c r="B1506" s="9">
        <v>1145.02</v>
      </c>
      <c r="C1506" s="9">
        <v>1138</v>
      </c>
      <c r="D1506" s="9">
        <v>1141.49</v>
      </c>
      <c r="E1506" s="9">
        <f t="shared" si="69"/>
        <v>2.6667384243254225E-3</v>
      </c>
      <c r="F1506" s="45">
        <f t="shared" si="70"/>
        <v>3.7597138085677315E-2</v>
      </c>
      <c r="G1506" s="9">
        <f t="shared" si="71"/>
        <v>1.1145681595998234E-2</v>
      </c>
    </row>
    <row r="1507" spans="1:7" x14ac:dyDescent="0.2">
      <c r="A1507" s="12">
        <v>39078</v>
      </c>
      <c r="B1507" s="9">
        <v>1151.1099999999999</v>
      </c>
      <c r="C1507" s="9">
        <v>1141.79</v>
      </c>
      <c r="D1507" s="9">
        <v>1150.25</v>
      </c>
      <c r="E1507" s="9">
        <f t="shared" si="69"/>
        <v>7.6448835070787417E-3</v>
      </c>
      <c r="F1507" s="45">
        <f t="shared" si="70"/>
        <v>3.8696095301356918E-2</v>
      </c>
      <c r="G1507" s="9">
        <f t="shared" si="71"/>
        <v>1.1165465005869514E-2</v>
      </c>
    </row>
    <row r="1508" spans="1:7" x14ac:dyDescent="0.2">
      <c r="A1508" s="12">
        <v>39079</v>
      </c>
      <c r="B1508" s="9">
        <v>1151.1199999999999</v>
      </c>
      <c r="C1508" s="9">
        <v>1145.22</v>
      </c>
      <c r="D1508" s="9">
        <v>1150.07</v>
      </c>
      <c r="E1508" s="9">
        <f t="shared" si="69"/>
        <v>-1.5649996554173144E-4</v>
      </c>
      <c r="F1508" s="45">
        <f t="shared" si="70"/>
        <v>4.154431282727325E-2</v>
      </c>
      <c r="G1508" s="9">
        <f t="shared" si="71"/>
        <v>1.113976838261877E-2</v>
      </c>
    </row>
    <row r="1509" spans="1:7" x14ac:dyDescent="0.2">
      <c r="A1509" s="12">
        <v>39080</v>
      </c>
      <c r="B1509" s="9">
        <v>1153.1600000000001</v>
      </c>
      <c r="C1509" s="9">
        <v>1146.81</v>
      </c>
      <c r="D1509" s="9">
        <v>1147.27</v>
      </c>
      <c r="E1509" s="9">
        <f t="shared" si="69"/>
        <v>-2.4376029551090063E-3</v>
      </c>
      <c r="F1509" s="45">
        <f t="shared" si="70"/>
        <v>2.5888556119114718E-2</v>
      </c>
      <c r="G1509" s="9">
        <f t="shared" si="71"/>
        <v>1.0931055866184073E-2</v>
      </c>
    </row>
    <row r="1510" spans="1:7" x14ac:dyDescent="0.2">
      <c r="A1510" s="12">
        <v>39084</v>
      </c>
      <c r="B1510" s="9">
        <v>1164.3699999999999</v>
      </c>
      <c r="C1510" s="9">
        <v>1147.1400000000001</v>
      </c>
      <c r="D1510" s="9">
        <v>1164.1199999999999</v>
      </c>
      <c r="E1510" s="9">
        <f t="shared" si="69"/>
        <v>1.4580229646265177E-2</v>
      </c>
      <c r="F1510" s="45">
        <f t="shared" si="70"/>
        <v>4.5589436899904509E-2</v>
      </c>
      <c r="G1510" s="9">
        <f t="shared" si="71"/>
        <v>1.1148796444509113E-2</v>
      </c>
    </row>
    <row r="1511" spans="1:7" x14ac:dyDescent="0.2">
      <c r="A1511" s="12">
        <v>39085</v>
      </c>
      <c r="B1511" s="9">
        <v>1164.3800000000001</v>
      </c>
      <c r="C1511" s="9">
        <v>1151.02</v>
      </c>
      <c r="D1511" s="9">
        <v>1158.3800000000001</v>
      </c>
      <c r="E1511" s="9">
        <f t="shared" si="69"/>
        <v>-4.9429594721556941E-3</v>
      </c>
      <c r="F1511" s="45">
        <f t="shared" si="70"/>
        <v>5.2785600559012449E-2</v>
      </c>
      <c r="G1511" s="9">
        <f t="shared" si="71"/>
        <v>1.0919851128887801E-2</v>
      </c>
    </row>
    <row r="1512" spans="1:7" x14ac:dyDescent="0.2">
      <c r="A1512" s="12">
        <v>39086</v>
      </c>
      <c r="B1512" s="9">
        <v>1156.8699999999999</v>
      </c>
      <c r="C1512" s="9">
        <v>1140.93</v>
      </c>
      <c r="D1512" s="9">
        <v>1149.58</v>
      </c>
      <c r="E1512" s="9">
        <f t="shared" si="69"/>
        <v>-7.6258190311592373E-3</v>
      </c>
      <c r="F1512" s="45">
        <f t="shared" si="70"/>
        <v>3.8158628397575743E-2</v>
      </c>
      <c r="G1512" s="9">
        <f t="shared" si="71"/>
        <v>1.1003964132969248E-2</v>
      </c>
    </row>
    <row r="1513" spans="1:7" x14ac:dyDescent="0.2">
      <c r="A1513" s="12">
        <v>39087</v>
      </c>
      <c r="B1513" s="9">
        <v>1148.53</v>
      </c>
      <c r="C1513" s="9">
        <v>1138.06</v>
      </c>
      <c r="D1513" s="9">
        <v>1147.22</v>
      </c>
      <c r="E1513" s="9">
        <f t="shared" si="69"/>
        <v>-2.055033812744154E-3</v>
      </c>
      <c r="F1513" s="45">
        <f t="shared" si="70"/>
        <v>3.3387096743146931E-2</v>
      </c>
      <c r="G1513" s="9">
        <f t="shared" si="71"/>
        <v>1.1016841025218391E-2</v>
      </c>
    </row>
    <row r="1514" spans="1:7" x14ac:dyDescent="0.2">
      <c r="A1514" s="12">
        <v>39090</v>
      </c>
      <c r="B1514" s="9">
        <v>1151.17</v>
      </c>
      <c r="C1514" s="9">
        <v>1140.1600000000001</v>
      </c>
      <c r="D1514" s="9">
        <v>1144.48</v>
      </c>
      <c r="E1514" s="9">
        <f t="shared" si="69"/>
        <v>-2.3912390850594906E-3</v>
      </c>
      <c r="F1514" s="45">
        <f t="shared" si="70"/>
        <v>3.2818074771539918E-2</v>
      </c>
      <c r="G1514" s="9">
        <f t="shared" si="71"/>
        <v>1.1022556947450675E-2</v>
      </c>
    </row>
    <row r="1515" spans="1:7" x14ac:dyDescent="0.2">
      <c r="A1515" s="12">
        <v>39091</v>
      </c>
      <c r="B1515" s="9">
        <v>1153.6600000000001</v>
      </c>
      <c r="C1515" s="9">
        <v>1142.97</v>
      </c>
      <c r="D1515" s="9">
        <v>1143.0899999999999</v>
      </c>
      <c r="E1515" s="9">
        <f t="shared" si="69"/>
        <v>-1.2152635076262837E-3</v>
      </c>
      <c r="F1515" s="45">
        <f t="shared" si="70"/>
        <v>3.0592062953441895E-2</v>
      </c>
      <c r="G1515" s="9">
        <f t="shared" si="71"/>
        <v>1.1030625702980888E-2</v>
      </c>
    </row>
    <row r="1516" spans="1:7" x14ac:dyDescent="0.2">
      <c r="A1516" s="12">
        <v>39092</v>
      </c>
      <c r="B1516" s="9">
        <v>1142.49</v>
      </c>
      <c r="C1516" s="9">
        <v>1128.49</v>
      </c>
      <c r="D1516" s="9">
        <v>1133.05</v>
      </c>
      <c r="E1516" s="9">
        <f t="shared" si="69"/>
        <v>-8.8220101715136955E-3</v>
      </c>
      <c r="F1516" s="45">
        <f t="shared" si="70"/>
        <v>3.8964799562431769E-2</v>
      </c>
      <c r="G1516" s="9">
        <f t="shared" si="71"/>
        <v>1.0653350186289139E-2</v>
      </c>
    </row>
    <row r="1517" spans="1:7" x14ac:dyDescent="0.2">
      <c r="A1517" s="12">
        <v>39093</v>
      </c>
      <c r="B1517" s="9">
        <v>1161.81</v>
      </c>
      <c r="C1517" s="9">
        <v>1133.95</v>
      </c>
      <c r="D1517" s="9">
        <v>1160.04</v>
      </c>
      <c r="E1517" s="9">
        <f t="shared" si="69"/>
        <v>2.3541375583580586E-2</v>
      </c>
      <c r="F1517" s="45">
        <f t="shared" si="70"/>
        <v>9.2007993464027618E-2</v>
      </c>
      <c r="G1517" s="9">
        <f t="shared" si="71"/>
        <v>9.72658545533776E-3</v>
      </c>
    </row>
    <row r="1518" spans="1:7" x14ac:dyDescent="0.2">
      <c r="A1518" s="12">
        <v>39094</v>
      </c>
      <c r="B1518" s="9">
        <v>1165.2</v>
      </c>
      <c r="C1518" s="9">
        <v>1155.02</v>
      </c>
      <c r="D1518" s="9">
        <v>1159.46</v>
      </c>
      <c r="E1518" s="9">
        <f t="shared" si="69"/>
        <v>-5.0010779227288701E-4</v>
      </c>
      <c r="F1518" s="45">
        <f t="shared" si="70"/>
        <v>8.7922874709279147E-2</v>
      </c>
      <c r="G1518" s="9">
        <f t="shared" si="71"/>
        <v>9.7476550265584352E-3</v>
      </c>
    </row>
    <row r="1519" spans="1:7" x14ac:dyDescent="0.2">
      <c r="A1519" s="12">
        <v>39097</v>
      </c>
      <c r="B1519" s="9">
        <v>1177.31</v>
      </c>
      <c r="C1519" s="9">
        <v>1160.3599999999999</v>
      </c>
      <c r="D1519" s="9">
        <v>1173.8699999999999</v>
      </c>
      <c r="E1519" s="9">
        <f t="shared" si="69"/>
        <v>1.2351603246169495E-2</v>
      </c>
      <c r="F1519" s="45">
        <f t="shared" si="70"/>
        <v>7.8596971809732172E-2</v>
      </c>
      <c r="G1519" s="9">
        <f t="shared" si="71"/>
        <v>9.2659914661823838E-3</v>
      </c>
    </row>
    <row r="1520" spans="1:7" x14ac:dyDescent="0.2">
      <c r="A1520" s="12">
        <v>39098</v>
      </c>
      <c r="B1520" s="9">
        <v>1178.28</v>
      </c>
      <c r="C1520" s="9">
        <v>1168.69</v>
      </c>
      <c r="D1520" s="9">
        <v>1170.6300000000001</v>
      </c>
      <c r="E1520" s="9">
        <f t="shared" si="69"/>
        <v>-2.7639173065421353E-3</v>
      </c>
      <c r="F1520" s="45">
        <f t="shared" si="70"/>
        <v>9.1688783968420909E-2</v>
      </c>
      <c r="G1520" s="9">
        <f t="shared" si="71"/>
        <v>8.6539263205707082E-3</v>
      </c>
    </row>
    <row r="1521" spans="1:7" x14ac:dyDescent="0.2">
      <c r="A1521" s="12">
        <v>39099</v>
      </c>
      <c r="B1521" s="9">
        <v>1180.8800000000001</v>
      </c>
      <c r="C1521" s="9">
        <v>1170.22</v>
      </c>
      <c r="D1521" s="9">
        <v>1175.9000000000001</v>
      </c>
      <c r="E1521" s="9">
        <f t="shared" si="69"/>
        <v>4.4917464175013759E-3</v>
      </c>
      <c r="F1521" s="45">
        <f t="shared" si="70"/>
        <v>0.10391585851258466</v>
      </c>
      <c r="G1521" s="9">
        <f t="shared" si="71"/>
        <v>8.412717894060109E-3</v>
      </c>
    </row>
    <row r="1522" spans="1:7" x14ac:dyDescent="0.2">
      <c r="A1522" s="12">
        <v>39100</v>
      </c>
      <c r="B1522" s="9">
        <v>1181.5</v>
      </c>
      <c r="C1522" s="9">
        <v>1167.6400000000001</v>
      </c>
      <c r="D1522" s="9">
        <v>1173.5899999999999</v>
      </c>
      <c r="E1522" s="9">
        <f t="shared" si="69"/>
        <v>-1.9663848276298117E-3</v>
      </c>
      <c r="F1522" s="45">
        <f t="shared" si="70"/>
        <v>8.8053789311168695E-2</v>
      </c>
      <c r="G1522" s="9">
        <f t="shared" si="71"/>
        <v>8.2309731864219395E-3</v>
      </c>
    </row>
    <row r="1523" spans="1:7" x14ac:dyDescent="0.2">
      <c r="A1523" s="12">
        <v>39101</v>
      </c>
      <c r="B1523" s="9">
        <v>1182.3399999999999</v>
      </c>
      <c r="C1523" s="9">
        <v>1170.24</v>
      </c>
      <c r="D1523" s="9">
        <v>1180.57</v>
      </c>
      <c r="E1523" s="9">
        <f t="shared" si="69"/>
        <v>5.9299456739247813E-3</v>
      </c>
      <c r="F1523" s="45">
        <f t="shared" si="70"/>
        <v>8.0168361089109852E-2</v>
      </c>
      <c r="G1523" s="9">
        <f t="shared" si="71"/>
        <v>7.9940390676253911E-3</v>
      </c>
    </row>
    <row r="1524" spans="1:7" x14ac:dyDescent="0.2">
      <c r="A1524" s="12">
        <v>39104</v>
      </c>
      <c r="B1524" s="9">
        <v>1190.8699999999999</v>
      </c>
      <c r="C1524" s="9">
        <v>1180.03</v>
      </c>
      <c r="D1524" s="9">
        <v>1181.3499999999999</v>
      </c>
      <c r="E1524" s="9">
        <f t="shared" si="69"/>
        <v>6.6047963381925506E-4</v>
      </c>
      <c r="F1524" s="45">
        <f t="shared" si="70"/>
        <v>8.3714739513671449E-2</v>
      </c>
      <c r="G1524" s="9">
        <f t="shared" si="71"/>
        <v>7.9350160889079049E-3</v>
      </c>
    </row>
    <row r="1525" spans="1:7" x14ac:dyDescent="0.2">
      <c r="A1525" s="12">
        <v>39105</v>
      </c>
      <c r="B1525" s="9">
        <v>1183.4000000000001</v>
      </c>
      <c r="C1525" s="9">
        <v>1171.83</v>
      </c>
      <c r="D1525" s="9">
        <v>1175.1300000000001</v>
      </c>
      <c r="E1525" s="9">
        <f t="shared" si="69"/>
        <v>-5.2790725533177034E-3</v>
      </c>
      <c r="F1525" s="45">
        <f t="shared" si="70"/>
        <v>6.9538248608675704E-2</v>
      </c>
      <c r="G1525" s="9">
        <f t="shared" si="71"/>
        <v>7.9807832481832777E-3</v>
      </c>
    </row>
    <row r="1526" spans="1:7" x14ac:dyDescent="0.2">
      <c r="A1526" s="12">
        <v>39106</v>
      </c>
      <c r="B1526" s="9">
        <v>1181.6300000000001</v>
      </c>
      <c r="C1526" s="9">
        <v>1174.5899999999999</v>
      </c>
      <c r="D1526" s="9">
        <v>1177.8900000000001</v>
      </c>
      <c r="E1526" s="9">
        <f t="shared" si="69"/>
        <v>2.3459224875020225E-3</v>
      </c>
      <c r="F1526" s="45">
        <f t="shared" si="70"/>
        <v>7.2121384388533188E-2</v>
      </c>
      <c r="G1526" s="9">
        <f t="shared" si="71"/>
        <v>7.9661864778562512E-3</v>
      </c>
    </row>
    <row r="1527" spans="1:7" x14ac:dyDescent="0.2">
      <c r="A1527" s="12">
        <v>39107</v>
      </c>
      <c r="B1527" s="9">
        <v>1192.0899999999999</v>
      </c>
      <c r="C1527" s="9">
        <v>1177.5899999999999</v>
      </c>
      <c r="D1527" s="9">
        <v>1185.82</v>
      </c>
      <c r="E1527" s="9">
        <f t="shared" si="69"/>
        <v>6.7098161379974455E-3</v>
      </c>
      <c r="F1527" s="45">
        <f t="shared" si="70"/>
        <v>6.4643095595523906E-2</v>
      </c>
      <c r="G1527" s="9">
        <f t="shared" si="71"/>
        <v>7.6971896722565648E-3</v>
      </c>
    </row>
    <row r="1528" spans="1:7" x14ac:dyDescent="0.2">
      <c r="A1528" s="12">
        <v>39108</v>
      </c>
      <c r="B1528" s="9">
        <v>1185.46</v>
      </c>
      <c r="C1528" s="9">
        <v>1174.5999999999999</v>
      </c>
      <c r="D1528" s="9">
        <v>1177.3499999999999</v>
      </c>
      <c r="E1528" s="9">
        <f t="shared" si="69"/>
        <v>-7.1683681407338877E-3</v>
      </c>
      <c r="F1528" s="45">
        <f t="shared" si="70"/>
        <v>4.1021969214389574E-2</v>
      </c>
      <c r="G1528" s="9">
        <f t="shared" si="71"/>
        <v>7.3860188981529663E-3</v>
      </c>
    </row>
    <row r="1529" spans="1:7" x14ac:dyDescent="0.2">
      <c r="A1529" s="12">
        <v>39111</v>
      </c>
      <c r="B1529" s="9">
        <v>1181.8699999999999</v>
      </c>
      <c r="C1529" s="9">
        <v>1173.6400000000001</v>
      </c>
      <c r="D1529" s="9">
        <v>1178.8800000000001</v>
      </c>
      <c r="E1529" s="9">
        <f t="shared" si="69"/>
        <v>1.298684945900337E-3</v>
      </c>
      <c r="F1529" s="45">
        <f t="shared" si="70"/>
        <v>4.3507167014654909E-2</v>
      </c>
      <c r="G1529" s="9">
        <f t="shared" si="71"/>
        <v>7.3703070682773816E-3</v>
      </c>
    </row>
    <row r="1530" spans="1:7" x14ac:dyDescent="0.2">
      <c r="A1530" s="12">
        <v>39112</v>
      </c>
      <c r="B1530" s="9">
        <v>1191.5</v>
      </c>
      <c r="C1530" s="9">
        <v>1172.69</v>
      </c>
      <c r="D1530" s="9">
        <v>1190.26</v>
      </c>
      <c r="E1530" s="9">
        <f t="shared" si="69"/>
        <v>9.6069354488055852E-3</v>
      </c>
      <c r="F1530" s="45">
        <f t="shared" si="70"/>
        <v>5.2901489179644656E-2</v>
      </c>
      <c r="G1530" s="9">
        <f t="shared" si="71"/>
        <v>7.5140777470131372E-3</v>
      </c>
    </row>
    <row r="1531" spans="1:7" x14ac:dyDescent="0.2">
      <c r="A1531" s="12">
        <v>39113</v>
      </c>
      <c r="B1531" s="9">
        <v>1193.67</v>
      </c>
      <c r="C1531" s="9">
        <v>1183.54</v>
      </c>
      <c r="D1531" s="9">
        <v>1185.98</v>
      </c>
      <c r="E1531" s="9">
        <f t="shared" si="69"/>
        <v>-3.6023336265643587E-3</v>
      </c>
      <c r="F1531" s="45">
        <f t="shared" si="70"/>
        <v>4.0374855369110202E-2</v>
      </c>
      <c r="G1531" s="9">
        <f t="shared" si="71"/>
        <v>7.4502052615824975E-3</v>
      </c>
    </row>
    <row r="1532" spans="1:7" x14ac:dyDescent="0.2">
      <c r="A1532" s="12">
        <v>39114</v>
      </c>
      <c r="B1532" s="9">
        <v>1201.6500000000001</v>
      </c>
      <c r="C1532" s="9">
        <v>1187.56</v>
      </c>
      <c r="D1532" s="9">
        <v>1191.71</v>
      </c>
      <c r="E1532" s="9">
        <f t="shared" si="69"/>
        <v>4.8198134261472573E-3</v>
      </c>
      <c r="F1532" s="45">
        <f t="shared" si="70"/>
        <v>4.5396611839225366E-2</v>
      </c>
      <c r="G1532" s="9">
        <f t="shared" si="71"/>
        <v>7.4706173125225137E-3</v>
      </c>
    </row>
    <row r="1533" spans="1:7" x14ac:dyDescent="0.2">
      <c r="A1533" s="12">
        <v>39115</v>
      </c>
      <c r="B1533" s="9">
        <v>1191.79</v>
      </c>
      <c r="C1533" s="9">
        <v>1183.3</v>
      </c>
      <c r="D1533" s="9">
        <v>1187.0899999999999</v>
      </c>
      <c r="E1533" s="9">
        <f t="shared" si="69"/>
        <v>-3.8843163013664466E-3</v>
      </c>
      <c r="F1533" s="45">
        <f t="shared" si="70"/>
        <v>5.2345068982459837E-2</v>
      </c>
      <c r="G1533" s="9">
        <f t="shared" si="71"/>
        <v>7.1765759721209932E-3</v>
      </c>
    </row>
    <row r="1534" spans="1:7" x14ac:dyDescent="0.2">
      <c r="A1534" s="12">
        <v>39118</v>
      </c>
      <c r="B1534" s="9">
        <v>1196.3800000000001</v>
      </c>
      <c r="C1534" s="9">
        <v>1186.95</v>
      </c>
      <c r="D1534" s="9">
        <v>1192.6400000000001</v>
      </c>
      <c r="E1534" s="9">
        <f t="shared" si="69"/>
        <v>4.6644031570391787E-3</v>
      </c>
      <c r="F1534" s="45">
        <f t="shared" si="70"/>
        <v>4.8259968686725378E-2</v>
      </c>
      <c r="G1534" s="9">
        <f t="shared" si="71"/>
        <v>7.0771518548889047E-3</v>
      </c>
    </row>
    <row r="1535" spans="1:7" x14ac:dyDescent="0.2">
      <c r="A1535" s="12">
        <v>39119</v>
      </c>
      <c r="B1535" s="9">
        <v>1206.18</v>
      </c>
      <c r="C1535" s="9">
        <v>1192.94</v>
      </c>
      <c r="D1535" s="9">
        <v>1201.03</v>
      </c>
      <c r="E1535" s="9">
        <f t="shared" si="69"/>
        <v>7.0101846611284992E-3</v>
      </c>
      <c r="F1535" s="45">
        <f t="shared" si="70"/>
        <v>5.351183384784837E-2</v>
      </c>
      <c r="G1535" s="9">
        <f t="shared" si="71"/>
        <v>7.145606032677128E-3</v>
      </c>
    </row>
    <row r="1536" spans="1:7" x14ac:dyDescent="0.2">
      <c r="A1536" s="12">
        <v>39120</v>
      </c>
      <c r="B1536" s="9">
        <v>1207.19</v>
      </c>
      <c r="C1536" s="9">
        <v>1196.4000000000001</v>
      </c>
      <c r="D1536" s="9">
        <v>1206.02</v>
      </c>
      <c r="E1536" s="9">
        <f t="shared" ref="E1536:E1599" si="72">LN(D1536/D1535)</f>
        <v>4.1461599455266812E-3</v>
      </c>
      <c r="F1536" s="45">
        <f t="shared" si="70"/>
        <v>5.4991255369049731E-2</v>
      </c>
      <c r="G1536" s="9">
        <f t="shared" si="71"/>
        <v>7.157005979866164E-3</v>
      </c>
    </row>
    <row r="1537" spans="1:7" x14ac:dyDescent="0.2">
      <c r="A1537" s="12">
        <v>39121</v>
      </c>
      <c r="B1537" s="9">
        <v>1205.42</v>
      </c>
      <c r="C1537" s="9">
        <v>1186.28</v>
      </c>
      <c r="D1537" s="9">
        <v>1193.6199999999999</v>
      </c>
      <c r="E1537" s="9">
        <f t="shared" si="72"/>
        <v>-1.0334975556261786E-2</v>
      </c>
      <c r="F1537" s="45">
        <f t="shared" si="70"/>
        <v>3.7011396305709071E-2</v>
      </c>
      <c r="G1537" s="9">
        <f t="shared" si="71"/>
        <v>7.4021585921494135E-3</v>
      </c>
    </row>
    <row r="1538" spans="1:7" x14ac:dyDescent="0.2">
      <c r="A1538" s="12">
        <v>39122</v>
      </c>
      <c r="B1538" s="9">
        <v>1201.67</v>
      </c>
      <c r="C1538" s="9">
        <v>1194.82</v>
      </c>
      <c r="D1538" s="9">
        <v>1201.1500000000001</v>
      </c>
      <c r="E1538" s="9">
        <f t="shared" si="72"/>
        <v>6.2887248599169509E-3</v>
      </c>
      <c r="F1538" s="45">
        <f t="shared" si="70"/>
        <v>4.3456621131167952E-2</v>
      </c>
      <c r="G1538" s="9">
        <f t="shared" si="71"/>
        <v>7.4537709862455429E-3</v>
      </c>
    </row>
    <row r="1539" spans="1:7" x14ac:dyDescent="0.2">
      <c r="A1539" s="12">
        <v>39125</v>
      </c>
      <c r="B1539" s="9">
        <v>1200.25</v>
      </c>
      <c r="C1539" s="9">
        <v>1184.67</v>
      </c>
      <c r="D1539" s="9">
        <v>1187.1199999999999</v>
      </c>
      <c r="E1539" s="9">
        <f t="shared" si="72"/>
        <v>-1.1749225503333306E-2</v>
      </c>
      <c r="F1539" s="45">
        <f t="shared" si="70"/>
        <v>3.4144998582943578E-2</v>
      </c>
      <c r="G1539" s="9">
        <f t="shared" si="71"/>
        <v>7.8066976410508014E-3</v>
      </c>
    </row>
    <row r="1540" spans="1:7" x14ac:dyDescent="0.2">
      <c r="A1540" s="12">
        <v>39126</v>
      </c>
      <c r="B1540" s="9">
        <v>1193.93</v>
      </c>
      <c r="C1540" s="9">
        <v>1185.81</v>
      </c>
      <c r="D1540" s="9">
        <v>1190.0999999999999</v>
      </c>
      <c r="E1540" s="9">
        <f t="shared" si="72"/>
        <v>2.5071314905231097E-3</v>
      </c>
      <c r="F1540" s="45">
        <f t="shared" si="70"/>
        <v>2.2071900427201745E-2</v>
      </c>
      <c r="G1540" s="9">
        <f t="shared" si="71"/>
        <v>7.3899224564776562E-3</v>
      </c>
    </row>
    <row r="1541" spans="1:7" x14ac:dyDescent="0.2">
      <c r="A1541" s="12">
        <v>39127</v>
      </c>
      <c r="B1541" s="9">
        <v>1212.24</v>
      </c>
      <c r="C1541" s="9">
        <v>1191.3</v>
      </c>
      <c r="D1541" s="9">
        <v>1212.24</v>
      </c>
      <c r="E1541" s="9">
        <f t="shared" si="72"/>
        <v>1.8432550639512751E-2</v>
      </c>
      <c r="F1541" s="45">
        <f t="shared" si="70"/>
        <v>4.5447410538870185E-2</v>
      </c>
      <c r="G1541" s="9">
        <f t="shared" si="71"/>
        <v>7.9793565414762214E-3</v>
      </c>
    </row>
    <row r="1542" spans="1:7" x14ac:dyDescent="0.2">
      <c r="A1542" s="12">
        <v>39128</v>
      </c>
      <c r="B1542" s="9">
        <v>1222.56</v>
      </c>
      <c r="C1542" s="9">
        <v>1212.08</v>
      </c>
      <c r="D1542" s="9">
        <v>1220.3699999999999</v>
      </c>
      <c r="E1542" s="9">
        <f t="shared" si="72"/>
        <v>6.6842036082346932E-3</v>
      </c>
      <c r="F1542" s="45">
        <f t="shared" si="70"/>
        <v>5.9757433178264034E-2</v>
      </c>
      <c r="G1542" s="9">
        <f t="shared" si="71"/>
        <v>7.8406026901499063E-3</v>
      </c>
    </row>
    <row r="1543" spans="1:7" x14ac:dyDescent="0.2">
      <c r="A1543" s="12">
        <v>39129</v>
      </c>
      <c r="B1543" s="9">
        <v>1220.3699999999999</v>
      </c>
      <c r="C1543" s="9">
        <v>1211.3800000000001</v>
      </c>
      <c r="D1543" s="9">
        <v>1215.04</v>
      </c>
      <c r="E1543" s="9">
        <f t="shared" si="72"/>
        <v>-4.3770933927040597E-3</v>
      </c>
      <c r="F1543" s="45">
        <f t="shared" si="70"/>
        <v>5.7435373598304279E-2</v>
      </c>
      <c r="G1543" s="9">
        <f t="shared" si="71"/>
        <v>7.8932166520832136E-3</v>
      </c>
    </row>
    <row r="1544" spans="1:7" x14ac:dyDescent="0.2">
      <c r="A1544" s="12">
        <v>39132</v>
      </c>
      <c r="B1544" s="9">
        <v>1226.48</v>
      </c>
      <c r="C1544" s="9">
        <v>1215.6300000000001</v>
      </c>
      <c r="D1544" s="9">
        <v>1221.45</v>
      </c>
      <c r="E1544" s="9">
        <f t="shared" si="72"/>
        <v>5.2616795378125037E-3</v>
      </c>
      <c r="F1544" s="45">
        <f t="shared" si="70"/>
        <v>6.5088292221176305E-2</v>
      </c>
      <c r="G1544" s="9">
        <f t="shared" si="71"/>
        <v>7.8729020123487221E-3</v>
      </c>
    </row>
    <row r="1545" spans="1:7" x14ac:dyDescent="0.2">
      <c r="A1545" s="12">
        <v>39133</v>
      </c>
      <c r="B1545" s="9">
        <v>1225.45</v>
      </c>
      <c r="C1545" s="9">
        <v>1206.55</v>
      </c>
      <c r="D1545" s="9">
        <v>1211.47</v>
      </c>
      <c r="E1545" s="9">
        <f t="shared" si="72"/>
        <v>-8.2041793221491622E-3</v>
      </c>
      <c r="F1545" s="45">
        <f t="shared" si="70"/>
        <v>5.8099376406653448E-2</v>
      </c>
      <c r="G1545" s="9">
        <f t="shared" si="71"/>
        <v>8.0772668742757105E-3</v>
      </c>
    </row>
    <row r="1546" spans="1:7" x14ac:dyDescent="0.2">
      <c r="A1546" s="12">
        <v>39134</v>
      </c>
      <c r="B1546" s="9">
        <v>1218.67</v>
      </c>
      <c r="C1546" s="9">
        <v>1205.1500000000001</v>
      </c>
      <c r="D1546" s="9">
        <v>1207.26</v>
      </c>
      <c r="E1546" s="9">
        <f t="shared" si="72"/>
        <v>-3.4811692512903519E-3</v>
      </c>
      <c r="F1546" s="45">
        <f t="shared" si="70"/>
        <v>6.3440217326876908E-2</v>
      </c>
      <c r="G1546" s="9">
        <f t="shared" si="71"/>
        <v>7.8886172599783137E-3</v>
      </c>
    </row>
    <row r="1547" spans="1:7" x14ac:dyDescent="0.2">
      <c r="A1547" s="12">
        <v>39135</v>
      </c>
      <c r="B1547" s="9">
        <v>1217.6400000000001</v>
      </c>
      <c r="C1547" s="9">
        <v>1207.25</v>
      </c>
      <c r="D1547" s="9">
        <v>1207.73</v>
      </c>
      <c r="E1547" s="9">
        <f t="shared" si="72"/>
        <v>3.8923557110715103E-4</v>
      </c>
      <c r="F1547" s="45">
        <f t="shared" si="70"/>
        <v>4.0288077314403252E-2</v>
      </c>
      <c r="G1547" s="9">
        <f t="shared" si="71"/>
        <v>6.7738961248920964E-3</v>
      </c>
    </row>
    <row r="1548" spans="1:7" x14ac:dyDescent="0.2">
      <c r="A1548" s="12">
        <v>39136</v>
      </c>
      <c r="B1548" s="9">
        <v>1219.76</v>
      </c>
      <c r="C1548" s="9">
        <v>1205.3499999999999</v>
      </c>
      <c r="D1548" s="9">
        <v>1218.32</v>
      </c>
      <c r="E1548" s="9">
        <f t="shared" si="72"/>
        <v>8.7302959645178518E-3</v>
      </c>
      <c r="F1548" s="45">
        <f t="shared" si="70"/>
        <v>4.9518481071193853E-2</v>
      </c>
      <c r="G1548" s="9">
        <f t="shared" si="71"/>
        <v>6.895827472309695E-3</v>
      </c>
    </row>
    <row r="1549" spans="1:7" x14ac:dyDescent="0.2">
      <c r="A1549" s="12">
        <v>39139</v>
      </c>
      <c r="B1549" s="9">
        <v>1232.99</v>
      </c>
      <c r="C1549" s="9">
        <v>1218.32</v>
      </c>
      <c r="D1549" s="9">
        <v>1229.6500000000001</v>
      </c>
      <c r="E1549" s="9">
        <f t="shared" si="72"/>
        <v>9.2567154846566191E-3</v>
      </c>
      <c r="F1549" s="45">
        <f t="shared" si="70"/>
        <v>4.6423593309681134E-2</v>
      </c>
      <c r="G1549" s="9">
        <f t="shared" si="71"/>
        <v>6.7518656506836919E-3</v>
      </c>
    </row>
    <row r="1550" spans="1:7" x14ac:dyDescent="0.2">
      <c r="A1550" s="12">
        <v>39140</v>
      </c>
      <c r="B1550" s="9">
        <v>1228.45</v>
      </c>
      <c r="C1550" s="9">
        <v>1171.21</v>
      </c>
      <c r="D1550" s="9">
        <v>1183.07</v>
      </c>
      <c r="E1550" s="9">
        <f t="shared" si="72"/>
        <v>-3.8616821202642156E-2</v>
      </c>
      <c r="F1550" s="45">
        <f t="shared" si="70"/>
        <v>1.0570689413580941E-2</v>
      </c>
      <c r="G1550" s="9">
        <f t="shared" si="71"/>
        <v>9.9546840972487404E-3</v>
      </c>
    </row>
    <row r="1551" spans="1:7" x14ac:dyDescent="0.2">
      <c r="A1551" s="12">
        <v>39141</v>
      </c>
      <c r="B1551" s="9">
        <v>1180.07</v>
      </c>
      <c r="C1551" s="9">
        <v>1152.5999999999999</v>
      </c>
      <c r="D1551" s="9">
        <v>1157.8399999999999</v>
      </c>
      <c r="E1551" s="9">
        <f t="shared" si="72"/>
        <v>-2.1556554496100881E-2</v>
      </c>
      <c r="F1551" s="45">
        <f t="shared" si="70"/>
        <v>-1.5477611500021157E-2</v>
      </c>
      <c r="G1551" s="9">
        <f t="shared" si="71"/>
        <v>1.0690029222511723E-2</v>
      </c>
    </row>
    <row r="1552" spans="1:7" x14ac:dyDescent="0.2">
      <c r="A1552" s="12">
        <v>39142</v>
      </c>
      <c r="B1552" s="9">
        <v>1176</v>
      </c>
      <c r="C1552" s="9">
        <v>1130.1400000000001</v>
      </c>
      <c r="D1552" s="9">
        <v>1151.18</v>
      </c>
      <c r="E1552" s="9">
        <f t="shared" si="72"/>
        <v>-5.7686970829228124E-3</v>
      </c>
      <c r="F1552" s="45">
        <f t="shared" si="70"/>
        <v>-1.9279923755314125E-2</v>
      </c>
      <c r="G1552" s="9">
        <f t="shared" si="71"/>
        <v>1.0730284109802254E-2</v>
      </c>
    </row>
    <row r="1553" spans="1:7" x14ac:dyDescent="0.2">
      <c r="A1553" s="12">
        <v>39143</v>
      </c>
      <c r="B1553" s="9">
        <v>1169.6400000000001</v>
      </c>
      <c r="C1553" s="9">
        <v>1143.24</v>
      </c>
      <c r="D1553" s="9">
        <v>1159.55</v>
      </c>
      <c r="E1553" s="9">
        <f t="shared" si="72"/>
        <v>7.2444955547920015E-3</v>
      </c>
      <c r="F1553" s="45">
        <f t="shared" si="70"/>
        <v>-1.7965373874447067E-2</v>
      </c>
      <c r="G1553" s="9">
        <f t="shared" si="71"/>
        <v>1.0760690597793186E-2</v>
      </c>
    </row>
    <row r="1554" spans="1:7" x14ac:dyDescent="0.2">
      <c r="A1554" s="12">
        <v>39146</v>
      </c>
      <c r="B1554" s="9">
        <v>1156.24</v>
      </c>
      <c r="C1554" s="9">
        <v>1119.0899999999999</v>
      </c>
      <c r="D1554" s="9">
        <v>1147.93</v>
      </c>
      <c r="E1554" s="9">
        <f t="shared" si="72"/>
        <v>-1.0071678390550518E-2</v>
      </c>
      <c r="F1554" s="45">
        <f t="shared" si="70"/>
        <v>-2.8697531898816835E-2</v>
      </c>
      <c r="G1554" s="9">
        <f t="shared" si="71"/>
        <v>1.0894938324486273E-2</v>
      </c>
    </row>
    <row r="1555" spans="1:7" x14ac:dyDescent="0.2">
      <c r="A1555" s="12">
        <v>39147</v>
      </c>
      <c r="B1555" s="9">
        <v>1160.57</v>
      </c>
      <c r="C1555" s="9">
        <v>1145.8900000000001</v>
      </c>
      <c r="D1555" s="9">
        <v>1148.57</v>
      </c>
      <c r="E1555" s="9">
        <f t="shared" si="72"/>
        <v>5.573699251629592E-4</v>
      </c>
      <c r="F1555" s="45">
        <f t="shared" si="70"/>
        <v>-2.2861089420336041E-2</v>
      </c>
      <c r="G1555" s="9">
        <f t="shared" si="71"/>
        <v>1.0867165726464163E-2</v>
      </c>
    </row>
    <row r="1556" spans="1:7" x14ac:dyDescent="0.2">
      <c r="A1556" s="12">
        <v>39148</v>
      </c>
      <c r="B1556" s="9">
        <v>1167.25</v>
      </c>
      <c r="C1556" s="9">
        <v>1149.47</v>
      </c>
      <c r="D1556" s="9">
        <v>1164.44</v>
      </c>
      <c r="E1556" s="9">
        <f t="shared" si="72"/>
        <v>1.3722594401805989E-2</v>
      </c>
      <c r="F1556" s="45">
        <f t="shared" si="70"/>
        <v>-1.1484417506031902E-2</v>
      </c>
      <c r="G1556" s="9">
        <f t="shared" si="71"/>
        <v>1.1173543671414985E-2</v>
      </c>
    </row>
    <row r="1557" spans="1:7" x14ac:dyDescent="0.2">
      <c r="A1557" s="12">
        <v>39149</v>
      </c>
      <c r="B1557" s="9">
        <v>1187.24</v>
      </c>
      <c r="C1557" s="9">
        <v>1165.6400000000001</v>
      </c>
      <c r="D1557" s="9">
        <v>1187.24</v>
      </c>
      <c r="E1557" s="9">
        <f t="shared" si="72"/>
        <v>1.9391000830264349E-2</v>
      </c>
      <c r="F1557" s="45">
        <f t="shared" si="70"/>
        <v>1.1967671862347252E-3</v>
      </c>
      <c r="G1557" s="9">
        <f t="shared" si="71"/>
        <v>1.1679531463282338E-2</v>
      </c>
    </row>
    <row r="1558" spans="1:7" x14ac:dyDescent="0.2">
      <c r="A1558" s="12">
        <v>39150</v>
      </c>
      <c r="B1558" s="9">
        <v>1197.2</v>
      </c>
      <c r="C1558" s="9">
        <v>1174.32</v>
      </c>
      <c r="D1558" s="9">
        <v>1188.8800000000001</v>
      </c>
      <c r="E1558" s="9">
        <f t="shared" si="72"/>
        <v>1.3804018824130353E-3</v>
      </c>
      <c r="F1558" s="45">
        <f t="shared" si="70"/>
        <v>9.7455372093816946E-3</v>
      </c>
      <c r="G1558" s="9">
        <f t="shared" si="71"/>
        <v>1.1601626075508178E-2</v>
      </c>
    </row>
    <row r="1559" spans="1:7" x14ac:dyDescent="0.2">
      <c r="A1559" s="12">
        <v>39153</v>
      </c>
      <c r="B1559" s="9">
        <v>1201.1400000000001</v>
      </c>
      <c r="C1559" s="9">
        <v>1185.3499999999999</v>
      </c>
      <c r="D1559" s="9">
        <v>1191.53</v>
      </c>
      <c r="E1559" s="9">
        <f t="shared" si="72"/>
        <v>2.2265081181354388E-3</v>
      </c>
      <c r="F1559" s="45">
        <f t="shared" si="70"/>
        <v>1.0673360381616745E-2</v>
      </c>
      <c r="G1559" s="9">
        <f t="shared" si="71"/>
        <v>1.1605547650661742E-2</v>
      </c>
    </row>
    <row r="1560" spans="1:7" x14ac:dyDescent="0.2">
      <c r="A1560" s="12">
        <v>39154</v>
      </c>
      <c r="B1560" s="9">
        <v>1194.43</v>
      </c>
      <c r="C1560" s="9">
        <v>1175.68</v>
      </c>
      <c r="D1560" s="9">
        <v>1175.75</v>
      </c>
      <c r="E1560" s="9">
        <f t="shared" si="72"/>
        <v>-1.3331953743292067E-2</v>
      </c>
      <c r="F1560" s="45">
        <f t="shared" si="70"/>
        <v>-1.2265528810480913E-2</v>
      </c>
      <c r="G1560" s="9">
        <f t="shared" si="71"/>
        <v>1.1730014132050793E-2</v>
      </c>
    </row>
    <row r="1561" spans="1:7" x14ac:dyDescent="0.2">
      <c r="A1561" s="12">
        <v>39155</v>
      </c>
      <c r="B1561" s="9">
        <v>1172.74</v>
      </c>
      <c r="C1561" s="9">
        <v>1136.77</v>
      </c>
      <c r="D1561" s="9">
        <v>1136.83</v>
      </c>
      <c r="E1561" s="9">
        <f t="shared" si="72"/>
        <v>-3.3662554524181605E-2</v>
      </c>
      <c r="F1561" s="45">
        <f t="shared" si="70"/>
        <v>-4.2325749708098048E-2</v>
      </c>
      <c r="G1561" s="9">
        <f t="shared" si="71"/>
        <v>1.3203570077688616E-2</v>
      </c>
    </row>
    <row r="1562" spans="1:7" x14ac:dyDescent="0.2">
      <c r="A1562" s="12">
        <v>39156</v>
      </c>
      <c r="B1562" s="9">
        <v>1166.73</v>
      </c>
      <c r="C1562" s="9">
        <v>1139.08</v>
      </c>
      <c r="D1562" s="9">
        <v>1166.73</v>
      </c>
      <c r="E1562" s="9">
        <f t="shared" si="72"/>
        <v>2.5961276749289247E-2</v>
      </c>
      <c r="F1562" s="45">
        <f t="shared" si="70"/>
        <v>-2.1184286384955994E-2</v>
      </c>
      <c r="G1562" s="9">
        <f t="shared" si="71"/>
        <v>1.4082524525560445E-2</v>
      </c>
    </row>
    <row r="1563" spans="1:7" x14ac:dyDescent="0.2">
      <c r="A1563" s="12">
        <v>39157</v>
      </c>
      <c r="B1563" s="9">
        <v>1177.01</v>
      </c>
      <c r="C1563" s="9">
        <v>1158.47</v>
      </c>
      <c r="D1563" s="9">
        <v>1166.98</v>
      </c>
      <c r="E1563" s="9">
        <f t="shared" si="72"/>
        <v>2.1425112885181154E-4</v>
      </c>
      <c r="F1563" s="45">
        <f t="shared" si="70"/>
        <v>-1.7085718954737837E-2</v>
      </c>
      <c r="G1563" s="9">
        <f t="shared" si="71"/>
        <v>1.4070504500888035E-2</v>
      </c>
    </row>
    <row r="1564" spans="1:7" x14ac:dyDescent="0.2">
      <c r="A1564" s="12">
        <v>39160</v>
      </c>
      <c r="B1564" s="9">
        <v>1190.43</v>
      </c>
      <c r="C1564" s="9">
        <v>1169.69</v>
      </c>
      <c r="D1564" s="9">
        <v>1188.73</v>
      </c>
      <c r="E1564" s="9">
        <f t="shared" si="72"/>
        <v>1.8466295143578327E-2</v>
      </c>
      <c r="F1564" s="45">
        <f t="shared" si="70"/>
        <v>-3.2838269681986494E-3</v>
      </c>
      <c r="G1564" s="9">
        <f t="shared" si="71"/>
        <v>1.4467576692978141E-2</v>
      </c>
    </row>
    <row r="1565" spans="1:7" x14ac:dyDescent="0.2">
      <c r="A1565" s="12">
        <v>39161</v>
      </c>
      <c r="B1565" s="9">
        <v>1196.3800000000001</v>
      </c>
      <c r="C1565" s="9">
        <v>1180.0899999999999</v>
      </c>
      <c r="D1565" s="9">
        <v>1196.26</v>
      </c>
      <c r="E1565" s="9">
        <f t="shared" si="72"/>
        <v>6.3145128661641894E-3</v>
      </c>
      <c r="F1565" s="45">
        <f t="shared" si="70"/>
        <v>-3.979498763162944E-3</v>
      </c>
      <c r="G1565" s="9">
        <f t="shared" si="71"/>
        <v>1.445632475794471E-2</v>
      </c>
    </row>
    <row r="1566" spans="1:7" x14ac:dyDescent="0.2">
      <c r="A1566" s="12">
        <v>39162</v>
      </c>
      <c r="B1566" s="9">
        <v>1209.56</v>
      </c>
      <c r="C1566" s="9">
        <v>1195.92</v>
      </c>
      <c r="D1566" s="9">
        <v>1204.67</v>
      </c>
      <c r="E1566" s="9">
        <f t="shared" si="72"/>
        <v>7.0056473085322365E-3</v>
      </c>
      <c r="F1566" s="45">
        <f t="shared" si="70"/>
        <v>-1.12001140015749E-3</v>
      </c>
      <c r="G1566" s="9">
        <f t="shared" si="71"/>
        <v>1.4494884897769214E-2</v>
      </c>
    </row>
    <row r="1567" spans="1:7" x14ac:dyDescent="0.2">
      <c r="A1567" s="12">
        <v>39163</v>
      </c>
      <c r="B1567" s="9">
        <v>1228.3900000000001</v>
      </c>
      <c r="C1567" s="9">
        <v>1207.3699999999999</v>
      </c>
      <c r="D1567" s="9">
        <v>1223.57</v>
      </c>
      <c r="E1567" s="9">
        <f t="shared" si="72"/>
        <v>1.5567144662510475E-2</v>
      </c>
      <c r="F1567" s="45">
        <f t="shared" si="70"/>
        <v>2.4782108818614829E-2</v>
      </c>
      <c r="G1567" s="9">
        <f t="shared" si="71"/>
        <v>1.4631146844118642E-2</v>
      </c>
    </row>
    <row r="1568" spans="1:7" x14ac:dyDescent="0.2">
      <c r="A1568" s="12">
        <v>39164</v>
      </c>
      <c r="B1568" s="9">
        <v>1226.82</v>
      </c>
      <c r="C1568" s="9">
        <v>1217.8599999999999</v>
      </c>
      <c r="D1568" s="9">
        <v>1221.8499999999999</v>
      </c>
      <c r="E1568" s="9">
        <f t="shared" si="72"/>
        <v>-1.4067115535436809E-3</v>
      </c>
      <c r="F1568" s="45">
        <f t="shared" si="70"/>
        <v>1.7086672405154071E-2</v>
      </c>
      <c r="G1568" s="9">
        <f t="shared" si="71"/>
        <v>1.4599496932447468E-2</v>
      </c>
    </row>
    <row r="1569" spans="1:7" x14ac:dyDescent="0.2">
      <c r="A1569" s="12">
        <v>39167</v>
      </c>
      <c r="B1569" s="9">
        <v>1222.3499999999999</v>
      </c>
      <c r="C1569" s="9">
        <v>1204.47</v>
      </c>
      <c r="D1569" s="9">
        <v>1206.26</v>
      </c>
      <c r="E1569" s="9">
        <f t="shared" si="72"/>
        <v>-1.2841439832085305E-2</v>
      </c>
      <c r="F1569" s="45">
        <f t="shared" ref="F1569:F1632" si="73">LN(D1569/D1539)</f>
        <v>1.5994458076402141E-2</v>
      </c>
      <c r="G1569" s="9">
        <f t="shared" ref="G1569:G1632" si="74">STDEV(E1540:E1569)</f>
        <v>1.4632600207636764E-2</v>
      </c>
    </row>
    <row r="1570" spans="1:7" x14ac:dyDescent="0.2">
      <c r="A1570" s="12">
        <v>39168</v>
      </c>
      <c r="B1570" s="9">
        <v>1219.5899999999999</v>
      </c>
      <c r="C1570" s="9">
        <v>1207.46</v>
      </c>
      <c r="D1570" s="9">
        <v>1214.6300000000001</v>
      </c>
      <c r="E1570" s="9">
        <f t="shared" si="72"/>
        <v>6.9148398737186624E-3</v>
      </c>
      <c r="F1570" s="45">
        <f t="shared" si="73"/>
        <v>2.0402166459597523E-2</v>
      </c>
      <c r="G1570" s="9">
        <f t="shared" si="74"/>
        <v>1.4675170744302151E-2</v>
      </c>
    </row>
    <row r="1571" spans="1:7" x14ac:dyDescent="0.2">
      <c r="A1571" s="12">
        <v>39169</v>
      </c>
      <c r="B1571" s="9">
        <v>1214.33</v>
      </c>
      <c r="C1571" s="9">
        <v>1196.4100000000001</v>
      </c>
      <c r="D1571" s="9">
        <v>1201.1400000000001</v>
      </c>
      <c r="E1571" s="9">
        <f t="shared" si="72"/>
        <v>-1.1168397836311661E-2</v>
      </c>
      <c r="F1571" s="45">
        <f t="shared" si="73"/>
        <v>-9.19878201622688E-3</v>
      </c>
      <c r="G1571" s="9">
        <f t="shared" si="74"/>
        <v>1.4433542115740669E-2</v>
      </c>
    </row>
    <row r="1572" spans="1:7" x14ac:dyDescent="0.2">
      <c r="A1572" s="12">
        <v>39170</v>
      </c>
      <c r="B1572" s="9">
        <v>1215.19</v>
      </c>
      <c r="C1572" s="9">
        <v>1202.04</v>
      </c>
      <c r="D1572" s="9">
        <v>1214.28</v>
      </c>
      <c r="E1572" s="9">
        <f t="shared" si="72"/>
        <v>1.0880202717988837E-2</v>
      </c>
      <c r="F1572" s="45">
        <f t="shared" si="73"/>
        <v>-5.0027829064726052E-3</v>
      </c>
      <c r="G1572" s="9">
        <f t="shared" si="74"/>
        <v>1.4523671000548322E-2</v>
      </c>
    </row>
    <row r="1573" spans="1:7" x14ac:dyDescent="0.2">
      <c r="A1573" s="12">
        <v>39171</v>
      </c>
      <c r="B1573" s="9">
        <v>1220.3399999999999</v>
      </c>
      <c r="C1573" s="9">
        <v>1210.29</v>
      </c>
      <c r="D1573" s="9">
        <v>1214.4100000000001</v>
      </c>
      <c r="E1573" s="9">
        <f t="shared" si="72"/>
        <v>1.070535968972199E-4</v>
      </c>
      <c r="F1573" s="45">
        <f t="shared" si="73"/>
        <v>-5.1863591687126612E-4</v>
      </c>
      <c r="G1573" s="9">
        <f t="shared" si="74"/>
        <v>1.4501904000624895E-2</v>
      </c>
    </row>
    <row r="1574" spans="1:7" x14ac:dyDescent="0.2">
      <c r="A1574" s="12">
        <v>39174</v>
      </c>
      <c r="B1574" s="9">
        <v>1225.98</v>
      </c>
      <c r="C1574" s="9">
        <v>1205.81</v>
      </c>
      <c r="D1574" s="9">
        <v>1225.98</v>
      </c>
      <c r="E1574" s="9">
        <f t="shared" si="72"/>
        <v>9.4821620228254366E-3</v>
      </c>
      <c r="F1574" s="45">
        <f t="shared" si="73"/>
        <v>3.7018465681416877E-3</v>
      </c>
      <c r="G1574" s="9">
        <f t="shared" si="74"/>
        <v>1.4575167440806331E-2</v>
      </c>
    </row>
    <row r="1575" spans="1:7" x14ac:dyDescent="0.2">
      <c r="A1575" s="12">
        <v>39175</v>
      </c>
      <c r="B1575" s="9">
        <v>1247.19</v>
      </c>
      <c r="C1575" s="9">
        <v>1226.7</v>
      </c>
      <c r="D1575" s="9">
        <v>1245.57</v>
      </c>
      <c r="E1575" s="9">
        <f t="shared" si="72"/>
        <v>1.5852732301933764E-2</v>
      </c>
      <c r="F1575" s="45">
        <f t="shared" si="73"/>
        <v>2.7758758192224706E-2</v>
      </c>
      <c r="G1575" s="9">
        <f t="shared" si="74"/>
        <v>1.4761789056964052E-2</v>
      </c>
    </row>
    <row r="1576" spans="1:7" x14ac:dyDescent="0.2">
      <c r="A1576" s="12">
        <v>39176</v>
      </c>
      <c r="B1576" s="9">
        <v>1250.5</v>
      </c>
      <c r="C1576" s="9">
        <v>1236.4000000000001</v>
      </c>
      <c r="D1576" s="9">
        <v>1241.43</v>
      </c>
      <c r="E1576" s="9">
        <f t="shared" si="72"/>
        <v>-3.3293154998770159E-3</v>
      </c>
      <c r="F1576" s="45">
        <f t="shared" si="73"/>
        <v>2.7910611943638041E-2</v>
      </c>
      <c r="G1576" s="9">
        <f t="shared" si="74"/>
        <v>1.4760251941934357E-2</v>
      </c>
    </row>
    <row r="1577" spans="1:7" x14ac:dyDescent="0.2">
      <c r="A1577" s="12">
        <v>39177</v>
      </c>
      <c r="B1577" s="9">
        <v>1244.3800000000001</v>
      </c>
      <c r="C1577" s="9">
        <v>1236.8499999999999</v>
      </c>
      <c r="D1577" s="9">
        <v>1242.18</v>
      </c>
      <c r="E1577" s="9">
        <f t="shared" si="72"/>
        <v>6.0395957722666831E-4</v>
      </c>
      <c r="F1577" s="45">
        <f t="shared" si="73"/>
        <v>2.8125335949757538E-2</v>
      </c>
      <c r="G1577" s="9">
        <f t="shared" si="74"/>
        <v>1.4760032557309701E-2</v>
      </c>
    </row>
    <row r="1578" spans="1:7" x14ac:dyDescent="0.2">
      <c r="A1578" s="12">
        <v>39182</v>
      </c>
      <c r="B1578" s="9">
        <v>1258.58</v>
      </c>
      <c r="C1578" s="9">
        <v>1241.5</v>
      </c>
      <c r="D1578" s="9">
        <v>1255.73</v>
      </c>
      <c r="E1578" s="9">
        <f t="shared" si="72"/>
        <v>1.0849176237637252E-2</v>
      </c>
      <c r="F1578" s="45">
        <f t="shared" si="73"/>
        <v>3.0244216222877249E-2</v>
      </c>
      <c r="G1578" s="9">
        <f t="shared" si="74"/>
        <v>1.4803613522067383E-2</v>
      </c>
    </row>
    <row r="1579" spans="1:7" x14ac:dyDescent="0.2">
      <c r="A1579" s="12">
        <v>39183</v>
      </c>
      <c r="B1579" s="9">
        <v>1263.71</v>
      </c>
      <c r="C1579" s="9">
        <v>1246.0899999999999</v>
      </c>
      <c r="D1579" s="9">
        <v>1249.19</v>
      </c>
      <c r="E1579" s="9">
        <f t="shared" si="72"/>
        <v>-5.2217355127090592E-3</v>
      </c>
      <c r="F1579" s="45">
        <f t="shared" si="73"/>
        <v>1.5765765225511465E-2</v>
      </c>
      <c r="G1579" s="9">
        <f t="shared" si="74"/>
        <v>1.4761374427805807E-2</v>
      </c>
    </row>
    <row r="1580" spans="1:7" x14ac:dyDescent="0.2">
      <c r="A1580" s="12">
        <v>39184</v>
      </c>
      <c r="B1580" s="9">
        <v>1255.24</v>
      </c>
      <c r="C1580" s="9">
        <v>1236.1199999999999</v>
      </c>
      <c r="D1580" s="9">
        <v>1253.21</v>
      </c>
      <c r="E1580" s="9">
        <f t="shared" si="72"/>
        <v>3.2129183648915466E-3</v>
      </c>
      <c r="F1580" s="45">
        <f t="shared" si="73"/>
        <v>5.7595504793045038E-2</v>
      </c>
      <c r="G1580" s="9">
        <f t="shared" si="74"/>
        <v>1.2779052919758685E-2</v>
      </c>
    </row>
    <row r="1581" spans="1:7" x14ac:dyDescent="0.2">
      <c r="A1581" s="12">
        <v>39185</v>
      </c>
      <c r="B1581" s="9">
        <v>1263.9100000000001</v>
      </c>
      <c r="C1581" s="9">
        <v>1253.0899999999999</v>
      </c>
      <c r="D1581" s="9">
        <v>1263.53</v>
      </c>
      <c r="E1581" s="9">
        <f t="shared" si="72"/>
        <v>8.2011314973297368E-3</v>
      </c>
      <c r="F1581" s="45">
        <f t="shared" si="73"/>
        <v>8.7353190786475618E-2</v>
      </c>
      <c r="G1581" s="9">
        <f t="shared" si="74"/>
        <v>1.2026719108230229E-2</v>
      </c>
    </row>
    <row r="1582" spans="1:7" x14ac:dyDescent="0.2">
      <c r="A1582" s="12">
        <v>39188</v>
      </c>
      <c r="B1582" s="9">
        <v>1277.9000000000001</v>
      </c>
      <c r="C1582" s="9">
        <v>1261.8499999999999</v>
      </c>
      <c r="D1582" s="9">
        <v>1277.6400000000001</v>
      </c>
      <c r="E1582" s="9">
        <f t="shared" si="72"/>
        <v>1.1105234998690403E-2</v>
      </c>
      <c r="F1582" s="45">
        <f t="shared" si="73"/>
        <v>0.10422712286808894</v>
      </c>
      <c r="G1582" s="9">
        <f t="shared" si="74"/>
        <v>1.2001305208312137E-2</v>
      </c>
    </row>
    <row r="1583" spans="1:7" x14ac:dyDescent="0.2">
      <c r="A1583" s="12">
        <v>39189</v>
      </c>
      <c r="B1583" s="9">
        <v>1280.77</v>
      </c>
      <c r="C1583" s="9">
        <v>1267.51</v>
      </c>
      <c r="D1583" s="9">
        <v>1278.27</v>
      </c>
      <c r="E1583" s="9">
        <f t="shared" si="72"/>
        <v>4.9297511474090763E-4</v>
      </c>
      <c r="F1583" s="45">
        <f t="shared" si="73"/>
        <v>9.7475602428037836E-2</v>
      </c>
      <c r="G1583" s="9">
        <f t="shared" si="74"/>
        <v>1.1991465526557828E-2</v>
      </c>
    </row>
    <row r="1584" spans="1:7" x14ac:dyDescent="0.2">
      <c r="A1584" s="12">
        <v>39190</v>
      </c>
      <c r="B1584" s="9">
        <v>1277.96</v>
      </c>
      <c r="C1584" s="9">
        <v>1262.44</v>
      </c>
      <c r="D1584" s="9">
        <v>1271.75</v>
      </c>
      <c r="E1584" s="9">
        <f t="shared" si="72"/>
        <v>-5.1136965263816987E-3</v>
      </c>
      <c r="F1584" s="45">
        <f t="shared" si="73"/>
        <v>0.10243358429220678</v>
      </c>
      <c r="G1584" s="9">
        <f t="shared" si="74"/>
        <v>1.1834687620618073E-2</v>
      </c>
    </row>
    <row r="1585" spans="1:7" x14ac:dyDescent="0.2">
      <c r="A1585" s="12">
        <v>39191</v>
      </c>
      <c r="B1585" s="9">
        <v>1270.55</v>
      </c>
      <c r="C1585" s="9">
        <v>1252.17</v>
      </c>
      <c r="D1585" s="9">
        <v>1267.3800000000001</v>
      </c>
      <c r="E1585" s="9">
        <f t="shared" si="72"/>
        <v>-3.4421272756677366E-3</v>
      </c>
      <c r="F1585" s="45">
        <f t="shared" si="73"/>
        <v>9.8434087091375883E-2</v>
      </c>
      <c r="G1585" s="9">
        <f t="shared" si="74"/>
        <v>1.189037812955036E-2</v>
      </c>
    </row>
    <row r="1586" spans="1:7" x14ac:dyDescent="0.2">
      <c r="A1586" s="12">
        <v>39192</v>
      </c>
      <c r="B1586" s="9">
        <v>1287.5</v>
      </c>
      <c r="C1586" s="9">
        <v>1265.27</v>
      </c>
      <c r="D1586" s="9">
        <v>1282.18</v>
      </c>
      <c r="E1586" s="9">
        <f t="shared" si="72"/>
        <v>1.1609976813687549E-2</v>
      </c>
      <c r="F1586" s="45">
        <f t="shared" si="73"/>
        <v>9.6321469503257387E-2</v>
      </c>
      <c r="G1586" s="9">
        <f t="shared" si="74"/>
        <v>1.1832521570566515E-2</v>
      </c>
    </row>
    <row r="1587" spans="1:7" x14ac:dyDescent="0.2">
      <c r="A1587" s="12">
        <v>39195</v>
      </c>
      <c r="B1587" s="9">
        <v>1285.8499999999999</v>
      </c>
      <c r="C1587" s="9">
        <v>1273.6199999999999</v>
      </c>
      <c r="D1587" s="9">
        <v>1278.43</v>
      </c>
      <c r="E1587" s="9">
        <f t="shared" si="72"/>
        <v>-2.928991670683681E-3</v>
      </c>
      <c r="F1587" s="45">
        <f t="shared" si="73"/>
        <v>7.4001477002309315E-2</v>
      </c>
      <c r="G1587" s="9">
        <f t="shared" si="74"/>
        <v>1.1476417714919375E-2</v>
      </c>
    </row>
    <row r="1588" spans="1:7" x14ac:dyDescent="0.2">
      <c r="A1588" s="12">
        <v>39196</v>
      </c>
      <c r="B1588" s="9">
        <v>1278.73</v>
      </c>
      <c r="C1588" s="9">
        <v>1256.51</v>
      </c>
      <c r="D1588" s="9">
        <v>1260.99</v>
      </c>
      <c r="E1588" s="9">
        <f t="shared" si="72"/>
        <v>-1.3735635850850875E-2</v>
      </c>
      <c r="F1588" s="45">
        <f t="shared" si="73"/>
        <v>5.8885439269045471E-2</v>
      </c>
      <c r="G1588" s="9">
        <f t="shared" si="74"/>
        <v>1.1851460525459934E-2</v>
      </c>
    </row>
    <row r="1589" spans="1:7" x14ac:dyDescent="0.2">
      <c r="A1589" s="12">
        <v>39197</v>
      </c>
      <c r="B1589" s="9">
        <v>1269.1300000000001</v>
      </c>
      <c r="C1589" s="9">
        <v>1256.8900000000001</v>
      </c>
      <c r="D1589" s="9">
        <v>1264.73</v>
      </c>
      <c r="E1589" s="9">
        <f t="shared" si="72"/>
        <v>2.9615339257947045E-3</v>
      </c>
      <c r="F1589" s="45">
        <f t="shared" si="73"/>
        <v>5.9620465076704862E-2</v>
      </c>
      <c r="G1589" s="9">
        <f t="shared" si="74"/>
        <v>1.1852784089070006E-2</v>
      </c>
    </row>
    <row r="1590" spans="1:7" x14ac:dyDescent="0.2">
      <c r="A1590" s="12">
        <v>39198</v>
      </c>
      <c r="B1590" s="9">
        <v>1280.3399999999999</v>
      </c>
      <c r="C1590" s="9">
        <v>1262.6199999999999</v>
      </c>
      <c r="D1590" s="9">
        <v>1274.8</v>
      </c>
      <c r="E1590" s="9">
        <f t="shared" si="72"/>
        <v>7.9306428980270224E-3</v>
      </c>
      <c r="F1590" s="45">
        <f t="shared" si="73"/>
        <v>8.0883061718023896E-2</v>
      </c>
      <c r="G1590" s="9">
        <f t="shared" si="74"/>
        <v>1.1536655237700536E-2</v>
      </c>
    </row>
    <row r="1591" spans="1:7" x14ac:dyDescent="0.2">
      <c r="A1591" s="12">
        <v>39199</v>
      </c>
      <c r="B1591" s="9">
        <v>1274.19</v>
      </c>
      <c r="C1591" s="9">
        <v>1257.8399999999999</v>
      </c>
      <c r="D1591" s="9">
        <v>1264.6099999999999</v>
      </c>
      <c r="E1591" s="9">
        <f t="shared" si="72"/>
        <v>-8.0255293111547565E-3</v>
      </c>
      <c r="F1591" s="45">
        <f t="shared" si="73"/>
        <v>0.10652008693105082</v>
      </c>
      <c r="G1591" s="9">
        <f t="shared" si="74"/>
        <v>9.5246158583052916E-3</v>
      </c>
    </row>
    <row r="1592" spans="1:7" x14ac:dyDescent="0.2">
      <c r="A1592" s="12">
        <v>39202</v>
      </c>
      <c r="B1592" s="9">
        <v>1277</v>
      </c>
      <c r="C1592" s="9">
        <v>1262.4100000000001</v>
      </c>
      <c r="D1592" s="9">
        <v>1273.83</v>
      </c>
      <c r="E1592" s="9">
        <f t="shared" si="72"/>
        <v>7.2643360058603917E-3</v>
      </c>
      <c r="F1592" s="45">
        <f t="shared" si="73"/>
        <v>8.7823146187622006E-2</v>
      </c>
      <c r="G1592" s="9">
        <f t="shared" si="74"/>
        <v>8.571674271068969E-3</v>
      </c>
    </row>
    <row r="1593" spans="1:7" x14ac:dyDescent="0.2">
      <c r="A1593" s="12">
        <v>39204</v>
      </c>
      <c r="B1593" s="9">
        <v>1274.99</v>
      </c>
      <c r="C1593" s="9">
        <v>1260.95</v>
      </c>
      <c r="D1593" s="9">
        <v>1267.79</v>
      </c>
      <c r="E1593" s="9">
        <f t="shared" si="72"/>
        <v>-4.7528830983736055E-3</v>
      </c>
      <c r="F1593" s="45">
        <f t="shared" si="73"/>
        <v>8.2856011960396644E-2</v>
      </c>
      <c r="G1593" s="9">
        <f t="shared" si="74"/>
        <v>8.6732603972052881E-3</v>
      </c>
    </row>
    <row r="1594" spans="1:7" x14ac:dyDescent="0.2">
      <c r="A1594" s="12">
        <v>39205</v>
      </c>
      <c r="B1594" s="9">
        <v>1268.4000000000001</v>
      </c>
      <c r="C1594" s="9">
        <v>1249.42</v>
      </c>
      <c r="D1594" s="9">
        <v>1256.75</v>
      </c>
      <c r="E1594" s="9">
        <f t="shared" si="72"/>
        <v>-8.7462035668287013E-3</v>
      </c>
      <c r="F1594" s="45">
        <f t="shared" si="73"/>
        <v>5.5643513249989465E-2</v>
      </c>
      <c r="G1594" s="9">
        <f t="shared" si="74"/>
        <v>8.3926498161438073E-3</v>
      </c>
    </row>
    <row r="1595" spans="1:7" x14ac:dyDescent="0.2">
      <c r="A1595" s="12">
        <v>39206</v>
      </c>
      <c r="B1595" s="9">
        <v>1266.47</v>
      </c>
      <c r="C1595" s="9">
        <v>1249.9000000000001</v>
      </c>
      <c r="D1595" s="9">
        <v>1264.19</v>
      </c>
      <c r="E1595" s="9">
        <f t="shared" si="72"/>
        <v>5.9025772934278419E-3</v>
      </c>
      <c r="F1595" s="45">
        <f t="shared" si="73"/>
        <v>5.5231577677253285E-2</v>
      </c>
      <c r="G1595" s="9">
        <f t="shared" si="74"/>
        <v>8.3854355460124055E-3</v>
      </c>
    </row>
    <row r="1596" spans="1:7" x14ac:dyDescent="0.2">
      <c r="A1596" s="12">
        <v>39209</v>
      </c>
      <c r="B1596" s="9">
        <v>1273.1600000000001</v>
      </c>
      <c r="C1596" s="9">
        <v>1263.5899999999999</v>
      </c>
      <c r="D1596" s="9">
        <v>1272.6199999999999</v>
      </c>
      <c r="E1596" s="9">
        <f t="shared" si="72"/>
        <v>6.6461666663862997E-3</v>
      </c>
      <c r="F1596" s="45">
        <f t="shared" si="73"/>
        <v>5.4872097035107315E-2</v>
      </c>
      <c r="G1596" s="9">
        <f t="shared" si="74"/>
        <v>8.3780545119047315E-3</v>
      </c>
    </row>
    <row r="1597" spans="1:7" x14ac:dyDescent="0.2">
      <c r="A1597" s="12">
        <v>39210</v>
      </c>
      <c r="B1597" s="9">
        <v>1272.92</v>
      </c>
      <c r="C1597" s="9">
        <v>1237.98</v>
      </c>
      <c r="D1597" s="9">
        <v>1240.5899999999999</v>
      </c>
      <c r="E1597" s="9">
        <f t="shared" si="72"/>
        <v>-2.5490694641799757E-2</v>
      </c>
      <c r="F1597" s="45">
        <f t="shared" si="73"/>
        <v>1.3814257730797173E-2</v>
      </c>
      <c r="G1597" s="9">
        <f t="shared" si="74"/>
        <v>9.3532318263381039E-3</v>
      </c>
    </row>
    <row r="1598" spans="1:7" x14ac:dyDescent="0.2">
      <c r="A1598" s="12">
        <v>39211</v>
      </c>
      <c r="B1598" s="9">
        <v>1249.98</v>
      </c>
      <c r="C1598" s="9">
        <v>1227.6099999999999</v>
      </c>
      <c r="D1598" s="9">
        <v>1239.7</v>
      </c>
      <c r="E1598" s="9">
        <f t="shared" si="72"/>
        <v>-7.1765804659785235E-4</v>
      </c>
      <c r="F1598" s="45">
        <f t="shared" si="73"/>
        <v>1.4503311237742889E-2</v>
      </c>
      <c r="G1598" s="9">
        <f t="shared" si="74"/>
        <v>9.3493337533658225E-3</v>
      </c>
    </row>
    <row r="1599" spans="1:7" x14ac:dyDescent="0.2">
      <c r="A1599" s="12">
        <v>39212</v>
      </c>
      <c r="B1599" s="9">
        <v>1243.8399999999999</v>
      </c>
      <c r="C1599" s="9">
        <v>1221.69</v>
      </c>
      <c r="D1599" s="9">
        <v>1221.69</v>
      </c>
      <c r="E1599" s="9">
        <f t="shared" si="72"/>
        <v>-1.4634268783130762E-2</v>
      </c>
      <c r="F1599" s="45">
        <f t="shared" si="73"/>
        <v>1.2710482286697527E-2</v>
      </c>
      <c r="G1599" s="9">
        <f t="shared" si="74"/>
        <v>9.4427070485586309E-3</v>
      </c>
    </row>
    <row r="1600" spans="1:7" x14ac:dyDescent="0.2">
      <c r="A1600" s="12">
        <v>39213</v>
      </c>
      <c r="B1600" s="9">
        <v>1244.6099999999999</v>
      </c>
      <c r="C1600" s="9">
        <v>1208.1600000000001</v>
      </c>
      <c r="D1600" s="9">
        <v>1240.3900000000001</v>
      </c>
      <c r="E1600" s="9">
        <f t="shared" ref="E1600:E1663" si="75">LN(D1600/D1599)</f>
        <v>1.5190700217315039E-2</v>
      </c>
      <c r="F1600" s="45">
        <f t="shared" si="73"/>
        <v>2.0986342630293857E-2</v>
      </c>
      <c r="G1600" s="9">
        <f t="shared" si="74"/>
        <v>9.7546159974155836E-3</v>
      </c>
    </row>
    <row r="1601" spans="1:7" x14ac:dyDescent="0.2">
      <c r="A1601" s="12">
        <v>39216</v>
      </c>
      <c r="B1601" s="9">
        <v>1255</v>
      </c>
      <c r="C1601" s="9">
        <v>1241.04</v>
      </c>
      <c r="D1601" s="9">
        <v>1254.45</v>
      </c>
      <c r="E1601" s="9">
        <f t="shared" si="75"/>
        <v>1.1271383217359076E-2</v>
      </c>
      <c r="F1601" s="45">
        <f t="shared" si="73"/>
        <v>4.3426123683964486E-2</v>
      </c>
      <c r="G1601" s="9">
        <f t="shared" si="74"/>
        <v>9.6732021926721132E-3</v>
      </c>
    </row>
    <row r="1602" spans="1:7" x14ac:dyDescent="0.2">
      <c r="A1602" s="12">
        <v>39217</v>
      </c>
      <c r="B1602" s="9">
        <v>1261.4000000000001</v>
      </c>
      <c r="C1602" s="9">
        <v>1246.8399999999999</v>
      </c>
      <c r="D1602" s="9">
        <v>1257.5999999999999</v>
      </c>
      <c r="E1602" s="9">
        <f t="shared" si="75"/>
        <v>2.5079131792975387E-3</v>
      </c>
      <c r="F1602" s="45">
        <f t="shared" si="73"/>
        <v>3.505383414527307E-2</v>
      </c>
      <c r="G1602" s="9">
        <f t="shared" si="74"/>
        <v>9.5110953249783001E-3</v>
      </c>
    </row>
    <row r="1603" spans="1:7" x14ac:dyDescent="0.2">
      <c r="A1603" s="12">
        <v>39218</v>
      </c>
      <c r="B1603" s="9">
        <v>1261.78</v>
      </c>
      <c r="C1603" s="9">
        <v>1253.3499999999999</v>
      </c>
      <c r="D1603" s="9">
        <v>1259.27</v>
      </c>
      <c r="E1603" s="9">
        <f t="shared" si="75"/>
        <v>1.3270452944167583E-3</v>
      </c>
      <c r="F1603" s="45">
        <f t="shared" si="73"/>
        <v>3.6273825842792637E-2</v>
      </c>
      <c r="G1603" s="9">
        <f t="shared" si="74"/>
        <v>9.509008513621681E-3</v>
      </c>
    </row>
    <row r="1604" spans="1:7" x14ac:dyDescent="0.2">
      <c r="A1604" s="12">
        <v>39220</v>
      </c>
      <c r="B1604" s="9">
        <v>1272.1500000000001</v>
      </c>
      <c r="C1604" s="9">
        <v>1259.26</v>
      </c>
      <c r="D1604" s="9">
        <v>1269.46</v>
      </c>
      <c r="E1604" s="9">
        <f t="shared" si="75"/>
        <v>8.0594252110714193E-3</v>
      </c>
      <c r="F1604" s="45">
        <f t="shared" si="73"/>
        <v>3.4851089031038431E-2</v>
      </c>
      <c r="G1604" s="9">
        <f t="shared" si="74"/>
        <v>9.4697923554016745E-3</v>
      </c>
    </row>
    <row r="1605" spans="1:7" x14ac:dyDescent="0.2">
      <c r="A1605" s="12">
        <v>39223</v>
      </c>
      <c r="B1605" s="9">
        <v>1278.53</v>
      </c>
      <c r="C1605" s="9">
        <v>1262.53</v>
      </c>
      <c r="D1605" s="9">
        <v>1263.3</v>
      </c>
      <c r="E1605" s="9">
        <f t="shared" si="75"/>
        <v>-4.8642683444384107E-3</v>
      </c>
      <c r="F1605" s="45">
        <f t="shared" si="73"/>
        <v>1.4134088384666109E-2</v>
      </c>
      <c r="G1605" s="9">
        <f t="shared" si="74"/>
        <v>9.1100769655094831E-3</v>
      </c>
    </row>
    <row r="1606" spans="1:7" x14ac:dyDescent="0.2">
      <c r="A1606" s="12">
        <v>39224</v>
      </c>
      <c r="B1606" s="9">
        <v>1270.94</v>
      </c>
      <c r="C1606" s="9">
        <v>1252.7</v>
      </c>
      <c r="D1606" s="9">
        <v>1255.49</v>
      </c>
      <c r="E1606" s="9">
        <f t="shared" si="75"/>
        <v>-6.2014102242739563E-3</v>
      </c>
      <c r="F1606" s="45">
        <f t="shared" si="73"/>
        <v>1.1261993660269295E-2</v>
      </c>
      <c r="G1606" s="9">
        <f t="shared" si="74"/>
        <v>9.1663102155347467E-3</v>
      </c>
    </row>
    <row r="1607" spans="1:7" x14ac:dyDescent="0.2">
      <c r="A1607" s="12">
        <v>39225</v>
      </c>
      <c r="B1607" s="9">
        <v>1279.17</v>
      </c>
      <c r="C1607" s="9">
        <v>1255.1500000000001</v>
      </c>
      <c r="D1607" s="9">
        <v>1279.17</v>
      </c>
      <c r="E1607" s="9">
        <f t="shared" si="75"/>
        <v>1.8685495475422153E-2</v>
      </c>
      <c r="F1607" s="45">
        <f t="shared" si="73"/>
        <v>2.9343529558464747E-2</v>
      </c>
      <c r="G1607" s="9">
        <f t="shared" si="74"/>
        <v>9.7572702263928092E-3</v>
      </c>
    </row>
    <row r="1608" spans="1:7" x14ac:dyDescent="0.2">
      <c r="A1608" s="12">
        <v>39226</v>
      </c>
      <c r="B1608" s="9">
        <v>1284.43</v>
      </c>
      <c r="C1608" s="9">
        <v>1266.96</v>
      </c>
      <c r="D1608" s="9">
        <v>1273.0899999999999</v>
      </c>
      <c r="E1608" s="9">
        <f t="shared" si="75"/>
        <v>-4.7644138929001517E-3</v>
      </c>
      <c r="F1608" s="45">
        <f t="shared" si="73"/>
        <v>1.3729939427927149E-2</v>
      </c>
      <c r="G1608" s="9">
        <f t="shared" si="74"/>
        <v>9.6281521070603719E-3</v>
      </c>
    </row>
    <row r="1609" spans="1:7" x14ac:dyDescent="0.2">
      <c r="A1609" s="12">
        <v>39227</v>
      </c>
      <c r="B1609" s="9">
        <v>1275.1300000000001</v>
      </c>
      <c r="C1609" s="9">
        <v>1266.1400000000001</v>
      </c>
      <c r="D1609" s="9">
        <v>1269.04</v>
      </c>
      <c r="E1609" s="9">
        <f t="shared" si="75"/>
        <v>-3.1863070940400403E-3</v>
      </c>
      <c r="F1609" s="45">
        <f t="shared" si="73"/>
        <v>1.5765367846596191E-2</v>
      </c>
      <c r="G1609" s="9">
        <f t="shared" si="74"/>
        <v>9.5938610432803901E-3</v>
      </c>
    </row>
    <row r="1610" spans="1:7" x14ac:dyDescent="0.2">
      <c r="A1610" s="12">
        <v>39230</v>
      </c>
      <c r="B1610" s="9">
        <v>1276.82</v>
      </c>
      <c r="C1610" s="9">
        <v>1269.3499999999999</v>
      </c>
      <c r="D1610" s="9">
        <v>1275.0899999999999</v>
      </c>
      <c r="E1610" s="9">
        <f t="shared" si="75"/>
        <v>4.7560552363886226E-3</v>
      </c>
      <c r="F1610" s="45">
        <f t="shared" si="73"/>
        <v>1.73085047180934E-2</v>
      </c>
      <c r="G1610" s="9">
        <f t="shared" si="74"/>
        <v>9.6128844721992176E-3</v>
      </c>
    </row>
    <row r="1611" spans="1:7" x14ac:dyDescent="0.2">
      <c r="A1611" s="12">
        <v>39231</v>
      </c>
      <c r="B1611" s="9">
        <v>1280.52</v>
      </c>
      <c r="C1611" s="9">
        <v>1268.7</v>
      </c>
      <c r="D1611" s="9">
        <v>1271.01</v>
      </c>
      <c r="E1611" s="9">
        <f t="shared" si="75"/>
        <v>-3.2049043574717355E-3</v>
      </c>
      <c r="F1611" s="45">
        <f t="shared" si="73"/>
        <v>5.9024688632919398E-3</v>
      </c>
      <c r="G1611" s="9">
        <f t="shared" si="74"/>
        <v>9.5261103659076366E-3</v>
      </c>
    </row>
    <row r="1612" spans="1:7" x14ac:dyDescent="0.2">
      <c r="A1612" s="12">
        <v>39232</v>
      </c>
      <c r="B1612" s="9">
        <v>1270.3900000000001</v>
      </c>
      <c r="C1612" s="9">
        <v>1254.3</v>
      </c>
      <c r="D1612" s="9">
        <v>1261.27</v>
      </c>
      <c r="E1612" s="9">
        <f t="shared" si="75"/>
        <v>-7.6927101525832873E-3</v>
      </c>
      <c r="F1612" s="45">
        <f t="shared" si="73"/>
        <v>-1.2895476287981834E-2</v>
      </c>
      <c r="G1612" s="9">
        <f t="shared" si="74"/>
        <v>9.4012587599023797E-3</v>
      </c>
    </row>
    <row r="1613" spans="1:7" x14ac:dyDescent="0.2">
      <c r="A1613" s="12">
        <v>39233</v>
      </c>
      <c r="B1613" s="9">
        <v>1281.31</v>
      </c>
      <c r="C1613" s="9">
        <v>1262.5</v>
      </c>
      <c r="D1613" s="9">
        <v>1276.32</v>
      </c>
      <c r="E1613" s="9">
        <f t="shared" si="75"/>
        <v>1.1861787336286077E-2</v>
      </c>
      <c r="F1613" s="45">
        <f t="shared" si="73"/>
        <v>-1.5266640664366785E-3</v>
      </c>
      <c r="G1613" s="9">
        <f t="shared" si="74"/>
        <v>9.6651715941386412E-3</v>
      </c>
    </row>
    <row r="1614" spans="1:7" x14ac:dyDescent="0.2">
      <c r="A1614" s="12">
        <v>39234</v>
      </c>
      <c r="B1614" s="9">
        <v>1293.46</v>
      </c>
      <c r="C1614" s="9">
        <v>1276.56</v>
      </c>
      <c r="D1614" s="9">
        <v>1292.02</v>
      </c>
      <c r="E1614" s="9">
        <f t="shared" si="75"/>
        <v>1.2225947936076799E-2</v>
      </c>
      <c r="F1614" s="45">
        <f t="shared" si="73"/>
        <v>1.5812980396021765E-2</v>
      </c>
      <c r="G1614" s="9">
        <f t="shared" si="74"/>
        <v>9.8683005308082255E-3</v>
      </c>
    </row>
    <row r="1615" spans="1:7" x14ac:dyDescent="0.2">
      <c r="A1615" s="12">
        <v>39237</v>
      </c>
      <c r="B1615" s="9">
        <v>1296.08</v>
      </c>
      <c r="C1615" s="9">
        <v>1280.8599999999999</v>
      </c>
      <c r="D1615" s="9">
        <v>1284.82</v>
      </c>
      <c r="E1615" s="9">
        <f t="shared" si="75"/>
        <v>-5.5882544024019303E-3</v>
      </c>
      <c r="F1615" s="45">
        <f t="shared" si="73"/>
        <v>1.3666853269287673E-2</v>
      </c>
      <c r="G1615" s="9">
        <f t="shared" si="74"/>
        <v>9.9057742972242478E-3</v>
      </c>
    </row>
    <row r="1616" spans="1:7" x14ac:dyDescent="0.2">
      <c r="A1616" s="12">
        <v>39238</v>
      </c>
      <c r="B1616" s="9">
        <v>1291.49</v>
      </c>
      <c r="C1616" s="9">
        <v>1276.8599999999999</v>
      </c>
      <c r="D1616" s="9">
        <v>1281.04</v>
      </c>
      <c r="E1616" s="9">
        <f t="shared" si="75"/>
        <v>-2.9463826822729014E-3</v>
      </c>
      <c r="F1616" s="45">
        <f t="shared" si="73"/>
        <v>-8.8950622667280301E-4</v>
      </c>
      <c r="G1616" s="9">
        <f t="shared" si="74"/>
        <v>9.6948189141977531E-3</v>
      </c>
    </row>
    <row r="1617" spans="1:7" x14ac:dyDescent="0.2">
      <c r="A1617" s="12">
        <v>39240</v>
      </c>
      <c r="B1617" s="9">
        <v>1279.72</v>
      </c>
      <c r="C1617" s="9">
        <v>1227.48</v>
      </c>
      <c r="D1617" s="9">
        <v>1232.8</v>
      </c>
      <c r="E1617" s="9">
        <f t="shared" si="75"/>
        <v>-3.838424300831534E-2</v>
      </c>
      <c r="F1617" s="45">
        <f t="shared" si="73"/>
        <v>-3.63447575643044E-2</v>
      </c>
      <c r="G1617" s="9">
        <f t="shared" si="74"/>
        <v>1.1957485049659312E-2</v>
      </c>
    </row>
    <row r="1618" spans="1:7" x14ac:dyDescent="0.2">
      <c r="A1618" s="12">
        <v>39241</v>
      </c>
      <c r="B1618" s="9">
        <v>1243.53</v>
      </c>
      <c r="C1618" s="9">
        <v>1211.4000000000001</v>
      </c>
      <c r="D1618" s="9">
        <v>1238.9100000000001</v>
      </c>
      <c r="E1618" s="9">
        <f t="shared" si="75"/>
        <v>4.9439557596986329E-3</v>
      </c>
      <c r="F1618" s="45">
        <f t="shared" si="73"/>
        <v>-1.766516595375479E-2</v>
      </c>
      <c r="G1618" s="9">
        <f t="shared" si="74"/>
        <v>1.1767674107056049E-2</v>
      </c>
    </row>
    <row r="1619" spans="1:7" x14ac:dyDescent="0.2">
      <c r="A1619" s="12">
        <v>39244</v>
      </c>
      <c r="B1619" s="9">
        <v>1254.26</v>
      </c>
      <c r="C1619" s="9">
        <v>1240.3900000000001</v>
      </c>
      <c r="D1619" s="9">
        <v>1249.7</v>
      </c>
      <c r="E1619" s="9">
        <f t="shared" si="75"/>
        <v>8.6715617261333873E-3</v>
      </c>
      <c r="F1619" s="45">
        <f t="shared" si="73"/>
        <v>-1.1955138153416239E-2</v>
      </c>
      <c r="G1619" s="9">
        <f t="shared" si="74"/>
        <v>1.1872787664766767E-2</v>
      </c>
    </row>
    <row r="1620" spans="1:7" x14ac:dyDescent="0.2">
      <c r="A1620" s="12">
        <v>39245</v>
      </c>
      <c r="B1620" s="9">
        <v>1259.0999999999999</v>
      </c>
      <c r="C1620" s="9">
        <v>1230.3800000000001</v>
      </c>
      <c r="D1620" s="9">
        <v>1237.4000000000001</v>
      </c>
      <c r="E1620" s="9">
        <f t="shared" si="75"/>
        <v>-9.891118394849522E-3</v>
      </c>
      <c r="F1620" s="45">
        <f t="shared" si="73"/>
        <v>-2.9776899446292825E-2</v>
      </c>
      <c r="G1620" s="9">
        <f t="shared" si="74"/>
        <v>1.1887514990685145E-2</v>
      </c>
    </row>
    <row r="1621" spans="1:7" x14ac:dyDescent="0.2">
      <c r="A1621" s="12">
        <v>39246</v>
      </c>
      <c r="B1621" s="9">
        <v>1247.43</v>
      </c>
      <c r="C1621" s="9">
        <v>1226.21</v>
      </c>
      <c r="D1621" s="9">
        <v>1244.43</v>
      </c>
      <c r="E1621" s="9">
        <f t="shared" si="75"/>
        <v>5.6651896398574597E-3</v>
      </c>
      <c r="F1621" s="45">
        <f t="shared" si="73"/>
        <v>-1.6086180495280569E-2</v>
      </c>
      <c r="G1621" s="9">
        <f t="shared" si="74"/>
        <v>1.187099125969868E-2</v>
      </c>
    </row>
    <row r="1622" spans="1:7" x14ac:dyDescent="0.2">
      <c r="A1622" s="12">
        <v>39247</v>
      </c>
      <c r="B1622" s="9">
        <v>1269.46</v>
      </c>
      <c r="C1622" s="9">
        <v>1245.54</v>
      </c>
      <c r="D1622" s="9">
        <v>1267.73</v>
      </c>
      <c r="E1622" s="9">
        <f t="shared" si="75"/>
        <v>1.8550305832871438E-2</v>
      </c>
      <c r="F1622" s="45">
        <f t="shared" si="73"/>
        <v>-4.8002106682694286E-3</v>
      </c>
      <c r="G1622" s="9">
        <f t="shared" si="74"/>
        <v>1.229787377106633E-2</v>
      </c>
    </row>
    <row r="1623" spans="1:7" x14ac:dyDescent="0.2">
      <c r="A1623" s="12">
        <v>39248</v>
      </c>
      <c r="B1623" s="9">
        <v>1279.93</v>
      </c>
      <c r="C1623" s="9">
        <v>1267.3699999999999</v>
      </c>
      <c r="D1623" s="9">
        <v>1276.03</v>
      </c>
      <c r="E1623" s="9">
        <f t="shared" si="75"/>
        <v>6.5257960305259068E-3</v>
      </c>
      <c r="F1623" s="45">
        <f t="shared" si="73"/>
        <v>6.4784684606301497E-3</v>
      </c>
      <c r="G1623" s="9">
        <f t="shared" si="74"/>
        <v>1.2324993452373896E-2</v>
      </c>
    </row>
    <row r="1624" spans="1:7" x14ac:dyDescent="0.2">
      <c r="A1624" s="12">
        <v>39251</v>
      </c>
      <c r="B1624" s="9">
        <v>1288.0999999999999</v>
      </c>
      <c r="C1624" s="9">
        <v>1276.77</v>
      </c>
      <c r="D1624" s="9">
        <v>1288.0899999999999</v>
      </c>
      <c r="E1624" s="9">
        <f t="shared" si="75"/>
        <v>9.4068053993546022E-3</v>
      </c>
      <c r="F1624" s="45">
        <f t="shared" si="73"/>
        <v>2.463147742681341E-2</v>
      </c>
      <c r="G1624" s="9">
        <f t="shared" si="74"/>
        <v>1.2315431471945288E-2</v>
      </c>
    </row>
    <row r="1625" spans="1:7" x14ac:dyDescent="0.2">
      <c r="A1625" s="12">
        <v>39252</v>
      </c>
      <c r="B1625" s="9">
        <v>1290.73</v>
      </c>
      <c r="C1625" s="9">
        <v>1274.71</v>
      </c>
      <c r="D1625" s="9">
        <v>1276.6099999999999</v>
      </c>
      <c r="E1625" s="9">
        <f t="shared" si="75"/>
        <v>-8.9523739009990562E-3</v>
      </c>
      <c r="F1625" s="45">
        <f t="shared" si="73"/>
        <v>9.7765262323864302E-3</v>
      </c>
      <c r="G1625" s="9">
        <f t="shared" si="74"/>
        <v>1.2402402350887189E-2</v>
      </c>
    </row>
    <row r="1626" spans="1:7" x14ac:dyDescent="0.2">
      <c r="A1626" s="12">
        <v>39253</v>
      </c>
      <c r="B1626" s="9">
        <v>1286.08</v>
      </c>
      <c r="C1626" s="9">
        <v>1272.28</v>
      </c>
      <c r="D1626" s="9">
        <v>1278.52</v>
      </c>
      <c r="E1626" s="9">
        <f t="shared" si="75"/>
        <v>1.4950318424164018E-3</v>
      </c>
      <c r="F1626" s="45">
        <f t="shared" si="73"/>
        <v>4.625391408416433E-3</v>
      </c>
      <c r="G1626" s="9">
        <f t="shared" si="74"/>
        <v>1.2347419667563348E-2</v>
      </c>
    </row>
    <row r="1627" spans="1:7" x14ac:dyDescent="0.2">
      <c r="A1627" s="12">
        <v>39254</v>
      </c>
      <c r="B1627" s="9">
        <v>1276.55</v>
      </c>
      <c r="C1627" s="9">
        <v>1250.8599999999999</v>
      </c>
      <c r="D1627" s="9">
        <v>1252.8800000000001</v>
      </c>
      <c r="E1627" s="9">
        <f t="shared" si="75"/>
        <v>-2.0258257782736867E-2</v>
      </c>
      <c r="F1627" s="45">
        <f t="shared" si="73"/>
        <v>9.8578282674794231E-3</v>
      </c>
      <c r="G1627" s="9">
        <f t="shared" si="74"/>
        <v>1.2004883792994336E-2</v>
      </c>
    </row>
    <row r="1628" spans="1:7" x14ac:dyDescent="0.2">
      <c r="A1628" s="12">
        <v>39258</v>
      </c>
      <c r="B1628" s="9">
        <v>1251.9000000000001</v>
      </c>
      <c r="C1628" s="9">
        <v>1234.6600000000001</v>
      </c>
      <c r="D1628" s="9">
        <v>1250.1600000000001</v>
      </c>
      <c r="E1628" s="9">
        <f t="shared" si="75"/>
        <v>-2.17335805313266E-3</v>
      </c>
      <c r="F1628" s="45">
        <f t="shared" si="73"/>
        <v>8.4021282609446583E-3</v>
      </c>
      <c r="G1628" s="9">
        <f t="shared" si="74"/>
        <v>1.2012198250876098E-2</v>
      </c>
    </row>
    <row r="1629" spans="1:7" x14ac:dyDescent="0.2">
      <c r="A1629" s="12">
        <v>39259</v>
      </c>
      <c r="B1629" s="9">
        <v>1249.67</v>
      </c>
      <c r="C1629" s="9">
        <v>1234.83</v>
      </c>
      <c r="D1629" s="9">
        <v>1244.47</v>
      </c>
      <c r="E1629" s="9">
        <f t="shared" si="75"/>
        <v>-4.5618066546484785E-3</v>
      </c>
      <c r="F1629" s="45">
        <f t="shared" si="73"/>
        <v>1.8474590389426847E-2</v>
      </c>
      <c r="G1629" s="9">
        <f t="shared" si="74"/>
        <v>1.1718124379914907E-2</v>
      </c>
    </row>
    <row r="1630" spans="1:7" x14ac:dyDescent="0.2">
      <c r="A1630" s="12">
        <v>39260</v>
      </c>
      <c r="B1630" s="9">
        <v>1246.52</v>
      </c>
      <c r="C1630" s="9">
        <v>1229.18</v>
      </c>
      <c r="D1630" s="9">
        <v>1241.22</v>
      </c>
      <c r="E1630" s="9">
        <f t="shared" si="75"/>
        <v>-2.6149695673844471E-3</v>
      </c>
      <c r="F1630" s="45">
        <f t="shared" si="73"/>
        <v>6.6892060472747939E-4</v>
      </c>
      <c r="G1630" s="9">
        <f t="shared" si="74"/>
        <v>1.1401091182552774E-2</v>
      </c>
    </row>
    <row r="1631" spans="1:7" x14ac:dyDescent="0.2">
      <c r="A1631" s="12">
        <v>39261</v>
      </c>
      <c r="B1631" s="9">
        <v>1258.83</v>
      </c>
      <c r="C1631" s="9">
        <v>1242.33</v>
      </c>
      <c r="D1631" s="9">
        <v>1257.94</v>
      </c>
      <c r="E1631" s="9">
        <f t="shared" si="75"/>
        <v>1.3380695486364868E-2</v>
      </c>
      <c r="F1631" s="45">
        <f t="shared" si="73"/>
        <v>2.7782328737334331E-3</v>
      </c>
      <c r="G1631" s="9">
        <f t="shared" si="74"/>
        <v>1.1479093568878577E-2</v>
      </c>
    </row>
    <row r="1632" spans="1:7" x14ac:dyDescent="0.2">
      <c r="A1632" s="12">
        <v>39262</v>
      </c>
      <c r="B1632" s="9">
        <v>1261.9100000000001</v>
      </c>
      <c r="C1632" s="9">
        <v>1247.28</v>
      </c>
      <c r="D1632" s="9">
        <v>1254.8599999999999</v>
      </c>
      <c r="E1632" s="9">
        <f t="shared" si="75"/>
        <v>-2.4514498109404312E-3</v>
      </c>
      <c r="F1632" s="45">
        <f t="shared" si="73"/>
        <v>-2.1811301165046795E-3</v>
      </c>
      <c r="G1632" s="9">
        <f t="shared" si="74"/>
        <v>1.1478821235439609E-2</v>
      </c>
    </row>
    <row r="1633" spans="1:7" x14ac:dyDescent="0.2">
      <c r="A1633" s="12">
        <v>39265</v>
      </c>
      <c r="B1633" s="9">
        <v>1256.6199999999999</v>
      </c>
      <c r="C1633" s="9">
        <v>1243.27</v>
      </c>
      <c r="D1633" s="9">
        <v>1254.49</v>
      </c>
      <c r="E1633" s="9">
        <f t="shared" si="75"/>
        <v>-2.9489708703951261E-4</v>
      </c>
      <c r="F1633" s="45">
        <f t="shared" ref="F1633:F1696" si="76">LN(D1633/D1603)</f>
        <v>-3.803072497960911E-3</v>
      </c>
      <c r="G1633" s="9">
        <f t="shared" ref="G1633:G1696" si="77">STDEV(E1604:E1633)</f>
        <v>1.1475820385945603E-2</v>
      </c>
    </row>
    <row r="1634" spans="1:7" x14ac:dyDescent="0.2">
      <c r="A1634" s="12">
        <v>39266</v>
      </c>
      <c r="B1634" s="9">
        <v>1275.45</v>
      </c>
      <c r="C1634" s="9">
        <v>1255.3399999999999</v>
      </c>
      <c r="D1634" s="9">
        <v>1274.49</v>
      </c>
      <c r="E1634" s="9">
        <f t="shared" si="75"/>
        <v>1.5816983099788823E-2</v>
      </c>
      <c r="F1634" s="45">
        <f t="shared" si="76"/>
        <v>3.9544853907565354E-3</v>
      </c>
      <c r="G1634" s="9">
        <f t="shared" si="77"/>
        <v>1.1750748499838887E-2</v>
      </c>
    </row>
    <row r="1635" spans="1:7" x14ac:dyDescent="0.2">
      <c r="A1635" s="12">
        <v>39267</v>
      </c>
      <c r="B1635" s="9">
        <v>1282.55</v>
      </c>
      <c r="C1635" s="9">
        <v>1273.3599999999999</v>
      </c>
      <c r="D1635" s="9">
        <v>1279.49</v>
      </c>
      <c r="E1635" s="9">
        <f t="shared" si="75"/>
        <v>3.9154624451648501E-3</v>
      </c>
      <c r="F1635" s="45">
        <f t="shared" si="76"/>
        <v>1.27342161803599E-2</v>
      </c>
      <c r="G1635" s="9">
        <f t="shared" si="77"/>
        <v>1.1731343635923486E-2</v>
      </c>
    </row>
    <row r="1636" spans="1:7" x14ac:dyDescent="0.2">
      <c r="A1636" s="12">
        <v>39268</v>
      </c>
      <c r="B1636" s="9">
        <v>1283.45</v>
      </c>
      <c r="C1636" s="9">
        <v>1271.33</v>
      </c>
      <c r="D1636" s="9">
        <v>1274.07</v>
      </c>
      <c r="E1636" s="9">
        <f t="shared" si="75"/>
        <v>-4.245060338722113E-3</v>
      </c>
      <c r="F1636" s="45">
        <f t="shared" si="76"/>
        <v>1.4690566065911612E-2</v>
      </c>
      <c r="G1636" s="9">
        <f t="shared" si="77"/>
        <v>1.169863374645266E-2</v>
      </c>
    </row>
    <row r="1637" spans="1:7" x14ac:dyDescent="0.2">
      <c r="A1637" s="12">
        <v>39269</v>
      </c>
      <c r="B1637" s="9">
        <v>1279.82</v>
      </c>
      <c r="C1637" s="9">
        <v>1271.58</v>
      </c>
      <c r="D1637" s="9">
        <v>1278.3800000000001</v>
      </c>
      <c r="E1637" s="9">
        <f t="shared" si="75"/>
        <v>3.3771506563088564E-3</v>
      </c>
      <c r="F1637" s="45">
        <f t="shared" si="76"/>
        <v>-6.1777875320154837E-4</v>
      </c>
      <c r="G1637" s="9">
        <f t="shared" si="77"/>
        <v>1.1200864122905477E-2</v>
      </c>
    </row>
    <row r="1638" spans="1:7" x14ac:dyDescent="0.2">
      <c r="A1638" s="12">
        <v>39272</v>
      </c>
      <c r="B1638" s="9">
        <v>1293.28</v>
      </c>
      <c r="C1638" s="9">
        <v>1278.3800000000001</v>
      </c>
      <c r="D1638" s="9">
        <v>1293.25</v>
      </c>
      <c r="E1638" s="9">
        <f t="shared" si="75"/>
        <v>1.1564778549686001E-2</v>
      </c>
      <c r="F1638" s="45">
        <f t="shared" si="76"/>
        <v>1.5711413689384779E-2</v>
      </c>
      <c r="G1638" s="9">
        <f t="shared" si="77"/>
        <v>1.1358044781861941E-2</v>
      </c>
    </row>
    <row r="1639" spans="1:7" x14ac:dyDescent="0.2">
      <c r="A1639" s="12">
        <v>39273</v>
      </c>
      <c r="B1639" s="9">
        <v>1302.3399999999999</v>
      </c>
      <c r="C1639" s="9">
        <v>1279.17</v>
      </c>
      <c r="D1639" s="9">
        <v>1284.98</v>
      </c>
      <c r="E1639" s="9">
        <f t="shared" si="75"/>
        <v>-6.4152758777624025E-3</v>
      </c>
      <c r="F1639" s="45">
        <f t="shared" si="76"/>
        <v>1.2482444905662237E-2</v>
      </c>
      <c r="G1639" s="9">
        <f t="shared" si="77"/>
        <v>1.1409596744166169E-2</v>
      </c>
    </row>
    <row r="1640" spans="1:7" x14ac:dyDescent="0.2">
      <c r="A1640" s="12">
        <v>39274</v>
      </c>
      <c r="B1640" s="9">
        <v>1284.5999999999999</v>
      </c>
      <c r="C1640" s="9">
        <v>1271.3699999999999</v>
      </c>
      <c r="D1640" s="9">
        <v>1284.58</v>
      </c>
      <c r="E1640" s="9">
        <f t="shared" si="75"/>
        <v>-3.113373521000857E-4</v>
      </c>
      <c r="F1640" s="45">
        <f t="shared" si="76"/>
        <v>7.4150523171738003E-3</v>
      </c>
      <c r="G1640" s="9">
        <f t="shared" si="77"/>
        <v>1.1380603364513008E-2</v>
      </c>
    </row>
    <row r="1641" spans="1:7" x14ac:dyDescent="0.2">
      <c r="A1641" s="12">
        <v>39275</v>
      </c>
      <c r="B1641" s="9">
        <v>1309.6300000000001</v>
      </c>
      <c r="C1641" s="9">
        <v>1282.56</v>
      </c>
      <c r="D1641" s="9">
        <v>1307.3</v>
      </c>
      <c r="E1641" s="9">
        <f t="shared" si="75"/>
        <v>1.7532124914052271E-2</v>
      </c>
      <c r="F1641" s="45">
        <f t="shared" si="76"/>
        <v>2.8152081588697735E-2</v>
      </c>
      <c r="G1641" s="9">
        <f t="shared" si="77"/>
        <v>1.1786234846870029E-2</v>
      </c>
    </row>
    <row r="1642" spans="1:7" x14ac:dyDescent="0.2">
      <c r="A1642" s="12">
        <v>39276</v>
      </c>
      <c r="B1642" s="9">
        <v>1321.83</v>
      </c>
      <c r="C1642" s="9">
        <v>1304.23</v>
      </c>
      <c r="D1642" s="9">
        <v>1308.76</v>
      </c>
      <c r="E1642" s="9">
        <f t="shared" si="75"/>
        <v>1.1161824664418763E-3</v>
      </c>
      <c r="F1642" s="45">
        <f t="shared" si="76"/>
        <v>3.6960974207722978E-2</v>
      </c>
      <c r="G1642" s="9">
        <f t="shared" si="77"/>
        <v>1.1672977292632031E-2</v>
      </c>
    </row>
    <row r="1643" spans="1:7" x14ac:dyDescent="0.2">
      <c r="A1643" s="12">
        <v>39279</v>
      </c>
      <c r="B1643" s="9">
        <v>1316.44</v>
      </c>
      <c r="C1643" s="9">
        <v>1306.71</v>
      </c>
      <c r="D1643" s="9">
        <v>1311.87</v>
      </c>
      <c r="E1643" s="9">
        <f t="shared" si="75"/>
        <v>2.3734761946450616E-3</v>
      </c>
      <c r="F1643" s="45">
        <f t="shared" si="76"/>
        <v>2.7472663066082204E-2</v>
      </c>
      <c r="G1643" s="9">
        <f t="shared" si="77"/>
        <v>1.1502329355902606E-2</v>
      </c>
    </row>
    <row r="1644" spans="1:7" x14ac:dyDescent="0.2">
      <c r="A1644" s="12">
        <v>39280</v>
      </c>
      <c r="B1644" s="9">
        <v>1312.9</v>
      </c>
      <c r="C1644" s="9">
        <v>1298.93</v>
      </c>
      <c r="D1644" s="9">
        <v>1300.28</v>
      </c>
      <c r="E1644" s="9">
        <f t="shared" si="75"/>
        <v>-8.873974355824911E-3</v>
      </c>
      <c r="F1644" s="45">
        <f t="shared" si="76"/>
        <v>6.3727407741803691E-3</v>
      </c>
      <c r="G1644" s="9">
        <f t="shared" si="77"/>
        <v>1.1431779613326776E-2</v>
      </c>
    </row>
    <row r="1645" spans="1:7" x14ac:dyDescent="0.2">
      <c r="A1645" s="12">
        <v>39281</v>
      </c>
      <c r="B1645" s="9">
        <v>1303.58</v>
      </c>
      <c r="C1645" s="9">
        <v>1289.18</v>
      </c>
      <c r="D1645" s="9">
        <v>1291.75</v>
      </c>
      <c r="E1645" s="9">
        <f t="shared" si="75"/>
        <v>-6.5817377057824722E-3</v>
      </c>
      <c r="F1645" s="45">
        <f t="shared" si="76"/>
        <v>5.3792574707997656E-3</v>
      </c>
      <c r="G1645" s="9">
        <f t="shared" si="77"/>
        <v>1.1450586241779116E-2</v>
      </c>
    </row>
    <row r="1646" spans="1:7" x14ac:dyDescent="0.2">
      <c r="A1646" s="12">
        <v>39282</v>
      </c>
      <c r="B1646" s="9">
        <v>1308.45</v>
      </c>
      <c r="C1646" s="9">
        <v>1292.72</v>
      </c>
      <c r="D1646" s="9">
        <v>1302.96</v>
      </c>
      <c r="E1646" s="9">
        <f t="shared" si="75"/>
        <v>8.6407110980114242E-3</v>
      </c>
      <c r="F1646" s="45">
        <f t="shared" si="76"/>
        <v>1.6966351251084064E-2</v>
      </c>
      <c r="G1646" s="9">
        <f t="shared" si="77"/>
        <v>1.153661616214384E-2</v>
      </c>
    </row>
    <row r="1647" spans="1:7" x14ac:dyDescent="0.2">
      <c r="A1647" s="12">
        <v>39283</v>
      </c>
      <c r="B1647" s="9">
        <v>1303.5999999999999</v>
      </c>
      <c r="C1647" s="9">
        <v>1283.17</v>
      </c>
      <c r="D1647" s="9">
        <v>1283.17</v>
      </c>
      <c r="E1647" s="9">
        <f t="shared" si="75"/>
        <v>-1.530502047871859E-2</v>
      </c>
      <c r="F1647" s="45">
        <f t="shared" si="76"/>
        <v>4.0045573780680861E-2</v>
      </c>
      <c r="G1647" s="9">
        <f t="shared" si="77"/>
        <v>9.4262028509262217E-3</v>
      </c>
    </row>
    <row r="1648" spans="1:7" x14ac:dyDescent="0.2">
      <c r="A1648" s="12">
        <v>39286</v>
      </c>
      <c r="B1648" s="9">
        <v>1293.67</v>
      </c>
      <c r="C1648" s="9">
        <v>1280.2</v>
      </c>
      <c r="D1648" s="9">
        <v>1293.17</v>
      </c>
      <c r="E1648" s="9">
        <f t="shared" si="75"/>
        <v>7.7629895277447243E-3</v>
      </c>
      <c r="F1648" s="45">
        <f t="shared" si="76"/>
        <v>4.286460754872673E-2</v>
      </c>
      <c r="G1648" s="9">
        <f t="shared" si="77"/>
        <v>9.4773343527404918E-3</v>
      </c>
    </row>
    <row r="1649" spans="1:7" x14ac:dyDescent="0.2">
      <c r="A1649" s="12">
        <v>39287</v>
      </c>
      <c r="B1649" s="9">
        <v>1297.19</v>
      </c>
      <c r="C1649" s="9">
        <v>1274.9000000000001</v>
      </c>
      <c r="D1649" s="9">
        <v>1274.9000000000001</v>
      </c>
      <c r="E1649" s="9">
        <f t="shared" si="75"/>
        <v>-1.422882417025481E-2</v>
      </c>
      <c r="F1649" s="45">
        <f t="shared" si="76"/>
        <v>1.996422165233867E-2</v>
      </c>
      <c r="G1649" s="9">
        <f t="shared" si="77"/>
        <v>9.7909171999594462E-3</v>
      </c>
    </row>
    <row r="1650" spans="1:7" x14ac:dyDescent="0.2">
      <c r="A1650" s="12">
        <v>39288</v>
      </c>
      <c r="B1650" s="9">
        <v>1274.4100000000001</v>
      </c>
      <c r="C1650" s="9">
        <v>1255.1600000000001</v>
      </c>
      <c r="D1650" s="9">
        <v>1255.25</v>
      </c>
      <c r="E1650" s="9">
        <f t="shared" si="75"/>
        <v>-1.5532988229261808E-2</v>
      </c>
      <c r="F1650" s="45">
        <f t="shared" si="76"/>
        <v>1.4322351817926382E-2</v>
      </c>
      <c r="G1650" s="9">
        <f t="shared" si="77"/>
        <v>1.0051397641581339E-2</v>
      </c>
    </row>
    <row r="1651" spans="1:7" x14ac:dyDescent="0.2">
      <c r="A1651" s="12">
        <v>39289</v>
      </c>
      <c r="B1651" s="9">
        <v>1268.3599999999999</v>
      </c>
      <c r="C1651" s="9">
        <v>1210.06</v>
      </c>
      <c r="D1651" s="9">
        <v>1212.3399999999999</v>
      </c>
      <c r="E1651" s="9">
        <f t="shared" si="75"/>
        <v>-3.4782379573386882E-2</v>
      </c>
      <c r="F1651" s="45">
        <f t="shared" si="76"/>
        <v>-2.6125217395318024E-2</v>
      </c>
      <c r="G1651" s="9">
        <f t="shared" si="77"/>
        <v>1.1878252449420597E-2</v>
      </c>
    </row>
    <row r="1652" spans="1:7" x14ac:dyDescent="0.2">
      <c r="A1652" s="12">
        <v>39290</v>
      </c>
      <c r="B1652" s="9">
        <v>1230.56</v>
      </c>
      <c r="C1652" s="9">
        <v>1200.02</v>
      </c>
      <c r="D1652" s="9">
        <v>1215.46</v>
      </c>
      <c r="E1652" s="9">
        <f t="shared" si="75"/>
        <v>2.5702296050587763E-3</v>
      </c>
      <c r="F1652" s="45">
        <f t="shared" si="76"/>
        <v>-4.2105293623130771E-2</v>
      </c>
      <c r="G1652" s="9">
        <f t="shared" si="77"/>
        <v>1.1322607074290718E-2</v>
      </c>
    </row>
    <row r="1653" spans="1:7" x14ac:dyDescent="0.2">
      <c r="A1653" s="12">
        <v>39293</v>
      </c>
      <c r="B1653" s="9">
        <v>1232.4100000000001</v>
      </c>
      <c r="C1653" s="9">
        <v>1213.51</v>
      </c>
      <c r="D1653" s="9">
        <v>1228.3900000000001</v>
      </c>
      <c r="E1653" s="9">
        <f t="shared" si="75"/>
        <v>1.058176291625396E-2</v>
      </c>
      <c r="F1653" s="45">
        <f t="shared" si="76"/>
        <v>-3.8049326737402751E-2</v>
      </c>
      <c r="G1653" s="9">
        <f t="shared" si="77"/>
        <v>1.1444116100885257E-2</v>
      </c>
    </row>
    <row r="1654" spans="1:7" x14ac:dyDescent="0.2">
      <c r="A1654" s="12">
        <v>39294</v>
      </c>
      <c r="B1654" s="9">
        <v>1245.43</v>
      </c>
      <c r="C1654" s="9">
        <v>1229.1199999999999</v>
      </c>
      <c r="D1654" s="9">
        <v>1243.8699999999999</v>
      </c>
      <c r="E1654" s="9">
        <f t="shared" si="75"/>
        <v>1.2523118367993505E-2</v>
      </c>
      <c r="F1654" s="45">
        <f t="shared" si="76"/>
        <v>-3.4933013768763801E-2</v>
      </c>
      <c r="G1654" s="9">
        <f t="shared" si="77"/>
        <v>1.1557931604462925E-2</v>
      </c>
    </row>
    <row r="1655" spans="1:7" x14ac:dyDescent="0.2">
      <c r="A1655" s="12">
        <v>39295</v>
      </c>
      <c r="B1655" s="9">
        <v>1240.83</v>
      </c>
      <c r="C1655" s="9">
        <v>1206.74</v>
      </c>
      <c r="D1655" s="9">
        <v>1221.08</v>
      </c>
      <c r="E1655" s="9">
        <f t="shared" si="75"/>
        <v>-1.8491774200855269E-2</v>
      </c>
      <c r="F1655" s="45">
        <f t="shared" si="76"/>
        <v>-4.4472414068620014E-2</v>
      </c>
      <c r="G1655" s="9">
        <f t="shared" si="77"/>
        <v>1.1905575457314637E-2</v>
      </c>
    </row>
    <row r="1656" spans="1:7" x14ac:dyDescent="0.2">
      <c r="A1656" s="12">
        <v>39296</v>
      </c>
      <c r="B1656" s="9">
        <v>1243.1300000000001</v>
      </c>
      <c r="C1656" s="9">
        <v>1222.29</v>
      </c>
      <c r="D1656" s="9">
        <v>1235.8599999999999</v>
      </c>
      <c r="E1656" s="9">
        <f t="shared" si="75"/>
        <v>1.2031370963969445E-2</v>
      </c>
      <c r="F1656" s="45">
        <f t="shared" si="76"/>
        <v>-3.3936074947066928E-2</v>
      </c>
      <c r="G1656" s="9">
        <f t="shared" si="77"/>
        <v>1.2149351901067643E-2</v>
      </c>
    </row>
    <row r="1657" spans="1:7" x14ac:dyDescent="0.2">
      <c r="A1657" s="12">
        <v>39297</v>
      </c>
      <c r="B1657" s="9">
        <v>1242.1500000000001</v>
      </c>
      <c r="C1657" s="9">
        <v>1217.05</v>
      </c>
      <c r="D1657" s="9">
        <v>1220.76</v>
      </c>
      <c r="E1657" s="9">
        <f t="shared" si="75"/>
        <v>-1.2293468400191248E-2</v>
      </c>
      <c r="F1657" s="45">
        <f t="shared" si="76"/>
        <v>-2.5971285564521239E-2</v>
      </c>
      <c r="G1657" s="9">
        <f t="shared" si="77"/>
        <v>1.1798937908673561E-2</v>
      </c>
    </row>
    <row r="1658" spans="1:7" x14ac:dyDescent="0.2">
      <c r="A1658" s="12">
        <v>39300</v>
      </c>
      <c r="B1658" s="9">
        <v>1218.81</v>
      </c>
      <c r="C1658" s="9">
        <v>1198.71</v>
      </c>
      <c r="D1658" s="9">
        <v>1203.8399999999999</v>
      </c>
      <c r="E1658" s="9">
        <f t="shared" si="75"/>
        <v>-1.3957167921046404E-2</v>
      </c>
      <c r="F1658" s="45">
        <f t="shared" si="76"/>
        <v>-3.7755095432435035E-2</v>
      </c>
      <c r="G1658" s="9">
        <f t="shared" si="77"/>
        <v>1.2037700648213289E-2</v>
      </c>
    </row>
    <row r="1659" spans="1:7" x14ac:dyDescent="0.2">
      <c r="A1659" s="12">
        <v>39301</v>
      </c>
      <c r="B1659" s="9">
        <v>1225.1300000000001</v>
      </c>
      <c r="C1659" s="9">
        <v>1204.82</v>
      </c>
      <c r="D1659" s="9">
        <v>1216.57</v>
      </c>
      <c r="E1659" s="9">
        <f t="shared" si="75"/>
        <v>1.0518976024540478E-2</v>
      </c>
      <c r="F1659" s="45">
        <f t="shared" si="76"/>
        <v>-2.2674312753246193E-2</v>
      </c>
      <c r="G1659" s="9">
        <f t="shared" si="77"/>
        <v>1.2208670000676288E-2</v>
      </c>
    </row>
    <row r="1660" spans="1:7" x14ac:dyDescent="0.2">
      <c r="A1660" s="12">
        <v>39302</v>
      </c>
      <c r="B1660" s="9">
        <v>1243.5</v>
      </c>
      <c r="C1660" s="9">
        <v>1217.9100000000001</v>
      </c>
      <c r="D1660" s="9">
        <v>1243.49</v>
      </c>
      <c r="E1660" s="9">
        <f t="shared" si="75"/>
        <v>2.1886518696521758E-2</v>
      </c>
      <c r="F1660" s="45">
        <f t="shared" si="76"/>
        <v>1.8271755106601796E-3</v>
      </c>
      <c r="G1660" s="9">
        <f t="shared" si="77"/>
        <v>1.2881027084068492E-2</v>
      </c>
    </row>
    <row r="1661" spans="1:7" x14ac:dyDescent="0.2">
      <c r="A1661" s="12">
        <v>39303</v>
      </c>
      <c r="B1661" s="9">
        <v>1243.8499999999999</v>
      </c>
      <c r="C1661" s="9">
        <v>1198.06</v>
      </c>
      <c r="D1661" s="9">
        <v>1209.93</v>
      </c>
      <c r="E1661" s="9">
        <f t="shared" si="75"/>
        <v>-2.7359435716003168E-2</v>
      </c>
      <c r="F1661" s="45">
        <f t="shared" si="76"/>
        <v>-3.8912955691707933E-2</v>
      </c>
      <c r="G1661" s="9">
        <f t="shared" si="77"/>
        <v>1.3558097164319454E-2</v>
      </c>
    </row>
    <row r="1662" spans="1:7" x14ac:dyDescent="0.2">
      <c r="A1662" s="12">
        <v>39304</v>
      </c>
      <c r="B1662" s="9">
        <v>1207.6099999999999</v>
      </c>
      <c r="C1662" s="9">
        <v>1163.25</v>
      </c>
      <c r="D1662" s="9">
        <v>1170.08</v>
      </c>
      <c r="E1662" s="9">
        <f t="shared" si="75"/>
        <v>-3.3490384155028863E-2</v>
      </c>
      <c r="F1662" s="45">
        <f t="shared" si="76"/>
        <v>-6.9951890035796396E-2</v>
      </c>
      <c r="G1662" s="9">
        <f t="shared" si="77"/>
        <v>1.4778594991205788E-2</v>
      </c>
    </row>
    <row r="1663" spans="1:7" x14ac:dyDescent="0.2">
      <c r="A1663" s="12">
        <v>39307</v>
      </c>
      <c r="B1663" s="9">
        <v>1206.3699999999999</v>
      </c>
      <c r="C1663" s="9">
        <v>1171.54</v>
      </c>
      <c r="D1663" s="9">
        <v>1205.45</v>
      </c>
      <c r="E1663" s="9">
        <f t="shared" si="75"/>
        <v>2.978081867266778E-2</v>
      </c>
      <c r="F1663" s="45">
        <f t="shared" si="76"/>
        <v>-3.9876174276088951E-2</v>
      </c>
      <c r="G1663" s="9">
        <f t="shared" si="77"/>
        <v>1.5899159247836452E-2</v>
      </c>
    </row>
    <row r="1664" spans="1:7" x14ac:dyDescent="0.2">
      <c r="A1664" s="12">
        <v>39308</v>
      </c>
      <c r="B1664" s="9">
        <v>1211.43</v>
      </c>
      <c r="C1664" s="9">
        <v>1191.3900000000001</v>
      </c>
      <c r="D1664" s="9">
        <v>1193.77</v>
      </c>
      <c r="E1664" s="9">
        <f t="shared" ref="E1664:E1727" si="78">LN(D1664/D1663)</f>
        <v>-9.736574614012743E-3</v>
      </c>
      <c r="F1664" s="45">
        <f t="shared" si="76"/>
        <v>-6.542973198989073E-2</v>
      </c>
      <c r="G1664" s="9">
        <f t="shared" si="77"/>
        <v>1.563113668869941E-2</v>
      </c>
    </row>
    <row r="1665" spans="1:7" x14ac:dyDescent="0.2">
      <c r="A1665" s="12">
        <v>39309</v>
      </c>
      <c r="B1665" s="9">
        <v>1192.31</v>
      </c>
      <c r="C1665" s="9">
        <v>1169.68</v>
      </c>
      <c r="D1665" s="9">
        <v>1183.45</v>
      </c>
      <c r="E1665" s="9">
        <f t="shared" si="78"/>
        <v>-8.6824650904758164E-3</v>
      </c>
      <c r="F1665" s="45">
        <f t="shared" si="76"/>
        <v>-7.802765952553127E-2</v>
      </c>
      <c r="G1665" s="9">
        <f t="shared" si="77"/>
        <v>1.5630929496750393E-2</v>
      </c>
    </row>
    <row r="1666" spans="1:7" x14ac:dyDescent="0.2">
      <c r="A1666" s="12">
        <v>39310</v>
      </c>
      <c r="B1666" s="9">
        <v>1181.99</v>
      </c>
      <c r="C1666" s="9">
        <v>1137.67</v>
      </c>
      <c r="D1666" s="9">
        <v>1145.43</v>
      </c>
      <c r="E1666" s="9">
        <f t="shared" si="78"/>
        <v>-3.2653789150645027E-2</v>
      </c>
      <c r="F1666" s="45">
        <f t="shared" si="76"/>
        <v>-0.1064363883374542</v>
      </c>
      <c r="G1666" s="9">
        <f t="shared" si="77"/>
        <v>1.6566503931241625E-2</v>
      </c>
    </row>
    <row r="1667" spans="1:7" x14ac:dyDescent="0.2">
      <c r="A1667" s="12">
        <v>39311</v>
      </c>
      <c r="B1667" s="9">
        <v>1179.47</v>
      </c>
      <c r="C1667" s="9">
        <v>1126.95</v>
      </c>
      <c r="D1667" s="9">
        <v>1163.21</v>
      </c>
      <c r="E1667" s="9">
        <f t="shared" si="78"/>
        <v>1.5403312375991159E-2</v>
      </c>
      <c r="F1667" s="45">
        <f t="shared" si="76"/>
        <v>-9.4410226617771958E-2</v>
      </c>
      <c r="G1667" s="9">
        <f t="shared" si="77"/>
        <v>1.6882344587081509E-2</v>
      </c>
    </row>
    <row r="1668" spans="1:7" x14ac:dyDescent="0.2">
      <c r="A1668" s="12">
        <v>39314</v>
      </c>
      <c r="B1668" s="9">
        <v>1187.3399999999999</v>
      </c>
      <c r="C1668" s="9">
        <v>1164.43</v>
      </c>
      <c r="D1668" s="9">
        <v>1176.22</v>
      </c>
      <c r="E1668" s="9">
        <f t="shared" si="78"/>
        <v>1.112248207602381E-2</v>
      </c>
      <c r="F1668" s="45">
        <f t="shared" si="76"/>
        <v>-9.4852523091434188E-2</v>
      </c>
      <c r="G1668" s="9">
        <f t="shared" si="77"/>
        <v>1.6869241921340161E-2</v>
      </c>
    </row>
    <row r="1669" spans="1:7" x14ac:dyDescent="0.2">
      <c r="A1669" s="12">
        <v>39315</v>
      </c>
      <c r="B1669" s="9">
        <v>1182.77</v>
      </c>
      <c r="C1669" s="9">
        <v>1157.03</v>
      </c>
      <c r="D1669" s="9">
        <v>1170.25</v>
      </c>
      <c r="E1669" s="9">
        <f t="shared" si="78"/>
        <v>-5.0885056120102967E-3</v>
      </c>
      <c r="F1669" s="45">
        <f t="shared" si="76"/>
        <v>-9.3525752825682193E-2</v>
      </c>
      <c r="G1669" s="9">
        <f t="shared" si="77"/>
        <v>1.6862155799817913E-2</v>
      </c>
    </row>
    <row r="1670" spans="1:7" x14ac:dyDescent="0.2">
      <c r="A1670" s="12">
        <v>39316</v>
      </c>
      <c r="B1670" s="9">
        <v>1192</v>
      </c>
      <c r="C1670" s="9">
        <v>1170.3699999999999</v>
      </c>
      <c r="D1670" s="9">
        <v>1191.99</v>
      </c>
      <c r="E1670" s="9">
        <f t="shared" si="78"/>
        <v>1.8406778148180036E-2</v>
      </c>
      <c r="F1670" s="45">
        <f t="shared" si="76"/>
        <v>-7.4807637325401952E-2</v>
      </c>
      <c r="G1670" s="9">
        <f t="shared" si="77"/>
        <v>1.7309932030848796E-2</v>
      </c>
    </row>
    <row r="1671" spans="1:7" x14ac:dyDescent="0.2">
      <c r="A1671" s="12">
        <v>39317</v>
      </c>
      <c r="B1671" s="9">
        <v>1206.43</v>
      </c>
      <c r="C1671" s="9">
        <v>1192.47</v>
      </c>
      <c r="D1671" s="9">
        <v>1197.82</v>
      </c>
      <c r="E1671" s="9">
        <f t="shared" si="78"/>
        <v>4.8790586409475237E-3</v>
      </c>
      <c r="F1671" s="45">
        <f t="shared" si="76"/>
        <v>-8.7460703598506689E-2</v>
      </c>
      <c r="G1671" s="9">
        <f t="shared" si="77"/>
        <v>1.6955691480587193E-2</v>
      </c>
    </row>
    <row r="1672" spans="1:7" x14ac:dyDescent="0.2">
      <c r="A1672" s="12">
        <v>39318</v>
      </c>
      <c r="B1672" s="9">
        <v>1214.68</v>
      </c>
      <c r="C1672" s="9">
        <v>1189.31</v>
      </c>
      <c r="D1672" s="9">
        <v>1209.81</v>
      </c>
      <c r="E1672" s="9">
        <f t="shared" si="78"/>
        <v>9.9600844984070389E-3</v>
      </c>
      <c r="F1672" s="45">
        <f t="shared" si="76"/>
        <v>-7.8616801566541564E-2</v>
      </c>
      <c r="G1672" s="9">
        <f t="shared" si="77"/>
        <v>1.7104431025077759E-2</v>
      </c>
    </row>
    <row r="1673" spans="1:7" x14ac:dyDescent="0.2">
      <c r="A1673" s="12">
        <v>39321</v>
      </c>
      <c r="B1673" s="9">
        <v>1217</v>
      </c>
      <c r="C1673" s="9">
        <v>1199.94</v>
      </c>
      <c r="D1673" s="9">
        <v>1200.75</v>
      </c>
      <c r="E1673" s="9">
        <f t="shared" si="78"/>
        <v>-7.5169609227809771E-3</v>
      </c>
      <c r="F1673" s="45">
        <f t="shared" si="76"/>
        <v>-8.8507238683967634E-2</v>
      </c>
      <c r="G1673" s="9">
        <f t="shared" si="77"/>
        <v>1.7100170307643651E-2</v>
      </c>
    </row>
    <row r="1674" spans="1:7" x14ac:dyDescent="0.2">
      <c r="A1674" s="12">
        <v>39322</v>
      </c>
      <c r="B1674" s="9">
        <v>1201.57</v>
      </c>
      <c r="C1674" s="9">
        <v>1170.26</v>
      </c>
      <c r="D1674" s="9">
        <v>1170.8900000000001</v>
      </c>
      <c r="E1674" s="9">
        <f t="shared" si="78"/>
        <v>-2.5182218165702985E-2</v>
      </c>
      <c r="F1674" s="45">
        <f t="shared" si="76"/>
        <v>-0.10481548249384576</v>
      </c>
      <c r="G1674" s="9">
        <f t="shared" si="77"/>
        <v>1.7548321268049921E-2</v>
      </c>
    </row>
    <row r="1675" spans="1:7" x14ac:dyDescent="0.2">
      <c r="A1675" s="12">
        <v>39323</v>
      </c>
      <c r="B1675" s="9">
        <v>1188.03</v>
      </c>
      <c r="C1675" s="9">
        <v>1156.6400000000001</v>
      </c>
      <c r="D1675" s="9">
        <v>1187.27</v>
      </c>
      <c r="E1675" s="9">
        <f t="shared" si="78"/>
        <v>1.3892410559830278E-2</v>
      </c>
      <c r="F1675" s="45">
        <f t="shared" si="76"/>
        <v>-8.434133422823302E-2</v>
      </c>
      <c r="G1675" s="9">
        <f t="shared" si="77"/>
        <v>1.7820114320469285E-2</v>
      </c>
    </row>
    <row r="1676" spans="1:7" x14ac:dyDescent="0.2">
      <c r="A1676" s="12">
        <v>39324</v>
      </c>
      <c r="B1676" s="9">
        <v>1202.54</v>
      </c>
      <c r="C1676" s="9">
        <v>1179.6199999999999</v>
      </c>
      <c r="D1676" s="9">
        <v>1201.0999999999999</v>
      </c>
      <c r="E1676" s="9">
        <f t="shared" si="78"/>
        <v>1.158124962138349E-2</v>
      </c>
      <c r="F1676" s="45">
        <f t="shared" si="76"/>
        <v>-8.1400795704860779E-2</v>
      </c>
      <c r="G1676" s="9">
        <f t="shared" si="77"/>
        <v>1.7893214776297413E-2</v>
      </c>
    </row>
    <row r="1677" spans="1:7" x14ac:dyDescent="0.2">
      <c r="A1677" s="12">
        <v>39325</v>
      </c>
      <c r="B1677" s="9">
        <v>1214.8399999999999</v>
      </c>
      <c r="C1677" s="9">
        <v>1198.03</v>
      </c>
      <c r="D1677" s="9">
        <v>1213.24</v>
      </c>
      <c r="E1677" s="9">
        <f t="shared" si="78"/>
        <v>1.0056663366577357E-2</v>
      </c>
      <c r="F1677" s="45">
        <f t="shared" si="76"/>
        <v>-5.6039111859564804E-2</v>
      </c>
      <c r="G1677" s="9">
        <f t="shared" si="77"/>
        <v>1.7876906690255601E-2</v>
      </c>
    </row>
    <row r="1678" spans="1:7" x14ac:dyDescent="0.2">
      <c r="A1678" s="12">
        <v>39328</v>
      </c>
      <c r="B1678" s="9">
        <v>1222.75</v>
      </c>
      <c r="C1678" s="9">
        <v>1213.1099999999999</v>
      </c>
      <c r="D1678" s="9">
        <v>1222.31</v>
      </c>
      <c r="E1678" s="9">
        <f t="shared" si="78"/>
        <v>7.4480441202821315E-3</v>
      </c>
      <c r="F1678" s="45">
        <f t="shared" si="76"/>
        <v>-5.6354057267027247E-2</v>
      </c>
      <c r="G1678" s="9">
        <f t="shared" si="77"/>
        <v>1.7871147448459305E-2</v>
      </c>
    </row>
    <row r="1679" spans="1:7" x14ac:dyDescent="0.2">
      <c r="A1679" s="12">
        <v>39329</v>
      </c>
      <c r="B1679" s="9">
        <v>1226.5999999999999</v>
      </c>
      <c r="C1679" s="9">
        <v>1210.3800000000001</v>
      </c>
      <c r="D1679" s="9">
        <v>1226.08</v>
      </c>
      <c r="E1679" s="9">
        <f t="shared" si="78"/>
        <v>3.0795771747899889E-3</v>
      </c>
      <c r="F1679" s="45">
        <f t="shared" si="76"/>
        <v>-3.9045655921982461E-2</v>
      </c>
      <c r="G1679" s="9">
        <f t="shared" si="77"/>
        <v>1.7737573923174845E-2</v>
      </c>
    </row>
    <row r="1680" spans="1:7" x14ac:dyDescent="0.2">
      <c r="A1680" s="12">
        <v>39330</v>
      </c>
      <c r="B1680" s="9">
        <v>1228.5999999999999</v>
      </c>
      <c r="C1680" s="9">
        <v>1197.6400000000001</v>
      </c>
      <c r="D1680" s="9">
        <v>1197.6400000000001</v>
      </c>
      <c r="E1680" s="9">
        <f t="shared" si="78"/>
        <v>-2.3469134540846894E-2</v>
      </c>
      <c r="F1680" s="45">
        <f t="shared" si="76"/>
        <v>-4.6981802233567696E-2</v>
      </c>
      <c r="G1680" s="9">
        <f t="shared" si="77"/>
        <v>1.8014164287815798E-2</v>
      </c>
    </row>
    <row r="1681" spans="1:7" x14ac:dyDescent="0.2">
      <c r="A1681" s="12">
        <v>39331</v>
      </c>
      <c r="B1681" s="9">
        <v>1207.81</v>
      </c>
      <c r="C1681" s="9">
        <v>1184.9100000000001</v>
      </c>
      <c r="D1681" s="9">
        <v>1190.67</v>
      </c>
      <c r="E1681" s="9">
        <f t="shared" si="78"/>
        <v>-5.8367798048141878E-3</v>
      </c>
      <c r="F1681" s="45">
        <f t="shared" si="76"/>
        <v>-1.8036202464995044E-2</v>
      </c>
      <c r="G1681" s="9">
        <f t="shared" si="77"/>
        <v>1.6915388059015435E-2</v>
      </c>
    </row>
    <row r="1682" spans="1:7" x14ac:dyDescent="0.2">
      <c r="A1682" s="12">
        <v>39332</v>
      </c>
      <c r="B1682" s="9">
        <v>1193.23</v>
      </c>
      <c r="C1682" s="9">
        <v>1154.79</v>
      </c>
      <c r="D1682" s="9">
        <v>1159.95</v>
      </c>
      <c r="E1682" s="9">
        <f t="shared" si="78"/>
        <v>-2.6139273153278818E-2</v>
      </c>
      <c r="F1682" s="45">
        <f t="shared" si="76"/>
        <v>-4.6745705223332518E-2</v>
      </c>
      <c r="G1682" s="9">
        <f t="shared" si="77"/>
        <v>1.7530702674184141E-2</v>
      </c>
    </row>
    <row r="1683" spans="1:7" x14ac:dyDescent="0.2">
      <c r="A1683" s="12">
        <v>39335</v>
      </c>
      <c r="B1683" s="9">
        <v>1168.96</v>
      </c>
      <c r="C1683" s="9">
        <v>1143.45</v>
      </c>
      <c r="D1683" s="9">
        <v>1147.2</v>
      </c>
      <c r="E1683" s="9">
        <f t="shared" si="78"/>
        <v>-1.1052709877798234E-2</v>
      </c>
      <c r="F1683" s="45">
        <f t="shared" si="76"/>
        <v>-6.8380178017384718E-2</v>
      </c>
      <c r="G1683" s="9">
        <f t="shared" si="77"/>
        <v>1.7458923530232148E-2</v>
      </c>
    </row>
    <row r="1684" spans="1:7" x14ac:dyDescent="0.2">
      <c r="A1684" s="12">
        <v>39336</v>
      </c>
      <c r="B1684" s="9">
        <v>1173.97</v>
      </c>
      <c r="C1684" s="9">
        <v>1148.29</v>
      </c>
      <c r="D1684" s="9">
        <v>1172.42</v>
      </c>
      <c r="E1684" s="9">
        <f t="shared" si="78"/>
        <v>2.1745797870101728E-2</v>
      </c>
      <c r="F1684" s="45">
        <f t="shared" si="76"/>
        <v>-5.9157498515276477E-2</v>
      </c>
      <c r="G1684" s="9">
        <f t="shared" si="77"/>
        <v>1.780630023726815E-2</v>
      </c>
    </row>
    <row r="1685" spans="1:7" x14ac:dyDescent="0.2">
      <c r="A1685" s="12">
        <v>39337</v>
      </c>
      <c r="B1685" s="9">
        <v>1180.5999999999999</v>
      </c>
      <c r="C1685" s="9">
        <v>1162.6099999999999</v>
      </c>
      <c r="D1685" s="9">
        <v>1180.5999999999999</v>
      </c>
      <c r="E1685" s="9">
        <f t="shared" si="78"/>
        <v>6.9527950911311091E-3</v>
      </c>
      <c r="F1685" s="45">
        <f t="shared" si="76"/>
        <v>-3.3712929223290021E-2</v>
      </c>
      <c r="G1685" s="9">
        <f t="shared" si="77"/>
        <v>1.7597050527082877E-2</v>
      </c>
    </row>
    <row r="1686" spans="1:7" x14ac:dyDescent="0.2">
      <c r="A1686" s="12">
        <v>39338</v>
      </c>
      <c r="B1686" s="9">
        <v>1198.78</v>
      </c>
      <c r="C1686" s="9">
        <v>1170.8399999999999</v>
      </c>
      <c r="D1686" s="9">
        <v>1196.6300000000001</v>
      </c>
      <c r="E1686" s="9">
        <f t="shared" si="78"/>
        <v>1.3486488869667558E-2</v>
      </c>
      <c r="F1686" s="45">
        <f t="shared" si="76"/>
        <v>-3.2257811317592096E-2</v>
      </c>
      <c r="G1686" s="9">
        <f t="shared" si="77"/>
        <v>1.7636522416302345E-2</v>
      </c>
    </row>
    <row r="1687" spans="1:7" x14ac:dyDescent="0.2">
      <c r="A1687" s="12">
        <v>39339</v>
      </c>
      <c r="B1687" s="9">
        <v>1196.1400000000001</v>
      </c>
      <c r="C1687" s="9">
        <v>1173.3900000000001</v>
      </c>
      <c r="D1687" s="9">
        <v>1179.76</v>
      </c>
      <c r="E1687" s="9">
        <f t="shared" si="78"/>
        <v>-1.4198244733571019E-2</v>
      </c>
      <c r="F1687" s="45">
        <f t="shared" si="76"/>
        <v>-3.416258765097184E-2</v>
      </c>
      <c r="G1687" s="9">
        <f t="shared" si="77"/>
        <v>1.7681672133202049E-2</v>
      </c>
    </row>
    <row r="1688" spans="1:7" x14ac:dyDescent="0.2">
      <c r="A1688" s="12">
        <v>39342</v>
      </c>
      <c r="B1688" s="9">
        <v>1179.6400000000001</v>
      </c>
      <c r="C1688" s="9">
        <v>1154.74</v>
      </c>
      <c r="D1688" s="9">
        <v>1160.75</v>
      </c>
      <c r="E1688" s="9">
        <f t="shared" si="78"/>
        <v>-1.624468004265428E-2</v>
      </c>
      <c r="F1688" s="45">
        <f t="shared" si="76"/>
        <v>-3.6450099772579687E-2</v>
      </c>
      <c r="G1688" s="9">
        <f t="shared" si="77"/>
        <v>1.7743679982889032E-2</v>
      </c>
    </row>
    <row r="1689" spans="1:7" x14ac:dyDescent="0.2">
      <c r="A1689" s="12">
        <v>39343</v>
      </c>
      <c r="B1689" s="9">
        <v>1180.6099999999999</v>
      </c>
      <c r="C1689" s="9">
        <v>1155.17</v>
      </c>
      <c r="D1689" s="9">
        <v>1178.97</v>
      </c>
      <c r="E1689" s="9">
        <f t="shared" si="78"/>
        <v>1.5574828020982133E-2</v>
      </c>
      <c r="F1689" s="45">
        <f t="shared" si="76"/>
        <v>-3.1394247776138078E-2</v>
      </c>
      <c r="G1689" s="9">
        <f t="shared" si="77"/>
        <v>1.7882439191151619E-2</v>
      </c>
    </row>
    <row r="1690" spans="1:7" x14ac:dyDescent="0.2">
      <c r="A1690" s="12">
        <v>39344</v>
      </c>
      <c r="B1690" s="9">
        <v>1222.1099999999999</v>
      </c>
      <c r="C1690" s="9">
        <v>1181.8900000000001</v>
      </c>
      <c r="D1690" s="9">
        <v>1221.77</v>
      </c>
      <c r="E1690" s="9">
        <f t="shared" si="78"/>
        <v>3.5659451056386134E-2</v>
      </c>
      <c r="F1690" s="45">
        <f t="shared" si="76"/>
        <v>-1.7621315416273892E-2</v>
      </c>
      <c r="G1690" s="9">
        <f t="shared" si="77"/>
        <v>1.8651751322845769E-2</v>
      </c>
    </row>
    <row r="1691" spans="1:7" x14ac:dyDescent="0.2">
      <c r="A1691" s="12">
        <v>39345</v>
      </c>
      <c r="B1691" s="9">
        <v>1220.31</v>
      </c>
      <c r="C1691" s="9">
        <v>1200.27</v>
      </c>
      <c r="D1691" s="9">
        <v>1208.32</v>
      </c>
      <c r="E1691" s="9">
        <f t="shared" si="78"/>
        <v>-1.1069661900372781E-2</v>
      </c>
      <c r="F1691" s="45">
        <f t="shared" si="76"/>
        <v>-1.3315416006434331E-3</v>
      </c>
      <c r="G1691" s="9">
        <f t="shared" si="77"/>
        <v>1.8073639544570738E-2</v>
      </c>
    </row>
    <row r="1692" spans="1:7" x14ac:dyDescent="0.2">
      <c r="A1692" s="12">
        <v>39346</v>
      </c>
      <c r="B1692" s="9">
        <v>1215.8399999999999</v>
      </c>
      <c r="C1692" s="9">
        <v>1203.42</v>
      </c>
      <c r="D1692" s="9">
        <v>1212.54</v>
      </c>
      <c r="E1692" s="9">
        <f t="shared" si="78"/>
        <v>3.4863678811855045E-3</v>
      </c>
      <c r="F1692" s="45">
        <f t="shared" si="76"/>
        <v>3.5645210435570895E-2</v>
      </c>
      <c r="G1692" s="9">
        <f t="shared" si="77"/>
        <v>1.6939336259620057E-2</v>
      </c>
    </row>
    <row r="1693" spans="1:7" x14ac:dyDescent="0.2">
      <c r="A1693" s="12">
        <v>39349</v>
      </c>
      <c r="B1693" s="9">
        <v>1212.75</v>
      </c>
      <c r="C1693" s="9">
        <v>1198.5</v>
      </c>
      <c r="D1693" s="9">
        <v>1198.5</v>
      </c>
      <c r="E1693" s="9">
        <f t="shared" si="78"/>
        <v>-1.1646558083773E-2</v>
      </c>
      <c r="F1693" s="45">
        <f t="shared" si="76"/>
        <v>-5.7821663208697804E-3</v>
      </c>
      <c r="G1693" s="9">
        <f t="shared" si="77"/>
        <v>1.6200548821713252E-2</v>
      </c>
    </row>
    <row r="1694" spans="1:7" x14ac:dyDescent="0.2">
      <c r="A1694" s="12">
        <v>39350</v>
      </c>
      <c r="B1694" s="9">
        <v>1198.25</v>
      </c>
      <c r="C1694" s="9">
        <v>1177.03</v>
      </c>
      <c r="D1694" s="9">
        <v>1184.49</v>
      </c>
      <c r="E1694" s="9">
        <f t="shared" si="78"/>
        <v>-1.1758472691987315E-2</v>
      </c>
      <c r="F1694" s="45">
        <f t="shared" si="76"/>
        <v>-7.8040643988444292E-3</v>
      </c>
      <c r="G1694" s="9">
        <f t="shared" si="77"/>
        <v>1.6245764233791319E-2</v>
      </c>
    </row>
    <row r="1695" spans="1:7" x14ac:dyDescent="0.2">
      <c r="A1695" s="12">
        <v>39351</v>
      </c>
      <c r="B1695" s="9">
        <v>1199.0999999999999</v>
      </c>
      <c r="C1695" s="9">
        <v>1185.43</v>
      </c>
      <c r="D1695" s="9">
        <v>1196.6600000000001</v>
      </c>
      <c r="E1695" s="9">
        <f t="shared" si="78"/>
        <v>1.0222040585604417E-2</v>
      </c>
      <c r="F1695" s="45">
        <f t="shared" si="76"/>
        <v>1.110044127723587E-2</v>
      </c>
      <c r="G1695" s="9">
        <f t="shared" si="77"/>
        <v>1.6274423038484264E-2</v>
      </c>
    </row>
    <row r="1696" spans="1:7" x14ac:dyDescent="0.2">
      <c r="A1696" s="12">
        <v>39352</v>
      </c>
      <c r="B1696" s="9">
        <v>1224.54</v>
      </c>
      <c r="C1696" s="9">
        <v>1197.76</v>
      </c>
      <c r="D1696" s="9">
        <v>1217.24</v>
      </c>
      <c r="E1696" s="9">
        <f t="shared" si="78"/>
        <v>1.7051658021740156E-2</v>
      </c>
      <c r="F1696" s="45">
        <f t="shared" si="76"/>
        <v>6.0805888449621037E-2</v>
      </c>
      <c r="G1696" s="9">
        <f t="shared" si="77"/>
        <v>1.5297283657271626E-2</v>
      </c>
    </row>
    <row r="1697" spans="1:7" x14ac:dyDescent="0.2">
      <c r="A1697" s="12">
        <v>39353</v>
      </c>
      <c r="B1697" s="9">
        <v>1221.54</v>
      </c>
      <c r="C1697" s="9">
        <v>1211.8</v>
      </c>
      <c r="D1697" s="9">
        <v>1221.54</v>
      </c>
      <c r="E1697" s="9">
        <f t="shared" si="78"/>
        <v>3.526356994844459E-3</v>
      </c>
      <c r="F1697" s="45">
        <f t="shared" ref="F1697:F1760" si="79">LN(D1697/D1667)</f>
        <v>4.8928933068474241E-2</v>
      </c>
      <c r="G1697" s="9">
        <f t="shared" ref="G1697:G1760" si="80">STDEV(E1668:E1697)</f>
        <v>1.5091464527059695E-2</v>
      </c>
    </row>
    <row r="1698" spans="1:7" x14ac:dyDescent="0.2">
      <c r="A1698" s="12">
        <v>39356</v>
      </c>
      <c r="B1698" s="9">
        <v>1230.72</v>
      </c>
      <c r="C1698" s="9">
        <v>1211.0899999999999</v>
      </c>
      <c r="D1698" s="9">
        <v>1229.3</v>
      </c>
      <c r="E1698" s="9">
        <f t="shared" si="78"/>
        <v>6.3325438886547014E-3</v>
      </c>
      <c r="F1698" s="45">
        <f t="shared" si="79"/>
        <v>4.4138994881105058E-2</v>
      </c>
      <c r="G1698" s="9">
        <f t="shared" si="80"/>
        <v>1.5012716338805817E-2</v>
      </c>
    </row>
    <row r="1699" spans="1:7" x14ac:dyDescent="0.2">
      <c r="A1699" s="12">
        <v>39357</v>
      </c>
      <c r="B1699" s="9">
        <v>1245.6300000000001</v>
      </c>
      <c r="C1699" s="9">
        <v>1230.3900000000001</v>
      </c>
      <c r="D1699" s="9">
        <v>1235.8699999999999</v>
      </c>
      <c r="E1699" s="9">
        <f t="shared" si="78"/>
        <v>5.3302738192201621E-3</v>
      </c>
      <c r="F1699" s="45">
        <f t="shared" si="79"/>
        <v>5.4557774312335452E-2</v>
      </c>
      <c r="G1699" s="9">
        <f t="shared" si="80"/>
        <v>1.4976199706183217E-2</v>
      </c>
    </row>
    <row r="1700" spans="1:7" x14ac:dyDescent="0.2">
      <c r="A1700" s="12">
        <v>39358</v>
      </c>
      <c r="B1700" s="9">
        <v>1245.28</v>
      </c>
      <c r="C1700" s="9">
        <v>1232.7</v>
      </c>
      <c r="D1700" s="9">
        <v>1241.77</v>
      </c>
      <c r="E1700" s="9">
        <f t="shared" si="78"/>
        <v>4.762605666829854E-3</v>
      </c>
      <c r="F1700" s="45">
        <f t="shared" si="79"/>
        <v>4.0913601830985274E-2</v>
      </c>
      <c r="G1700" s="9">
        <f t="shared" si="80"/>
        <v>1.465888459940019E-2</v>
      </c>
    </row>
    <row r="1701" spans="1:7" x14ac:dyDescent="0.2">
      <c r="A1701" s="12">
        <v>39359</v>
      </c>
      <c r="B1701" s="9">
        <v>1245.8800000000001</v>
      </c>
      <c r="C1701" s="9">
        <v>1230.56</v>
      </c>
      <c r="D1701" s="9">
        <v>1243.6400000000001</v>
      </c>
      <c r="E1701" s="9">
        <f t="shared" si="78"/>
        <v>1.5047821911590719E-3</v>
      </c>
      <c r="F1701" s="45">
        <f t="shared" si="79"/>
        <v>3.7539325381196864E-2</v>
      </c>
      <c r="G1701" s="9">
        <f t="shared" si="80"/>
        <v>1.4643919829998674E-2</v>
      </c>
    </row>
    <row r="1702" spans="1:7" x14ac:dyDescent="0.2">
      <c r="A1702" s="12">
        <v>39360</v>
      </c>
      <c r="B1702" s="9">
        <v>1260.5999999999999</v>
      </c>
      <c r="C1702" s="9">
        <v>1239.56</v>
      </c>
      <c r="D1702" s="9">
        <v>1257.7</v>
      </c>
      <c r="E1702" s="9">
        <f t="shared" si="78"/>
        <v>1.1242092702605512E-2</v>
      </c>
      <c r="F1702" s="45">
        <f t="shared" si="79"/>
        <v>3.8821333585395239E-2</v>
      </c>
      <c r="G1702" s="9">
        <f t="shared" si="80"/>
        <v>1.4672053484816566E-2</v>
      </c>
    </row>
    <row r="1703" spans="1:7" x14ac:dyDescent="0.2">
      <c r="A1703" s="12">
        <v>39363</v>
      </c>
      <c r="B1703" s="9">
        <v>1262.06</v>
      </c>
      <c r="C1703" s="9">
        <v>1248.32</v>
      </c>
      <c r="D1703" s="9">
        <v>1251.79</v>
      </c>
      <c r="E1703" s="9">
        <f t="shared" si="78"/>
        <v>-4.7101290909820409E-3</v>
      </c>
      <c r="F1703" s="45">
        <f t="shared" si="79"/>
        <v>4.162816541719408E-2</v>
      </c>
      <c r="G1703" s="9">
        <f t="shared" si="80"/>
        <v>1.4622796473467193E-2</v>
      </c>
    </row>
    <row r="1704" spans="1:7" x14ac:dyDescent="0.2">
      <c r="A1704" s="12">
        <v>39364</v>
      </c>
      <c r="B1704" s="9">
        <v>1258.9100000000001</v>
      </c>
      <c r="C1704" s="9">
        <v>1245.47</v>
      </c>
      <c r="D1704" s="9">
        <v>1258.5899999999999</v>
      </c>
      <c r="E1704" s="9">
        <f t="shared" si="78"/>
        <v>5.4175197630531788E-3</v>
      </c>
      <c r="F1704" s="45">
        <f t="shared" si="79"/>
        <v>7.2227903345950389E-2</v>
      </c>
      <c r="G1704" s="9">
        <f t="shared" si="80"/>
        <v>1.3746513460839094E-2</v>
      </c>
    </row>
    <row r="1705" spans="1:7" x14ac:dyDescent="0.2">
      <c r="A1705" s="12">
        <v>39365</v>
      </c>
      <c r="B1705" s="9">
        <v>1263.76</v>
      </c>
      <c r="C1705" s="9">
        <v>1255.6600000000001</v>
      </c>
      <c r="D1705" s="9">
        <v>1260.4000000000001</v>
      </c>
      <c r="E1705" s="9">
        <f t="shared" si="78"/>
        <v>1.4370841579386304E-3</v>
      </c>
      <c r="F1705" s="45">
        <f t="shared" si="79"/>
        <v>5.9772576944058749E-2</v>
      </c>
      <c r="G1705" s="9">
        <f t="shared" si="80"/>
        <v>1.3574700241600495E-2</v>
      </c>
    </row>
    <row r="1706" spans="1:7" x14ac:dyDescent="0.2">
      <c r="A1706" s="12">
        <v>39366</v>
      </c>
      <c r="B1706" s="9">
        <v>1274.45</v>
      </c>
      <c r="C1706" s="9">
        <v>1258.72</v>
      </c>
      <c r="D1706" s="9">
        <v>1267.7</v>
      </c>
      <c r="E1706" s="9">
        <f t="shared" si="78"/>
        <v>5.7751040615614587E-3</v>
      </c>
      <c r="F1706" s="45">
        <f t="shared" si="79"/>
        <v>5.3966431384236492E-2</v>
      </c>
      <c r="G1706" s="9">
        <f t="shared" si="80"/>
        <v>1.3474294093507767E-2</v>
      </c>
    </row>
    <row r="1707" spans="1:7" x14ac:dyDescent="0.2">
      <c r="A1707" s="12">
        <v>39367</v>
      </c>
      <c r="B1707" s="9">
        <v>1266.1099999999999</v>
      </c>
      <c r="C1707" s="9">
        <v>1248.22</v>
      </c>
      <c r="D1707" s="9">
        <v>1260.3</v>
      </c>
      <c r="E1707" s="9">
        <f t="shared" si="78"/>
        <v>-5.8544471012350451E-3</v>
      </c>
      <c r="F1707" s="45">
        <f t="shared" si="79"/>
        <v>3.8055320916424079E-2</v>
      </c>
      <c r="G1707" s="9">
        <f t="shared" si="80"/>
        <v>1.3451169824656701E-2</v>
      </c>
    </row>
    <row r="1708" spans="1:7" x14ac:dyDescent="0.2">
      <c r="A1708" s="12">
        <v>39370</v>
      </c>
      <c r="B1708" s="9">
        <v>1261.72</v>
      </c>
      <c r="C1708" s="9">
        <v>1245.47</v>
      </c>
      <c r="D1708" s="9">
        <v>1249.6500000000001</v>
      </c>
      <c r="E1708" s="9">
        <f t="shared" si="78"/>
        <v>-8.486275754418007E-3</v>
      </c>
      <c r="F1708" s="45">
        <f t="shared" si="79"/>
        <v>2.2121001041723837E-2</v>
      </c>
      <c r="G1708" s="9">
        <f t="shared" si="80"/>
        <v>1.3513200349596929E-2</v>
      </c>
    </row>
    <row r="1709" spans="1:7" x14ac:dyDescent="0.2">
      <c r="A1709" s="12">
        <v>39371</v>
      </c>
      <c r="B1709" s="9">
        <v>1211.68</v>
      </c>
      <c r="C1709" s="9">
        <v>1192.43</v>
      </c>
      <c r="D1709" s="9">
        <v>1203.95</v>
      </c>
      <c r="E1709" s="9">
        <f t="shared" si="78"/>
        <v>-3.7255694321785479E-2</v>
      </c>
      <c r="F1709" s="45">
        <f t="shared" si="79"/>
        <v>-1.821427045485156E-2</v>
      </c>
      <c r="G1709" s="9">
        <f t="shared" si="80"/>
        <v>1.5176372886161135E-2</v>
      </c>
    </row>
    <row r="1710" spans="1:7" x14ac:dyDescent="0.2">
      <c r="A1710" s="12">
        <v>39372</v>
      </c>
      <c r="B1710" s="9">
        <v>1213.8599999999999</v>
      </c>
      <c r="C1710" s="9">
        <v>1198.45</v>
      </c>
      <c r="D1710" s="9">
        <v>1206.8599999999999</v>
      </c>
      <c r="E1710" s="9">
        <f t="shared" si="78"/>
        <v>2.4141275449269749E-3</v>
      </c>
      <c r="F1710" s="45">
        <f t="shared" si="79"/>
        <v>7.6689916309223352E-3</v>
      </c>
      <c r="G1710" s="9">
        <f t="shared" si="80"/>
        <v>1.4554857547137832E-2</v>
      </c>
    </row>
    <row r="1711" spans="1:7" x14ac:dyDescent="0.2">
      <c r="A1711" s="12">
        <v>39373</v>
      </c>
      <c r="B1711" s="9">
        <v>1210.03</v>
      </c>
      <c r="C1711" s="9">
        <v>1183.43</v>
      </c>
      <c r="D1711" s="9">
        <v>1187.3599999999999</v>
      </c>
      <c r="E1711" s="9">
        <f t="shared" si="78"/>
        <v>-1.6289590090346053E-2</v>
      </c>
      <c r="F1711" s="45">
        <f t="shared" si="79"/>
        <v>-2.7838186546096507E-3</v>
      </c>
      <c r="G1711" s="9">
        <f t="shared" si="80"/>
        <v>1.4828278367920352E-2</v>
      </c>
    </row>
    <row r="1712" spans="1:7" x14ac:dyDescent="0.2">
      <c r="A1712" s="12">
        <v>39374</v>
      </c>
      <c r="B1712" s="9">
        <v>1187.06</v>
      </c>
      <c r="C1712" s="9">
        <v>1167.55</v>
      </c>
      <c r="D1712" s="9">
        <v>1169.69</v>
      </c>
      <c r="E1712" s="9">
        <f t="shared" si="78"/>
        <v>-1.4993598802356303E-2</v>
      </c>
      <c r="F1712" s="45">
        <f t="shared" si="79"/>
        <v>8.3618556963129392E-3</v>
      </c>
      <c r="G1712" s="9">
        <f t="shared" si="80"/>
        <v>1.4282774022139594E-2</v>
      </c>
    </row>
    <row r="1713" spans="1:7" x14ac:dyDescent="0.2">
      <c r="A1713" s="12">
        <v>39377</v>
      </c>
      <c r="B1713" s="9">
        <v>1167.98</v>
      </c>
      <c r="C1713" s="9">
        <v>1137.67</v>
      </c>
      <c r="D1713" s="9">
        <v>1145.8699999999999</v>
      </c>
      <c r="E1713" s="9">
        <f t="shared" si="78"/>
        <v>-2.0574582624739095E-2</v>
      </c>
      <c r="F1713" s="45">
        <f t="shared" si="79"/>
        <v>-1.1600170506280763E-3</v>
      </c>
      <c r="G1713" s="9">
        <f t="shared" si="80"/>
        <v>1.4644486154127711E-2</v>
      </c>
    </row>
    <row r="1714" spans="1:7" x14ac:dyDescent="0.2">
      <c r="A1714" s="12">
        <v>39378</v>
      </c>
      <c r="B1714" s="9">
        <v>1179.08</v>
      </c>
      <c r="C1714" s="9">
        <v>1147.6300000000001</v>
      </c>
      <c r="D1714" s="9">
        <v>1175.3900000000001</v>
      </c>
      <c r="E1714" s="9">
        <f t="shared" si="78"/>
        <v>2.5435833605586069E-2</v>
      </c>
      <c r="F1714" s="45">
        <f t="shared" si="79"/>
        <v>2.5300186848561373E-3</v>
      </c>
      <c r="G1714" s="9">
        <f t="shared" si="80"/>
        <v>1.4847850954687146E-2</v>
      </c>
    </row>
    <row r="1715" spans="1:7" x14ac:dyDescent="0.2">
      <c r="A1715" s="12">
        <v>39379</v>
      </c>
      <c r="B1715" s="9">
        <v>1183.2</v>
      </c>
      <c r="C1715" s="9">
        <v>1154.32</v>
      </c>
      <c r="D1715" s="9">
        <v>1158.83</v>
      </c>
      <c r="E1715" s="9">
        <f t="shared" si="78"/>
        <v>-1.41891319896941E-2</v>
      </c>
      <c r="F1715" s="45">
        <f t="shared" si="79"/>
        <v>-1.8611908395969119E-2</v>
      </c>
      <c r="G1715" s="9">
        <f t="shared" si="80"/>
        <v>1.5011442030933329E-2</v>
      </c>
    </row>
    <row r="1716" spans="1:7" x14ac:dyDescent="0.2">
      <c r="A1716" s="12">
        <v>39380</v>
      </c>
      <c r="B1716" s="9">
        <v>1179.8499999999999</v>
      </c>
      <c r="C1716" s="9">
        <v>1159.95</v>
      </c>
      <c r="D1716" s="9">
        <v>1172.48</v>
      </c>
      <c r="E1716" s="9">
        <f t="shared" si="78"/>
        <v>1.171028819503624E-2</v>
      </c>
      <c r="F1716" s="45">
        <f t="shared" si="79"/>
        <v>-2.0388109070600346E-2</v>
      </c>
      <c r="G1716" s="9">
        <f t="shared" si="80"/>
        <v>1.4957289503278948E-2</v>
      </c>
    </row>
    <row r="1717" spans="1:7" x14ac:dyDescent="0.2">
      <c r="A1717" s="12">
        <v>39381</v>
      </c>
      <c r="B1717" s="9">
        <v>1181.42</v>
      </c>
      <c r="C1717" s="9">
        <v>1157.97</v>
      </c>
      <c r="D1717" s="9">
        <v>1173.31</v>
      </c>
      <c r="E1717" s="9">
        <f t="shared" si="78"/>
        <v>7.0765075700421494E-4</v>
      </c>
      <c r="F1717" s="45">
        <f t="shared" si="79"/>
        <v>-5.482213580025078E-3</v>
      </c>
      <c r="G1717" s="9">
        <f t="shared" si="80"/>
        <v>1.4738712099491824E-2</v>
      </c>
    </row>
    <row r="1718" spans="1:7" x14ac:dyDescent="0.2">
      <c r="A1718" s="12">
        <v>39384</v>
      </c>
      <c r="B1718" s="9">
        <v>1183.8699999999999</v>
      </c>
      <c r="C1718" s="9">
        <v>1172.6099999999999</v>
      </c>
      <c r="D1718" s="9">
        <v>1176.6199999999999</v>
      </c>
      <c r="E1718" s="9">
        <f t="shared" si="78"/>
        <v>2.8171070534342667E-3</v>
      </c>
      <c r="F1718" s="45">
        <f t="shared" si="79"/>
        <v>1.3579573516063455E-2</v>
      </c>
      <c r="G1718" s="9">
        <f t="shared" si="80"/>
        <v>1.4430046303870738E-2</v>
      </c>
    </row>
    <row r="1719" spans="1:7" x14ac:dyDescent="0.2">
      <c r="A1719" s="12">
        <v>39385</v>
      </c>
      <c r="B1719" s="9">
        <v>1175.8</v>
      </c>
      <c r="C1719" s="9">
        <v>1164.0999999999999</v>
      </c>
      <c r="D1719" s="9">
        <v>1170.3499999999999</v>
      </c>
      <c r="E1719" s="9">
        <f t="shared" si="78"/>
        <v>-5.3430720601813191E-3</v>
      </c>
      <c r="F1719" s="45">
        <f t="shared" si="79"/>
        <v>-7.3383265650997674E-3</v>
      </c>
      <c r="G1719" s="9">
        <f t="shared" si="80"/>
        <v>1.4177307994858088E-2</v>
      </c>
    </row>
    <row r="1720" spans="1:7" x14ac:dyDescent="0.2">
      <c r="A1720" s="12">
        <v>39386</v>
      </c>
      <c r="B1720" s="9">
        <v>1183.95</v>
      </c>
      <c r="C1720" s="9">
        <v>1162.8699999999999</v>
      </c>
      <c r="D1720" s="9">
        <v>1183.2</v>
      </c>
      <c r="E1720" s="9">
        <f t="shared" si="78"/>
        <v>1.0919783040676844E-2</v>
      </c>
      <c r="F1720" s="45">
        <f t="shared" si="79"/>
        <v>-3.2077994580809073E-2</v>
      </c>
      <c r="G1720" s="9">
        <f t="shared" si="80"/>
        <v>1.2654597255786462E-2</v>
      </c>
    </row>
    <row r="1721" spans="1:7" x14ac:dyDescent="0.2">
      <c r="A1721" s="12">
        <v>39387</v>
      </c>
      <c r="B1721" s="9">
        <v>1187.42</v>
      </c>
      <c r="C1721" s="9">
        <v>1156.5999999999999</v>
      </c>
      <c r="D1721" s="9">
        <v>1168.49</v>
      </c>
      <c r="E1721" s="9">
        <f t="shared" si="78"/>
        <v>-1.2510315434613756E-2</v>
      </c>
      <c r="F1721" s="45">
        <f t="shared" si="79"/>
        <v>-3.3518648115050141E-2</v>
      </c>
      <c r="G1721" s="9">
        <f t="shared" si="80"/>
        <v>1.2696519519450385E-2</v>
      </c>
    </row>
    <row r="1722" spans="1:7" x14ac:dyDescent="0.2">
      <c r="A1722" s="12">
        <v>39388</v>
      </c>
      <c r="B1722" s="9">
        <v>1167.51</v>
      </c>
      <c r="C1722" s="9">
        <v>1148.1300000000001</v>
      </c>
      <c r="D1722" s="9">
        <v>1153.22</v>
      </c>
      <c r="E1722" s="9">
        <f t="shared" si="78"/>
        <v>-1.3154287302679275E-2</v>
      </c>
      <c r="F1722" s="45">
        <f t="shared" si="79"/>
        <v>-5.015930329891493E-2</v>
      </c>
      <c r="G1722" s="9">
        <f t="shared" si="80"/>
        <v>1.2851018938400188E-2</v>
      </c>
    </row>
    <row r="1723" spans="1:7" x14ac:dyDescent="0.2">
      <c r="A1723" s="12">
        <v>39391</v>
      </c>
      <c r="B1723" s="9">
        <v>1159.1500000000001</v>
      </c>
      <c r="C1723" s="9">
        <v>1143.6600000000001</v>
      </c>
      <c r="D1723" s="9">
        <v>1157.55</v>
      </c>
      <c r="E1723" s="9">
        <f t="shared" si="78"/>
        <v>3.7476729124245921E-3</v>
      </c>
      <c r="F1723" s="45">
        <f t="shared" si="79"/>
        <v>-3.476507230271729E-2</v>
      </c>
      <c r="G1723" s="9">
        <f t="shared" si="80"/>
        <v>1.2745915997438441E-2</v>
      </c>
    </row>
    <row r="1724" spans="1:7" x14ac:dyDescent="0.2">
      <c r="A1724" s="12">
        <v>39392</v>
      </c>
      <c r="B1724" s="9">
        <v>1171.8599999999999</v>
      </c>
      <c r="C1724" s="9">
        <v>1159.83</v>
      </c>
      <c r="D1724" s="9">
        <v>1163.21</v>
      </c>
      <c r="E1724" s="9">
        <f t="shared" si="78"/>
        <v>4.8777221444445797E-3</v>
      </c>
      <c r="F1724" s="45">
        <f t="shared" si="79"/>
        <v>-1.8128877466285286E-2</v>
      </c>
      <c r="G1724" s="9">
        <f t="shared" si="80"/>
        <v>1.2630225322027018E-2</v>
      </c>
    </row>
    <row r="1725" spans="1:7" x14ac:dyDescent="0.2">
      <c r="A1725" s="12">
        <v>39393</v>
      </c>
      <c r="B1725" s="9">
        <v>1171.22</v>
      </c>
      <c r="C1725" s="9">
        <v>1143.2</v>
      </c>
      <c r="D1725" s="9">
        <v>1150.3800000000001</v>
      </c>
      <c r="E1725" s="9">
        <f t="shared" si="78"/>
        <v>-1.1091102157811141E-2</v>
      </c>
      <c r="F1725" s="45">
        <f t="shared" si="79"/>
        <v>-3.9442020209700848E-2</v>
      </c>
      <c r="G1725" s="9">
        <f t="shared" si="80"/>
        <v>1.2599640161177338E-2</v>
      </c>
    </row>
    <row r="1726" spans="1:7" x14ac:dyDescent="0.2">
      <c r="A1726" s="12">
        <v>39394</v>
      </c>
      <c r="B1726" s="9">
        <v>1151.7</v>
      </c>
      <c r="C1726" s="9">
        <v>1128.82</v>
      </c>
      <c r="D1726" s="9">
        <v>1145.49</v>
      </c>
      <c r="E1726" s="9">
        <f t="shared" si="78"/>
        <v>-4.2598295152189948E-3</v>
      </c>
      <c r="F1726" s="45">
        <f t="shared" si="79"/>
        <v>-6.0753507746660093E-2</v>
      </c>
      <c r="G1726" s="9">
        <f t="shared" si="80"/>
        <v>1.2120070200436497E-2</v>
      </c>
    </row>
    <row r="1727" spans="1:7" x14ac:dyDescent="0.2">
      <c r="A1727" s="12">
        <v>39395</v>
      </c>
      <c r="B1727" s="9">
        <v>1152.8399999999999</v>
      </c>
      <c r="C1727" s="9">
        <v>1111.55</v>
      </c>
      <c r="D1727" s="9">
        <v>1115.0899999999999</v>
      </c>
      <c r="E1727" s="9">
        <f t="shared" si="78"/>
        <v>-2.6897373917609029E-2</v>
      </c>
      <c r="F1727" s="45">
        <f t="shared" si="79"/>
        <v>-9.1177238659113577E-2</v>
      </c>
      <c r="G1727" s="9">
        <f t="shared" si="80"/>
        <v>1.2888037499032756E-2</v>
      </c>
    </row>
    <row r="1728" spans="1:7" x14ac:dyDescent="0.2">
      <c r="A1728" s="12">
        <v>39398</v>
      </c>
      <c r="B1728" s="9">
        <v>1129.57</v>
      </c>
      <c r="C1728" s="9">
        <v>1103.3699999999999</v>
      </c>
      <c r="D1728" s="9">
        <v>1126</v>
      </c>
      <c r="E1728" s="9">
        <f t="shared" ref="E1728:E1791" si="81">LN(D1728/D1727)</f>
        <v>9.7364105741085897E-3</v>
      </c>
      <c r="F1728" s="45">
        <f t="shared" si="79"/>
        <v>-8.77733719736596E-2</v>
      </c>
      <c r="G1728" s="9">
        <f t="shared" si="80"/>
        <v>1.2987984526219395E-2</v>
      </c>
    </row>
    <row r="1729" spans="1:7" x14ac:dyDescent="0.2">
      <c r="A1729" s="12">
        <v>39399</v>
      </c>
      <c r="B1729" s="9">
        <v>1125.8499999999999</v>
      </c>
      <c r="C1729" s="9">
        <v>1104.97</v>
      </c>
      <c r="D1729" s="9">
        <v>1120.29</v>
      </c>
      <c r="E1729" s="9">
        <f t="shared" si="81"/>
        <v>-5.0839493552840391E-3</v>
      </c>
      <c r="F1729" s="45">
        <f t="shared" si="79"/>
        <v>-9.8187595148163817E-2</v>
      </c>
      <c r="G1729" s="9">
        <f t="shared" si="80"/>
        <v>1.2898575981047629E-2</v>
      </c>
    </row>
    <row r="1730" spans="1:7" x14ac:dyDescent="0.2">
      <c r="A1730" s="12">
        <v>39400</v>
      </c>
      <c r="B1730" s="9">
        <v>1138.93</v>
      </c>
      <c r="C1730" s="9">
        <v>1107.6099999999999</v>
      </c>
      <c r="D1730" s="9">
        <v>1121.57</v>
      </c>
      <c r="E1730" s="9">
        <f t="shared" si="81"/>
        <v>1.1419090746866991E-3</v>
      </c>
      <c r="F1730" s="45">
        <f t="shared" si="79"/>
        <v>-0.10180829174030691</v>
      </c>
      <c r="G1730" s="9">
        <f t="shared" si="80"/>
        <v>1.283759117827345E-2</v>
      </c>
    </row>
    <row r="1731" spans="1:7" x14ac:dyDescent="0.2">
      <c r="A1731" s="12">
        <v>39401</v>
      </c>
      <c r="B1731" s="9">
        <v>1125.1099999999999</v>
      </c>
      <c r="C1731" s="9">
        <v>1094.19</v>
      </c>
      <c r="D1731" s="9">
        <v>1102.5899999999999</v>
      </c>
      <c r="E1731" s="9">
        <f t="shared" si="81"/>
        <v>-1.7067531776739878E-2</v>
      </c>
      <c r="F1731" s="45">
        <f t="shared" si="79"/>
        <v>-0.12038060570820583</v>
      </c>
      <c r="G1731" s="9">
        <f t="shared" si="80"/>
        <v>1.3039453231354917E-2</v>
      </c>
    </row>
    <row r="1732" spans="1:7" x14ac:dyDescent="0.2">
      <c r="A1732" s="12">
        <v>39402</v>
      </c>
      <c r="B1732" s="9">
        <v>1103.24</v>
      </c>
      <c r="C1732" s="9">
        <v>1087.23</v>
      </c>
      <c r="D1732" s="9">
        <v>1096.69</v>
      </c>
      <c r="E1732" s="9">
        <f t="shared" si="81"/>
        <v>-5.3654051815894702E-3</v>
      </c>
      <c r="F1732" s="45">
        <f t="shared" si="79"/>
        <v>-0.13698810359240085</v>
      </c>
      <c r="G1732" s="9">
        <f t="shared" si="80"/>
        <v>1.2718057744794368E-2</v>
      </c>
    </row>
    <row r="1733" spans="1:7" x14ac:dyDescent="0.2">
      <c r="A1733" s="12">
        <v>39405</v>
      </c>
      <c r="B1733" s="9">
        <v>1106.52</v>
      </c>
      <c r="C1733" s="9">
        <v>1058.77</v>
      </c>
      <c r="D1733" s="9">
        <v>1065.74</v>
      </c>
      <c r="E1733" s="9">
        <f t="shared" si="81"/>
        <v>-2.8627158922980862E-2</v>
      </c>
      <c r="F1733" s="45">
        <f t="shared" si="79"/>
        <v>-0.16090513342439963</v>
      </c>
      <c r="G1733" s="9">
        <f t="shared" si="80"/>
        <v>1.3455621807536754E-2</v>
      </c>
    </row>
    <row r="1734" spans="1:7" x14ac:dyDescent="0.2">
      <c r="A1734" s="12">
        <v>39406</v>
      </c>
      <c r="B1734" s="9">
        <v>1093.1400000000001</v>
      </c>
      <c r="C1734" s="9">
        <v>1051.69</v>
      </c>
      <c r="D1734" s="9">
        <v>1076.95</v>
      </c>
      <c r="E1734" s="9">
        <f t="shared" si="81"/>
        <v>1.0463578285635964E-2</v>
      </c>
      <c r="F1734" s="45">
        <f t="shared" si="79"/>
        <v>-0.15585907490181694</v>
      </c>
      <c r="G1734" s="9">
        <f t="shared" si="80"/>
        <v>1.3625503845820976E-2</v>
      </c>
    </row>
    <row r="1735" spans="1:7" x14ac:dyDescent="0.2">
      <c r="A1735" s="12">
        <v>39407</v>
      </c>
      <c r="B1735" s="9">
        <v>1073.3</v>
      </c>
      <c r="C1735" s="9">
        <v>1051.03</v>
      </c>
      <c r="D1735" s="9">
        <v>1059.08</v>
      </c>
      <c r="E1735" s="9">
        <f t="shared" si="81"/>
        <v>-1.6732365110122504E-2</v>
      </c>
      <c r="F1735" s="45">
        <f t="shared" si="79"/>
        <v>-0.17402852416987794</v>
      </c>
      <c r="G1735" s="9">
        <f t="shared" si="80"/>
        <v>1.3723987634677831E-2</v>
      </c>
    </row>
    <row r="1736" spans="1:7" x14ac:dyDescent="0.2">
      <c r="A1736" s="12">
        <v>39408</v>
      </c>
      <c r="B1736" s="9">
        <v>1071.69</v>
      </c>
      <c r="C1736" s="9">
        <v>1050.31</v>
      </c>
      <c r="D1736" s="9">
        <v>1053.6400000000001</v>
      </c>
      <c r="E1736" s="9">
        <f t="shared" si="81"/>
        <v>-5.1497709326917161E-3</v>
      </c>
      <c r="F1736" s="45">
        <f t="shared" si="79"/>
        <v>-0.18495339916413109</v>
      </c>
      <c r="G1736" s="9">
        <f t="shared" si="80"/>
        <v>1.3550070391033458E-2</v>
      </c>
    </row>
    <row r="1737" spans="1:7" x14ac:dyDescent="0.2">
      <c r="A1737" s="12">
        <v>39409</v>
      </c>
      <c r="B1737" s="9">
        <v>1063.8900000000001</v>
      </c>
      <c r="C1737" s="9">
        <v>1052.57</v>
      </c>
      <c r="D1737" s="9">
        <v>1055.93</v>
      </c>
      <c r="E1737" s="9">
        <f t="shared" si="81"/>
        <v>2.1710594097305862E-3</v>
      </c>
      <c r="F1737" s="45">
        <f t="shared" si="79"/>
        <v>-0.17692789265316566</v>
      </c>
      <c r="G1737" s="9">
        <f t="shared" si="80"/>
        <v>1.3635369984753253E-2</v>
      </c>
    </row>
    <row r="1738" spans="1:7" x14ac:dyDescent="0.2">
      <c r="A1738" s="12">
        <v>39412</v>
      </c>
      <c r="B1738" s="9">
        <v>1084.97</v>
      </c>
      <c r="C1738" s="9">
        <v>1057.03</v>
      </c>
      <c r="D1738" s="9">
        <v>1062.6500000000001</v>
      </c>
      <c r="E1738" s="9">
        <f t="shared" si="81"/>
        <v>6.3438931144196272E-3</v>
      </c>
      <c r="F1738" s="45">
        <f t="shared" si="79"/>
        <v>-0.16209772378432782</v>
      </c>
      <c r="G1738" s="9">
        <f t="shared" si="80"/>
        <v>1.3806042903693741E-2</v>
      </c>
    </row>
    <row r="1739" spans="1:7" x14ac:dyDescent="0.2">
      <c r="A1739" s="12">
        <v>39413</v>
      </c>
      <c r="B1739" s="9">
        <v>1069.1099999999999</v>
      </c>
      <c r="C1739" s="9">
        <v>1046.48</v>
      </c>
      <c r="D1739" s="9">
        <v>1058.6300000000001</v>
      </c>
      <c r="E1739" s="9">
        <f t="shared" si="81"/>
        <v>-3.7901689662858738E-3</v>
      </c>
      <c r="F1739" s="45">
        <f t="shared" si="79"/>
        <v>-0.12863219842882825</v>
      </c>
      <c r="G1739" s="9">
        <f t="shared" si="80"/>
        <v>1.2426738052228731E-2</v>
      </c>
    </row>
    <row r="1740" spans="1:7" x14ac:dyDescent="0.2">
      <c r="A1740" s="12">
        <v>39414</v>
      </c>
      <c r="B1740" s="9">
        <v>1095.08</v>
      </c>
      <c r="C1740" s="9">
        <v>1051.51</v>
      </c>
      <c r="D1740" s="9">
        <v>1094.3599999999999</v>
      </c>
      <c r="E1740" s="9">
        <f t="shared" si="81"/>
        <v>3.3194098154312554E-2</v>
      </c>
      <c r="F1740" s="45">
        <f t="shared" si="79"/>
        <v>-9.7852227819442625E-2</v>
      </c>
      <c r="G1740" s="9">
        <f t="shared" si="80"/>
        <v>1.4150281683396323E-2</v>
      </c>
    </row>
    <row r="1741" spans="1:7" x14ac:dyDescent="0.2">
      <c r="A1741" s="12">
        <v>39415</v>
      </c>
      <c r="B1741" s="9">
        <v>1105.0899999999999</v>
      </c>
      <c r="C1741" s="9">
        <v>1089.46</v>
      </c>
      <c r="D1741" s="9">
        <v>1099.1099999999999</v>
      </c>
      <c r="E1741" s="9">
        <f t="shared" si="81"/>
        <v>4.3310438939360776E-3</v>
      </c>
      <c r="F1741" s="45">
        <f t="shared" si="79"/>
        <v>-7.72315938351604E-2</v>
      </c>
      <c r="G1741" s="9">
        <f t="shared" si="80"/>
        <v>1.3995609560991412E-2</v>
      </c>
    </row>
    <row r="1742" spans="1:7" x14ac:dyDescent="0.2">
      <c r="A1742" s="12">
        <v>39416</v>
      </c>
      <c r="B1742" s="9">
        <v>1112.4000000000001</v>
      </c>
      <c r="C1742" s="9">
        <v>1098.1400000000001</v>
      </c>
      <c r="D1742" s="9">
        <v>1106.71</v>
      </c>
      <c r="E1742" s="9">
        <f t="shared" si="81"/>
        <v>6.8908887156670122E-3</v>
      </c>
      <c r="F1742" s="45">
        <f t="shared" si="79"/>
        <v>-5.5347106317137122E-2</v>
      </c>
      <c r="G1742" s="9">
        <f t="shared" si="80"/>
        <v>1.3895950491405292E-2</v>
      </c>
    </row>
    <row r="1743" spans="1:7" x14ac:dyDescent="0.2">
      <c r="A1743" s="12">
        <v>39419</v>
      </c>
      <c r="B1743" s="9">
        <v>1112.1099999999999</v>
      </c>
      <c r="C1743" s="9">
        <v>1098.58</v>
      </c>
      <c r="D1743" s="9">
        <v>1102.3900000000001</v>
      </c>
      <c r="E1743" s="9">
        <f t="shared" si="81"/>
        <v>-3.9111000016401783E-3</v>
      </c>
      <c r="F1743" s="45">
        <f t="shared" si="79"/>
        <v>-3.8683623694038126E-2</v>
      </c>
      <c r="G1743" s="9">
        <f t="shared" si="80"/>
        <v>1.3447263956154056E-2</v>
      </c>
    </row>
    <row r="1744" spans="1:7" x14ac:dyDescent="0.2">
      <c r="A1744" s="12">
        <v>39420</v>
      </c>
      <c r="B1744" s="9">
        <v>1104.2</v>
      </c>
      <c r="C1744" s="9">
        <v>1076.3</v>
      </c>
      <c r="D1744" s="9">
        <v>1081.22</v>
      </c>
      <c r="E1744" s="9">
        <f t="shared" si="81"/>
        <v>-1.9390516904258567E-2</v>
      </c>
      <c r="F1744" s="45">
        <f t="shared" si="79"/>
        <v>-8.3509974203882745E-2</v>
      </c>
      <c r="G1744" s="9">
        <f t="shared" si="80"/>
        <v>1.2852566820307342E-2</v>
      </c>
    </row>
    <row r="1745" spans="1:7" x14ac:dyDescent="0.2">
      <c r="A1745" s="12">
        <v>39421</v>
      </c>
      <c r="B1745" s="9">
        <v>1103.6400000000001</v>
      </c>
      <c r="C1745" s="9">
        <v>1079.93</v>
      </c>
      <c r="D1745" s="9">
        <v>1101.8699999999999</v>
      </c>
      <c r="E1745" s="9">
        <f t="shared" si="81"/>
        <v>1.8918703225612236E-2</v>
      </c>
      <c r="F1745" s="45">
        <f t="shared" si="79"/>
        <v>-5.0402138988576532E-2</v>
      </c>
      <c r="G1745" s="9">
        <f t="shared" si="80"/>
        <v>1.3254584476798399E-2</v>
      </c>
    </row>
    <row r="1746" spans="1:7" x14ac:dyDescent="0.2">
      <c r="A1746" s="12">
        <v>39422</v>
      </c>
      <c r="B1746" s="9">
        <v>1123.01</v>
      </c>
      <c r="C1746" s="9">
        <v>1095.06</v>
      </c>
      <c r="D1746" s="9">
        <v>1105.23</v>
      </c>
      <c r="E1746" s="9">
        <f t="shared" si="81"/>
        <v>3.0447216670672519E-3</v>
      </c>
      <c r="F1746" s="45">
        <f t="shared" si="79"/>
        <v>-5.9067705516545534E-2</v>
      </c>
      <c r="G1746" s="9">
        <f t="shared" si="80"/>
        <v>1.3045484293357067E-2</v>
      </c>
    </row>
    <row r="1747" spans="1:7" x14ac:dyDescent="0.2">
      <c r="A1747" s="12">
        <v>39423</v>
      </c>
      <c r="B1747" s="9">
        <v>1120.8599999999999</v>
      </c>
      <c r="C1747" s="9">
        <v>1105.8399999999999</v>
      </c>
      <c r="D1747" s="9">
        <v>1119.7</v>
      </c>
      <c r="E1747" s="9">
        <f t="shared" si="81"/>
        <v>1.3007334177040752E-2</v>
      </c>
      <c r="F1747" s="45">
        <f t="shared" si="79"/>
        <v>-4.6768022096508967E-2</v>
      </c>
      <c r="G1747" s="9">
        <f t="shared" si="80"/>
        <v>1.3322830621453459E-2</v>
      </c>
    </row>
    <row r="1748" spans="1:7" x14ac:dyDescent="0.2">
      <c r="A1748" s="12">
        <v>39426</v>
      </c>
      <c r="B1748" s="9">
        <v>1136.82</v>
      </c>
      <c r="C1748" s="9">
        <v>1114.05</v>
      </c>
      <c r="D1748" s="9">
        <v>1130.9000000000001</v>
      </c>
      <c r="E1748" s="9">
        <f t="shared" si="81"/>
        <v>9.9529836111299751E-3</v>
      </c>
      <c r="F1748" s="45">
        <f t="shared" si="79"/>
        <v>-3.9632145538813265E-2</v>
      </c>
      <c r="G1748" s="9">
        <f t="shared" si="80"/>
        <v>1.3466579081055651E-2</v>
      </c>
    </row>
    <row r="1749" spans="1:7" x14ac:dyDescent="0.2">
      <c r="A1749" s="12">
        <v>39427</v>
      </c>
      <c r="B1749" s="9">
        <v>1136.5899999999999</v>
      </c>
      <c r="C1749" s="9">
        <v>1120.45</v>
      </c>
      <c r="D1749" s="9">
        <v>1131.58</v>
      </c>
      <c r="E1749" s="9">
        <f t="shared" si="81"/>
        <v>6.0111030415767124E-4</v>
      </c>
      <c r="F1749" s="45">
        <f t="shared" si="79"/>
        <v>-3.3687963174474193E-2</v>
      </c>
      <c r="G1749" s="9">
        <f t="shared" si="80"/>
        <v>1.3449079355800236E-2</v>
      </c>
    </row>
    <row r="1750" spans="1:7" x14ac:dyDescent="0.2">
      <c r="A1750" s="12">
        <v>39428</v>
      </c>
      <c r="B1750" s="9">
        <v>1137.0899999999999</v>
      </c>
      <c r="C1750" s="9">
        <v>1111.52</v>
      </c>
      <c r="D1750" s="9">
        <v>1129.8800000000001</v>
      </c>
      <c r="E1750" s="9">
        <f t="shared" si="81"/>
        <v>-1.5034538043735782E-3</v>
      </c>
      <c r="F1750" s="45">
        <f t="shared" si="79"/>
        <v>-4.6111200019524533E-2</v>
      </c>
      <c r="G1750" s="9">
        <f t="shared" si="80"/>
        <v>1.3255353607123163E-2</v>
      </c>
    </row>
    <row r="1751" spans="1:7" x14ac:dyDescent="0.2">
      <c r="A1751" s="12">
        <v>39429</v>
      </c>
      <c r="B1751" s="9">
        <v>1129.76</v>
      </c>
      <c r="C1751" s="9">
        <v>1099.02</v>
      </c>
      <c r="D1751" s="9">
        <v>1102.1199999999999</v>
      </c>
      <c r="E1751" s="9">
        <f t="shared" si="81"/>
        <v>-2.4875834670649632E-2</v>
      </c>
      <c r="F1751" s="45">
        <f t="shared" si="79"/>
        <v>-5.8476719255560326E-2</v>
      </c>
      <c r="G1751" s="9">
        <f t="shared" si="80"/>
        <v>1.3789822924370308E-2</v>
      </c>
    </row>
    <row r="1752" spans="1:7" x14ac:dyDescent="0.2">
      <c r="A1752" s="12">
        <v>39430</v>
      </c>
      <c r="B1752" s="9">
        <v>1110.3399999999999</v>
      </c>
      <c r="C1752" s="9">
        <v>1087.3</v>
      </c>
      <c r="D1752" s="9">
        <v>1097.69</v>
      </c>
      <c r="E1752" s="9">
        <f t="shared" si="81"/>
        <v>-4.0276260118241539E-3</v>
      </c>
      <c r="F1752" s="45">
        <f t="shared" si="79"/>
        <v>-4.9350057964705339E-2</v>
      </c>
      <c r="G1752" s="9">
        <f t="shared" si="80"/>
        <v>1.3633891659350111E-2</v>
      </c>
    </row>
    <row r="1753" spans="1:7" x14ac:dyDescent="0.2">
      <c r="A1753" s="12">
        <v>39433</v>
      </c>
      <c r="B1753" s="9">
        <v>1096.0999999999999</v>
      </c>
      <c r="C1753" s="9">
        <v>1067.03</v>
      </c>
      <c r="D1753" s="9">
        <v>1067.8499999999999</v>
      </c>
      <c r="E1753" s="9">
        <f t="shared" si="81"/>
        <v>-2.7560690476599925E-2</v>
      </c>
      <c r="F1753" s="45">
        <f t="shared" si="79"/>
        <v>-8.0658421353729789E-2</v>
      </c>
      <c r="G1753" s="9">
        <f t="shared" si="80"/>
        <v>1.4384468677722754E-2</v>
      </c>
    </row>
    <row r="1754" spans="1:7" x14ac:dyDescent="0.2">
      <c r="A1754" s="12">
        <v>39434</v>
      </c>
      <c r="B1754" s="9">
        <v>1079.19</v>
      </c>
      <c r="C1754" s="9">
        <v>1059.78</v>
      </c>
      <c r="D1754" s="9">
        <v>1064.6199999999999</v>
      </c>
      <c r="E1754" s="9">
        <f t="shared" si="81"/>
        <v>-3.0293532571497241E-3</v>
      </c>
      <c r="F1754" s="45">
        <f t="shared" si="79"/>
        <v>-8.8565496755324227E-2</v>
      </c>
      <c r="G1754" s="9">
        <f t="shared" si="80"/>
        <v>1.4313314073903646E-2</v>
      </c>
    </row>
    <row r="1755" spans="1:7" x14ac:dyDescent="0.2">
      <c r="A1755" s="12">
        <v>39435</v>
      </c>
      <c r="B1755" s="9">
        <v>1072.3599999999999</v>
      </c>
      <c r="C1755" s="9">
        <v>1058.3900000000001</v>
      </c>
      <c r="D1755" s="9">
        <v>1064.47</v>
      </c>
      <c r="E1755" s="9">
        <f t="shared" si="81"/>
        <v>-1.4090526962040866E-4</v>
      </c>
      <c r="F1755" s="45">
        <f t="shared" si="79"/>
        <v>-7.7615299867133516E-2</v>
      </c>
      <c r="G1755" s="9">
        <f t="shared" si="80"/>
        <v>1.4238028513020289E-2</v>
      </c>
    </row>
    <row r="1756" spans="1:7" x14ac:dyDescent="0.2">
      <c r="A1756" s="12">
        <v>39436</v>
      </c>
      <c r="B1756" s="9">
        <v>1074.8399999999999</v>
      </c>
      <c r="C1756" s="9">
        <v>1059.52</v>
      </c>
      <c r="D1756" s="9">
        <v>1059.99</v>
      </c>
      <c r="E1756" s="9">
        <f t="shared" si="81"/>
        <v>-4.2175485918731059E-3</v>
      </c>
      <c r="F1756" s="45">
        <f t="shared" si="79"/>
        <v>-7.7573018943787528E-2</v>
      </c>
      <c r="G1756" s="9">
        <f t="shared" si="80"/>
        <v>1.4237859326291761E-2</v>
      </c>
    </row>
    <row r="1757" spans="1:7" x14ac:dyDescent="0.2">
      <c r="A1757" s="12">
        <v>39437</v>
      </c>
      <c r="B1757" s="9">
        <v>1081.1500000000001</v>
      </c>
      <c r="C1757" s="9">
        <v>1061.57</v>
      </c>
      <c r="D1757" s="9">
        <v>1078.93</v>
      </c>
      <c r="E1757" s="9">
        <f t="shared" si="81"/>
        <v>1.771033517016787E-2</v>
      </c>
      <c r="F1757" s="45">
        <f t="shared" si="79"/>
        <v>-3.2965309856010712E-2</v>
      </c>
      <c r="G1757" s="9">
        <f t="shared" si="80"/>
        <v>1.3937461068006796E-2</v>
      </c>
    </row>
    <row r="1758" spans="1:7" x14ac:dyDescent="0.2">
      <c r="A1758" s="12">
        <v>39443</v>
      </c>
      <c r="B1758" s="9">
        <v>1088.08</v>
      </c>
      <c r="C1758" s="9">
        <v>1073.1400000000001</v>
      </c>
      <c r="D1758" s="9">
        <v>1073.6600000000001</v>
      </c>
      <c r="E1758" s="9">
        <f t="shared" si="81"/>
        <v>-4.8964368774898634E-3</v>
      </c>
      <c r="F1758" s="45">
        <f t="shared" si="79"/>
        <v>-4.7598157307609149E-2</v>
      </c>
      <c r="G1758" s="9">
        <f t="shared" si="80"/>
        <v>1.3800566515981679E-2</v>
      </c>
    </row>
    <row r="1759" spans="1:7" x14ac:dyDescent="0.2">
      <c r="A1759" s="12">
        <v>39444</v>
      </c>
      <c r="B1759" s="9">
        <v>1083.43</v>
      </c>
      <c r="C1759" s="9">
        <v>1067.82</v>
      </c>
      <c r="D1759" s="9">
        <v>1081.44</v>
      </c>
      <c r="E1759" s="9">
        <f t="shared" si="81"/>
        <v>7.2201139600175206E-3</v>
      </c>
      <c r="F1759" s="45">
        <f t="shared" si="79"/>
        <v>-3.5294093992307589E-2</v>
      </c>
      <c r="G1759" s="9">
        <f t="shared" si="80"/>
        <v>1.387567209124092E-2</v>
      </c>
    </row>
    <row r="1760" spans="1:7" x14ac:dyDescent="0.2">
      <c r="A1760" s="12">
        <v>39449</v>
      </c>
      <c r="B1760" s="9">
        <v>1081.69</v>
      </c>
      <c r="C1760" s="9">
        <v>1056.33</v>
      </c>
      <c r="D1760" s="9">
        <v>1058.3699999999999</v>
      </c>
      <c r="E1760" s="9">
        <f t="shared" si="81"/>
        <v>-2.1563497624217852E-2</v>
      </c>
      <c r="F1760" s="45">
        <f t="shared" si="79"/>
        <v>-5.7999500691212201E-2</v>
      </c>
      <c r="G1760" s="9">
        <f t="shared" si="80"/>
        <v>1.435578161793177E-2</v>
      </c>
    </row>
    <row r="1761" spans="1:7" x14ac:dyDescent="0.2">
      <c r="A1761" s="12">
        <v>39450</v>
      </c>
      <c r="B1761" s="9">
        <v>1061.99</v>
      </c>
      <c r="C1761" s="9">
        <v>1038.9000000000001</v>
      </c>
      <c r="D1761" s="9">
        <v>1050.6099999999999</v>
      </c>
      <c r="E1761" s="9">
        <f t="shared" si="81"/>
        <v>-7.3590408828096091E-3</v>
      </c>
      <c r="F1761" s="45">
        <f t="shared" ref="F1761:F1824" si="82">LN(D1761/D1731)</f>
        <v>-4.8291009797281841E-2</v>
      </c>
      <c r="G1761" s="9">
        <f t="shared" ref="G1761:G1824" si="83">STDEV(E1732:E1761)</f>
        <v>1.4110179377870952E-2</v>
      </c>
    </row>
    <row r="1762" spans="1:7" x14ac:dyDescent="0.2">
      <c r="A1762" s="12">
        <v>39451</v>
      </c>
      <c r="B1762" s="9">
        <v>1051.6300000000001</v>
      </c>
      <c r="C1762" s="9">
        <v>1012.58</v>
      </c>
      <c r="D1762" s="9">
        <v>1014.63</v>
      </c>
      <c r="E1762" s="9">
        <f t="shared" si="81"/>
        <v>-3.4846933846781315E-2</v>
      </c>
      <c r="F1762" s="45">
        <f t="shared" si="82"/>
        <v>-7.7772538462473687E-2</v>
      </c>
      <c r="G1762" s="9">
        <f t="shared" si="83"/>
        <v>1.5352697230809141E-2</v>
      </c>
    </row>
    <row r="1763" spans="1:7" x14ac:dyDescent="0.2">
      <c r="A1763" s="12">
        <v>39454</v>
      </c>
      <c r="B1763" s="9">
        <v>1024.52</v>
      </c>
      <c r="C1763" s="9">
        <v>999.8</v>
      </c>
      <c r="D1763" s="9">
        <v>1011.49</v>
      </c>
      <c r="E1763" s="9">
        <f t="shared" si="81"/>
        <v>-3.0995227467692874E-3</v>
      </c>
      <c r="F1763" s="45">
        <f t="shared" si="82"/>
        <v>-5.2244902286262045E-2</v>
      </c>
      <c r="G1763" s="9">
        <f t="shared" si="83"/>
        <v>1.4546218214875636E-2</v>
      </c>
    </row>
    <row r="1764" spans="1:7" x14ac:dyDescent="0.2">
      <c r="A1764" s="12">
        <v>39455</v>
      </c>
      <c r="B1764" s="9">
        <v>1035.8</v>
      </c>
      <c r="C1764" s="9">
        <v>1009.32</v>
      </c>
      <c r="D1764" s="9">
        <v>1024.42</v>
      </c>
      <c r="E1764" s="9">
        <f t="shared" si="81"/>
        <v>1.2702107506905261E-2</v>
      </c>
      <c r="F1764" s="45">
        <f t="shared" si="82"/>
        <v>-5.00063730649929E-2</v>
      </c>
      <c r="G1764" s="9">
        <f t="shared" si="83"/>
        <v>1.4616556837570753E-2</v>
      </c>
    </row>
    <row r="1765" spans="1:7" x14ac:dyDescent="0.2">
      <c r="A1765" s="12">
        <v>39456</v>
      </c>
      <c r="B1765" s="9">
        <v>1023.56</v>
      </c>
      <c r="C1765" s="9">
        <v>998.67</v>
      </c>
      <c r="D1765" s="9">
        <v>1003.69</v>
      </c>
      <c r="E1765" s="9">
        <f t="shared" si="81"/>
        <v>-2.0443390124644401E-2</v>
      </c>
      <c r="F1765" s="45">
        <f t="shared" si="82"/>
        <v>-5.3717398079514721E-2</v>
      </c>
      <c r="G1765" s="9">
        <f t="shared" si="83"/>
        <v>1.4763419051277239E-2</v>
      </c>
    </row>
    <row r="1766" spans="1:7" x14ac:dyDescent="0.2">
      <c r="A1766" s="12">
        <v>39457</v>
      </c>
      <c r="B1766" s="9">
        <v>1015.32</v>
      </c>
      <c r="C1766" s="9">
        <v>982.23</v>
      </c>
      <c r="D1766" s="9">
        <v>989.7</v>
      </c>
      <c r="E1766" s="9">
        <f t="shared" si="81"/>
        <v>-1.4036620731081497E-2</v>
      </c>
      <c r="F1766" s="45">
        <f t="shared" si="82"/>
        <v>-6.2604247877904473E-2</v>
      </c>
      <c r="G1766" s="9">
        <f t="shared" si="83"/>
        <v>1.4921457050494781E-2</v>
      </c>
    </row>
    <row r="1767" spans="1:7" x14ac:dyDescent="0.2">
      <c r="A1767" s="12">
        <v>39458</v>
      </c>
      <c r="B1767" s="9">
        <v>996.05</v>
      </c>
      <c r="C1767" s="9">
        <v>980.25</v>
      </c>
      <c r="D1767" s="9">
        <v>987.94</v>
      </c>
      <c r="E1767" s="9">
        <f t="shared" si="81"/>
        <v>-1.7798997437818E-3</v>
      </c>
      <c r="F1767" s="45">
        <f t="shared" si="82"/>
        <v>-6.6555207031416722E-2</v>
      </c>
      <c r="G1767" s="9">
        <f t="shared" si="83"/>
        <v>1.4900001104565836E-2</v>
      </c>
    </row>
    <row r="1768" spans="1:7" x14ac:dyDescent="0.2">
      <c r="A1768" s="12">
        <v>39461</v>
      </c>
      <c r="B1768" s="9">
        <v>1011.03</v>
      </c>
      <c r="C1768" s="9">
        <v>984.47</v>
      </c>
      <c r="D1768" s="9">
        <v>1008</v>
      </c>
      <c r="E1768" s="9">
        <f t="shared" si="81"/>
        <v>2.0101481472450253E-2</v>
      </c>
      <c r="F1768" s="45">
        <f t="shared" si="82"/>
        <v>-5.2797618673386157E-2</v>
      </c>
      <c r="G1768" s="9">
        <f t="shared" si="83"/>
        <v>1.537670551267952E-2</v>
      </c>
    </row>
    <row r="1769" spans="1:7" x14ac:dyDescent="0.2">
      <c r="A1769" s="12">
        <v>39462</v>
      </c>
      <c r="B1769" s="9">
        <v>1008.24</v>
      </c>
      <c r="C1769" s="9">
        <v>967.12</v>
      </c>
      <c r="D1769" s="9">
        <v>972.15</v>
      </c>
      <c r="E1769" s="9">
        <f t="shared" si="81"/>
        <v>-3.6213335089479277E-2</v>
      </c>
      <c r="F1769" s="45">
        <f t="shared" si="82"/>
        <v>-8.5220784796579671E-2</v>
      </c>
      <c r="G1769" s="9">
        <f t="shared" si="83"/>
        <v>1.6613997944889332E-2</v>
      </c>
    </row>
    <row r="1770" spans="1:7" x14ac:dyDescent="0.2">
      <c r="A1770" s="12">
        <v>39463</v>
      </c>
      <c r="B1770" s="9">
        <v>987.11</v>
      </c>
      <c r="C1770" s="9">
        <v>951.88</v>
      </c>
      <c r="D1770" s="9">
        <v>965.63</v>
      </c>
      <c r="E1770" s="9">
        <f t="shared" si="81"/>
        <v>-6.7293754756026242E-3</v>
      </c>
      <c r="F1770" s="45">
        <f t="shared" si="82"/>
        <v>-0.12514425842649465</v>
      </c>
      <c r="G1770" s="9">
        <f t="shared" si="83"/>
        <v>1.516371478592619E-2</v>
      </c>
    </row>
    <row r="1771" spans="1:7" x14ac:dyDescent="0.2">
      <c r="A1771" s="12">
        <v>39464</v>
      </c>
      <c r="B1771" s="9">
        <v>986.8</v>
      </c>
      <c r="C1771" s="9">
        <v>961.5</v>
      </c>
      <c r="D1771" s="9">
        <v>966.29</v>
      </c>
      <c r="E1771" s="9">
        <f t="shared" si="81"/>
        <v>6.8325813250680008E-4</v>
      </c>
      <c r="F1771" s="45">
        <f t="shared" si="82"/>
        <v>-0.12879204418792412</v>
      </c>
      <c r="G1771" s="9">
        <f t="shared" si="83"/>
        <v>1.5107706638822344E-2</v>
      </c>
    </row>
    <row r="1772" spans="1:7" x14ac:dyDescent="0.2">
      <c r="A1772" s="12">
        <v>39465</v>
      </c>
      <c r="B1772" s="9">
        <v>982.56</v>
      </c>
      <c r="C1772" s="9">
        <v>953.01</v>
      </c>
      <c r="D1772" s="9">
        <v>957.63</v>
      </c>
      <c r="E1772" s="9">
        <f t="shared" si="81"/>
        <v>-9.002514124895061E-3</v>
      </c>
      <c r="F1772" s="45">
        <f t="shared" si="82"/>
        <v>-0.14468544702848612</v>
      </c>
      <c r="G1772" s="9">
        <f t="shared" si="83"/>
        <v>1.4980123818307699E-2</v>
      </c>
    </row>
    <row r="1773" spans="1:7" x14ac:dyDescent="0.2">
      <c r="A1773" s="12">
        <v>39468</v>
      </c>
      <c r="B1773" s="9">
        <v>957.24</v>
      </c>
      <c r="C1773" s="9">
        <v>912.93</v>
      </c>
      <c r="D1773" s="9">
        <v>917.75</v>
      </c>
      <c r="E1773" s="9">
        <f t="shared" si="81"/>
        <v>-4.2536459696900106E-2</v>
      </c>
      <c r="F1773" s="45">
        <f t="shared" si="82"/>
        <v>-0.18331080672374597</v>
      </c>
      <c r="G1773" s="9">
        <f t="shared" si="83"/>
        <v>1.6483506667572159E-2</v>
      </c>
    </row>
    <row r="1774" spans="1:7" x14ac:dyDescent="0.2">
      <c r="A1774" s="12">
        <v>39469</v>
      </c>
      <c r="B1774" s="9">
        <v>959.3</v>
      </c>
      <c r="C1774" s="9">
        <v>874.79</v>
      </c>
      <c r="D1774" s="9">
        <v>955.93</v>
      </c>
      <c r="E1774" s="9">
        <f t="shared" si="81"/>
        <v>4.0759666236291618E-2</v>
      </c>
      <c r="F1774" s="45">
        <f t="shared" si="82"/>
        <v>-0.12316062358319584</v>
      </c>
      <c r="G1774" s="9">
        <f t="shared" si="83"/>
        <v>1.8363484291399206E-2</v>
      </c>
    </row>
    <row r="1775" spans="1:7" x14ac:dyDescent="0.2">
      <c r="A1775" s="12">
        <v>39470</v>
      </c>
      <c r="B1775" s="9">
        <v>967.66</v>
      </c>
      <c r="C1775" s="9">
        <v>914.43</v>
      </c>
      <c r="D1775" s="9">
        <v>921.28</v>
      </c>
      <c r="E1775" s="9">
        <f t="shared" si="81"/>
        <v>-3.6920681189424341E-2</v>
      </c>
      <c r="F1775" s="45">
        <f t="shared" si="82"/>
        <v>-0.17900000799823221</v>
      </c>
      <c r="G1775" s="9">
        <f t="shared" si="83"/>
        <v>1.8774627978909383E-2</v>
      </c>
    </row>
    <row r="1776" spans="1:7" x14ac:dyDescent="0.2">
      <c r="A1776" s="12">
        <v>39471</v>
      </c>
      <c r="B1776" s="9">
        <v>967.63</v>
      </c>
      <c r="C1776" s="9">
        <v>923.7</v>
      </c>
      <c r="D1776" s="9">
        <v>958.55</v>
      </c>
      <c r="E1776" s="9">
        <f t="shared" si="81"/>
        <v>3.965771854224736E-2</v>
      </c>
      <c r="F1776" s="45">
        <f t="shared" si="82"/>
        <v>-0.14238701112305224</v>
      </c>
      <c r="G1776" s="9">
        <f t="shared" si="83"/>
        <v>2.0492057943601344E-2</v>
      </c>
    </row>
    <row r="1777" spans="1:7" x14ac:dyDescent="0.2">
      <c r="A1777" s="12">
        <v>39472</v>
      </c>
      <c r="B1777" s="9">
        <v>977.93</v>
      </c>
      <c r="C1777" s="9">
        <v>956.44</v>
      </c>
      <c r="D1777" s="9">
        <v>961.69</v>
      </c>
      <c r="E1777" s="9">
        <f t="shared" si="81"/>
        <v>3.270427445222027E-3</v>
      </c>
      <c r="F1777" s="45">
        <f t="shared" si="82"/>
        <v>-0.15212391785487087</v>
      </c>
      <c r="G1777" s="9">
        <f t="shared" si="83"/>
        <v>2.0277153920655034E-2</v>
      </c>
    </row>
    <row r="1778" spans="1:7" x14ac:dyDescent="0.2">
      <c r="A1778" s="12">
        <v>39475</v>
      </c>
      <c r="B1778" s="9">
        <v>960.22</v>
      </c>
      <c r="C1778" s="9">
        <v>933.92</v>
      </c>
      <c r="D1778" s="9">
        <v>949.08</v>
      </c>
      <c r="E1778" s="9">
        <f t="shared" si="81"/>
        <v>-1.3199059091954212E-2</v>
      </c>
      <c r="F1778" s="45">
        <f t="shared" si="82"/>
        <v>-0.17527596055795519</v>
      </c>
      <c r="G1778" s="9">
        <f t="shared" si="83"/>
        <v>2.0125651478127265E-2</v>
      </c>
    </row>
    <row r="1779" spans="1:7" x14ac:dyDescent="0.2">
      <c r="A1779" s="12">
        <v>39476</v>
      </c>
      <c r="B1779" s="9">
        <v>959.71</v>
      </c>
      <c r="C1779" s="9">
        <v>949.09</v>
      </c>
      <c r="D1779" s="9">
        <v>956.97</v>
      </c>
      <c r="E1779" s="9">
        <f t="shared" si="81"/>
        <v>8.2789486798880135E-3</v>
      </c>
      <c r="F1779" s="45">
        <f t="shared" si="82"/>
        <v>-0.16759812218222495</v>
      </c>
      <c r="G1779" s="9">
        <f t="shared" si="83"/>
        <v>2.0258794848319262E-2</v>
      </c>
    </row>
    <row r="1780" spans="1:7" x14ac:dyDescent="0.2">
      <c r="A1780" s="12">
        <v>39477</v>
      </c>
      <c r="B1780" s="9">
        <v>957.94</v>
      </c>
      <c r="C1780" s="9">
        <v>944.73</v>
      </c>
      <c r="D1780" s="9">
        <v>951.14</v>
      </c>
      <c r="E1780" s="9">
        <f t="shared" si="81"/>
        <v>-6.1107778291456579E-3</v>
      </c>
      <c r="F1780" s="45">
        <f t="shared" si="82"/>
        <v>-0.17220544620699688</v>
      </c>
      <c r="G1780" s="9">
        <f t="shared" si="83"/>
        <v>2.0244232344512451E-2</v>
      </c>
    </row>
    <row r="1781" spans="1:7" x14ac:dyDescent="0.2">
      <c r="A1781" s="12">
        <v>39478</v>
      </c>
      <c r="B1781" s="9">
        <v>952.28</v>
      </c>
      <c r="C1781" s="9">
        <v>931.16</v>
      </c>
      <c r="D1781" s="9">
        <v>949.04</v>
      </c>
      <c r="E1781" s="9">
        <f t="shared" si="81"/>
        <v>-2.2103178172208403E-3</v>
      </c>
      <c r="F1781" s="45">
        <f t="shared" si="82"/>
        <v>-0.14953992935356814</v>
      </c>
      <c r="G1781" s="9">
        <f t="shared" si="83"/>
        <v>1.9925898830624764E-2</v>
      </c>
    </row>
    <row r="1782" spans="1:7" x14ac:dyDescent="0.2">
      <c r="A1782" s="12">
        <v>39479</v>
      </c>
      <c r="B1782" s="9">
        <v>983.77</v>
      </c>
      <c r="C1782" s="9">
        <v>947.21</v>
      </c>
      <c r="D1782" s="9">
        <v>976.43</v>
      </c>
      <c r="E1782" s="9">
        <f t="shared" si="81"/>
        <v>2.8452115806609325E-2</v>
      </c>
      <c r="F1782" s="45">
        <f t="shared" si="82"/>
        <v>-0.11706018753513467</v>
      </c>
      <c r="G1782" s="9">
        <f t="shared" si="83"/>
        <v>2.0841056768934364E-2</v>
      </c>
    </row>
    <row r="1783" spans="1:7" x14ac:dyDescent="0.2">
      <c r="A1783" s="12">
        <v>39482</v>
      </c>
      <c r="B1783" s="9">
        <v>988.3</v>
      </c>
      <c r="C1783" s="9">
        <v>974.83</v>
      </c>
      <c r="D1783" s="9">
        <v>976.46</v>
      </c>
      <c r="E1783" s="9">
        <f t="shared" si="81"/>
        <v>3.0723696677636029E-5</v>
      </c>
      <c r="F1783" s="45">
        <f t="shared" si="82"/>
        <v>-8.9468773361857046E-2</v>
      </c>
      <c r="G1783" s="9">
        <f t="shared" si="83"/>
        <v>2.0364350689514629E-2</v>
      </c>
    </row>
    <row r="1784" spans="1:7" x14ac:dyDescent="0.2">
      <c r="A1784" s="12">
        <v>39483</v>
      </c>
      <c r="B1784" s="9">
        <v>979.11</v>
      </c>
      <c r="C1784" s="9">
        <v>941.24</v>
      </c>
      <c r="D1784" s="9">
        <v>945.63</v>
      </c>
      <c r="E1784" s="9">
        <f t="shared" si="81"/>
        <v>-3.2082414819231561E-2</v>
      </c>
      <c r="F1784" s="45">
        <f t="shared" si="82"/>
        <v>-0.11852183492393883</v>
      </c>
      <c r="G1784" s="9">
        <f t="shared" si="83"/>
        <v>2.1046070552842709E-2</v>
      </c>
    </row>
    <row r="1785" spans="1:7" x14ac:dyDescent="0.2">
      <c r="A1785" s="12">
        <v>39484</v>
      </c>
      <c r="B1785" s="9">
        <v>951.87</v>
      </c>
      <c r="C1785" s="9">
        <v>934.27</v>
      </c>
      <c r="D1785" s="9">
        <v>951.84</v>
      </c>
      <c r="E1785" s="9">
        <f t="shared" si="81"/>
        <v>6.5455814026923898E-3</v>
      </c>
      <c r="F1785" s="45">
        <f t="shared" si="82"/>
        <v>-0.11183534825162612</v>
      </c>
      <c r="G1785" s="9">
        <f t="shared" si="83"/>
        <v>2.1123073625166435E-2</v>
      </c>
    </row>
    <row r="1786" spans="1:7" x14ac:dyDescent="0.2">
      <c r="A1786" s="12">
        <v>39485</v>
      </c>
      <c r="B1786" s="9">
        <v>951.7</v>
      </c>
      <c r="C1786" s="9">
        <v>923.16</v>
      </c>
      <c r="D1786" s="9">
        <v>925.87</v>
      </c>
      <c r="E1786" s="9">
        <f t="shared" si="81"/>
        <v>-2.7663117417740291E-2</v>
      </c>
      <c r="F1786" s="45">
        <f t="shared" si="82"/>
        <v>-0.13528091707749332</v>
      </c>
      <c r="G1786" s="9">
        <f t="shared" si="83"/>
        <v>2.1570795426082024E-2</v>
      </c>
    </row>
    <row r="1787" spans="1:7" x14ac:dyDescent="0.2">
      <c r="A1787" s="12">
        <v>39486</v>
      </c>
      <c r="B1787" s="9">
        <v>933.29</v>
      </c>
      <c r="C1787" s="9">
        <v>907.5</v>
      </c>
      <c r="D1787" s="9">
        <v>920.76</v>
      </c>
      <c r="E1787" s="9">
        <f t="shared" si="81"/>
        <v>-5.534420044281097E-3</v>
      </c>
      <c r="F1787" s="45">
        <f t="shared" si="82"/>
        <v>-0.15852567229194228</v>
      </c>
      <c r="G1787" s="9">
        <f t="shared" si="83"/>
        <v>2.1158679914344811E-2</v>
      </c>
    </row>
    <row r="1788" spans="1:7" x14ac:dyDescent="0.2">
      <c r="A1788" s="12">
        <v>39489</v>
      </c>
      <c r="B1788" s="9">
        <v>920.57</v>
      </c>
      <c r="C1788" s="9">
        <v>904.23</v>
      </c>
      <c r="D1788" s="9">
        <v>911.39</v>
      </c>
      <c r="E1788" s="9">
        <f t="shared" si="81"/>
        <v>-1.0228509338774085E-2</v>
      </c>
      <c r="F1788" s="45">
        <f t="shared" si="82"/>
        <v>-0.16385774475322654</v>
      </c>
      <c r="G1788" s="9">
        <f t="shared" si="83"/>
        <v>2.1177696943435045E-2</v>
      </c>
    </row>
    <row r="1789" spans="1:7" x14ac:dyDescent="0.2">
      <c r="A1789" s="12">
        <v>39490</v>
      </c>
      <c r="B1789" s="9">
        <v>946.85</v>
      </c>
      <c r="C1789" s="9">
        <v>906.87</v>
      </c>
      <c r="D1789" s="9">
        <v>945.41</v>
      </c>
      <c r="E1789" s="9">
        <f t="shared" si="81"/>
        <v>3.6647789197713422E-2</v>
      </c>
      <c r="F1789" s="45">
        <f t="shared" si="82"/>
        <v>-0.1344300695155306</v>
      </c>
      <c r="G1789" s="9">
        <f t="shared" si="83"/>
        <v>2.2429874033307488E-2</v>
      </c>
    </row>
    <row r="1790" spans="1:7" x14ac:dyDescent="0.2">
      <c r="A1790" s="12">
        <v>39491</v>
      </c>
      <c r="B1790" s="9">
        <v>950.64</v>
      </c>
      <c r="C1790" s="9">
        <v>922.45</v>
      </c>
      <c r="D1790" s="9">
        <v>949.05</v>
      </c>
      <c r="E1790" s="9">
        <f t="shared" si="81"/>
        <v>3.842788424489446E-3</v>
      </c>
      <c r="F1790" s="45">
        <f t="shared" si="82"/>
        <v>-0.10902378346682327</v>
      </c>
      <c r="G1790" s="9">
        <f t="shared" si="83"/>
        <v>2.2241492827534865E-2</v>
      </c>
    </row>
    <row r="1791" spans="1:7" x14ac:dyDescent="0.2">
      <c r="A1791" s="12">
        <v>39492</v>
      </c>
      <c r="B1791" s="9">
        <v>967.97</v>
      </c>
      <c r="C1791" s="9">
        <v>946.94</v>
      </c>
      <c r="D1791" s="9">
        <v>950.84</v>
      </c>
      <c r="E1791" s="9">
        <f t="shared" si="81"/>
        <v>1.8843201760528712E-3</v>
      </c>
      <c r="F1791" s="45">
        <f t="shared" si="82"/>
        <v>-9.9780422407960853E-2</v>
      </c>
      <c r="G1791" s="9">
        <f t="shared" si="83"/>
        <v>2.2252133846832108E-2</v>
      </c>
    </row>
    <row r="1792" spans="1:7" x14ac:dyDescent="0.2">
      <c r="A1792" s="12">
        <v>39493</v>
      </c>
      <c r="B1792" s="9">
        <v>957.51</v>
      </c>
      <c r="C1792" s="9">
        <v>935.03</v>
      </c>
      <c r="D1792" s="9">
        <v>938.79</v>
      </c>
      <c r="E1792" s="9">
        <f t="shared" ref="E1792:E1855" si="84">LN(D1792/D1791)</f>
        <v>-1.2753992412956697E-2</v>
      </c>
      <c r="F1792" s="45">
        <f t="shared" si="82"/>
        <v>-7.7687480974136303E-2</v>
      </c>
      <c r="G1792" s="9">
        <f t="shared" si="83"/>
        <v>2.1526739441531367E-2</v>
      </c>
    </row>
    <row r="1793" spans="1:7" x14ac:dyDescent="0.2">
      <c r="A1793" s="12">
        <v>39496</v>
      </c>
      <c r="B1793" s="9">
        <v>964.45</v>
      </c>
      <c r="C1793" s="9">
        <v>938.73</v>
      </c>
      <c r="D1793" s="9">
        <v>962.13</v>
      </c>
      <c r="E1793" s="9">
        <f t="shared" si="84"/>
        <v>2.455776464681278E-2</v>
      </c>
      <c r="F1793" s="45">
        <f t="shared" si="82"/>
        <v>-5.0030193580554445E-2</v>
      </c>
      <c r="G1793" s="9">
        <f t="shared" si="83"/>
        <v>2.2089032798633709E-2</v>
      </c>
    </row>
    <row r="1794" spans="1:7" x14ac:dyDescent="0.2">
      <c r="A1794" s="12">
        <v>39497</v>
      </c>
      <c r="B1794" s="9">
        <v>977.9</v>
      </c>
      <c r="C1794" s="9">
        <v>953.52</v>
      </c>
      <c r="D1794" s="9">
        <v>967.42</v>
      </c>
      <c r="E1794" s="9">
        <f t="shared" si="84"/>
        <v>5.4831574757373616E-3</v>
      </c>
      <c r="F1794" s="45">
        <f t="shared" si="82"/>
        <v>-5.7249143611722175E-2</v>
      </c>
      <c r="G1794" s="9">
        <f t="shared" si="83"/>
        <v>2.1966072902799672E-2</v>
      </c>
    </row>
    <row r="1795" spans="1:7" x14ac:dyDescent="0.2">
      <c r="A1795" s="12">
        <v>39498</v>
      </c>
      <c r="B1795" s="9">
        <v>966.63</v>
      </c>
      <c r="C1795" s="9">
        <v>948.02</v>
      </c>
      <c r="D1795" s="9">
        <v>954.53</v>
      </c>
      <c r="E1795" s="9">
        <f t="shared" si="84"/>
        <v>-1.3413661406662551E-2</v>
      </c>
      <c r="F1795" s="45">
        <f t="shared" si="82"/>
        <v>-5.0219414893740481E-2</v>
      </c>
      <c r="G1795" s="9">
        <f t="shared" si="83"/>
        <v>2.1798385744282722E-2</v>
      </c>
    </row>
    <row r="1796" spans="1:7" x14ac:dyDescent="0.2">
      <c r="A1796" s="12">
        <v>39499</v>
      </c>
      <c r="B1796" s="9">
        <v>972.41</v>
      </c>
      <c r="C1796" s="9">
        <v>955.02</v>
      </c>
      <c r="D1796" s="9">
        <v>959.79</v>
      </c>
      <c r="E1796" s="9">
        <f t="shared" si="84"/>
        <v>5.4954377926244241E-3</v>
      </c>
      <c r="F1796" s="45">
        <f t="shared" si="82"/>
        <v>-3.0687356370034544E-2</v>
      </c>
      <c r="G1796" s="9">
        <f t="shared" si="83"/>
        <v>2.1707910512175431E-2</v>
      </c>
    </row>
    <row r="1797" spans="1:7" x14ac:dyDescent="0.2">
      <c r="A1797" s="12">
        <v>39500</v>
      </c>
      <c r="B1797" s="9">
        <v>959.12</v>
      </c>
      <c r="C1797" s="9">
        <v>939.51</v>
      </c>
      <c r="D1797" s="9">
        <v>944.13</v>
      </c>
      <c r="E1797" s="9">
        <f t="shared" si="84"/>
        <v>-1.6450642004111796E-2</v>
      </c>
      <c r="F1797" s="45">
        <f t="shared" si="82"/>
        <v>-4.5358098630364538E-2</v>
      </c>
      <c r="G1797" s="9">
        <f t="shared" si="83"/>
        <v>2.1890035093598888E-2</v>
      </c>
    </row>
    <row r="1798" spans="1:7" x14ac:dyDescent="0.2">
      <c r="A1798" s="12">
        <v>39503</v>
      </c>
      <c r="B1798" s="9">
        <v>963.58</v>
      </c>
      <c r="C1798" s="9">
        <v>944.98</v>
      </c>
      <c r="D1798" s="9">
        <v>961.88</v>
      </c>
      <c r="E1798" s="9">
        <f t="shared" si="84"/>
        <v>1.8625834231770874E-2</v>
      </c>
      <c r="F1798" s="45">
        <f t="shared" si="82"/>
        <v>-4.6833745871043983E-2</v>
      </c>
      <c r="G1798" s="9">
        <f t="shared" si="83"/>
        <v>2.1841397615627717E-2</v>
      </c>
    </row>
    <row r="1799" spans="1:7" x14ac:dyDescent="0.2">
      <c r="A1799" s="12">
        <v>39504</v>
      </c>
      <c r="B1799" s="9">
        <v>982.95</v>
      </c>
      <c r="C1799" s="9">
        <v>962.43</v>
      </c>
      <c r="D1799" s="9">
        <v>980.1</v>
      </c>
      <c r="E1799" s="9">
        <f t="shared" si="84"/>
        <v>1.8764904514864161E-2</v>
      </c>
      <c r="F1799" s="45">
        <f t="shared" si="82"/>
        <v>8.1444937332995539E-3</v>
      </c>
      <c r="G1799" s="9">
        <f t="shared" si="83"/>
        <v>2.112848304682155E-2</v>
      </c>
    </row>
    <row r="1800" spans="1:7" x14ac:dyDescent="0.2">
      <c r="A1800" s="12">
        <v>39505</v>
      </c>
      <c r="B1800" s="9">
        <v>986.3</v>
      </c>
      <c r="C1800" s="9">
        <v>969.53</v>
      </c>
      <c r="D1800" s="9">
        <v>986.3</v>
      </c>
      <c r="E1800" s="9">
        <f t="shared" si="84"/>
        <v>6.3059606848135195E-3</v>
      </c>
      <c r="F1800" s="45">
        <f t="shared" si="82"/>
        <v>2.1179829893715797E-2</v>
      </c>
      <c r="G1800" s="9">
        <f t="shared" si="83"/>
        <v>2.1113576265290205E-2</v>
      </c>
    </row>
    <row r="1801" spans="1:7" x14ac:dyDescent="0.2">
      <c r="A1801" s="12">
        <v>39506</v>
      </c>
      <c r="B1801" s="9">
        <v>988.77</v>
      </c>
      <c r="C1801" s="9">
        <v>970.84</v>
      </c>
      <c r="D1801" s="9">
        <v>971.08</v>
      </c>
      <c r="E1801" s="9">
        <f t="shared" si="84"/>
        <v>-1.5551713773041579E-2</v>
      </c>
      <c r="F1801" s="45">
        <f t="shared" si="82"/>
        <v>4.9448579881673444E-3</v>
      </c>
      <c r="G1801" s="9">
        <f t="shared" si="83"/>
        <v>2.1321218768936764E-2</v>
      </c>
    </row>
    <row r="1802" spans="1:7" x14ac:dyDescent="0.2">
      <c r="A1802" s="12">
        <v>39507</v>
      </c>
      <c r="B1802" s="9">
        <v>972.58</v>
      </c>
      <c r="C1802" s="9">
        <v>955.79</v>
      </c>
      <c r="D1802" s="9">
        <v>965.29</v>
      </c>
      <c r="E1802" s="9">
        <f t="shared" si="84"/>
        <v>-5.9802798597352793E-3</v>
      </c>
      <c r="F1802" s="45">
        <f t="shared" si="82"/>
        <v>7.9670922533271495E-3</v>
      </c>
      <c r="G1802" s="9">
        <f t="shared" si="83"/>
        <v>2.1283516728801317E-2</v>
      </c>
    </row>
    <row r="1803" spans="1:7" x14ac:dyDescent="0.2">
      <c r="A1803" s="12">
        <v>39510</v>
      </c>
      <c r="B1803" s="9">
        <v>964.26</v>
      </c>
      <c r="C1803" s="9">
        <v>940.92</v>
      </c>
      <c r="D1803" s="9">
        <v>954.22</v>
      </c>
      <c r="E1803" s="9">
        <f t="shared" si="84"/>
        <v>-1.1534321498357246E-2</v>
      </c>
      <c r="F1803" s="45">
        <f t="shared" si="82"/>
        <v>3.8969230451870007E-2</v>
      </c>
      <c r="G1803" s="9">
        <f t="shared" si="83"/>
        <v>1.9837130287096501E-2</v>
      </c>
    </row>
    <row r="1804" spans="1:7" x14ac:dyDescent="0.2">
      <c r="A1804" s="12">
        <v>39511</v>
      </c>
      <c r="B1804" s="9">
        <v>962.38</v>
      </c>
      <c r="C1804" s="9">
        <v>925.26</v>
      </c>
      <c r="D1804" s="9">
        <v>931.71</v>
      </c>
      <c r="E1804" s="9">
        <f t="shared" si="84"/>
        <v>-2.3872645361449066E-2</v>
      </c>
      <c r="F1804" s="45">
        <f t="shared" si="82"/>
        <v>-2.5663081145870653E-2</v>
      </c>
      <c r="G1804" s="9">
        <f t="shared" si="83"/>
        <v>1.889084809793648E-2</v>
      </c>
    </row>
    <row r="1805" spans="1:7" x14ac:dyDescent="0.2">
      <c r="A1805" s="12">
        <v>39512</v>
      </c>
      <c r="B1805" s="9">
        <v>954.44</v>
      </c>
      <c r="C1805" s="9">
        <v>932.32</v>
      </c>
      <c r="D1805" s="9">
        <v>950.25</v>
      </c>
      <c r="E1805" s="9">
        <f t="shared" si="84"/>
        <v>1.9703500401993444E-2</v>
      </c>
      <c r="F1805" s="45">
        <f t="shared" si="82"/>
        <v>3.0961100445547115E-2</v>
      </c>
      <c r="G1805" s="9">
        <f t="shared" si="83"/>
        <v>1.7969467855824303E-2</v>
      </c>
    </row>
    <row r="1806" spans="1:7" x14ac:dyDescent="0.2">
      <c r="A1806" s="12">
        <v>39513</v>
      </c>
      <c r="B1806" s="9">
        <v>952.19</v>
      </c>
      <c r="C1806" s="9">
        <v>935.66</v>
      </c>
      <c r="D1806" s="9">
        <v>938.07</v>
      </c>
      <c r="E1806" s="9">
        <f t="shared" si="84"/>
        <v>-1.2900534781907823E-2</v>
      </c>
      <c r="F1806" s="45">
        <f t="shared" si="82"/>
        <v>-2.1597152878608031E-2</v>
      </c>
      <c r="G1806" s="9">
        <f t="shared" si="83"/>
        <v>1.6582339717043034E-2</v>
      </c>
    </row>
    <row r="1807" spans="1:7" x14ac:dyDescent="0.2">
      <c r="A1807" s="12">
        <v>39514</v>
      </c>
      <c r="B1807" s="9">
        <v>936.36</v>
      </c>
      <c r="C1807" s="9">
        <v>916.53</v>
      </c>
      <c r="D1807" s="9">
        <v>925.54</v>
      </c>
      <c r="E1807" s="9">
        <f t="shared" si="84"/>
        <v>-1.3447222126704973E-2</v>
      </c>
      <c r="F1807" s="45">
        <f t="shared" si="82"/>
        <v>-3.8314802450535146E-2</v>
      </c>
      <c r="G1807" s="9">
        <f t="shared" si="83"/>
        <v>1.6723915949291152E-2</v>
      </c>
    </row>
    <row r="1808" spans="1:7" x14ac:dyDescent="0.2">
      <c r="A1808" s="12">
        <v>39517</v>
      </c>
      <c r="B1808" s="9">
        <v>925.51</v>
      </c>
      <c r="C1808" s="9">
        <v>905.04</v>
      </c>
      <c r="D1808" s="9">
        <v>914.68</v>
      </c>
      <c r="E1808" s="9">
        <f t="shared" si="84"/>
        <v>-1.1803073629851252E-2</v>
      </c>
      <c r="F1808" s="45">
        <f t="shared" si="82"/>
        <v>-3.691881698843217E-2</v>
      </c>
      <c r="G1808" s="9">
        <f t="shared" si="83"/>
        <v>1.6691511157101588E-2</v>
      </c>
    </row>
    <row r="1809" spans="1:7" x14ac:dyDescent="0.2">
      <c r="A1809" s="12">
        <v>39518</v>
      </c>
      <c r="B1809" s="9">
        <v>936.8</v>
      </c>
      <c r="C1809" s="9">
        <v>906.71</v>
      </c>
      <c r="D1809" s="9">
        <v>929.63</v>
      </c>
      <c r="E1809" s="9">
        <f t="shared" si="84"/>
        <v>1.6212380190947211E-2</v>
      </c>
      <c r="F1809" s="45">
        <f t="shared" si="82"/>
        <v>-2.8985385477372859E-2</v>
      </c>
      <c r="G1809" s="9">
        <f t="shared" si="83"/>
        <v>1.6908800292500692E-2</v>
      </c>
    </row>
    <row r="1810" spans="1:7" x14ac:dyDescent="0.2">
      <c r="A1810" s="12">
        <v>39519</v>
      </c>
      <c r="B1810" s="9">
        <v>951.9</v>
      </c>
      <c r="C1810" s="9">
        <v>930.42</v>
      </c>
      <c r="D1810" s="9">
        <v>947.79</v>
      </c>
      <c r="E1810" s="9">
        <f t="shared" si="84"/>
        <v>1.9346301206883736E-2</v>
      </c>
      <c r="F1810" s="45">
        <f t="shared" si="82"/>
        <v>-3.5283064413434246E-3</v>
      </c>
      <c r="G1810" s="9">
        <f t="shared" si="83"/>
        <v>1.7276500062781808E-2</v>
      </c>
    </row>
    <row r="1811" spans="1:7" x14ac:dyDescent="0.2">
      <c r="A1811" s="12">
        <v>39520</v>
      </c>
      <c r="B1811" s="9">
        <v>946.32</v>
      </c>
      <c r="C1811" s="9">
        <v>919.22</v>
      </c>
      <c r="D1811" s="9">
        <v>936.52</v>
      </c>
      <c r="E1811" s="9">
        <f t="shared" si="84"/>
        <v>-1.196208095943309E-2</v>
      </c>
      <c r="F1811" s="45">
        <f t="shared" si="82"/>
        <v>-1.328006958355572E-2</v>
      </c>
      <c r="G1811" s="9">
        <f t="shared" si="83"/>
        <v>1.7408468355576953E-2</v>
      </c>
    </row>
    <row r="1812" spans="1:7" x14ac:dyDescent="0.2">
      <c r="A1812" s="12">
        <v>39521</v>
      </c>
      <c r="B1812" s="9">
        <v>950.3</v>
      </c>
      <c r="C1812" s="9">
        <v>919.66</v>
      </c>
      <c r="D1812" s="9">
        <v>924.22</v>
      </c>
      <c r="E1812" s="9">
        <f t="shared" si="84"/>
        <v>-1.3220739229685464E-2</v>
      </c>
      <c r="F1812" s="45">
        <f t="shared" si="82"/>
        <v>-5.4952924619850477E-2</v>
      </c>
      <c r="G1812" s="9">
        <f t="shared" si="83"/>
        <v>1.6670303219524254E-2</v>
      </c>
    </row>
    <row r="1813" spans="1:7" x14ac:dyDescent="0.2">
      <c r="A1813" s="12">
        <v>39525</v>
      </c>
      <c r="B1813" s="9">
        <v>917.51</v>
      </c>
      <c r="C1813" s="9">
        <v>887.17</v>
      </c>
      <c r="D1813" s="9">
        <v>914.55</v>
      </c>
      <c r="E1813" s="9">
        <f t="shared" si="84"/>
        <v>-1.0517997517671844E-2</v>
      </c>
      <c r="F1813" s="45">
        <f t="shared" si="82"/>
        <v>-6.5501645834199998E-2</v>
      </c>
      <c r="G1813" s="9">
        <f t="shared" si="83"/>
        <v>1.6740765728969161E-2</v>
      </c>
    </row>
    <row r="1814" spans="1:7" x14ac:dyDescent="0.2">
      <c r="A1814" s="12">
        <v>39526</v>
      </c>
      <c r="B1814" s="9">
        <v>925.79</v>
      </c>
      <c r="C1814" s="9">
        <v>896.2</v>
      </c>
      <c r="D1814" s="9">
        <v>905.64</v>
      </c>
      <c r="E1814" s="9">
        <f t="shared" si="84"/>
        <v>-9.7902649371574696E-3</v>
      </c>
      <c r="F1814" s="45">
        <f t="shared" si="82"/>
        <v>-4.3209495952125886E-2</v>
      </c>
      <c r="G1814" s="9">
        <f t="shared" si="83"/>
        <v>1.5838290566901229E-2</v>
      </c>
    </row>
    <row r="1815" spans="1:7" x14ac:dyDescent="0.2">
      <c r="A1815" s="12">
        <v>39527</v>
      </c>
      <c r="B1815" s="9">
        <v>905.7</v>
      </c>
      <c r="C1815" s="9">
        <v>893.38</v>
      </c>
      <c r="D1815" s="9">
        <v>894.78</v>
      </c>
      <c r="E1815" s="9">
        <f t="shared" si="84"/>
        <v>-1.2063998082031489E-2</v>
      </c>
      <c r="F1815" s="45">
        <f t="shared" si="82"/>
        <v>-6.1819075436849641E-2</v>
      </c>
      <c r="G1815" s="9">
        <f t="shared" si="83"/>
        <v>1.5879108109898152E-2</v>
      </c>
    </row>
    <row r="1816" spans="1:7" x14ac:dyDescent="0.2">
      <c r="A1816" s="12">
        <v>39532</v>
      </c>
      <c r="B1816" s="9">
        <v>935.16</v>
      </c>
      <c r="C1816" s="9">
        <v>897.83</v>
      </c>
      <c r="D1816" s="9">
        <v>932.09</v>
      </c>
      <c r="E1816" s="9">
        <f t="shared" si="84"/>
        <v>4.0851498544203863E-2</v>
      </c>
      <c r="F1816" s="45">
        <f t="shared" si="82"/>
        <v>6.6955405250945423E-3</v>
      </c>
      <c r="G1816" s="9">
        <f t="shared" si="83"/>
        <v>1.6960120857450019E-2</v>
      </c>
    </row>
    <row r="1817" spans="1:7" x14ac:dyDescent="0.2">
      <c r="A1817" s="12">
        <v>39533</v>
      </c>
      <c r="B1817" s="9">
        <v>934.32</v>
      </c>
      <c r="C1817" s="9">
        <v>923.93</v>
      </c>
      <c r="D1817" s="9">
        <v>931.87</v>
      </c>
      <c r="E1817" s="9">
        <f t="shared" si="84"/>
        <v>-2.3605656883367459E-4</v>
      </c>
      <c r="F1817" s="45">
        <f t="shared" si="82"/>
        <v>1.1993904000542002E-2</v>
      </c>
      <c r="G1817" s="9">
        <f t="shared" si="83"/>
        <v>1.6925649196142475E-2</v>
      </c>
    </row>
    <row r="1818" spans="1:7" x14ac:dyDescent="0.2">
      <c r="A1818" s="12">
        <v>39534</v>
      </c>
      <c r="B1818" s="9">
        <v>954.3</v>
      </c>
      <c r="C1818" s="9">
        <v>930.54</v>
      </c>
      <c r="D1818" s="9">
        <v>952.99</v>
      </c>
      <c r="E1818" s="9">
        <f t="shared" si="84"/>
        <v>2.2411090441598832E-2</v>
      </c>
      <c r="F1818" s="45">
        <f t="shared" si="82"/>
        <v>4.4633503780914859E-2</v>
      </c>
      <c r="G1818" s="9">
        <f t="shared" si="83"/>
        <v>1.7264549214567073E-2</v>
      </c>
    </row>
    <row r="1819" spans="1:7" x14ac:dyDescent="0.2">
      <c r="A1819" s="12">
        <v>39535</v>
      </c>
      <c r="B1819" s="9">
        <v>953.61</v>
      </c>
      <c r="C1819" s="9">
        <v>945.82</v>
      </c>
      <c r="D1819" s="9">
        <v>951.71</v>
      </c>
      <c r="E1819" s="9">
        <f t="shared" si="84"/>
        <v>-1.3440438837490527E-3</v>
      </c>
      <c r="F1819" s="45">
        <f t="shared" si="82"/>
        <v>6.6416706994525156E-3</v>
      </c>
      <c r="G1819" s="9">
        <f t="shared" si="83"/>
        <v>1.5939060376012323E-2</v>
      </c>
    </row>
    <row r="1820" spans="1:7" x14ac:dyDescent="0.2">
      <c r="A1820" s="12">
        <v>39538</v>
      </c>
      <c r="B1820" s="9">
        <v>952.87</v>
      </c>
      <c r="C1820" s="9">
        <v>932.45</v>
      </c>
      <c r="D1820" s="9">
        <v>952.13</v>
      </c>
      <c r="E1820" s="9">
        <f t="shared" si="84"/>
        <v>4.4121355451444747E-4</v>
      </c>
      <c r="F1820" s="45">
        <f t="shared" si="82"/>
        <v>3.2400958294774617E-3</v>
      </c>
      <c r="G1820" s="9">
        <f t="shared" si="83"/>
        <v>1.5924502724060798E-2</v>
      </c>
    </row>
    <row r="1821" spans="1:7" x14ac:dyDescent="0.2">
      <c r="A1821" s="12">
        <v>39539</v>
      </c>
      <c r="B1821" s="9">
        <v>984.75</v>
      </c>
      <c r="C1821" s="9">
        <v>946.47</v>
      </c>
      <c r="D1821" s="9">
        <v>981.23</v>
      </c>
      <c r="E1821" s="9">
        <f t="shared" si="84"/>
        <v>3.0105306632813546E-2</v>
      </c>
      <c r="F1821" s="45">
        <f t="shared" si="82"/>
        <v>3.146108228623809E-2</v>
      </c>
      <c r="G1821" s="9">
        <f t="shared" si="83"/>
        <v>1.6840262985897927E-2</v>
      </c>
    </row>
    <row r="1822" spans="1:7" x14ac:dyDescent="0.2">
      <c r="A1822" s="12">
        <v>39540</v>
      </c>
      <c r="B1822" s="9">
        <v>998.63</v>
      </c>
      <c r="C1822" s="9">
        <v>979.77</v>
      </c>
      <c r="D1822" s="9">
        <v>996.91</v>
      </c>
      <c r="E1822" s="9">
        <f t="shared" si="84"/>
        <v>1.5853608351451921E-2</v>
      </c>
      <c r="F1822" s="45">
        <f t="shared" si="82"/>
        <v>6.006868305064695E-2</v>
      </c>
      <c r="G1822" s="9">
        <f t="shared" si="83"/>
        <v>1.6841687067105343E-2</v>
      </c>
    </row>
    <row r="1823" spans="1:7" x14ac:dyDescent="0.2">
      <c r="A1823" s="12">
        <v>39541</v>
      </c>
      <c r="B1823" s="9">
        <v>999.51</v>
      </c>
      <c r="C1823" s="9">
        <v>982.74</v>
      </c>
      <c r="D1823" s="9">
        <v>987.5</v>
      </c>
      <c r="E1823" s="9">
        <f t="shared" si="84"/>
        <v>-9.4839982994690923E-3</v>
      </c>
      <c r="F1823" s="45">
        <f t="shared" si="82"/>
        <v>2.6026920104365203E-2</v>
      </c>
      <c r="G1823" s="9">
        <f t="shared" si="83"/>
        <v>1.6410874826397449E-2</v>
      </c>
    </row>
    <row r="1824" spans="1:7" x14ac:dyDescent="0.2">
      <c r="A1824" s="12">
        <v>39542</v>
      </c>
      <c r="B1824" s="9">
        <v>987.68</v>
      </c>
      <c r="C1824" s="9">
        <v>975.73</v>
      </c>
      <c r="D1824" s="9">
        <v>979.57</v>
      </c>
      <c r="E1824" s="9">
        <f t="shared" si="84"/>
        <v>-8.0627969110050827E-3</v>
      </c>
      <c r="F1824" s="45">
        <f t="shared" si="82"/>
        <v>1.2480965717622866E-2</v>
      </c>
      <c r="G1824" s="9">
        <f t="shared" si="83"/>
        <v>1.6465762574969876E-2</v>
      </c>
    </row>
    <row r="1825" spans="1:7" x14ac:dyDescent="0.2">
      <c r="A1825" s="12">
        <v>39545</v>
      </c>
      <c r="B1825" s="9">
        <v>995.14</v>
      </c>
      <c r="C1825" s="9">
        <v>980.18</v>
      </c>
      <c r="D1825" s="9">
        <v>993.34</v>
      </c>
      <c r="E1825" s="9">
        <f t="shared" si="84"/>
        <v>1.3959302353943107E-2</v>
      </c>
      <c r="F1825" s="45">
        <f t="shared" ref="F1825:F1888" si="85">LN(D1825/D1795)</f>
        <v>3.9853929478228495E-2</v>
      </c>
      <c r="G1825" s="9">
        <f t="shared" ref="G1825:G1888" si="86">STDEV(E1796:E1825)</f>
        <v>1.6431364612990006E-2</v>
      </c>
    </row>
    <row r="1826" spans="1:7" x14ac:dyDescent="0.2">
      <c r="A1826" s="12">
        <v>39546</v>
      </c>
      <c r="B1826" s="9">
        <v>992.42</v>
      </c>
      <c r="C1826" s="9">
        <v>972.64</v>
      </c>
      <c r="D1826" s="9">
        <v>981.09</v>
      </c>
      <c r="E1826" s="9">
        <f t="shared" si="84"/>
        <v>-1.2408803741728454E-2</v>
      </c>
      <c r="F1826" s="45">
        <f t="shared" si="85"/>
        <v>2.1949687943875747E-2</v>
      </c>
      <c r="G1826" s="9">
        <f t="shared" si="86"/>
        <v>1.6599092225429511E-2</v>
      </c>
    </row>
    <row r="1827" spans="1:7" x14ac:dyDescent="0.2">
      <c r="A1827" s="12">
        <v>39547</v>
      </c>
      <c r="B1827" s="9">
        <v>984.01</v>
      </c>
      <c r="C1827" s="9">
        <v>968.81</v>
      </c>
      <c r="D1827" s="9">
        <v>978.5</v>
      </c>
      <c r="E1827" s="9">
        <f t="shared" si="84"/>
        <v>-2.6434116403556275E-3</v>
      </c>
      <c r="F1827" s="45">
        <f t="shared" si="85"/>
        <v>3.5756918307631863E-2</v>
      </c>
      <c r="G1827" s="9">
        <f t="shared" si="86"/>
        <v>1.6294880806482344E-2</v>
      </c>
    </row>
    <row r="1828" spans="1:7" x14ac:dyDescent="0.2">
      <c r="A1828" s="12">
        <v>39548</v>
      </c>
      <c r="B1828" s="9">
        <v>975.5</v>
      </c>
      <c r="C1828" s="9">
        <v>951.37</v>
      </c>
      <c r="D1828" s="9">
        <v>969.89</v>
      </c>
      <c r="E1828" s="9">
        <f t="shared" si="84"/>
        <v>-8.8381238310581266E-3</v>
      </c>
      <c r="F1828" s="45">
        <f t="shared" si="85"/>
        <v>8.2929602448029334E-3</v>
      </c>
      <c r="G1828" s="9">
        <f t="shared" si="86"/>
        <v>1.6051305608469593E-2</v>
      </c>
    </row>
    <row r="1829" spans="1:7" x14ac:dyDescent="0.2">
      <c r="A1829" s="12">
        <v>39549</v>
      </c>
      <c r="B1829" s="9">
        <v>975.41</v>
      </c>
      <c r="C1829" s="9">
        <v>949.34</v>
      </c>
      <c r="D1829" s="9">
        <v>956.52</v>
      </c>
      <c r="E1829" s="9">
        <f t="shared" si="84"/>
        <v>-1.3880964777240686E-2</v>
      </c>
      <c r="F1829" s="45">
        <f t="shared" si="85"/>
        <v>-2.4352909047302047E-2</v>
      </c>
      <c r="G1829" s="9">
        <f t="shared" si="86"/>
        <v>1.5860133403511601E-2</v>
      </c>
    </row>
    <row r="1830" spans="1:7" x14ac:dyDescent="0.2">
      <c r="A1830" s="12">
        <v>39552</v>
      </c>
      <c r="B1830" s="9">
        <v>955.47</v>
      </c>
      <c r="C1830" s="9">
        <v>940.89</v>
      </c>
      <c r="D1830" s="9">
        <v>948.4</v>
      </c>
      <c r="E1830" s="9">
        <f t="shared" si="84"/>
        <v>-8.5253440365817175E-3</v>
      </c>
      <c r="F1830" s="45">
        <f t="shared" si="85"/>
        <v>-3.9184213768697372E-2</v>
      </c>
      <c r="G1830" s="9">
        <f t="shared" si="86"/>
        <v>1.5861769464208468E-2</v>
      </c>
    </row>
    <row r="1831" spans="1:7" x14ac:dyDescent="0.2">
      <c r="A1831" s="12">
        <v>39553</v>
      </c>
      <c r="B1831" s="9">
        <v>956.34</v>
      </c>
      <c r="C1831" s="9">
        <v>943.07</v>
      </c>
      <c r="D1831" s="9">
        <v>950.19</v>
      </c>
      <c r="E1831" s="9">
        <f t="shared" si="84"/>
        <v>1.8856104060024415E-3</v>
      </c>
      <c r="F1831" s="45">
        <f t="shared" si="85"/>
        <v>-2.174688958965338E-2</v>
      </c>
      <c r="G1831" s="9">
        <f t="shared" si="86"/>
        <v>1.5639684005084538E-2</v>
      </c>
    </row>
    <row r="1832" spans="1:7" x14ac:dyDescent="0.2">
      <c r="A1832" s="12">
        <v>39554</v>
      </c>
      <c r="B1832" s="9">
        <v>978.11</v>
      </c>
      <c r="C1832" s="9">
        <v>951.36</v>
      </c>
      <c r="D1832" s="9">
        <v>978.03</v>
      </c>
      <c r="E1832" s="9">
        <f t="shared" si="84"/>
        <v>2.8878379813726669E-2</v>
      </c>
      <c r="F1832" s="45">
        <f t="shared" si="85"/>
        <v>1.3111770083808559E-2</v>
      </c>
      <c r="G1832" s="9">
        <f t="shared" si="86"/>
        <v>1.6506657438662191E-2</v>
      </c>
    </row>
    <row r="1833" spans="1:7" x14ac:dyDescent="0.2">
      <c r="A1833" s="12">
        <v>39555</v>
      </c>
      <c r="B1833" s="9">
        <v>980.68</v>
      </c>
      <c r="C1833" s="9">
        <v>958.36</v>
      </c>
      <c r="D1833" s="9">
        <v>963.79</v>
      </c>
      <c r="E1833" s="9">
        <f t="shared" si="84"/>
        <v>-1.4666915855170937E-2</v>
      </c>
      <c r="F1833" s="45">
        <f t="shared" si="85"/>
        <v>9.9791757269949918E-3</v>
      </c>
      <c r="G1833" s="9">
        <f t="shared" si="86"/>
        <v>1.6594672446524898E-2</v>
      </c>
    </row>
    <row r="1834" spans="1:7" x14ac:dyDescent="0.2">
      <c r="A1834" s="12">
        <v>39556</v>
      </c>
      <c r="B1834" s="9">
        <v>987.44</v>
      </c>
      <c r="C1834" s="9">
        <v>964.03</v>
      </c>
      <c r="D1834" s="9">
        <v>981.44</v>
      </c>
      <c r="E1834" s="9">
        <f t="shared" si="84"/>
        <v>1.8147452370078174E-2</v>
      </c>
      <c r="F1834" s="45">
        <f t="shared" si="85"/>
        <v>5.1999273458522149E-2</v>
      </c>
      <c r="G1834" s="9">
        <f t="shared" si="86"/>
        <v>1.6250970194754039E-2</v>
      </c>
    </row>
    <row r="1835" spans="1:7" x14ac:dyDescent="0.2">
      <c r="A1835" s="12">
        <v>39559</v>
      </c>
      <c r="B1835" s="9">
        <v>989.6</v>
      </c>
      <c r="C1835" s="9">
        <v>965.13</v>
      </c>
      <c r="D1835" s="9">
        <v>969.19</v>
      </c>
      <c r="E1835" s="9">
        <f t="shared" si="84"/>
        <v>-1.2560209824611061E-2</v>
      </c>
      <c r="F1835" s="45">
        <f t="shared" si="85"/>
        <v>1.9735563231917469E-2</v>
      </c>
      <c r="G1835" s="9">
        <f t="shared" si="86"/>
        <v>1.608748240242756E-2</v>
      </c>
    </row>
    <row r="1836" spans="1:7" x14ac:dyDescent="0.2">
      <c r="A1836" s="12">
        <v>39560</v>
      </c>
      <c r="B1836" s="9">
        <v>973.57</v>
      </c>
      <c r="C1836" s="9">
        <v>961.78</v>
      </c>
      <c r="D1836" s="9">
        <v>962.35</v>
      </c>
      <c r="E1836" s="9">
        <f t="shared" si="84"/>
        <v>-7.0824612401428396E-3</v>
      </c>
      <c r="F1836" s="45">
        <f t="shared" si="85"/>
        <v>2.5553636773682532E-2</v>
      </c>
      <c r="G1836" s="9">
        <f t="shared" si="86"/>
        <v>1.5952904691104344E-2</v>
      </c>
    </row>
    <row r="1837" spans="1:7" x14ac:dyDescent="0.2">
      <c r="A1837" s="12">
        <v>39561</v>
      </c>
      <c r="B1837" s="9">
        <v>976.54</v>
      </c>
      <c r="C1837" s="9">
        <v>958.35</v>
      </c>
      <c r="D1837" s="9">
        <v>976.52</v>
      </c>
      <c r="E1837" s="9">
        <f t="shared" si="84"/>
        <v>1.4617021556665336E-2</v>
      </c>
      <c r="F1837" s="45">
        <f t="shared" si="85"/>
        <v>5.3617880457053006E-2</v>
      </c>
      <c r="G1837" s="9">
        <f t="shared" si="86"/>
        <v>1.5908278534788399E-2</v>
      </c>
    </row>
    <row r="1838" spans="1:7" x14ac:dyDescent="0.2">
      <c r="A1838" s="12">
        <v>39562</v>
      </c>
      <c r="B1838" s="9">
        <v>980.29</v>
      </c>
      <c r="C1838" s="9">
        <v>956.12</v>
      </c>
      <c r="D1838" s="9">
        <v>966.99</v>
      </c>
      <c r="E1838" s="9">
        <f t="shared" si="84"/>
        <v>-9.8070772796091336E-3</v>
      </c>
      <c r="F1838" s="45">
        <f t="shared" si="85"/>
        <v>5.5613876807295189E-2</v>
      </c>
      <c r="G1838" s="9">
        <f t="shared" si="86"/>
        <v>1.5853559515790608E-2</v>
      </c>
    </row>
    <row r="1839" spans="1:7" x14ac:dyDescent="0.2">
      <c r="A1839" s="12">
        <v>39563</v>
      </c>
      <c r="B1839" s="9">
        <v>1003.56</v>
      </c>
      <c r="C1839" s="9">
        <v>982.09</v>
      </c>
      <c r="D1839" s="9">
        <v>998.83</v>
      </c>
      <c r="E1839" s="9">
        <f t="shared" si="84"/>
        <v>3.2396439859607877E-2</v>
      </c>
      <c r="F1839" s="45">
        <f t="shared" si="85"/>
        <v>7.179793647595592E-2</v>
      </c>
      <c r="G1839" s="9">
        <f t="shared" si="86"/>
        <v>1.6616027259536176E-2</v>
      </c>
    </row>
    <row r="1840" spans="1:7" x14ac:dyDescent="0.2">
      <c r="A1840" s="12">
        <v>39566</v>
      </c>
      <c r="B1840" s="9">
        <v>1011.29</v>
      </c>
      <c r="C1840" s="9">
        <v>999.9</v>
      </c>
      <c r="D1840" s="9">
        <v>1005.31</v>
      </c>
      <c r="E1840" s="9">
        <f t="shared" si="84"/>
        <v>6.4666366435224398E-3</v>
      </c>
      <c r="F1840" s="45">
        <f t="shared" si="85"/>
        <v>5.8918271912594425E-2</v>
      </c>
      <c r="G1840" s="9">
        <f t="shared" si="86"/>
        <v>1.6326766554673133E-2</v>
      </c>
    </row>
    <row r="1841" spans="1:7" x14ac:dyDescent="0.2">
      <c r="A1841" s="12">
        <v>39567</v>
      </c>
      <c r="B1841" s="9">
        <v>1006.46</v>
      </c>
      <c r="C1841" s="9">
        <v>987.08</v>
      </c>
      <c r="D1841" s="9">
        <v>990.72</v>
      </c>
      <c r="E1841" s="9">
        <f t="shared" si="84"/>
        <v>-1.461927912006666E-2</v>
      </c>
      <c r="F1841" s="45">
        <f t="shared" si="85"/>
        <v>5.6261073751960898E-2</v>
      </c>
      <c r="G1841" s="9">
        <f t="shared" si="86"/>
        <v>1.6411906559293185E-2</v>
      </c>
    </row>
    <row r="1842" spans="1:7" x14ac:dyDescent="0.2">
      <c r="A1842" s="12">
        <v>39568</v>
      </c>
      <c r="B1842" s="9">
        <v>991.9</v>
      </c>
      <c r="C1842" s="9">
        <v>983.16</v>
      </c>
      <c r="D1842" s="9">
        <v>986.06</v>
      </c>
      <c r="E1842" s="9">
        <f t="shared" si="84"/>
        <v>-4.7147468430432512E-3</v>
      </c>
      <c r="F1842" s="45">
        <f t="shared" si="85"/>
        <v>6.4767066138603099E-2</v>
      </c>
      <c r="G1842" s="9">
        <f t="shared" si="86"/>
        <v>1.621439871099762E-2</v>
      </c>
    </row>
    <row r="1843" spans="1:7" x14ac:dyDescent="0.2">
      <c r="A1843" s="12">
        <v>39570</v>
      </c>
      <c r="B1843" s="9">
        <v>1012.85</v>
      </c>
      <c r="C1843" s="9">
        <v>984.34</v>
      </c>
      <c r="D1843" s="9">
        <v>1008.2</v>
      </c>
      <c r="E1843" s="9">
        <f t="shared" si="84"/>
        <v>2.2204636970320775E-2</v>
      </c>
      <c r="F1843" s="45">
        <f t="shared" si="85"/>
        <v>9.7489700626595732E-2</v>
      </c>
      <c r="G1843" s="9">
        <f t="shared" si="86"/>
        <v>1.6431393813193605E-2</v>
      </c>
    </row>
    <row r="1844" spans="1:7" x14ac:dyDescent="0.2">
      <c r="A1844" s="12">
        <v>39573</v>
      </c>
      <c r="B1844" s="9">
        <v>1010</v>
      </c>
      <c r="C1844" s="9">
        <v>999</v>
      </c>
      <c r="D1844" s="9">
        <v>1009.33</v>
      </c>
      <c r="E1844" s="9">
        <f t="shared" si="84"/>
        <v>1.1201817253383894E-3</v>
      </c>
      <c r="F1844" s="45">
        <f t="shared" si="85"/>
        <v>0.10840014728909161</v>
      </c>
      <c r="G1844" s="9">
        <f t="shared" si="86"/>
        <v>1.625259401694245E-2</v>
      </c>
    </row>
    <row r="1845" spans="1:7" x14ac:dyDescent="0.2">
      <c r="A1845" s="12">
        <v>39574</v>
      </c>
      <c r="B1845" s="9">
        <v>1012.6</v>
      </c>
      <c r="C1845" s="9">
        <v>994.88</v>
      </c>
      <c r="D1845" s="9">
        <v>1006.73</v>
      </c>
      <c r="E1845" s="9">
        <f t="shared" si="84"/>
        <v>-2.5792897447753471E-3</v>
      </c>
      <c r="F1845" s="45">
        <f t="shared" si="85"/>
        <v>0.11788485562634758</v>
      </c>
      <c r="G1845" s="9">
        <f t="shared" si="86"/>
        <v>1.6027808449203443E-2</v>
      </c>
    </row>
    <row r="1846" spans="1:7" x14ac:dyDescent="0.2">
      <c r="A1846" s="12">
        <v>39575</v>
      </c>
      <c r="B1846" s="9">
        <v>1024.07</v>
      </c>
      <c r="C1846" s="9">
        <v>1006.55</v>
      </c>
      <c r="D1846" s="9">
        <v>1020.05</v>
      </c>
      <c r="E1846" s="9">
        <f t="shared" si="84"/>
        <v>1.3144191055644523E-2</v>
      </c>
      <c r="F1846" s="45">
        <f t="shared" si="85"/>
        <v>9.0177548137788374E-2</v>
      </c>
      <c r="G1846" s="9">
        <f t="shared" si="86"/>
        <v>1.4557750779887271E-2</v>
      </c>
    </row>
    <row r="1847" spans="1:7" x14ac:dyDescent="0.2">
      <c r="A1847" s="12">
        <v>39576</v>
      </c>
      <c r="B1847" s="9">
        <v>1019.67</v>
      </c>
      <c r="C1847" s="9">
        <v>1009.63</v>
      </c>
      <c r="D1847" s="9">
        <v>1019.67</v>
      </c>
      <c r="E1847" s="9">
        <f t="shared" si="84"/>
        <v>-3.7260016511705415E-4</v>
      </c>
      <c r="F1847" s="45">
        <f t="shared" si="85"/>
        <v>9.004100454150489E-2</v>
      </c>
      <c r="G1847" s="9">
        <f t="shared" si="86"/>
        <v>1.4558820634548018E-2</v>
      </c>
    </row>
    <row r="1848" spans="1:7" x14ac:dyDescent="0.2">
      <c r="A1848" s="12">
        <v>39577</v>
      </c>
      <c r="B1848" s="9">
        <v>1019.42</v>
      </c>
      <c r="C1848" s="9">
        <v>999.04</v>
      </c>
      <c r="D1848" s="9">
        <v>1003.51</v>
      </c>
      <c r="E1848" s="9">
        <f t="shared" si="84"/>
        <v>-1.5975191210806948E-2</v>
      </c>
      <c r="F1848" s="45">
        <f t="shared" si="85"/>
        <v>5.1654722889099045E-2</v>
      </c>
      <c r="G1848" s="9">
        <f t="shared" si="86"/>
        <v>1.4480752964296021E-2</v>
      </c>
    </row>
    <row r="1849" spans="1:7" x14ac:dyDescent="0.2">
      <c r="A1849" s="12">
        <v>39580</v>
      </c>
      <c r="B1849" s="9">
        <v>1008.58</v>
      </c>
      <c r="C1849" s="9">
        <v>999.91</v>
      </c>
      <c r="D1849" s="9">
        <v>1008.3</v>
      </c>
      <c r="E1849" s="9">
        <f t="shared" si="84"/>
        <v>4.7618900903554804E-3</v>
      </c>
      <c r="F1849" s="45">
        <f t="shared" si="85"/>
        <v>5.7760656863203724E-2</v>
      </c>
      <c r="G1849" s="9">
        <f t="shared" si="86"/>
        <v>1.447908562208289E-2</v>
      </c>
    </row>
    <row r="1850" spans="1:7" x14ac:dyDescent="0.2">
      <c r="A1850" s="12">
        <v>39581</v>
      </c>
      <c r="B1850" s="9">
        <v>1016.28</v>
      </c>
      <c r="C1850" s="9">
        <v>999.63</v>
      </c>
      <c r="D1850" s="9">
        <v>1011.86</v>
      </c>
      <c r="E1850" s="9">
        <f t="shared" si="84"/>
        <v>3.524476957443103E-3</v>
      </c>
      <c r="F1850" s="45">
        <f t="shared" si="85"/>
        <v>6.0843920266132404E-2</v>
      </c>
      <c r="G1850" s="9">
        <f t="shared" si="86"/>
        <v>1.4479130431020627E-2</v>
      </c>
    </row>
    <row r="1851" spans="1:7" x14ac:dyDescent="0.2">
      <c r="A1851" s="12">
        <v>39582</v>
      </c>
      <c r="B1851" s="9">
        <v>1016.6</v>
      </c>
      <c r="C1851" s="9">
        <v>998.97</v>
      </c>
      <c r="D1851" s="9">
        <v>1012.86</v>
      </c>
      <c r="E1851" s="9">
        <f t="shared" si="84"/>
        <v>9.8779098473951985E-4</v>
      </c>
      <c r="F1851" s="45">
        <f t="shared" si="85"/>
        <v>3.1726404618058437E-2</v>
      </c>
      <c r="G1851" s="9">
        <f t="shared" si="86"/>
        <v>1.3473095578390958E-2</v>
      </c>
    </row>
    <row r="1852" spans="1:7" x14ac:dyDescent="0.2">
      <c r="A1852" s="12">
        <v>39583</v>
      </c>
      <c r="B1852" s="9">
        <v>1019.35</v>
      </c>
      <c r="C1852" s="9">
        <v>1001.67</v>
      </c>
      <c r="D1852" s="9">
        <v>1018.13</v>
      </c>
      <c r="E1852" s="9">
        <f t="shared" si="84"/>
        <v>5.1895989912347359E-3</v>
      </c>
      <c r="F1852" s="45">
        <f t="shared" si="85"/>
        <v>2.1062395257841055E-2</v>
      </c>
      <c r="G1852" s="9">
        <f t="shared" si="86"/>
        <v>1.3207318431783853E-2</v>
      </c>
    </row>
    <row r="1853" spans="1:7" x14ac:dyDescent="0.2">
      <c r="A1853" s="12">
        <v>39584</v>
      </c>
      <c r="B1853" s="9">
        <v>1030.51</v>
      </c>
      <c r="C1853" s="9">
        <v>1018.74</v>
      </c>
      <c r="D1853" s="9">
        <v>1023.18</v>
      </c>
      <c r="E1853" s="9">
        <f t="shared" si="84"/>
        <v>4.9478132202908469E-3</v>
      </c>
      <c r="F1853" s="45">
        <f t="shared" si="85"/>
        <v>3.5494206777600831E-2</v>
      </c>
      <c r="G1853" s="9">
        <f t="shared" si="86"/>
        <v>1.30857806953851E-2</v>
      </c>
    </row>
    <row r="1854" spans="1:7" x14ac:dyDescent="0.2">
      <c r="A1854" s="12">
        <v>39587</v>
      </c>
      <c r="B1854" s="9">
        <v>1036.8599999999999</v>
      </c>
      <c r="C1854" s="9">
        <v>1023.37</v>
      </c>
      <c r="D1854" s="9">
        <v>1036.8599999999999</v>
      </c>
      <c r="E1854" s="9">
        <f t="shared" si="84"/>
        <v>1.3281490741077397E-2</v>
      </c>
      <c r="F1854" s="45">
        <f t="shared" si="85"/>
        <v>5.6838494429683473E-2</v>
      </c>
      <c r="G1854" s="9">
        <f t="shared" si="86"/>
        <v>1.3145851336691605E-2</v>
      </c>
    </row>
    <row r="1855" spans="1:7" x14ac:dyDescent="0.2">
      <c r="A1855" s="12">
        <v>39588</v>
      </c>
      <c r="B1855" s="9">
        <v>1036.24</v>
      </c>
      <c r="C1855" s="9">
        <v>1010.75</v>
      </c>
      <c r="D1855" s="9">
        <v>1011.62</v>
      </c>
      <c r="E1855" s="9">
        <f t="shared" si="84"/>
        <v>-2.4643909033242012E-2</v>
      </c>
      <c r="F1855" s="45">
        <f t="shared" si="85"/>
        <v>1.8235283042498177E-2</v>
      </c>
      <c r="G1855" s="9">
        <f t="shared" si="86"/>
        <v>1.3797365949558648E-2</v>
      </c>
    </row>
    <row r="1856" spans="1:7" x14ac:dyDescent="0.2">
      <c r="A1856" s="12">
        <v>39589</v>
      </c>
      <c r="B1856" s="9">
        <v>1015.75</v>
      </c>
      <c r="C1856" s="9">
        <v>1001.7</v>
      </c>
      <c r="D1856" s="9">
        <v>1004.36</v>
      </c>
      <c r="E1856" s="9">
        <f t="shared" ref="E1856:E1918" si="87">LN(D1856/D1855)</f>
        <v>-7.2024835413180893E-3</v>
      </c>
      <c r="F1856" s="45">
        <f t="shared" si="85"/>
        <v>2.3441603242908515E-2</v>
      </c>
      <c r="G1856" s="9">
        <f t="shared" si="86"/>
        <v>1.3660055652263907E-2</v>
      </c>
    </row>
    <row r="1857" spans="1:7" x14ac:dyDescent="0.2">
      <c r="A1857" s="12">
        <v>39590</v>
      </c>
      <c r="B1857" s="9">
        <v>1018.85</v>
      </c>
      <c r="C1857" s="9">
        <v>992.07</v>
      </c>
      <c r="D1857" s="9">
        <v>1017.2</v>
      </c>
      <c r="E1857" s="9">
        <f t="shared" si="87"/>
        <v>1.2703231828569451E-2</v>
      </c>
      <c r="F1857" s="45">
        <f t="shared" si="85"/>
        <v>3.8788246711833667E-2</v>
      </c>
      <c r="G1857" s="9">
        <f t="shared" si="86"/>
        <v>1.3813869827483952E-2</v>
      </c>
    </row>
    <row r="1858" spans="1:7" x14ac:dyDescent="0.2">
      <c r="A1858" s="12">
        <v>39591</v>
      </c>
      <c r="B1858" s="9">
        <v>1016.96</v>
      </c>
      <c r="C1858" s="9">
        <v>994.23</v>
      </c>
      <c r="D1858" s="9">
        <v>994.23</v>
      </c>
      <c r="E1858" s="9">
        <f t="shared" si="87"/>
        <v>-2.2840465327561493E-2</v>
      </c>
      <c r="F1858" s="45">
        <f t="shared" si="85"/>
        <v>2.4785905215330258E-2</v>
      </c>
      <c r="G1858" s="9">
        <f t="shared" si="86"/>
        <v>1.4392424146724163E-2</v>
      </c>
    </row>
    <row r="1859" spans="1:7" x14ac:dyDescent="0.2">
      <c r="A1859" s="12">
        <v>39594</v>
      </c>
      <c r="B1859" s="9">
        <v>1000.41</v>
      </c>
      <c r="C1859" s="9">
        <v>993.91</v>
      </c>
      <c r="D1859" s="9">
        <v>997.56</v>
      </c>
      <c r="E1859" s="9">
        <f t="shared" si="87"/>
        <v>3.3437291105938051E-3</v>
      </c>
      <c r="F1859" s="45">
        <f t="shared" si="85"/>
        <v>4.2010599103164833E-2</v>
      </c>
      <c r="G1859" s="9">
        <f t="shared" si="86"/>
        <v>1.4126597570100659E-2</v>
      </c>
    </row>
    <row r="1860" spans="1:7" x14ac:dyDescent="0.2">
      <c r="A1860" s="12">
        <v>39595</v>
      </c>
      <c r="B1860" s="9">
        <v>1003.33</v>
      </c>
      <c r="C1860" s="9">
        <v>980.66</v>
      </c>
      <c r="D1860" s="9">
        <v>993</v>
      </c>
      <c r="E1860" s="9">
        <f t="shared" si="87"/>
        <v>-4.5816332858243727E-3</v>
      </c>
      <c r="F1860" s="45">
        <f t="shared" si="85"/>
        <v>4.5954309853922182E-2</v>
      </c>
      <c r="G1860" s="9">
        <f t="shared" si="86"/>
        <v>1.4049184877208111E-2</v>
      </c>
    </row>
    <row r="1861" spans="1:7" x14ac:dyDescent="0.2">
      <c r="A1861" s="12">
        <v>39596</v>
      </c>
      <c r="B1861" s="9">
        <v>1007.88</v>
      </c>
      <c r="C1861" s="9">
        <v>985.64</v>
      </c>
      <c r="D1861" s="9">
        <v>1002.83</v>
      </c>
      <c r="E1861" s="9">
        <f t="shared" si="87"/>
        <v>9.8506180260273541E-3</v>
      </c>
      <c r="F1861" s="45">
        <f t="shared" si="85"/>
        <v>5.3919317473947209E-2</v>
      </c>
      <c r="G1861" s="9">
        <f t="shared" si="86"/>
        <v>1.4131123574887085E-2</v>
      </c>
    </row>
    <row r="1862" spans="1:7" x14ac:dyDescent="0.2">
      <c r="A1862" s="12">
        <v>39597</v>
      </c>
      <c r="B1862" s="9">
        <v>1005.54</v>
      </c>
      <c r="C1862" s="9">
        <v>992.21</v>
      </c>
      <c r="D1862" s="9">
        <v>1001.83</v>
      </c>
      <c r="E1862" s="9">
        <f t="shared" si="87"/>
        <v>-9.9767549903356768E-4</v>
      </c>
      <c r="F1862" s="45">
        <f t="shared" si="85"/>
        <v>2.4043262161186778E-2</v>
      </c>
      <c r="G1862" s="9">
        <f t="shared" si="86"/>
        <v>1.3177365605800165E-2</v>
      </c>
    </row>
    <row r="1863" spans="1:7" x14ac:dyDescent="0.2">
      <c r="A1863" s="12">
        <v>39598</v>
      </c>
      <c r="B1863" s="9">
        <v>1010.1</v>
      </c>
      <c r="C1863" s="9">
        <v>1001.85</v>
      </c>
      <c r="D1863" s="9">
        <v>1004.9</v>
      </c>
      <c r="E1863" s="9">
        <f t="shared" si="87"/>
        <v>3.0597064827465109E-3</v>
      </c>
      <c r="F1863" s="45">
        <f t="shared" si="85"/>
        <v>4.1769884499104445E-2</v>
      </c>
      <c r="G1863" s="9">
        <f t="shared" si="86"/>
        <v>1.2853285086807232E-2</v>
      </c>
    </row>
    <row r="1864" spans="1:7" x14ac:dyDescent="0.2">
      <c r="A1864" s="12">
        <v>39601</v>
      </c>
      <c r="B1864" s="9">
        <v>1003.22</v>
      </c>
      <c r="C1864" s="9">
        <v>989.82</v>
      </c>
      <c r="D1864" s="9">
        <v>995.59</v>
      </c>
      <c r="E1864" s="9">
        <f t="shared" si="87"/>
        <v>-9.3077868063748959E-3</v>
      </c>
      <c r="F1864" s="45">
        <f t="shared" si="85"/>
        <v>1.4314645322651438E-2</v>
      </c>
      <c r="G1864" s="9">
        <f t="shared" si="86"/>
        <v>1.2593968445817746E-2</v>
      </c>
    </row>
    <row r="1865" spans="1:7" x14ac:dyDescent="0.2">
      <c r="A1865" s="12">
        <v>39602</v>
      </c>
      <c r="B1865" s="9">
        <v>1000.16</v>
      </c>
      <c r="C1865" s="9">
        <v>992.75</v>
      </c>
      <c r="D1865" s="9">
        <v>997.86</v>
      </c>
      <c r="E1865" s="9">
        <f t="shared" si="87"/>
        <v>2.2774596615654174E-3</v>
      </c>
      <c r="F1865" s="45">
        <f t="shared" si="85"/>
        <v>2.9152314808827785E-2</v>
      </c>
      <c r="G1865" s="9">
        <f t="shared" si="86"/>
        <v>1.2353364566517134E-2</v>
      </c>
    </row>
    <row r="1866" spans="1:7" x14ac:dyDescent="0.2">
      <c r="A1866" s="12">
        <v>39603</v>
      </c>
      <c r="B1866" s="9">
        <v>997.7</v>
      </c>
      <c r="C1866" s="9">
        <v>976.29</v>
      </c>
      <c r="D1866" s="9">
        <v>983.51</v>
      </c>
      <c r="E1866" s="9">
        <f t="shared" si="87"/>
        <v>-1.4485180364506314E-2</v>
      </c>
      <c r="F1866" s="45">
        <f t="shared" si="85"/>
        <v>2.1749595684464277E-2</v>
      </c>
      <c r="G1866" s="9">
        <f t="shared" si="86"/>
        <v>1.2591434524924667E-2</v>
      </c>
    </row>
    <row r="1867" spans="1:7" x14ac:dyDescent="0.2">
      <c r="A1867" s="12">
        <v>39604</v>
      </c>
      <c r="B1867" s="9">
        <v>992.12</v>
      </c>
      <c r="C1867" s="9">
        <v>979.14</v>
      </c>
      <c r="D1867" s="9">
        <v>981.15</v>
      </c>
      <c r="E1867" s="9">
        <f t="shared" si="87"/>
        <v>-2.4024524702657831E-3</v>
      </c>
      <c r="F1867" s="45">
        <f t="shared" si="85"/>
        <v>4.7301216575331246E-3</v>
      </c>
      <c r="G1867" s="9">
        <f t="shared" si="86"/>
        <v>1.2324519014471153E-2</v>
      </c>
    </row>
    <row r="1868" spans="1:7" x14ac:dyDescent="0.2">
      <c r="A1868" s="12">
        <v>39608</v>
      </c>
      <c r="B1868" s="9">
        <v>978.2</v>
      </c>
      <c r="C1868" s="9">
        <v>955.16</v>
      </c>
      <c r="D1868" s="9">
        <v>957.83</v>
      </c>
      <c r="E1868" s="9">
        <f t="shared" ref="E1868" si="88">LN(D1868/D1867)</f>
        <v>-2.4055043878261958E-2</v>
      </c>
      <c r="F1868" s="45">
        <f t="shared" si="85"/>
        <v>-9.5178449411197734E-3</v>
      </c>
      <c r="G1868" s="9">
        <f t="shared" si="86"/>
        <v>1.297891104615091E-2</v>
      </c>
    </row>
    <row r="1869" spans="1:7" x14ac:dyDescent="0.2">
      <c r="A1869" s="12">
        <v>39609</v>
      </c>
      <c r="B1869" s="9">
        <v>957.93</v>
      </c>
      <c r="C1869" s="9">
        <v>944.27</v>
      </c>
      <c r="D1869" s="9">
        <v>951.47</v>
      </c>
      <c r="E1869" s="9">
        <f t="shared" si="87"/>
        <v>-6.6621521223969053E-3</v>
      </c>
      <c r="F1869" s="45">
        <f t="shared" si="85"/>
        <v>-4.8576436923124626E-2</v>
      </c>
      <c r="G1869" s="9">
        <f t="shared" si="86"/>
        <v>1.1453550501020995E-2</v>
      </c>
    </row>
    <row r="1870" spans="1:7" x14ac:dyDescent="0.2">
      <c r="A1870" s="12">
        <v>39610</v>
      </c>
      <c r="B1870" s="9">
        <v>958.74</v>
      </c>
      <c r="C1870" s="9">
        <v>930.3</v>
      </c>
      <c r="D1870" s="9">
        <v>934.86</v>
      </c>
      <c r="E1870" s="9">
        <f t="shared" si="87"/>
        <v>-1.7611371617354279E-2</v>
      </c>
      <c r="F1870" s="45">
        <f t="shared" si="85"/>
        <v>-7.265444518400134E-2</v>
      </c>
      <c r="G1870" s="9">
        <f t="shared" si="86"/>
        <v>1.1708196119352327E-2</v>
      </c>
    </row>
    <row r="1871" spans="1:7" x14ac:dyDescent="0.2">
      <c r="A1871" s="12">
        <v>39611</v>
      </c>
      <c r="B1871" s="9">
        <v>948.42</v>
      </c>
      <c r="C1871" s="9">
        <v>931.68</v>
      </c>
      <c r="D1871" s="9">
        <v>947.47</v>
      </c>
      <c r="E1871" s="9">
        <f t="shared" si="87"/>
        <v>1.3398488728873668E-2</v>
      </c>
      <c r="F1871" s="45">
        <f t="shared" si="85"/>
        <v>-4.4636677335060965E-2</v>
      </c>
      <c r="G1871" s="9">
        <f t="shared" si="86"/>
        <v>1.1818616516148137E-2</v>
      </c>
    </row>
    <row r="1872" spans="1:7" x14ac:dyDescent="0.2">
      <c r="A1872" s="12">
        <v>39612</v>
      </c>
      <c r="B1872" s="9">
        <v>949.01</v>
      </c>
      <c r="C1872" s="9">
        <v>932.54</v>
      </c>
      <c r="D1872" s="9">
        <v>947.58</v>
      </c>
      <c r="E1872" s="9">
        <f t="shared" si="87"/>
        <v>1.1609192382625113E-4</v>
      </c>
      <c r="F1872" s="45">
        <f t="shared" si="85"/>
        <v>-3.9805838568191372E-2</v>
      </c>
      <c r="G1872" s="9">
        <f t="shared" si="86"/>
        <v>1.1806037964033813E-2</v>
      </c>
    </row>
    <row r="1873" spans="1:7" x14ac:dyDescent="0.2">
      <c r="A1873" s="12">
        <v>39615</v>
      </c>
      <c r="B1873" s="9">
        <v>954.33</v>
      </c>
      <c r="C1873" s="9">
        <v>939.87</v>
      </c>
      <c r="D1873" s="9">
        <v>947.49</v>
      </c>
      <c r="E1873" s="9">
        <f t="shared" si="87"/>
        <v>-9.4983298841455429E-5</v>
      </c>
      <c r="F1873" s="45">
        <f t="shared" si="85"/>
        <v>-6.2105458837353682E-2</v>
      </c>
      <c r="G1873" s="9">
        <f t="shared" si="86"/>
        <v>1.0943906798224698E-2</v>
      </c>
    </row>
    <row r="1874" spans="1:7" x14ac:dyDescent="0.2">
      <c r="A1874" s="12">
        <v>39616</v>
      </c>
      <c r="B1874" s="9">
        <v>960.7</v>
      </c>
      <c r="C1874" s="9">
        <v>948.36</v>
      </c>
      <c r="D1874" s="9">
        <v>956.9</v>
      </c>
      <c r="E1874" s="9">
        <f t="shared" si="87"/>
        <v>9.8825099740402732E-3</v>
      </c>
      <c r="F1874" s="45">
        <f t="shared" si="85"/>
        <v>-5.3343130588651803E-2</v>
      </c>
      <c r="G1874" s="9">
        <f t="shared" si="86"/>
        <v>1.1147031348127326E-2</v>
      </c>
    </row>
    <row r="1875" spans="1:7" x14ac:dyDescent="0.2">
      <c r="A1875" s="12">
        <v>39617</v>
      </c>
      <c r="B1875" s="9">
        <v>962.66</v>
      </c>
      <c r="C1875" s="9">
        <v>938.28</v>
      </c>
      <c r="D1875" s="9">
        <v>941.62</v>
      </c>
      <c r="E1875" s="9">
        <f t="shared" si="87"/>
        <v>-1.609709662292403E-2</v>
      </c>
      <c r="F1875" s="45">
        <f t="shared" si="85"/>
        <v>-6.6860937466800371E-2</v>
      </c>
      <c r="G1875" s="9">
        <f t="shared" si="86"/>
        <v>1.1449640158844024E-2</v>
      </c>
    </row>
    <row r="1876" spans="1:7" x14ac:dyDescent="0.2">
      <c r="A1876" s="12">
        <v>39618</v>
      </c>
      <c r="B1876" s="9">
        <v>942.71</v>
      </c>
      <c r="C1876" s="9">
        <v>931.46</v>
      </c>
      <c r="D1876" s="9">
        <v>932.82</v>
      </c>
      <c r="E1876" s="9">
        <f t="shared" si="87"/>
        <v>-9.3895399725886786E-3</v>
      </c>
      <c r="F1876" s="45">
        <f t="shared" si="85"/>
        <v>-8.9394668495033705E-2</v>
      </c>
      <c r="G1876" s="9">
        <f t="shared" si="86"/>
        <v>1.1141348649899187E-2</v>
      </c>
    </row>
    <row r="1877" spans="1:7" x14ac:dyDescent="0.2">
      <c r="A1877" s="12">
        <v>39622</v>
      </c>
      <c r="B1877" s="9">
        <v>933.22</v>
      </c>
      <c r="C1877" s="9">
        <v>913.98</v>
      </c>
      <c r="D1877" s="9">
        <v>914.4</v>
      </c>
      <c r="E1877" s="9">
        <f t="shared" si="87"/>
        <v>-1.99441437091036E-2</v>
      </c>
      <c r="F1877" s="45">
        <f t="shared" si="85"/>
        <v>-0.10896621203902015</v>
      </c>
      <c r="G1877" s="9">
        <f t="shared" si="86"/>
        <v>1.1548969590499489E-2</v>
      </c>
    </row>
    <row r="1878" spans="1:7" x14ac:dyDescent="0.2">
      <c r="A1878" s="12">
        <v>39623</v>
      </c>
      <c r="B1878" s="9">
        <v>920.25</v>
      </c>
      <c r="C1878" s="9">
        <v>887.11</v>
      </c>
      <c r="D1878" s="9">
        <v>897.72</v>
      </c>
      <c r="E1878" s="9">
        <f t="shared" si="87"/>
        <v>-1.8409896808287023E-2</v>
      </c>
      <c r="F1878" s="45">
        <f t="shared" si="85"/>
        <v>-0.11140091763650024</v>
      </c>
      <c r="G1878" s="9">
        <f t="shared" si="86"/>
        <v>1.1646836958401543E-2</v>
      </c>
    </row>
    <row r="1879" spans="1:7" x14ac:dyDescent="0.2">
      <c r="A1879" s="12">
        <v>39624</v>
      </c>
      <c r="B1879" s="9">
        <v>911.97</v>
      </c>
      <c r="C1879" s="9">
        <v>897.35</v>
      </c>
      <c r="D1879" s="9">
        <v>910.64</v>
      </c>
      <c r="E1879" s="9">
        <f t="shared" si="87"/>
        <v>1.4289433344647289E-2</v>
      </c>
      <c r="F1879" s="45">
        <f t="shared" si="85"/>
        <v>-0.10187337438220848</v>
      </c>
      <c r="G1879" s="9">
        <f t="shared" si="86"/>
        <v>1.2010140110993427E-2</v>
      </c>
    </row>
    <row r="1880" spans="1:7" x14ac:dyDescent="0.2">
      <c r="A1880" s="12">
        <v>39625</v>
      </c>
      <c r="B1880" s="9">
        <v>910.4</v>
      </c>
      <c r="C1880" s="9">
        <v>877.64</v>
      </c>
      <c r="D1880" s="9">
        <v>880.56</v>
      </c>
      <c r="E1880" s="9">
        <f t="shared" si="87"/>
        <v>-3.358958030182492E-2</v>
      </c>
      <c r="F1880" s="45">
        <f t="shared" si="85"/>
        <v>-0.13898743164147648</v>
      </c>
      <c r="G1880" s="9">
        <f t="shared" si="86"/>
        <v>1.3131852660442761E-2</v>
      </c>
    </row>
    <row r="1881" spans="1:7" x14ac:dyDescent="0.2">
      <c r="A1881" s="12">
        <v>39626</v>
      </c>
      <c r="B1881" s="9">
        <v>882.95</v>
      </c>
      <c r="C1881" s="9">
        <v>855.54</v>
      </c>
      <c r="D1881" s="9">
        <v>862.65</v>
      </c>
      <c r="E1881" s="9">
        <f t="shared" si="87"/>
        <v>-2.0549021887263354E-2</v>
      </c>
      <c r="F1881" s="45">
        <f t="shared" si="85"/>
        <v>-0.16052424451347952</v>
      </c>
      <c r="G1881" s="9">
        <f t="shared" si="86"/>
        <v>1.3399935769259087E-2</v>
      </c>
    </row>
    <row r="1882" spans="1:7" x14ac:dyDescent="0.2">
      <c r="A1882" s="12">
        <v>39629</v>
      </c>
      <c r="B1882" s="9">
        <v>864.94</v>
      </c>
      <c r="C1882" s="9">
        <v>841.35</v>
      </c>
      <c r="D1882" s="9">
        <v>857.65</v>
      </c>
      <c r="E1882" s="9">
        <f t="shared" si="87"/>
        <v>-5.8129559720388182E-3</v>
      </c>
      <c r="F1882" s="45">
        <f t="shared" si="85"/>
        <v>-0.17152679947675306</v>
      </c>
      <c r="G1882" s="9">
        <f t="shared" si="86"/>
        <v>1.3251243625038628E-2</v>
      </c>
    </row>
    <row r="1883" spans="1:7" x14ac:dyDescent="0.2">
      <c r="A1883" s="12">
        <v>39630</v>
      </c>
      <c r="B1883" s="9">
        <v>860.03</v>
      </c>
      <c r="C1883" s="9">
        <v>832.77</v>
      </c>
      <c r="D1883" s="9">
        <v>841.07</v>
      </c>
      <c r="E1883" s="9">
        <f t="shared" si="87"/>
        <v>-1.9521200101716998E-2</v>
      </c>
      <c r="F1883" s="45">
        <f t="shared" si="85"/>
        <v>-0.19599581279876085</v>
      </c>
      <c r="G1883" s="9">
        <f t="shared" si="86"/>
        <v>1.3324984067936106E-2</v>
      </c>
    </row>
    <row r="1884" spans="1:7" x14ac:dyDescent="0.2">
      <c r="A1884" s="12">
        <v>39631</v>
      </c>
      <c r="B1884" s="9">
        <v>861.12</v>
      </c>
      <c r="C1884" s="9">
        <v>841.93</v>
      </c>
      <c r="D1884" s="9">
        <v>849.5</v>
      </c>
      <c r="E1884" s="9">
        <f t="shared" si="87"/>
        <v>9.9730503578696547E-3</v>
      </c>
      <c r="F1884" s="45">
        <f t="shared" si="85"/>
        <v>-0.19930425318196859</v>
      </c>
      <c r="G1884" s="9">
        <f t="shared" si="86"/>
        <v>1.3168104523685577E-2</v>
      </c>
    </row>
    <row r="1885" spans="1:7" x14ac:dyDescent="0.2">
      <c r="A1885" s="12">
        <v>39632</v>
      </c>
      <c r="B1885" s="9">
        <v>853.84</v>
      </c>
      <c r="C1885" s="9">
        <v>824.71</v>
      </c>
      <c r="D1885" s="9">
        <v>851.58</v>
      </c>
      <c r="E1885" s="9">
        <f t="shared" si="87"/>
        <v>2.4455064272348183E-3</v>
      </c>
      <c r="F1885" s="45">
        <f t="shared" si="85"/>
        <v>-0.17221483772149179</v>
      </c>
      <c r="G1885" s="9">
        <f t="shared" si="86"/>
        <v>1.2815269818445942E-2</v>
      </c>
    </row>
    <row r="1886" spans="1:7" x14ac:dyDescent="0.2">
      <c r="A1886" s="12">
        <v>39633</v>
      </c>
      <c r="B1886" s="9">
        <v>854.38</v>
      </c>
      <c r="C1886" s="9">
        <v>836.27</v>
      </c>
      <c r="D1886" s="9">
        <v>839.92</v>
      </c>
      <c r="E1886" s="9">
        <f t="shared" si="87"/>
        <v>-1.3786798332535629E-2</v>
      </c>
      <c r="F1886" s="45">
        <f t="shared" si="85"/>
        <v>-0.17879915251270931</v>
      </c>
      <c r="G1886" s="9">
        <f t="shared" si="86"/>
        <v>1.2897291296173877E-2</v>
      </c>
    </row>
    <row r="1887" spans="1:7" x14ac:dyDescent="0.2">
      <c r="A1887" s="12">
        <v>39636</v>
      </c>
      <c r="B1887" s="9">
        <v>853.56</v>
      </c>
      <c r="C1887" s="9">
        <v>838.01</v>
      </c>
      <c r="D1887" s="9">
        <v>853.14</v>
      </c>
      <c r="E1887" s="9">
        <f t="shared" si="87"/>
        <v>1.5617011429652357E-2</v>
      </c>
      <c r="F1887" s="45">
        <f t="shared" si="85"/>
        <v>-0.17588537291162656</v>
      </c>
      <c r="G1887" s="9">
        <f t="shared" si="86"/>
        <v>1.305272014480066E-2</v>
      </c>
    </row>
    <row r="1888" spans="1:7" x14ac:dyDescent="0.2">
      <c r="A1888" s="12">
        <v>39637</v>
      </c>
      <c r="B1888" s="9">
        <v>852.27</v>
      </c>
      <c r="C1888" s="9">
        <v>828.33</v>
      </c>
      <c r="D1888" s="9">
        <v>836.38</v>
      </c>
      <c r="E1888" s="9">
        <f t="shared" si="87"/>
        <v>-1.9840605371581995E-2</v>
      </c>
      <c r="F1888" s="45">
        <f t="shared" si="85"/>
        <v>-0.17288551295564702</v>
      </c>
      <c r="G1888" s="9">
        <f t="shared" si="86"/>
        <v>1.292907685024256E-2</v>
      </c>
    </row>
    <row r="1889" spans="1:7" x14ac:dyDescent="0.2">
      <c r="A1889" s="12">
        <v>39638</v>
      </c>
      <c r="B1889" s="9">
        <v>856.36</v>
      </c>
      <c r="C1889" s="9">
        <v>837.49</v>
      </c>
      <c r="D1889" s="9">
        <v>851.44</v>
      </c>
      <c r="E1889" s="9">
        <f t="shared" si="87"/>
        <v>1.7845978468032757E-2</v>
      </c>
      <c r="F1889" s="45">
        <f t="shared" ref="F1889:F1952" si="89">LN(D1889/D1859)</f>
        <v>-0.15838326359820806</v>
      </c>
      <c r="G1889" s="9">
        <f t="shared" ref="G1889:G1952" si="90">STDEV(E1860:E1889)</f>
        <v>1.3538076979731884E-2</v>
      </c>
    </row>
    <row r="1890" spans="1:7" x14ac:dyDescent="0.2">
      <c r="A1890" s="12">
        <v>39639</v>
      </c>
      <c r="B1890" s="9">
        <v>850.33</v>
      </c>
      <c r="C1890" s="9">
        <v>832.08</v>
      </c>
      <c r="D1890" s="9">
        <v>833.58</v>
      </c>
      <c r="E1890" s="9">
        <f t="shared" si="87"/>
        <v>-2.1199355343963538E-2</v>
      </c>
      <c r="F1890" s="45">
        <f t="shared" si="89"/>
        <v>-0.17500098565634731</v>
      </c>
      <c r="G1890" s="9">
        <f t="shared" si="90"/>
        <v>1.3845026574541836E-2</v>
      </c>
    </row>
    <row r="1891" spans="1:7" x14ac:dyDescent="0.2">
      <c r="A1891" s="12">
        <v>39640</v>
      </c>
      <c r="B1891" s="9">
        <v>840.62</v>
      </c>
      <c r="C1891" s="9">
        <v>811.75</v>
      </c>
      <c r="D1891" s="9">
        <v>813.6</v>
      </c>
      <c r="E1891" s="9">
        <f t="shared" si="87"/>
        <v>-2.4260833654475077E-2</v>
      </c>
      <c r="F1891" s="45">
        <f t="shared" si="89"/>
        <v>-0.20911243733684981</v>
      </c>
      <c r="G1891" s="9">
        <f t="shared" si="90"/>
        <v>1.3913099619716585E-2</v>
      </c>
    </row>
    <row r="1892" spans="1:7" x14ac:dyDescent="0.2">
      <c r="A1892" s="12">
        <v>39643</v>
      </c>
      <c r="B1892" s="9">
        <v>835.74</v>
      </c>
      <c r="C1892" s="9">
        <v>814.59</v>
      </c>
      <c r="D1892" s="9">
        <v>826.59</v>
      </c>
      <c r="E1892" s="9">
        <f t="shared" si="87"/>
        <v>1.5839959520284819E-2</v>
      </c>
      <c r="F1892" s="45">
        <f t="shared" si="89"/>
        <v>-0.19227480231753127</v>
      </c>
      <c r="G1892" s="9">
        <f t="shared" si="90"/>
        <v>1.4490002791195248E-2</v>
      </c>
    </row>
    <row r="1893" spans="1:7" x14ac:dyDescent="0.2">
      <c r="A1893" s="12">
        <v>39644</v>
      </c>
      <c r="B1893" s="9">
        <v>825.48</v>
      </c>
      <c r="C1893" s="9">
        <v>800.99</v>
      </c>
      <c r="D1893" s="9">
        <v>814.99</v>
      </c>
      <c r="E1893" s="9">
        <f t="shared" si="87"/>
        <v>-1.4132961027699058E-2</v>
      </c>
      <c r="F1893" s="45">
        <f t="shared" si="89"/>
        <v>-0.2094674698279769</v>
      </c>
      <c r="G1893" s="9">
        <f t="shared" si="90"/>
        <v>1.4442501915459489E-2</v>
      </c>
    </row>
    <row r="1894" spans="1:7" x14ac:dyDescent="0.2">
      <c r="A1894" s="12">
        <v>39645</v>
      </c>
      <c r="B1894" s="9">
        <v>830.1</v>
      </c>
      <c r="C1894" s="9">
        <v>806.97</v>
      </c>
      <c r="D1894" s="9">
        <v>826.83</v>
      </c>
      <c r="E1894" s="9">
        <f t="shared" si="87"/>
        <v>1.442326839265835E-2</v>
      </c>
      <c r="F1894" s="45">
        <f t="shared" si="89"/>
        <v>-0.18573641462894366</v>
      </c>
      <c r="G1894" s="9">
        <f t="shared" si="90"/>
        <v>1.4951653045373832E-2</v>
      </c>
    </row>
    <row r="1895" spans="1:7" x14ac:dyDescent="0.2">
      <c r="A1895" s="12">
        <v>39646</v>
      </c>
      <c r="B1895" s="9">
        <v>863.88</v>
      </c>
      <c r="C1895" s="9">
        <v>828.55</v>
      </c>
      <c r="D1895" s="9">
        <v>858.4</v>
      </c>
      <c r="E1895" s="9">
        <f t="shared" si="87"/>
        <v>3.7471079696894213E-2</v>
      </c>
      <c r="F1895" s="45">
        <f t="shared" si="89"/>
        <v>-0.15054279459361491</v>
      </c>
      <c r="G1895" s="9">
        <f t="shared" si="90"/>
        <v>1.6893578678602771E-2</v>
      </c>
    </row>
    <row r="1896" spans="1:7" x14ac:dyDescent="0.2">
      <c r="A1896" s="12">
        <v>39647</v>
      </c>
      <c r="B1896" s="9">
        <v>883.32</v>
      </c>
      <c r="C1896" s="9">
        <v>852.42</v>
      </c>
      <c r="D1896" s="9">
        <v>881.02</v>
      </c>
      <c r="E1896" s="9">
        <f t="shared" si="87"/>
        <v>2.6010135837612119E-2</v>
      </c>
      <c r="F1896" s="45">
        <f t="shared" si="89"/>
        <v>-0.11004747839149645</v>
      </c>
      <c r="G1896" s="9">
        <f t="shared" si="90"/>
        <v>1.770920266910778E-2</v>
      </c>
    </row>
    <row r="1897" spans="1:7" x14ac:dyDescent="0.2">
      <c r="A1897" s="12">
        <v>39650</v>
      </c>
      <c r="B1897" s="9">
        <v>888.55</v>
      </c>
      <c r="C1897" s="9">
        <v>865.23</v>
      </c>
      <c r="D1897" s="9">
        <v>886.62</v>
      </c>
      <c r="E1897" s="9">
        <f t="shared" si="87"/>
        <v>6.3361529894967791E-3</v>
      </c>
      <c r="F1897" s="45">
        <f t="shared" si="89"/>
        <v>-0.10130887293173386</v>
      </c>
      <c r="G1897" s="9">
        <f t="shared" si="90"/>
        <v>1.7802363557187326E-2</v>
      </c>
    </row>
    <row r="1898" spans="1:7" x14ac:dyDescent="0.2">
      <c r="A1898" s="12">
        <v>39651</v>
      </c>
      <c r="B1898" s="9">
        <v>882.06</v>
      </c>
      <c r="C1898" s="9">
        <v>850.96</v>
      </c>
      <c r="D1898" s="9">
        <v>863.47</v>
      </c>
      <c r="E1898" s="9">
        <f t="shared" si="87"/>
        <v>-2.6457325488128802E-2</v>
      </c>
      <c r="F1898" s="45">
        <f t="shared" si="89"/>
        <v>-0.10371115454160065</v>
      </c>
      <c r="G1898" s="9">
        <f t="shared" si="90"/>
        <v>1.7903696439489004E-2</v>
      </c>
    </row>
    <row r="1899" spans="1:7" x14ac:dyDescent="0.2">
      <c r="A1899" s="12">
        <v>39652</v>
      </c>
      <c r="B1899" s="9">
        <v>887.46</v>
      </c>
      <c r="C1899" s="9">
        <v>864.51</v>
      </c>
      <c r="D1899" s="9">
        <v>880.57</v>
      </c>
      <c r="E1899" s="9">
        <f t="shared" si="87"/>
        <v>1.9610270404741639E-2</v>
      </c>
      <c r="F1899" s="45">
        <f t="shared" si="89"/>
        <v>-7.7438732014462122E-2</v>
      </c>
      <c r="G1899" s="9">
        <f t="shared" si="90"/>
        <v>1.8377786459626871E-2</v>
      </c>
    </row>
    <row r="1900" spans="1:7" x14ac:dyDescent="0.2">
      <c r="A1900" s="12">
        <v>39653</v>
      </c>
      <c r="B1900" s="9">
        <v>884.94</v>
      </c>
      <c r="C1900" s="9">
        <v>855.61</v>
      </c>
      <c r="D1900" s="9">
        <v>857.33</v>
      </c>
      <c r="E1900" s="9">
        <f t="shared" si="87"/>
        <v>-2.6746516403251729E-2</v>
      </c>
      <c r="F1900" s="45">
        <f t="shared" si="89"/>
        <v>-8.657387680035962E-2</v>
      </c>
      <c r="G1900" s="9">
        <f t="shared" si="90"/>
        <v>1.8708122077227864E-2</v>
      </c>
    </row>
    <row r="1901" spans="1:7" x14ac:dyDescent="0.2">
      <c r="A1901" s="12">
        <v>39654</v>
      </c>
      <c r="B1901" s="9">
        <v>864.74</v>
      </c>
      <c r="C1901" s="9">
        <v>840.8</v>
      </c>
      <c r="D1901" s="9">
        <v>858.29</v>
      </c>
      <c r="E1901" s="9">
        <f t="shared" si="87"/>
        <v>1.1191290614423232E-3</v>
      </c>
      <c r="F1901" s="45">
        <f t="shared" si="89"/>
        <v>-9.8853236467790928E-2</v>
      </c>
      <c r="G1901" s="9">
        <f t="shared" si="90"/>
        <v>1.8472399287012078E-2</v>
      </c>
    </row>
    <row r="1902" spans="1:7" x14ac:dyDescent="0.2">
      <c r="A1902" s="12">
        <v>39657</v>
      </c>
      <c r="B1902" s="9">
        <v>859.43</v>
      </c>
      <c r="C1902" s="9">
        <v>848.63</v>
      </c>
      <c r="D1902" s="9">
        <v>850.31</v>
      </c>
      <c r="E1902" s="9">
        <f t="shared" si="87"/>
        <v>-9.3410488407108128E-3</v>
      </c>
      <c r="F1902" s="45">
        <f t="shared" si="89"/>
        <v>-0.10831037723232809</v>
      </c>
      <c r="G1902" s="9">
        <f t="shared" si="90"/>
        <v>1.849286199173935E-2</v>
      </c>
    </row>
    <row r="1903" spans="1:7" x14ac:dyDescent="0.2">
      <c r="A1903" s="12">
        <v>39658</v>
      </c>
      <c r="B1903" s="9">
        <v>854.73</v>
      </c>
      <c r="C1903" s="9">
        <v>833.67</v>
      </c>
      <c r="D1903" s="9">
        <v>851.63</v>
      </c>
      <c r="E1903" s="9">
        <f t="shared" si="87"/>
        <v>1.5511713276314695E-3</v>
      </c>
      <c r="F1903" s="45">
        <f t="shared" si="89"/>
        <v>-0.10666422260585513</v>
      </c>
      <c r="G1903" s="9">
        <f t="shared" si="90"/>
        <v>1.8506089913879534E-2</v>
      </c>
    </row>
    <row r="1904" spans="1:7" x14ac:dyDescent="0.2">
      <c r="A1904" s="12">
        <v>39659</v>
      </c>
      <c r="B1904" s="9">
        <v>870.11</v>
      </c>
      <c r="C1904" s="9">
        <v>852.37</v>
      </c>
      <c r="D1904" s="9">
        <v>865.95</v>
      </c>
      <c r="E1904" s="9">
        <f t="shared" si="87"/>
        <v>1.6675009969730526E-2</v>
      </c>
      <c r="F1904" s="45">
        <f t="shared" si="89"/>
        <v>-9.9871722610164776E-2</v>
      </c>
      <c r="G1904" s="9">
        <f t="shared" si="90"/>
        <v>1.8716524772707487E-2</v>
      </c>
    </row>
    <row r="1905" spans="1:7" x14ac:dyDescent="0.2">
      <c r="A1905" s="12">
        <v>39660</v>
      </c>
      <c r="B1905" s="9">
        <v>872.08</v>
      </c>
      <c r="C1905" s="9">
        <v>858.03</v>
      </c>
      <c r="D1905" s="9">
        <v>867.44</v>
      </c>
      <c r="E1905" s="9">
        <f t="shared" si="87"/>
        <v>1.7191749888741793E-3</v>
      </c>
      <c r="F1905" s="45">
        <f t="shared" si="89"/>
        <v>-8.20554509983666E-2</v>
      </c>
      <c r="G1905" s="9">
        <f t="shared" si="90"/>
        <v>1.8579578947100175E-2</v>
      </c>
    </row>
    <row r="1906" spans="1:7" x14ac:dyDescent="0.2">
      <c r="A1906" s="12">
        <v>39661</v>
      </c>
      <c r="B1906" s="9">
        <v>866.7</v>
      </c>
      <c r="C1906" s="9">
        <v>852.34</v>
      </c>
      <c r="D1906" s="9">
        <v>854.68</v>
      </c>
      <c r="E1906" s="9">
        <f t="shared" si="87"/>
        <v>-1.4819215289139188E-2</v>
      </c>
      <c r="F1906" s="45">
        <f t="shared" si="89"/>
        <v>-8.7485126314917047E-2</v>
      </c>
      <c r="G1906" s="9">
        <f t="shared" si="90"/>
        <v>1.8672848196198813E-2</v>
      </c>
    </row>
    <row r="1907" spans="1:7" x14ac:dyDescent="0.2">
      <c r="A1907" s="12">
        <v>39664</v>
      </c>
      <c r="B1907" s="9">
        <v>860.98</v>
      </c>
      <c r="C1907" s="9">
        <v>845.94</v>
      </c>
      <c r="D1907" s="9">
        <v>847.15</v>
      </c>
      <c r="E1907" s="9">
        <f t="shared" si="87"/>
        <v>-8.8493552706721545E-3</v>
      </c>
      <c r="F1907" s="45">
        <f t="shared" si="89"/>
        <v>-7.6390337876485678E-2</v>
      </c>
      <c r="G1907" s="9">
        <f t="shared" si="90"/>
        <v>1.8432290076929914E-2</v>
      </c>
    </row>
    <row r="1908" spans="1:7" x14ac:dyDescent="0.2">
      <c r="A1908" s="12">
        <v>39665</v>
      </c>
      <c r="B1908" s="9">
        <v>877.96</v>
      </c>
      <c r="C1908" s="9">
        <v>847.15</v>
      </c>
      <c r="D1908" s="9">
        <v>876.59</v>
      </c>
      <c r="E1908" s="9">
        <f t="shared" si="87"/>
        <v>3.4161605603912105E-2</v>
      </c>
      <c r="F1908" s="45">
        <f t="shared" si="89"/>
        <v>-2.3818835464286557E-2</v>
      </c>
      <c r="G1908" s="9">
        <f t="shared" si="90"/>
        <v>1.9348372556648331E-2</v>
      </c>
    </row>
    <row r="1909" spans="1:7" x14ac:dyDescent="0.2">
      <c r="A1909" s="12">
        <v>39666</v>
      </c>
      <c r="B1909" s="9">
        <v>889.98</v>
      </c>
      <c r="C1909" s="9">
        <v>877.33</v>
      </c>
      <c r="D1909" s="9">
        <v>886.52</v>
      </c>
      <c r="E1909" s="9">
        <f t="shared" si="87"/>
        <v>1.1264305683445592E-2</v>
      </c>
      <c r="F1909" s="45">
        <f t="shared" si="89"/>
        <v>-2.684396312548815E-2</v>
      </c>
      <c r="G1909" s="9">
        <f t="shared" si="90"/>
        <v>1.9274795101471037E-2</v>
      </c>
    </row>
    <row r="1910" spans="1:7" x14ac:dyDescent="0.2">
      <c r="A1910" s="12">
        <v>39667</v>
      </c>
      <c r="B1910" s="9">
        <v>896.4</v>
      </c>
      <c r="C1910" s="9">
        <v>876.37</v>
      </c>
      <c r="D1910" s="9">
        <v>881.35</v>
      </c>
      <c r="E1910" s="9">
        <f t="shared" si="87"/>
        <v>-5.8488630255105686E-3</v>
      </c>
      <c r="F1910" s="45">
        <f t="shared" si="89"/>
        <v>8.9675415082620682E-4</v>
      </c>
      <c r="G1910" s="9">
        <f t="shared" si="90"/>
        <v>1.8292599307534831E-2</v>
      </c>
    </row>
    <row r="1911" spans="1:7" x14ac:dyDescent="0.2">
      <c r="A1911" s="12">
        <v>39668</v>
      </c>
      <c r="B1911" s="9">
        <v>885.03</v>
      </c>
      <c r="C1911" s="9">
        <v>867.18</v>
      </c>
      <c r="D1911" s="9">
        <v>885.01</v>
      </c>
      <c r="E1911" s="9">
        <f t="shared" si="87"/>
        <v>4.1441215131570773E-3</v>
      </c>
      <c r="F1911" s="45">
        <f t="shared" si="89"/>
        <v>2.5589897551246767E-2</v>
      </c>
      <c r="G1911" s="9">
        <f t="shared" si="90"/>
        <v>1.7885716364553772E-2</v>
      </c>
    </row>
    <row r="1912" spans="1:7" x14ac:dyDescent="0.2">
      <c r="A1912" s="12">
        <v>39671</v>
      </c>
      <c r="B1912" s="9">
        <v>901.46</v>
      </c>
      <c r="C1912" s="9">
        <v>885.25</v>
      </c>
      <c r="D1912" s="9">
        <v>900.26</v>
      </c>
      <c r="E1912" s="9">
        <f t="shared" si="87"/>
        <v>1.7084666113719879E-2</v>
      </c>
      <c r="F1912" s="45">
        <f t="shared" si="89"/>
        <v>4.8487519637005372E-2</v>
      </c>
      <c r="G1912" s="9">
        <f t="shared" si="90"/>
        <v>1.807896674198892E-2</v>
      </c>
    </row>
    <row r="1913" spans="1:7" x14ac:dyDescent="0.2">
      <c r="A1913" s="12">
        <v>39672</v>
      </c>
      <c r="B1913" s="9">
        <v>903.07</v>
      </c>
      <c r="C1913" s="9">
        <v>890.98</v>
      </c>
      <c r="D1913" s="9">
        <v>894</v>
      </c>
      <c r="E1913" s="9">
        <f t="shared" si="87"/>
        <v>-6.9778353193252545E-3</v>
      </c>
      <c r="F1913" s="45">
        <f t="shared" si="89"/>
        <v>6.1030884419397101E-2</v>
      </c>
      <c r="G1913" s="9">
        <f t="shared" si="90"/>
        <v>1.7714638473538706E-2</v>
      </c>
    </row>
    <row r="1914" spans="1:7" x14ac:dyDescent="0.2">
      <c r="A1914" s="12">
        <v>39673</v>
      </c>
      <c r="B1914" s="9">
        <v>894.24</v>
      </c>
      <c r="C1914" s="9">
        <v>866.03</v>
      </c>
      <c r="D1914" s="9">
        <v>868.81</v>
      </c>
      <c r="E1914" s="9">
        <f t="shared" si="87"/>
        <v>-2.8581315931170796E-2</v>
      </c>
      <c r="F1914" s="45">
        <f t="shared" si="89"/>
        <v>2.2476518130356591E-2</v>
      </c>
      <c r="G1914" s="9">
        <f t="shared" si="90"/>
        <v>1.8499946993685106E-2</v>
      </c>
    </row>
    <row r="1915" spans="1:7" x14ac:dyDescent="0.2">
      <c r="A1915" s="12">
        <v>39674</v>
      </c>
      <c r="B1915" s="9">
        <v>877.97</v>
      </c>
      <c r="C1915" s="9">
        <v>864.66</v>
      </c>
      <c r="D1915" s="9">
        <v>874.73</v>
      </c>
      <c r="E1915" s="9">
        <f t="shared" si="87"/>
        <v>6.7908080687405174E-3</v>
      </c>
      <c r="F1915" s="45">
        <f t="shared" si="89"/>
        <v>2.682181977186229E-2</v>
      </c>
      <c r="G1915" s="9">
        <f t="shared" si="90"/>
        <v>1.8530670902270539E-2</v>
      </c>
    </row>
    <row r="1916" spans="1:7" x14ac:dyDescent="0.2">
      <c r="A1916" s="12">
        <v>39675</v>
      </c>
      <c r="B1916" s="9">
        <v>881.94</v>
      </c>
      <c r="C1916" s="9">
        <v>869.35</v>
      </c>
      <c r="D1916" s="9">
        <v>873.33</v>
      </c>
      <c r="E1916" s="9">
        <f t="shared" si="87"/>
        <v>-1.6017760252280081E-3</v>
      </c>
      <c r="F1916" s="45">
        <f t="shared" si="89"/>
        <v>3.9006842079170038E-2</v>
      </c>
      <c r="G1916" s="9">
        <f t="shared" si="90"/>
        <v>1.8330245948675005E-2</v>
      </c>
    </row>
    <row r="1917" spans="1:7" x14ac:dyDescent="0.2">
      <c r="A1917" s="12">
        <v>39678</v>
      </c>
      <c r="B1917" s="9">
        <v>881.56</v>
      </c>
      <c r="C1917" s="9">
        <v>869.37</v>
      </c>
      <c r="D1917" s="9">
        <v>875.27</v>
      </c>
      <c r="E1917" s="9">
        <f t="shared" si="87"/>
        <v>2.2189189019581456E-3</v>
      </c>
      <c r="F1917" s="45">
        <f t="shared" si="89"/>
        <v>2.5608749551475851E-2</v>
      </c>
      <c r="G1917" s="9">
        <f t="shared" si="90"/>
        <v>1.8131540111127612E-2</v>
      </c>
    </row>
    <row r="1918" spans="1:7" x14ac:dyDescent="0.2">
      <c r="A1918" s="12">
        <v>39679</v>
      </c>
      <c r="B1918" s="9">
        <v>873.67</v>
      </c>
      <c r="C1918" s="9">
        <v>837.94</v>
      </c>
      <c r="D1918" s="9">
        <v>838</v>
      </c>
      <c r="E1918" s="9">
        <f t="shared" si="87"/>
        <v>-4.3514309705730891E-2</v>
      </c>
      <c r="F1918" s="45">
        <f t="shared" si="89"/>
        <v>1.9350452173269759E-3</v>
      </c>
      <c r="G1918" s="9">
        <f t="shared" si="90"/>
        <v>1.9524883009951755E-2</v>
      </c>
    </row>
    <row r="1919" spans="1:7" x14ac:dyDescent="0.2">
      <c r="A1919" s="12">
        <v>39680</v>
      </c>
      <c r="B1919" s="9">
        <v>846.61</v>
      </c>
      <c r="C1919" s="9">
        <v>832.86</v>
      </c>
      <c r="D1919" s="9">
        <v>842.44</v>
      </c>
      <c r="E1919" s="9">
        <f t="shared" ref="E1919:E1982" si="91">LN(D1919/D1918)</f>
        <v>5.2843425911993751E-3</v>
      </c>
      <c r="F1919" s="45">
        <f t="shared" si="89"/>
        <v>-1.0626590659506415E-2</v>
      </c>
      <c r="G1919" s="9">
        <f t="shared" si="90"/>
        <v>1.9263344353581128E-2</v>
      </c>
    </row>
    <row r="1920" spans="1:7" x14ac:dyDescent="0.2">
      <c r="A1920" s="12">
        <v>39681</v>
      </c>
      <c r="B1920" s="9">
        <v>846.03</v>
      </c>
      <c r="C1920" s="9">
        <v>830.18</v>
      </c>
      <c r="D1920" s="9">
        <v>837.07</v>
      </c>
      <c r="E1920" s="9">
        <f t="shared" si="91"/>
        <v>-6.3947440616536006E-3</v>
      </c>
      <c r="F1920" s="45">
        <f t="shared" si="89"/>
        <v>4.1780206228036439E-3</v>
      </c>
      <c r="G1920" s="9">
        <f t="shared" si="90"/>
        <v>1.8897070567743899E-2</v>
      </c>
    </row>
    <row r="1921" spans="1:7" x14ac:dyDescent="0.2">
      <c r="A1921" s="12">
        <v>39682</v>
      </c>
      <c r="B1921" s="9">
        <v>865.26</v>
      </c>
      <c r="C1921" s="9">
        <v>837.81</v>
      </c>
      <c r="D1921" s="9">
        <v>865.02</v>
      </c>
      <c r="E1921" s="9">
        <f t="shared" si="91"/>
        <v>3.2844929040238446E-2</v>
      </c>
      <c r="F1921" s="45">
        <f t="shared" si="89"/>
        <v>6.1283783317517215E-2</v>
      </c>
      <c r="G1921" s="9">
        <f t="shared" si="90"/>
        <v>1.9227738683213636E-2</v>
      </c>
    </row>
    <row r="1922" spans="1:7" x14ac:dyDescent="0.2">
      <c r="A1922" s="12">
        <v>39685</v>
      </c>
      <c r="B1922" s="9">
        <v>865.64</v>
      </c>
      <c r="C1922" s="9">
        <v>850.44</v>
      </c>
      <c r="D1922" s="9">
        <v>852.2</v>
      </c>
      <c r="E1922" s="9">
        <f t="shared" si="91"/>
        <v>-1.4931386986055629E-2</v>
      </c>
      <c r="F1922" s="45">
        <f t="shared" si="89"/>
        <v>3.0512436811176696E-2</v>
      </c>
      <c r="G1922" s="9">
        <f t="shared" si="90"/>
        <v>1.9287007020274471E-2</v>
      </c>
    </row>
    <row r="1923" spans="1:7" x14ac:dyDescent="0.2">
      <c r="A1923" s="12">
        <v>39686</v>
      </c>
      <c r="B1923" s="9">
        <v>861.49</v>
      </c>
      <c r="C1923" s="9">
        <v>844.38</v>
      </c>
      <c r="D1923" s="9">
        <v>860.71</v>
      </c>
      <c r="E1923" s="9">
        <f t="shared" si="91"/>
        <v>9.9363889722222532E-3</v>
      </c>
      <c r="F1923" s="45">
        <f t="shared" si="89"/>
        <v>5.4581786811097745E-2</v>
      </c>
      <c r="G1923" s="9">
        <f t="shared" si="90"/>
        <v>1.913508215584965E-2</v>
      </c>
    </row>
    <row r="1924" spans="1:7" x14ac:dyDescent="0.2">
      <c r="A1924" s="12">
        <v>39687</v>
      </c>
      <c r="B1924" s="9">
        <v>862.95</v>
      </c>
      <c r="C1924" s="9">
        <v>847.25</v>
      </c>
      <c r="D1924" s="9">
        <v>862.93</v>
      </c>
      <c r="E1924" s="9">
        <f t="shared" si="91"/>
        <v>2.5759453569959715E-3</v>
      </c>
      <c r="F1924" s="45">
        <f t="shared" si="89"/>
        <v>4.2734463775435293E-2</v>
      </c>
      <c r="G1924" s="9">
        <f t="shared" si="90"/>
        <v>1.8987678184968441E-2</v>
      </c>
    </row>
    <row r="1925" spans="1:7" x14ac:dyDescent="0.2">
      <c r="A1925" s="12">
        <v>39688</v>
      </c>
      <c r="B1925" s="9">
        <v>878.92</v>
      </c>
      <c r="C1925" s="9">
        <v>855.06</v>
      </c>
      <c r="D1925" s="9">
        <v>876.74</v>
      </c>
      <c r="E1925" s="9">
        <f t="shared" si="91"/>
        <v>1.5876907800302622E-2</v>
      </c>
      <c r="F1925" s="45">
        <f t="shared" si="89"/>
        <v>2.1140291878843819E-2</v>
      </c>
      <c r="G1925" s="9">
        <f t="shared" si="90"/>
        <v>1.7955306165669763E-2</v>
      </c>
    </row>
    <row r="1926" spans="1:7" x14ac:dyDescent="0.2">
      <c r="A1926" s="12">
        <v>39689</v>
      </c>
      <c r="B1926" s="9">
        <v>881.61</v>
      </c>
      <c r="C1926" s="9">
        <v>868.82</v>
      </c>
      <c r="D1926" s="9">
        <v>870.86</v>
      </c>
      <c r="E1926" s="9">
        <f t="shared" si="91"/>
        <v>-6.729254049650601E-3</v>
      </c>
      <c r="F1926" s="45">
        <f t="shared" si="89"/>
        <v>-1.1599098008418792E-2</v>
      </c>
      <c r="G1926" s="9">
        <f t="shared" si="90"/>
        <v>1.7348919958661627E-2</v>
      </c>
    </row>
    <row r="1927" spans="1:7" x14ac:dyDescent="0.2">
      <c r="A1927" s="12">
        <v>39692</v>
      </c>
      <c r="B1927" s="9">
        <v>873.41</v>
      </c>
      <c r="C1927" s="9">
        <v>858.32</v>
      </c>
      <c r="D1927" s="9">
        <v>873.41</v>
      </c>
      <c r="E1927" s="9">
        <f t="shared" si="91"/>
        <v>2.923861347904658E-3</v>
      </c>
      <c r="F1927" s="45">
        <f t="shared" si="89"/>
        <v>-1.5011389650010908E-2</v>
      </c>
      <c r="G1927" s="9">
        <f t="shared" si="90"/>
        <v>1.7314475766060104E-2</v>
      </c>
    </row>
    <row r="1928" spans="1:7" x14ac:dyDescent="0.2">
      <c r="A1928" s="12">
        <v>39693</v>
      </c>
      <c r="B1928" s="9">
        <v>893.84</v>
      </c>
      <c r="C1928" s="9">
        <v>864.33</v>
      </c>
      <c r="D1928" s="9">
        <v>889.36</v>
      </c>
      <c r="E1928" s="9">
        <f t="shared" si="91"/>
        <v>1.8097012431772863E-2</v>
      </c>
      <c r="F1928" s="45">
        <f t="shared" si="89"/>
        <v>2.9542948269890745E-2</v>
      </c>
      <c r="G1928" s="9">
        <f t="shared" si="90"/>
        <v>1.691751936424328E-2</v>
      </c>
    </row>
    <row r="1929" spans="1:7" x14ac:dyDescent="0.2">
      <c r="A1929" s="12">
        <v>39694</v>
      </c>
      <c r="B1929" s="9">
        <v>888.62</v>
      </c>
      <c r="C1929" s="9">
        <v>876.11</v>
      </c>
      <c r="D1929" s="9">
        <v>880.75</v>
      </c>
      <c r="E1929" s="9">
        <f t="shared" si="91"/>
        <v>-9.728285704012565E-3</v>
      </c>
      <c r="F1929" s="45">
        <f t="shared" si="89"/>
        <v>2.0439216113660454E-4</v>
      </c>
      <c r="G1929" s="9">
        <f t="shared" si="90"/>
        <v>1.6649572518432132E-2</v>
      </c>
    </row>
    <row r="1930" spans="1:7" x14ac:dyDescent="0.2">
      <c r="A1930" s="12">
        <v>39695</v>
      </c>
      <c r="B1930" s="9">
        <v>883.64</v>
      </c>
      <c r="C1930" s="9">
        <v>850.18</v>
      </c>
      <c r="D1930" s="9">
        <v>850.53</v>
      </c>
      <c r="E1930" s="9">
        <f t="shared" si="91"/>
        <v>-3.4914132638914547E-2</v>
      </c>
      <c r="F1930" s="45">
        <f t="shared" si="89"/>
        <v>-7.9632240745261488E-3</v>
      </c>
      <c r="G1930" s="9">
        <f t="shared" si="90"/>
        <v>1.7161050358213952E-2</v>
      </c>
    </row>
    <row r="1931" spans="1:7" x14ac:dyDescent="0.2">
      <c r="A1931" s="12">
        <v>39696</v>
      </c>
      <c r="B1931" s="9">
        <v>849.86</v>
      </c>
      <c r="C1931" s="9">
        <v>823.12</v>
      </c>
      <c r="D1931" s="9">
        <v>825.01</v>
      </c>
      <c r="E1931" s="9">
        <f t="shared" si="91"/>
        <v>-3.0464177109091627E-2</v>
      </c>
      <c r="F1931" s="45">
        <f t="shared" si="89"/>
        <v>-3.9546530245060149E-2</v>
      </c>
      <c r="G1931" s="9">
        <f t="shared" si="90"/>
        <v>1.8020433133296494E-2</v>
      </c>
    </row>
    <row r="1932" spans="1:7" x14ac:dyDescent="0.2">
      <c r="A1932" s="12">
        <v>39699</v>
      </c>
      <c r="B1932" s="9">
        <v>869.13</v>
      </c>
      <c r="C1932" s="9">
        <v>828.34</v>
      </c>
      <c r="D1932" s="9">
        <v>855.95</v>
      </c>
      <c r="E1932" s="9">
        <f t="shared" si="91"/>
        <v>3.6816455747446603E-2</v>
      </c>
      <c r="F1932" s="45">
        <f t="shared" si="89"/>
        <v>6.6109743430971873E-3</v>
      </c>
      <c r="G1932" s="9">
        <f t="shared" si="90"/>
        <v>1.9240953648508738E-2</v>
      </c>
    </row>
    <row r="1933" spans="1:7" x14ac:dyDescent="0.2">
      <c r="A1933" s="12">
        <v>39700</v>
      </c>
      <c r="B1933" s="9">
        <v>866.57</v>
      </c>
      <c r="C1933" s="9">
        <v>842.52</v>
      </c>
      <c r="D1933" s="9">
        <v>846.6</v>
      </c>
      <c r="E1933" s="9">
        <f t="shared" si="91"/>
        <v>-1.0983635133964076E-2</v>
      </c>
      <c r="F1933" s="45">
        <f t="shared" si="89"/>
        <v>-5.9238321184983149E-3</v>
      </c>
      <c r="G1933" s="9">
        <f t="shared" si="90"/>
        <v>1.9346866302947293E-2</v>
      </c>
    </row>
    <row r="1934" spans="1:7" x14ac:dyDescent="0.2">
      <c r="A1934" s="12">
        <v>39701</v>
      </c>
      <c r="B1934" s="9">
        <v>850.78</v>
      </c>
      <c r="C1934" s="9">
        <v>835.86</v>
      </c>
      <c r="D1934" s="9">
        <v>840.33</v>
      </c>
      <c r="E1934" s="9">
        <f t="shared" si="91"/>
        <v>-7.4336562547694255E-3</v>
      </c>
      <c r="F1934" s="45">
        <f t="shared" si="89"/>
        <v>-3.0032498342998318E-2</v>
      </c>
      <c r="G1934" s="9">
        <f t="shared" si="90"/>
        <v>1.9121249976043891E-2</v>
      </c>
    </row>
    <row r="1935" spans="1:7" x14ac:dyDescent="0.2">
      <c r="A1935" s="12">
        <v>39702</v>
      </c>
      <c r="B1935" s="9">
        <v>841.62</v>
      </c>
      <c r="C1935" s="9">
        <v>819.06</v>
      </c>
      <c r="D1935" s="9">
        <v>827.66</v>
      </c>
      <c r="E1935" s="9">
        <f t="shared" si="91"/>
        <v>-1.5192229796889601E-2</v>
      </c>
      <c r="F1935" s="45">
        <f t="shared" si="89"/>
        <v>-4.6943903128762267E-2</v>
      </c>
      <c r="G1935" s="9">
        <f t="shared" si="90"/>
        <v>1.9286854077648043E-2</v>
      </c>
    </row>
    <row r="1936" spans="1:7" x14ac:dyDescent="0.2">
      <c r="A1936" s="12">
        <v>39703</v>
      </c>
      <c r="B1936" s="9">
        <v>849.58</v>
      </c>
      <c r="C1936" s="9">
        <v>828.64</v>
      </c>
      <c r="D1936" s="9">
        <v>847.79</v>
      </c>
      <c r="E1936" s="9">
        <f t="shared" si="91"/>
        <v>2.403052157908294E-2</v>
      </c>
      <c r="F1936" s="45">
        <f t="shared" si="89"/>
        <v>-8.0941662605401848E-3</v>
      </c>
      <c r="G1936" s="9">
        <f t="shared" si="90"/>
        <v>1.9666732025968216E-2</v>
      </c>
    </row>
    <row r="1937" spans="1:7" x14ac:dyDescent="0.2">
      <c r="A1937" s="12">
        <v>39706</v>
      </c>
      <c r="B1937" s="9">
        <v>846.06</v>
      </c>
      <c r="C1937" s="9">
        <v>807.17</v>
      </c>
      <c r="D1937" s="9">
        <v>822.6</v>
      </c>
      <c r="E1937" s="9">
        <f t="shared" si="91"/>
        <v>-3.0162907817923437E-2</v>
      </c>
      <c r="F1937" s="45">
        <f t="shared" si="89"/>
        <v>-2.9407718807791545E-2</v>
      </c>
      <c r="G1937" s="9">
        <f t="shared" si="90"/>
        <v>2.0360100220138039E-2</v>
      </c>
    </row>
    <row r="1938" spans="1:7" x14ac:dyDescent="0.2">
      <c r="A1938" s="12">
        <v>39707</v>
      </c>
      <c r="B1938" s="9">
        <v>822.6</v>
      </c>
      <c r="C1938" s="9">
        <v>796.08</v>
      </c>
      <c r="D1938" s="9">
        <v>808.91</v>
      </c>
      <c r="E1938" s="9">
        <f t="shared" si="91"/>
        <v>-1.678239338128298E-2</v>
      </c>
      <c r="F1938" s="45">
        <f t="shared" si="89"/>
        <v>-8.0351717792986666E-2</v>
      </c>
      <c r="G1938" s="9">
        <f t="shared" si="90"/>
        <v>1.943133269977226E-2</v>
      </c>
    </row>
    <row r="1939" spans="1:7" x14ac:dyDescent="0.2">
      <c r="A1939" s="12">
        <v>39708</v>
      </c>
      <c r="B1939" s="9">
        <v>823.16</v>
      </c>
      <c r="C1939" s="9">
        <v>776.35</v>
      </c>
      <c r="D1939" s="9">
        <v>779.37</v>
      </c>
      <c r="E1939" s="9">
        <f t="shared" si="91"/>
        <v>-3.720176139827127E-2</v>
      </c>
      <c r="F1939" s="45">
        <f t="shared" si="89"/>
        <v>-0.12881778487470352</v>
      </c>
      <c r="G1939" s="9">
        <f t="shared" si="90"/>
        <v>2.023047353256309E-2</v>
      </c>
    </row>
    <row r="1940" spans="1:7" x14ac:dyDescent="0.2">
      <c r="A1940" s="12">
        <v>39709</v>
      </c>
      <c r="B1940" s="9">
        <v>797.34</v>
      </c>
      <c r="C1940" s="9">
        <v>772.39</v>
      </c>
      <c r="D1940" s="9">
        <v>781.53</v>
      </c>
      <c r="E1940" s="9">
        <f t="shared" si="91"/>
        <v>2.7676358239032417E-3</v>
      </c>
      <c r="F1940" s="45">
        <f t="shared" si="89"/>
        <v>-0.12020128602528979</v>
      </c>
      <c r="G1940" s="9">
        <f t="shared" si="90"/>
        <v>2.0268765463054172E-2</v>
      </c>
    </row>
    <row r="1941" spans="1:7" x14ac:dyDescent="0.2">
      <c r="A1941" s="12">
        <v>39710</v>
      </c>
      <c r="B1941" s="9">
        <v>859.17</v>
      </c>
      <c r="C1941" s="9">
        <v>786</v>
      </c>
      <c r="D1941" s="9">
        <v>851.72</v>
      </c>
      <c r="E1941" s="9">
        <f t="shared" si="91"/>
        <v>8.6004297477525166E-2</v>
      </c>
      <c r="F1941" s="45">
        <f t="shared" si="89"/>
        <v>-3.8341110060921786E-2</v>
      </c>
      <c r="G1941" s="9">
        <f t="shared" si="90"/>
        <v>2.6080801811876119E-2</v>
      </c>
    </row>
    <row r="1942" spans="1:7" x14ac:dyDescent="0.2">
      <c r="A1942" s="12">
        <v>39713</v>
      </c>
      <c r="B1942" s="9">
        <v>858.93</v>
      </c>
      <c r="C1942" s="9">
        <v>835.79</v>
      </c>
      <c r="D1942" s="9">
        <v>836.43</v>
      </c>
      <c r="E1942" s="9">
        <f t="shared" si="91"/>
        <v>-1.8114999401222028E-2</v>
      </c>
      <c r="F1942" s="45">
        <f t="shared" si="89"/>
        <v>-7.3540775575863637E-2</v>
      </c>
      <c r="G1942" s="9">
        <f t="shared" si="90"/>
        <v>2.6017919792846567E-2</v>
      </c>
    </row>
    <row r="1943" spans="1:7" x14ac:dyDescent="0.2">
      <c r="A1943" s="12">
        <v>39714</v>
      </c>
      <c r="B1943" s="9">
        <v>836.18</v>
      </c>
      <c r="C1943" s="9">
        <v>808.76</v>
      </c>
      <c r="D1943" s="9">
        <v>821.11</v>
      </c>
      <c r="E1943" s="9">
        <f t="shared" si="91"/>
        <v>-1.8485751491836174E-2</v>
      </c>
      <c r="F1943" s="45">
        <f t="shared" si="89"/>
        <v>-8.5048691748374483E-2</v>
      </c>
      <c r="G1943" s="9">
        <f t="shared" si="90"/>
        <v>2.6171339091884863E-2</v>
      </c>
    </row>
    <row r="1944" spans="1:7" x14ac:dyDescent="0.2">
      <c r="A1944" s="12">
        <v>39715</v>
      </c>
      <c r="B1944" s="9">
        <v>824.73</v>
      </c>
      <c r="C1944" s="9">
        <v>812.83</v>
      </c>
      <c r="D1944" s="9">
        <v>816.7</v>
      </c>
      <c r="E1944" s="9">
        <f t="shared" si="91"/>
        <v>-5.3852530609095105E-3</v>
      </c>
      <c r="F1944" s="45">
        <f t="shared" si="89"/>
        <v>-6.1852628878113262E-2</v>
      </c>
      <c r="G1944" s="9">
        <f t="shared" si="90"/>
        <v>2.5723278364794686E-2</v>
      </c>
    </row>
    <row r="1945" spans="1:7" x14ac:dyDescent="0.2">
      <c r="A1945" s="12">
        <v>39716</v>
      </c>
      <c r="B1945" s="9">
        <v>837.57</v>
      </c>
      <c r="C1945" s="9">
        <v>813.45</v>
      </c>
      <c r="D1945" s="9">
        <v>836.86</v>
      </c>
      <c r="E1945" s="9">
        <f t="shared" si="91"/>
        <v>2.438496209682418E-2</v>
      </c>
      <c r="F1945" s="45">
        <f t="shared" si="89"/>
        <v>-4.4258474850029525E-2</v>
      </c>
      <c r="G1945" s="9">
        <f t="shared" si="90"/>
        <v>2.6129430439368797E-2</v>
      </c>
    </row>
    <row r="1946" spans="1:7" x14ac:dyDescent="0.2">
      <c r="A1946" s="12">
        <v>39717</v>
      </c>
      <c r="B1946" s="9">
        <v>835.99</v>
      </c>
      <c r="C1946" s="9">
        <v>811.27</v>
      </c>
      <c r="D1946" s="9">
        <v>821.38</v>
      </c>
      <c r="E1946" s="9">
        <f t="shared" si="91"/>
        <v>-1.8670939908027085E-2</v>
      </c>
      <c r="F1946" s="45">
        <f t="shared" si="89"/>
        <v>-6.1327638732828704E-2</v>
      </c>
      <c r="G1946" s="9">
        <f t="shared" si="90"/>
        <v>2.6317445159659981E-2</v>
      </c>
    </row>
    <row r="1947" spans="1:7" x14ac:dyDescent="0.2">
      <c r="A1947" s="12">
        <v>39720</v>
      </c>
      <c r="B1947" s="9">
        <v>821.99</v>
      </c>
      <c r="C1947" s="9">
        <v>771.91</v>
      </c>
      <c r="D1947" s="9">
        <v>774.33</v>
      </c>
      <c r="E1947" s="9">
        <f t="shared" si="91"/>
        <v>-5.8987713238297157E-2</v>
      </c>
      <c r="F1947" s="45">
        <f t="shared" si="89"/>
        <v>-0.12253427087308397</v>
      </c>
      <c r="G1947" s="9">
        <f t="shared" si="90"/>
        <v>2.8275209955020718E-2</v>
      </c>
    </row>
    <row r="1948" spans="1:7" x14ac:dyDescent="0.2">
      <c r="A1948" s="12">
        <v>39721</v>
      </c>
      <c r="B1948" s="9">
        <v>785.19</v>
      </c>
      <c r="C1948" s="9">
        <v>748.78</v>
      </c>
      <c r="D1948" s="9">
        <v>768.49</v>
      </c>
      <c r="E1948" s="9">
        <f t="shared" si="91"/>
        <v>-7.5705887824845707E-3</v>
      </c>
      <c r="F1948" s="45">
        <f t="shared" si="89"/>
        <v>-8.65905499498376E-2</v>
      </c>
      <c r="G1948" s="9">
        <f t="shared" si="90"/>
        <v>2.7291222272460974E-2</v>
      </c>
    </row>
    <row r="1949" spans="1:7" x14ac:dyDescent="0.2">
      <c r="A1949" s="12">
        <v>39722</v>
      </c>
      <c r="B1949" s="9">
        <v>783.97</v>
      </c>
      <c r="C1949" s="9">
        <v>764.38</v>
      </c>
      <c r="D1949" s="9">
        <v>769.33</v>
      </c>
      <c r="E1949" s="9">
        <f t="shared" si="91"/>
        <v>1.0924556626160874E-3</v>
      </c>
      <c r="F1949" s="45">
        <f t="shared" si="89"/>
        <v>-9.0782436878420913E-2</v>
      </c>
      <c r="G1949" s="9">
        <f t="shared" si="90"/>
        <v>2.725865791798952E-2</v>
      </c>
    </row>
    <row r="1950" spans="1:7" x14ac:dyDescent="0.2">
      <c r="A1950" s="12">
        <v>39723</v>
      </c>
      <c r="B1950" s="9">
        <v>786.97</v>
      </c>
      <c r="C1950" s="9">
        <v>757.67</v>
      </c>
      <c r="D1950" s="9">
        <v>761.69</v>
      </c>
      <c r="E1950" s="9">
        <f t="shared" si="91"/>
        <v>-9.9803574305908725E-3</v>
      </c>
      <c r="F1950" s="45">
        <f t="shared" si="89"/>
        <v>-9.4368050247358254E-2</v>
      </c>
      <c r="G1950" s="9">
        <f t="shared" si="90"/>
        <v>2.7281788814915237E-2</v>
      </c>
    </row>
    <row r="1951" spans="1:7" x14ac:dyDescent="0.2">
      <c r="A1951" s="12">
        <v>39724</v>
      </c>
      <c r="B1951" s="9">
        <v>784.43</v>
      </c>
      <c r="C1951" s="9">
        <v>753.29</v>
      </c>
      <c r="D1951" s="9">
        <v>780.39</v>
      </c>
      <c r="E1951" s="9">
        <f t="shared" si="91"/>
        <v>2.4254145961017902E-2</v>
      </c>
      <c r="F1951" s="45">
        <f t="shared" si="89"/>
        <v>-0.10295883332657899</v>
      </c>
      <c r="G1951" s="9">
        <f t="shared" si="90"/>
        <v>2.6933860143631735E-2</v>
      </c>
    </row>
    <row r="1952" spans="1:7" x14ac:dyDescent="0.2">
      <c r="A1952" s="12">
        <v>39727</v>
      </c>
      <c r="B1952" s="9">
        <v>778.91</v>
      </c>
      <c r="C1952" s="9">
        <v>718.16</v>
      </c>
      <c r="D1952" s="9">
        <v>723.91</v>
      </c>
      <c r="E1952" s="9">
        <f t="shared" si="91"/>
        <v>-7.5126719458890226E-2</v>
      </c>
      <c r="F1952" s="45">
        <f t="shared" si="89"/>
        <v>-0.16315416579941353</v>
      </c>
      <c r="G1952" s="9">
        <f t="shared" si="90"/>
        <v>2.9899066311259534E-2</v>
      </c>
    </row>
    <row r="1953" spans="1:7" x14ac:dyDescent="0.2">
      <c r="A1953" s="12">
        <v>39728</v>
      </c>
      <c r="B1953" s="9">
        <v>740.52</v>
      </c>
      <c r="C1953" s="9">
        <v>704.86</v>
      </c>
      <c r="D1953" s="9">
        <v>707.21</v>
      </c>
      <c r="E1953" s="9">
        <f t="shared" si="91"/>
        <v>-2.3339423771443955E-2</v>
      </c>
      <c r="F1953" s="45">
        <f t="shared" ref="F1953:F2016" si="92">LN(D1953/D1923)</f>
        <v>-0.19642997854307973</v>
      </c>
      <c r="G1953" s="9">
        <f t="shared" ref="G1953:G2016" si="93">STDEV(E1924:E1953)</f>
        <v>2.9926242209126066E-2</v>
      </c>
    </row>
    <row r="1954" spans="1:7" x14ac:dyDescent="0.2">
      <c r="A1954" s="12">
        <v>39729</v>
      </c>
      <c r="B1954" s="9">
        <v>714.07</v>
      </c>
      <c r="C1954" s="9">
        <v>653.79</v>
      </c>
      <c r="D1954" s="9">
        <v>663.69</v>
      </c>
      <c r="E1954" s="9">
        <f t="shared" si="91"/>
        <v>-6.3512478504949177E-2</v>
      </c>
      <c r="F1954" s="45">
        <f t="shared" si="92"/>
        <v>-0.26251840240502478</v>
      </c>
      <c r="G1954" s="9">
        <f t="shared" si="93"/>
        <v>3.1616222085783581E-2</v>
      </c>
    </row>
    <row r="1955" spans="1:7" x14ac:dyDescent="0.2">
      <c r="A1955" s="12">
        <v>39730</v>
      </c>
      <c r="B1955" s="9">
        <v>693.02</v>
      </c>
      <c r="C1955" s="9">
        <v>655.6</v>
      </c>
      <c r="D1955" s="9">
        <v>659.07</v>
      </c>
      <c r="E1955" s="9">
        <f t="shared" si="91"/>
        <v>-6.9854225808071461E-3</v>
      </c>
      <c r="F1955" s="45">
        <f t="shared" si="92"/>
        <v>-0.28538073278613468</v>
      </c>
      <c r="G1955" s="9">
        <f t="shared" si="93"/>
        <v>3.1275834946382655E-2</v>
      </c>
    </row>
    <row r="1956" spans="1:7" x14ac:dyDescent="0.2">
      <c r="A1956" s="12">
        <v>39731</v>
      </c>
      <c r="B1956" s="9">
        <v>656.36</v>
      </c>
      <c r="C1956" s="9">
        <v>601.41999999999996</v>
      </c>
      <c r="D1956" s="9">
        <v>622.98</v>
      </c>
      <c r="E1956" s="9">
        <f t="shared" si="91"/>
        <v>-5.6315334865780255E-2</v>
      </c>
      <c r="F1956" s="45">
        <f t="shared" si="92"/>
        <v>-0.33496681360226443</v>
      </c>
      <c r="G1956" s="9">
        <f t="shared" si="93"/>
        <v>3.2413246719926458E-2</v>
      </c>
    </row>
    <row r="1957" spans="1:7" x14ac:dyDescent="0.2">
      <c r="A1957" s="12">
        <v>39734</v>
      </c>
      <c r="B1957" s="9">
        <v>679.79</v>
      </c>
      <c r="C1957" s="9">
        <v>626.79999999999995</v>
      </c>
      <c r="D1957" s="9">
        <v>675.85</v>
      </c>
      <c r="E1957" s="9">
        <f t="shared" si="91"/>
        <v>8.1456742386419159E-2</v>
      </c>
      <c r="F1957" s="45">
        <f t="shared" si="92"/>
        <v>-0.25643393256374986</v>
      </c>
      <c r="G1957" s="9">
        <f t="shared" si="93"/>
        <v>3.6503536462937095E-2</v>
      </c>
    </row>
    <row r="1958" spans="1:7" x14ac:dyDescent="0.2">
      <c r="A1958" s="12">
        <v>39735</v>
      </c>
      <c r="B1958" s="9">
        <v>722.82</v>
      </c>
      <c r="C1958" s="9">
        <v>678.56</v>
      </c>
      <c r="D1958" s="9">
        <v>686.24</v>
      </c>
      <c r="E1958" s="9">
        <f t="shared" si="91"/>
        <v>1.5256262838733627E-2</v>
      </c>
      <c r="F1958" s="45">
        <f t="shared" si="92"/>
        <v>-0.25927468215678917</v>
      </c>
      <c r="G1958" s="9">
        <f t="shared" si="93"/>
        <v>3.643565677319624E-2</v>
      </c>
    </row>
    <row r="1959" spans="1:7" x14ac:dyDescent="0.2">
      <c r="A1959" s="12">
        <v>39736</v>
      </c>
      <c r="B1959" s="9">
        <v>691.39</v>
      </c>
      <c r="C1959" s="9">
        <v>643.78</v>
      </c>
      <c r="D1959" s="9">
        <v>647.03</v>
      </c>
      <c r="E1959" s="9">
        <f t="shared" si="91"/>
        <v>-5.8834759491002558E-2</v>
      </c>
      <c r="F1959" s="45">
        <f t="shared" si="92"/>
        <v>-0.30838115594377924</v>
      </c>
      <c r="G1959" s="9">
        <f t="shared" si="93"/>
        <v>3.7571476225666402E-2</v>
      </c>
    </row>
    <row r="1960" spans="1:7" x14ac:dyDescent="0.2">
      <c r="A1960" s="12">
        <v>39737</v>
      </c>
      <c r="B1960" s="9">
        <v>662.27</v>
      </c>
      <c r="C1960" s="9">
        <v>615.6</v>
      </c>
      <c r="D1960" s="9">
        <v>627.54999999999995</v>
      </c>
      <c r="E1960" s="9">
        <f t="shared" si="91"/>
        <v>-3.0569312171112674E-2</v>
      </c>
      <c r="F1960" s="45">
        <f t="shared" si="92"/>
        <v>-0.3040363354759773</v>
      </c>
      <c r="G1960" s="9">
        <f t="shared" si="93"/>
        <v>3.7481508055768512E-2</v>
      </c>
    </row>
    <row r="1961" spans="1:7" x14ac:dyDescent="0.2">
      <c r="A1961" s="12">
        <v>39738</v>
      </c>
      <c r="B1961" s="9">
        <v>656.91</v>
      </c>
      <c r="C1961" s="9">
        <v>619.38</v>
      </c>
      <c r="D1961" s="9">
        <v>632.34</v>
      </c>
      <c r="E1961" s="9">
        <f t="shared" si="91"/>
        <v>7.6038750674453127E-3</v>
      </c>
      <c r="F1961" s="45">
        <f t="shared" si="92"/>
        <v>-0.2659682832994405</v>
      </c>
      <c r="G1961" s="9">
        <f t="shared" si="93"/>
        <v>3.7413851214947252E-2</v>
      </c>
    </row>
    <row r="1962" spans="1:7" x14ac:dyDescent="0.2">
      <c r="A1962" s="12">
        <v>39741</v>
      </c>
      <c r="B1962" s="9">
        <v>664.81</v>
      </c>
      <c r="C1962" s="9">
        <v>641.37</v>
      </c>
      <c r="D1962" s="9">
        <v>661.7</v>
      </c>
      <c r="E1962" s="9">
        <f t="shared" si="91"/>
        <v>4.5385056844113411E-2</v>
      </c>
      <c r="F1962" s="45">
        <f t="shared" si="92"/>
        <v>-0.25739968220277354</v>
      </c>
      <c r="G1962" s="9">
        <f t="shared" si="93"/>
        <v>3.780527602646111E-2</v>
      </c>
    </row>
    <row r="1963" spans="1:7" x14ac:dyDescent="0.2">
      <c r="A1963" s="12">
        <v>39742</v>
      </c>
      <c r="B1963" s="9">
        <v>683.09</v>
      </c>
      <c r="C1963" s="9">
        <v>662.3</v>
      </c>
      <c r="D1963" s="9">
        <v>666.8</v>
      </c>
      <c r="E1963" s="9">
        <f t="shared" si="91"/>
        <v>7.6778698586250482E-3</v>
      </c>
      <c r="F1963" s="45">
        <f t="shared" si="92"/>
        <v>-0.23873817721018453</v>
      </c>
      <c r="G1963" s="9">
        <f t="shared" si="93"/>
        <v>3.7917724019838908E-2</v>
      </c>
    </row>
    <row r="1964" spans="1:7" x14ac:dyDescent="0.2">
      <c r="A1964" s="12">
        <v>39743</v>
      </c>
      <c r="B1964" s="9">
        <v>666.09</v>
      </c>
      <c r="C1964" s="9">
        <v>636.14</v>
      </c>
      <c r="D1964" s="9">
        <v>642.19000000000005</v>
      </c>
      <c r="E1964" s="9">
        <f t="shared" si="91"/>
        <v>-3.7605940815523271E-2</v>
      </c>
      <c r="F1964" s="45">
        <f t="shared" si="92"/>
        <v>-0.2689104617709383</v>
      </c>
      <c r="G1964" s="9">
        <f t="shared" si="93"/>
        <v>3.8301545668247235E-2</v>
      </c>
    </row>
    <row r="1965" spans="1:7" x14ac:dyDescent="0.2">
      <c r="A1965" s="12">
        <v>39744</v>
      </c>
      <c r="B1965" s="9">
        <v>646.16</v>
      </c>
      <c r="C1965" s="9">
        <v>616.91</v>
      </c>
      <c r="D1965" s="9">
        <v>631.19000000000005</v>
      </c>
      <c r="E1965" s="9">
        <f t="shared" si="91"/>
        <v>-1.7277283493986953E-2</v>
      </c>
      <c r="F1965" s="45">
        <f t="shared" si="92"/>
        <v>-0.27099551546803557</v>
      </c>
      <c r="G1965" s="9">
        <f t="shared" si="93"/>
        <v>3.8315127049455035E-2</v>
      </c>
    </row>
    <row r="1966" spans="1:7" x14ac:dyDescent="0.2">
      <c r="A1966" s="12">
        <v>39745</v>
      </c>
      <c r="B1966" s="9">
        <v>628.35</v>
      </c>
      <c r="C1966" s="9">
        <v>567.34</v>
      </c>
      <c r="D1966" s="9">
        <v>593.87</v>
      </c>
      <c r="E1966" s="9">
        <f t="shared" si="91"/>
        <v>-6.0946486375637231E-2</v>
      </c>
      <c r="F1966" s="45">
        <f t="shared" si="92"/>
        <v>-0.3559725234227557</v>
      </c>
      <c r="G1966" s="9">
        <f t="shared" si="93"/>
        <v>3.8922779060313287E-2</v>
      </c>
    </row>
    <row r="1967" spans="1:7" x14ac:dyDescent="0.2">
      <c r="A1967" s="12">
        <v>39748</v>
      </c>
      <c r="B1967" s="9">
        <v>594.12</v>
      </c>
      <c r="C1967" s="9">
        <v>556.77</v>
      </c>
      <c r="D1967" s="9">
        <v>575.71</v>
      </c>
      <c r="E1967" s="9">
        <f t="shared" si="91"/>
        <v>-3.1056378502518509E-2</v>
      </c>
      <c r="F1967" s="45">
        <f t="shared" si="92"/>
        <v>-0.35686599410735081</v>
      </c>
      <c r="G1967" s="9">
        <f t="shared" si="93"/>
        <v>3.8937601182958713E-2</v>
      </c>
    </row>
    <row r="1968" spans="1:7" x14ac:dyDescent="0.2">
      <c r="A1968" s="12">
        <v>39749</v>
      </c>
      <c r="B1968" s="9">
        <v>594.96</v>
      </c>
      <c r="C1968" s="9">
        <v>567.87</v>
      </c>
      <c r="D1968" s="9">
        <v>582.5</v>
      </c>
      <c r="E1968" s="9">
        <f t="shared" si="91"/>
        <v>1.1725123750882555E-2</v>
      </c>
      <c r="F1968" s="45">
        <f t="shared" si="92"/>
        <v>-0.32835847697518517</v>
      </c>
      <c r="G1968" s="9">
        <f t="shared" si="93"/>
        <v>3.916143930949189E-2</v>
      </c>
    </row>
    <row r="1969" spans="1:7" x14ac:dyDescent="0.2">
      <c r="A1969" s="12">
        <v>39750</v>
      </c>
      <c r="B1969" s="9">
        <v>619.04</v>
      </c>
      <c r="C1969" s="9">
        <v>585.09</v>
      </c>
      <c r="D1969" s="9">
        <v>615.66999999999996</v>
      </c>
      <c r="E1969" s="9">
        <f t="shared" si="91"/>
        <v>5.5381920261783069E-2</v>
      </c>
      <c r="F1969" s="45">
        <f t="shared" si="92"/>
        <v>-0.23577479531513079</v>
      </c>
      <c r="G1969" s="9">
        <f t="shared" si="93"/>
        <v>4.0641028227192573E-2</v>
      </c>
    </row>
    <row r="1970" spans="1:7" x14ac:dyDescent="0.2">
      <c r="A1970" s="12">
        <v>39751</v>
      </c>
      <c r="B1970" s="9">
        <v>655.34</v>
      </c>
      <c r="C1970" s="9">
        <v>617.04</v>
      </c>
      <c r="D1970" s="9">
        <v>646.09</v>
      </c>
      <c r="E1970" s="9">
        <f t="shared" si="91"/>
        <v>4.8227707262437559E-2</v>
      </c>
      <c r="F1970" s="45">
        <f t="shared" si="92"/>
        <v>-0.19031472387659645</v>
      </c>
      <c r="G1970" s="9">
        <f t="shared" si="93"/>
        <v>4.1879557473592267E-2</v>
      </c>
    </row>
    <row r="1971" spans="1:7" x14ac:dyDescent="0.2">
      <c r="A1971" s="12">
        <v>39752</v>
      </c>
      <c r="B1971" s="9">
        <v>648.91</v>
      </c>
      <c r="C1971" s="9">
        <v>634.80999999999995</v>
      </c>
      <c r="D1971" s="9">
        <v>638.91</v>
      </c>
      <c r="E1971" s="9">
        <f t="shared" si="91"/>
        <v>-1.1175213576562277E-2</v>
      </c>
      <c r="F1971" s="45">
        <f t="shared" si="92"/>
        <v>-0.28749423493068405</v>
      </c>
      <c r="G1971" s="9">
        <f t="shared" si="93"/>
        <v>3.8075874434864571E-2</v>
      </c>
    </row>
    <row r="1972" spans="1:7" x14ac:dyDescent="0.2">
      <c r="A1972" s="12">
        <v>39755</v>
      </c>
      <c r="B1972" s="9">
        <v>667.88</v>
      </c>
      <c r="C1972" s="9">
        <v>640.39</v>
      </c>
      <c r="D1972" s="9">
        <v>667.88</v>
      </c>
      <c r="E1972" s="9">
        <f t="shared" si="91"/>
        <v>4.4344917293242386E-2</v>
      </c>
      <c r="F1972" s="45">
        <f t="shared" si="92"/>
        <v>-0.2250343182362195</v>
      </c>
      <c r="G1972" s="9">
        <f t="shared" si="93"/>
        <v>3.9281826857371922E-2</v>
      </c>
    </row>
    <row r="1973" spans="1:7" x14ac:dyDescent="0.2">
      <c r="A1973" s="12">
        <v>39756</v>
      </c>
      <c r="B1973" s="9">
        <v>716.55</v>
      </c>
      <c r="C1973" s="9">
        <v>667.69</v>
      </c>
      <c r="D1973" s="9">
        <v>713.67</v>
      </c>
      <c r="E1973" s="9">
        <f t="shared" si="91"/>
        <v>6.6312153944528315E-2</v>
      </c>
      <c r="F1973" s="45">
        <f t="shared" si="92"/>
        <v>-0.14023641279985494</v>
      </c>
      <c r="G1973" s="9">
        <f t="shared" si="93"/>
        <v>4.1454939211496691E-2</v>
      </c>
    </row>
    <row r="1974" spans="1:7" x14ac:dyDescent="0.2">
      <c r="A1974" s="12">
        <v>39757</v>
      </c>
      <c r="B1974" s="9">
        <v>715.2</v>
      </c>
      <c r="C1974" s="9">
        <v>692.65</v>
      </c>
      <c r="D1974" s="9">
        <v>702.52</v>
      </c>
      <c r="E1974" s="9">
        <f t="shared" si="91"/>
        <v>-1.5746800071749844E-2</v>
      </c>
      <c r="F1974" s="45">
        <f t="shared" si="92"/>
        <v>-0.15059795981069521</v>
      </c>
      <c r="G1974" s="9">
        <f t="shared" si="93"/>
        <v>4.1504199424836588E-2</v>
      </c>
    </row>
    <row r="1975" spans="1:7" x14ac:dyDescent="0.2">
      <c r="A1975" s="12">
        <v>39758</v>
      </c>
      <c r="B1975" s="9">
        <v>699.31</v>
      </c>
      <c r="C1975" s="9">
        <v>655.63</v>
      </c>
      <c r="D1975" s="9">
        <v>658.02</v>
      </c>
      <c r="E1975" s="9">
        <f t="shared" si="91"/>
        <v>-6.5438544553362316E-2</v>
      </c>
      <c r="F1975" s="45">
        <f t="shared" si="92"/>
        <v>-0.24042146646088175</v>
      </c>
      <c r="G1975" s="9">
        <f t="shared" si="93"/>
        <v>4.2536871387608248E-2</v>
      </c>
    </row>
    <row r="1976" spans="1:7" x14ac:dyDescent="0.2">
      <c r="A1976" s="12">
        <v>39759</v>
      </c>
      <c r="B1976" s="9">
        <v>685.45</v>
      </c>
      <c r="C1976" s="9">
        <v>658.88</v>
      </c>
      <c r="D1976" s="9">
        <v>679.2</v>
      </c>
      <c r="E1976" s="9">
        <f t="shared" si="91"/>
        <v>3.1680308996965237E-2</v>
      </c>
      <c r="F1976" s="45">
        <f t="shared" si="92"/>
        <v>-0.19007021755588954</v>
      </c>
      <c r="G1976" s="9">
        <f t="shared" si="93"/>
        <v>4.3091619251381309E-2</v>
      </c>
    </row>
    <row r="1977" spans="1:7" x14ac:dyDescent="0.2">
      <c r="A1977" s="12">
        <v>39762</v>
      </c>
      <c r="B1977" s="9">
        <v>708.3</v>
      </c>
      <c r="C1977" s="9">
        <v>680.92</v>
      </c>
      <c r="D1977" s="9">
        <v>684.71</v>
      </c>
      <c r="E1977" s="9">
        <f t="shared" si="91"/>
        <v>8.0797559596971161E-3</v>
      </c>
      <c r="F1977" s="45">
        <f t="shared" si="92"/>
        <v>-0.12300274835789519</v>
      </c>
      <c r="G1977" s="9">
        <f t="shared" si="93"/>
        <v>4.1991532138175247E-2</v>
      </c>
    </row>
    <row r="1978" spans="1:7" x14ac:dyDescent="0.2">
      <c r="A1978" s="12">
        <v>39763</v>
      </c>
      <c r="B1978" s="9">
        <v>683.73</v>
      </c>
      <c r="C1978" s="9">
        <v>645.49</v>
      </c>
      <c r="D1978" s="9">
        <v>649.46</v>
      </c>
      <c r="E1978" s="9">
        <f t="shared" si="91"/>
        <v>-5.285414257792375E-2</v>
      </c>
      <c r="F1978" s="45">
        <f t="shared" si="92"/>
        <v>-0.16828630215333448</v>
      </c>
      <c r="G1978" s="9">
        <f t="shared" si="93"/>
        <v>4.2924124782327766E-2</v>
      </c>
    </row>
    <row r="1979" spans="1:7" x14ac:dyDescent="0.2">
      <c r="A1979" s="12">
        <v>39764</v>
      </c>
      <c r="B1979" s="9">
        <v>661.94</v>
      </c>
      <c r="C1979" s="9">
        <v>623.59</v>
      </c>
      <c r="D1979" s="9">
        <v>630.26</v>
      </c>
      <c r="E1979" s="9">
        <f t="shared" si="91"/>
        <v>-3.0008815717201168E-2</v>
      </c>
      <c r="F1979" s="45">
        <f t="shared" si="92"/>
        <v>-0.19938757353315173</v>
      </c>
      <c r="G1979" s="9">
        <f t="shared" si="93"/>
        <v>4.3131754399590334E-2</v>
      </c>
    </row>
    <row r="1980" spans="1:7" x14ac:dyDescent="0.2">
      <c r="A1980" s="12">
        <v>39765</v>
      </c>
      <c r="B1980" s="9">
        <v>644.13</v>
      </c>
      <c r="C1980" s="9">
        <v>622.95000000000005</v>
      </c>
      <c r="D1980" s="9">
        <v>634.72</v>
      </c>
      <c r="E1980" s="9">
        <f t="shared" si="91"/>
        <v>7.051524104310143E-3</v>
      </c>
      <c r="F1980" s="45">
        <f t="shared" si="92"/>
        <v>-0.18235569199825058</v>
      </c>
      <c r="G1980" s="9">
        <f t="shared" si="93"/>
        <v>4.3198396448901714E-2</v>
      </c>
    </row>
    <row r="1981" spans="1:7" x14ac:dyDescent="0.2">
      <c r="A1981" s="12">
        <v>39766</v>
      </c>
      <c r="B1981" s="9">
        <v>658.22</v>
      </c>
      <c r="C1981" s="9">
        <v>630.17999999999995</v>
      </c>
      <c r="D1981" s="9">
        <v>635.59</v>
      </c>
      <c r="E1981" s="9">
        <f t="shared" si="91"/>
        <v>1.3697446072603774E-3</v>
      </c>
      <c r="F1981" s="45">
        <f t="shared" si="92"/>
        <v>-0.20524009335200799</v>
      </c>
      <c r="G1981" s="9">
        <f t="shared" si="93"/>
        <v>4.2844905370670455E-2</v>
      </c>
    </row>
    <row r="1982" spans="1:7" x14ac:dyDescent="0.2">
      <c r="A1982" s="12">
        <v>39769</v>
      </c>
      <c r="B1982" s="9">
        <v>641.51</v>
      </c>
      <c r="C1982" s="9">
        <v>623.17999999999995</v>
      </c>
      <c r="D1982" s="9">
        <v>631.91999999999996</v>
      </c>
      <c r="E1982" s="9">
        <f t="shared" si="91"/>
        <v>-5.7908975171169436E-3</v>
      </c>
      <c r="F1982" s="45">
        <f t="shared" si="92"/>
        <v>-0.13590427141023464</v>
      </c>
      <c r="G1982" s="9">
        <f t="shared" si="93"/>
        <v>4.085839841869409E-2</v>
      </c>
    </row>
    <row r="1983" spans="1:7" x14ac:dyDescent="0.2">
      <c r="A1983" s="12">
        <v>39770</v>
      </c>
      <c r="B1983" s="9">
        <v>633.58000000000004</v>
      </c>
      <c r="C1983" s="9">
        <v>608.91</v>
      </c>
      <c r="D1983" s="9">
        <v>627.37</v>
      </c>
      <c r="E1983" s="9">
        <f t="shared" ref="E1983:E2046" si="94">LN(D1983/D1982)</f>
        <v>-7.2263256279068806E-3</v>
      </c>
      <c r="F1983" s="45">
        <f t="shared" si="92"/>
        <v>-0.11979117326669751</v>
      </c>
      <c r="G1983" s="9">
        <f t="shared" si="93"/>
        <v>4.0708246584187008E-2</v>
      </c>
    </row>
    <row r="1984" spans="1:7" x14ac:dyDescent="0.2">
      <c r="A1984" s="12">
        <v>39771</v>
      </c>
      <c r="B1984" s="9">
        <v>629.96</v>
      </c>
      <c r="C1984" s="9">
        <v>594.09</v>
      </c>
      <c r="D1984" s="9">
        <v>594.12</v>
      </c>
      <c r="E1984" s="9">
        <f t="shared" si="94"/>
        <v>-5.4455159066924663E-2</v>
      </c>
      <c r="F1984" s="45">
        <f t="shared" si="92"/>
        <v>-0.11073385382867307</v>
      </c>
      <c r="G1984" s="9">
        <f t="shared" si="93"/>
        <v>4.028296732652565E-2</v>
      </c>
    </row>
    <row r="1985" spans="1:7" x14ac:dyDescent="0.2">
      <c r="A1985" s="12">
        <v>39772</v>
      </c>
      <c r="B1985" s="9">
        <v>592.70000000000005</v>
      </c>
      <c r="C1985" s="9">
        <v>571.91</v>
      </c>
      <c r="D1985" s="9">
        <v>587.71</v>
      </c>
      <c r="E1985" s="9">
        <f t="shared" si="94"/>
        <v>-1.0847690203398416E-2</v>
      </c>
      <c r="F1985" s="45">
        <f t="shared" si="92"/>
        <v>-0.11459612145126422</v>
      </c>
      <c r="G1985" s="9">
        <f t="shared" si="93"/>
        <v>4.0300026956204625E-2</v>
      </c>
    </row>
    <row r="1986" spans="1:7" x14ac:dyDescent="0.2">
      <c r="A1986" s="12">
        <v>39773</v>
      </c>
      <c r="B1986" s="9">
        <v>595.78</v>
      </c>
      <c r="C1986" s="9">
        <v>560.78</v>
      </c>
      <c r="D1986" s="9">
        <v>567.61</v>
      </c>
      <c r="E1986" s="9">
        <f t="shared" si="94"/>
        <v>-3.4799065786368079E-2</v>
      </c>
      <c r="F1986" s="45">
        <f t="shared" si="92"/>
        <v>-9.3079852371852026E-2</v>
      </c>
      <c r="G1986" s="9">
        <f t="shared" si="93"/>
        <v>3.9517424405265213E-2</v>
      </c>
    </row>
    <row r="1987" spans="1:7" x14ac:dyDescent="0.2">
      <c r="A1987" s="12">
        <v>39776</v>
      </c>
      <c r="B1987" s="9">
        <v>629.70000000000005</v>
      </c>
      <c r="C1987" s="9">
        <v>567.12</v>
      </c>
      <c r="D1987" s="9">
        <v>626.46</v>
      </c>
      <c r="E1987" s="9">
        <f t="shared" si="94"/>
        <v>9.8650362358508437E-2</v>
      </c>
      <c r="F1987" s="45">
        <f t="shared" si="92"/>
        <v>-7.5886232399762721E-2</v>
      </c>
      <c r="G1987" s="9">
        <f t="shared" si="93"/>
        <v>4.0887022300479949E-2</v>
      </c>
    </row>
    <row r="1988" spans="1:7" x14ac:dyDescent="0.2">
      <c r="A1988" s="12">
        <v>39777</v>
      </c>
      <c r="B1988" s="9">
        <v>645.04999999999995</v>
      </c>
      <c r="C1988" s="9">
        <v>614.16999999999996</v>
      </c>
      <c r="D1988" s="9">
        <v>634.02</v>
      </c>
      <c r="E1988" s="9">
        <f t="shared" si="94"/>
        <v>1.1995574150920407E-2</v>
      </c>
      <c r="F1988" s="45">
        <f t="shared" si="92"/>
        <v>-7.9146921087575955E-2</v>
      </c>
      <c r="G1988" s="9">
        <f t="shared" si="93"/>
        <v>4.084242171456906E-2</v>
      </c>
    </row>
    <row r="1989" spans="1:7" x14ac:dyDescent="0.2">
      <c r="A1989" s="12">
        <v>39778</v>
      </c>
      <c r="B1989" s="9">
        <v>638.88</v>
      </c>
      <c r="C1989" s="9">
        <v>617.28</v>
      </c>
      <c r="D1989" s="9">
        <v>628.86</v>
      </c>
      <c r="E1989" s="9">
        <f t="shared" si="94"/>
        <v>-8.1718432708534367E-3</v>
      </c>
      <c r="F1989" s="45">
        <f t="shared" si="92"/>
        <v>-2.8484004867426742E-2</v>
      </c>
      <c r="G1989" s="9">
        <f t="shared" si="93"/>
        <v>3.9462776983995397E-2</v>
      </c>
    </row>
    <row r="1990" spans="1:7" x14ac:dyDescent="0.2">
      <c r="A1990" s="12">
        <v>39779</v>
      </c>
      <c r="B1990" s="9">
        <v>645.76</v>
      </c>
      <c r="C1990" s="9">
        <v>628.98</v>
      </c>
      <c r="D1990" s="9">
        <v>645.51</v>
      </c>
      <c r="E1990" s="9">
        <f t="shared" si="94"/>
        <v>2.6132045623328288E-2</v>
      </c>
      <c r="F1990" s="45">
        <f t="shared" si="92"/>
        <v>2.8217352927014303E-2</v>
      </c>
      <c r="G1990" s="9">
        <f t="shared" si="93"/>
        <v>3.9352920058788661E-2</v>
      </c>
    </row>
    <row r="1991" spans="1:7" x14ac:dyDescent="0.2">
      <c r="A1991" s="12">
        <v>39780</v>
      </c>
      <c r="B1991" s="9">
        <v>648.03</v>
      </c>
      <c r="C1991" s="9">
        <v>628.59</v>
      </c>
      <c r="D1991" s="9">
        <v>641.74</v>
      </c>
      <c r="E1991" s="9">
        <f t="shared" si="94"/>
        <v>-5.8574647955234212E-3</v>
      </c>
      <c r="F1991" s="45">
        <f t="shared" si="92"/>
        <v>1.4756013064045434E-2</v>
      </c>
      <c r="G1991" s="9">
        <f t="shared" si="93"/>
        <v>3.9351068342590577E-2</v>
      </c>
    </row>
    <row r="1992" spans="1:7" x14ac:dyDescent="0.2">
      <c r="A1992" s="12">
        <v>39783</v>
      </c>
      <c r="B1992" s="9">
        <v>642.63</v>
      </c>
      <c r="C1992" s="9">
        <v>605.20000000000005</v>
      </c>
      <c r="D1992" s="9">
        <v>607.09</v>
      </c>
      <c r="E1992" s="9">
        <f t="shared" si="94"/>
        <v>-5.550618698816543E-2</v>
      </c>
      <c r="F1992" s="45">
        <f t="shared" si="92"/>
        <v>-8.6135230768233373E-2</v>
      </c>
      <c r="G1992" s="9">
        <f t="shared" si="93"/>
        <v>3.9691818383909838E-2</v>
      </c>
    </row>
    <row r="1993" spans="1:7" x14ac:dyDescent="0.2">
      <c r="A1993" s="12">
        <v>39784</v>
      </c>
      <c r="B1993" s="9">
        <v>636.64</v>
      </c>
      <c r="C1993" s="9">
        <v>591.24</v>
      </c>
      <c r="D1993" s="9">
        <v>636.64</v>
      </c>
      <c r="E1993" s="9">
        <f t="shared" si="94"/>
        <v>4.7527296428838024E-2</v>
      </c>
      <c r="F1993" s="45">
        <f t="shared" si="92"/>
        <v>-4.6285804198020412E-2</v>
      </c>
      <c r="G1993" s="9">
        <f t="shared" si="93"/>
        <v>4.0710739037298327E-2</v>
      </c>
    </row>
    <row r="1994" spans="1:7" x14ac:dyDescent="0.2">
      <c r="A1994" s="12">
        <v>39785</v>
      </c>
      <c r="B1994" s="9">
        <v>645.54999999999995</v>
      </c>
      <c r="C1994" s="9">
        <v>622.71</v>
      </c>
      <c r="D1994" s="9">
        <v>643.66</v>
      </c>
      <c r="E1994" s="9">
        <f t="shared" si="94"/>
        <v>1.0966289700339318E-2</v>
      </c>
      <c r="F1994" s="45">
        <f t="shared" si="92"/>
        <v>2.2864263178422333E-3</v>
      </c>
      <c r="G1994" s="9">
        <f t="shared" si="93"/>
        <v>4.0189574435230614E-2</v>
      </c>
    </row>
    <row r="1995" spans="1:7" x14ac:dyDescent="0.2">
      <c r="A1995" s="12">
        <v>39786</v>
      </c>
      <c r="B1995" s="9">
        <v>664.54</v>
      </c>
      <c r="C1995" s="9">
        <v>633.59</v>
      </c>
      <c r="D1995" s="9">
        <v>640.39</v>
      </c>
      <c r="E1995" s="9">
        <f t="shared" si="94"/>
        <v>-5.0932706187919825E-3</v>
      </c>
      <c r="F1995" s="45">
        <f t="shared" si="92"/>
        <v>1.4470439193037019E-2</v>
      </c>
      <c r="G1995" s="9">
        <f t="shared" si="93"/>
        <v>4.0069545687763934E-2</v>
      </c>
    </row>
    <row r="1996" spans="1:7" x14ac:dyDescent="0.2">
      <c r="A1996" s="12">
        <v>39787</v>
      </c>
      <c r="B1996" s="9">
        <v>639.74</v>
      </c>
      <c r="C1996" s="9">
        <v>603.5</v>
      </c>
      <c r="D1996" s="9">
        <v>608.64</v>
      </c>
      <c r="E1996" s="9">
        <f t="shared" si="94"/>
        <v>-5.0850405843195022E-2</v>
      </c>
      <c r="F1996" s="45">
        <f t="shared" si="92"/>
        <v>2.4566519725479324E-2</v>
      </c>
      <c r="G1996" s="9">
        <f t="shared" si="93"/>
        <v>3.9575174422807169E-2</v>
      </c>
    </row>
    <row r="1997" spans="1:7" x14ac:dyDescent="0.2">
      <c r="A1997" s="12">
        <v>39790</v>
      </c>
      <c r="B1997" s="9">
        <v>669.59</v>
      </c>
      <c r="C1997" s="9">
        <v>611.36</v>
      </c>
      <c r="D1997" s="9">
        <v>666.65</v>
      </c>
      <c r="E1997" s="9">
        <f t="shared" si="94"/>
        <v>9.1038210644496645E-2</v>
      </c>
      <c r="F1997" s="45">
        <f t="shared" si="92"/>
        <v>0.14666110887249451</v>
      </c>
      <c r="G1997" s="9">
        <f t="shared" si="93"/>
        <v>4.2363871267152624E-2</v>
      </c>
    </row>
    <row r="1998" spans="1:7" x14ac:dyDescent="0.2">
      <c r="A1998" s="12">
        <v>39791</v>
      </c>
      <c r="B1998" s="9">
        <v>692.56</v>
      </c>
      <c r="C1998" s="9">
        <v>653.29</v>
      </c>
      <c r="D1998" s="9">
        <v>685.42</v>
      </c>
      <c r="E1998" s="9">
        <f t="shared" si="94"/>
        <v>2.776661849416388E-2</v>
      </c>
      <c r="F1998" s="45">
        <f t="shared" si="92"/>
        <v>0.16270260361577568</v>
      </c>
      <c r="G1998" s="9">
        <f t="shared" si="93"/>
        <v>4.2553947412084049E-2</v>
      </c>
    </row>
    <row r="1999" spans="1:7" x14ac:dyDescent="0.2">
      <c r="A1999" s="12">
        <v>39792</v>
      </c>
      <c r="B1999" s="9">
        <v>688.63</v>
      </c>
      <c r="C1999" s="9">
        <v>672.07</v>
      </c>
      <c r="D1999" s="9">
        <v>688.33</v>
      </c>
      <c r="E1999" s="9">
        <f t="shared" si="94"/>
        <v>4.2365850446545528E-3</v>
      </c>
      <c r="F1999" s="45">
        <f t="shared" si="92"/>
        <v>0.11155726839864728</v>
      </c>
      <c r="G1999" s="9">
        <f t="shared" si="93"/>
        <v>4.1494776059859836E-2</v>
      </c>
    </row>
    <row r="2000" spans="1:7" x14ac:dyDescent="0.2">
      <c r="A2000" s="12">
        <v>39793</v>
      </c>
      <c r="B2000" s="9">
        <v>687.58</v>
      </c>
      <c r="C2000" s="9">
        <v>669.43</v>
      </c>
      <c r="D2000" s="9">
        <v>676.78</v>
      </c>
      <c r="E2000" s="9">
        <f t="shared" si="94"/>
        <v>-1.6922117072329865E-2</v>
      </c>
      <c r="F2000" s="45">
        <f t="shared" si="92"/>
        <v>4.6407444063879852E-2</v>
      </c>
      <c r="G2000" s="9">
        <f t="shared" si="93"/>
        <v>4.0783773328962977E-2</v>
      </c>
    </row>
    <row r="2001" spans="1:7" x14ac:dyDescent="0.2">
      <c r="A2001" s="12">
        <v>39794</v>
      </c>
      <c r="B2001" s="9">
        <v>673.57</v>
      </c>
      <c r="C2001" s="9">
        <v>646.16999999999996</v>
      </c>
      <c r="D2001" s="9">
        <v>659.8</v>
      </c>
      <c r="E2001" s="9">
        <f t="shared" si="94"/>
        <v>-2.5409498233474985E-2</v>
      </c>
      <c r="F2001" s="45">
        <f t="shared" si="92"/>
        <v>3.2173159406967203E-2</v>
      </c>
      <c r="G2001" s="9">
        <f t="shared" si="93"/>
        <v>4.1019007648727443E-2</v>
      </c>
    </row>
    <row r="2002" spans="1:7" x14ac:dyDescent="0.2">
      <c r="A2002" s="12">
        <v>39797</v>
      </c>
      <c r="B2002" s="9">
        <v>672.56</v>
      </c>
      <c r="C2002" s="9">
        <v>650.41</v>
      </c>
      <c r="D2002" s="9">
        <v>651.17999999999995</v>
      </c>
      <c r="E2002" s="9">
        <f t="shared" si="94"/>
        <v>-1.3150657108502516E-2</v>
      </c>
      <c r="F2002" s="45">
        <f t="shared" si="92"/>
        <v>-2.5322414994777762E-2</v>
      </c>
      <c r="G2002" s="9">
        <f t="shared" si="93"/>
        <v>4.0263703318026901E-2</v>
      </c>
    </row>
    <row r="2003" spans="1:7" x14ac:dyDescent="0.2">
      <c r="A2003" s="12">
        <v>39798</v>
      </c>
      <c r="B2003" s="9">
        <v>667.02</v>
      </c>
      <c r="C2003" s="9">
        <v>649.32000000000005</v>
      </c>
      <c r="D2003" s="9">
        <v>667</v>
      </c>
      <c r="E2003" s="9">
        <f t="shared" si="94"/>
        <v>2.4003944229645163E-2</v>
      </c>
      <c r="F2003" s="45">
        <f t="shared" si="92"/>
        <v>-6.7630624709660928E-2</v>
      </c>
      <c r="G2003" s="9">
        <f t="shared" si="93"/>
        <v>3.8534179497199506E-2</v>
      </c>
    </row>
    <row r="2004" spans="1:7" x14ac:dyDescent="0.2">
      <c r="A2004" s="12">
        <v>39799</v>
      </c>
      <c r="B2004" s="9">
        <v>679.61</v>
      </c>
      <c r="C2004" s="9">
        <v>654.61</v>
      </c>
      <c r="D2004" s="9">
        <v>664.34</v>
      </c>
      <c r="E2004" s="9">
        <f t="shared" si="94"/>
        <v>-3.9959792983598873E-3</v>
      </c>
      <c r="F2004" s="45">
        <f t="shared" si="92"/>
        <v>-5.5879803936271018E-2</v>
      </c>
      <c r="G2004" s="9">
        <f t="shared" si="93"/>
        <v>3.8451936470327373E-2</v>
      </c>
    </row>
    <row r="2005" spans="1:7" x14ac:dyDescent="0.2">
      <c r="A2005" s="12">
        <v>39800</v>
      </c>
      <c r="B2005" s="9">
        <v>677.06</v>
      </c>
      <c r="C2005" s="9">
        <v>664.72</v>
      </c>
      <c r="D2005" s="9">
        <v>672.26</v>
      </c>
      <c r="E2005" s="9">
        <f t="shared" si="94"/>
        <v>1.1851103839443378E-2</v>
      </c>
      <c r="F2005" s="45">
        <f t="shared" si="92"/>
        <v>2.1409844456534731E-2</v>
      </c>
      <c r="G2005" s="9">
        <f t="shared" si="93"/>
        <v>3.6589541741994552E-2</v>
      </c>
    </row>
    <row r="2006" spans="1:7" x14ac:dyDescent="0.2">
      <c r="A2006" s="12">
        <v>39801</v>
      </c>
      <c r="B2006" s="9">
        <v>672.38</v>
      </c>
      <c r="C2006" s="9">
        <v>662.89</v>
      </c>
      <c r="D2006" s="9">
        <v>663.98</v>
      </c>
      <c r="E2006" s="9">
        <f t="shared" si="94"/>
        <v>-1.2393141915831874E-2</v>
      </c>
      <c r="F2006" s="45">
        <f t="shared" si="92"/>
        <v>-2.266360645626234E-2</v>
      </c>
      <c r="G2006" s="9">
        <f t="shared" si="93"/>
        <v>3.6185893826943524E-2</v>
      </c>
    </row>
    <row r="2007" spans="1:7" x14ac:dyDescent="0.2">
      <c r="A2007" s="12">
        <v>39804</v>
      </c>
      <c r="B2007" s="9">
        <v>664.83</v>
      </c>
      <c r="C2007" s="9">
        <v>650.62</v>
      </c>
      <c r="D2007" s="9">
        <v>655.63</v>
      </c>
      <c r="E2007" s="9">
        <f t="shared" si="94"/>
        <v>-1.2655423108621781E-2</v>
      </c>
      <c r="F2007" s="45">
        <f t="shared" si="92"/>
        <v>-4.3398785524581186E-2</v>
      </c>
      <c r="G2007" s="9">
        <f t="shared" si="93"/>
        <v>3.6209336388751859E-2</v>
      </c>
    </row>
    <row r="2008" spans="1:7" x14ac:dyDescent="0.2">
      <c r="A2008" s="12">
        <v>39805</v>
      </c>
      <c r="B2008" s="9">
        <v>661.6</v>
      </c>
      <c r="C2008" s="9">
        <v>649.91999999999996</v>
      </c>
      <c r="D2008" s="9">
        <v>659.18</v>
      </c>
      <c r="E2008" s="9">
        <f t="shared" si="94"/>
        <v>5.4000328969216853E-3</v>
      </c>
      <c r="F2008" s="45">
        <f t="shared" si="92"/>
        <v>1.4855389950264372E-2</v>
      </c>
      <c r="G2008" s="9">
        <f t="shared" si="93"/>
        <v>3.4895603373798066E-2</v>
      </c>
    </row>
    <row r="2009" spans="1:7" x14ac:dyDescent="0.2">
      <c r="A2009" s="12">
        <v>39811</v>
      </c>
      <c r="B2009" s="9">
        <v>665.69</v>
      </c>
      <c r="C2009" s="9">
        <v>654.28</v>
      </c>
      <c r="D2009" s="9">
        <v>657.27</v>
      </c>
      <c r="E2009" s="9">
        <f t="shared" si="94"/>
        <v>-2.9017453609376199E-3</v>
      </c>
      <c r="F2009" s="45">
        <f t="shared" si="92"/>
        <v>4.1962460306527921E-2</v>
      </c>
      <c r="G2009" s="9">
        <f t="shared" si="93"/>
        <v>3.4426304681358842E-2</v>
      </c>
    </row>
    <row r="2010" spans="1:7" x14ac:dyDescent="0.2">
      <c r="A2010" s="12">
        <v>39812</v>
      </c>
      <c r="B2010" s="9">
        <v>666.93</v>
      </c>
      <c r="C2010" s="9">
        <v>657.52</v>
      </c>
      <c r="D2010" s="9">
        <v>662.33</v>
      </c>
      <c r="E2010" s="9">
        <f t="shared" si="94"/>
        <v>7.669028190173276E-3</v>
      </c>
      <c r="F2010" s="45">
        <f t="shared" si="92"/>
        <v>4.2579964392390819E-2</v>
      </c>
      <c r="G2010" s="9">
        <f t="shared" si="93"/>
        <v>3.442998542327657E-2</v>
      </c>
    </row>
    <row r="2011" spans="1:7" x14ac:dyDescent="0.2">
      <c r="A2011" s="12">
        <v>39815</v>
      </c>
      <c r="B2011" s="9">
        <v>696.1</v>
      </c>
      <c r="C2011" s="9">
        <v>665.52</v>
      </c>
      <c r="D2011" s="9">
        <v>693.78</v>
      </c>
      <c r="E2011" s="9">
        <f t="shared" si="94"/>
        <v>4.6390986210514483E-2</v>
      </c>
      <c r="F2011" s="45">
        <f t="shared" si="92"/>
        <v>8.7601205995644874E-2</v>
      </c>
      <c r="G2011" s="9">
        <f t="shared" si="93"/>
        <v>3.5395390534523327E-2</v>
      </c>
    </row>
    <row r="2012" spans="1:7" x14ac:dyDescent="0.2">
      <c r="A2012" s="12">
        <v>39818</v>
      </c>
      <c r="B2012" s="9">
        <v>704.51</v>
      </c>
      <c r="C2012" s="9">
        <v>690.25</v>
      </c>
      <c r="D2012" s="9">
        <v>693.76</v>
      </c>
      <c r="E2012" s="9">
        <f t="shared" si="94"/>
        <v>-2.882799775339595E-5</v>
      </c>
      <c r="F2012" s="45">
        <f t="shared" si="92"/>
        <v>9.3363275515008379E-2</v>
      </c>
      <c r="G2012" s="9">
        <f t="shared" si="93"/>
        <v>3.5362109633662098E-2</v>
      </c>
    </row>
    <row r="2013" spans="1:7" x14ac:dyDescent="0.2">
      <c r="A2013" s="12">
        <v>39820</v>
      </c>
      <c r="B2013" s="9">
        <v>704.7</v>
      </c>
      <c r="C2013" s="9">
        <v>694.51</v>
      </c>
      <c r="D2013" s="9">
        <v>701.41</v>
      </c>
      <c r="E2013" s="9">
        <f t="shared" si="94"/>
        <v>1.0966515433158642E-2</v>
      </c>
      <c r="F2013" s="45">
        <f t="shared" si="92"/>
        <v>0.11155611657607403</v>
      </c>
      <c r="G2013" s="9">
        <f t="shared" si="93"/>
        <v>3.5334685971709981E-2</v>
      </c>
    </row>
    <row r="2014" spans="1:7" x14ac:dyDescent="0.2">
      <c r="A2014" s="12">
        <v>39821</v>
      </c>
      <c r="B2014" s="9">
        <v>700.15</v>
      </c>
      <c r="C2014" s="9">
        <v>684.42</v>
      </c>
      <c r="D2014" s="9">
        <v>695.95</v>
      </c>
      <c r="E2014" s="9">
        <f t="shared" si="94"/>
        <v>-7.8147761309210802E-3</v>
      </c>
      <c r="F2014" s="45">
        <f t="shared" si="92"/>
        <v>0.15819649951207754</v>
      </c>
      <c r="G2014" s="9">
        <f t="shared" si="93"/>
        <v>3.367388657867422E-2</v>
      </c>
    </row>
    <row r="2015" spans="1:7" x14ac:dyDescent="0.2">
      <c r="A2015" s="12">
        <v>39822</v>
      </c>
      <c r="B2015" s="9">
        <v>695.7</v>
      </c>
      <c r="C2015" s="9">
        <v>683.08</v>
      </c>
      <c r="D2015" s="9">
        <v>685.83</v>
      </c>
      <c r="E2015" s="9">
        <f t="shared" si="94"/>
        <v>-1.4648035069420228E-2</v>
      </c>
      <c r="F2015" s="45">
        <f t="shared" si="92"/>
        <v>0.1543961546460558</v>
      </c>
      <c r="G2015" s="9">
        <f t="shared" si="93"/>
        <v>3.3743699127638582E-2</v>
      </c>
    </row>
    <row r="2016" spans="1:7" x14ac:dyDescent="0.2">
      <c r="A2016" s="12">
        <v>39825</v>
      </c>
      <c r="B2016" s="9">
        <v>684.95</v>
      </c>
      <c r="C2016" s="9">
        <v>666.01</v>
      </c>
      <c r="D2016" s="9">
        <v>667.97</v>
      </c>
      <c r="E2016" s="9">
        <f t="shared" si="94"/>
        <v>-2.6386521255476664E-2</v>
      </c>
      <c r="F2016" s="45">
        <f t="shared" si="92"/>
        <v>0.16280869917694721</v>
      </c>
      <c r="G2016" s="9">
        <f t="shared" si="93"/>
        <v>3.3433827191487062E-2</v>
      </c>
    </row>
    <row r="2017" spans="1:7" x14ac:dyDescent="0.2">
      <c r="A2017" s="12">
        <v>39826</v>
      </c>
      <c r="B2017" s="9">
        <v>667.09</v>
      </c>
      <c r="C2017" s="9">
        <v>649.01</v>
      </c>
      <c r="D2017" s="9">
        <v>656.62</v>
      </c>
      <c r="E2017" s="9">
        <f t="shared" si="94"/>
        <v>-1.7137797799742997E-2</v>
      </c>
      <c r="F2017" s="45">
        <f t="shared" ref="F2017:F2080" si="95">LN(D2017/D1987)</f>
        <v>4.7020539018695642E-2</v>
      </c>
      <c r="G2017" s="9">
        <f t="shared" ref="G2017:G2080" si="96">STDEV(E1988:E2017)</f>
        <v>2.8640742253031096E-2</v>
      </c>
    </row>
    <row r="2018" spans="1:7" x14ac:dyDescent="0.2">
      <c r="A2018" s="12">
        <v>39827</v>
      </c>
      <c r="B2018" s="9">
        <v>662.58</v>
      </c>
      <c r="C2018" s="9">
        <v>619.01</v>
      </c>
      <c r="D2018" s="9">
        <v>622.59</v>
      </c>
      <c r="E2018" s="9">
        <f t="shared" si="94"/>
        <v>-5.3217268347091035E-2</v>
      </c>
      <c r="F2018" s="45">
        <f t="shared" si="95"/>
        <v>-1.8192303479315716E-2</v>
      </c>
      <c r="G2018" s="9">
        <f t="shared" si="96"/>
        <v>3.0251429686689302E-2</v>
      </c>
    </row>
    <row r="2019" spans="1:7" x14ac:dyDescent="0.2">
      <c r="A2019" s="12">
        <v>39828</v>
      </c>
      <c r="B2019" s="9">
        <v>634.01</v>
      </c>
      <c r="C2019" s="9">
        <v>611.39</v>
      </c>
      <c r="D2019" s="9">
        <v>620.32000000000005</v>
      </c>
      <c r="E2019" s="9">
        <f t="shared" si="94"/>
        <v>-3.6527222790596033E-3</v>
      </c>
      <c r="F2019" s="45">
        <f t="shared" si="95"/>
        <v>-1.3673182487521925E-2</v>
      </c>
      <c r="G2019" s="9">
        <f t="shared" si="96"/>
        <v>3.022369727665861E-2</v>
      </c>
    </row>
    <row r="2020" spans="1:7" x14ac:dyDescent="0.2">
      <c r="A2020" s="12">
        <v>39829</v>
      </c>
      <c r="B2020" s="9">
        <v>636.79999999999995</v>
      </c>
      <c r="C2020" s="9">
        <v>621.20000000000005</v>
      </c>
      <c r="D2020" s="9">
        <v>628.69000000000005</v>
      </c>
      <c r="E2020" s="9">
        <f t="shared" si="94"/>
        <v>1.3402815502454845E-2</v>
      </c>
      <c r="F2020" s="45">
        <f t="shared" si="95"/>
        <v>-2.640241260839547E-2</v>
      </c>
      <c r="G2020" s="9">
        <f t="shared" si="96"/>
        <v>2.9925442817907769E-2</v>
      </c>
    </row>
    <row r="2021" spans="1:7" x14ac:dyDescent="0.2">
      <c r="A2021" s="12">
        <v>39832</v>
      </c>
      <c r="B2021" s="9">
        <v>638.61</v>
      </c>
      <c r="C2021" s="9">
        <v>614.1</v>
      </c>
      <c r="D2021" s="9">
        <v>621.79999999999995</v>
      </c>
      <c r="E2021" s="9">
        <f t="shared" si="94"/>
        <v>-1.1019791800420661E-2</v>
      </c>
      <c r="F2021" s="45">
        <f t="shared" si="95"/>
        <v>-3.1564739613292529E-2</v>
      </c>
      <c r="G2021" s="9">
        <f t="shared" si="96"/>
        <v>2.9969860019791846E-2</v>
      </c>
    </row>
    <row r="2022" spans="1:7" x14ac:dyDescent="0.2">
      <c r="A2022" s="12">
        <v>39833</v>
      </c>
      <c r="B2022" s="9">
        <v>627.41999999999996</v>
      </c>
      <c r="C2022" s="9">
        <v>595</v>
      </c>
      <c r="D2022" s="9">
        <v>597.76</v>
      </c>
      <c r="E2022" s="9">
        <f t="shared" si="94"/>
        <v>-3.9429162024230226E-2</v>
      </c>
      <c r="F2022" s="45">
        <f t="shared" si="95"/>
        <v>-1.5487714649357465E-2</v>
      </c>
      <c r="G2022" s="9">
        <f t="shared" si="96"/>
        <v>2.9093499838026744E-2</v>
      </c>
    </row>
    <row r="2023" spans="1:7" x14ac:dyDescent="0.2">
      <c r="A2023" s="12">
        <v>39834</v>
      </c>
      <c r="B2023" s="9">
        <v>620.49</v>
      </c>
      <c r="C2023" s="9">
        <v>591.54</v>
      </c>
      <c r="D2023" s="9">
        <v>615.11</v>
      </c>
      <c r="E2023" s="9">
        <f t="shared" si="94"/>
        <v>2.8611778000849984E-2</v>
      </c>
      <c r="F2023" s="45">
        <f t="shared" si="95"/>
        <v>-3.440323307734533E-2</v>
      </c>
      <c r="G2023" s="9">
        <f t="shared" si="96"/>
        <v>2.8207881682720298E-2</v>
      </c>
    </row>
    <row r="2024" spans="1:7" x14ac:dyDescent="0.2">
      <c r="A2024" s="12">
        <v>39835</v>
      </c>
      <c r="B2024" s="9">
        <v>628.03</v>
      </c>
      <c r="C2024" s="9">
        <v>606.19000000000005</v>
      </c>
      <c r="D2024" s="9">
        <v>608.73</v>
      </c>
      <c r="E2024" s="9">
        <f t="shared" si="94"/>
        <v>-1.042629395363049E-2</v>
      </c>
      <c r="F2024" s="45">
        <f t="shared" si="95"/>
        <v>-5.579581673131518E-2</v>
      </c>
      <c r="G2024" s="9">
        <f t="shared" si="96"/>
        <v>2.8161468838407807E-2</v>
      </c>
    </row>
    <row r="2025" spans="1:7" x14ac:dyDescent="0.2">
      <c r="A2025" s="12">
        <v>39836</v>
      </c>
      <c r="B2025" s="9">
        <v>610.54</v>
      </c>
      <c r="C2025" s="9">
        <v>591.30999999999995</v>
      </c>
      <c r="D2025" s="9">
        <v>604.12</v>
      </c>
      <c r="E2025" s="9">
        <f t="shared" si="94"/>
        <v>-7.6019659495017494E-3</v>
      </c>
      <c r="F2025" s="45">
        <f t="shared" si="95"/>
        <v>-5.8304512062024888E-2</v>
      </c>
      <c r="G2025" s="9">
        <f t="shared" si="96"/>
        <v>2.8175122638777077E-2</v>
      </c>
    </row>
    <row r="2026" spans="1:7" x14ac:dyDescent="0.2">
      <c r="A2026" s="12">
        <v>39839</v>
      </c>
      <c r="B2026" s="9">
        <v>625.20000000000005</v>
      </c>
      <c r="C2026" s="9">
        <v>600.04999999999995</v>
      </c>
      <c r="D2026" s="9">
        <v>623.25</v>
      </c>
      <c r="E2026" s="9">
        <f t="shared" si="94"/>
        <v>3.1174868705526416E-2</v>
      </c>
      <c r="F2026" s="45">
        <f t="shared" si="95"/>
        <v>2.3720762486696391E-2</v>
      </c>
      <c r="G2026" s="9">
        <f t="shared" si="96"/>
        <v>2.7229519511367005E-2</v>
      </c>
    </row>
    <row r="2027" spans="1:7" x14ac:dyDescent="0.2">
      <c r="A2027" s="12">
        <v>39840</v>
      </c>
      <c r="B2027" s="9">
        <v>625</v>
      </c>
      <c r="C2027" s="9">
        <v>610.53</v>
      </c>
      <c r="D2027" s="9">
        <v>624.04999999999995</v>
      </c>
      <c r="E2027" s="9">
        <f t="shared" si="94"/>
        <v>1.2827709607953017E-3</v>
      </c>
      <c r="F2027" s="45">
        <f t="shared" si="95"/>
        <v>-6.603467719700476E-2</v>
      </c>
      <c r="G2027" s="9">
        <f t="shared" si="96"/>
        <v>2.1244916759246134E-2</v>
      </c>
    </row>
    <row r="2028" spans="1:7" x14ac:dyDescent="0.2">
      <c r="A2028" s="12">
        <v>39841</v>
      </c>
      <c r="B2028" s="9">
        <v>643.29999999999995</v>
      </c>
      <c r="C2028" s="9">
        <v>625.04999999999995</v>
      </c>
      <c r="D2028" s="9">
        <v>639.29</v>
      </c>
      <c r="E2028" s="9">
        <f t="shared" si="94"/>
        <v>2.4127692177323176E-2</v>
      </c>
      <c r="F2028" s="45">
        <f t="shared" si="95"/>
        <v>-6.9673603513845536E-2</v>
      </c>
      <c r="G2028" s="9">
        <f t="shared" si="96"/>
        <v>2.1077645865064002E-2</v>
      </c>
    </row>
    <row r="2029" spans="1:7" x14ac:dyDescent="0.2">
      <c r="A2029" s="12">
        <v>39842</v>
      </c>
      <c r="B2029" s="9">
        <v>639.41999999999996</v>
      </c>
      <c r="C2029" s="9">
        <v>614.25</v>
      </c>
      <c r="D2029" s="9">
        <v>616.1</v>
      </c>
      <c r="E2029" s="9">
        <f t="shared" si="94"/>
        <v>-3.69488975212608E-2</v>
      </c>
      <c r="F2029" s="45">
        <f t="shared" si="95"/>
        <v>-0.1108590860797608</v>
      </c>
      <c r="G2029" s="9">
        <f t="shared" si="96"/>
        <v>2.1958562604785289E-2</v>
      </c>
    </row>
    <row r="2030" spans="1:7" x14ac:dyDescent="0.2">
      <c r="A2030" s="12">
        <v>39843</v>
      </c>
      <c r="B2030" s="9">
        <v>627.61</v>
      </c>
      <c r="C2030" s="9">
        <v>613.16</v>
      </c>
      <c r="D2030" s="9">
        <v>617.38</v>
      </c>
      <c r="E2030" s="9">
        <f t="shared" si="94"/>
        <v>2.075429612894922E-3</v>
      </c>
      <c r="F2030" s="45">
        <f t="shared" si="95"/>
        <v>-9.1861539394536035E-2</v>
      </c>
      <c r="G2030" s="9">
        <f t="shared" si="96"/>
        <v>2.1837565065571198E-2</v>
      </c>
    </row>
    <row r="2031" spans="1:7" x14ac:dyDescent="0.2">
      <c r="A2031" s="12">
        <v>39846</v>
      </c>
      <c r="B2031" s="9">
        <v>617.5</v>
      </c>
      <c r="C2031" s="9">
        <v>595.62</v>
      </c>
      <c r="D2031" s="9">
        <v>602.08000000000004</v>
      </c>
      <c r="E2031" s="9">
        <f t="shared" si="94"/>
        <v>-2.5094390788292811E-2</v>
      </c>
      <c r="F2031" s="45">
        <f t="shared" si="95"/>
        <v>-9.154643194935376E-2</v>
      </c>
      <c r="G2031" s="9">
        <f t="shared" si="96"/>
        <v>2.1826518575705636E-2</v>
      </c>
    </row>
    <row r="2032" spans="1:7" x14ac:dyDescent="0.2">
      <c r="A2032" s="12">
        <v>39847</v>
      </c>
      <c r="B2032" s="9">
        <v>623.64</v>
      </c>
      <c r="C2032" s="9">
        <v>597.70000000000005</v>
      </c>
      <c r="D2032" s="9">
        <v>622.74</v>
      </c>
      <c r="E2032" s="9">
        <f t="shared" si="94"/>
        <v>3.3738769360125549E-2</v>
      </c>
      <c r="F2032" s="45">
        <f t="shared" si="95"/>
        <v>-4.4657005480725903E-2</v>
      </c>
      <c r="G2032" s="9">
        <f t="shared" si="96"/>
        <v>2.2738209241114533E-2</v>
      </c>
    </row>
    <row r="2033" spans="1:7" x14ac:dyDescent="0.2">
      <c r="A2033" s="12">
        <v>39848</v>
      </c>
      <c r="B2033" s="9">
        <v>649.28</v>
      </c>
      <c r="C2033" s="9">
        <v>620.66999999999996</v>
      </c>
      <c r="D2033" s="9">
        <v>644.71</v>
      </c>
      <c r="E2033" s="9">
        <f t="shared" si="94"/>
        <v>3.4671507081455846E-2</v>
      </c>
      <c r="F2033" s="45">
        <f t="shared" si="95"/>
        <v>-3.398944262891531E-2</v>
      </c>
      <c r="G2033" s="9">
        <f t="shared" si="96"/>
        <v>2.3228733856680769E-2</v>
      </c>
    </row>
    <row r="2034" spans="1:7" x14ac:dyDescent="0.2">
      <c r="A2034" s="12">
        <v>39849</v>
      </c>
      <c r="B2034" s="9">
        <v>644</v>
      </c>
      <c r="C2034" s="9">
        <v>627.67999999999995</v>
      </c>
      <c r="D2034" s="9">
        <v>643.20000000000005</v>
      </c>
      <c r="E2034" s="9">
        <f t="shared" si="94"/>
        <v>-2.3448854219517237E-3</v>
      </c>
      <c r="F2034" s="45">
        <f t="shared" si="95"/>
        <v>-3.2338348752507157E-2</v>
      </c>
      <c r="G2034" s="9">
        <f t="shared" si="96"/>
        <v>2.3223672008390761E-2</v>
      </c>
    </row>
    <row r="2035" spans="1:7" x14ac:dyDescent="0.2">
      <c r="A2035" s="12">
        <v>39850</v>
      </c>
      <c r="B2035" s="9">
        <v>673.65</v>
      </c>
      <c r="C2035" s="9">
        <v>642.45000000000005</v>
      </c>
      <c r="D2035" s="9">
        <v>670.54</v>
      </c>
      <c r="E2035" s="9">
        <f t="shared" si="94"/>
        <v>4.1627640049978779E-2</v>
      </c>
      <c r="F2035" s="45">
        <f t="shared" si="95"/>
        <v>-2.561812541971872E-3</v>
      </c>
      <c r="G2035" s="9">
        <f t="shared" si="96"/>
        <v>2.4401724964592825E-2</v>
      </c>
    </row>
    <row r="2036" spans="1:7" x14ac:dyDescent="0.2">
      <c r="A2036" s="12">
        <v>39853</v>
      </c>
      <c r="B2036" s="9">
        <v>690.51</v>
      </c>
      <c r="C2036" s="9">
        <v>663.79</v>
      </c>
      <c r="D2036" s="9">
        <v>688.42</v>
      </c>
      <c r="E2036" s="9">
        <f t="shared" si="94"/>
        <v>2.631575887685695E-2</v>
      </c>
      <c r="F2036" s="45">
        <f t="shared" si="95"/>
        <v>3.6147088250717163E-2</v>
      </c>
      <c r="G2036" s="9">
        <f t="shared" si="96"/>
        <v>2.4749416910384507E-2</v>
      </c>
    </row>
    <row r="2037" spans="1:7" x14ac:dyDescent="0.2">
      <c r="A2037" s="12">
        <v>39854</v>
      </c>
      <c r="B2037" s="9">
        <v>687.13</v>
      </c>
      <c r="C2037" s="9">
        <v>672.78</v>
      </c>
      <c r="D2037" s="9">
        <v>676.48</v>
      </c>
      <c r="E2037" s="9">
        <f t="shared" si="94"/>
        <v>-1.7496233549774226E-2</v>
      </c>
      <c r="F2037" s="45">
        <f t="shared" si="95"/>
        <v>3.1306277809564534E-2</v>
      </c>
      <c r="G2037" s="9">
        <f t="shared" si="96"/>
        <v>2.4858439375731501E-2</v>
      </c>
    </row>
    <row r="2038" spans="1:7" x14ac:dyDescent="0.2">
      <c r="A2038" s="12">
        <v>39855</v>
      </c>
      <c r="B2038" s="9">
        <v>684.23</v>
      </c>
      <c r="C2038" s="9">
        <v>665.34</v>
      </c>
      <c r="D2038" s="9">
        <v>676.35</v>
      </c>
      <c r="E2038" s="9">
        <f t="shared" si="94"/>
        <v>-1.9218970661523751E-4</v>
      </c>
      <c r="F2038" s="45">
        <f t="shared" si="95"/>
        <v>2.5714055206027497E-2</v>
      </c>
      <c r="G2038" s="9">
        <f t="shared" si="96"/>
        <v>2.4845608668041166E-2</v>
      </c>
    </row>
    <row r="2039" spans="1:7" x14ac:dyDescent="0.2">
      <c r="A2039" s="12">
        <v>39856</v>
      </c>
      <c r="B2039" s="9">
        <v>676.06</v>
      </c>
      <c r="C2039" s="9">
        <v>657.99</v>
      </c>
      <c r="D2039" s="9">
        <v>672.86</v>
      </c>
      <c r="E2039" s="9">
        <f t="shared" si="94"/>
        <v>-5.1734093045671063E-3</v>
      </c>
      <c r="F2039" s="45">
        <f t="shared" si="95"/>
        <v>2.3442391262397978E-2</v>
      </c>
      <c r="G2039" s="9">
        <f t="shared" si="96"/>
        <v>2.4860916634328555E-2</v>
      </c>
    </row>
    <row r="2040" spans="1:7" x14ac:dyDescent="0.2">
      <c r="A2040" s="12">
        <v>39857</v>
      </c>
      <c r="B2040" s="9">
        <v>685.48</v>
      </c>
      <c r="C2040" s="9">
        <v>673.36</v>
      </c>
      <c r="D2040" s="9">
        <v>677.7</v>
      </c>
      <c r="E2040" s="9">
        <f t="shared" si="94"/>
        <v>7.167427911431659E-3</v>
      </c>
      <c r="F2040" s="45">
        <f t="shared" si="95"/>
        <v>2.2940790983656343E-2</v>
      </c>
      <c r="G2040" s="9">
        <f t="shared" si="96"/>
        <v>2.4856292936490366E-2</v>
      </c>
    </row>
    <row r="2041" spans="1:7" x14ac:dyDescent="0.2">
      <c r="A2041" s="12">
        <v>39860</v>
      </c>
      <c r="B2041" s="9">
        <v>686.66</v>
      </c>
      <c r="C2041" s="9">
        <v>671.87</v>
      </c>
      <c r="D2041" s="9">
        <v>681.61</v>
      </c>
      <c r="E2041" s="9">
        <f t="shared" si="94"/>
        <v>5.7529346269176362E-3</v>
      </c>
      <c r="F2041" s="45">
        <f t="shared" si="95"/>
        <v>-1.7697260599940413E-2</v>
      </c>
      <c r="G2041" s="9">
        <f t="shared" si="96"/>
        <v>2.334545603597768E-2</v>
      </c>
    </row>
    <row r="2042" spans="1:7" x14ac:dyDescent="0.2">
      <c r="A2042" s="12">
        <v>39861</v>
      </c>
      <c r="B2042" s="9">
        <v>680.73</v>
      </c>
      <c r="C2042" s="9">
        <v>645.36</v>
      </c>
      <c r="D2042" s="9">
        <v>647.84</v>
      </c>
      <c r="E2042" s="9">
        <f t="shared" si="94"/>
        <v>-5.0813894485133931E-2</v>
      </c>
      <c r="F2042" s="45">
        <f t="shared" si="95"/>
        <v>-6.8482327087320966E-2</v>
      </c>
      <c r="G2042" s="9">
        <f t="shared" si="96"/>
        <v>2.5080190273375616E-2</v>
      </c>
    </row>
    <row r="2043" spans="1:7" x14ac:dyDescent="0.2">
      <c r="A2043" s="12">
        <v>39862</v>
      </c>
      <c r="B2043" s="9">
        <v>655.74</v>
      </c>
      <c r="C2043" s="9">
        <v>636.07000000000005</v>
      </c>
      <c r="D2043" s="9">
        <v>653.24</v>
      </c>
      <c r="E2043" s="9">
        <f t="shared" si="94"/>
        <v>8.300843924691572E-3</v>
      </c>
      <c r="F2043" s="45">
        <f t="shared" si="95"/>
        <v>-7.1147998595788145E-2</v>
      </c>
      <c r="G2043" s="9">
        <f t="shared" si="96"/>
        <v>2.5036314987697521E-2</v>
      </c>
    </row>
    <row r="2044" spans="1:7" x14ac:dyDescent="0.2">
      <c r="A2044" s="12">
        <v>39863</v>
      </c>
      <c r="B2044" s="9">
        <v>663.79</v>
      </c>
      <c r="C2044" s="9">
        <v>646.11</v>
      </c>
      <c r="D2044" s="9">
        <v>662.45</v>
      </c>
      <c r="E2044" s="9">
        <f t="shared" si="94"/>
        <v>1.4000487105589619E-2</v>
      </c>
      <c r="F2044" s="45">
        <f t="shared" si="95"/>
        <v>-4.9332735359277388E-2</v>
      </c>
      <c r="G2044" s="9">
        <f t="shared" si="96"/>
        <v>2.5189111304375504E-2</v>
      </c>
    </row>
    <row r="2045" spans="1:7" x14ac:dyDescent="0.2">
      <c r="A2045" s="12">
        <v>39864</v>
      </c>
      <c r="B2045" s="9">
        <v>661.19</v>
      </c>
      <c r="C2045" s="9">
        <v>635.92999999999995</v>
      </c>
      <c r="D2045" s="9">
        <v>636.14</v>
      </c>
      <c r="E2045" s="9">
        <f t="shared" si="94"/>
        <v>-4.0526418411972555E-2</v>
      </c>
      <c r="F2045" s="45">
        <f t="shared" si="95"/>
        <v>-7.5211118701829741E-2</v>
      </c>
      <c r="G2045" s="9">
        <f t="shared" si="96"/>
        <v>2.6077233470506968E-2</v>
      </c>
    </row>
    <row r="2046" spans="1:7" x14ac:dyDescent="0.2">
      <c r="A2046" s="12">
        <v>39867</v>
      </c>
      <c r="B2046" s="9">
        <v>646.82000000000005</v>
      </c>
      <c r="C2046" s="9">
        <v>617.79999999999995</v>
      </c>
      <c r="D2046" s="9">
        <v>619.13</v>
      </c>
      <c r="E2046" s="9">
        <f t="shared" si="94"/>
        <v>-2.7103398112780133E-2</v>
      </c>
      <c r="F2046" s="45">
        <f t="shared" si="95"/>
        <v>-7.5927995559133238E-2</v>
      </c>
      <c r="G2046" s="9">
        <f t="shared" si="96"/>
        <v>2.6100188359498087E-2</v>
      </c>
    </row>
    <row r="2047" spans="1:7" x14ac:dyDescent="0.2">
      <c r="A2047" s="12">
        <v>39868</v>
      </c>
      <c r="B2047" s="9">
        <v>629.11</v>
      </c>
      <c r="C2047" s="9">
        <v>608.57000000000005</v>
      </c>
      <c r="D2047" s="9">
        <v>617.95000000000005</v>
      </c>
      <c r="E2047" s="9">
        <f t="shared" ref="E2047:E2110" si="97">LN(D2047/D2046)</f>
        <v>-1.9077187536349759E-3</v>
      </c>
      <c r="F2047" s="45">
        <f t="shared" si="95"/>
        <v>-6.0697916513025141E-2</v>
      </c>
      <c r="G2047" s="9">
        <f t="shared" si="96"/>
        <v>2.5953985275276439E-2</v>
      </c>
    </row>
    <row r="2048" spans="1:7" x14ac:dyDescent="0.2">
      <c r="A2048" s="12">
        <v>39869</v>
      </c>
      <c r="B2048" s="9">
        <v>633.70000000000005</v>
      </c>
      <c r="C2048" s="9">
        <v>615.88</v>
      </c>
      <c r="D2048" s="9">
        <v>617.4</v>
      </c>
      <c r="E2048" s="9">
        <f t="shared" si="97"/>
        <v>-8.9043596768566648E-4</v>
      </c>
      <c r="F2048" s="45">
        <f t="shared" si="95"/>
        <v>-8.3710841336198209E-3</v>
      </c>
      <c r="G2048" s="9">
        <f t="shared" si="96"/>
        <v>2.4085951329246406E-2</v>
      </c>
    </row>
    <row r="2049" spans="1:7" x14ac:dyDescent="0.2">
      <c r="A2049" s="12">
        <v>39870</v>
      </c>
      <c r="B2049" s="9">
        <v>646.4</v>
      </c>
      <c r="C2049" s="9">
        <v>618.53</v>
      </c>
      <c r="D2049" s="9">
        <v>643.94000000000005</v>
      </c>
      <c r="E2049" s="9">
        <f t="shared" si="97"/>
        <v>4.2088441994051637E-2</v>
      </c>
      <c r="F2049" s="45">
        <f t="shared" si="95"/>
        <v>3.7370080139491293E-2</v>
      </c>
      <c r="G2049" s="9">
        <f t="shared" si="96"/>
        <v>2.5283044702238754E-2</v>
      </c>
    </row>
    <row r="2050" spans="1:7" x14ac:dyDescent="0.2">
      <c r="A2050" s="12">
        <v>39871</v>
      </c>
      <c r="B2050" s="9">
        <v>643.05999999999995</v>
      </c>
      <c r="C2050" s="9">
        <v>629.70000000000005</v>
      </c>
      <c r="D2050" s="9">
        <v>640.39</v>
      </c>
      <c r="E2050" s="9">
        <f t="shared" si="97"/>
        <v>-5.5281883019446983E-3</v>
      </c>
      <c r="F2050" s="45">
        <f t="shared" si="95"/>
        <v>1.8439076335091856E-2</v>
      </c>
      <c r="G2050" s="9">
        <f t="shared" si="96"/>
        <v>2.520528200026502E-2</v>
      </c>
    </row>
    <row r="2051" spans="1:7" x14ac:dyDescent="0.2">
      <c r="A2051" s="12">
        <v>39874</v>
      </c>
      <c r="B2051" s="9">
        <v>638.63</v>
      </c>
      <c r="C2051" s="9">
        <v>615.37</v>
      </c>
      <c r="D2051" s="9">
        <v>619.27</v>
      </c>
      <c r="E2051" s="9">
        <f t="shared" si="97"/>
        <v>-3.3536000778608695E-2</v>
      </c>
      <c r="F2051" s="45">
        <f t="shared" si="95"/>
        <v>-4.0771326430962783E-3</v>
      </c>
      <c r="G2051" s="9">
        <f t="shared" si="96"/>
        <v>2.5889611639905372E-2</v>
      </c>
    </row>
    <row r="2052" spans="1:7" x14ac:dyDescent="0.2">
      <c r="A2052" s="12">
        <v>39875</v>
      </c>
      <c r="B2052" s="9">
        <v>623.51</v>
      </c>
      <c r="C2052" s="9">
        <v>602.66</v>
      </c>
      <c r="D2052" s="9">
        <v>604.30999999999995</v>
      </c>
      <c r="E2052" s="9">
        <f t="shared" si="97"/>
        <v>-2.4454053678812569E-2</v>
      </c>
      <c r="F2052" s="45">
        <f t="shared" si="95"/>
        <v>1.0897975702321443E-2</v>
      </c>
      <c r="G2052" s="9">
        <f t="shared" si="96"/>
        <v>2.5242154736400041E-2</v>
      </c>
    </row>
    <row r="2053" spans="1:7" x14ac:dyDescent="0.2">
      <c r="A2053" s="12">
        <v>39876</v>
      </c>
      <c r="B2053" s="9">
        <v>630.23</v>
      </c>
      <c r="C2053" s="9">
        <v>604.67999999999995</v>
      </c>
      <c r="D2053" s="9">
        <v>630.23</v>
      </c>
      <c r="E2053" s="9">
        <f t="shared" si="97"/>
        <v>4.199752082265696E-2</v>
      </c>
      <c r="F2053" s="45">
        <f t="shared" si="95"/>
        <v>2.4283718524128368E-2</v>
      </c>
      <c r="G2053" s="9">
        <f t="shared" si="96"/>
        <v>2.5869223520376676E-2</v>
      </c>
    </row>
    <row r="2054" spans="1:7" x14ac:dyDescent="0.2">
      <c r="A2054" s="12">
        <v>39877</v>
      </c>
      <c r="B2054" s="9">
        <v>629.98</v>
      </c>
      <c r="C2054" s="9">
        <v>605.4</v>
      </c>
      <c r="D2054" s="9">
        <v>608.98</v>
      </c>
      <c r="E2054" s="9">
        <f t="shared" si="97"/>
        <v>-3.4299405677268767E-2</v>
      </c>
      <c r="F2054" s="45">
        <f t="shared" si="95"/>
        <v>4.1060680049016059E-4</v>
      </c>
      <c r="G2054" s="9">
        <f t="shared" si="96"/>
        <v>2.658407461957139E-2</v>
      </c>
    </row>
    <row r="2055" spans="1:7" x14ac:dyDescent="0.2">
      <c r="A2055" s="12">
        <v>39878</v>
      </c>
      <c r="B2055" s="9">
        <v>617.34</v>
      </c>
      <c r="C2055" s="9">
        <v>602.67999999999995</v>
      </c>
      <c r="D2055" s="9">
        <v>607.45000000000005</v>
      </c>
      <c r="E2055" s="9">
        <f t="shared" si="97"/>
        <v>-2.5155591473816166E-3</v>
      </c>
      <c r="F2055" s="45">
        <f t="shared" si="95"/>
        <v>5.4970136026104392E-3</v>
      </c>
      <c r="G2055" s="9">
        <f t="shared" si="96"/>
        <v>2.6550027086699013E-2</v>
      </c>
    </row>
    <row r="2056" spans="1:7" x14ac:dyDescent="0.2">
      <c r="A2056" s="12">
        <v>39881</v>
      </c>
      <c r="B2056" s="9">
        <v>615.77</v>
      </c>
      <c r="C2056" s="9">
        <v>593.28</v>
      </c>
      <c r="D2056" s="9">
        <v>615.54999999999995</v>
      </c>
      <c r="E2056" s="9">
        <f t="shared" si="97"/>
        <v>1.3246309792872717E-2</v>
      </c>
      <c r="F2056" s="45">
        <f t="shared" si="95"/>
        <v>-1.2431545310043318E-2</v>
      </c>
      <c r="G2056" s="9">
        <f t="shared" si="96"/>
        <v>2.6024963009552975E-2</v>
      </c>
    </row>
    <row r="2057" spans="1:7" x14ac:dyDescent="0.2">
      <c r="A2057" s="12">
        <v>39882</v>
      </c>
      <c r="B2057" s="9">
        <v>651.39</v>
      </c>
      <c r="C2057" s="9">
        <v>609.16999999999996</v>
      </c>
      <c r="D2057" s="9">
        <v>650.61</v>
      </c>
      <c r="E2057" s="9">
        <f t="shared" si="97"/>
        <v>5.5394207254801354E-2</v>
      </c>
      <c r="F2057" s="45">
        <f t="shared" si="95"/>
        <v>4.1679890983962527E-2</v>
      </c>
      <c r="G2057" s="9">
        <f t="shared" si="96"/>
        <v>2.7950559379637616E-2</v>
      </c>
    </row>
    <row r="2058" spans="1:7" x14ac:dyDescent="0.2">
      <c r="A2058" s="12">
        <v>39883</v>
      </c>
      <c r="B2058" s="9">
        <v>671.13</v>
      </c>
      <c r="C2058" s="9">
        <v>642.64</v>
      </c>
      <c r="D2058" s="9">
        <v>666.58</v>
      </c>
      <c r="E2058" s="9">
        <f t="shared" si="97"/>
        <v>2.4249778074815098E-2</v>
      </c>
      <c r="F2058" s="45">
        <f t="shared" si="95"/>
        <v>4.1801976881454553E-2</v>
      </c>
      <c r="G2058" s="9">
        <f t="shared" si="96"/>
        <v>2.7953992864088721E-2</v>
      </c>
    </row>
    <row r="2059" spans="1:7" x14ac:dyDescent="0.2">
      <c r="A2059" s="12">
        <v>39884</v>
      </c>
      <c r="B2059" s="9">
        <v>669.81</v>
      </c>
      <c r="C2059" s="9">
        <v>649.30999999999995</v>
      </c>
      <c r="D2059" s="9">
        <v>667.65</v>
      </c>
      <c r="E2059" s="9">
        <f t="shared" si="97"/>
        <v>1.603921706732607E-3</v>
      </c>
      <c r="F2059" s="45">
        <f t="shared" si="95"/>
        <v>8.0354796109447985E-2</v>
      </c>
      <c r="G2059" s="9">
        <f t="shared" si="96"/>
        <v>2.7000456189146406E-2</v>
      </c>
    </row>
    <row r="2060" spans="1:7" x14ac:dyDescent="0.2">
      <c r="A2060" s="12">
        <v>39885</v>
      </c>
      <c r="B2060" s="9">
        <v>685.33</v>
      </c>
      <c r="C2060" s="9">
        <v>652.58000000000004</v>
      </c>
      <c r="D2060" s="9">
        <v>659.31</v>
      </c>
      <c r="E2060" s="9">
        <f t="shared" si="97"/>
        <v>-1.2570250523743859E-2</v>
      </c>
      <c r="F2060" s="45">
        <f t="shared" si="95"/>
        <v>6.5709115972809068E-2</v>
      </c>
      <c r="G2060" s="9">
        <f t="shared" si="96"/>
        <v>2.7143758432184473E-2</v>
      </c>
    </row>
    <row r="2061" spans="1:7" x14ac:dyDescent="0.2">
      <c r="A2061" s="12">
        <v>39888</v>
      </c>
      <c r="B2061" s="9">
        <v>675.89</v>
      </c>
      <c r="C2061" s="9">
        <v>660.16</v>
      </c>
      <c r="D2061" s="9">
        <v>675.89</v>
      </c>
      <c r="E2061" s="9">
        <f t="shared" si="97"/>
        <v>2.483650730260013E-2</v>
      </c>
      <c r="F2061" s="45">
        <f t="shared" si="95"/>
        <v>0.11564001406370206</v>
      </c>
      <c r="G2061" s="9">
        <f t="shared" si="96"/>
        <v>2.6943118786174371E-2</v>
      </c>
    </row>
    <row r="2062" spans="1:7" x14ac:dyDescent="0.2">
      <c r="A2062" s="12">
        <v>39889</v>
      </c>
      <c r="B2062" s="9">
        <v>675.47</v>
      </c>
      <c r="C2062" s="9">
        <v>661.76</v>
      </c>
      <c r="D2062" s="9">
        <v>664.05</v>
      </c>
      <c r="E2062" s="9">
        <f t="shared" si="97"/>
        <v>-1.7672893062569618E-2</v>
      </c>
      <c r="F2062" s="45">
        <f t="shared" si="95"/>
        <v>6.4228351641006973E-2</v>
      </c>
      <c r="G2062" s="9">
        <f t="shared" si="96"/>
        <v>2.6609752444166024E-2</v>
      </c>
    </row>
    <row r="2063" spans="1:7" x14ac:dyDescent="0.2">
      <c r="A2063" s="12">
        <v>39890</v>
      </c>
      <c r="B2063" s="9">
        <v>675.57</v>
      </c>
      <c r="C2063" s="9">
        <v>655.66</v>
      </c>
      <c r="D2063" s="9">
        <v>662.76</v>
      </c>
      <c r="E2063" s="9">
        <f t="shared" si="97"/>
        <v>-1.9445141451632038E-3</v>
      </c>
      <c r="F2063" s="45">
        <f t="shared" si="95"/>
        <v>2.7612330414388056E-2</v>
      </c>
      <c r="G2063" s="9">
        <f t="shared" si="96"/>
        <v>2.5896379216888806E-2</v>
      </c>
    </row>
    <row r="2064" spans="1:7" x14ac:dyDescent="0.2">
      <c r="A2064" s="12">
        <v>39891</v>
      </c>
      <c r="B2064" s="9">
        <v>689.96</v>
      </c>
      <c r="C2064" s="9">
        <v>658.99</v>
      </c>
      <c r="D2064" s="9">
        <v>679.58</v>
      </c>
      <c r="E2064" s="9">
        <f t="shared" si="97"/>
        <v>2.5062026587709781E-2</v>
      </c>
      <c r="F2064" s="45">
        <f t="shared" si="95"/>
        <v>5.50192424240495E-2</v>
      </c>
      <c r="G2064" s="9">
        <f t="shared" si="96"/>
        <v>2.6258114490075379E-2</v>
      </c>
    </row>
    <row r="2065" spans="1:7" x14ac:dyDescent="0.2">
      <c r="A2065" s="12">
        <v>39892</v>
      </c>
      <c r="B2065" s="9">
        <v>675.07</v>
      </c>
      <c r="C2065" s="9">
        <v>657.18</v>
      </c>
      <c r="D2065" s="9">
        <v>661.59</v>
      </c>
      <c r="E2065" s="9">
        <f t="shared" si="97"/>
        <v>-2.6828931566590608E-2</v>
      </c>
      <c r="F2065" s="45">
        <f t="shared" si="95"/>
        <v>-1.343732919251976E-2</v>
      </c>
      <c r="G2065" s="9">
        <f t="shared" si="96"/>
        <v>2.5648139710421541E-2</v>
      </c>
    </row>
    <row r="2066" spans="1:7" x14ac:dyDescent="0.2">
      <c r="A2066" s="12">
        <v>39895</v>
      </c>
      <c r="B2066" s="9">
        <v>670.5</v>
      </c>
      <c r="C2066" s="9">
        <v>652.42999999999995</v>
      </c>
      <c r="D2066" s="9">
        <v>667.98</v>
      </c>
      <c r="E2066" s="9">
        <f t="shared" si="97"/>
        <v>9.612204246455168E-3</v>
      </c>
      <c r="F2066" s="45">
        <f t="shared" si="95"/>
        <v>-3.0140883822921516E-2</v>
      </c>
      <c r="G2066" s="9">
        <f t="shared" si="96"/>
        <v>2.5224916971740261E-2</v>
      </c>
    </row>
    <row r="2067" spans="1:7" x14ac:dyDescent="0.2">
      <c r="A2067" s="12">
        <v>39896</v>
      </c>
      <c r="B2067" s="9">
        <v>678.4</v>
      </c>
      <c r="C2067" s="9">
        <v>652.19000000000005</v>
      </c>
      <c r="D2067" s="9">
        <v>654.12</v>
      </c>
      <c r="E2067" s="9">
        <f t="shared" si="97"/>
        <v>-2.0967412104481085E-2</v>
      </c>
      <c r="F2067" s="45">
        <f t="shared" si="95"/>
        <v>-3.3612062377628364E-2</v>
      </c>
      <c r="G2067" s="9">
        <f t="shared" si="96"/>
        <v>2.5310985918830412E-2</v>
      </c>
    </row>
    <row r="2068" spans="1:7" x14ac:dyDescent="0.2">
      <c r="A2068" s="12">
        <v>39897</v>
      </c>
      <c r="B2068" s="9">
        <v>672.04</v>
      </c>
      <c r="C2068" s="9">
        <v>646.16</v>
      </c>
      <c r="D2068" s="9">
        <v>665.76</v>
      </c>
      <c r="E2068" s="9">
        <f t="shared" si="97"/>
        <v>1.7638424370441344E-2</v>
      </c>
      <c r="F2068" s="45">
        <f t="shared" si="95"/>
        <v>-1.5781448300571738E-2</v>
      </c>
      <c r="G2068" s="9">
        <f t="shared" si="96"/>
        <v>2.5541830825473379E-2</v>
      </c>
    </row>
    <row r="2069" spans="1:7" x14ac:dyDescent="0.2">
      <c r="A2069" s="12">
        <v>39898</v>
      </c>
      <c r="B2069" s="9">
        <v>667.03</v>
      </c>
      <c r="C2069" s="9">
        <v>655.83</v>
      </c>
      <c r="D2069" s="9">
        <v>667.03</v>
      </c>
      <c r="E2069" s="9">
        <f t="shared" si="97"/>
        <v>1.9057771807790118E-3</v>
      </c>
      <c r="F2069" s="45">
        <f t="shared" si="95"/>
        <v>-8.7022618152256519E-3</v>
      </c>
      <c r="G2069" s="9">
        <f t="shared" si="96"/>
        <v>2.5530113287756614E-2</v>
      </c>
    </row>
    <row r="2070" spans="1:7" x14ac:dyDescent="0.2">
      <c r="A2070" s="12">
        <v>39899</v>
      </c>
      <c r="B2070" s="9">
        <v>668.93</v>
      </c>
      <c r="C2070" s="9">
        <v>653.17999999999995</v>
      </c>
      <c r="D2070" s="9">
        <v>655.59</v>
      </c>
      <c r="E2070" s="9">
        <f t="shared" si="97"/>
        <v>-1.7299428865239434E-2</v>
      </c>
      <c r="F2070" s="45">
        <f t="shared" si="95"/>
        <v>-3.3169118591896592E-2</v>
      </c>
      <c r="G2070" s="9">
        <f t="shared" si="96"/>
        <v>2.56740600096768E-2</v>
      </c>
    </row>
    <row r="2071" spans="1:7" x14ac:dyDescent="0.2">
      <c r="A2071" s="12">
        <v>39902</v>
      </c>
      <c r="B2071" s="9">
        <v>654</v>
      </c>
      <c r="C2071" s="9">
        <v>629.69000000000005</v>
      </c>
      <c r="D2071" s="9">
        <v>633.09</v>
      </c>
      <c r="E2071" s="9">
        <f t="shared" si="97"/>
        <v>-3.4923001417839508E-2</v>
      </c>
      <c r="F2071" s="45">
        <f t="shared" si="95"/>
        <v>-7.3845054636653709E-2</v>
      </c>
      <c r="G2071" s="9">
        <f t="shared" si="96"/>
        <v>2.6364151740599081E-2</v>
      </c>
    </row>
    <row r="2072" spans="1:7" x14ac:dyDescent="0.2">
      <c r="A2072" s="12">
        <v>39903</v>
      </c>
      <c r="B2072" s="9">
        <v>653.45000000000005</v>
      </c>
      <c r="C2072" s="9">
        <v>633.82000000000005</v>
      </c>
      <c r="D2072" s="9">
        <v>653.04</v>
      </c>
      <c r="E2072" s="9">
        <f t="shared" si="97"/>
        <v>3.1025791010769133E-2</v>
      </c>
      <c r="F2072" s="45">
        <f t="shared" si="95"/>
        <v>7.9946308592494051E-3</v>
      </c>
      <c r="G2072" s="9">
        <f t="shared" si="96"/>
        <v>2.5405113192820124E-2</v>
      </c>
    </row>
    <row r="2073" spans="1:7" x14ac:dyDescent="0.2">
      <c r="A2073" s="12">
        <v>39904</v>
      </c>
      <c r="B2073" s="9">
        <v>679.73</v>
      </c>
      <c r="C2073" s="9">
        <v>641.02</v>
      </c>
      <c r="D2073" s="9">
        <v>679.51</v>
      </c>
      <c r="E2073" s="9">
        <f t="shared" si="97"/>
        <v>3.9733567043266672E-2</v>
      </c>
      <c r="F2073" s="45">
        <f t="shared" si="95"/>
        <v>3.9427353977824729E-2</v>
      </c>
      <c r="G2073" s="9">
        <f t="shared" si="96"/>
        <v>2.6377458451642636E-2</v>
      </c>
    </row>
    <row r="2074" spans="1:7" x14ac:dyDescent="0.2">
      <c r="A2074" s="12">
        <v>39905</v>
      </c>
      <c r="B2074" s="9">
        <v>716.58</v>
      </c>
      <c r="C2074" s="9">
        <v>678.58</v>
      </c>
      <c r="D2074" s="9">
        <v>713.8</v>
      </c>
      <c r="E2074" s="9">
        <f t="shared" si="97"/>
        <v>4.9230860869692632E-2</v>
      </c>
      <c r="F2074" s="45">
        <f t="shared" si="95"/>
        <v>7.4657727741927735E-2</v>
      </c>
      <c r="G2074" s="9">
        <f t="shared" si="96"/>
        <v>2.7712208067794907E-2</v>
      </c>
    </row>
    <row r="2075" spans="1:7" x14ac:dyDescent="0.2">
      <c r="A2075" s="12">
        <v>39906</v>
      </c>
      <c r="B2075" s="9">
        <v>726.98</v>
      </c>
      <c r="C2075" s="9">
        <v>700.82</v>
      </c>
      <c r="D2075" s="9">
        <v>711.16</v>
      </c>
      <c r="E2075" s="9">
        <f t="shared" si="97"/>
        <v>-3.7053714076890954E-3</v>
      </c>
      <c r="F2075" s="45">
        <f t="shared" si="95"/>
        <v>0.11147877474621129</v>
      </c>
      <c r="G2075" s="9">
        <f t="shared" si="96"/>
        <v>2.6531639512562405E-2</v>
      </c>
    </row>
    <row r="2076" spans="1:7" x14ac:dyDescent="0.2">
      <c r="A2076" s="12">
        <v>39909</v>
      </c>
      <c r="B2076" s="9">
        <v>727.87</v>
      </c>
      <c r="C2076" s="9">
        <v>704.12</v>
      </c>
      <c r="D2076" s="9">
        <v>709.57</v>
      </c>
      <c r="E2076" s="9">
        <f t="shared" si="97"/>
        <v>-2.2382868860590641E-3</v>
      </c>
      <c r="F2076" s="45">
        <f t="shared" si="95"/>
        <v>0.13634388597293234</v>
      </c>
      <c r="G2076" s="9">
        <f t="shared" si="96"/>
        <v>2.5916923042450437E-2</v>
      </c>
    </row>
    <row r="2077" spans="1:7" x14ac:dyDescent="0.2">
      <c r="A2077" s="12">
        <v>39910</v>
      </c>
      <c r="B2077" s="9">
        <v>714.03</v>
      </c>
      <c r="C2077" s="9">
        <v>695.7</v>
      </c>
      <c r="D2077" s="9">
        <v>702.18</v>
      </c>
      <c r="E2077" s="9">
        <f t="shared" si="97"/>
        <v>-1.0469371347582013E-2</v>
      </c>
      <c r="F2077" s="45">
        <f t="shared" si="95"/>
        <v>0.12778223337898517</v>
      </c>
      <c r="G2077" s="9">
        <f t="shared" si="96"/>
        <v>2.6037285586754725E-2</v>
      </c>
    </row>
    <row r="2078" spans="1:7" x14ac:dyDescent="0.2">
      <c r="A2078" s="12">
        <v>39911</v>
      </c>
      <c r="B2078" s="9">
        <v>709.16</v>
      </c>
      <c r="C2078" s="9">
        <v>689.78</v>
      </c>
      <c r="D2078" s="9">
        <v>707.32</v>
      </c>
      <c r="E2078" s="9">
        <f t="shared" si="97"/>
        <v>7.2933987720468522E-3</v>
      </c>
      <c r="F2078" s="45">
        <f t="shared" si="95"/>
        <v>0.1359660681187177</v>
      </c>
      <c r="G2078" s="9">
        <f t="shared" si="96"/>
        <v>2.6024337870772338E-2</v>
      </c>
    </row>
    <row r="2079" spans="1:7" x14ac:dyDescent="0.2">
      <c r="A2079" s="12">
        <v>39912</v>
      </c>
      <c r="B2079" s="9">
        <v>718.13</v>
      </c>
      <c r="C2079" s="9">
        <v>707.68</v>
      </c>
      <c r="D2079" s="9">
        <v>717.66</v>
      </c>
      <c r="E2079" s="9">
        <f t="shared" si="97"/>
        <v>1.4512739102651715E-2</v>
      </c>
      <c r="F2079" s="45">
        <f t="shared" si="95"/>
        <v>0.10839036522731779</v>
      </c>
      <c r="G2079" s="9">
        <f t="shared" si="96"/>
        <v>2.5123495904229146E-2</v>
      </c>
    </row>
    <row r="2080" spans="1:7" x14ac:dyDescent="0.2">
      <c r="A2080" s="12">
        <v>39917</v>
      </c>
      <c r="B2080" s="9">
        <v>751.74</v>
      </c>
      <c r="C2080" s="9">
        <v>717.17</v>
      </c>
      <c r="D2080" s="9">
        <v>744.16</v>
      </c>
      <c r="E2080" s="9">
        <f t="shared" si="97"/>
        <v>3.6260146186358595E-2</v>
      </c>
      <c r="F2080" s="45">
        <f t="shared" si="95"/>
        <v>0.15017869971562109</v>
      </c>
      <c r="G2080" s="9">
        <f t="shared" si="96"/>
        <v>2.574984186769454E-2</v>
      </c>
    </row>
    <row r="2081" spans="1:7" x14ac:dyDescent="0.2">
      <c r="A2081" s="12">
        <v>39918</v>
      </c>
      <c r="B2081" s="9">
        <v>743.19</v>
      </c>
      <c r="C2081" s="9">
        <v>725.98</v>
      </c>
      <c r="D2081" s="9">
        <v>729.63</v>
      </c>
      <c r="E2081" s="9">
        <f t="shared" si="97"/>
        <v>-1.971850913995165E-2</v>
      </c>
      <c r="F2081" s="45">
        <f t="shared" ref="F2081:F2144" si="98">LN(D2081/D2051)</f>
        <v>0.16399619135427812</v>
      </c>
      <c r="G2081" s="9">
        <f t="shared" ref="G2081:G2144" si="99">STDEV(E2052:E2081)</f>
        <v>2.515334279121044E-2</v>
      </c>
    </row>
    <row r="2082" spans="1:7" x14ac:dyDescent="0.2">
      <c r="A2082" s="12">
        <v>39919</v>
      </c>
      <c r="B2082" s="9">
        <v>748.61</v>
      </c>
      <c r="C2082" s="9">
        <v>726.82</v>
      </c>
      <c r="D2082" s="9">
        <v>745.55</v>
      </c>
      <c r="E2082" s="9">
        <f t="shared" si="97"/>
        <v>2.1584644701081134E-2</v>
      </c>
      <c r="F2082" s="45">
        <f t="shared" si="98"/>
        <v>0.21003488973417192</v>
      </c>
      <c r="G2082" s="9">
        <f t="shared" si="99"/>
        <v>2.4664597199159245E-2</v>
      </c>
    </row>
    <row r="2083" spans="1:7" x14ac:dyDescent="0.2">
      <c r="A2083" s="12">
        <v>39920</v>
      </c>
      <c r="B2083" s="9">
        <v>771.44</v>
      </c>
      <c r="C2083" s="9">
        <v>747.01</v>
      </c>
      <c r="D2083" s="9">
        <v>767.75</v>
      </c>
      <c r="E2083" s="9">
        <f t="shared" si="97"/>
        <v>2.9341958284015375E-2</v>
      </c>
      <c r="F2083" s="45">
        <f t="shared" si="98"/>
        <v>0.19737932719553031</v>
      </c>
      <c r="G2083" s="9">
        <f t="shared" si="99"/>
        <v>2.4148217320021086E-2</v>
      </c>
    </row>
    <row r="2084" spans="1:7" x14ac:dyDescent="0.2">
      <c r="A2084" s="12">
        <v>39923</v>
      </c>
      <c r="B2084" s="9">
        <v>770.99</v>
      </c>
      <c r="C2084" s="9">
        <v>727.71</v>
      </c>
      <c r="D2084" s="9">
        <v>731.1</v>
      </c>
      <c r="E2084" s="9">
        <f t="shared" si="97"/>
        <v>-4.8913910021661434E-2</v>
      </c>
      <c r="F2084" s="45">
        <f t="shared" si="98"/>
        <v>0.18276482285113746</v>
      </c>
      <c r="G2084" s="9">
        <f t="shared" si="99"/>
        <v>2.5128815876881705E-2</v>
      </c>
    </row>
    <row r="2085" spans="1:7" x14ac:dyDescent="0.2">
      <c r="A2085" s="12">
        <v>39924</v>
      </c>
      <c r="B2085" s="9">
        <v>744.13</v>
      </c>
      <c r="C2085" s="9">
        <v>715.27</v>
      </c>
      <c r="D2085" s="9">
        <v>741.44</v>
      </c>
      <c r="E2085" s="9">
        <f t="shared" si="97"/>
        <v>1.404399194474114E-2</v>
      </c>
      <c r="F2085" s="45">
        <f t="shared" si="98"/>
        <v>0.19932437394326019</v>
      </c>
      <c r="G2085" s="9">
        <f t="shared" si="99"/>
        <v>2.5115088462962305E-2</v>
      </c>
    </row>
    <row r="2086" spans="1:7" x14ac:dyDescent="0.2">
      <c r="A2086" s="12">
        <v>39925</v>
      </c>
      <c r="B2086" s="9">
        <v>770.45</v>
      </c>
      <c r="C2086" s="9">
        <v>739.56</v>
      </c>
      <c r="D2086" s="9">
        <v>768.11</v>
      </c>
      <c r="E2086" s="9">
        <f t="shared" si="97"/>
        <v>3.5338710814009598E-2</v>
      </c>
      <c r="F2086" s="45">
        <f t="shared" si="98"/>
        <v>0.22141677496439727</v>
      </c>
      <c r="G2086" s="9">
        <f t="shared" si="99"/>
        <v>2.5633882977875447E-2</v>
      </c>
    </row>
    <row r="2087" spans="1:7" x14ac:dyDescent="0.2">
      <c r="A2087" s="12">
        <v>39926</v>
      </c>
      <c r="B2087" s="9">
        <v>774.95</v>
      </c>
      <c r="C2087" s="9">
        <v>751.55</v>
      </c>
      <c r="D2087" s="9">
        <v>772.79</v>
      </c>
      <c r="E2087" s="9">
        <f t="shared" si="97"/>
        <v>6.0743907979729098E-3</v>
      </c>
      <c r="F2087" s="45">
        <f t="shared" si="98"/>
        <v>0.17209695850756898</v>
      </c>
      <c r="G2087" s="9">
        <f t="shared" si="99"/>
        <v>2.3976351089632888E-2</v>
      </c>
    </row>
    <row r="2088" spans="1:7" x14ac:dyDescent="0.2">
      <c r="A2088" s="12">
        <v>39927</v>
      </c>
      <c r="B2088" s="9">
        <v>781.84</v>
      </c>
      <c r="C2088" s="9">
        <v>756.65</v>
      </c>
      <c r="D2088" s="9">
        <v>779.16</v>
      </c>
      <c r="E2088" s="9">
        <f t="shared" si="97"/>
        <v>8.2090734524015666E-3</v>
      </c>
      <c r="F2088" s="45">
        <f t="shared" si="98"/>
        <v>0.15605625388515526</v>
      </c>
      <c r="G2088" s="9">
        <f t="shared" si="99"/>
        <v>2.3726817635102027E-2</v>
      </c>
    </row>
    <row r="2089" spans="1:7" x14ac:dyDescent="0.2">
      <c r="A2089" s="12">
        <v>39930</v>
      </c>
      <c r="B2089" s="9">
        <v>784.42</v>
      </c>
      <c r="C2089" s="9">
        <v>762.88</v>
      </c>
      <c r="D2089" s="9">
        <v>782.65</v>
      </c>
      <c r="E2089" s="9">
        <f t="shared" si="97"/>
        <v>4.4691810258362394E-3</v>
      </c>
      <c r="F2089" s="45">
        <f t="shared" si="98"/>
        <v>0.15892151320425899</v>
      </c>
      <c r="G2089" s="9">
        <f t="shared" si="99"/>
        <v>2.3717600253948753E-2</v>
      </c>
    </row>
    <row r="2090" spans="1:7" x14ac:dyDescent="0.2">
      <c r="A2090" s="12">
        <v>39931</v>
      </c>
      <c r="B2090" s="9">
        <v>781.92</v>
      </c>
      <c r="C2090" s="9">
        <v>745.35</v>
      </c>
      <c r="D2090" s="9">
        <v>751.28</v>
      </c>
      <c r="E2090" s="9">
        <f t="shared" si="97"/>
        <v>-4.0907178837873787E-2</v>
      </c>
      <c r="F2090" s="45">
        <f t="shared" si="98"/>
        <v>0.13058458489012895</v>
      </c>
      <c r="G2090" s="9">
        <f t="shared" si="99"/>
        <v>2.4984171190972484E-2</v>
      </c>
    </row>
    <row r="2091" spans="1:7" x14ac:dyDescent="0.2">
      <c r="A2091" s="12">
        <v>39932</v>
      </c>
      <c r="B2091" s="9">
        <v>771.02</v>
      </c>
      <c r="C2091" s="9">
        <v>751.4</v>
      </c>
      <c r="D2091" s="9">
        <v>768.8</v>
      </c>
      <c r="E2091" s="9">
        <f t="shared" si="97"/>
        <v>2.3052439159724519E-2</v>
      </c>
      <c r="F2091" s="45">
        <f t="shared" si="98"/>
        <v>0.12880051674725343</v>
      </c>
      <c r="G2091" s="9">
        <f t="shared" si="99"/>
        <v>2.4935809803177965E-2</v>
      </c>
    </row>
    <row r="2092" spans="1:7" x14ac:dyDescent="0.2">
      <c r="A2092" s="12">
        <v>39933</v>
      </c>
      <c r="B2092" s="9">
        <v>779.4</v>
      </c>
      <c r="C2092" s="9">
        <v>763.89</v>
      </c>
      <c r="D2092" s="9">
        <v>763.89</v>
      </c>
      <c r="E2092" s="9">
        <f t="shared" si="97"/>
        <v>-6.4070579131333596E-3</v>
      </c>
      <c r="F2092" s="45">
        <f t="shared" si="98"/>
        <v>0.14006635189668973</v>
      </c>
      <c r="G2092" s="9">
        <f t="shared" si="99"/>
        <v>2.4677084129985219E-2</v>
      </c>
    </row>
    <row r="2093" spans="1:7" x14ac:dyDescent="0.2">
      <c r="A2093" s="12">
        <v>39937</v>
      </c>
      <c r="B2093" s="9">
        <v>781.09</v>
      </c>
      <c r="C2093" s="9">
        <v>760.84</v>
      </c>
      <c r="D2093" s="9">
        <v>779.5</v>
      </c>
      <c r="E2093" s="9">
        <f t="shared" si="97"/>
        <v>2.0228888754881918E-2</v>
      </c>
      <c r="F2093" s="45">
        <f t="shared" si="98"/>
        <v>0.16223975479673469</v>
      </c>
      <c r="G2093" s="9">
        <f t="shared" si="99"/>
        <v>2.480390976908942E-2</v>
      </c>
    </row>
    <row r="2094" spans="1:7" x14ac:dyDescent="0.2">
      <c r="A2094" s="12">
        <v>39938</v>
      </c>
      <c r="B2094" s="9">
        <v>785.11</v>
      </c>
      <c r="C2094" s="9">
        <v>771</v>
      </c>
      <c r="D2094" s="9">
        <v>783.03</v>
      </c>
      <c r="E2094" s="9">
        <f t="shared" si="97"/>
        <v>4.5183209352476815E-3</v>
      </c>
      <c r="F2094" s="45">
        <f t="shared" si="98"/>
        <v>0.14169604914427272</v>
      </c>
      <c r="G2094" s="9">
        <f t="shared" si="99"/>
        <v>2.4524601693836509E-2</v>
      </c>
    </row>
    <row r="2095" spans="1:7" x14ac:dyDescent="0.2">
      <c r="A2095" s="12">
        <v>39939</v>
      </c>
      <c r="B2095" s="9">
        <v>801.33</v>
      </c>
      <c r="C2095" s="9">
        <v>779.39</v>
      </c>
      <c r="D2095" s="9">
        <v>799.42</v>
      </c>
      <c r="E2095" s="9">
        <f t="shared" si="97"/>
        <v>2.0715455295253146E-2</v>
      </c>
      <c r="F2095" s="45">
        <f t="shared" si="98"/>
        <v>0.18924043600611648</v>
      </c>
      <c r="G2095" s="9">
        <f t="shared" si="99"/>
        <v>2.3944686739737306E-2</v>
      </c>
    </row>
    <row r="2096" spans="1:7" x14ac:dyDescent="0.2">
      <c r="A2096" s="12">
        <v>39940</v>
      </c>
      <c r="B2096" s="9">
        <v>816.35</v>
      </c>
      <c r="C2096" s="9">
        <v>788.95</v>
      </c>
      <c r="D2096" s="9">
        <v>792.47</v>
      </c>
      <c r="E2096" s="9">
        <f t="shared" si="97"/>
        <v>-8.731814583000725E-3</v>
      </c>
      <c r="F2096" s="45">
        <f t="shared" si="98"/>
        <v>0.17089641717666038</v>
      </c>
      <c r="G2096" s="9">
        <f t="shared" si="99"/>
        <v>2.409117358150762E-2</v>
      </c>
    </row>
    <row r="2097" spans="1:7" x14ac:dyDescent="0.2">
      <c r="A2097" s="12">
        <v>39941</v>
      </c>
      <c r="B2097" s="9">
        <v>813.53</v>
      </c>
      <c r="C2097" s="9">
        <v>792.1</v>
      </c>
      <c r="D2097" s="9">
        <v>802.03</v>
      </c>
      <c r="E2097" s="9">
        <f t="shared" si="97"/>
        <v>1.1991363505368476E-2</v>
      </c>
      <c r="F2097" s="45">
        <f t="shared" si="98"/>
        <v>0.20385519278651013</v>
      </c>
      <c r="G2097" s="9">
        <f t="shared" si="99"/>
        <v>2.3579362186430704E-2</v>
      </c>
    </row>
    <row r="2098" spans="1:7" x14ac:dyDescent="0.2">
      <c r="A2098" s="12">
        <v>39944</v>
      </c>
      <c r="B2098" s="9">
        <v>804.18</v>
      </c>
      <c r="C2098" s="9">
        <v>774.68</v>
      </c>
      <c r="D2098" s="9">
        <v>783.39</v>
      </c>
      <c r="E2098" s="9">
        <f t="shared" si="97"/>
        <v>-2.3515357371515472E-2</v>
      </c>
      <c r="F2098" s="45">
        <f t="shared" si="98"/>
        <v>0.16270141104455327</v>
      </c>
      <c r="G2098" s="9">
        <f t="shared" si="99"/>
        <v>2.4117743513155061E-2</v>
      </c>
    </row>
    <row r="2099" spans="1:7" x14ac:dyDescent="0.2">
      <c r="A2099" s="12">
        <v>39945</v>
      </c>
      <c r="B2099" s="9">
        <v>794.52</v>
      </c>
      <c r="C2099" s="9">
        <v>769.34</v>
      </c>
      <c r="D2099" s="9">
        <v>769.34</v>
      </c>
      <c r="E2099" s="9">
        <f t="shared" si="97"/>
        <v>-1.8097651845584043E-2</v>
      </c>
      <c r="F2099" s="45">
        <f t="shared" si="98"/>
        <v>0.14269798201819026</v>
      </c>
      <c r="G2099" s="9">
        <f t="shared" si="99"/>
        <v>2.4491961053598806E-2</v>
      </c>
    </row>
    <row r="2100" spans="1:7" x14ac:dyDescent="0.2">
      <c r="A2100" s="12">
        <v>39946</v>
      </c>
      <c r="B2100" s="9">
        <v>775.78</v>
      </c>
      <c r="C2100" s="9">
        <v>744.08</v>
      </c>
      <c r="D2100" s="9">
        <v>748.1</v>
      </c>
      <c r="E2100" s="9">
        <f t="shared" si="97"/>
        <v>-2.7996345555241078E-2</v>
      </c>
      <c r="F2100" s="45">
        <f t="shared" si="98"/>
        <v>0.13200106532818859</v>
      </c>
      <c r="G2100" s="9">
        <f t="shared" si="99"/>
        <v>2.4898623017924986E-2</v>
      </c>
    </row>
    <row r="2101" spans="1:7" x14ac:dyDescent="0.2">
      <c r="A2101" s="12">
        <v>39947</v>
      </c>
      <c r="B2101" s="9">
        <v>758.46</v>
      </c>
      <c r="C2101" s="9">
        <v>734.12</v>
      </c>
      <c r="D2101" s="9">
        <v>757.66</v>
      </c>
      <c r="E2101" s="9">
        <f t="shared" si="97"/>
        <v>1.2698077323236528E-2</v>
      </c>
      <c r="F2101" s="45">
        <f t="shared" si="98"/>
        <v>0.17962214406926458</v>
      </c>
      <c r="G2101" s="9">
        <f t="shared" si="99"/>
        <v>2.3798917277657396E-2</v>
      </c>
    </row>
    <row r="2102" spans="1:7" x14ac:dyDescent="0.2">
      <c r="A2102" s="12">
        <v>39948</v>
      </c>
      <c r="B2102" s="9">
        <v>766.42</v>
      </c>
      <c r="C2102" s="9">
        <v>749.88</v>
      </c>
      <c r="D2102" s="9">
        <v>764.77</v>
      </c>
      <c r="E2102" s="9">
        <f t="shared" si="97"/>
        <v>9.3403988248156131E-3</v>
      </c>
      <c r="F2102" s="45">
        <f t="shared" si="98"/>
        <v>0.15793675188331116</v>
      </c>
      <c r="G2102" s="9">
        <f t="shared" si="99"/>
        <v>2.3337044712332618E-2</v>
      </c>
    </row>
    <row r="2103" spans="1:7" x14ac:dyDescent="0.2">
      <c r="A2103" s="12">
        <v>39951</v>
      </c>
      <c r="B2103" s="9">
        <v>780.72</v>
      </c>
      <c r="C2103" s="9">
        <v>751.05</v>
      </c>
      <c r="D2103" s="9">
        <v>779.89</v>
      </c>
      <c r="E2103" s="9">
        <f t="shared" si="97"/>
        <v>1.9577749071149456E-2</v>
      </c>
      <c r="F2103" s="45">
        <f t="shared" si="98"/>
        <v>0.13778093391119392</v>
      </c>
      <c r="G2103" s="9">
        <f t="shared" si="99"/>
        <v>2.258861858020823E-2</v>
      </c>
    </row>
    <row r="2104" spans="1:7" x14ac:dyDescent="0.2">
      <c r="A2104" s="12">
        <v>39952</v>
      </c>
      <c r="B2104" s="9">
        <v>799.08</v>
      </c>
      <c r="C2104" s="9">
        <v>780.13</v>
      </c>
      <c r="D2104" s="9">
        <v>789.19</v>
      </c>
      <c r="E2104" s="9">
        <f t="shared" si="97"/>
        <v>1.1854218911320229E-2</v>
      </c>
      <c r="F2104" s="45">
        <f t="shared" si="98"/>
        <v>0.10040429195282123</v>
      </c>
      <c r="G2104" s="9">
        <f t="shared" si="99"/>
        <v>2.1017826559899075E-2</v>
      </c>
    </row>
    <row r="2105" spans="1:7" x14ac:dyDescent="0.2">
      <c r="A2105" s="12">
        <v>39953</v>
      </c>
      <c r="B2105" s="9">
        <v>789.48</v>
      </c>
      <c r="C2105" s="9">
        <v>778.71</v>
      </c>
      <c r="D2105" s="9">
        <v>783.72</v>
      </c>
      <c r="E2105" s="9">
        <f t="shared" si="97"/>
        <v>-6.9552893063151407E-3</v>
      </c>
      <c r="F2105" s="45">
        <f t="shared" si="98"/>
        <v>9.7154374054195206E-2</v>
      </c>
      <c r="G2105" s="9">
        <f t="shared" si="99"/>
        <v>2.1063753706455041E-2</v>
      </c>
    </row>
    <row r="2106" spans="1:7" x14ac:dyDescent="0.2">
      <c r="A2106" s="12">
        <v>39955</v>
      </c>
      <c r="B2106" s="9">
        <v>781.89</v>
      </c>
      <c r="C2106" s="9">
        <v>758.82</v>
      </c>
      <c r="D2106" s="9">
        <v>769.4</v>
      </c>
      <c r="E2106" s="9">
        <f t="shared" si="97"/>
        <v>-1.8440823384371433E-2</v>
      </c>
      <c r="F2106" s="45">
        <f t="shared" si="98"/>
        <v>8.0951837555882922E-2</v>
      </c>
      <c r="G2106" s="9">
        <f t="shared" si="99"/>
        <v>2.141383402191745E-2</v>
      </c>
    </row>
    <row r="2107" spans="1:7" x14ac:dyDescent="0.2">
      <c r="A2107" s="12">
        <v>39958</v>
      </c>
      <c r="B2107" s="9">
        <v>774.33</v>
      </c>
      <c r="C2107" s="9">
        <v>758.19</v>
      </c>
      <c r="D2107" s="9">
        <v>770.24</v>
      </c>
      <c r="E2107" s="9">
        <f t="shared" si="97"/>
        <v>1.0911642765124711E-3</v>
      </c>
      <c r="F2107" s="45">
        <f t="shared" si="98"/>
        <v>9.251237317997732E-2</v>
      </c>
      <c r="G2107" s="9">
        <f t="shared" si="99"/>
        <v>2.1272253744306611E-2</v>
      </c>
    </row>
    <row r="2108" spans="1:7" x14ac:dyDescent="0.2">
      <c r="A2108" s="12">
        <v>39959</v>
      </c>
      <c r="B2108" s="9">
        <v>775.74</v>
      </c>
      <c r="C2108" s="9">
        <v>752.81</v>
      </c>
      <c r="D2108" s="9">
        <v>773.7</v>
      </c>
      <c r="E2108" s="9">
        <f t="shared" si="97"/>
        <v>4.4820469607017984E-3</v>
      </c>
      <c r="F2108" s="45">
        <f t="shared" si="98"/>
        <v>8.9701021368632186E-2</v>
      </c>
      <c r="G2108" s="9">
        <f t="shared" si="99"/>
        <v>2.1259257790841771E-2</v>
      </c>
    </row>
    <row r="2109" spans="1:7" x14ac:dyDescent="0.2">
      <c r="A2109" s="12">
        <v>39960</v>
      </c>
      <c r="B2109" s="9">
        <v>782.1</v>
      </c>
      <c r="C2109" s="9">
        <v>769.17</v>
      </c>
      <c r="D2109" s="9">
        <v>773.68</v>
      </c>
      <c r="E2109" s="9">
        <f t="shared" si="97"/>
        <v>-2.5850146701181586E-5</v>
      </c>
      <c r="F2109" s="45">
        <f t="shared" si="98"/>
        <v>7.5162432119279449E-2</v>
      </c>
      <c r="G2109" s="9">
        <f t="shared" si="99"/>
        <v>2.1152975133067235E-2</v>
      </c>
    </row>
    <row r="2110" spans="1:7" x14ac:dyDescent="0.2">
      <c r="A2110" s="12">
        <v>39961</v>
      </c>
      <c r="B2110" s="9">
        <v>773.45</v>
      </c>
      <c r="C2110" s="9">
        <v>762.61</v>
      </c>
      <c r="D2110" s="9">
        <v>771.82</v>
      </c>
      <c r="E2110" s="9">
        <f t="shared" si="97"/>
        <v>-2.4069891918567523E-3</v>
      </c>
      <c r="F2110" s="45">
        <f t="shared" si="98"/>
        <v>3.6495296741063971E-2</v>
      </c>
      <c r="G2110" s="9">
        <f t="shared" si="99"/>
        <v>2.0181003271713013E-2</v>
      </c>
    </row>
    <row r="2111" spans="1:7" x14ac:dyDescent="0.2">
      <c r="A2111" s="12">
        <v>39962</v>
      </c>
      <c r="B2111" s="9">
        <v>783.71</v>
      </c>
      <c r="C2111" s="9">
        <v>771.54</v>
      </c>
      <c r="D2111" s="9">
        <v>776.5</v>
      </c>
      <c r="E2111" s="9">
        <f t="shared" ref="E2111:E2174" si="100">LN(D2111/D2110)</f>
        <v>6.045280371890894E-3</v>
      </c>
      <c r="F2111" s="45">
        <f t="shared" si="98"/>
        <v>6.2259086252906576E-2</v>
      </c>
      <c r="G2111" s="9">
        <f t="shared" si="99"/>
        <v>1.9804066231178856E-2</v>
      </c>
    </row>
    <row r="2112" spans="1:7" x14ac:dyDescent="0.2">
      <c r="A2112" s="12">
        <v>39965</v>
      </c>
      <c r="B2112" s="9">
        <v>802.92</v>
      </c>
      <c r="C2112" s="9">
        <v>777.34</v>
      </c>
      <c r="D2112" s="9">
        <v>801.57</v>
      </c>
      <c r="E2112" s="9">
        <f t="shared" si="100"/>
        <v>3.1775661891819691E-2</v>
      </c>
      <c r="F2112" s="45">
        <f t="shared" si="98"/>
        <v>7.2450103443645081E-2</v>
      </c>
      <c r="G2112" s="9">
        <f t="shared" si="99"/>
        <v>2.0233009178617326E-2</v>
      </c>
    </row>
    <row r="2113" spans="1:7" x14ac:dyDescent="0.2">
      <c r="A2113" s="12">
        <v>39966</v>
      </c>
      <c r="B2113" s="9">
        <v>801.08</v>
      </c>
      <c r="C2113" s="9">
        <v>788.06</v>
      </c>
      <c r="D2113" s="9">
        <v>795.25</v>
      </c>
      <c r="E2113" s="9">
        <f t="shared" si="100"/>
        <v>-7.9157738513079608E-3</v>
      </c>
      <c r="F2113" s="45">
        <f t="shared" si="98"/>
        <v>3.5192371308321736E-2</v>
      </c>
      <c r="G2113" s="9">
        <f t="shared" si="99"/>
        <v>1.9658513930153314E-2</v>
      </c>
    </row>
    <row r="2114" spans="1:7" x14ac:dyDescent="0.2">
      <c r="A2114" s="12">
        <v>39967</v>
      </c>
      <c r="B2114" s="9">
        <v>797.27</v>
      </c>
      <c r="C2114" s="9">
        <v>765.12</v>
      </c>
      <c r="D2114" s="9">
        <v>770.61</v>
      </c>
      <c r="E2114" s="9">
        <f t="shared" si="100"/>
        <v>-3.147412162027946E-2</v>
      </c>
      <c r="F2114" s="45">
        <f t="shared" si="98"/>
        <v>5.2632159709703696E-2</v>
      </c>
      <c r="G2114" s="9">
        <f t="shared" si="99"/>
        <v>1.8339944119200376E-2</v>
      </c>
    </row>
    <row r="2115" spans="1:7" x14ac:dyDescent="0.2">
      <c r="A2115" s="12">
        <v>39968</v>
      </c>
      <c r="B2115" s="9">
        <v>777.78</v>
      </c>
      <c r="C2115" s="9">
        <v>761.03</v>
      </c>
      <c r="D2115" s="9">
        <v>768.57</v>
      </c>
      <c r="E2115" s="9">
        <f t="shared" si="100"/>
        <v>-2.6507636462440305E-3</v>
      </c>
      <c r="F2115" s="45">
        <f t="shared" si="98"/>
        <v>3.5937404118718562E-2</v>
      </c>
      <c r="G2115" s="9">
        <f t="shared" si="99"/>
        <v>1.8206984295942176E-2</v>
      </c>
    </row>
    <row r="2116" spans="1:7" x14ac:dyDescent="0.2">
      <c r="A2116" s="12">
        <v>39969</v>
      </c>
      <c r="B2116" s="9">
        <v>782.59</v>
      </c>
      <c r="C2116" s="9">
        <v>769.54</v>
      </c>
      <c r="D2116" s="9">
        <v>770.48</v>
      </c>
      <c r="E2116" s="9">
        <f t="shared" si="100"/>
        <v>2.4820518898790475E-3</v>
      </c>
      <c r="F2116" s="45">
        <f t="shared" si="98"/>
        <v>3.0807451945878005E-3</v>
      </c>
      <c r="G2116" s="9">
        <f t="shared" si="99"/>
        <v>1.703283205959804E-2</v>
      </c>
    </row>
    <row r="2117" spans="1:7" x14ac:dyDescent="0.2">
      <c r="A2117" s="12">
        <v>39972</v>
      </c>
      <c r="B2117" s="9">
        <v>771.77</v>
      </c>
      <c r="C2117" s="9">
        <v>755.53</v>
      </c>
      <c r="D2117" s="9">
        <v>770.32</v>
      </c>
      <c r="E2117" s="9">
        <f t="shared" si="100"/>
        <v>-2.0768432058031907E-4</v>
      </c>
      <c r="F2117" s="45">
        <f t="shared" si="98"/>
        <v>-3.2013299239655583E-3</v>
      </c>
      <c r="G2117" s="9">
        <f t="shared" si="99"/>
        <v>1.6995459159890734E-2</v>
      </c>
    </row>
    <row r="2118" spans="1:7" x14ac:dyDescent="0.2">
      <c r="A2118" s="12">
        <v>39973</v>
      </c>
      <c r="B2118" s="9">
        <v>774.18</v>
      </c>
      <c r="C2118" s="9">
        <v>760.43</v>
      </c>
      <c r="D2118" s="9">
        <v>769.67</v>
      </c>
      <c r="E2118" s="9">
        <f t="shared" si="100"/>
        <v>-8.4416137585274331E-4</v>
      </c>
      <c r="F2118" s="45">
        <f t="shared" si="98"/>
        <v>-1.2254564752219756E-2</v>
      </c>
      <c r="G2118" s="9">
        <f t="shared" si="99"/>
        <v>1.6922931653061957E-2</v>
      </c>
    </row>
    <row r="2119" spans="1:7" x14ac:dyDescent="0.2">
      <c r="A2119" s="12">
        <v>39974</v>
      </c>
      <c r="B2119" s="9">
        <v>793.22</v>
      </c>
      <c r="C2119" s="9">
        <v>769.55</v>
      </c>
      <c r="D2119" s="9">
        <v>787.11</v>
      </c>
      <c r="E2119" s="9">
        <f t="shared" si="100"/>
        <v>2.2406158377486107E-2</v>
      </c>
      <c r="F2119" s="45">
        <f t="shared" si="98"/>
        <v>5.6824125994302446E-3</v>
      </c>
      <c r="G2119" s="9">
        <f t="shared" si="99"/>
        <v>1.7411029694141288E-2</v>
      </c>
    </row>
    <row r="2120" spans="1:7" x14ac:dyDescent="0.2">
      <c r="A2120" s="12">
        <v>39975</v>
      </c>
      <c r="B2120" s="9">
        <v>808.43</v>
      </c>
      <c r="C2120" s="9">
        <v>786.06</v>
      </c>
      <c r="D2120" s="9">
        <v>805.85</v>
      </c>
      <c r="E2120" s="9">
        <f t="shared" si="100"/>
        <v>2.3529611035065116E-2</v>
      </c>
      <c r="F2120" s="45">
        <f t="shared" si="98"/>
        <v>7.0119202472368969E-2</v>
      </c>
      <c r="G2120" s="9">
        <f t="shared" si="99"/>
        <v>1.6090912247992362E-2</v>
      </c>
    </row>
    <row r="2121" spans="1:7" x14ac:dyDescent="0.2">
      <c r="A2121" s="12">
        <v>39976</v>
      </c>
      <c r="B2121" s="9">
        <v>810.03</v>
      </c>
      <c r="C2121" s="9">
        <v>797.58</v>
      </c>
      <c r="D2121" s="9">
        <v>799.65</v>
      </c>
      <c r="E2121" s="9">
        <f t="shared" si="100"/>
        <v>-7.7234890318474466E-3</v>
      </c>
      <c r="F2121" s="45">
        <f t="shared" si="98"/>
        <v>3.9343274280796953E-2</v>
      </c>
      <c r="G2121" s="9">
        <f t="shared" si="99"/>
        <v>1.5701018227423091E-2</v>
      </c>
    </row>
    <row r="2122" spans="1:7" x14ac:dyDescent="0.2">
      <c r="A2122" s="12">
        <v>39979</v>
      </c>
      <c r="B2122" s="9">
        <v>799.89</v>
      </c>
      <c r="C2122" s="9">
        <v>782.92</v>
      </c>
      <c r="D2122" s="9">
        <v>784.49</v>
      </c>
      <c r="E2122" s="9">
        <f t="shared" si="100"/>
        <v>-1.9140306817629748E-2</v>
      </c>
      <c r="F2122" s="45">
        <f t="shared" si="98"/>
        <v>2.6610025376300517E-2</v>
      </c>
      <c r="G2122" s="9">
        <f t="shared" si="99"/>
        <v>1.6084294661466245E-2</v>
      </c>
    </row>
    <row r="2123" spans="1:7" x14ac:dyDescent="0.2">
      <c r="A2123" s="12">
        <v>39980</v>
      </c>
      <c r="B2123" s="9">
        <v>795.96</v>
      </c>
      <c r="C2123" s="9">
        <v>779.02</v>
      </c>
      <c r="D2123" s="9">
        <v>789.22</v>
      </c>
      <c r="E2123" s="9">
        <f t="shared" si="100"/>
        <v>6.01129082670546E-3</v>
      </c>
      <c r="F2123" s="45">
        <f t="shared" si="98"/>
        <v>1.2392427448124139E-2</v>
      </c>
      <c r="G2123" s="9">
        <f t="shared" si="99"/>
        <v>1.5699597210783216E-2</v>
      </c>
    </row>
    <row r="2124" spans="1:7" x14ac:dyDescent="0.2">
      <c r="A2124" s="12">
        <v>39981</v>
      </c>
      <c r="B2124" s="9">
        <v>788.73</v>
      </c>
      <c r="C2124" s="9">
        <v>768.2</v>
      </c>
      <c r="D2124" s="9">
        <v>773.99</v>
      </c>
      <c r="E2124" s="9">
        <f t="shared" si="100"/>
        <v>-1.948616233633169E-2</v>
      </c>
      <c r="F2124" s="45">
        <f t="shared" si="98"/>
        <v>-1.1612055823455283E-2</v>
      </c>
      <c r="G2124" s="9">
        <f t="shared" si="99"/>
        <v>1.6090008612423958E-2</v>
      </c>
    </row>
    <row r="2125" spans="1:7" x14ac:dyDescent="0.2">
      <c r="A2125" s="12">
        <v>39982</v>
      </c>
      <c r="B2125" s="9">
        <v>780.4</v>
      </c>
      <c r="C2125" s="9">
        <v>767.83</v>
      </c>
      <c r="D2125" s="9">
        <v>778.09</v>
      </c>
      <c r="E2125" s="9">
        <f t="shared" si="100"/>
        <v>5.2832451121431444E-3</v>
      </c>
      <c r="F2125" s="45">
        <f t="shared" si="98"/>
        <v>-2.7044266006565294E-2</v>
      </c>
      <c r="G2125" s="9">
        <f t="shared" si="99"/>
        <v>1.5632261562654629E-2</v>
      </c>
    </row>
    <row r="2126" spans="1:7" x14ac:dyDescent="0.2">
      <c r="A2126" s="12">
        <v>39986</v>
      </c>
      <c r="B2126" s="9">
        <v>780.41</v>
      </c>
      <c r="C2126" s="9">
        <v>752.3</v>
      </c>
      <c r="D2126" s="9">
        <v>754.52</v>
      </c>
      <c r="E2126" s="9">
        <f t="shared" si="100"/>
        <v>-3.0760413244243043E-2</v>
      </c>
      <c r="F2126" s="45">
        <f t="shared" si="98"/>
        <v>-4.9072864667807546E-2</v>
      </c>
      <c r="G2126" s="9">
        <f t="shared" si="99"/>
        <v>1.6505722196503772E-2</v>
      </c>
    </row>
    <row r="2127" spans="1:7" x14ac:dyDescent="0.2">
      <c r="A2127" s="12">
        <v>39987</v>
      </c>
      <c r="B2127" s="9">
        <v>761.82</v>
      </c>
      <c r="C2127" s="9">
        <v>749.07</v>
      </c>
      <c r="D2127" s="9">
        <v>753.94</v>
      </c>
      <c r="E2127" s="9">
        <f t="shared" si="100"/>
        <v>-7.6899623269039872E-4</v>
      </c>
      <c r="F2127" s="45">
        <f t="shared" si="98"/>
        <v>-6.1833224405866562E-2</v>
      </c>
      <c r="G2127" s="9">
        <f t="shared" si="99"/>
        <v>1.6305649815903343E-2</v>
      </c>
    </row>
    <row r="2128" spans="1:7" x14ac:dyDescent="0.2">
      <c r="A2128" s="12">
        <v>39988</v>
      </c>
      <c r="B2128" s="9">
        <v>783.48</v>
      </c>
      <c r="C2128" s="9">
        <v>754.54</v>
      </c>
      <c r="D2128" s="9">
        <v>783.48</v>
      </c>
      <c r="E2128" s="9">
        <f t="shared" si="100"/>
        <v>3.8432745741709032E-2</v>
      </c>
      <c r="F2128" s="45">
        <f t="shared" si="98"/>
        <v>1.1487870735804481E-4</v>
      </c>
      <c r="G2128" s="9">
        <f t="shared" si="99"/>
        <v>1.7382016723621618E-2</v>
      </c>
    </row>
    <row r="2129" spans="1:7" x14ac:dyDescent="0.2">
      <c r="A2129" s="12">
        <v>39989</v>
      </c>
      <c r="B2129" s="9">
        <v>784.64</v>
      </c>
      <c r="C2129" s="9">
        <v>769.52</v>
      </c>
      <c r="D2129" s="9">
        <v>779.12</v>
      </c>
      <c r="E2129" s="9">
        <f t="shared" si="100"/>
        <v>-5.5804573335986197E-3</v>
      </c>
      <c r="F2129" s="45">
        <f t="shared" si="98"/>
        <v>1.2632073219343421E-2</v>
      </c>
      <c r="G2129" s="9">
        <f t="shared" si="99"/>
        <v>1.708013427818662E-2</v>
      </c>
    </row>
    <row r="2130" spans="1:7" x14ac:dyDescent="0.2">
      <c r="A2130" s="12">
        <v>39990</v>
      </c>
      <c r="B2130" s="9">
        <v>792.07</v>
      </c>
      <c r="C2130" s="9">
        <v>779.36</v>
      </c>
      <c r="D2130" s="9">
        <v>786.82</v>
      </c>
      <c r="E2130" s="9">
        <f t="shared" si="100"/>
        <v>9.8344279593295739E-3</v>
      </c>
      <c r="F2130" s="45">
        <f t="shared" si="98"/>
        <v>5.0462846733914074E-2</v>
      </c>
      <c r="G2130" s="9">
        <f t="shared" si="99"/>
        <v>1.6287878833359068E-2</v>
      </c>
    </row>
    <row r="2131" spans="1:7" x14ac:dyDescent="0.2">
      <c r="A2131" s="12">
        <v>39993</v>
      </c>
      <c r="B2131" s="9">
        <v>806.44</v>
      </c>
      <c r="C2131" s="9">
        <v>784.96</v>
      </c>
      <c r="D2131" s="9">
        <v>804.33</v>
      </c>
      <c r="E2131" s="9">
        <f t="shared" si="100"/>
        <v>2.2010127117246821E-2</v>
      </c>
      <c r="F2131" s="45">
        <f t="shared" si="98"/>
        <v>5.9774896527924185E-2</v>
      </c>
      <c r="G2131" s="9">
        <f t="shared" si="99"/>
        <v>1.6590962911242759E-2</v>
      </c>
    </row>
    <row r="2132" spans="1:7" x14ac:dyDescent="0.2">
      <c r="A2132" s="12">
        <v>39994</v>
      </c>
      <c r="B2132" s="9">
        <v>805.64</v>
      </c>
      <c r="C2132" s="9">
        <v>793.05</v>
      </c>
      <c r="D2132" s="9">
        <v>795.8</v>
      </c>
      <c r="E2132" s="9">
        <f t="shared" si="100"/>
        <v>-1.0661734736691781E-2</v>
      </c>
      <c r="F2132" s="45">
        <f t="shared" si="98"/>
        <v>3.9772762966416637E-2</v>
      </c>
      <c r="G2132" s="9">
        <f t="shared" si="99"/>
        <v>1.6687124070687568E-2</v>
      </c>
    </row>
    <row r="2133" spans="1:7" x14ac:dyDescent="0.2">
      <c r="A2133" s="12">
        <v>39995</v>
      </c>
      <c r="B2133" s="9">
        <v>814.73</v>
      </c>
      <c r="C2133" s="9">
        <v>795.8</v>
      </c>
      <c r="D2133" s="9">
        <v>813.7</v>
      </c>
      <c r="E2133" s="9">
        <f t="shared" si="100"/>
        <v>2.2243849709783534E-2</v>
      </c>
      <c r="F2133" s="45">
        <f t="shared" si="98"/>
        <v>4.2438863605050607E-2</v>
      </c>
      <c r="G2133" s="9">
        <f t="shared" si="99"/>
        <v>1.6794434243255676E-2</v>
      </c>
    </row>
    <row r="2134" spans="1:7" x14ac:dyDescent="0.2">
      <c r="A2134" s="12">
        <v>39996</v>
      </c>
      <c r="B2134" s="9">
        <v>812.98</v>
      </c>
      <c r="C2134" s="9">
        <v>791.03</v>
      </c>
      <c r="D2134" s="9">
        <v>792.45</v>
      </c>
      <c r="E2134" s="9">
        <f t="shared" si="100"/>
        <v>-2.646233542417703E-2</v>
      </c>
      <c r="F2134" s="45">
        <f t="shared" si="98"/>
        <v>4.1223092695534076E-3</v>
      </c>
      <c r="G2134" s="9">
        <f t="shared" si="99"/>
        <v>1.7418518787169261E-2</v>
      </c>
    </row>
    <row r="2135" spans="1:7" x14ac:dyDescent="0.2">
      <c r="A2135" s="12">
        <v>39997</v>
      </c>
      <c r="B2135" s="9">
        <v>796.91</v>
      </c>
      <c r="C2135" s="9">
        <v>788.15</v>
      </c>
      <c r="D2135" s="9">
        <v>790.45</v>
      </c>
      <c r="E2135" s="9">
        <f t="shared" si="100"/>
        <v>-2.5270087362378583E-3</v>
      </c>
      <c r="F2135" s="45">
        <f t="shared" si="98"/>
        <v>8.5505898396305811E-3</v>
      </c>
      <c r="G2135" s="9">
        <f t="shared" si="99"/>
        <v>1.7375049680721674E-2</v>
      </c>
    </row>
    <row r="2136" spans="1:7" x14ac:dyDescent="0.2">
      <c r="A2136" s="12">
        <v>40000</v>
      </c>
      <c r="B2136" s="9">
        <v>790.45</v>
      </c>
      <c r="C2136" s="9">
        <v>774.82</v>
      </c>
      <c r="D2136" s="9">
        <v>783.34</v>
      </c>
      <c r="E2136" s="9">
        <f t="shared" si="100"/>
        <v>-9.0355744700191878E-3</v>
      </c>
      <c r="F2136" s="45">
        <f t="shared" si="98"/>
        <v>1.7955838753982854E-2</v>
      </c>
      <c r="G2136" s="9">
        <f t="shared" si="99"/>
        <v>1.7108322077016264E-2</v>
      </c>
    </row>
    <row r="2137" spans="1:7" x14ac:dyDescent="0.2">
      <c r="A2137" s="12">
        <v>40001</v>
      </c>
      <c r="B2137" s="9">
        <v>793.4</v>
      </c>
      <c r="C2137" s="9">
        <v>782.15</v>
      </c>
      <c r="D2137" s="9">
        <v>784.56</v>
      </c>
      <c r="E2137" s="9">
        <f t="shared" si="100"/>
        <v>1.5562220118872554E-3</v>
      </c>
      <c r="F2137" s="45">
        <f t="shared" si="98"/>
        <v>1.8420896489357762E-2</v>
      </c>
      <c r="G2137" s="9">
        <f t="shared" si="99"/>
        <v>1.7108994531517055E-2</v>
      </c>
    </row>
    <row r="2138" spans="1:7" x14ac:dyDescent="0.2">
      <c r="A2138" s="12">
        <v>40002</v>
      </c>
      <c r="B2138" s="9">
        <v>786.07</v>
      </c>
      <c r="C2138" s="9">
        <v>777</v>
      </c>
      <c r="D2138" s="9">
        <v>777.48</v>
      </c>
      <c r="E2138" s="9">
        <f t="shared" si="100"/>
        <v>-9.0651308341986002E-3</v>
      </c>
      <c r="F2138" s="45">
        <f t="shared" si="98"/>
        <v>4.8737186944574793E-3</v>
      </c>
      <c r="G2138" s="9">
        <f t="shared" si="99"/>
        <v>1.7182007614596425E-2</v>
      </c>
    </row>
    <row r="2139" spans="1:7" x14ac:dyDescent="0.2">
      <c r="A2139" s="12">
        <v>40003</v>
      </c>
      <c r="B2139" s="9">
        <v>787.84</v>
      </c>
      <c r="C2139" s="9">
        <v>774.74</v>
      </c>
      <c r="D2139" s="9">
        <v>777.98</v>
      </c>
      <c r="E2139" s="9">
        <f t="shared" si="100"/>
        <v>6.428966572223177E-4</v>
      </c>
      <c r="F2139" s="45">
        <f t="shared" si="98"/>
        <v>5.542465498380892E-3</v>
      </c>
      <c r="G2139" s="9">
        <f t="shared" si="99"/>
        <v>1.7182188692081945E-2</v>
      </c>
    </row>
    <row r="2140" spans="1:7" x14ac:dyDescent="0.2">
      <c r="A2140" s="12">
        <v>40004</v>
      </c>
      <c r="B2140" s="9">
        <v>779.28</v>
      </c>
      <c r="C2140" s="9">
        <v>770.24</v>
      </c>
      <c r="D2140" s="9">
        <v>774.12</v>
      </c>
      <c r="E2140" s="9">
        <f t="shared" si="100"/>
        <v>-4.9739165749379142E-3</v>
      </c>
      <c r="F2140" s="45">
        <f t="shared" si="98"/>
        <v>2.9755381152997847E-3</v>
      </c>
      <c r="G2140" s="9">
        <f t="shared" si="99"/>
        <v>1.720192022655408E-2</v>
      </c>
    </row>
    <row r="2141" spans="1:7" x14ac:dyDescent="0.2">
      <c r="A2141" s="12">
        <v>40007</v>
      </c>
      <c r="B2141" s="9">
        <v>789.76</v>
      </c>
      <c r="C2141" s="9">
        <v>766.71</v>
      </c>
      <c r="D2141" s="9">
        <v>785.99</v>
      </c>
      <c r="E2141" s="9">
        <f t="shared" si="100"/>
        <v>1.521716936981202E-2</v>
      </c>
      <c r="F2141" s="45">
        <f t="shared" si="98"/>
        <v>1.2147427113220826E-2</v>
      </c>
      <c r="G2141" s="9">
        <f t="shared" si="99"/>
        <v>1.7391703348180999E-2</v>
      </c>
    </row>
    <row r="2142" spans="1:7" x14ac:dyDescent="0.2">
      <c r="A2142" s="12">
        <v>40008</v>
      </c>
      <c r="B2142" s="9">
        <v>795.86</v>
      </c>
      <c r="C2142" s="9">
        <v>786.59</v>
      </c>
      <c r="D2142" s="9">
        <v>794.3</v>
      </c>
      <c r="E2142" s="9">
        <f t="shared" si="100"/>
        <v>1.0517153937123793E-2</v>
      </c>
      <c r="F2142" s="45">
        <f t="shared" si="98"/>
        <v>-9.1110808414751176E-3</v>
      </c>
      <c r="G2142" s="9">
        <f t="shared" si="99"/>
        <v>1.6478552894947329E-2</v>
      </c>
    </row>
    <row r="2143" spans="1:7" x14ac:dyDescent="0.2">
      <c r="A2143" s="12">
        <v>40009</v>
      </c>
      <c r="B2143" s="9">
        <v>820.93</v>
      </c>
      <c r="C2143" s="9">
        <v>794.35</v>
      </c>
      <c r="D2143" s="9">
        <v>820.93</v>
      </c>
      <c r="E2143" s="9">
        <f t="shared" si="100"/>
        <v>3.2976620302580244E-2</v>
      </c>
      <c r="F2143" s="45">
        <f t="shared" si="98"/>
        <v>3.1781313312412962E-2</v>
      </c>
      <c r="G2143" s="9">
        <f t="shared" si="99"/>
        <v>1.7487567144819454E-2</v>
      </c>
    </row>
    <row r="2144" spans="1:7" x14ac:dyDescent="0.2">
      <c r="A2144" s="12">
        <v>40010</v>
      </c>
      <c r="B2144" s="9">
        <v>827.77</v>
      </c>
      <c r="C2144" s="9">
        <v>819.88</v>
      </c>
      <c r="D2144" s="9">
        <v>823.33</v>
      </c>
      <c r="E2144" s="9">
        <f t="shared" si="100"/>
        <v>2.9192484210552772E-3</v>
      </c>
      <c r="F2144" s="45">
        <f t="shared" si="98"/>
        <v>6.6174683353747821E-2</v>
      </c>
      <c r="G2144" s="9">
        <f t="shared" si="99"/>
        <v>1.637305986003805E-2</v>
      </c>
    </row>
    <row r="2145" spans="1:7" x14ac:dyDescent="0.2">
      <c r="A2145" s="12">
        <v>40011</v>
      </c>
      <c r="B2145" s="9">
        <v>844.13</v>
      </c>
      <c r="C2145" s="9">
        <v>824.06</v>
      </c>
      <c r="D2145" s="9">
        <v>842.15</v>
      </c>
      <c r="E2145" s="9">
        <f t="shared" si="100"/>
        <v>2.2601053281673208E-2</v>
      </c>
      <c r="F2145" s="45">
        <f t="shared" ref="F2145:F2208" si="101">LN(D2145/D2115)</f>
        <v>9.1426500281664991E-2</v>
      </c>
      <c r="G2145" s="9">
        <f t="shared" ref="G2145:G2208" si="102">STDEV(E2116:E2145)</f>
        <v>1.6759309754397295E-2</v>
      </c>
    </row>
    <row r="2146" spans="1:7" x14ac:dyDescent="0.2">
      <c r="A2146" s="12">
        <v>40013</v>
      </c>
      <c r="B2146" s="9">
        <v>844.13</v>
      </c>
      <c r="C2146" s="9">
        <v>824.06</v>
      </c>
      <c r="D2146" s="9">
        <v>842.15</v>
      </c>
      <c r="E2146" s="9">
        <f t="shared" si="100"/>
        <v>0</v>
      </c>
      <c r="F2146" s="45">
        <f t="shared" si="101"/>
        <v>8.8944448391785988E-2</v>
      </c>
      <c r="G2146" s="9">
        <f t="shared" si="102"/>
        <v>1.676832179632521E-2</v>
      </c>
    </row>
    <row r="2147" spans="1:7" x14ac:dyDescent="0.2">
      <c r="A2147" s="12">
        <v>40014</v>
      </c>
      <c r="B2147" s="9">
        <v>852.31</v>
      </c>
      <c r="C2147" s="9">
        <v>838.26</v>
      </c>
      <c r="D2147" s="9">
        <v>843.48</v>
      </c>
      <c r="E2147" s="9">
        <f t="shared" si="100"/>
        <v>1.5780453314194116E-3</v>
      </c>
      <c r="F2147" s="45">
        <f t="shared" si="101"/>
        <v>9.0730178043785692E-2</v>
      </c>
      <c r="G2147" s="9">
        <f t="shared" si="102"/>
        <v>1.6759839049622281E-2</v>
      </c>
    </row>
    <row r="2148" spans="1:7" x14ac:dyDescent="0.2">
      <c r="A2148" s="12">
        <v>40015</v>
      </c>
      <c r="B2148" s="9">
        <v>854.26</v>
      </c>
      <c r="C2148" s="9">
        <v>842.86</v>
      </c>
      <c r="D2148" s="9">
        <v>852.26</v>
      </c>
      <c r="E2148" s="9">
        <f t="shared" si="100"/>
        <v>1.035545361958993E-2</v>
      </c>
      <c r="F2148" s="45">
        <f t="shared" si="101"/>
        <v>0.10192979303922849</v>
      </c>
      <c r="G2148" s="9">
        <f t="shared" si="102"/>
        <v>1.6795394318026229E-2</v>
      </c>
    </row>
    <row r="2149" spans="1:7" x14ac:dyDescent="0.2">
      <c r="A2149" s="12">
        <v>40016</v>
      </c>
      <c r="B2149" s="9">
        <v>853.38</v>
      </c>
      <c r="C2149" s="9">
        <v>841.71</v>
      </c>
      <c r="D2149" s="9">
        <v>852.9</v>
      </c>
      <c r="E2149" s="9">
        <f t="shared" si="100"/>
        <v>7.5066272965937505E-4</v>
      </c>
      <c r="F2149" s="45">
        <f t="shared" si="101"/>
        <v>8.0274297391401767E-2</v>
      </c>
      <c r="G2149" s="9">
        <f t="shared" si="102"/>
        <v>1.6411228700331459E-2</v>
      </c>
    </row>
    <row r="2150" spans="1:7" x14ac:dyDescent="0.2">
      <c r="A2150" s="12">
        <v>40017</v>
      </c>
      <c r="B2150" s="9">
        <v>874.48</v>
      </c>
      <c r="C2150" s="9">
        <v>848.57</v>
      </c>
      <c r="D2150" s="9">
        <v>871.89</v>
      </c>
      <c r="E2150" s="9">
        <f t="shared" si="100"/>
        <v>2.2020961837749601E-2</v>
      </c>
      <c r="F2150" s="45">
        <f t="shared" si="101"/>
        <v>7.8765648194086338E-2</v>
      </c>
      <c r="G2150" s="9">
        <f t="shared" si="102"/>
        <v>1.6347310662004712E-2</v>
      </c>
    </row>
    <row r="2151" spans="1:7" x14ac:dyDescent="0.2">
      <c r="A2151" s="12">
        <v>40018</v>
      </c>
      <c r="B2151" s="9">
        <v>874.42</v>
      </c>
      <c r="C2151" s="9">
        <v>859.88</v>
      </c>
      <c r="D2151" s="9">
        <v>870.98</v>
      </c>
      <c r="E2151" s="9">
        <f t="shared" si="100"/>
        <v>-1.044254686458233E-3</v>
      </c>
      <c r="F2151" s="45">
        <f t="shared" si="101"/>
        <v>8.5444882539475478E-2</v>
      </c>
      <c r="G2151" s="9">
        <f t="shared" si="102"/>
        <v>1.6246676662808431E-2</v>
      </c>
    </row>
    <row r="2152" spans="1:7" x14ac:dyDescent="0.2">
      <c r="A2152" s="12">
        <v>40019</v>
      </c>
      <c r="B2152" s="9">
        <v>874.42</v>
      </c>
      <c r="C2152" s="9">
        <v>859.88</v>
      </c>
      <c r="D2152" s="9">
        <v>870.98</v>
      </c>
      <c r="E2152" s="9">
        <f t="shared" si="100"/>
        <v>0</v>
      </c>
      <c r="F2152" s="45">
        <f t="shared" si="101"/>
        <v>0.1045851893571051</v>
      </c>
      <c r="G2152" s="9">
        <f t="shared" si="102"/>
        <v>1.5720717826640345E-2</v>
      </c>
    </row>
    <row r="2153" spans="1:7" x14ac:dyDescent="0.2">
      <c r="A2153" s="12">
        <v>40021</v>
      </c>
      <c r="B2153" s="9">
        <v>877.4</v>
      </c>
      <c r="C2153" s="9">
        <v>849.93</v>
      </c>
      <c r="D2153" s="9">
        <v>854.62</v>
      </c>
      <c r="E2153" s="9">
        <f t="shared" si="100"/>
        <v>-1.8962088778745036E-2</v>
      </c>
      <c r="F2153" s="45">
        <f t="shared" si="101"/>
        <v>7.9611809751654647E-2</v>
      </c>
      <c r="G2153" s="9">
        <f t="shared" si="102"/>
        <v>1.6235176099751104E-2</v>
      </c>
    </row>
    <row r="2154" spans="1:7" x14ac:dyDescent="0.2">
      <c r="A2154" s="12">
        <v>40022</v>
      </c>
      <c r="B2154" s="9">
        <v>862.88</v>
      </c>
      <c r="C2154" s="9">
        <v>849.18</v>
      </c>
      <c r="D2154" s="9">
        <v>852.51</v>
      </c>
      <c r="E2154" s="9">
        <f t="shared" si="100"/>
        <v>-2.4719864034579587E-3</v>
      </c>
      <c r="F2154" s="45">
        <f t="shared" si="101"/>
        <v>9.6625985684528432E-2</v>
      </c>
      <c r="G2154" s="9">
        <f t="shared" si="102"/>
        <v>1.5724235828118042E-2</v>
      </c>
    </row>
    <row r="2155" spans="1:7" x14ac:dyDescent="0.2">
      <c r="A2155" s="12">
        <v>40023</v>
      </c>
      <c r="B2155" s="9">
        <v>859.51</v>
      </c>
      <c r="C2155" s="9">
        <v>851.4</v>
      </c>
      <c r="D2155" s="9">
        <v>858.05</v>
      </c>
      <c r="E2155" s="9">
        <f t="shared" si="100"/>
        <v>6.4774335541600003E-3</v>
      </c>
      <c r="F2155" s="45">
        <f t="shared" si="101"/>
        <v>9.7820174126545104E-2</v>
      </c>
      <c r="G2155" s="9">
        <f t="shared" si="102"/>
        <v>1.5731146862798081E-2</v>
      </c>
    </row>
    <row r="2156" spans="1:7" x14ac:dyDescent="0.2">
      <c r="A2156" s="12">
        <v>40024</v>
      </c>
      <c r="B2156" s="9">
        <v>880.29</v>
      </c>
      <c r="C2156" s="9">
        <v>857.46</v>
      </c>
      <c r="D2156" s="9">
        <v>879.2</v>
      </c>
      <c r="E2156" s="9">
        <f t="shared" si="100"/>
        <v>2.4350030241099566E-2</v>
      </c>
      <c r="F2156" s="45">
        <f t="shared" si="101"/>
        <v>0.15293061761188789</v>
      </c>
      <c r="G2156" s="9">
        <f t="shared" si="102"/>
        <v>1.4812260189242895E-2</v>
      </c>
    </row>
    <row r="2157" spans="1:7" x14ac:dyDescent="0.2">
      <c r="A2157" s="12">
        <v>40025</v>
      </c>
      <c r="B2157" s="9">
        <v>884.12</v>
      </c>
      <c r="C2157" s="9">
        <v>871.08</v>
      </c>
      <c r="D2157" s="9">
        <v>882.05</v>
      </c>
      <c r="E2157" s="9">
        <f t="shared" si="100"/>
        <v>3.236340653003239E-3</v>
      </c>
      <c r="F2157" s="45">
        <f t="shared" si="101"/>
        <v>0.15693595449758152</v>
      </c>
      <c r="G2157" s="9">
        <f t="shared" si="102"/>
        <v>1.4775562751505943E-2</v>
      </c>
    </row>
    <row r="2158" spans="1:7" x14ac:dyDescent="0.2">
      <c r="A2158" s="12">
        <v>40028</v>
      </c>
      <c r="B2158" s="9">
        <v>896.81</v>
      </c>
      <c r="C2158" s="9">
        <v>877.5</v>
      </c>
      <c r="D2158" s="9">
        <v>895.14</v>
      </c>
      <c r="E2158" s="9">
        <f t="shared" si="100"/>
        <v>1.47313868803971E-2</v>
      </c>
      <c r="F2158" s="45">
        <f t="shared" si="101"/>
        <v>0.13323459563626949</v>
      </c>
      <c r="G2158" s="9">
        <f t="shared" si="102"/>
        <v>1.3519317056116554E-2</v>
      </c>
    </row>
    <row r="2159" spans="1:7" x14ac:dyDescent="0.2">
      <c r="A2159" s="12">
        <v>40029</v>
      </c>
      <c r="B2159" s="9">
        <v>894.54</v>
      </c>
      <c r="C2159" s="9">
        <v>876.86</v>
      </c>
      <c r="D2159" s="9">
        <v>879.45</v>
      </c>
      <c r="E2159" s="9">
        <f t="shared" si="100"/>
        <v>-1.7683418544477976E-2</v>
      </c>
      <c r="F2159" s="45">
        <f t="shared" si="101"/>
        <v>0.12113163442538998</v>
      </c>
      <c r="G2159" s="9">
        <f t="shared" si="102"/>
        <v>1.4000698690460139E-2</v>
      </c>
    </row>
    <row r="2160" spans="1:7" x14ac:dyDescent="0.2">
      <c r="A2160" s="12">
        <v>40030</v>
      </c>
      <c r="B2160" s="9">
        <v>888.57</v>
      </c>
      <c r="C2160" s="9">
        <v>871.88</v>
      </c>
      <c r="D2160" s="9">
        <v>874.46</v>
      </c>
      <c r="E2160" s="9">
        <f t="shared" si="100"/>
        <v>-5.6901590889010117E-3</v>
      </c>
      <c r="F2160" s="45">
        <f t="shared" si="101"/>
        <v>0.10560704737715954</v>
      </c>
      <c r="G2160" s="9">
        <f t="shared" si="102"/>
        <v>1.4065810143432741E-2</v>
      </c>
    </row>
    <row r="2161" spans="1:7" x14ac:dyDescent="0.2">
      <c r="A2161" s="12">
        <v>40031</v>
      </c>
      <c r="B2161" s="9">
        <v>884.51</v>
      </c>
      <c r="C2161" s="9">
        <v>869.27</v>
      </c>
      <c r="D2161" s="9">
        <v>873.88</v>
      </c>
      <c r="E2161" s="9">
        <f t="shared" si="100"/>
        <v>-6.6348653154085031E-4</v>
      </c>
      <c r="F2161" s="45">
        <f t="shared" si="101"/>
        <v>8.2933433728371989E-2</v>
      </c>
      <c r="G2161" s="9">
        <f t="shared" si="102"/>
        <v>1.3640778647163855E-2</v>
      </c>
    </row>
    <row r="2162" spans="1:7" x14ac:dyDescent="0.2">
      <c r="A2162" s="12">
        <v>40032</v>
      </c>
      <c r="B2162" s="9">
        <v>893.96</v>
      </c>
      <c r="C2162" s="9">
        <v>864.08</v>
      </c>
      <c r="D2162" s="9">
        <v>892.19</v>
      </c>
      <c r="E2162" s="9">
        <f t="shared" si="100"/>
        <v>2.0736047924188025E-2</v>
      </c>
      <c r="F2162" s="45">
        <f t="shared" si="101"/>
        <v>0.11433121638925184</v>
      </c>
      <c r="G2162" s="9">
        <f t="shared" si="102"/>
        <v>1.3778931647619211E-2</v>
      </c>
    </row>
    <row r="2163" spans="1:7" x14ac:dyDescent="0.2">
      <c r="A2163" s="12">
        <v>40035</v>
      </c>
      <c r="B2163" s="9">
        <v>892.19</v>
      </c>
      <c r="C2163" s="9">
        <v>880.5</v>
      </c>
      <c r="D2163" s="9">
        <v>883.14</v>
      </c>
      <c r="E2163" s="9">
        <f t="shared" si="100"/>
        <v>-1.0195375949529802E-2</v>
      </c>
      <c r="F2163" s="45">
        <f t="shared" si="101"/>
        <v>8.1891990729938621E-2</v>
      </c>
      <c r="G2163" s="9">
        <f t="shared" si="102"/>
        <v>1.3553526368756017E-2</v>
      </c>
    </row>
    <row r="2164" spans="1:7" x14ac:dyDescent="0.2">
      <c r="A2164" s="12">
        <v>40036</v>
      </c>
      <c r="B2164" s="9">
        <v>890.8</v>
      </c>
      <c r="C2164" s="9">
        <v>861.74</v>
      </c>
      <c r="D2164" s="9">
        <v>864.03</v>
      </c>
      <c r="E2164" s="9">
        <f t="shared" si="100"/>
        <v>-2.1876248009074936E-2</v>
      </c>
      <c r="F2164" s="45">
        <f t="shared" si="101"/>
        <v>8.6478078145040882E-2</v>
      </c>
      <c r="G2164" s="9">
        <f t="shared" si="102"/>
        <v>1.3235037880022166E-2</v>
      </c>
    </row>
    <row r="2165" spans="1:7" x14ac:dyDescent="0.2">
      <c r="A2165" s="12">
        <v>40037</v>
      </c>
      <c r="B2165" s="9">
        <v>877.41</v>
      </c>
      <c r="C2165" s="9">
        <v>859.27</v>
      </c>
      <c r="D2165" s="9">
        <v>876.71</v>
      </c>
      <c r="E2165" s="9">
        <f t="shared" si="100"/>
        <v>1.4568774516414472E-2</v>
      </c>
      <c r="F2165" s="45">
        <f t="shared" si="101"/>
        <v>0.10357386139769312</v>
      </c>
      <c r="G2165" s="9">
        <f t="shared" si="102"/>
        <v>1.3361526250405317E-2</v>
      </c>
    </row>
    <row r="2166" spans="1:7" x14ac:dyDescent="0.2">
      <c r="A2166" s="12">
        <v>40038</v>
      </c>
      <c r="B2166" s="9">
        <v>898.16</v>
      </c>
      <c r="C2166" s="9">
        <v>876.95</v>
      </c>
      <c r="D2166" s="9">
        <v>888.87</v>
      </c>
      <c r="E2166" s="9">
        <f t="shared" si="100"/>
        <v>1.3774728160079118E-2</v>
      </c>
      <c r="F2166" s="45">
        <f t="shared" si="101"/>
        <v>0.12638416402779148</v>
      </c>
      <c r="G2166" s="9">
        <f t="shared" si="102"/>
        <v>1.3275120087267061E-2</v>
      </c>
    </row>
    <row r="2167" spans="1:7" x14ac:dyDescent="0.2">
      <c r="A2167" s="12">
        <v>40039</v>
      </c>
      <c r="B2167" s="9">
        <v>894.29</v>
      </c>
      <c r="C2167" s="9">
        <v>871.08</v>
      </c>
      <c r="D2167" s="9">
        <v>876.74</v>
      </c>
      <c r="E2167" s="9">
        <f t="shared" si="100"/>
        <v>-1.3740509904636631E-2</v>
      </c>
      <c r="F2167" s="45">
        <f t="shared" si="101"/>
        <v>0.11108743211126774</v>
      </c>
      <c r="G2167" s="9">
        <f t="shared" si="102"/>
        <v>1.3668614965145045E-2</v>
      </c>
    </row>
    <row r="2168" spans="1:7" x14ac:dyDescent="0.2">
      <c r="A2168" s="12">
        <v>40042</v>
      </c>
      <c r="B2168" s="9">
        <v>876.74</v>
      </c>
      <c r="C2168" s="9">
        <v>853.26</v>
      </c>
      <c r="D2168" s="9">
        <v>858.15</v>
      </c>
      <c r="E2168" s="9">
        <f t="shared" si="100"/>
        <v>-2.1431573812685151E-2</v>
      </c>
      <c r="F2168" s="45">
        <f t="shared" si="101"/>
        <v>9.8720989132781309E-2</v>
      </c>
      <c r="G2168" s="9">
        <f t="shared" si="102"/>
        <v>1.4241418353909473E-2</v>
      </c>
    </row>
    <row r="2169" spans="1:7" x14ac:dyDescent="0.2">
      <c r="A2169" s="12">
        <v>40043</v>
      </c>
      <c r="B2169" s="9">
        <v>876.58</v>
      </c>
      <c r="C2169" s="9">
        <v>858.63</v>
      </c>
      <c r="D2169" s="9">
        <v>873.1</v>
      </c>
      <c r="E2169" s="9">
        <f t="shared" si="100"/>
        <v>1.7271187434114557E-2</v>
      </c>
      <c r="F2169" s="45">
        <f t="shared" si="101"/>
        <v>0.11534927990967347</v>
      </c>
      <c r="G2169" s="9">
        <f t="shared" si="102"/>
        <v>1.4456770773978353E-2</v>
      </c>
    </row>
    <row r="2170" spans="1:7" x14ac:dyDescent="0.2">
      <c r="A2170" s="12">
        <v>40044</v>
      </c>
      <c r="B2170" s="9">
        <v>872.74</v>
      </c>
      <c r="C2170" s="9">
        <v>857.37</v>
      </c>
      <c r="D2170" s="9">
        <v>869.23</v>
      </c>
      <c r="E2170" s="9">
        <f t="shared" si="100"/>
        <v>-4.4423345340105606E-3</v>
      </c>
      <c r="F2170" s="45">
        <f t="shared" si="101"/>
        <v>0.11588086195060085</v>
      </c>
      <c r="G2170" s="9">
        <f t="shared" si="102"/>
        <v>1.444591058403461E-2</v>
      </c>
    </row>
    <row r="2171" spans="1:7" x14ac:dyDescent="0.2">
      <c r="A2171" s="12">
        <v>40045</v>
      </c>
      <c r="B2171" s="9">
        <v>889.07</v>
      </c>
      <c r="C2171" s="9">
        <v>869.72</v>
      </c>
      <c r="D2171" s="9">
        <v>886.46</v>
      </c>
      <c r="E2171" s="9">
        <f t="shared" si="100"/>
        <v>1.9628240950121088E-2</v>
      </c>
      <c r="F2171" s="45">
        <f t="shared" si="101"/>
        <v>0.12029193353090985</v>
      </c>
      <c r="G2171" s="9">
        <f t="shared" si="102"/>
        <v>1.4587223280180332E-2</v>
      </c>
    </row>
    <row r="2172" spans="1:7" x14ac:dyDescent="0.2">
      <c r="A2172" s="12">
        <v>40046</v>
      </c>
      <c r="B2172" s="9">
        <v>917.18</v>
      </c>
      <c r="C2172" s="9">
        <v>884.08</v>
      </c>
      <c r="D2172" s="9">
        <v>913.84</v>
      </c>
      <c r="E2172" s="9">
        <f t="shared" si="100"/>
        <v>3.0419498192819191E-2</v>
      </c>
      <c r="F2172" s="45">
        <f t="shared" si="101"/>
        <v>0.14019427778660529</v>
      </c>
      <c r="G2172" s="9">
        <f t="shared" si="102"/>
        <v>1.5327180285247851E-2</v>
      </c>
    </row>
    <row r="2173" spans="1:7" x14ac:dyDescent="0.2">
      <c r="A2173" s="12">
        <v>40049</v>
      </c>
      <c r="B2173" s="9">
        <v>925.03</v>
      </c>
      <c r="C2173" s="9">
        <v>912.4</v>
      </c>
      <c r="D2173" s="9">
        <v>921.63</v>
      </c>
      <c r="E2173" s="9">
        <f t="shared" si="100"/>
        <v>8.4883400694608369E-3</v>
      </c>
      <c r="F2173" s="45">
        <f t="shared" si="101"/>
        <v>0.11570599755348594</v>
      </c>
      <c r="G2173" s="9">
        <f t="shared" si="102"/>
        <v>1.4391365820368566E-2</v>
      </c>
    </row>
    <row r="2174" spans="1:7" x14ac:dyDescent="0.2">
      <c r="A2174" s="12">
        <v>40050</v>
      </c>
      <c r="B2174" s="9">
        <v>921.03</v>
      </c>
      <c r="C2174" s="9">
        <v>908.97</v>
      </c>
      <c r="D2174" s="9">
        <v>916.06</v>
      </c>
      <c r="E2174" s="9">
        <f t="shared" si="100"/>
        <v>-6.0619767827906111E-3</v>
      </c>
      <c r="F2174" s="45">
        <f t="shared" si="101"/>
        <v>0.10672477234964024</v>
      </c>
      <c r="G2174" s="9">
        <f t="shared" si="102"/>
        <v>1.4504513535517054E-2</v>
      </c>
    </row>
    <row r="2175" spans="1:7" x14ac:dyDescent="0.2">
      <c r="A2175" s="12">
        <v>40051</v>
      </c>
      <c r="B2175" s="9">
        <v>921.41</v>
      </c>
      <c r="C2175" s="9">
        <v>901.6</v>
      </c>
      <c r="D2175" s="9">
        <v>902.79</v>
      </c>
      <c r="E2175" s="9">
        <f t="shared" ref="E2175:E2238" si="103">LN(D2175/D2174)</f>
        <v>-1.459189648074883E-2</v>
      </c>
      <c r="F2175" s="45">
        <f t="shared" si="101"/>
        <v>6.9531822587218087E-2</v>
      </c>
      <c r="G2175" s="9">
        <f t="shared" si="102"/>
        <v>1.4409861402630822E-2</v>
      </c>
    </row>
    <row r="2176" spans="1:7" x14ac:dyDescent="0.2">
      <c r="A2176" s="12">
        <v>40052</v>
      </c>
      <c r="B2176" s="9">
        <v>909.18</v>
      </c>
      <c r="C2176" s="9">
        <v>894.9</v>
      </c>
      <c r="D2176" s="9">
        <v>901.95</v>
      </c>
      <c r="E2176" s="9">
        <f t="shared" si="103"/>
        <v>-9.3088207792567021E-4</v>
      </c>
      <c r="F2176" s="45">
        <f t="shared" si="101"/>
        <v>6.8600940509292524E-2</v>
      </c>
      <c r="G2176" s="9">
        <f t="shared" si="102"/>
        <v>1.4416025304965649E-2</v>
      </c>
    </row>
    <row r="2177" spans="1:7" x14ac:dyDescent="0.2">
      <c r="A2177" s="12">
        <v>40053</v>
      </c>
      <c r="B2177" s="9">
        <v>923.28</v>
      </c>
      <c r="C2177" s="9">
        <v>902.31</v>
      </c>
      <c r="D2177" s="9">
        <v>919.91</v>
      </c>
      <c r="E2177" s="9">
        <f t="shared" si="103"/>
        <v>1.9716753017158372E-2</v>
      </c>
      <c r="F2177" s="45">
        <f t="shared" si="101"/>
        <v>8.6739648195031424E-2</v>
      </c>
      <c r="G2177" s="9">
        <f t="shared" si="102"/>
        <v>1.4761517210521581E-2</v>
      </c>
    </row>
    <row r="2178" spans="1:7" x14ac:dyDescent="0.2">
      <c r="A2178" s="12">
        <v>40056</v>
      </c>
      <c r="B2178" s="9">
        <v>919.67</v>
      </c>
      <c r="C2178" s="9">
        <v>901.72</v>
      </c>
      <c r="D2178" s="9">
        <v>904.84</v>
      </c>
      <c r="E2178" s="9">
        <f t="shared" si="103"/>
        <v>-1.6517706681210845E-2</v>
      </c>
      <c r="F2178" s="45">
        <f t="shared" si="101"/>
        <v>5.986648789423054E-2</v>
      </c>
      <c r="G2178" s="9">
        <f t="shared" si="102"/>
        <v>1.5104343070198312E-2</v>
      </c>
    </row>
    <row r="2179" spans="1:7" x14ac:dyDescent="0.2">
      <c r="A2179" s="12">
        <v>40057</v>
      </c>
      <c r="B2179" s="9">
        <v>911.18</v>
      </c>
      <c r="C2179" s="9">
        <v>884.76</v>
      </c>
      <c r="D2179" s="9">
        <v>888.5</v>
      </c>
      <c r="E2179" s="9">
        <f t="shared" si="103"/>
        <v>-1.8223484894928779E-2</v>
      </c>
      <c r="F2179" s="45">
        <f t="shared" si="101"/>
        <v>4.0892340269642294E-2</v>
      </c>
      <c r="G2179" s="9">
        <f t="shared" si="102"/>
        <v>1.5548980686260372E-2</v>
      </c>
    </row>
    <row r="2180" spans="1:7" x14ac:dyDescent="0.2">
      <c r="A2180" s="12">
        <v>40058</v>
      </c>
      <c r="B2180" s="9">
        <v>889.3</v>
      </c>
      <c r="C2180" s="9">
        <v>867.88</v>
      </c>
      <c r="D2180" s="9">
        <v>873.35</v>
      </c>
      <c r="E2180" s="9">
        <f t="shared" si="103"/>
        <v>-1.7198255720304187E-2</v>
      </c>
      <c r="F2180" s="45">
        <f t="shared" si="101"/>
        <v>1.6731227115885517E-3</v>
      </c>
      <c r="G2180" s="9">
        <f t="shared" si="102"/>
        <v>1.5400242484732159E-2</v>
      </c>
    </row>
    <row r="2181" spans="1:7" x14ac:dyDescent="0.2">
      <c r="A2181" s="12">
        <v>40059</v>
      </c>
      <c r="B2181" s="9">
        <v>888.19</v>
      </c>
      <c r="C2181" s="9">
        <v>871.84</v>
      </c>
      <c r="D2181" s="9">
        <v>879.28</v>
      </c>
      <c r="E2181" s="9">
        <f t="shared" si="103"/>
        <v>6.7669988862429468E-3</v>
      </c>
      <c r="F2181" s="45">
        <f t="shared" si="101"/>
        <v>9.4843762842897542E-3</v>
      </c>
      <c r="G2181" s="9">
        <f t="shared" si="102"/>
        <v>1.5446965174555917E-2</v>
      </c>
    </row>
    <row r="2182" spans="1:7" x14ac:dyDescent="0.2">
      <c r="A2182" s="12">
        <v>40060</v>
      </c>
      <c r="B2182" s="9">
        <v>893.48</v>
      </c>
      <c r="C2182" s="9">
        <v>879.16</v>
      </c>
      <c r="D2182" s="9">
        <v>891.39</v>
      </c>
      <c r="E2182" s="9">
        <f t="shared" si="103"/>
        <v>1.3678651380605773E-2</v>
      </c>
      <c r="F2182" s="45">
        <f t="shared" si="101"/>
        <v>2.3163027664895499E-2</v>
      </c>
      <c r="G2182" s="9">
        <f t="shared" si="102"/>
        <v>1.5638009635055326E-2</v>
      </c>
    </row>
    <row r="2183" spans="1:7" x14ac:dyDescent="0.2">
      <c r="A2183" s="12">
        <v>40063</v>
      </c>
      <c r="B2183" s="9">
        <v>903.75</v>
      </c>
      <c r="C2183" s="9">
        <v>892.35</v>
      </c>
      <c r="D2183" s="9">
        <v>903.62</v>
      </c>
      <c r="E2183" s="9">
        <f t="shared" si="103"/>
        <v>1.3626875895123364E-2</v>
      </c>
      <c r="F2183" s="45">
        <f t="shared" si="101"/>
        <v>5.5751992338764038E-2</v>
      </c>
      <c r="G2183" s="9">
        <f t="shared" si="102"/>
        <v>1.5349130782465801E-2</v>
      </c>
    </row>
    <row r="2184" spans="1:7" x14ac:dyDescent="0.2">
      <c r="A2184" s="12">
        <v>40064</v>
      </c>
      <c r="B2184" s="9">
        <v>908.86</v>
      </c>
      <c r="C2184" s="9">
        <v>900.67</v>
      </c>
      <c r="D2184" s="9">
        <v>905.68</v>
      </c>
      <c r="E2184" s="9">
        <f t="shared" si="103"/>
        <v>2.2771247334798877E-3</v>
      </c>
      <c r="F2184" s="45">
        <f t="shared" si="101"/>
        <v>6.0501103475701867E-2</v>
      </c>
      <c r="G2184" s="9">
        <f t="shared" si="102"/>
        <v>1.5327403835859786E-2</v>
      </c>
    </row>
    <row r="2185" spans="1:7" x14ac:dyDescent="0.2">
      <c r="A2185" s="12">
        <v>40065</v>
      </c>
      <c r="B2185" s="9">
        <v>921.75</v>
      </c>
      <c r="C2185" s="9">
        <v>901</v>
      </c>
      <c r="D2185" s="9">
        <v>921.48</v>
      </c>
      <c r="E2185" s="9">
        <f t="shared" si="103"/>
        <v>1.7295030360598592E-2</v>
      </c>
      <c r="F2185" s="45">
        <f t="shared" si="101"/>
        <v>7.1318700282140435E-2</v>
      </c>
      <c r="G2185" s="9">
        <f t="shared" si="102"/>
        <v>1.5561422705766281E-2</v>
      </c>
    </row>
    <row r="2186" spans="1:7" x14ac:dyDescent="0.2">
      <c r="A2186" s="12">
        <v>40066</v>
      </c>
      <c r="B2186" s="9">
        <v>926.68</v>
      </c>
      <c r="C2186" s="9">
        <v>909.54</v>
      </c>
      <c r="D2186" s="9">
        <v>916.53</v>
      </c>
      <c r="E2186" s="9">
        <f t="shared" si="103"/>
        <v>-5.3862731621905262E-3</v>
      </c>
      <c r="F2186" s="45">
        <f t="shared" si="101"/>
        <v>4.1582396878850389E-2</v>
      </c>
      <c r="G2186" s="9">
        <f t="shared" si="102"/>
        <v>1.5052294013914735E-2</v>
      </c>
    </row>
    <row r="2187" spans="1:7" x14ac:dyDescent="0.2">
      <c r="A2187" s="12">
        <v>40067</v>
      </c>
      <c r="B2187" s="9">
        <v>921.15</v>
      </c>
      <c r="C2187" s="9">
        <v>913.4</v>
      </c>
      <c r="D2187" s="9">
        <v>918.19</v>
      </c>
      <c r="E2187" s="9">
        <f t="shared" si="103"/>
        <v>1.8095409141057773E-3</v>
      </c>
      <c r="F2187" s="45">
        <f t="shared" si="101"/>
        <v>4.0155597139952877E-2</v>
      </c>
      <c r="G2187" s="9">
        <f t="shared" si="102"/>
        <v>1.5048499860096426E-2</v>
      </c>
    </row>
    <row r="2188" spans="1:7" x14ac:dyDescent="0.2">
      <c r="A2188" s="12">
        <v>40070</v>
      </c>
      <c r="B2188" s="9">
        <v>917.22</v>
      </c>
      <c r="C2188" s="9">
        <v>901.16</v>
      </c>
      <c r="D2188" s="9">
        <v>914.31</v>
      </c>
      <c r="E2188" s="9">
        <f t="shared" si="103"/>
        <v>-4.2346584426948353E-3</v>
      </c>
      <c r="F2188" s="45">
        <f t="shared" si="101"/>
        <v>2.1189551816861007E-2</v>
      </c>
      <c r="G2188" s="9">
        <f t="shared" si="102"/>
        <v>1.4863707433852366E-2</v>
      </c>
    </row>
    <row r="2189" spans="1:7" x14ac:dyDescent="0.2">
      <c r="A2189" s="12">
        <v>40071</v>
      </c>
      <c r="B2189" s="9">
        <v>919.99</v>
      </c>
      <c r="C2189" s="9">
        <v>909.27</v>
      </c>
      <c r="D2189" s="9">
        <v>913.07</v>
      </c>
      <c r="E2189" s="9">
        <f t="shared" si="103"/>
        <v>-1.3571344660888074E-3</v>
      </c>
      <c r="F2189" s="45">
        <f t="shared" si="101"/>
        <v>3.7515835895250184E-2</v>
      </c>
      <c r="G2189" s="9">
        <f t="shared" si="102"/>
        <v>1.4460594083690622E-2</v>
      </c>
    </row>
    <row r="2190" spans="1:7" x14ac:dyDescent="0.2">
      <c r="A2190" s="12">
        <v>40072</v>
      </c>
      <c r="B2190" s="9">
        <v>925.27</v>
      </c>
      <c r="C2190" s="9">
        <v>913.55</v>
      </c>
      <c r="D2190" s="9">
        <v>918.44</v>
      </c>
      <c r="E2190" s="9">
        <f t="shared" si="103"/>
        <v>5.8640306502383043E-3</v>
      </c>
      <c r="F2190" s="45">
        <f t="shared" si="101"/>
        <v>4.9070025634389544E-2</v>
      </c>
      <c r="G2190" s="9">
        <f t="shared" si="102"/>
        <v>1.4423180519040478E-2</v>
      </c>
    </row>
    <row r="2191" spans="1:7" x14ac:dyDescent="0.2">
      <c r="A2191" s="12">
        <v>40073</v>
      </c>
      <c r="B2191" s="9">
        <v>929.59</v>
      </c>
      <c r="C2191" s="9">
        <v>918.95</v>
      </c>
      <c r="D2191" s="9">
        <v>923.82</v>
      </c>
      <c r="E2191" s="9">
        <f t="shared" si="103"/>
        <v>5.8406688460600851E-3</v>
      </c>
      <c r="F2191" s="45">
        <f t="shared" si="101"/>
        <v>5.5574181011990492E-2</v>
      </c>
      <c r="G2191" s="9">
        <f t="shared" si="102"/>
        <v>1.4436306892897934E-2</v>
      </c>
    </row>
    <row r="2192" spans="1:7" x14ac:dyDescent="0.2">
      <c r="A2192" s="12">
        <v>40074</v>
      </c>
      <c r="B2192" s="9">
        <v>923.47</v>
      </c>
      <c r="C2192" s="9">
        <v>909.23</v>
      </c>
      <c r="D2192" s="9">
        <v>920.23</v>
      </c>
      <c r="E2192" s="9">
        <f t="shared" si="103"/>
        <v>-3.8936086715891105E-3</v>
      </c>
      <c r="F2192" s="45">
        <f t="shared" si="101"/>
        <v>3.0944524416213294E-2</v>
      </c>
      <c r="G2192" s="9">
        <f t="shared" si="102"/>
        <v>1.4019701797506112E-2</v>
      </c>
    </row>
    <row r="2193" spans="1:7" x14ac:dyDescent="0.2">
      <c r="A2193" s="12">
        <v>40077</v>
      </c>
      <c r="B2193" s="9">
        <v>920.26</v>
      </c>
      <c r="C2193" s="9">
        <v>910.5</v>
      </c>
      <c r="D2193" s="9">
        <v>913.05</v>
      </c>
      <c r="E2193" s="9">
        <f t="shared" si="103"/>
        <v>-7.8329951902502901E-3</v>
      </c>
      <c r="F2193" s="45">
        <f t="shared" si="101"/>
        <v>3.3306905175492688E-2</v>
      </c>
      <c r="G2193" s="9">
        <f t="shared" si="102"/>
        <v>1.3960979728534929E-2</v>
      </c>
    </row>
    <row r="2194" spans="1:7" x14ac:dyDescent="0.2">
      <c r="A2194" s="12">
        <v>40078</v>
      </c>
      <c r="B2194" s="9">
        <v>923.73</v>
      </c>
      <c r="C2194" s="9">
        <v>912.93</v>
      </c>
      <c r="D2194" s="9">
        <v>922.24</v>
      </c>
      <c r="E2194" s="9">
        <f t="shared" si="103"/>
        <v>1.0014849763059552E-2</v>
      </c>
      <c r="F2194" s="45">
        <f t="shared" si="101"/>
        <v>6.5198002947627245E-2</v>
      </c>
      <c r="G2194" s="9">
        <f t="shared" si="102"/>
        <v>1.3351187938095574E-2</v>
      </c>
    </row>
    <row r="2195" spans="1:7" x14ac:dyDescent="0.2">
      <c r="A2195" s="12">
        <v>40079</v>
      </c>
      <c r="B2195" s="9">
        <v>928.94</v>
      </c>
      <c r="C2195" s="9">
        <v>920.15</v>
      </c>
      <c r="D2195" s="9">
        <v>922.99</v>
      </c>
      <c r="E2195" s="9">
        <f t="shared" si="103"/>
        <v>8.1290683687247384E-4</v>
      </c>
      <c r="F2195" s="45">
        <f t="shared" si="101"/>
        <v>5.1442135268085026E-2</v>
      </c>
      <c r="G2195" s="9">
        <f t="shared" si="102"/>
        <v>1.3145429079605741E-2</v>
      </c>
    </row>
    <row r="2196" spans="1:7" x14ac:dyDescent="0.2">
      <c r="A2196" s="12">
        <v>40080</v>
      </c>
      <c r="B2196" s="9">
        <v>922.75</v>
      </c>
      <c r="C2196" s="9">
        <v>900.07</v>
      </c>
      <c r="D2196" s="9">
        <v>901.87</v>
      </c>
      <c r="E2196" s="9">
        <f t="shared" si="103"/>
        <v>-2.3148014700751798E-2</v>
      </c>
      <c r="F2196" s="45">
        <f t="shared" si="101"/>
        <v>1.4519392407254096E-2</v>
      </c>
      <c r="G2196" s="9">
        <f t="shared" si="102"/>
        <v>1.3694369592813067E-2</v>
      </c>
    </row>
    <row r="2197" spans="1:7" x14ac:dyDescent="0.2">
      <c r="A2197" s="12">
        <v>40081</v>
      </c>
      <c r="B2197" s="9">
        <v>907.64</v>
      </c>
      <c r="C2197" s="9">
        <v>895.76</v>
      </c>
      <c r="D2197" s="9">
        <v>899.87</v>
      </c>
      <c r="E2197" s="9">
        <f t="shared" si="103"/>
        <v>-2.2200770604603962E-3</v>
      </c>
      <c r="F2197" s="45">
        <f t="shared" si="101"/>
        <v>2.6039825251430299E-2</v>
      </c>
      <c r="G2197" s="9">
        <f t="shared" si="102"/>
        <v>1.3440916433672841E-2</v>
      </c>
    </row>
    <row r="2198" spans="1:7" x14ac:dyDescent="0.2">
      <c r="A2198" s="12">
        <v>40084</v>
      </c>
      <c r="B2198" s="9">
        <v>917.23</v>
      </c>
      <c r="C2198" s="9">
        <v>889.37</v>
      </c>
      <c r="D2198" s="9">
        <v>913.55</v>
      </c>
      <c r="E2198" s="9">
        <f t="shared" si="103"/>
        <v>1.5087800410911472E-2</v>
      </c>
      <c r="F2198" s="45">
        <f t="shared" si="101"/>
        <v>6.2559199475027E-2</v>
      </c>
      <c r="G2198" s="9">
        <f t="shared" si="102"/>
        <v>1.2998097300930014E-2</v>
      </c>
    </row>
    <row r="2199" spans="1:7" x14ac:dyDescent="0.2">
      <c r="A2199" s="12">
        <v>40085</v>
      </c>
      <c r="B2199" s="9">
        <v>917.64</v>
      </c>
      <c r="C2199" s="9">
        <v>902.22</v>
      </c>
      <c r="D2199" s="9">
        <v>902.82</v>
      </c>
      <c r="E2199" s="9">
        <f t="shared" si="103"/>
        <v>-1.1814910858832659E-2</v>
      </c>
      <c r="F2199" s="45">
        <f t="shared" si="101"/>
        <v>3.3473101182079738E-2</v>
      </c>
      <c r="G2199" s="9">
        <f t="shared" si="102"/>
        <v>1.2910795408486038E-2</v>
      </c>
    </row>
    <row r="2200" spans="1:7" x14ac:dyDescent="0.2">
      <c r="A2200" s="12">
        <v>40086</v>
      </c>
      <c r="B2200" s="9">
        <v>912.33</v>
      </c>
      <c r="C2200" s="9">
        <v>892.54</v>
      </c>
      <c r="D2200" s="9">
        <v>896.76</v>
      </c>
      <c r="E2200" s="9">
        <f t="shared" si="103"/>
        <v>-6.7349302686426932E-3</v>
      </c>
      <c r="F2200" s="45">
        <f t="shared" si="101"/>
        <v>3.1180505447447653E-2</v>
      </c>
      <c r="G2200" s="9">
        <f t="shared" si="102"/>
        <v>1.2951549332630661E-2</v>
      </c>
    </row>
    <row r="2201" spans="1:7" x14ac:dyDescent="0.2">
      <c r="A2201" s="12">
        <v>40087</v>
      </c>
      <c r="B2201" s="9">
        <v>902.51</v>
      </c>
      <c r="C2201" s="9">
        <v>877.01</v>
      </c>
      <c r="D2201" s="9">
        <v>878.33</v>
      </c>
      <c r="E2201" s="9">
        <f t="shared" si="103"/>
        <v>-2.0765890496460895E-2</v>
      </c>
      <c r="F2201" s="45">
        <f t="shared" si="101"/>
        <v>-9.2136259991343391E-3</v>
      </c>
      <c r="G2201" s="9">
        <f t="shared" si="102"/>
        <v>1.3051712010655102E-2</v>
      </c>
    </row>
    <row r="2202" spans="1:7" x14ac:dyDescent="0.2">
      <c r="A2202" s="12">
        <v>40088</v>
      </c>
      <c r="B2202" s="9">
        <v>877.61</v>
      </c>
      <c r="C2202" s="9">
        <v>859.88</v>
      </c>
      <c r="D2202" s="9">
        <v>867.84</v>
      </c>
      <c r="E2202" s="9">
        <f t="shared" si="103"/>
        <v>-1.2015011361816753E-2</v>
      </c>
      <c r="F2202" s="45">
        <f t="shared" si="101"/>
        <v>-5.1648135553770291E-2</v>
      </c>
      <c r="G2202" s="9">
        <f t="shared" si="102"/>
        <v>1.1851080362285778E-2</v>
      </c>
    </row>
    <row r="2203" spans="1:7" x14ac:dyDescent="0.2">
      <c r="A2203" s="12">
        <v>40091</v>
      </c>
      <c r="B2203" s="9">
        <v>881.83</v>
      </c>
      <c r="C2203" s="9">
        <v>865.69</v>
      </c>
      <c r="D2203" s="9">
        <v>876.43</v>
      </c>
      <c r="E2203" s="9">
        <f t="shared" si="103"/>
        <v>9.8494722082987009E-3</v>
      </c>
      <c r="F2203" s="45">
        <f t="shared" si="101"/>
        <v>-5.0287003414932474E-2</v>
      </c>
      <c r="G2203" s="9">
        <f t="shared" si="102"/>
        <v>1.1894043944057736E-2</v>
      </c>
    </row>
    <row r="2204" spans="1:7" x14ac:dyDescent="0.2">
      <c r="A2204" s="12">
        <v>40092</v>
      </c>
      <c r="B2204" s="9">
        <v>894.68</v>
      </c>
      <c r="C2204" s="9">
        <v>876.66</v>
      </c>
      <c r="D2204" s="9">
        <v>891.88</v>
      </c>
      <c r="E2204" s="9">
        <f t="shared" si="103"/>
        <v>1.7474756301949685E-2</v>
      </c>
      <c r="F2204" s="45">
        <f t="shared" si="101"/>
        <v>-2.6750270330192151E-2</v>
      </c>
      <c r="G2204" s="9">
        <f t="shared" si="102"/>
        <v>1.2361843261600183E-2</v>
      </c>
    </row>
    <row r="2205" spans="1:7" x14ac:dyDescent="0.2">
      <c r="A2205" s="12">
        <v>40093</v>
      </c>
      <c r="B2205" s="9">
        <v>895.57</v>
      </c>
      <c r="C2205" s="9">
        <v>882.78</v>
      </c>
      <c r="D2205" s="9">
        <v>885.43</v>
      </c>
      <c r="E2205" s="9">
        <f t="shared" si="103"/>
        <v>-7.2581916674061059E-3</v>
      </c>
      <c r="F2205" s="45">
        <f t="shared" si="101"/>
        <v>-1.9416565516849473E-2</v>
      </c>
      <c r="G2205" s="9">
        <f t="shared" si="102"/>
        <v>1.2152314377972987E-2</v>
      </c>
    </row>
    <row r="2206" spans="1:7" x14ac:dyDescent="0.2">
      <c r="A2206" s="12">
        <v>40094</v>
      </c>
      <c r="B2206" s="9">
        <v>897.16</v>
      </c>
      <c r="C2206" s="9">
        <v>886.03</v>
      </c>
      <c r="D2206" s="9">
        <v>895.35</v>
      </c>
      <c r="E2206" s="9">
        <f t="shared" si="103"/>
        <v>1.1141300568004964E-2</v>
      </c>
      <c r="F2206" s="45">
        <f t="shared" si="101"/>
        <v>-7.3443828709188249E-3</v>
      </c>
      <c r="G2206" s="9">
        <f t="shared" si="102"/>
        <v>1.2341008737276326E-2</v>
      </c>
    </row>
    <row r="2207" spans="1:7" x14ac:dyDescent="0.2">
      <c r="A2207" s="12">
        <v>40095</v>
      </c>
      <c r="B2207" s="9">
        <v>903.97</v>
      </c>
      <c r="C2207" s="9">
        <v>892.93</v>
      </c>
      <c r="D2207" s="9">
        <v>899.7</v>
      </c>
      <c r="E2207" s="9">
        <f t="shared" si="103"/>
        <v>4.8466711403046328E-3</v>
      </c>
      <c r="F2207" s="45">
        <f t="shared" si="101"/>
        <v>-2.2214464747772566E-2</v>
      </c>
      <c r="G2207" s="9">
        <f t="shared" si="102"/>
        <v>1.1798309140124643E-2</v>
      </c>
    </row>
    <row r="2208" spans="1:7" x14ac:dyDescent="0.2">
      <c r="A2208" s="12">
        <v>40098</v>
      </c>
      <c r="B2208" s="9">
        <v>915.04</v>
      </c>
      <c r="C2208" s="9">
        <v>899.64</v>
      </c>
      <c r="D2208" s="9">
        <v>910.79</v>
      </c>
      <c r="E2208" s="9">
        <f t="shared" si="103"/>
        <v>1.2250980347432317E-2</v>
      </c>
      <c r="F2208" s="45">
        <f t="shared" si="101"/>
        <v>6.5542222808705952E-3</v>
      </c>
      <c r="G2208" s="9">
        <f t="shared" si="102"/>
        <v>1.1639813114720952E-2</v>
      </c>
    </row>
    <row r="2209" spans="1:7" x14ac:dyDescent="0.2">
      <c r="A2209" s="12">
        <v>40099</v>
      </c>
      <c r="B2209" s="9">
        <v>912.93</v>
      </c>
      <c r="C2209" s="9">
        <v>900.59</v>
      </c>
      <c r="D2209" s="9">
        <v>903.03</v>
      </c>
      <c r="E2209" s="9">
        <f t="shared" si="103"/>
        <v>-8.5565793140159902E-3</v>
      </c>
      <c r="F2209" s="45">
        <f t="shared" ref="F2209:F2272" si="104">LN(D2209/D2179)</f>
        <v>1.6221127861783445E-2</v>
      </c>
      <c r="G2209" s="9">
        <f t="shared" ref="G2209:G2272" si="105">STDEV(E2180:E2209)</f>
        <v>1.1238561960946905E-2</v>
      </c>
    </row>
    <row r="2210" spans="1:7" x14ac:dyDescent="0.2">
      <c r="A2210" s="12">
        <v>40100</v>
      </c>
      <c r="B2210" s="9">
        <v>929.54</v>
      </c>
      <c r="C2210" s="9">
        <v>903.2</v>
      </c>
      <c r="D2210" s="9">
        <v>928.59</v>
      </c>
      <c r="E2210" s="9">
        <f t="shared" si="103"/>
        <v>2.7911531171928482E-2</v>
      </c>
      <c r="F2210" s="45">
        <f t="shared" si="104"/>
        <v>6.133091475401601E-2</v>
      </c>
      <c r="G2210" s="9">
        <f t="shared" si="105"/>
        <v>1.1787653791846552E-2</v>
      </c>
    </row>
    <row r="2211" spans="1:7" x14ac:dyDescent="0.2">
      <c r="A2211" s="12">
        <v>40101</v>
      </c>
      <c r="B2211" s="9">
        <v>935.98</v>
      </c>
      <c r="C2211" s="9">
        <v>926.13</v>
      </c>
      <c r="D2211" s="9">
        <v>927.05</v>
      </c>
      <c r="E2211" s="9">
        <f t="shared" si="103"/>
        <v>-1.6598050845556213E-3</v>
      </c>
      <c r="F2211" s="45">
        <f t="shared" si="104"/>
        <v>5.2904110783217329E-2</v>
      </c>
      <c r="G2211" s="9">
        <f t="shared" si="105"/>
        <v>1.1771627530511241E-2</v>
      </c>
    </row>
    <row r="2212" spans="1:7" x14ac:dyDescent="0.2">
      <c r="A2212" s="12">
        <v>40102</v>
      </c>
      <c r="B2212" s="9">
        <v>938.63</v>
      </c>
      <c r="C2212" s="9">
        <v>927.12</v>
      </c>
      <c r="D2212" s="9">
        <v>927.76</v>
      </c>
      <c r="E2212" s="9">
        <f t="shared" si="103"/>
        <v>7.6557710458543843E-4</v>
      </c>
      <c r="F2212" s="45">
        <f t="shared" si="104"/>
        <v>3.9991036507197236E-2</v>
      </c>
      <c r="G2212" s="9">
        <f t="shared" si="105"/>
        <v>1.1555012689530776E-2</v>
      </c>
    </row>
    <row r="2213" spans="1:7" x14ac:dyDescent="0.2">
      <c r="A2213" s="12">
        <v>40105</v>
      </c>
      <c r="B2213" s="9">
        <v>945.51</v>
      </c>
      <c r="C2213" s="9">
        <v>927.4</v>
      </c>
      <c r="D2213" s="9">
        <v>941.67</v>
      </c>
      <c r="E2213" s="9">
        <f t="shared" si="103"/>
        <v>1.4881816080727524E-2</v>
      </c>
      <c r="F2213" s="45">
        <f t="shared" si="104"/>
        <v>4.1245976692801202E-2</v>
      </c>
      <c r="G2213" s="9">
        <f t="shared" si="105"/>
        <v>1.1603224402517327E-2</v>
      </c>
    </row>
    <row r="2214" spans="1:7" x14ac:dyDescent="0.2">
      <c r="A2214" s="12">
        <v>40106</v>
      </c>
      <c r="B2214" s="9">
        <v>950.89</v>
      </c>
      <c r="C2214" s="9">
        <v>938.18</v>
      </c>
      <c r="D2214" s="9">
        <v>942.67</v>
      </c>
      <c r="E2214" s="9">
        <f t="shared" si="103"/>
        <v>1.0613796808190174E-3</v>
      </c>
      <c r="F2214" s="45">
        <f t="shared" si="104"/>
        <v>4.003023164014026E-2</v>
      </c>
      <c r="G2214" s="9">
        <f t="shared" si="105"/>
        <v>1.1602087526544508E-2</v>
      </c>
    </row>
    <row r="2215" spans="1:7" x14ac:dyDescent="0.2">
      <c r="A2215" s="12">
        <v>40107</v>
      </c>
      <c r="B2215" s="9">
        <v>946.09</v>
      </c>
      <c r="C2215" s="9">
        <v>926.31</v>
      </c>
      <c r="D2215" s="9">
        <v>940.22</v>
      </c>
      <c r="E2215" s="9">
        <f t="shared" si="103"/>
        <v>-2.602383976438949E-3</v>
      </c>
      <c r="F2215" s="45">
        <f t="shared" si="104"/>
        <v>2.0132817303102808E-2</v>
      </c>
      <c r="G2215" s="9">
        <f t="shared" si="105"/>
        <v>1.1220673518172785E-2</v>
      </c>
    </row>
    <row r="2216" spans="1:7" x14ac:dyDescent="0.2">
      <c r="A2216" s="12">
        <v>40108</v>
      </c>
      <c r="B2216" s="9">
        <v>933.62</v>
      </c>
      <c r="C2216" s="9">
        <v>920.33</v>
      </c>
      <c r="D2216" s="9">
        <v>927.47</v>
      </c>
      <c r="E2216" s="9">
        <f t="shared" si="103"/>
        <v>-1.3653441488553429E-2</v>
      </c>
      <c r="F2216" s="45">
        <f t="shared" si="104"/>
        <v>1.1865648976739952E-2</v>
      </c>
      <c r="G2216" s="9">
        <f t="shared" si="105"/>
        <v>1.1473243728533419E-2</v>
      </c>
    </row>
    <row r="2217" spans="1:7" x14ac:dyDescent="0.2">
      <c r="A2217" s="12">
        <v>40109</v>
      </c>
      <c r="B2217" s="9">
        <v>942.87</v>
      </c>
      <c r="C2217" s="9">
        <v>930.23</v>
      </c>
      <c r="D2217" s="9">
        <v>932.29</v>
      </c>
      <c r="E2217" s="9">
        <f t="shared" si="103"/>
        <v>5.1834761390133826E-3</v>
      </c>
      <c r="F2217" s="45">
        <f t="shared" si="104"/>
        <v>1.5239584201647558E-2</v>
      </c>
      <c r="G2217" s="9">
        <f t="shared" si="105"/>
        <v>1.1504077145081356E-2</v>
      </c>
    </row>
    <row r="2218" spans="1:7" x14ac:dyDescent="0.2">
      <c r="A2218" s="12">
        <v>40112</v>
      </c>
      <c r="B2218" s="9">
        <v>940.12</v>
      </c>
      <c r="C2218" s="9">
        <v>915.79</v>
      </c>
      <c r="D2218" s="9">
        <v>918.24</v>
      </c>
      <c r="E2218" s="9">
        <f t="shared" si="103"/>
        <v>-1.5185130723962808E-2</v>
      </c>
      <c r="F2218" s="45">
        <f t="shared" si="104"/>
        <v>4.2891119203795373E-3</v>
      </c>
      <c r="G2218" s="9">
        <f t="shared" si="105"/>
        <v>1.1828886446463027E-2</v>
      </c>
    </row>
    <row r="2219" spans="1:7" x14ac:dyDescent="0.2">
      <c r="A2219" s="12">
        <v>40113</v>
      </c>
      <c r="B2219" s="9">
        <v>934.4</v>
      </c>
      <c r="C2219" s="9">
        <v>918.22</v>
      </c>
      <c r="D2219" s="9">
        <v>929.54</v>
      </c>
      <c r="E2219" s="9">
        <f t="shared" si="103"/>
        <v>1.2231045764702632E-2</v>
      </c>
      <c r="F2219" s="45">
        <f t="shared" si="104"/>
        <v>1.7877292151171141E-2</v>
      </c>
      <c r="G2219" s="9">
        <f t="shared" si="105"/>
        <v>1.2027942628589104E-2</v>
      </c>
    </row>
    <row r="2220" spans="1:7" x14ac:dyDescent="0.2">
      <c r="A2220" s="12">
        <v>40114</v>
      </c>
      <c r="B2220" s="9">
        <v>936.41</v>
      </c>
      <c r="C2220" s="9">
        <v>916.15</v>
      </c>
      <c r="D2220" s="9">
        <v>924.27</v>
      </c>
      <c r="E2220" s="9">
        <f t="shared" si="103"/>
        <v>-5.6856033752451674E-3</v>
      </c>
      <c r="F2220" s="45">
        <f t="shared" si="104"/>
        <v>6.3276581256874048E-3</v>
      </c>
      <c r="G2220" s="9">
        <f t="shared" si="105"/>
        <v>1.2038341839754487E-2</v>
      </c>
    </row>
    <row r="2221" spans="1:7" x14ac:dyDescent="0.2">
      <c r="A2221" s="12">
        <v>40115</v>
      </c>
      <c r="B2221" s="9">
        <v>939.87</v>
      </c>
      <c r="C2221" s="9">
        <v>915.65</v>
      </c>
      <c r="D2221" s="9">
        <v>939.82</v>
      </c>
      <c r="E2221" s="9">
        <f t="shared" si="103"/>
        <v>1.6684130816408887E-2</v>
      </c>
      <c r="F2221" s="45">
        <f t="shared" si="104"/>
        <v>1.7171120096036285E-2</v>
      </c>
      <c r="G2221" s="9">
        <f t="shared" si="105"/>
        <v>1.2371382101868493E-2</v>
      </c>
    </row>
    <row r="2222" spans="1:7" x14ac:dyDescent="0.2">
      <c r="A2222" s="12">
        <v>40116</v>
      </c>
      <c r="B2222" s="9">
        <v>949.49</v>
      </c>
      <c r="C2222" s="9">
        <v>938.99</v>
      </c>
      <c r="D2222" s="9">
        <v>944.67</v>
      </c>
      <c r="E2222" s="9">
        <f t="shared" si="103"/>
        <v>5.1472925918820221E-3</v>
      </c>
      <c r="F2222" s="45">
        <f t="shared" si="104"/>
        <v>2.6212021359507419E-2</v>
      </c>
      <c r="G2222" s="9">
        <f t="shared" si="105"/>
        <v>1.2368957390336551E-2</v>
      </c>
    </row>
    <row r="2223" spans="1:7" x14ac:dyDescent="0.2">
      <c r="A2223" s="12">
        <v>40119</v>
      </c>
      <c r="B2223" s="9">
        <v>942.34</v>
      </c>
      <c r="C2223" s="9">
        <v>923.58</v>
      </c>
      <c r="D2223" s="9">
        <v>932.06</v>
      </c>
      <c r="E2223" s="9">
        <f t="shared" si="103"/>
        <v>-1.3438469861960302E-2</v>
      </c>
      <c r="F2223" s="45">
        <f t="shared" si="104"/>
        <v>2.0606546687797475E-2</v>
      </c>
      <c r="G2223" s="9">
        <f t="shared" si="105"/>
        <v>1.2546089883096061E-2</v>
      </c>
    </row>
    <row r="2224" spans="1:7" x14ac:dyDescent="0.2">
      <c r="A2224" s="12">
        <v>40120</v>
      </c>
      <c r="B2224" s="9">
        <v>931.17</v>
      </c>
      <c r="C2224" s="9">
        <v>916.79</v>
      </c>
      <c r="D2224" s="9">
        <v>919.27</v>
      </c>
      <c r="E2224" s="9">
        <f t="shared" si="103"/>
        <v>-1.381731348412512E-2</v>
      </c>
      <c r="F2224" s="45">
        <f t="shared" si="104"/>
        <v>-3.2256165593872298E-3</v>
      </c>
      <c r="G2224" s="9">
        <f t="shared" si="105"/>
        <v>1.2688788440985558E-2</v>
      </c>
    </row>
    <row r="2225" spans="1:7" x14ac:dyDescent="0.2">
      <c r="A2225" s="12">
        <v>40121</v>
      </c>
      <c r="B2225" s="9">
        <v>938.39</v>
      </c>
      <c r="C2225" s="9">
        <v>919.33</v>
      </c>
      <c r="D2225" s="9">
        <v>937.42</v>
      </c>
      <c r="E2225" s="9">
        <f t="shared" si="103"/>
        <v>1.9551544058421133E-2</v>
      </c>
      <c r="F2225" s="45">
        <f t="shared" si="104"/>
        <v>1.5513020662161337E-2</v>
      </c>
      <c r="G2225" s="9">
        <f t="shared" si="105"/>
        <v>1.3187091774821838E-2</v>
      </c>
    </row>
    <row r="2226" spans="1:7" x14ac:dyDescent="0.2">
      <c r="A2226" s="12">
        <v>40122</v>
      </c>
      <c r="B2226" s="9">
        <v>950.26</v>
      </c>
      <c r="C2226" s="9">
        <v>926.82</v>
      </c>
      <c r="D2226" s="9">
        <v>944.22</v>
      </c>
      <c r="E2226" s="9">
        <f t="shared" si="103"/>
        <v>7.227768970691514E-3</v>
      </c>
      <c r="F2226" s="45">
        <f t="shared" si="104"/>
        <v>4.5888804333604705E-2</v>
      </c>
      <c r="G2226" s="9">
        <f t="shared" si="105"/>
        <v>1.2453114003010071E-2</v>
      </c>
    </row>
    <row r="2227" spans="1:7" x14ac:dyDescent="0.2">
      <c r="A2227" s="12">
        <v>40123</v>
      </c>
      <c r="B2227" s="9">
        <v>950.18</v>
      </c>
      <c r="C2227" s="9">
        <v>934.24</v>
      </c>
      <c r="D2227" s="9">
        <v>941.48</v>
      </c>
      <c r="E2227" s="9">
        <f t="shared" si="103"/>
        <v>-2.9060846670728884E-3</v>
      </c>
      <c r="F2227" s="45">
        <f t="shared" si="104"/>
        <v>4.52027967269924E-2</v>
      </c>
      <c r="G2227" s="9">
        <f t="shared" si="105"/>
        <v>1.2460864215752229E-2</v>
      </c>
    </row>
    <row r="2228" spans="1:7" x14ac:dyDescent="0.2">
      <c r="A2228" s="12">
        <v>40126</v>
      </c>
      <c r="B2228" s="9">
        <v>961.11</v>
      </c>
      <c r="C2228" s="9">
        <v>941.54</v>
      </c>
      <c r="D2228" s="9">
        <v>960.46</v>
      </c>
      <c r="E2228" s="9">
        <f t="shared" si="103"/>
        <v>1.995923119110541E-2</v>
      </c>
      <c r="F2228" s="45">
        <f t="shared" si="104"/>
        <v>5.0074227507186216E-2</v>
      </c>
      <c r="G2228" s="9">
        <f t="shared" si="105"/>
        <v>1.2673865290498699E-2</v>
      </c>
    </row>
    <row r="2229" spans="1:7" x14ac:dyDescent="0.2">
      <c r="A2229" s="12">
        <v>40127</v>
      </c>
      <c r="B2229" s="9">
        <v>961.72</v>
      </c>
      <c r="C2229" s="9">
        <v>953.57</v>
      </c>
      <c r="D2229" s="9">
        <v>957.98</v>
      </c>
      <c r="E2229" s="9">
        <f t="shared" si="103"/>
        <v>-2.5854354386463398E-3</v>
      </c>
      <c r="F2229" s="45">
        <f t="shared" si="104"/>
        <v>5.9303702927372505E-2</v>
      </c>
      <c r="G2229" s="9">
        <f t="shared" si="105"/>
        <v>1.2445219699606699E-2</v>
      </c>
    </row>
    <row r="2230" spans="1:7" x14ac:dyDescent="0.2">
      <c r="A2230" s="12">
        <v>40128</v>
      </c>
      <c r="B2230" s="9">
        <v>968.14</v>
      </c>
      <c r="C2230" s="9">
        <v>958.46</v>
      </c>
      <c r="D2230" s="9">
        <v>964.55</v>
      </c>
      <c r="E2230" s="9">
        <f t="shared" si="103"/>
        <v>6.8347704076841377E-3</v>
      </c>
      <c r="F2230" s="45">
        <f t="shared" si="104"/>
        <v>7.2873403603699191E-2</v>
      </c>
      <c r="G2230" s="9">
        <f t="shared" si="105"/>
        <v>1.236400408887085E-2</v>
      </c>
    </row>
    <row r="2231" spans="1:7" x14ac:dyDescent="0.2">
      <c r="A2231" s="12">
        <v>40129</v>
      </c>
      <c r="B2231" s="9">
        <v>976.86</v>
      </c>
      <c r="C2231" s="9">
        <v>963.32</v>
      </c>
      <c r="D2231" s="9">
        <v>970.36</v>
      </c>
      <c r="E2231" s="9">
        <f t="shared" si="103"/>
        <v>6.0054653309534554E-3</v>
      </c>
      <c r="F2231" s="45">
        <f t="shared" si="104"/>
        <v>9.9644759431113589E-2</v>
      </c>
      <c r="G2231" s="9">
        <f t="shared" si="105"/>
        <v>1.1572978661072018E-2</v>
      </c>
    </row>
    <row r="2232" spans="1:7" x14ac:dyDescent="0.2">
      <c r="A2232" s="12">
        <v>40130</v>
      </c>
      <c r="B2232" s="9">
        <v>971.53</v>
      </c>
      <c r="C2232" s="9">
        <v>962.36</v>
      </c>
      <c r="D2232" s="9">
        <v>967.44</v>
      </c>
      <c r="E2232" s="9">
        <f t="shared" si="103"/>
        <v>-3.0137291878316727E-3</v>
      </c>
      <c r="F2232" s="45">
        <f t="shared" si="104"/>
        <v>0.10864604160509878</v>
      </c>
      <c r="G2232" s="9">
        <f t="shared" si="105"/>
        <v>1.1274486211572397E-2</v>
      </c>
    </row>
    <row r="2233" spans="1:7" x14ac:dyDescent="0.2">
      <c r="A2233" s="12">
        <v>40133</v>
      </c>
      <c r="B2233" s="9">
        <v>975.52</v>
      </c>
      <c r="C2233" s="9">
        <v>967.34</v>
      </c>
      <c r="D2233" s="9">
        <v>975.01</v>
      </c>
      <c r="E2233" s="9">
        <f t="shared" si="103"/>
        <v>7.7943198784869586E-3</v>
      </c>
      <c r="F2233" s="45">
        <f t="shared" si="104"/>
        <v>0.10659088927528698</v>
      </c>
      <c r="G2233" s="9">
        <f t="shared" si="105"/>
        <v>1.1241535180111147E-2</v>
      </c>
    </row>
    <row r="2234" spans="1:7" x14ac:dyDescent="0.2">
      <c r="A2234" s="12">
        <v>40134</v>
      </c>
      <c r="B2234" s="9">
        <v>974.65</v>
      </c>
      <c r="C2234" s="9">
        <v>963.76</v>
      </c>
      <c r="D2234" s="9">
        <v>964.52</v>
      </c>
      <c r="E2234" s="9">
        <f t="shared" si="103"/>
        <v>-1.0817159092002577E-2</v>
      </c>
      <c r="F2234" s="45">
        <f t="shared" si="104"/>
        <v>7.8298973881334527E-2</v>
      </c>
      <c r="G2234" s="9">
        <f t="shared" si="105"/>
        <v>1.1220052940275048E-2</v>
      </c>
    </row>
    <row r="2235" spans="1:7" x14ac:dyDescent="0.2">
      <c r="A2235" s="12">
        <v>40135</v>
      </c>
      <c r="B2235" s="9">
        <v>972.35</v>
      </c>
      <c r="C2235" s="9">
        <v>964.7</v>
      </c>
      <c r="D2235" s="9">
        <v>965.88</v>
      </c>
      <c r="E2235" s="9">
        <f t="shared" si="103"/>
        <v>1.4090346301384802E-3</v>
      </c>
      <c r="F2235" s="45">
        <f t="shared" si="104"/>
        <v>8.6966200178878988E-2</v>
      </c>
      <c r="G2235" s="9">
        <f t="shared" si="105"/>
        <v>1.1067747065981978E-2</v>
      </c>
    </row>
    <row r="2236" spans="1:7" x14ac:dyDescent="0.2">
      <c r="A2236" s="12">
        <v>40136</v>
      </c>
      <c r="B2236" s="9">
        <v>965.92</v>
      </c>
      <c r="C2236" s="9">
        <v>949.21</v>
      </c>
      <c r="D2236" s="9">
        <v>951.44</v>
      </c>
      <c r="E2236" s="9">
        <f t="shared" si="103"/>
        <v>-1.5062976474652816E-2</v>
      </c>
      <c r="F2236" s="45">
        <f t="shared" si="104"/>
        <v>6.0761923136221314E-2</v>
      </c>
      <c r="G2236" s="9">
        <f t="shared" si="105"/>
        <v>1.1423142520079461E-2</v>
      </c>
    </row>
    <row r="2237" spans="1:7" x14ac:dyDescent="0.2">
      <c r="A2237" s="12">
        <v>40137</v>
      </c>
      <c r="B2237" s="9">
        <v>959.25</v>
      </c>
      <c r="C2237" s="9">
        <v>947.39</v>
      </c>
      <c r="D2237" s="9">
        <v>951.57</v>
      </c>
      <c r="E2237" s="9">
        <f t="shared" si="103"/>
        <v>1.3662566166474597E-4</v>
      </c>
      <c r="F2237" s="45">
        <f t="shared" si="104"/>
        <v>5.6051877657581441E-2</v>
      </c>
      <c r="G2237" s="9">
        <f t="shared" si="105"/>
        <v>1.1415394559051099E-2</v>
      </c>
    </row>
    <row r="2238" spans="1:7" x14ac:dyDescent="0.2">
      <c r="A2238" s="12">
        <v>40140</v>
      </c>
      <c r="B2238" s="9">
        <v>976.6</v>
      </c>
      <c r="C2238" s="9">
        <v>951.69</v>
      </c>
      <c r="D2238" s="9">
        <v>975.47</v>
      </c>
      <c r="E2238" s="9">
        <f t="shared" si="103"/>
        <v>2.4806154049849673E-2</v>
      </c>
      <c r="F2238" s="45">
        <f t="shared" si="104"/>
        <v>6.8607051359998894E-2</v>
      </c>
      <c r="G2238" s="9">
        <f t="shared" si="105"/>
        <v>1.2023130051636228E-2</v>
      </c>
    </row>
    <row r="2239" spans="1:7" x14ac:dyDescent="0.2">
      <c r="A2239" s="12">
        <v>40141</v>
      </c>
      <c r="B2239" s="9">
        <v>976.16</v>
      </c>
      <c r="C2239" s="9">
        <v>965.54</v>
      </c>
      <c r="D2239" s="9">
        <v>965.54</v>
      </c>
      <c r="E2239" s="9">
        <f t="shared" ref="E2239:E2302" si="106">LN(D2239/D2238)</f>
        <v>-1.023187580886779E-2</v>
      </c>
      <c r="F2239" s="45">
        <f t="shared" si="104"/>
        <v>6.6931754865147047E-2</v>
      </c>
      <c r="G2239" s="9">
        <f t="shared" si="105"/>
        <v>1.2078991718066921E-2</v>
      </c>
    </row>
    <row r="2240" spans="1:7" x14ac:dyDescent="0.2">
      <c r="A2240" s="12">
        <v>40142</v>
      </c>
      <c r="B2240" s="9">
        <v>974.48</v>
      </c>
      <c r="C2240" s="9">
        <v>963.18</v>
      </c>
      <c r="D2240" s="9">
        <v>971.42</v>
      </c>
      <c r="E2240" s="9">
        <f t="shared" si="106"/>
        <v>6.0713882189087709E-3</v>
      </c>
      <c r="F2240" s="45">
        <f t="shared" si="104"/>
        <v>4.5091611912127558E-2</v>
      </c>
      <c r="G2240" s="9">
        <f t="shared" si="105"/>
        <v>1.1096008779470323E-2</v>
      </c>
    </row>
    <row r="2241" spans="1:7" x14ac:dyDescent="0.2">
      <c r="A2241" s="12">
        <v>40143</v>
      </c>
      <c r="B2241" s="9">
        <v>970.64</v>
      </c>
      <c r="C2241" s="9">
        <v>939.01</v>
      </c>
      <c r="D2241" s="9">
        <v>939.68</v>
      </c>
      <c r="E2241" s="9">
        <f t="shared" si="106"/>
        <v>-3.3219526766336133E-2</v>
      </c>
      <c r="F2241" s="45">
        <f t="shared" si="104"/>
        <v>1.3531890230347017E-2</v>
      </c>
      <c r="G2241" s="9">
        <f t="shared" si="105"/>
        <v>1.2775210775286093E-2</v>
      </c>
    </row>
    <row r="2242" spans="1:7" x14ac:dyDescent="0.2">
      <c r="A2242" s="12">
        <v>40144</v>
      </c>
      <c r="B2242" s="9">
        <v>953.57</v>
      </c>
      <c r="C2242" s="9">
        <v>926.63</v>
      </c>
      <c r="D2242" s="9">
        <v>952.53</v>
      </c>
      <c r="E2242" s="9">
        <f t="shared" si="106"/>
        <v>1.3582210793648252E-2</v>
      </c>
      <c r="F2242" s="45">
        <f t="shared" si="104"/>
        <v>2.6348523919409731E-2</v>
      </c>
      <c r="G2242" s="9">
        <f t="shared" si="105"/>
        <v>1.2998444053648542E-2</v>
      </c>
    </row>
    <row r="2243" spans="1:7" x14ac:dyDescent="0.2">
      <c r="A2243" s="12">
        <v>40147</v>
      </c>
      <c r="B2243" s="9">
        <v>957.98</v>
      </c>
      <c r="C2243" s="9">
        <v>936.19</v>
      </c>
      <c r="D2243" s="9">
        <v>936.19</v>
      </c>
      <c r="E2243" s="9">
        <f t="shared" si="106"/>
        <v>-1.7303155237251323E-2</v>
      </c>
      <c r="F2243" s="45">
        <f t="shared" si="104"/>
        <v>-5.836447398568978E-3</v>
      </c>
      <c r="G2243" s="9">
        <f t="shared" si="105"/>
        <v>1.3130332923503863E-2</v>
      </c>
    </row>
    <row r="2244" spans="1:7" x14ac:dyDescent="0.2">
      <c r="A2244" s="12">
        <v>40148</v>
      </c>
      <c r="B2244" s="9">
        <v>954.97</v>
      </c>
      <c r="C2244" s="9">
        <v>937.39</v>
      </c>
      <c r="D2244" s="9">
        <v>953.88</v>
      </c>
      <c r="E2244" s="9">
        <f t="shared" si="106"/>
        <v>1.8719430042415327E-2</v>
      </c>
      <c r="F2244" s="45">
        <f t="shared" si="104"/>
        <v>1.1821602963027391E-2</v>
      </c>
      <c r="G2244" s="9">
        <f t="shared" si="105"/>
        <v>1.3576769332148689E-2</v>
      </c>
    </row>
    <row r="2245" spans="1:7" x14ac:dyDescent="0.2">
      <c r="A2245" s="12">
        <v>40149</v>
      </c>
      <c r="B2245" s="9">
        <v>957.89</v>
      </c>
      <c r="C2245" s="9">
        <v>945.69</v>
      </c>
      <c r="D2245" s="9">
        <v>957.1</v>
      </c>
      <c r="E2245" s="9">
        <f t="shared" si="106"/>
        <v>3.3700018288392438E-3</v>
      </c>
      <c r="F2245" s="45">
        <f t="shared" si="104"/>
        <v>1.7793988768305506E-2</v>
      </c>
      <c r="G2245" s="9">
        <f t="shared" si="105"/>
        <v>1.3575103925974625E-2</v>
      </c>
    </row>
    <row r="2246" spans="1:7" x14ac:dyDescent="0.2">
      <c r="A2246" s="12">
        <v>40150</v>
      </c>
      <c r="B2246" s="9">
        <v>965.82</v>
      </c>
      <c r="C2246" s="9">
        <v>954.64</v>
      </c>
      <c r="D2246" s="9">
        <v>954.64</v>
      </c>
      <c r="E2246" s="9">
        <f t="shared" si="106"/>
        <v>-2.5735731404605321E-3</v>
      </c>
      <c r="F2246" s="45">
        <f t="shared" si="104"/>
        <v>2.887385711639838E-2</v>
      </c>
      <c r="G2246" s="9">
        <f t="shared" si="105"/>
        <v>1.3322512680284934E-2</v>
      </c>
    </row>
    <row r="2247" spans="1:7" x14ac:dyDescent="0.2">
      <c r="A2247" s="12">
        <v>40151</v>
      </c>
      <c r="B2247" s="9">
        <v>973.58</v>
      </c>
      <c r="C2247" s="9">
        <v>949.14</v>
      </c>
      <c r="D2247" s="9">
        <v>966.97</v>
      </c>
      <c r="E2247" s="9">
        <f t="shared" si="106"/>
        <v>1.2833165125744814E-2</v>
      </c>
      <c r="F2247" s="45">
        <f t="shared" si="104"/>
        <v>3.6523546103129648E-2</v>
      </c>
      <c r="G2247" s="9">
        <f t="shared" si="105"/>
        <v>1.3478382464340456E-2</v>
      </c>
    </row>
    <row r="2248" spans="1:7" x14ac:dyDescent="0.2">
      <c r="A2248" s="12">
        <v>40154</v>
      </c>
      <c r="B2248" s="9">
        <v>971.85</v>
      </c>
      <c r="C2248" s="9">
        <v>959.84</v>
      </c>
      <c r="D2248" s="9">
        <v>966.14</v>
      </c>
      <c r="E2248" s="9">
        <f t="shared" si="106"/>
        <v>-8.5871993937597E-4</v>
      </c>
      <c r="F2248" s="45">
        <f t="shared" si="104"/>
        <v>5.0849956887716687E-2</v>
      </c>
      <c r="G2248" s="9">
        <f t="shared" si="105"/>
        <v>1.3126389936398029E-2</v>
      </c>
    </row>
    <row r="2249" spans="1:7" x14ac:dyDescent="0.2">
      <c r="A2249" s="12">
        <v>40155</v>
      </c>
      <c r="B2249" s="9">
        <v>973.27</v>
      </c>
      <c r="C2249" s="9">
        <v>948.55</v>
      </c>
      <c r="D2249" s="9">
        <v>953.48</v>
      </c>
      <c r="E2249" s="9">
        <f t="shared" si="106"/>
        <v>-1.3190301781240215E-2</v>
      </c>
      <c r="F2249" s="45">
        <f t="shared" si="104"/>
        <v>2.5428609341773711E-2</v>
      </c>
      <c r="G2249" s="9">
        <f t="shared" si="105"/>
        <v>1.3242803704565008E-2</v>
      </c>
    </row>
    <row r="2250" spans="1:7" x14ac:dyDescent="0.2">
      <c r="A2250" s="12">
        <v>40156</v>
      </c>
      <c r="B2250" s="9">
        <v>956.05</v>
      </c>
      <c r="C2250" s="9">
        <v>941.22</v>
      </c>
      <c r="D2250" s="9">
        <v>944.95</v>
      </c>
      <c r="E2250" s="9">
        <f t="shared" si="106"/>
        <v>-8.986433425482325E-3</v>
      </c>
      <c r="F2250" s="45">
        <f t="shared" si="104"/>
        <v>2.2127779291536493E-2</v>
      </c>
      <c r="G2250" s="9">
        <f t="shared" si="105"/>
        <v>1.3312485800280801E-2</v>
      </c>
    </row>
    <row r="2251" spans="1:7" x14ac:dyDescent="0.2">
      <c r="A2251" s="12">
        <v>40157</v>
      </c>
      <c r="B2251" s="9">
        <v>952.53</v>
      </c>
      <c r="C2251" s="9">
        <v>943.74</v>
      </c>
      <c r="D2251" s="9">
        <v>947.33</v>
      </c>
      <c r="E2251" s="9">
        <f t="shared" si="106"/>
        <v>2.515485292860564E-3</v>
      </c>
      <c r="F2251" s="45">
        <f t="shared" si="104"/>
        <v>7.959133767988253E-3</v>
      </c>
      <c r="G2251" s="9">
        <f t="shared" si="105"/>
        <v>1.2974275883045385E-2</v>
      </c>
    </row>
    <row r="2252" spans="1:7" x14ac:dyDescent="0.2">
      <c r="A2252" s="12">
        <v>40158</v>
      </c>
      <c r="B2252" s="9">
        <v>956.85</v>
      </c>
      <c r="C2252" s="9">
        <v>947.81</v>
      </c>
      <c r="D2252" s="9">
        <v>949.84</v>
      </c>
      <c r="E2252" s="9">
        <f t="shared" si="106"/>
        <v>2.6460480236298808E-3</v>
      </c>
      <c r="F2252" s="45">
        <f t="shared" si="104"/>
        <v>5.4578891997361049E-3</v>
      </c>
      <c r="G2252" s="9">
        <f t="shared" si="105"/>
        <v>1.2949835303132443E-2</v>
      </c>
    </row>
    <row r="2253" spans="1:7" x14ac:dyDescent="0.2">
      <c r="A2253" s="12">
        <v>40161</v>
      </c>
      <c r="B2253" s="9">
        <v>960.58</v>
      </c>
      <c r="C2253" s="9">
        <v>950.49</v>
      </c>
      <c r="D2253" s="9">
        <v>956.25</v>
      </c>
      <c r="E2253" s="9">
        <f t="shared" si="106"/>
        <v>6.7258357832087152E-3</v>
      </c>
      <c r="F2253" s="45">
        <f t="shared" si="104"/>
        <v>2.5622194844905147E-2</v>
      </c>
      <c r="G2253" s="9">
        <f t="shared" si="105"/>
        <v>1.2740111668680229E-2</v>
      </c>
    </row>
    <row r="2254" spans="1:7" x14ac:dyDescent="0.2">
      <c r="A2254" s="12">
        <v>40162</v>
      </c>
      <c r="B2254" s="9">
        <v>957.82</v>
      </c>
      <c r="C2254" s="9">
        <v>942.62</v>
      </c>
      <c r="D2254" s="9">
        <v>949.07</v>
      </c>
      <c r="E2254" s="9">
        <f t="shared" si="106"/>
        <v>-7.5368273965057781E-3</v>
      </c>
      <c r="F2254" s="45">
        <f t="shared" si="104"/>
        <v>3.1902680932524512E-2</v>
      </c>
      <c r="G2254" s="9">
        <f t="shared" si="105"/>
        <v>1.2540755248391742E-2</v>
      </c>
    </row>
    <row r="2255" spans="1:7" x14ac:dyDescent="0.2">
      <c r="A2255" s="12">
        <v>40163</v>
      </c>
      <c r="B2255" s="9">
        <v>960.18</v>
      </c>
      <c r="C2255" s="9">
        <v>949.37</v>
      </c>
      <c r="D2255" s="9">
        <v>959.6</v>
      </c>
      <c r="E2255" s="9">
        <f t="shared" si="106"/>
        <v>1.1033973221299762E-2</v>
      </c>
      <c r="F2255" s="45">
        <f t="shared" si="104"/>
        <v>2.3385110095403117E-2</v>
      </c>
      <c r="G2255" s="9">
        <f t="shared" si="105"/>
        <v>1.219953174577003E-2</v>
      </c>
    </row>
    <row r="2256" spans="1:7" x14ac:dyDescent="0.2">
      <c r="A2256" s="12">
        <v>40164</v>
      </c>
      <c r="B2256" s="9">
        <v>959.18</v>
      </c>
      <c r="C2256" s="9">
        <v>946.48</v>
      </c>
      <c r="D2256" s="9">
        <v>946.58</v>
      </c>
      <c r="E2256" s="9">
        <f t="shared" si="106"/>
        <v>-1.3661041965064648E-2</v>
      </c>
      <c r="F2256" s="45">
        <f t="shared" si="104"/>
        <v>2.4962991596467988E-3</v>
      </c>
      <c r="G2256" s="9">
        <f t="shared" si="105"/>
        <v>1.2413053689562715E-2</v>
      </c>
    </row>
    <row r="2257" spans="1:7" x14ac:dyDescent="0.2">
      <c r="A2257" s="12">
        <v>40165</v>
      </c>
      <c r="B2257" s="9">
        <v>950.19</v>
      </c>
      <c r="C2257" s="9">
        <v>935.81</v>
      </c>
      <c r="D2257" s="9">
        <v>936.03</v>
      </c>
      <c r="E2257" s="9">
        <f t="shared" si="106"/>
        <v>-1.1207961754462967E-2</v>
      </c>
      <c r="F2257" s="45">
        <f t="shared" si="104"/>
        <v>-5.8055779277433016E-3</v>
      </c>
      <c r="G2257" s="9">
        <f t="shared" si="105"/>
        <v>1.2573494918513027E-2</v>
      </c>
    </row>
    <row r="2258" spans="1:7" x14ac:dyDescent="0.2">
      <c r="A2258" s="12">
        <v>40168</v>
      </c>
      <c r="B2258" s="9">
        <v>949.76</v>
      </c>
      <c r="C2258" s="9">
        <v>935.91</v>
      </c>
      <c r="D2258" s="9">
        <v>948.38</v>
      </c>
      <c r="E2258" s="9">
        <f t="shared" si="106"/>
        <v>1.3107738574419875E-2</v>
      </c>
      <c r="F2258" s="45">
        <f t="shared" si="104"/>
        <v>-1.2657070544428814E-2</v>
      </c>
      <c r="G2258" s="9">
        <f t="shared" si="105"/>
        <v>1.2252959957171317E-2</v>
      </c>
    </row>
    <row r="2259" spans="1:7" x14ac:dyDescent="0.2">
      <c r="A2259" s="12">
        <v>40169</v>
      </c>
      <c r="B2259" s="9">
        <v>963.22</v>
      </c>
      <c r="C2259" s="9">
        <v>948.56</v>
      </c>
      <c r="D2259" s="9">
        <v>961.88</v>
      </c>
      <c r="E2259" s="9">
        <f t="shared" si="106"/>
        <v>1.4134436939838312E-2</v>
      </c>
      <c r="F2259" s="45">
        <f t="shared" si="104"/>
        <v>4.0628018340556427E-3</v>
      </c>
      <c r="G2259" s="9">
        <f t="shared" si="105"/>
        <v>1.2528317539458482E-2</v>
      </c>
    </row>
    <row r="2260" spans="1:7" x14ac:dyDescent="0.2">
      <c r="A2260" s="12">
        <v>40170</v>
      </c>
      <c r="B2260" s="9">
        <v>967.01</v>
      </c>
      <c r="C2260" s="9">
        <v>960.28</v>
      </c>
      <c r="D2260" s="9">
        <v>961.54</v>
      </c>
      <c r="E2260" s="9">
        <f t="shared" si="106"/>
        <v>-3.5353693269422898E-4</v>
      </c>
      <c r="F2260" s="45">
        <f t="shared" si="104"/>
        <v>-3.1255055063225796E-3</v>
      </c>
      <c r="G2260" s="9">
        <f t="shared" si="105"/>
        <v>1.2464347719845116E-2</v>
      </c>
    </row>
    <row r="2261" spans="1:7" x14ac:dyDescent="0.2">
      <c r="A2261" s="12">
        <v>40175</v>
      </c>
      <c r="B2261" s="9">
        <v>969.42</v>
      </c>
      <c r="C2261" s="9">
        <v>961.37</v>
      </c>
      <c r="D2261" s="9">
        <v>965.05</v>
      </c>
      <c r="E2261" s="9">
        <f t="shared" si="106"/>
        <v>3.6437476406411622E-3</v>
      </c>
      <c r="F2261" s="45">
        <f t="shared" si="104"/>
        <v>-5.4872231966348346E-3</v>
      </c>
      <c r="G2261" s="9">
        <f t="shared" si="105"/>
        <v>1.2431844834371941E-2</v>
      </c>
    </row>
    <row r="2262" spans="1:7" x14ac:dyDescent="0.2">
      <c r="A2262" s="12">
        <v>40176</v>
      </c>
      <c r="B2262" s="9">
        <v>969.17</v>
      </c>
      <c r="C2262" s="9">
        <v>963.89</v>
      </c>
      <c r="D2262" s="9">
        <v>965.8</v>
      </c>
      <c r="E2262" s="9">
        <f t="shared" si="106"/>
        <v>7.7685997122453306E-4</v>
      </c>
      <c r="F2262" s="45">
        <f t="shared" si="104"/>
        <v>-1.6966340375786709E-3</v>
      </c>
      <c r="G2262" s="9">
        <f t="shared" si="105"/>
        <v>1.2421339900932105E-2</v>
      </c>
    </row>
    <row r="2263" spans="1:7" x14ac:dyDescent="0.2">
      <c r="A2263" s="12">
        <v>40177</v>
      </c>
      <c r="B2263" s="9">
        <v>968.24</v>
      </c>
      <c r="C2263" s="9">
        <v>951.54</v>
      </c>
      <c r="D2263" s="9">
        <v>951.72</v>
      </c>
      <c r="E2263" s="9">
        <f t="shared" si="106"/>
        <v>-1.4685899556212852E-2</v>
      </c>
      <c r="F2263" s="45">
        <f t="shared" si="104"/>
        <v>-2.4176853472278364E-2</v>
      </c>
      <c r="G2263" s="9">
        <f t="shared" si="105"/>
        <v>1.2608066698874897E-2</v>
      </c>
    </row>
    <row r="2264" spans="1:7" x14ac:dyDescent="0.2">
      <c r="A2264" s="12">
        <v>40182</v>
      </c>
      <c r="B2264" s="9">
        <v>964.73</v>
      </c>
      <c r="C2264" s="9">
        <v>951.72</v>
      </c>
      <c r="D2264" s="9">
        <v>963.56</v>
      </c>
      <c r="E2264" s="9">
        <f t="shared" si="106"/>
        <v>1.2363884995467153E-2</v>
      </c>
      <c r="F2264" s="45">
        <f t="shared" si="104"/>
        <v>-9.95809384808608E-4</v>
      </c>
      <c r="G2264" s="9">
        <f t="shared" si="105"/>
        <v>1.2683471059716725E-2</v>
      </c>
    </row>
    <row r="2265" spans="1:7" x14ac:dyDescent="0.2">
      <c r="A2265" s="12">
        <v>40183</v>
      </c>
      <c r="B2265" s="9">
        <v>968.68</v>
      </c>
      <c r="C2265" s="9">
        <v>961.46</v>
      </c>
      <c r="D2265" s="9">
        <v>967.27</v>
      </c>
      <c r="E2265" s="9">
        <f t="shared" si="106"/>
        <v>3.8429116657219282E-3</v>
      </c>
      <c r="F2265" s="45">
        <f t="shared" si="104"/>
        <v>1.4380676507750156E-3</v>
      </c>
      <c r="G2265" s="9">
        <f t="shared" si="105"/>
        <v>1.2700786585693347E-2</v>
      </c>
    </row>
    <row r="2266" spans="1:7" x14ac:dyDescent="0.2">
      <c r="A2266" s="12">
        <v>40185</v>
      </c>
      <c r="B2266" s="9">
        <v>970.26</v>
      </c>
      <c r="C2266" s="9">
        <v>962.27</v>
      </c>
      <c r="D2266" s="9">
        <v>965.82</v>
      </c>
      <c r="E2266" s="9">
        <f t="shared" si="106"/>
        <v>-1.5001890982245887E-3</v>
      </c>
      <c r="F2266" s="45">
        <f t="shared" si="104"/>
        <v>1.5000855027203223E-2</v>
      </c>
      <c r="G2266" s="9">
        <f t="shared" si="105"/>
        <v>1.2381736833749119E-2</v>
      </c>
    </row>
    <row r="2267" spans="1:7" x14ac:dyDescent="0.2">
      <c r="A2267" s="12">
        <v>40186</v>
      </c>
      <c r="B2267" s="9">
        <v>974.9</v>
      </c>
      <c r="C2267" s="9">
        <v>965.7</v>
      </c>
      <c r="D2267" s="9">
        <v>973.44</v>
      </c>
      <c r="E2267" s="9">
        <f t="shared" si="106"/>
        <v>7.858708184680218E-3</v>
      </c>
      <c r="F2267" s="45">
        <f t="shared" si="104"/>
        <v>2.2722937550218789E-2</v>
      </c>
      <c r="G2267" s="9">
        <f t="shared" si="105"/>
        <v>1.2453977654809182E-2</v>
      </c>
    </row>
    <row r="2268" spans="1:7" x14ac:dyDescent="0.2">
      <c r="A2268" s="12">
        <v>40189</v>
      </c>
      <c r="B2268" s="9">
        <v>985.69</v>
      </c>
      <c r="C2268" s="9">
        <v>973.15</v>
      </c>
      <c r="D2268" s="9">
        <v>978.18</v>
      </c>
      <c r="E2268" s="9">
        <f t="shared" si="106"/>
        <v>4.857512548744428E-3</v>
      </c>
      <c r="F2268" s="45">
        <f t="shared" si="104"/>
        <v>2.7742960491136002E-3</v>
      </c>
      <c r="G2268" s="9">
        <f t="shared" si="105"/>
        <v>1.1631037369646385E-2</v>
      </c>
    </row>
    <row r="2269" spans="1:7" x14ac:dyDescent="0.2">
      <c r="A2269" s="12">
        <v>40190</v>
      </c>
      <c r="B2269" s="9">
        <v>981.08</v>
      </c>
      <c r="C2269" s="9">
        <v>967.49</v>
      </c>
      <c r="D2269" s="9">
        <v>969.55</v>
      </c>
      <c r="E2269" s="9">
        <f t="shared" si="106"/>
        <v>-8.8616558509908745E-3</v>
      </c>
      <c r="F2269" s="45">
        <f t="shared" si="104"/>
        <v>4.1445160069903918E-3</v>
      </c>
      <c r="G2269" s="9">
        <f t="shared" si="105"/>
        <v>1.159172048544873E-2</v>
      </c>
    </row>
    <row r="2270" spans="1:7" x14ac:dyDescent="0.2">
      <c r="A2270" s="12">
        <v>40191</v>
      </c>
      <c r="B2270" s="9">
        <v>974.96</v>
      </c>
      <c r="C2270" s="9">
        <v>964.35</v>
      </c>
      <c r="D2270" s="9">
        <v>974.96</v>
      </c>
      <c r="E2270" s="9">
        <f t="shared" si="106"/>
        <v>5.5643981866199425E-3</v>
      </c>
      <c r="F2270" s="45">
        <f t="shared" si="104"/>
        <v>3.6375259747014705E-3</v>
      </c>
      <c r="G2270" s="9">
        <f t="shared" si="105"/>
        <v>1.1583138483587175E-2</v>
      </c>
    </row>
    <row r="2271" spans="1:7" x14ac:dyDescent="0.2">
      <c r="A2271" s="12">
        <v>40192</v>
      </c>
      <c r="B2271" s="9">
        <v>984.65</v>
      </c>
      <c r="C2271" s="9">
        <v>975.61</v>
      </c>
      <c r="D2271" s="9">
        <v>981.5</v>
      </c>
      <c r="E2271" s="9">
        <f t="shared" si="106"/>
        <v>6.6855692012688815E-3</v>
      </c>
      <c r="F2271" s="45">
        <f t="shared" si="104"/>
        <v>4.3542621942306424E-2</v>
      </c>
      <c r="G2271" s="9">
        <f t="shared" si="105"/>
        <v>9.7720680102671067E-3</v>
      </c>
    </row>
    <row r="2272" spans="1:7" x14ac:dyDescent="0.2">
      <c r="A2272" s="12">
        <v>40193</v>
      </c>
      <c r="B2272" s="9">
        <v>986</v>
      </c>
      <c r="C2272" s="9">
        <v>968.5</v>
      </c>
      <c r="D2272" s="9">
        <v>970.65</v>
      </c>
      <c r="E2272" s="9">
        <f t="shared" si="106"/>
        <v>-1.1116063545131021E-2</v>
      </c>
      <c r="F2272" s="45">
        <f t="shared" si="104"/>
        <v>1.8844347603527156E-2</v>
      </c>
      <c r="G2272" s="9">
        <f t="shared" si="105"/>
        <v>9.7552076002309709E-3</v>
      </c>
    </row>
    <row r="2273" spans="1:7" x14ac:dyDescent="0.2">
      <c r="A2273" s="12">
        <v>40196</v>
      </c>
      <c r="B2273" s="9">
        <v>975.83</v>
      </c>
      <c r="C2273" s="9">
        <v>968.76</v>
      </c>
      <c r="D2273" s="9">
        <v>974.05</v>
      </c>
      <c r="E2273" s="9">
        <f t="shared" si="106"/>
        <v>3.4966868558283563E-3</v>
      </c>
      <c r="F2273" s="45">
        <f t="shared" ref="F2273:F2336" si="107">LN(D2273/D2243)</f>
        <v>3.9644189696606817E-2</v>
      </c>
      <c r="G2273" s="9">
        <f t="shared" ref="G2273:G2336" si="108">STDEV(E2244:E2273)</f>
        <v>9.157687702271846E-3</v>
      </c>
    </row>
    <row r="2274" spans="1:7" x14ac:dyDescent="0.2">
      <c r="A2274" s="12">
        <v>40197</v>
      </c>
      <c r="B2274" s="9">
        <v>977.83</v>
      </c>
      <c r="C2274" s="9">
        <v>960.65</v>
      </c>
      <c r="D2274" s="9">
        <v>976</v>
      </c>
      <c r="E2274" s="9">
        <f t="shared" si="106"/>
        <v>1.999949385879338E-3</v>
      </c>
      <c r="F2274" s="45">
        <f t="shared" si="107"/>
        <v>2.2924709040070997E-2</v>
      </c>
      <c r="G2274" s="9">
        <f t="shared" si="108"/>
        <v>8.5510383795522841E-3</v>
      </c>
    </row>
    <row r="2275" spans="1:7" x14ac:dyDescent="0.2">
      <c r="A2275" s="12">
        <v>40198</v>
      </c>
      <c r="B2275" s="9">
        <v>976.79</v>
      </c>
      <c r="C2275" s="9">
        <v>957.16</v>
      </c>
      <c r="D2275" s="9">
        <v>957.53</v>
      </c>
      <c r="E2275" s="9">
        <f t="shared" si="106"/>
        <v>-1.9105534256426294E-2</v>
      </c>
      <c r="F2275" s="45">
        <f t="shared" si="107"/>
        <v>4.4917295480552242E-4</v>
      </c>
      <c r="G2275" s="9">
        <f t="shared" si="108"/>
        <v>9.2692731953421398E-3</v>
      </c>
    </row>
    <row r="2276" spans="1:7" x14ac:dyDescent="0.2">
      <c r="A2276" s="12">
        <v>40199</v>
      </c>
      <c r="B2276" s="9">
        <v>968.06</v>
      </c>
      <c r="C2276" s="9">
        <v>951.49</v>
      </c>
      <c r="D2276" s="9">
        <v>954.02</v>
      </c>
      <c r="E2276" s="9">
        <f t="shared" si="106"/>
        <v>-3.6724165675418629E-3</v>
      </c>
      <c r="F2276" s="45">
        <f t="shared" si="107"/>
        <v>-6.4967047227592256E-4</v>
      </c>
      <c r="G2276" s="9">
        <f t="shared" si="108"/>
        <v>9.2820170266675502E-3</v>
      </c>
    </row>
    <row r="2277" spans="1:7" x14ac:dyDescent="0.2">
      <c r="A2277" s="12">
        <v>40200</v>
      </c>
      <c r="B2277" s="9">
        <v>957.57</v>
      </c>
      <c r="C2277" s="9">
        <v>943.61</v>
      </c>
      <c r="D2277" s="9">
        <v>951.06</v>
      </c>
      <c r="E2277" s="9">
        <f t="shared" si="106"/>
        <v>-3.1074835512681477E-3</v>
      </c>
      <c r="F2277" s="45">
        <f t="shared" si="107"/>
        <v>-1.6590319149288827E-2</v>
      </c>
      <c r="G2277" s="9">
        <f t="shared" si="108"/>
        <v>8.9718431877250458E-3</v>
      </c>
    </row>
    <row r="2278" spans="1:7" x14ac:dyDescent="0.2">
      <c r="A2278" s="12">
        <v>40203</v>
      </c>
      <c r="B2278" s="9">
        <v>956.18</v>
      </c>
      <c r="C2278" s="9">
        <v>940.21</v>
      </c>
      <c r="D2278" s="9">
        <v>947.56</v>
      </c>
      <c r="E2278" s="9">
        <f t="shared" si="106"/>
        <v>-3.6868925479302157E-3</v>
      </c>
      <c r="F2278" s="45">
        <f t="shared" si="107"/>
        <v>-1.9418491757843083E-2</v>
      </c>
      <c r="G2278" s="9">
        <f t="shared" si="108"/>
        <v>8.9900064714383849E-3</v>
      </c>
    </row>
    <row r="2279" spans="1:7" x14ac:dyDescent="0.2">
      <c r="A2279" s="12">
        <v>40204</v>
      </c>
      <c r="B2279" s="9">
        <v>945.84</v>
      </c>
      <c r="C2279" s="9">
        <v>935.66</v>
      </c>
      <c r="D2279" s="9">
        <v>942.94</v>
      </c>
      <c r="E2279" s="9">
        <f t="shared" si="106"/>
        <v>-4.8876056039580439E-3</v>
      </c>
      <c r="F2279" s="45">
        <f t="shared" si="107"/>
        <v>-1.1115795580560901E-2</v>
      </c>
      <c r="G2279" s="9">
        <f t="shared" si="108"/>
        <v>8.7141214475765401E-3</v>
      </c>
    </row>
    <row r="2280" spans="1:7" x14ac:dyDescent="0.2">
      <c r="A2280" s="12">
        <v>40205</v>
      </c>
      <c r="B2280" s="9">
        <v>954.02</v>
      </c>
      <c r="C2280" s="9">
        <v>934.66</v>
      </c>
      <c r="D2280" s="9">
        <v>946.7</v>
      </c>
      <c r="E2280" s="9">
        <f t="shared" si="106"/>
        <v>3.9795992488776853E-3</v>
      </c>
      <c r="F2280" s="45">
        <f t="shared" si="107"/>
        <v>1.8502370937990664E-3</v>
      </c>
      <c r="G2280" s="9">
        <f t="shared" si="108"/>
        <v>8.5927541135677916E-3</v>
      </c>
    </row>
    <row r="2281" spans="1:7" x14ac:dyDescent="0.2">
      <c r="A2281" s="12">
        <v>40206</v>
      </c>
      <c r="B2281" s="9">
        <v>965.09</v>
      </c>
      <c r="C2281" s="9">
        <v>935.46</v>
      </c>
      <c r="D2281" s="9">
        <v>937.22</v>
      </c>
      <c r="E2281" s="9">
        <f t="shared" si="106"/>
        <v>-1.0064206566717724E-2</v>
      </c>
      <c r="F2281" s="45">
        <f t="shared" si="107"/>
        <v>-1.0729454765779167E-2</v>
      </c>
      <c r="G2281" s="9">
        <f t="shared" si="108"/>
        <v>8.7739123527679416E-3</v>
      </c>
    </row>
    <row r="2282" spans="1:7" x14ac:dyDescent="0.2">
      <c r="A2282" s="12">
        <v>40207</v>
      </c>
      <c r="B2282" s="9">
        <v>957.1</v>
      </c>
      <c r="C2282" s="9">
        <v>937.93</v>
      </c>
      <c r="D2282" s="9">
        <v>953.71</v>
      </c>
      <c r="E2282" s="9">
        <f t="shared" si="106"/>
        <v>1.7441595439380161E-2</v>
      </c>
      <c r="F2282" s="45">
        <f t="shared" si="107"/>
        <v>4.0660926499711224E-3</v>
      </c>
      <c r="G2282" s="9">
        <f t="shared" si="108"/>
        <v>9.3457690081298755E-3</v>
      </c>
    </row>
    <row r="2283" spans="1:7" x14ac:dyDescent="0.2">
      <c r="A2283" s="12">
        <v>40210</v>
      </c>
      <c r="B2283" s="9">
        <v>967.77</v>
      </c>
      <c r="C2283" s="9">
        <v>947.45</v>
      </c>
      <c r="D2283" s="9">
        <v>967.77</v>
      </c>
      <c r="E2283" s="9">
        <f t="shared" si="106"/>
        <v>1.4634813731146173E-2</v>
      </c>
      <c r="F2283" s="45">
        <f t="shared" si="107"/>
        <v>1.1975070597908607E-2</v>
      </c>
      <c r="G2283" s="9">
        <f t="shared" si="108"/>
        <v>9.6448494109956911E-3</v>
      </c>
    </row>
    <row r="2284" spans="1:7" x14ac:dyDescent="0.2">
      <c r="A2284" s="12">
        <v>40211</v>
      </c>
      <c r="B2284" s="9">
        <v>972.75</v>
      </c>
      <c r="C2284" s="9">
        <v>963.73</v>
      </c>
      <c r="D2284" s="9">
        <v>971.8</v>
      </c>
      <c r="E2284" s="9">
        <f t="shared" si="106"/>
        <v>4.1555662331482614E-3</v>
      </c>
      <c r="F2284" s="45">
        <f t="shared" si="107"/>
        <v>2.3667464227562607E-2</v>
      </c>
      <c r="G2284" s="9">
        <f t="shared" si="108"/>
        <v>9.5488650645433309E-3</v>
      </c>
    </row>
    <row r="2285" spans="1:7" x14ac:dyDescent="0.2">
      <c r="A2285" s="12">
        <v>40212</v>
      </c>
      <c r="B2285" s="9">
        <v>974.95</v>
      </c>
      <c r="C2285" s="9">
        <v>966.08</v>
      </c>
      <c r="D2285" s="9">
        <v>970</v>
      </c>
      <c r="E2285" s="9">
        <f t="shared" si="106"/>
        <v>-1.8539504743740418E-3</v>
      </c>
      <c r="F2285" s="45">
        <f t="shared" si="107"/>
        <v>1.0779540531889013E-2</v>
      </c>
      <c r="G2285" s="9">
        <f t="shared" si="108"/>
        <v>9.3600965393403728E-3</v>
      </c>
    </row>
    <row r="2286" spans="1:7" x14ac:dyDescent="0.2">
      <c r="A2286" s="12">
        <v>40213</v>
      </c>
      <c r="B2286" s="9">
        <v>975.25</v>
      </c>
      <c r="C2286" s="9">
        <v>948.21</v>
      </c>
      <c r="D2286" s="9">
        <v>948.62</v>
      </c>
      <c r="E2286" s="9">
        <f t="shared" si="106"/>
        <v>-2.2287774573907227E-2</v>
      </c>
      <c r="F2286" s="45">
        <f t="shared" si="107"/>
        <v>2.1528079230465802E-3</v>
      </c>
      <c r="G2286" s="9">
        <f t="shared" si="108"/>
        <v>9.9213639817702301E-3</v>
      </c>
    </row>
    <row r="2287" spans="1:7" x14ac:dyDescent="0.2">
      <c r="A2287" s="12">
        <v>40214</v>
      </c>
      <c r="B2287" s="9">
        <v>951.48</v>
      </c>
      <c r="C2287" s="9">
        <v>934.38</v>
      </c>
      <c r="D2287" s="9">
        <v>935.89</v>
      </c>
      <c r="E2287" s="9">
        <f t="shared" si="106"/>
        <v>-1.3510348719627693E-2</v>
      </c>
      <c r="F2287" s="45">
        <f t="shared" si="107"/>
        <v>-1.4957904211822254E-4</v>
      </c>
      <c r="G2287" s="9">
        <f t="shared" si="108"/>
        <v>1.0020040764266816E-2</v>
      </c>
    </row>
    <row r="2288" spans="1:7" x14ac:dyDescent="0.2">
      <c r="A2288" s="12">
        <v>40217</v>
      </c>
      <c r="B2288" s="9">
        <v>940.43</v>
      </c>
      <c r="C2288" s="9">
        <v>920.29</v>
      </c>
      <c r="D2288" s="9">
        <v>938.42</v>
      </c>
      <c r="E2288" s="9">
        <f t="shared" si="106"/>
        <v>2.6996617812313222E-3</v>
      </c>
      <c r="F2288" s="45">
        <f t="shared" si="107"/>
        <v>-1.0557655835306877E-2</v>
      </c>
      <c r="G2288" s="9">
        <f t="shared" si="108"/>
        <v>9.726245917374891E-3</v>
      </c>
    </row>
    <row r="2289" spans="1:7" x14ac:dyDescent="0.2">
      <c r="A2289" s="12">
        <v>40218</v>
      </c>
      <c r="B2289" s="9">
        <v>951.89</v>
      </c>
      <c r="C2289" s="9">
        <v>934.84</v>
      </c>
      <c r="D2289" s="9">
        <v>944.8</v>
      </c>
      <c r="E2289" s="9">
        <f t="shared" si="106"/>
        <v>6.7756548980276721E-3</v>
      </c>
      <c r="F2289" s="45">
        <f t="shared" si="107"/>
        <v>-1.7916437877117483E-2</v>
      </c>
      <c r="G2289" s="9">
        <f t="shared" si="108"/>
        <v>9.4367926920837751E-3</v>
      </c>
    </row>
    <row r="2290" spans="1:7" x14ac:dyDescent="0.2">
      <c r="A2290" s="12">
        <v>40219</v>
      </c>
      <c r="B2290" s="9">
        <v>950.59</v>
      </c>
      <c r="C2290" s="9">
        <v>931.39</v>
      </c>
      <c r="D2290" s="9">
        <v>937.05</v>
      </c>
      <c r="E2290" s="9">
        <f t="shared" si="106"/>
        <v>-8.2366222754639232E-3</v>
      </c>
      <c r="F2290" s="45">
        <f t="shared" si="107"/>
        <v>-2.5799523219887148E-2</v>
      </c>
      <c r="G2290" s="9">
        <f t="shared" si="108"/>
        <v>9.5389733588678617E-3</v>
      </c>
    </row>
    <row r="2291" spans="1:7" x14ac:dyDescent="0.2">
      <c r="A2291" s="12">
        <v>40220</v>
      </c>
      <c r="B2291" s="9">
        <v>949.9</v>
      </c>
      <c r="C2291" s="9">
        <v>935.27</v>
      </c>
      <c r="D2291" s="9">
        <v>943.66</v>
      </c>
      <c r="E2291" s="9">
        <f t="shared" si="106"/>
        <v>7.0292891696772655E-3</v>
      </c>
      <c r="F2291" s="45">
        <f t="shared" si="107"/>
        <v>-2.2413981690851219E-2</v>
      </c>
      <c r="G2291" s="9">
        <f t="shared" si="108"/>
        <v>9.6138250660684002E-3</v>
      </c>
    </row>
    <row r="2292" spans="1:7" x14ac:dyDescent="0.2">
      <c r="A2292" s="12">
        <v>40221</v>
      </c>
      <c r="B2292" s="9">
        <v>951.96</v>
      </c>
      <c r="C2292" s="9">
        <v>924.93</v>
      </c>
      <c r="D2292" s="9">
        <v>931.35</v>
      </c>
      <c r="E2292" s="9">
        <f t="shared" si="106"/>
        <v>-1.3130785298354247E-2</v>
      </c>
      <c r="F2292" s="45">
        <f t="shared" si="107"/>
        <v>-3.6321626960429912E-2</v>
      </c>
      <c r="G2292" s="9">
        <f t="shared" si="108"/>
        <v>9.8697172113072773E-3</v>
      </c>
    </row>
    <row r="2293" spans="1:7" x14ac:dyDescent="0.2">
      <c r="A2293" s="12">
        <v>40224</v>
      </c>
      <c r="B2293" s="9">
        <v>935.4</v>
      </c>
      <c r="C2293" s="9">
        <v>919.39</v>
      </c>
      <c r="D2293" s="9">
        <v>923.37</v>
      </c>
      <c r="E2293" s="9">
        <f t="shared" si="106"/>
        <v>-8.6051255628697906E-3</v>
      </c>
      <c r="F2293" s="45">
        <f t="shared" si="107"/>
        <v>-3.0240852967086822E-2</v>
      </c>
      <c r="G2293" s="9">
        <f t="shared" si="108"/>
        <v>9.6432797227249886E-3</v>
      </c>
    </row>
    <row r="2294" spans="1:7" x14ac:dyDescent="0.2">
      <c r="A2294" s="12">
        <v>40225</v>
      </c>
      <c r="B2294" s="9">
        <v>934.31</v>
      </c>
      <c r="C2294" s="9">
        <v>922.75</v>
      </c>
      <c r="D2294" s="9">
        <v>934.31</v>
      </c>
      <c r="E2294" s="9">
        <f t="shared" si="106"/>
        <v>1.1778268025746106E-2</v>
      </c>
      <c r="F2294" s="45">
        <f t="shared" si="107"/>
        <v>-3.0826469936807821E-2</v>
      </c>
      <c r="G2294" s="9">
        <f t="shared" si="108"/>
        <v>9.6158316787181737E-3</v>
      </c>
    </row>
    <row r="2295" spans="1:7" x14ac:dyDescent="0.2">
      <c r="A2295" s="12">
        <v>40226</v>
      </c>
      <c r="B2295" s="9">
        <v>945.27</v>
      </c>
      <c r="C2295" s="9">
        <v>938.56</v>
      </c>
      <c r="D2295" s="9">
        <v>943.69</v>
      </c>
      <c r="E2295" s="9">
        <f t="shared" si="106"/>
        <v>9.9894334413565111E-3</v>
      </c>
      <c r="F2295" s="45">
        <f t="shared" si="107"/>
        <v>-2.467994816117321E-2</v>
      </c>
      <c r="G2295" s="9">
        <f t="shared" si="108"/>
        <v>9.7871406447253267E-3</v>
      </c>
    </row>
    <row r="2296" spans="1:7" x14ac:dyDescent="0.2">
      <c r="A2296" s="12">
        <v>40227</v>
      </c>
      <c r="B2296" s="9">
        <v>947.25</v>
      </c>
      <c r="C2296" s="9">
        <v>940.87</v>
      </c>
      <c r="D2296" s="9">
        <v>946.97</v>
      </c>
      <c r="E2296" s="9">
        <f t="shared" si="106"/>
        <v>3.4696913147716168E-3</v>
      </c>
      <c r="F2296" s="45">
        <f t="shared" si="107"/>
        <v>-1.9710067748176942E-2</v>
      </c>
      <c r="G2296" s="9">
        <f t="shared" si="108"/>
        <v>9.8172920936316372E-3</v>
      </c>
    </row>
    <row r="2297" spans="1:7" x14ac:dyDescent="0.2">
      <c r="A2297" s="12">
        <v>40228</v>
      </c>
      <c r="B2297" s="9">
        <v>957.45</v>
      </c>
      <c r="C2297" s="9">
        <v>938.66</v>
      </c>
      <c r="D2297" s="9">
        <v>957.27</v>
      </c>
      <c r="E2297" s="9">
        <f t="shared" si="106"/>
        <v>1.0818069624726957E-2</v>
      </c>
      <c r="F2297" s="45">
        <f t="shared" si="107"/>
        <v>-1.6750706308130241E-2</v>
      </c>
      <c r="G2297" s="9">
        <f t="shared" si="108"/>
        <v>9.9201389042917094E-3</v>
      </c>
    </row>
    <row r="2298" spans="1:7" x14ac:dyDescent="0.2">
      <c r="A2298" s="12">
        <v>40231</v>
      </c>
      <c r="B2298" s="9">
        <v>959.11</v>
      </c>
      <c r="C2298" s="9">
        <v>951.48</v>
      </c>
      <c r="D2298" s="9">
        <v>954.1</v>
      </c>
      <c r="E2298" s="9">
        <f t="shared" si="106"/>
        <v>-3.3169955649429619E-3</v>
      </c>
      <c r="F2298" s="45">
        <f t="shared" si="107"/>
        <v>-2.4925214421817575E-2</v>
      </c>
      <c r="G2298" s="9">
        <f t="shared" si="108"/>
        <v>9.8784274660838473E-3</v>
      </c>
    </row>
    <row r="2299" spans="1:7" x14ac:dyDescent="0.2">
      <c r="A2299" s="12">
        <v>40232</v>
      </c>
      <c r="B2299" s="9">
        <v>958.6</v>
      </c>
      <c r="C2299" s="9">
        <v>941.26</v>
      </c>
      <c r="D2299" s="9">
        <v>942.05</v>
      </c>
      <c r="E2299" s="9">
        <f t="shared" si="106"/>
        <v>-1.271013603379075E-2</v>
      </c>
      <c r="F2299" s="45">
        <f t="shared" si="107"/>
        <v>-2.8773694604617397E-2</v>
      </c>
      <c r="G2299" s="9">
        <f t="shared" si="108"/>
        <v>1.0010419607588144E-2</v>
      </c>
    </row>
    <row r="2300" spans="1:7" x14ac:dyDescent="0.2">
      <c r="A2300" s="12">
        <v>40233</v>
      </c>
      <c r="B2300" s="9">
        <v>946.03</v>
      </c>
      <c r="C2300" s="9">
        <v>936.25</v>
      </c>
      <c r="D2300" s="9">
        <v>944.31</v>
      </c>
      <c r="E2300" s="9">
        <f t="shared" si="106"/>
        <v>2.3961503438606909E-3</v>
      </c>
      <c r="F2300" s="45">
        <f t="shared" si="107"/>
        <v>-3.1941942447376664E-2</v>
      </c>
      <c r="G2300" s="9">
        <f t="shared" si="108"/>
        <v>9.9557875341003722E-3</v>
      </c>
    </row>
    <row r="2301" spans="1:7" x14ac:dyDescent="0.2">
      <c r="A2301" s="12">
        <v>40234</v>
      </c>
      <c r="B2301" s="9">
        <v>950.72</v>
      </c>
      <c r="C2301" s="9">
        <v>935.88</v>
      </c>
      <c r="D2301" s="9">
        <v>940.51</v>
      </c>
      <c r="E2301" s="9">
        <f t="shared" si="106"/>
        <v>-4.0322207410997913E-3</v>
      </c>
      <c r="F2301" s="45">
        <f t="shared" si="107"/>
        <v>-4.2659732389745277E-2</v>
      </c>
      <c r="G2301" s="9">
        <f t="shared" si="108"/>
        <v>9.8599210609530349E-3</v>
      </c>
    </row>
    <row r="2302" spans="1:7" x14ac:dyDescent="0.2">
      <c r="A2302" s="12">
        <v>40235</v>
      </c>
      <c r="B2302" s="9">
        <v>948.92</v>
      </c>
      <c r="C2302" s="9">
        <v>939.29</v>
      </c>
      <c r="D2302" s="9">
        <v>947.39</v>
      </c>
      <c r="E2302" s="9">
        <f t="shared" si="106"/>
        <v>7.2885539034589393E-3</v>
      </c>
      <c r="F2302" s="45">
        <f t="shared" si="107"/>
        <v>-2.4255114941155308E-2</v>
      </c>
      <c r="G2302" s="9">
        <f t="shared" si="108"/>
        <v>9.8083898136190999E-3</v>
      </c>
    </row>
    <row r="2303" spans="1:7" x14ac:dyDescent="0.2">
      <c r="A2303" s="12">
        <v>40238</v>
      </c>
      <c r="B2303" s="9">
        <v>967.47</v>
      </c>
      <c r="C2303" s="9">
        <v>953.54</v>
      </c>
      <c r="D2303" s="9">
        <v>966.38</v>
      </c>
      <c r="E2303" s="9">
        <f t="shared" ref="E2303:E2366" si="109">LN(D2303/D2302)</f>
        <v>1.9846296371930749E-2</v>
      </c>
      <c r="F2303" s="45">
        <f t="shared" si="107"/>
        <v>-7.905505425052993E-3</v>
      </c>
      <c r="G2303" s="9">
        <f t="shared" si="108"/>
        <v>1.0486619703795389E-2</v>
      </c>
    </row>
    <row r="2304" spans="1:7" x14ac:dyDescent="0.2">
      <c r="A2304" s="12">
        <v>40239</v>
      </c>
      <c r="B2304" s="9">
        <v>972.99</v>
      </c>
      <c r="C2304" s="9">
        <v>961.57</v>
      </c>
      <c r="D2304" s="9">
        <v>971.67</v>
      </c>
      <c r="E2304" s="9">
        <f t="shared" si="109"/>
        <v>5.4591090401710932E-3</v>
      </c>
      <c r="F2304" s="45">
        <f t="shared" si="107"/>
        <v>-4.4463457707613618E-3</v>
      </c>
      <c r="G2304" s="9">
        <f t="shared" si="108"/>
        <v>1.0531288193942551E-2</v>
      </c>
    </row>
    <row r="2305" spans="1:7" x14ac:dyDescent="0.2">
      <c r="A2305" s="12">
        <v>40240</v>
      </c>
      <c r="B2305" s="9">
        <v>981.57</v>
      </c>
      <c r="C2305" s="9">
        <v>970.15</v>
      </c>
      <c r="D2305" s="9">
        <v>981.19</v>
      </c>
      <c r="E2305" s="9">
        <f t="shared" si="109"/>
        <v>9.7498800879485606E-3</v>
      </c>
      <c r="F2305" s="45">
        <f t="shared" si="107"/>
        <v>2.4409068573613496E-2</v>
      </c>
      <c r="G2305" s="9">
        <f t="shared" si="108"/>
        <v>1.0046736533558838E-2</v>
      </c>
    </row>
    <row r="2306" spans="1:7" x14ac:dyDescent="0.2">
      <c r="A2306" s="12">
        <v>40241</v>
      </c>
      <c r="B2306" s="9">
        <v>986.42</v>
      </c>
      <c r="C2306" s="9">
        <v>974.99</v>
      </c>
      <c r="D2306" s="9">
        <v>984.33</v>
      </c>
      <c r="E2306" s="9">
        <f t="shared" si="109"/>
        <v>3.1950859530741615E-3</v>
      </c>
      <c r="F2306" s="45">
        <f t="shared" si="107"/>
        <v>3.1276571094229447E-2</v>
      </c>
      <c r="G2306" s="9">
        <f t="shared" si="108"/>
        <v>1.0019197244629421E-2</v>
      </c>
    </row>
    <row r="2307" spans="1:7" x14ac:dyDescent="0.2">
      <c r="A2307" s="12">
        <v>40242</v>
      </c>
      <c r="B2307" s="9">
        <v>999.65</v>
      </c>
      <c r="C2307" s="9">
        <v>983.41</v>
      </c>
      <c r="D2307" s="9">
        <v>998.07</v>
      </c>
      <c r="E2307" s="9">
        <f t="shared" si="109"/>
        <v>1.3862207448956748E-2</v>
      </c>
      <c r="F2307" s="45">
        <f t="shared" si="107"/>
        <v>4.8246262094454567E-2</v>
      </c>
      <c r="G2307" s="9">
        <f t="shared" si="108"/>
        <v>1.0253118674123715E-2</v>
      </c>
    </row>
    <row r="2308" spans="1:7" x14ac:dyDescent="0.2">
      <c r="A2308" s="12">
        <v>40245</v>
      </c>
      <c r="B2308" s="9">
        <v>1005.74</v>
      </c>
      <c r="C2308" s="9">
        <v>998.52</v>
      </c>
      <c r="D2308" s="9">
        <v>1003.39</v>
      </c>
      <c r="E2308" s="9">
        <f t="shared" si="109"/>
        <v>5.3161317529714629E-3</v>
      </c>
      <c r="F2308" s="45">
        <f t="shared" si="107"/>
        <v>5.7249286395356237E-2</v>
      </c>
      <c r="G2308" s="9">
        <f t="shared" si="108"/>
        <v>1.0224506757216955E-2</v>
      </c>
    </row>
    <row r="2309" spans="1:7" x14ac:dyDescent="0.2">
      <c r="A2309" s="12">
        <v>40246</v>
      </c>
      <c r="B2309" s="9">
        <v>1005.97</v>
      </c>
      <c r="C2309" s="9">
        <v>994.93</v>
      </c>
      <c r="D2309" s="9">
        <v>1000.5</v>
      </c>
      <c r="E2309" s="9">
        <f t="shared" si="109"/>
        <v>-2.88439186149414E-3</v>
      </c>
      <c r="F2309" s="45">
        <f t="shared" si="107"/>
        <v>5.9252500137820137E-2</v>
      </c>
      <c r="G2309" s="9">
        <f t="shared" si="108"/>
        <v>1.0185058996833168E-2</v>
      </c>
    </row>
    <row r="2310" spans="1:7" x14ac:dyDescent="0.2">
      <c r="A2310" s="12">
        <v>40247</v>
      </c>
      <c r="B2310" s="9">
        <v>1013.28</v>
      </c>
      <c r="C2310" s="9">
        <v>996.43</v>
      </c>
      <c r="D2310" s="9">
        <v>1013.04</v>
      </c>
      <c r="E2310" s="9">
        <f t="shared" si="109"/>
        <v>1.2455836118564817E-2</v>
      </c>
      <c r="F2310" s="45">
        <f t="shared" si="107"/>
        <v>6.7728737007507381E-2</v>
      </c>
      <c r="G2310" s="9">
        <f t="shared" si="108"/>
        <v>1.0358672170148091E-2</v>
      </c>
    </row>
    <row r="2311" spans="1:7" x14ac:dyDescent="0.2">
      <c r="A2311" s="12">
        <v>40248</v>
      </c>
      <c r="B2311" s="9">
        <v>1013.2</v>
      </c>
      <c r="C2311" s="9">
        <v>1005.48</v>
      </c>
      <c r="D2311" s="9">
        <v>1008.93</v>
      </c>
      <c r="E2311" s="9">
        <f t="shared" si="109"/>
        <v>-4.0653478147688752E-3</v>
      </c>
      <c r="F2311" s="45">
        <f t="shared" si="107"/>
        <v>7.3727595759456324E-2</v>
      </c>
      <c r="G2311" s="9">
        <f t="shared" si="108"/>
        <v>1.0168771496069472E-2</v>
      </c>
    </row>
    <row r="2312" spans="1:7" x14ac:dyDescent="0.2">
      <c r="A2312" s="12">
        <v>40249</v>
      </c>
      <c r="B2312" s="9">
        <v>1022.48</v>
      </c>
      <c r="C2312" s="9">
        <v>1009.1</v>
      </c>
      <c r="D2312" s="9">
        <v>1018.15</v>
      </c>
      <c r="E2312" s="9">
        <f t="shared" si="109"/>
        <v>9.0968916689397831E-3</v>
      </c>
      <c r="F2312" s="45">
        <f t="shared" si="107"/>
        <v>6.5382891989015979E-2</v>
      </c>
      <c r="G2312" s="9">
        <f t="shared" si="108"/>
        <v>9.8540245796227607E-3</v>
      </c>
    </row>
    <row r="2313" spans="1:7" x14ac:dyDescent="0.2">
      <c r="A2313" s="12">
        <v>40252</v>
      </c>
      <c r="B2313" s="9">
        <v>1019.35</v>
      </c>
      <c r="C2313" s="9">
        <v>1012.64</v>
      </c>
      <c r="D2313" s="9">
        <v>1013.51</v>
      </c>
      <c r="E2313" s="9">
        <f t="shared" si="109"/>
        <v>-4.5677013549217452E-3</v>
      </c>
      <c r="F2313" s="45">
        <f t="shared" si="107"/>
        <v>4.6180376902947802E-2</v>
      </c>
      <c r="G2313" s="9">
        <f t="shared" si="108"/>
        <v>9.6383719112945448E-3</v>
      </c>
    </row>
    <row r="2314" spans="1:7" x14ac:dyDescent="0.2">
      <c r="A2314" s="12">
        <v>40253</v>
      </c>
      <c r="B2314" s="9">
        <v>1021.75</v>
      </c>
      <c r="C2314" s="9">
        <v>1011.83</v>
      </c>
      <c r="D2314" s="9">
        <v>1020.05</v>
      </c>
      <c r="E2314" s="9">
        <f t="shared" si="109"/>
        <v>6.4320920431359761E-3</v>
      </c>
      <c r="F2314" s="45">
        <f t="shared" si="107"/>
        <v>4.8456902712935568E-2</v>
      </c>
      <c r="G2314" s="9">
        <f t="shared" si="108"/>
        <v>9.6685943484854688E-3</v>
      </c>
    </row>
    <row r="2315" spans="1:7" x14ac:dyDescent="0.2">
      <c r="A2315" s="12">
        <v>40254</v>
      </c>
      <c r="B2315" s="9">
        <v>1028.53</v>
      </c>
      <c r="C2315" s="9">
        <v>1023.03</v>
      </c>
      <c r="D2315" s="9">
        <v>1025.58</v>
      </c>
      <c r="E2315" s="9">
        <f t="shared" si="109"/>
        <v>5.4066605114936042E-3</v>
      </c>
      <c r="F2315" s="45">
        <f t="shared" si="107"/>
        <v>5.5717513698803067E-2</v>
      </c>
      <c r="G2315" s="9">
        <f t="shared" si="108"/>
        <v>9.6696330542443663E-3</v>
      </c>
    </row>
    <row r="2316" spans="1:7" x14ac:dyDescent="0.2">
      <c r="A2316" s="12">
        <v>40255</v>
      </c>
      <c r="B2316" s="9">
        <v>1023.98</v>
      </c>
      <c r="C2316" s="9">
        <v>1016.49</v>
      </c>
      <c r="D2316" s="9">
        <v>1018.19</v>
      </c>
      <c r="E2316" s="9">
        <f t="shared" si="109"/>
        <v>-7.2317650294167046E-3</v>
      </c>
      <c r="F2316" s="45">
        <f t="shared" si="107"/>
        <v>7.077352324329364E-2</v>
      </c>
      <c r="G2316" s="9">
        <f t="shared" si="108"/>
        <v>8.7170545353095971E-3</v>
      </c>
    </row>
    <row r="2317" spans="1:7" x14ac:dyDescent="0.2">
      <c r="A2317" s="12">
        <v>40256</v>
      </c>
      <c r="B2317" s="9">
        <v>1027.73</v>
      </c>
      <c r="C2317" s="9">
        <v>1017.14</v>
      </c>
      <c r="D2317" s="9">
        <v>1020.26</v>
      </c>
      <c r="E2317" s="9">
        <f t="shared" si="109"/>
        <v>2.0309555903010802E-3</v>
      </c>
      <c r="F2317" s="45">
        <f t="shared" si="107"/>
        <v>8.6314827553222243E-2</v>
      </c>
      <c r="G2317" s="9">
        <f t="shared" si="108"/>
        <v>8.1871236497164934E-3</v>
      </c>
    </row>
    <row r="2318" spans="1:7" x14ac:dyDescent="0.2">
      <c r="A2318" s="12">
        <v>40259</v>
      </c>
      <c r="B2318" s="9">
        <v>1027.3699999999999</v>
      </c>
      <c r="C2318" s="9">
        <v>1011.83</v>
      </c>
      <c r="D2318" s="9">
        <v>1021.42</v>
      </c>
      <c r="E2318" s="9">
        <f t="shared" si="109"/>
        <v>1.1363192320227753E-3</v>
      </c>
      <c r="F2318" s="45">
        <f t="shared" si="107"/>
        <v>8.4751485004013818E-2</v>
      </c>
      <c r="G2318" s="9">
        <f t="shared" si="108"/>
        <v>8.1932654680169845E-3</v>
      </c>
    </row>
    <row r="2319" spans="1:7" x14ac:dyDescent="0.2">
      <c r="A2319" s="12">
        <v>40260</v>
      </c>
      <c r="B2319" s="9">
        <v>1030.17</v>
      </c>
      <c r="C2319" s="9">
        <v>1021.9</v>
      </c>
      <c r="D2319" s="9">
        <v>1030.1300000000001</v>
      </c>
      <c r="E2319" s="9">
        <f t="shared" si="109"/>
        <v>8.4911918625106848E-3</v>
      </c>
      <c r="F2319" s="45">
        <f t="shared" si="107"/>
        <v>8.6467021968496746E-2</v>
      </c>
      <c r="G2319" s="9">
        <f t="shared" si="108"/>
        <v>8.2277037394016608E-3</v>
      </c>
    </row>
    <row r="2320" spans="1:7" x14ac:dyDescent="0.2">
      <c r="A2320" s="12">
        <v>40261</v>
      </c>
      <c r="B2320" s="9">
        <v>1033.1300000000001</v>
      </c>
      <c r="C2320" s="9">
        <v>1017.52</v>
      </c>
      <c r="D2320" s="9">
        <v>1027.08</v>
      </c>
      <c r="E2320" s="9">
        <f t="shared" si="109"/>
        <v>-2.9651831701306888E-3</v>
      </c>
      <c r="F2320" s="45">
        <f t="shared" si="107"/>
        <v>9.1738461073830033E-2</v>
      </c>
      <c r="G2320" s="9">
        <f t="shared" si="108"/>
        <v>8.0361150522668921E-3</v>
      </c>
    </row>
    <row r="2321" spans="1:7" x14ac:dyDescent="0.2">
      <c r="A2321" s="12">
        <v>40262</v>
      </c>
      <c r="B2321" s="9">
        <v>1036.3</v>
      </c>
      <c r="C2321" s="9">
        <v>1024.92</v>
      </c>
      <c r="D2321" s="9">
        <v>1033.3399999999999</v>
      </c>
      <c r="E2321" s="9">
        <f t="shared" si="109"/>
        <v>6.0764497157009233E-3</v>
      </c>
      <c r="F2321" s="45">
        <f t="shared" si="107"/>
        <v>9.0785621619853749E-2</v>
      </c>
      <c r="G2321" s="9">
        <f t="shared" si="108"/>
        <v>8.0217479148896511E-3</v>
      </c>
    </row>
    <row r="2322" spans="1:7" x14ac:dyDescent="0.2">
      <c r="A2322" s="12">
        <v>40263</v>
      </c>
      <c r="B2322" s="9">
        <v>1029.73</v>
      </c>
      <c r="C2322" s="9">
        <v>1022.38</v>
      </c>
      <c r="D2322" s="9">
        <v>1027.42</v>
      </c>
      <c r="E2322" s="9">
        <f t="shared" si="109"/>
        <v>-5.7454689387683305E-3</v>
      </c>
      <c r="F2322" s="45">
        <f t="shared" si="107"/>
        <v>9.8170937979439626E-2</v>
      </c>
      <c r="G2322" s="9">
        <f t="shared" si="108"/>
        <v>7.6116535890636845E-3</v>
      </c>
    </row>
    <row r="2323" spans="1:7" x14ac:dyDescent="0.2">
      <c r="A2323" s="12">
        <v>40266</v>
      </c>
      <c r="B2323" s="9">
        <v>1034.1500000000001</v>
      </c>
      <c r="C2323" s="9">
        <v>1024.3</v>
      </c>
      <c r="D2323" s="9">
        <v>1026.7</v>
      </c>
      <c r="E2323" s="9">
        <f t="shared" si="109"/>
        <v>-7.010301535320464E-4</v>
      </c>
      <c r="F2323" s="45">
        <f t="shared" si="107"/>
        <v>0.10607503338877743</v>
      </c>
      <c r="G2323" s="9">
        <f t="shared" si="108"/>
        <v>7.3174600901057905E-3</v>
      </c>
    </row>
    <row r="2324" spans="1:7" x14ac:dyDescent="0.2">
      <c r="A2324" s="12">
        <v>40267</v>
      </c>
      <c r="B2324" s="9">
        <v>1031.52</v>
      </c>
      <c r="C2324" s="9">
        <v>1022.05</v>
      </c>
      <c r="D2324" s="9">
        <v>1022.79</v>
      </c>
      <c r="E2324" s="9">
        <f t="shared" si="109"/>
        <v>-3.8155880182021385E-3</v>
      </c>
      <c r="F2324" s="45">
        <f t="shared" si="107"/>
        <v>9.0481177344828939E-2</v>
      </c>
      <c r="G2324" s="9">
        <f t="shared" si="108"/>
        <v>7.2654390482096466E-3</v>
      </c>
    </row>
    <row r="2325" spans="1:7" x14ac:dyDescent="0.2">
      <c r="A2325" s="12">
        <v>40268</v>
      </c>
      <c r="B2325" s="9">
        <v>1024.68</v>
      </c>
      <c r="C2325" s="9">
        <v>1016.26</v>
      </c>
      <c r="D2325" s="9">
        <v>1021.08</v>
      </c>
      <c r="E2325" s="9">
        <f t="shared" si="109"/>
        <v>-1.6732966372506974E-3</v>
      </c>
      <c r="F2325" s="45">
        <f t="shared" si="107"/>
        <v>7.8818447266221947E-2</v>
      </c>
      <c r="G2325" s="9">
        <f t="shared" si="108"/>
        <v>7.1910845207825624E-3</v>
      </c>
    </row>
    <row r="2326" spans="1:7" x14ac:dyDescent="0.2">
      <c r="A2326" s="12">
        <v>40269</v>
      </c>
      <c r="B2326" s="9">
        <v>1037.04</v>
      </c>
      <c r="C2326" s="9">
        <v>1025.69</v>
      </c>
      <c r="D2326" s="9">
        <v>1036.93</v>
      </c>
      <c r="E2326" s="9">
        <f t="shared" si="109"/>
        <v>1.5403533890870414E-2</v>
      </c>
      <c r="F2326" s="45">
        <f t="shared" si="107"/>
        <v>9.0752289842320533E-2</v>
      </c>
      <c r="G2326" s="9">
        <f t="shared" si="108"/>
        <v>7.5599100297236346E-3</v>
      </c>
    </row>
    <row r="2327" spans="1:7" x14ac:dyDescent="0.2">
      <c r="A2327" s="12">
        <v>40274</v>
      </c>
      <c r="B2327" s="9">
        <v>1046.25</v>
      </c>
      <c r="C2327" s="9">
        <v>1036.95</v>
      </c>
      <c r="D2327" s="9">
        <v>1046</v>
      </c>
      <c r="E2327" s="9">
        <f t="shared" si="109"/>
        <v>8.70894108453143E-3</v>
      </c>
      <c r="F2327" s="45">
        <f t="shared" si="107"/>
        <v>8.8643161302125059E-2</v>
      </c>
      <c r="G2327" s="9">
        <f t="shared" si="108"/>
        <v>7.4944628832471294E-3</v>
      </c>
    </row>
    <row r="2328" spans="1:7" x14ac:dyDescent="0.2">
      <c r="A2328" s="12">
        <v>40275</v>
      </c>
      <c r="B2328" s="9">
        <v>1046.58</v>
      </c>
      <c r="C2328" s="9">
        <v>1040.93</v>
      </c>
      <c r="D2328" s="9">
        <v>1042.78</v>
      </c>
      <c r="E2328" s="9">
        <f t="shared" si="109"/>
        <v>-3.0831418825466449E-3</v>
      </c>
      <c r="F2328" s="45">
        <f t="shared" si="107"/>
        <v>8.8877014984521246E-2</v>
      </c>
      <c r="G2328" s="9">
        <f t="shared" si="108"/>
        <v>7.4878332487433759E-3</v>
      </c>
    </row>
    <row r="2329" spans="1:7" x14ac:dyDescent="0.2">
      <c r="A2329" s="12">
        <v>40276</v>
      </c>
      <c r="B2329" s="9">
        <v>1040.2</v>
      </c>
      <c r="C2329" s="9">
        <v>1028.47</v>
      </c>
      <c r="D2329" s="9">
        <v>1036.73</v>
      </c>
      <c r="E2329" s="9">
        <f t="shared" si="109"/>
        <v>-5.8186948556794241E-3</v>
      </c>
      <c r="F2329" s="45">
        <f t="shared" si="107"/>
        <v>9.5768456162632534E-2</v>
      </c>
      <c r="G2329" s="9">
        <f t="shared" si="108"/>
        <v>7.0853311990032239E-3</v>
      </c>
    </row>
    <row r="2330" spans="1:7" x14ac:dyDescent="0.2">
      <c r="A2330" s="12">
        <v>40277</v>
      </c>
      <c r="B2330" s="9">
        <v>1044.68</v>
      </c>
      <c r="C2330" s="9">
        <v>1040.83</v>
      </c>
      <c r="D2330" s="9">
        <v>1044.58</v>
      </c>
      <c r="E2330" s="9">
        <f t="shared" si="109"/>
        <v>7.543361847641805E-3</v>
      </c>
      <c r="F2330" s="45">
        <f t="shared" si="107"/>
        <v>0.1009156676664137</v>
      </c>
      <c r="G2330" s="9">
        <f t="shared" si="108"/>
        <v>7.1275825885032205E-3</v>
      </c>
    </row>
    <row r="2331" spans="1:7" x14ac:dyDescent="0.2">
      <c r="A2331" s="12">
        <v>40280</v>
      </c>
      <c r="B2331" s="9">
        <v>1049.54</v>
      </c>
      <c r="C2331" s="9">
        <v>1044.96</v>
      </c>
      <c r="D2331" s="9">
        <v>1048.27</v>
      </c>
      <c r="E2331" s="9">
        <f t="shared" si="109"/>
        <v>3.526295552655967E-3</v>
      </c>
      <c r="F2331" s="45">
        <f t="shared" si="107"/>
        <v>0.10847418396016956</v>
      </c>
      <c r="G2331" s="9">
        <f t="shared" si="108"/>
        <v>6.9893777595364959E-3</v>
      </c>
    </row>
    <row r="2332" spans="1:7" x14ac:dyDescent="0.2">
      <c r="A2332" s="12">
        <v>40281</v>
      </c>
      <c r="B2332" s="9">
        <v>1048.0999999999999</v>
      </c>
      <c r="C2332" s="9">
        <v>1037.56</v>
      </c>
      <c r="D2332" s="9">
        <v>1046.5</v>
      </c>
      <c r="E2332" s="9">
        <f t="shared" si="109"/>
        <v>-1.6899234008855479E-3</v>
      </c>
      <c r="F2332" s="45">
        <f t="shared" si="107"/>
        <v>9.949570665582505E-2</v>
      </c>
      <c r="G2332" s="9">
        <f t="shared" si="108"/>
        <v>7.01885448547423E-3</v>
      </c>
    </row>
    <row r="2333" spans="1:7" x14ac:dyDescent="0.2">
      <c r="A2333" s="12">
        <v>40282</v>
      </c>
      <c r="B2333" s="9">
        <v>1052.28</v>
      </c>
      <c r="C2333" s="9">
        <v>1043.33</v>
      </c>
      <c r="D2333" s="9">
        <v>1051.76</v>
      </c>
      <c r="E2333" s="9">
        <f t="shared" si="109"/>
        <v>5.0136885022943715E-3</v>
      </c>
      <c r="F2333" s="45">
        <f t="shared" si="107"/>
        <v>8.4663098786188704E-2</v>
      </c>
      <c r="G2333" s="9">
        <f t="shared" si="108"/>
        <v>6.2999142522093335E-3</v>
      </c>
    </row>
    <row r="2334" spans="1:7" x14ac:dyDescent="0.2">
      <c r="A2334" s="12">
        <v>40283</v>
      </c>
      <c r="B2334" s="9">
        <v>1053.6099999999999</v>
      </c>
      <c r="C2334" s="9">
        <v>1044</v>
      </c>
      <c r="D2334" s="9">
        <v>1053.25</v>
      </c>
      <c r="E2334" s="9">
        <f t="shared" si="109"/>
        <v>1.4156704707770336E-3</v>
      </c>
      <c r="F2334" s="45">
        <f t="shared" si="107"/>
        <v>8.0619660216794786E-2</v>
      </c>
      <c r="G2334" s="9">
        <f t="shared" si="108"/>
        <v>6.2847871664330575E-3</v>
      </c>
    </row>
    <row r="2335" spans="1:7" x14ac:dyDescent="0.2">
      <c r="A2335" s="12">
        <v>40284</v>
      </c>
      <c r="B2335" s="9">
        <v>1063.6099999999999</v>
      </c>
      <c r="C2335" s="9">
        <v>1046.3699999999999</v>
      </c>
      <c r="D2335" s="9">
        <v>1050.24</v>
      </c>
      <c r="E2335" s="9">
        <f t="shared" si="109"/>
        <v>-2.861912397454498E-3</v>
      </c>
      <c r="F2335" s="45">
        <f t="shared" si="107"/>
        <v>6.8007867731391794E-2</v>
      </c>
      <c r="G2335" s="9">
        <f t="shared" si="108"/>
        <v>6.2175233665793554E-3</v>
      </c>
    </row>
    <row r="2336" spans="1:7" x14ac:dyDescent="0.2">
      <c r="A2336" s="12">
        <v>40287</v>
      </c>
      <c r="B2336" s="9">
        <v>1049.1300000000001</v>
      </c>
      <c r="C2336" s="9">
        <v>1036.44</v>
      </c>
      <c r="D2336" s="9">
        <v>1043.04</v>
      </c>
      <c r="E2336" s="9">
        <f t="shared" si="109"/>
        <v>-6.8791832854421748E-3</v>
      </c>
      <c r="F2336" s="45">
        <f t="shared" si="107"/>
        <v>5.7933598492875243E-2</v>
      </c>
      <c r="G2336" s="9">
        <f t="shared" si="108"/>
        <v>6.4339540335429986E-3</v>
      </c>
    </row>
    <row r="2337" spans="1:7" x14ac:dyDescent="0.2">
      <c r="A2337" s="12">
        <v>40288</v>
      </c>
      <c r="B2337" s="9">
        <v>1057.72</v>
      </c>
      <c r="C2337" s="9">
        <v>1047.47</v>
      </c>
      <c r="D2337" s="9">
        <v>1055.3399999999999</v>
      </c>
      <c r="E2337" s="9">
        <f t="shared" si="109"/>
        <v>1.1723463696059234E-2</v>
      </c>
      <c r="F2337" s="45">
        <f t="shared" ref="F2337:F2400" si="110">LN(D2337/D2307)</f>
        <v>5.579485473997764E-2</v>
      </c>
      <c r="G2337" s="9">
        <f t="shared" ref="G2337:G2400" si="111">STDEV(E2308:E2337)</f>
        <v>6.3078053553744804E-3</v>
      </c>
    </row>
    <row r="2338" spans="1:7" x14ac:dyDescent="0.2">
      <c r="A2338" s="12">
        <v>40289</v>
      </c>
      <c r="B2338" s="9">
        <v>1058.18</v>
      </c>
      <c r="C2338" s="9">
        <v>1042.23</v>
      </c>
      <c r="D2338" s="9">
        <v>1042.48</v>
      </c>
      <c r="E2338" s="9">
        <f t="shared" si="109"/>
        <v>-1.226050003563778E-2</v>
      </c>
      <c r="F2338" s="45">
        <f t="shared" si="110"/>
        <v>3.8218222951368223E-2</v>
      </c>
      <c r="G2338" s="9">
        <f t="shared" si="111"/>
        <v>6.7747084331616211E-3</v>
      </c>
    </row>
    <row r="2339" spans="1:7" x14ac:dyDescent="0.2">
      <c r="A2339" s="12">
        <v>40290</v>
      </c>
      <c r="B2339" s="9">
        <v>1049.6400000000001</v>
      </c>
      <c r="C2339" s="9">
        <v>1028.81</v>
      </c>
      <c r="D2339" s="9">
        <v>1038.3399999999999</v>
      </c>
      <c r="E2339" s="9">
        <f t="shared" si="109"/>
        <v>-3.9792057580720639E-3</v>
      </c>
      <c r="F2339" s="45">
        <f t="shared" si="110"/>
        <v>3.7123409054790328E-2</v>
      </c>
      <c r="G2339" s="9">
        <f t="shared" si="111"/>
        <v>6.8007794191268936E-3</v>
      </c>
    </row>
    <row r="2340" spans="1:7" x14ac:dyDescent="0.2">
      <c r="A2340" s="12">
        <v>40291</v>
      </c>
      <c r="B2340" s="9">
        <v>1068.29</v>
      </c>
      <c r="C2340" s="9">
        <v>1039.25</v>
      </c>
      <c r="D2340" s="9">
        <v>1066.82</v>
      </c>
      <c r="E2340" s="9">
        <f t="shared" si="109"/>
        <v>2.7058976710088459E-2</v>
      </c>
      <c r="F2340" s="45">
        <f t="shared" si="110"/>
        <v>5.1726549646314068E-2</v>
      </c>
      <c r="G2340" s="9">
        <f t="shared" si="111"/>
        <v>8.0409687465141447E-3</v>
      </c>
    </row>
    <row r="2341" spans="1:7" x14ac:dyDescent="0.2">
      <c r="A2341" s="12">
        <v>40294</v>
      </c>
      <c r="B2341" s="9">
        <v>1077.47</v>
      </c>
      <c r="C2341" s="9">
        <v>1067.82</v>
      </c>
      <c r="D2341" s="9">
        <v>1067.9000000000001</v>
      </c>
      <c r="E2341" s="9">
        <f t="shared" si="109"/>
        <v>1.0118423888327115E-3</v>
      </c>
      <c r="F2341" s="45">
        <f t="shared" si="110"/>
        <v>5.680373984991538E-2</v>
      </c>
      <c r="G2341" s="9">
        <f t="shared" si="111"/>
        <v>7.9680121574584178E-3</v>
      </c>
    </row>
    <row r="2342" spans="1:7" x14ac:dyDescent="0.2">
      <c r="A2342" s="12">
        <v>40295</v>
      </c>
      <c r="B2342" s="9">
        <v>1070.74</v>
      </c>
      <c r="C2342" s="9">
        <v>1042.82</v>
      </c>
      <c r="D2342" s="9">
        <v>1042.82</v>
      </c>
      <c r="E2342" s="9">
        <f t="shared" si="109"/>
        <v>-2.3765521168966987E-2</v>
      </c>
      <c r="F2342" s="45">
        <f t="shared" si="110"/>
        <v>2.3941327012008681E-2</v>
      </c>
      <c r="G2342" s="9">
        <f t="shared" si="111"/>
        <v>9.1192920367447316E-3</v>
      </c>
    </row>
    <row r="2343" spans="1:7" x14ac:dyDescent="0.2">
      <c r="A2343" s="12">
        <v>40296</v>
      </c>
      <c r="B2343" s="9">
        <v>1059.9000000000001</v>
      </c>
      <c r="C2343" s="9">
        <v>1032.79</v>
      </c>
      <c r="D2343" s="9">
        <v>1042.8699999999999</v>
      </c>
      <c r="E2343" s="9">
        <f t="shared" si="109"/>
        <v>4.7945763761275411E-5</v>
      </c>
      <c r="F2343" s="45">
        <f t="shared" si="110"/>
        <v>2.8556974130691568E-2</v>
      </c>
      <c r="G2343" s="9">
        <f t="shared" si="111"/>
        <v>9.0644139592980077E-3</v>
      </c>
    </row>
    <row r="2344" spans="1:7" x14ac:dyDescent="0.2">
      <c r="A2344" s="12">
        <v>40297</v>
      </c>
      <c r="B2344" s="9">
        <v>1061.77</v>
      </c>
      <c r="C2344" s="9">
        <v>1042.06</v>
      </c>
      <c r="D2344" s="9">
        <v>1061.77</v>
      </c>
      <c r="E2344" s="9">
        <f t="shared" si="109"/>
        <v>1.7960799069670852E-2</v>
      </c>
      <c r="F2344" s="45">
        <f t="shared" si="110"/>
        <v>4.0085681157226487E-2</v>
      </c>
      <c r="G2344" s="9">
        <f t="shared" si="111"/>
        <v>9.5368327812564279E-3</v>
      </c>
    </row>
    <row r="2345" spans="1:7" x14ac:dyDescent="0.2">
      <c r="A2345" s="12">
        <v>40298</v>
      </c>
      <c r="B2345" s="9">
        <v>1061.8399999999999</v>
      </c>
      <c r="C2345" s="9">
        <v>1049.82</v>
      </c>
      <c r="D2345" s="9">
        <v>1053.8800000000001</v>
      </c>
      <c r="E2345" s="9">
        <f t="shared" si="109"/>
        <v>-7.4587352146967163E-3</v>
      </c>
      <c r="F2345" s="45">
        <f t="shared" si="110"/>
        <v>2.7220285431036106E-2</v>
      </c>
      <c r="G2345" s="9">
        <f t="shared" si="111"/>
        <v>9.6362263474831164E-3</v>
      </c>
    </row>
    <row r="2346" spans="1:7" x14ac:dyDescent="0.2">
      <c r="A2346" s="12">
        <v>40301</v>
      </c>
      <c r="B2346" s="9">
        <v>1059.58</v>
      </c>
      <c r="C2346" s="9">
        <v>1044.6099999999999</v>
      </c>
      <c r="D2346" s="9">
        <v>1059.44</v>
      </c>
      <c r="E2346" s="9">
        <f t="shared" si="109"/>
        <v>5.2618749914410514E-3</v>
      </c>
      <c r="F2346" s="45">
        <f t="shared" si="110"/>
        <v>3.9713925451894096E-2</v>
      </c>
      <c r="G2346" s="9">
        <f t="shared" si="111"/>
        <v>9.5418546719438085E-3</v>
      </c>
    </row>
    <row r="2347" spans="1:7" x14ac:dyDescent="0.2">
      <c r="A2347" s="12">
        <v>40302</v>
      </c>
      <c r="B2347" s="9">
        <v>1062.8800000000001</v>
      </c>
      <c r="C2347" s="9">
        <v>1027.5</v>
      </c>
      <c r="D2347" s="9">
        <v>1027.5</v>
      </c>
      <c r="E2347" s="9">
        <f t="shared" si="109"/>
        <v>-3.0611799248319291E-2</v>
      </c>
      <c r="F2347" s="45">
        <f t="shared" si="110"/>
        <v>7.0711706132736522E-3</v>
      </c>
      <c r="G2347" s="9">
        <f t="shared" si="111"/>
        <v>1.1179147275084058E-2</v>
      </c>
    </row>
    <row r="2348" spans="1:7" x14ac:dyDescent="0.2">
      <c r="A2348" s="12">
        <v>40303</v>
      </c>
      <c r="B2348" s="9">
        <v>1030.77</v>
      </c>
      <c r="C2348" s="9">
        <v>1000.41</v>
      </c>
      <c r="D2348" s="9">
        <v>1000.7</v>
      </c>
      <c r="E2348" s="9">
        <f t="shared" si="109"/>
        <v>-2.6428912273979231E-2</v>
      </c>
      <c r="F2348" s="45">
        <f t="shared" si="110"/>
        <v>-2.0494060892728243E-2</v>
      </c>
      <c r="G2348" s="9">
        <f t="shared" si="111"/>
        <v>1.218972059894516E-2</v>
      </c>
    </row>
    <row r="2349" spans="1:7" x14ac:dyDescent="0.2">
      <c r="A2349" s="12">
        <v>40304</v>
      </c>
      <c r="B2349" s="9">
        <v>1010.45</v>
      </c>
      <c r="C2349" s="9">
        <v>973.2</v>
      </c>
      <c r="D2349" s="9">
        <v>977.25</v>
      </c>
      <c r="E2349" s="9">
        <f t="shared" si="109"/>
        <v>-2.3712529423346278E-2</v>
      </c>
      <c r="F2349" s="45">
        <f t="shared" si="110"/>
        <v>-5.2697782178585104E-2</v>
      </c>
      <c r="G2349" s="9">
        <f t="shared" si="111"/>
        <v>1.2758641086317987E-2</v>
      </c>
    </row>
    <row r="2350" spans="1:7" x14ac:dyDescent="0.2">
      <c r="A2350" s="12">
        <v>40305</v>
      </c>
      <c r="B2350" s="9">
        <v>973.61</v>
      </c>
      <c r="C2350" s="9">
        <v>929.02</v>
      </c>
      <c r="D2350" s="9">
        <v>944.57</v>
      </c>
      <c r="E2350" s="9">
        <f t="shared" si="109"/>
        <v>-3.4012707190300209E-2</v>
      </c>
      <c r="F2350" s="45">
        <f t="shared" si="110"/>
        <v>-8.3745306198754532E-2</v>
      </c>
      <c r="G2350" s="9">
        <f t="shared" si="111"/>
        <v>1.4053554406744186E-2</v>
      </c>
    </row>
    <row r="2351" spans="1:7" x14ac:dyDescent="0.2">
      <c r="A2351" s="12">
        <v>40308</v>
      </c>
      <c r="B2351" s="9">
        <v>1005.34</v>
      </c>
      <c r="C2351" s="9">
        <v>974.44</v>
      </c>
      <c r="D2351" s="9">
        <v>1005.34</v>
      </c>
      <c r="E2351" s="9">
        <f t="shared" si="109"/>
        <v>6.235127425472075E-2</v>
      </c>
      <c r="F2351" s="45">
        <f t="shared" si="110"/>
        <v>-2.7470481659734695E-2</v>
      </c>
      <c r="G2351" s="9">
        <f t="shared" si="111"/>
        <v>1.837065608430484E-2</v>
      </c>
    </row>
    <row r="2352" spans="1:7" x14ac:dyDescent="0.2">
      <c r="A2352" s="12">
        <v>40309</v>
      </c>
      <c r="B2352" s="9">
        <v>999.23</v>
      </c>
      <c r="C2352" s="9">
        <v>983.58</v>
      </c>
      <c r="D2352" s="9">
        <v>993.04</v>
      </c>
      <c r="E2352" s="9">
        <f t="shared" si="109"/>
        <v>-1.2310126529792411E-2</v>
      </c>
      <c r="F2352" s="45">
        <f t="shared" si="110"/>
        <v>-3.4035139250758829E-2</v>
      </c>
      <c r="G2352" s="9">
        <f t="shared" si="111"/>
        <v>1.846900401313575E-2</v>
      </c>
    </row>
    <row r="2353" spans="1:7" x14ac:dyDescent="0.2">
      <c r="A2353" s="12">
        <v>40310</v>
      </c>
      <c r="B2353" s="9">
        <v>1011.11</v>
      </c>
      <c r="C2353" s="9">
        <v>984.29</v>
      </c>
      <c r="D2353" s="9">
        <v>1010.25</v>
      </c>
      <c r="E2353" s="9">
        <f t="shared" si="109"/>
        <v>1.7182158750890675E-2</v>
      </c>
      <c r="F2353" s="45">
        <f t="shared" si="110"/>
        <v>-1.6151950346336083E-2</v>
      </c>
      <c r="G2353" s="9">
        <f t="shared" si="111"/>
        <v>1.8769629856978845E-2</v>
      </c>
    </row>
    <row r="2354" spans="1:7" x14ac:dyDescent="0.2">
      <c r="A2354" s="12">
        <v>40312</v>
      </c>
      <c r="B2354" s="9">
        <v>1013.57</v>
      </c>
      <c r="C2354" s="9">
        <v>983.74</v>
      </c>
      <c r="D2354" s="9">
        <v>984.91</v>
      </c>
      <c r="E2354" s="9">
        <f t="shared" si="109"/>
        <v>-2.5402837519413548E-2</v>
      </c>
      <c r="F2354" s="45">
        <f t="shared" si="110"/>
        <v>-3.7739199847547533E-2</v>
      </c>
      <c r="G2354" s="9">
        <f t="shared" si="111"/>
        <v>1.9305741385330019E-2</v>
      </c>
    </row>
    <row r="2355" spans="1:7" x14ac:dyDescent="0.2">
      <c r="A2355" s="12">
        <v>40315</v>
      </c>
      <c r="B2355" s="9">
        <v>1000.9</v>
      </c>
      <c r="C2355" s="9">
        <v>974.17</v>
      </c>
      <c r="D2355" s="9">
        <v>991.58</v>
      </c>
      <c r="E2355" s="9">
        <f t="shared" si="109"/>
        <v>6.7493640953058924E-3</v>
      </c>
      <c r="F2355" s="45">
        <f t="shared" si="110"/>
        <v>-2.9316539114990905E-2</v>
      </c>
      <c r="G2355" s="9">
        <f t="shared" si="111"/>
        <v>1.9360658754392128E-2</v>
      </c>
    </row>
    <row r="2356" spans="1:7" x14ac:dyDescent="0.2">
      <c r="A2356" s="12">
        <v>40316</v>
      </c>
      <c r="B2356" s="9">
        <v>1003.88</v>
      </c>
      <c r="C2356" s="9">
        <v>994.5</v>
      </c>
      <c r="D2356" s="9">
        <v>1000.41</v>
      </c>
      <c r="E2356" s="9">
        <f t="shared" si="109"/>
        <v>8.8655644206281047E-3</v>
      </c>
      <c r="F2356" s="45">
        <f t="shared" si="110"/>
        <v>-3.5854508585233147E-2</v>
      </c>
      <c r="G2356" s="9">
        <f t="shared" si="111"/>
        <v>1.9206091538655712E-2</v>
      </c>
    </row>
    <row r="2357" spans="1:7" x14ac:dyDescent="0.2">
      <c r="A2357" s="12">
        <v>40317</v>
      </c>
      <c r="B2357" s="9">
        <v>991.29</v>
      </c>
      <c r="C2357" s="9">
        <v>967.16</v>
      </c>
      <c r="D2357" s="9">
        <v>969.06</v>
      </c>
      <c r="E2357" s="9">
        <f t="shared" si="109"/>
        <v>-3.183866547662683E-2</v>
      </c>
      <c r="F2357" s="45">
        <f t="shared" si="110"/>
        <v>-7.6402115146391461E-2</v>
      </c>
      <c r="G2357" s="9">
        <f t="shared" si="111"/>
        <v>1.9899293868629649E-2</v>
      </c>
    </row>
    <row r="2358" spans="1:7" x14ac:dyDescent="0.2">
      <c r="A2358" s="12">
        <v>40318</v>
      </c>
      <c r="B2358" s="9">
        <v>981.6</v>
      </c>
      <c r="C2358" s="9">
        <v>933.16</v>
      </c>
      <c r="D2358" s="9">
        <v>947.93</v>
      </c>
      <c r="E2358" s="9">
        <f t="shared" si="109"/>
        <v>-2.2045869612184306E-2</v>
      </c>
      <c r="F2358" s="45">
        <f t="shared" si="110"/>
        <v>-9.5364842876029088E-2</v>
      </c>
      <c r="G2358" s="9">
        <f t="shared" si="111"/>
        <v>2.0215577183890884E-2</v>
      </c>
    </row>
    <row r="2359" spans="1:7" x14ac:dyDescent="0.2">
      <c r="A2359" s="12">
        <v>40319</v>
      </c>
      <c r="B2359" s="9">
        <v>958.48</v>
      </c>
      <c r="C2359" s="9">
        <v>934.02</v>
      </c>
      <c r="D2359" s="9">
        <v>953.77</v>
      </c>
      <c r="E2359" s="9">
        <f t="shared" si="109"/>
        <v>6.1418923683421289E-3</v>
      </c>
      <c r="F2359" s="45">
        <f t="shared" si="110"/>
        <v>-8.3404255652007542E-2</v>
      </c>
      <c r="G2359" s="9">
        <f t="shared" si="111"/>
        <v>2.0279559674674555E-2</v>
      </c>
    </row>
    <row r="2360" spans="1:7" x14ac:dyDescent="0.2">
      <c r="A2360" s="12">
        <v>40322</v>
      </c>
      <c r="B2360" s="9">
        <v>963.88</v>
      </c>
      <c r="C2360" s="9">
        <v>939.69</v>
      </c>
      <c r="D2360" s="9">
        <v>953.54</v>
      </c>
      <c r="E2360" s="9">
        <f t="shared" si="109"/>
        <v>-2.4117736614907132E-4</v>
      </c>
      <c r="F2360" s="45">
        <f t="shared" si="110"/>
        <v>-9.1188794865798353E-2</v>
      </c>
      <c r="G2360" s="9">
        <f t="shared" si="111"/>
        <v>2.0192527912127174E-2</v>
      </c>
    </row>
    <row r="2361" spans="1:7" x14ac:dyDescent="0.2">
      <c r="A2361" s="12">
        <v>40323</v>
      </c>
      <c r="B2361" s="9">
        <v>938.9</v>
      </c>
      <c r="C2361" s="9">
        <v>923.13</v>
      </c>
      <c r="D2361" s="9">
        <v>931.48</v>
      </c>
      <c r="E2361" s="9">
        <f t="shared" si="109"/>
        <v>-2.3406655803450645E-2</v>
      </c>
      <c r="F2361" s="45">
        <f t="shared" si="110"/>
        <v>-0.11812174622190504</v>
      </c>
      <c r="G2361" s="9">
        <f t="shared" si="111"/>
        <v>2.0487113198616076E-2</v>
      </c>
    </row>
    <row r="2362" spans="1:7" x14ac:dyDescent="0.2">
      <c r="A2362" s="12">
        <v>40324</v>
      </c>
      <c r="B2362" s="9">
        <v>961.35</v>
      </c>
      <c r="C2362" s="9">
        <v>942.82</v>
      </c>
      <c r="D2362" s="9">
        <v>957.05</v>
      </c>
      <c r="E2362" s="9">
        <f t="shared" si="109"/>
        <v>2.7080917627083732E-2</v>
      </c>
      <c r="F2362" s="45">
        <f t="shared" si="110"/>
        <v>-8.9350905193935792E-2</v>
      </c>
      <c r="G2362" s="9">
        <f t="shared" si="111"/>
        <v>2.125495865605662E-2</v>
      </c>
    </row>
    <row r="2363" spans="1:7" x14ac:dyDescent="0.2">
      <c r="A2363" s="12">
        <v>40325</v>
      </c>
      <c r="B2363" s="9">
        <v>979.06</v>
      </c>
      <c r="C2363" s="9">
        <v>959.18</v>
      </c>
      <c r="D2363" s="9">
        <v>978.55</v>
      </c>
      <c r="E2363" s="9">
        <f t="shared" si="109"/>
        <v>2.2216247458859445E-2</v>
      </c>
      <c r="F2363" s="45">
        <f t="shared" si="110"/>
        <v>-7.2148346237370709E-2</v>
      </c>
      <c r="G2363" s="9">
        <f t="shared" si="111"/>
        <v>2.1705279840129096E-2</v>
      </c>
    </row>
    <row r="2364" spans="1:7" x14ac:dyDescent="0.2">
      <c r="A2364" s="12">
        <v>40326</v>
      </c>
      <c r="B2364" s="9">
        <v>988.92</v>
      </c>
      <c r="C2364" s="9">
        <v>975.39</v>
      </c>
      <c r="D2364" s="9">
        <v>979.12</v>
      </c>
      <c r="E2364" s="9">
        <f t="shared" si="109"/>
        <v>5.8232492310495072E-4</v>
      </c>
      <c r="F2364" s="45">
        <f t="shared" si="110"/>
        <v>-7.2981691785042907E-2</v>
      </c>
      <c r="G2364" s="9">
        <f t="shared" si="111"/>
        <v>2.1700754432786813E-2</v>
      </c>
    </row>
    <row r="2365" spans="1:7" x14ac:dyDescent="0.2">
      <c r="A2365" s="12">
        <v>40329</v>
      </c>
      <c r="B2365" s="9">
        <v>985.32</v>
      </c>
      <c r="C2365" s="9">
        <v>977.82</v>
      </c>
      <c r="D2365" s="9">
        <v>980.63</v>
      </c>
      <c r="E2365" s="9">
        <f t="shared" si="109"/>
        <v>1.5410131892528542E-3</v>
      </c>
      <c r="F2365" s="45">
        <f t="shared" si="110"/>
        <v>-6.8578766198335486E-2</v>
      </c>
      <c r="G2365" s="9">
        <f t="shared" si="111"/>
        <v>2.1712637135617982E-2</v>
      </c>
    </row>
    <row r="2366" spans="1:7" x14ac:dyDescent="0.2">
      <c r="A2366" s="12">
        <v>40330</v>
      </c>
      <c r="B2366" s="9">
        <v>985.63</v>
      </c>
      <c r="C2366" s="9">
        <v>961.16</v>
      </c>
      <c r="D2366" s="9">
        <v>981.25</v>
      </c>
      <c r="E2366" s="9">
        <f t="shared" si="109"/>
        <v>6.3204683328241414E-4</v>
      </c>
      <c r="F2366" s="45">
        <f t="shared" si="110"/>
        <v>-6.1067536079611018E-2</v>
      </c>
      <c r="G2366" s="9">
        <f t="shared" si="111"/>
        <v>2.1701148990435487E-2</v>
      </c>
    </row>
    <row r="2367" spans="1:7" x14ac:dyDescent="0.2">
      <c r="A2367" s="12">
        <v>40331</v>
      </c>
      <c r="B2367" s="9">
        <v>991.22</v>
      </c>
      <c r="C2367" s="9">
        <v>970.06</v>
      </c>
      <c r="D2367" s="9">
        <v>989.77</v>
      </c>
      <c r="E2367" s="9">
        <f t="shared" ref="E2367:E2430" si="112">LN(D2367/D2366)</f>
        <v>8.6453238084715743E-3</v>
      </c>
      <c r="F2367" s="45">
        <f t="shared" si="110"/>
        <v>-6.4145675967198681E-2</v>
      </c>
      <c r="G2367" s="9">
        <f t="shared" si="111"/>
        <v>2.1641045548832512E-2</v>
      </c>
    </row>
    <row r="2368" spans="1:7" x14ac:dyDescent="0.2">
      <c r="A2368" s="12">
        <v>40332</v>
      </c>
      <c r="B2368" s="9">
        <v>1013.02</v>
      </c>
      <c r="C2368" s="9">
        <v>1000.93</v>
      </c>
      <c r="D2368" s="9">
        <v>1005.93</v>
      </c>
      <c r="E2368" s="9">
        <f t="shared" si="112"/>
        <v>1.6195172828649823E-2</v>
      </c>
      <c r="F2368" s="45">
        <f t="shared" si="110"/>
        <v>-3.5690003102911053E-2</v>
      </c>
      <c r="G2368" s="9">
        <f t="shared" si="111"/>
        <v>2.1805069691727783E-2</v>
      </c>
    </row>
    <row r="2369" spans="1:7" x14ac:dyDescent="0.2">
      <c r="A2369" s="12">
        <v>40333</v>
      </c>
      <c r="B2369" s="9">
        <v>1014.94</v>
      </c>
      <c r="C2369" s="9">
        <v>985.88</v>
      </c>
      <c r="D2369" s="9">
        <v>988.46</v>
      </c>
      <c r="E2369" s="9">
        <f t="shared" si="112"/>
        <v>-1.7519589293355051E-2</v>
      </c>
      <c r="F2369" s="45">
        <f t="shared" si="110"/>
        <v>-4.9230386638194061E-2</v>
      </c>
      <c r="G2369" s="9">
        <f t="shared" si="111"/>
        <v>2.2004031218345269E-2</v>
      </c>
    </row>
    <row r="2370" spans="1:7" x14ac:dyDescent="0.2">
      <c r="A2370" s="12">
        <v>40336</v>
      </c>
      <c r="B2370" s="9">
        <v>990.29</v>
      </c>
      <c r="C2370" s="9">
        <v>970.44</v>
      </c>
      <c r="D2370" s="9">
        <v>977.63</v>
      </c>
      <c r="E2370" s="9">
        <f t="shared" si="112"/>
        <v>-1.1016901096193431E-2</v>
      </c>
      <c r="F2370" s="45">
        <f t="shared" si="110"/>
        <v>-8.7306264444475992E-2</v>
      </c>
      <c r="G2370" s="9">
        <f t="shared" si="111"/>
        <v>2.1380813533780345E-2</v>
      </c>
    </row>
    <row r="2371" spans="1:7" x14ac:dyDescent="0.2">
      <c r="A2371" s="12">
        <v>40337</v>
      </c>
      <c r="B2371" s="9">
        <v>984.26</v>
      </c>
      <c r="C2371" s="9">
        <v>963.55</v>
      </c>
      <c r="D2371" s="9">
        <v>972</v>
      </c>
      <c r="E2371" s="9">
        <f t="shared" si="112"/>
        <v>-5.7754708837519687E-3</v>
      </c>
      <c r="F2371" s="45">
        <f t="shared" si="110"/>
        <v>-9.4093577717060575E-2</v>
      </c>
      <c r="G2371" s="9">
        <f t="shared" si="111"/>
        <v>2.1373790014004419E-2</v>
      </c>
    </row>
    <row r="2372" spans="1:7" x14ac:dyDescent="0.2">
      <c r="A2372" s="12">
        <v>40338</v>
      </c>
      <c r="B2372" s="9">
        <v>996.99</v>
      </c>
      <c r="C2372" s="9">
        <v>972.22</v>
      </c>
      <c r="D2372" s="9">
        <v>996.84</v>
      </c>
      <c r="E2372" s="9">
        <f t="shared" si="112"/>
        <v>2.5234471178541405E-2</v>
      </c>
      <c r="F2372" s="45">
        <f t="shared" si="110"/>
        <v>-4.5093585369552089E-2</v>
      </c>
      <c r="G2372" s="9">
        <f t="shared" si="111"/>
        <v>2.1613888912779412E-2</v>
      </c>
    </row>
    <row r="2373" spans="1:7" x14ac:dyDescent="0.2">
      <c r="A2373" s="12">
        <v>40339</v>
      </c>
      <c r="B2373" s="9">
        <v>1018.58</v>
      </c>
      <c r="C2373" s="9">
        <v>989.06</v>
      </c>
      <c r="D2373" s="9">
        <v>1017.74</v>
      </c>
      <c r="E2373" s="9">
        <f t="shared" si="112"/>
        <v>2.074948610015959E-2</v>
      </c>
      <c r="F2373" s="45">
        <f t="shared" si="110"/>
        <v>-2.439204503315371E-2</v>
      </c>
      <c r="G2373" s="9">
        <f t="shared" si="111"/>
        <v>2.1992266000601845E-2</v>
      </c>
    </row>
    <row r="2374" spans="1:7" x14ac:dyDescent="0.2">
      <c r="A2374" s="12">
        <v>40340</v>
      </c>
      <c r="B2374" s="9">
        <v>1022.39</v>
      </c>
      <c r="C2374" s="9">
        <v>1006.26</v>
      </c>
      <c r="D2374" s="9">
        <v>1016.29</v>
      </c>
      <c r="E2374" s="9">
        <f t="shared" si="112"/>
        <v>-1.425741258115752E-3</v>
      </c>
      <c r="F2374" s="45">
        <f t="shared" si="110"/>
        <v>-4.3778585360940293E-2</v>
      </c>
      <c r="G2374" s="9">
        <f t="shared" si="111"/>
        <v>2.170453829639668E-2</v>
      </c>
    </row>
    <row r="2375" spans="1:7" x14ac:dyDescent="0.2">
      <c r="A2375" s="12">
        <v>40343</v>
      </c>
      <c r="B2375" s="9">
        <v>1033.01</v>
      </c>
      <c r="C2375" s="9">
        <v>1022.93</v>
      </c>
      <c r="D2375" s="9">
        <v>1032.5999999999999</v>
      </c>
      <c r="E2375" s="9">
        <f t="shared" si="112"/>
        <v>1.5921151964524306E-2</v>
      </c>
      <c r="F2375" s="45">
        <f t="shared" si="110"/>
        <v>-2.0398698181719219E-2</v>
      </c>
      <c r="G2375" s="9">
        <f t="shared" si="111"/>
        <v>2.1900549592351059E-2</v>
      </c>
    </row>
    <row r="2376" spans="1:7" x14ac:dyDescent="0.2">
      <c r="A2376" s="12">
        <v>40344</v>
      </c>
      <c r="B2376" s="9">
        <v>1045.81</v>
      </c>
      <c r="C2376" s="9">
        <v>1026.1400000000001</v>
      </c>
      <c r="D2376" s="9">
        <v>1045.29</v>
      </c>
      <c r="E2376" s="9">
        <f t="shared" si="112"/>
        <v>1.2214465415763189E-2</v>
      </c>
      <c r="F2376" s="45">
        <f t="shared" si="110"/>
        <v>-1.3446107757397107E-2</v>
      </c>
      <c r="G2376" s="9">
        <f t="shared" si="111"/>
        <v>2.2002145329349486E-2</v>
      </c>
    </row>
    <row r="2377" spans="1:7" x14ac:dyDescent="0.2">
      <c r="A2377" s="12">
        <v>40345</v>
      </c>
      <c r="B2377" s="9">
        <v>1051.33</v>
      </c>
      <c r="C2377" s="9">
        <v>1032.6199999999999</v>
      </c>
      <c r="D2377" s="9">
        <v>1045.73</v>
      </c>
      <c r="E2377" s="9">
        <f t="shared" si="112"/>
        <v>4.208472482274061E-4</v>
      </c>
      <c r="F2377" s="45">
        <f t="shared" si="110"/>
        <v>1.7586538739149612E-2</v>
      </c>
      <c r="G2377" s="9">
        <f t="shared" si="111"/>
        <v>2.1251814917931329E-2</v>
      </c>
    </row>
    <row r="2378" spans="1:7" x14ac:dyDescent="0.2">
      <c r="A2378" s="12">
        <v>40346</v>
      </c>
      <c r="B2378" s="9">
        <v>1053.0999999999999</v>
      </c>
      <c r="C2378" s="9">
        <v>1038.6099999999999</v>
      </c>
      <c r="D2378" s="9">
        <v>1046.51</v>
      </c>
      <c r="E2378" s="9">
        <f t="shared" si="112"/>
        <v>7.4561239258979161E-4</v>
      </c>
      <c r="F2378" s="45">
        <f t="shared" si="110"/>
        <v>4.4761063405718511E-2</v>
      </c>
      <c r="G2378" s="9">
        <f t="shared" si="111"/>
        <v>2.0630695633478503E-2</v>
      </c>
    </row>
    <row r="2379" spans="1:7" x14ac:dyDescent="0.2">
      <c r="A2379" s="12">
        <v>40347</v>
      </c>
      <c r="B2379" s="9">
        <v>1056.6500000000001</v>
      </c>
      <c r="C2379" s="9">
        <v>1047.47</v>
      </c>
      <c r="D2379" s="9">
        <v>1054.58</v>
      </c>
      <c r="E2379" s="9">
        <f t="shared" si="112"/>
        <v>7.6817648780942646E-3</v>
      </c>
      <c r="F2379" s="45">
        <f t="shared" si="110"/>
        <v>7.6155357707159033E-2</v>
      </c>
      <c r="G2379" s="9">
        <f t="shared" si="111"/>
        <v>2.0097462300741241E-2</v>
      </c>
    </row>
    <row r="2380" spans="1:7" x14ac:dyDescent="0.2">
      <c r="A2380" s="12">
        <v>40350</v>
      </c>
      <c r="B2380" s="9">
        <v>1069.72</v>
      </c>
      <c r="C2380" s="9">
        <v>1055.5899999999999</v>
      </c>
      <c r="D2380" s="9">
        <v>1060.51</v>
      </c>
      <c r="E2380" s="9">
        <f t="shared" si="112"/>
        <v>5.6073410944363841E-3</v>
      </c>
      <c r="F2380" s="45">
        <f t="shared" si="110"/>
        <v>0.11577540599189561</v>
      </c>
      <c r="G2380" s="9">
        <f t="shared" si="111"/>
        <v>1.8877493340558337E-2</v>
      </c>
    </row>
    <row r="2381" spans="1:7" x14ac:dyDescent="0.2">
      <c r="A2381" s="12">
        <v>40351</v>
      </c>
      <c r="B2381" s="9">
        <v>1065.93</v>
      </c>
      <c r="C2381" s="9">
        <v>1049.4000000000001</v>
      </c>
      <c r="D2381" s="9">
        <v>1059.3800000000001</v>
      </c>
      <c r="E2381" s="9">
        <f t="shared" si="112"/>
        <v>-1.0660931529705637E-3</v>
      </c>
      <c r="F2381" s="45">
        <f t="shared" si="110"/>
        <v>5.2358038584204111E-2</v>
      </c>
      <c r="G2381" s="9">
        <f t="shared" si="111"/>
        <v>1.5316553351928944E-2</v>
      </c>
    </row>
    <row r="2382" spans="1:7" x14ac:dyDescent="0.2">
      <c r="A2382" s="12">
        <v>40352</v>
      </c>
      <c r="B2382" s="9">
        <v>1064.51</v>
      </c>
      <c r="C2382" s="9">
        <v>1044.68</v>
      </c>
      <c r="D2382" s="9">
        <v>1047.67</v>
      </c>
      <c r="E2382" s="9">
        <f t="shared" si="112"/>
        <v>-1.1115180523732121E-2</v>
      </c>
      <c r="F2382" s="45">
        <f t="shared" si="110"/>
        <v>5.3552984590264481E-2</v>
      </c>
      <c r="G2382" s="9">
        <f t="shared" si="111"/>
        <v>1.5280251865721194E-2</v>
      </c>
    </row>
    <row r="2383" spans="1:7" x14ac:dyDescent="0.2">
      <c r="A2383" s="12">
        <v>40353</v>
      </c>
      <c r="B2383" s="9">
        <v>1053.49</v>
      </c>
      <c r="C2383" s="9">
        <v>1019.87</v>
      </c>
      <c r="D2383" s="9">
        <v>1021.43</v>
      </c>
      <c r="E2383" s="9">
        <f t="shared" si="112"/>
        <v>-2.5365044564796199E-2</v>
      </c>
      <c r="F2383" s="45">
        <f t="shared" si="110"/>
        <v>1.1005781274577428E-2</v>
      </c>
      <c r="G2383" s="9">
        <f t="shared" si="111"/>
        <v>1.5768602099485513E-2</v>
      </c>
    </row>
    <row r="2384" spans="1:7" x14ac:dyDescent="0.2">
      <c r="A2384" s="12">
        <v>40357</v>
      </c>
      <c r="B2384" s="9">
        <v>1028.4100000000001</v>
      </c>
      <c r="C2384" s="9">
        <v>1012.28</v>
      </c>
      <c r="D2384" s="9">
        <v>1025.8900000000001</v>
      </c>
      <c r="E2384" s="9">
        <f t="shared" si="112"/>
        <v>4.356922274252501E-3</v>
      </c>
      <c r="F2384" s="45">
        <f t="shared" si="110"/>
        <v>4.0765541068243663E-2</v>
      </c>
      <c r="G2384" s="9">
        <f t="shared" si="111"/>
        <v>1.5009350457371558E-2</v>
      </c>
    </row>
    <row r="2385" spans="1:7" x14ac:dyDescent="0.2">
      <c r="A2385" s="12">
        <v>40358</v>
      </c>
      <c r="B2385" s="9">
        <v>1016.74</v>
      </c>
      <c r="C2385" s="9">
        <v>989.8</v>
      </c>
      <c r="D2385" s="9">
        <v>993.92</v>
      </c>
      <c r="E2385" s="9">
        <f t="shared" si="112"/>
        <v>-3.1659086987145597E-2</v>
      </c>
      <c r="F2385" s="45">
        <f t="shared" si="110"/>
        <v>2.3570899857921776E-3</v>
      </c>
      <c r="G2385" s="9">
        <f t="shared" si="111"/>
        <v>1.6129957588177021E-2</v>
      </c>
    </row>
    <row r="2386" spans="1:7" x14ac:dyDescent="0.2">
      <c r="A2386" s="12">
        <v>40359</v>
      </c>
      <c r="B2386" s="9">
        <v>1009.33</v>
      </c>
      <c r="C2386" s="9">
        <v>991.11</v>
      </c>
      <c r="D2386" s="9">
        <v>1005.93</v>
      </c>
      <c r="E2386" s="9">
        <f t="shared" si="112"/>
        <v>1.2011045213471913E-2</v>
      </c>
      <c r="F2386" s="45">
        <f t="shared" si="110"/>
        <v>5.5025707786358876E-3</v>
      </c>
      <c r="G2386" s="9">
        <f t="shared" si="111"/>
        <v>1.6199120150989853E-2</v>
      </c>
    </row>
    <row r="2387" spans="1:7" x14ac:dyDescent="0.2">
      <c r="A2387" s="12">
        <v>40360</v>
      </c>
      <c r="B2387" s="9">
        <v>1005.48</v>
      </c>
      <c r="C2387" s="9">
        <v>975.49</v>
      </c>
      <c r="D2387" s="9">
        <v>981.54</v>
      </c>
      <c r="E2387" s="9">
        <f t="shared" si="112"/>
        <v>-2.4544998899604622E-2</v>
      </c>
      <c r="F2387" s="45">
        <f t="shared" si="110"/>
        <v>1.2796237355658067E-2</v>
      </c>
      <c r="G2387" s="9">
        <f t="shared" si="111"/>
        <v>1.575046887219558E-2</v>
      </c>
    </row>
    <row r="2388" spans="1:7" x14ac:dyDescent="0.2">
      <c r="A2388" s="12">
        <v>40361</v>
      </c>
      <c r="B2388" s="9">
        <v>995.59</v>
      </c>
      <c r="C2388" s="9">
        <v>980.98</v>
      </c>
      <c r="D2388" s="9">
        <v>983.3</v>
      </c>
      <c r="E2388" s="9">
        <f t="shared" si="112"/>
        <v>1.791494951975737E-3</v>
      </c>
      <c r="F2388" s="45">
        <f t="shared" si="110"/>
        <v>3.6633601919818091E-2</v>
      </c>
      <c r="G2388" s="9">
        <f t="shared" si="111"/>
        <v>1.5168199498799809E-2</v>
      </c>
    </row>
    <row r="2389" spans="1:7" x14ac:dyDescent="0.2">
      <c r="A2389" s="12">
        <v>40364</v>
      </c>
      <c r="B2389" s="9">
        <v>991.4</v>
      </c>
      <c r="C2389" s="9">
        <v>979.11</v>
      </c>
      <c r="D2389" s="9">
        <v>980.94</v>
      </c>
      <c r="E2389" s="9">
        <f t="shared" si="112"/>
        <v>-2.4029661707343684E-3</v>
      </c>
      <c r="F2389" s="45">
        <f t="shared" si="110"/>
        <v>2.8088743380741531E-2</v>
      </c>
      <c r="G2389" s="9">
        <f t="shared" si="111"/>
        <v>1.5152830833445421E-2</v>
      </c>
    </row>
    <row r="2390" spans="1:7" x14ac:dyDescent="0.2">
      <c r="A2390" s="12">
        <v>40365</v>
      </c>
      <c r="B2390" s="9">
        <v>1011.92</v>
      </c>
      <c r="C2390" s="9">
        <v>984.9</v>
      </c>
      <c r="D2390" s="9">
        <v>1009.41</v>
      </c>
      <c r="E2390" s="9">
        <f t="shared" si="112"/>
        <v>2.8609985117084454E-2</v>
      </c>
      <c r="F2390" s="45">
        <f t="shared" si="110"/>
        <v>5.6939905863975092E-2</v>
      </c>
      <c r="G2390" s="9">
        <f t="shared" si="111"/>
        <v>1.5969087330730356E-2</v>
      </c>
    </row>
    <row r="2391" spans="1:7" x14ac:dyDescent="0.2">
      <c r="A2391" s="12">
        <v>40366</v>
      </c>
      <c r="B2391" s="9">
        <v>1022.65</v>
      </c>
      <c r="C2391" s="9">
        <v>992.24</v>
      </c>
      <c r="D2391" s="9">
        <v>1020.43</v>
      </c>
      <c r="E2391" s="9">
        <f t="shared" si="112"/>
        <v>1.0858105338219003E-2</v>
      </c>
      <c r="F2391" s="45">
        <f t="shared" si="110"/>
        <v>9.1204667005644849E-2</v>
      </c>
      <c r="G2391" s="9">
        <f t="shared" si="111"/>
        <v>1.5308509079968127E-2</v>
      </c>
    </row>
    <row r="2392" spans="1:7" x14ac:dyDescent="0.2">
      <c r="A2392" s="12">
        <v>40367</v>
      </c>
      <c r="B2392" s="9">
        <v>1029.28</v>
      </c>
      <c r="C2392" s="9">
        <v>1007.07</v>
      </c>
      <c r="D2392" s="9">
        <v>1013.16</v>
      </c>
      <c r="E2392" s="9">
        <f t="shared" si="112"/>
        <v>-7.1499476012709187E-3</v>
      </c>
      <c r="F2392" s="45">
        <f t="shared" si="110"/>
        <v>5.6973801777290195E-2</v>
      </c>
      <c r="G2392" s="9">
        <f t="shared" si="111"/>
        <v>1.4719192977030645E-2</v>
      </c>
    </row>
    <row r="2393" spans="1:7" x14ac:dyDescent="0.2">
      <c r="A2393" s="12">
        <v>40368</v>
      </c>
      <c r="B2393" s="9">
        <v>1029.3499999999999</v>
      </c>
      <c r="C2393" s="9">
        <v>1016.26</v>
      </c>
      <c r="D2393" s="9">
        <v>1028.1199999999999</v>
      </c>
      <c r="E2393" s="9">
        <f t="shared" si="112"/>
        <v>1.465773225061769E-2</v>
      </c>
      <c r="F2393" s="45">
        <f t="shared" si="110"/>
        <v>4.9415286569048443E-2</v>
      </c>
      <c r="G2393" s="9">
        <f t="shared" si="111"/>
        <v>1.4421101473160289E-2</v>
      </c>
    </row>
    <row r="2394" spans="1:7" x14ac:dyDescent="0.2">
      <c r="A2394" s="12">
        <v>40371</v>
      </c>
      <c r="B2394" s="9">
        <v>1034.31</v>
      </c>
      <c r="C2394" s="9">
        <v>1020.28</v>
      </c>
      <c r="D2394" s="9">
        <v>1030.18</v>
      </c>
      <c r="E2394" s="9">
        <f t="shared" si="112"/>
        <v>2.0016525169334787E-3</v>
      </c>
      <c r="F2394" s="45">
        <f t="shared" si="110"/>
        <v>5.0834614162877066E-2</v>
      </c>
      <c r="G2394" s="9">
        <f t="shared" si="111"/>
        <v>1.4419815698695434E-2</v>
      </c>
    </row>
    <row r="2395" spans="1:7" x14ac:dyDescent="0.2">
      <c r="A2395" s="12">
        <v>40372</v>
      </c>
      <c r="B2395" s="9">
        <v>1061.0999999999999</v>
      </c>
      <c r="C2395" s="9">
        <v>1028.98</v>
      </c>
      <c r="D2395" s="9">
        <v>1061.0999999999999</v>
      </c>
      <c r="E2395" s="9">
        <f t="shared" si="112"/>
        <v>2.9572561642584611E-2</v>
      </c>
      <c r="F2395" s="45">
        <f t="shared" si="110"/>
        <v>7.8866162616208643E-2</v>
      </c>
      <c r="G2395" s="9">
        <f t="shared" si="111"/>
        <v>1.5291391183611874E-2</v>
      </c>
    </row>
    <row r="2396" spans="1:7" x14ac:dyDescent="0.2">
      <c r="A2396" s="12">
        <v>40373</v>
      </c>
      <c r="B2396" s="9">
        <v>1067.5</v>
      </c>
      <c r="C2396" s="9">
        <v>1055.1600000000001</v>
      </c>
      <c r="D2396" s="9">
        <v>1063.74</v>
      </c>
      <c r="E2396" s="9">
        <f t="shared" si="112"/>
        <v>2.4848942587995036E-3</v>
      </c>
      <c r="F2396" s="45">
        <f t="shared" si="110"/>
        <v>8.0719010041725908E-2</v>
      </c>
      <c r="G2396" s="9">
        <f t="shared" si="111"/>
        <v>1.5286789055633144E-2</v>
      </c>
    </row>
    <row r="2397" spans="1:7" x14ac:dyDescent="0.2">
      <c r="A2397" s="12">
        <v>40374</v>
      </c>
      <c r="B2397" s="9">
        <v>1067.55</v>
      </c>
      <c r="C2397" s="9">
        <v>1048.8699999999999</v>
      </c>
      <c r="D2397" s="9">
        <v>1055.52</v>
      </c>
      <c r="E2397" s="9">
        <f t="shared" si="112"/>
        <v>-7.7574636637834067E-3</v>
      </c>
      <c r="F2397" s="45">
        <f t="shared" si="110"/>
        <v>6.4316222569471088E-2</v>
      </c>
      <c r="G2397" s="9">
        <f t="shared" si="111"/>
        <v>1.5359628779716252E-2</v>
      </c>
    </row>
    <row r="2398" spans="1:7" x14ac:dyDescent="0.2">
      <c r="A2398" s="12">
        <v>40375</v>
      </c>
      <c r="B2398" s="9">
        <v>1062.31</v>
      </c>
      <c r="C2398" s="9">
        <v>1032.97</v>
      </c>
      <c r="D2398" s="9">
        <v>1034.69</v>
      </c>
      <c r="E2398" s="9">
        <f t="shared" si="112"/>
        <v>-1.9931671547451513E-2</v>
      </c>
      <c r="F2398" s="45">
        <f t="shared" si="110"/>
        <v>2.81893781933698E-2</v>
      </c>
      <c r="G2398" s="9">
        <f t="shared" si="111"/>
        <v>1.5633753765363856E-2</v>
      </c>
    </row>
    <row r="2399" spans="1:7" x14ac:dyDescent="0.2">
      <c r="A2399" s="12">
        <v>40378</v>
      </c>
      <c r="B2399" s="9">
        <v>1044.92</v>
      </c>
      <c r="C2399" s="9">
        <v>1024.6600000000001</v>
      </c>
      <c r="D2399" s="9">
        <v>1032.73</v>
      </c>
      <c r="E2399" s="9">
        <f t="shared" si="112"/>
        <v>-1.8960836087539331E-3</v>
      </c>
      <c r="F2399" s="45">
        <f t="shared" si="110"/>
        <v>4.3812883877970679E-2</v>
      </c>
      <c r="G2399" s="9">
        <f t="shared" si="111"/>
        <v>1.5253235925122347E-2</v>
      </c>
    </row>
    <row r="2400" spans="1:7" x14ac:dyDescent="0.2">
      <c r="A2400" s="12">
        <v>40379</v>
      </c>
      <c r="B2400" s="9">
        <v>1040.23</v>
      </c>
      <c r="C2400" s="9">
        <v>1016.54</v>
      </c>
      <c r="D2400" s="9">
        <v>1027.3599999999999</v>
      </c>
      <c r="E2400" s="9">
        <f t="shared" si="112"/>
        <v>-5.2133762726171116E-3</v>
      </c>
      <c r="F2400" s="45">
        <f t="shared" si="110"/>
        <v>4.9616408701547134E-2</v>
      </c>
      <c r="G2400" s="9">
        <f t="shared" si="111"/>
        <v>1.5125803698082217E-2</v>
      </c>
    </row>
    <row r="2401" spans="1:7" x14ac:dyDescent="0.2">
      <c r="A2401" s="12">
        <v>40380</v>
      </c>
      <c r="B2401" s="9">
        <v>1053.45</v>
      </c>
      <c r="C2401" s="9">
        <v>1034.51</v>
      </c>
      <c r="D2401" s="9">
        <v>1040.8399999999999</v>
      </c>
      <c r="E2401" s="9">
        <f t="shared" si="112"/>
        <v>1.3035674389471282E-2</v>
      </c>
      <c r="F2401" s="45">
        <f t="shared" ref="F2401:F2464" si="113">LN(D2401/D2371)</f>
        <v>6.8427553974770447E-2</v>
      </c>
      <c r="G2401" s="9">
        <f t="shared" ref="G2401:G2464" si="114">STDEV(E2372:E2401)</f>
        <v>1.5196940322401285E-2</v>
      </c>
    </row>
    <row r="2402" spans="1:7" x14ac:dyDescent="0.2">
      <c r="A2402" s="12">
        <v>40381</v>
      </c>
      <c r="B2402" s="9">
        <v>1067.08</v>
      </c>
      <c r="C2402" s="9">
        <v>1035.95</v>
      </c>
      <c r="D2402" s="9">
        <v>1065.3699999999999</v>
      </c>
      <c r="E2402" s="9">
        <f t="shared" si="112"/>
        <v>2.3294077213087513E-2</v>
      </c>
      <c r="F2402" s="45">
        <f t="shared" si="113"/>
        <v>6.6487160009316537E-2</v>
      </c>
      <c r="G2402" s="9">
        <f t="shared" si="114"/>
        <v>1.5099696975524208E-2</v>
      </c>
    </row>
    <row r="2403" spans="1:7" x14ac:dyDescent="0.2">
      <c r="A2403" s="12">
        <v>40382</v>
      </c>
      <c r="B2403" s="9">
        <v>1067.29</v>
      </c>
      <c r="C2403" s="9">
        <v>1050.1099999999999</v>
      </c>
      <c r="D2403" s="9">
        <v>1057.77</v>
      </c>
      <c r="E2403" s="9">
        <f t="shared" si="112"/>
        <v>-7.1592381673149467E-3</v>
      </c>
      <c r="F2403" s="45">
        <f t="shared" si="113"/>
        <v>3.8578435741842068E-2</v>
      </c>
      <c r="G2403" s="9">
        <f t="shared" si="114"/>
        <v>1.4774721760147123E-2</v>
      </c>
    </row>
    <row r="2404" spans="1:7" x14ac:dyDescent="0.2">
      <c r="A2404" s="12">
        <v>40385</v>
      </c>
      <c r="B2404" s="9">
        <v>1066.8499999999999</v>
      </c>
      <c r="C2404" s="9">
        <v>1050.8499999999999</v>
      </c>
      <c r="D2404" s="9">
        <v>1059.44</v>
      </c>
      <c r="E2404" s="9">
        <f t="shared" si="112"/>
        <v>1.5775481377267573E-3</v>
      </c>
      <c r="F2404" s="45">
        <f t="shared" si="113"/>
        <v>4.1581725137684697E-2</v>
      </c>
      <c r="G2404" s="9">
        <f t="shared" si="114"/>
        <v>1.4765886598582384E-2</v>
      </c>
    </row>
    <row r="2405" spans="1:7" x14ac:dyDescent="0.2">
      <c r="A2405" s="12">
        <v>40386</v>
      </c>
      <c r="B2405" s="9">
        <v>1068.7</v>
      </c>
      <c r="C2405" s="9">
        <v>1056.5999999999999</v>
      </c>
      <c r="D2405" s="9">
        <v>1059.29</v>
      </c>
      <c r="E2405" s="9">
        <f t="shared" si="112"/>
        <v>-1.4159425717360559E-4</v>
      </c>
      <c r="F2405" s="45">
        <f t="shared" si="113"/>
        <v>2.5518978915986774E-2</v>
      </c>
      <c r="G2405" s="9">
        <f t="shared" si="114"/>
        <v>1.4509658090623262E-2</v>
      </c>
    </row>
    <row r="2406" spans="1:7" x14ac:dyDescent="0.2">
      <c r="A2406" s="12">
        <v>40387</v>
      </c>
      <c r="B2406" s="9">
        <v>1066.99</v>
      </c>
      <c r="C2406" s="9">
        <v>1048.8499999999999</v>
      </c>
      <c r="D2406" s="9">
        <v>1050.8399999999999</v>
      </c>
      <c r="E2406" s="9">
        <f t="shared" si="112"/>
        <v>-8.0090280394020785E-3</v>
      </c>
      <c r="F2406" s="45">
        <f t="shared" si="113"/>
        <v>5.2954854608214244E-3</v>
      </c>
      <c r="G2406" s="9">
        <f t="shared" si="114"/>
        <v>1.44330786991361E-2</v>
      </c>
    </row>
    <row r="2407" spans="1:7" x14ac:dyDescent="0.2">
      <c r="A2407" s="12">
        <v>40388</v>
      </c>
      <c r="B2407" s="9">
        <v>1060.17</v>
      </c>
      <c r="C2407" s="9">
        <v>1047.3800000000001</v>
      </c>
      <c r="D2407" s="9">
        <v>1049.02</v>
      </c>
      <c r="E2407" s="9">
        <f t="shared" si="112"/>
        <v>-1.7334493306553817E-3</v>
      </c>
      <c r="F2407" s="45">
        <f t="shared" si="113"/>
        <v>3.141188881938782E-3</v>
      </c>
      <c r="G2407" s="9">
        <f t="shared" si="114"/>
        <v>1.4437179770595537E-2</v>
      </c>
    </row>
    <row r="2408" spans="1:7" x14ac:dyDescent="0.2">
      <c r="A2408" s="12">
        <v>40389</v>
      </c>
      <c r="B2408" s="9">
        <v>1055.28</v>
      </c>
      <c r="C2408" s="9">
        <v>1037.72</v>
      </c>
      <c r="D2408" s="9">
        <v>1047.26</v>
      </c>
      <c r="E2408" s="9">
        <f t="shared" si="112"/>
        <v>-1.6791653915896921E-3</v>
      </c>
      <c r="F2408" s="45">
        <f t="shared" si="113"/>
        <v>7.1641109775930068E-4</v>
      </c>
      <c r="G2408" s="9">
        <f t="shared" si="114"/>
        <v>1.4440255137670622E-2</v>
      </c>
    </row>
    <row r="2409" spans="1:7" x14ac:dyDescent="0.2">
      <c r="A2409" s="12">
        <v>40392</v>
      </c>
      <c r="B2409" s="9">
        <v>1076.02</v>
      </c>
      <c r="C2409" s="9">
        <v>1051.5899999999999</v>
      </c>
      <c r="D2409" s="9">
        <v>1074.6099999999999</v>
      </c>
      <c r="E2409" s="9">
        <f t="shared" si="112"/>
        <v>2.5780575439734377E-2</v>
      </c>
      <c r="F2409" s="45">
        <f t="shared" si="113"/>
        <v>1.8815221659399591E-2</v>
      </c>
      <c r="G2409" s="9">
        <f t="shared" si="114"/>
        <v>1.5132692780001599E-2</v>
      </c>
    </row>
    <row r="2410" spans="1:7" x14ac:dyDescent="0.2">
      <c r="A2410" s="12">
        <v>40393</v>
      </c>
      <c r="B2410" s="9">
        <v>1074.69</v>
      </c>
      <c r="C2410" s="9">
        <v>1067.73</v>
      </c>
      <c r="D2410" s="9">
        <v>1073.17</v>
      </c>
      <c r="E2410" s="9">
        <f t="shared" si="112"/>
        <v>-1.340919661946484E-3</v>
      </c>
      <c r="F2410" s="45">
        <f t="shared" si="113"/>
        <v>1.1866960903016728E-2</v>
      </c>
      <c r="G2410" s="9">
        <f t="shared" si="114"/>
        <v>1.5106992425296705E-2</v>
      </c>
    </row>
    <row r="2411" spans="1:7" x14ac:dyDescent="0.2">
      <c r="A2411" s="12">
        <v>40394</v>
      </c>
      <c r="B2411" s="9">
        <v>1075.45</v>
      </c>
      <c r="C2411" s="9">
        <v>1063.6099999999999</v>
      </c>
      <c r="D2411" s="9">
        <v>1071.28</v>
      </c>
      <c r="E2411" s="9">
        <f t="shared" si="112"/>
        <v>-1.7626901903655349E-3</v>
      </c>
      <c r="F2411" s="45">
        <f t="shared" si="113"/>
        <v>1.1170363865621893E-2</v>
      </c>
      <c r="G2411" s="9">
        <f t="shared" si="114"/>
        <v>1.5109851582492635E-2</v>
      </c>
    </row>
    <row r="2412" spans="1:7" x14ac:dyDescent="0.2">
      <c r="A2412" s="12">
        <v>40395</v>
      </c>
      <c r="B2412" s="9">
        <v>1083.9000000000001</v>
      </c>
      <c r="C2412" s="9">
        <v>1069.1400000000001</v>
      </c>
      <c r="D2412" s="9">
        <v>1074.4000000000001</v>
      </c>
      <c r="E2412" s="9">
        <f t="shared" si="112"/>
        <v>2.9081710217171044E-3</v>
      </c>
      <c r="F2412" s="45">
        <f t="shared" si="113"/>
        <v>2.5193715411071214E-2</v>
      </c>
      <c r="G2412" s="9">
        <f t="shared" si="114"/>
        <v>1.4958370787886872E-2</v>
      </c>
    </row>
    <row r="2413" spans="1:7" x14ac:dyDescent="0.2">
      <c r="A2413" s="12">
        <v>40396</v>
      </c>
      <c r="B2413" s="9">
        <v>1082.51</v>
      </c>
      <c r="C2413" s="9">
        <v>1062.22</v>
      </c>
      <c r="D2413" s="9">
        <v>1065.22</v>
      </c>
      <c r="E2413" s="9">
        <f t="shared" si="112"/>
        <v>-8.5810156287661112E-3</v>
      </c>
      <c r="F2413" s="45">
        <f t="shared" si="113"/>
        <v>4.1977744347101338E-2</v>
      </c>
      <c r="G2413" s="9">
        <f t="shared" si="114"/>
        <v>1.4241150825471654E-2</v>
      </c>
    </row>
    <row r="2414" spans="1:7" x14ac:dyDescent="0.2">
      <c r="A2414" s="12">
        <v>40399</v>
      </c>
      <c r="B2414" s="9">
        <v>1077.78</v>
      </c>
      <c r="C2414" s="9">
        <v>1066.8699999999999</v>
      </c>
      <c r="D2414" s="9">
        <v>1073.53</v>
      </c>
      <c r="E2414" s="9">
        <f t="shared" si="112"/>
        <v>7.7709333192150587E-3</v>
      </c>
      <c r="F2414" s="45">
        <f t="shared" si="113"/>
        <v>4.5391755392063762E-2</v>
      </c>
      <c r="G2414" s="9">
        <f t="shared" si="114"/>
        <v>1.4279190163325803E-2</v>
      </c>
    </row>
    <row r="2415" spans="1:7" x14ac:dyDescent="0.2">
      <c r="A2415" s="12">
        <v>40400</v>
      </c>
      <c r="B2415" s="9">
        <v>1071.6600000000001</v>
      </c>
      <c r="C2415" s="9">
        <v>1059.78</v>
      </c>
      <c r="D2415" s="9">
        <v>1063.32</v>
      </c>
      <c r="E2415" s="9">
        <f t="shared" si="112"/>
        <v>-9.5561950522654922E-3</v>
      </c>
      <c r="F2415" s="45">
        <f t="shared" si="113"/>
        <v>6.7494647326943852E-2</v>
      </c>
      <c r="G2415" s="9">
        <f t="shared" si="114"/>
        <v>1.302360644858656E-2</v>
      </c>
    </row>
    <row r="2416" spans="1:7" x14ac:dyDescent="0.2">
      <c r="A2416" s="12">
        <v>40401</v>
      </c>
      <c r="B2416" s="9">
        <v>1060.3399999999999</v>
      </c>
      <c r="C2416" s="9">
        <v>1034.6400000000001</v>
      </c>
      <c r="D2416" s="9">
        <v>1036.28</v>
      </c>
      <c r="E2416" s="9">
        <f t="shared" si="112"/>
        <v>-2.5758711273942751E-2</v>
      </c>
      <c r="F2416" s="45">
        <f t="shared" si="113"/>
        <v>2.9724890839528926E-2</v>
      </c>
      <c r="G2416" s="9">
        <f t="shared" si="114"/>
        <v>1.3847021379802845E-2</v>
      </c>
    </row>
    <row r="2417" spans="1:7" x14ac:dyDescent="0.2">
      <c r="A2417" s="12">
        <v>40402</v>
      </c>
      <c r="B2417" s="9">
        <v>1042.8399999999999</v>
      </c>
      <c r="C2417" s="9">
        <v>1022.48</v>
      </c>
      <c r="D2417" s="9">
        <v>1031.23</v>
      </c>
      <c r="E2417" s="9">
        <f t="shared" si="112"/>
        <v>-4.8851130518365125E-3</v>
      </c>
      <c r="F2417" s="45">
        <f t="shared" si="113"/>
        <v>4.9384776687297148E-2</v>
      </c>
      <c r="G2417" s="9">
        <f t="shared" si="114"/>
        <v>1.3038437193657189E-2</v>
      </c>
    </row>
    <row r="2418" spans="1:7" x14ac:dyDescent="0.2">
      <c r="A2418" s="12">
        <v>40403</v>
      </c>
      <c r="B2418" s="9">
        <v>1040.68</v>
      </c>
      <c r="C2418" s="9">
        <v>1021.94</v>
      </c>
      <c r="D2418" s="9">
        <v>1036.45</v>
      </c>
      <c r="E2418" s="9">
        <f t="shared" si="112"/>
        <v>5.0491479240883418E-3</v>
      </c>
      <c r="F2418" s="45">
        <f t="shared" si="113"/>
        <v>5.2642429659409865E-2</v>
      </c>
      <c r="G2418" s="9">
        <f t="shared" si="114"/>
        <v>1.3053246333346908E-2</v>
      </c>
    </row>
    <row r="2419" spans="1:7" x14ac:dyDescent="0.2">
      <c r="A2419" s="12">
        <v>40406</v>
      </c>
      <c r="B2419" s="9">
        <v>1046.69</v>
      </c>
      <c r="C2419" s="9">
        <v>1033.25</v>
      </c>
      <c r="D2419" s="9">
        <v>1046.0899999999999</v>
      </c>
      <c r="E2419" s="9">
        <f t="shared" si="112"/>
        <v>9.2579915429512501E-3</v>
      </c>
      <c r="F2419" s="45">
        <f t="shared" si="113"/>
        <v>6.4303387373095391E-2</v>
      </c>
      <c r="G2419" s="9">
        <f t="shared" si="114"/>
        <v>1.3098709389021792E-2</v>
      </c>
    </row>
    <row r="2420" spans="1:7" x14ac:dyDescent="0.2">
      <c r="A2420" s="12">
        <v>40407</v>
      </c>
      <c r="B2420" s="9">
        <v>1057.46</v>
      </c>
      <c r="C2420" s="9">
        <v>1045.7</v>
      </c>
      <c r="D2420" s="9">
        <v>1057.1400000000001</v>
      </c>
      <c r="E2420" s="9">
        <f t="shared" si="112"/>
        <v>1.0507744442121462E-2</v>
      </c>
      <c r="F2420" s="45">
        <f t="shared" si="113"/>
        <v>4.6201146698132113E-2</v>
      </c>
      <c r="G2420" s="9">
        <f t="shared" si="114"/>
        <v>1.222528500383612E-2</v>
      </c>
    </row>
    <row r="2421" spans="1:7" x14ac:dyDescent="0.2">
      <c r="A2421" s="12">
        <v>40408</v>
      </c>
      <c r="B2421" s="9">
        <v>1060.28</v>
      </c>
      <c r="C2421" s="9">
        <v>1050.8399999999999</v>
      </c>
      <c r="D2421" s="9">
        <v>1057.2</v>
      </c>
      <c r="E2421" s="9">
        <f t="shared" si="112"/>
        <v>5.6755299541238176E-5</v>
      </c>
      <c r="F2421" s="45">
        <f t="shared" si="113"/>
        <v>3.5399796659454523E-2</v>
      </c>
      <c r="G2421" s="9">
        <f t="shared" si="114"/>
        <v>1.2099807622737078E-2</v>
      </c>
    </row>
    <row r="2422" spans="1:7" x14ac:dyDescent="0.2">
      <c r="A2422" s="12">
        <v>40409</v>
      </c>
      <c r="B2422" s="9">
        <v>1061.6300000000001</v>
      </c>
      <c r="C2422" s="9">
        <v>1039.9000000000001</v>
      </c>
      <c r="D2422" s="9">
        <v>1040.42</v>
      </c>
      <c r="E2422" s="9">
        <f t="shared" si="112"/>
        <v>-1.599942596477958E-2</v>
      </c>
      <c r="F2422" s="45">
        <f t="shared" si="113"/>
        <v>2.6550318295945723E-2</v>
      </c>
      <c r="G2422" s="9">
        <f t="shared" si="114"/>
        <v>1.2413686937300956E-2</v>
      </c>
    </row>
    <row r="2423" spans="1:7" x14ac:dyDescent="0.2">
      <c r="A2423" s="12">
        <v>40410</v>
      </c>
      <c r="B2423" s="9">
        <v>1044.26</v>
      </c>
      <c r="C2423" s="9">
        <v>1018.35</v>
      </c>
      <c r="D2423" s="9">
        <v>1020.63</v>
      </c>
      <c r="E2423" s="9">
        <f t="shared" si="112"/>
        <v>-1.9204394093653706E-2</v>
      </c>
      <c r="F2423" s="45">
        <f t="shared" si="113"/>
        <v>-7.3118080483256936E-3</v>
      </c>
      <c r="G2423" s="9">
        <f t="shared" si="114"/>
        <v>1.2655329999564474E-2</v>
      </c>
    </row>
    <row r="2424" spans="1:7" x14ac:dyDescent="0.2">
      <c r="A2424" s="12">
        <v>40413</v>
      </c>
      <c r="B2424" s="9">
        <v>1029.93</v>
      </c>
      <c r="C2424" s="9">
        <v>1014.26</v>
      </c>
      <c r="D2424" s="9">
        <v>1021.78</v>
      </c>
      <c r="E2424" s="9">
        <f t="shared" si="112"/>
        <v>1.1261207314209993E-3</v>
      </c>
      <c r="F2424" s="45">
        <f t="shared" si="113"/>
        <v>-8.1873398338380768E-3</v>
      </c>
      <c r="G2424" s="9">
        <f t="shared" si="114"/>
        <v>1.2650982170431875E-2</v>
      </c>
    </row>
    <row r="2425" spans="1:7" x14ac:dyDescent="0.2">
      <c r="A2425" s="12">
        <v>40414</v>
      </c>
      <c r="B2425" s="9">
        <v>1016.06</v>
      </c>
      <c r="C2425" s="9">
        <v>994.63</v>
      </c>
      <c r="D2425" s="9">
        <v>1005.34</v>
      </c>
      <c r="E2425" s="9">
        <f t="shared" si="112"/>
        <v>-1.6220411665637119E-2</v>
      </c>
      <c r="F2425" s="45">
        <f t="shared" si="113"/>
        <v>-5.3980313142059755E-2</v>
      </c>
      <c r="G2425" s="9">
        <f t="shared" si="114"/>
        <v>1.1648655059962789E-2</v>
      </c>
    </row>
    <row r="2426" spans="1:7" x14ac:dyDescent="0.2">
      <c r="A2426" s="12">
        <v>40415</v>
      </c>
      <c r="B2426" s="9">
        <v>1011.84</v>
      </c>
      <c r="C2426" s="9">
        <v>982.52</v>
      </c>
      <c r="D2426" s="9">
        <v>995.68</v>
      </c>
      <c r="E2426" s="9">
        <f t="shared" si="112"/>
        <v>-9.655150916577062E-3</v>
      </c>
      <c r="F2426" s="45">
        <f t="shared" si="113"/>
        <v>-6.6120358317436359E-2</v>
      </c>
      <c r="G2426" s="9">
        <f t="shared" si="114"/>
        <v>1.1705421816231472E-2</v>
      </c>
    </row>
    <row r="2427" spans="1:7" x14ac:dyDescent="0.2">
      <c r="A2427" s="12">
        <v>40416</v>
      </c>
      <c r="B2427" s="9">
        <v>1009.56</v>
      </c>
      <c r="C2427" s="9">
        <v>1000.26</v>
      </c>
      <c r="D2427" s="9">
        <v>1006.16</v>
      </c>
      <c r="E2427" s="9">
        <f t="shared" si="112"/>
        <v>1.0470462917992401E-2</v>
      </c>
      <c r="F2427" s="45">
        <f t="shared" si="113"/>
        <v>-4.7892431735660705E-2</v>
      </c>
      <c r="G2427" s="9">
        <f t="shared" si="114"/>
        <v>1.1879011250534114E-2</v>
      </c>
    </row>
    <row r="2428" spans="1:7" x14ac:dyDescent="0.2">
      <c r="A2428" s="12">
        <v>40417</v>
      </c>
      <c r="B2428" s="9">
        <v>1018.97</v>
      </c>
      <c r="C2428" s="9">
        <v>998.75</v>
      </c>
      <c r="D2428" s="9">
        <v>1018.89</v>
      </c>
      <c r="E2428" s="9">
        <f t="shared" si="112"/>
        <v>1.2572694687337347E-2</v>
      </c>
      <c r="F2428" s="45">
        <f t="shared" si="113"/>
        <v>-1.538806550087176E-2</v>
      </c>
      <c r="G2428" s="9">
        <f t="shared" si="114"/>
        <v>1.1628710817994716E-2</v>
      </c>
    </row>
    <row r="2429" spans="1:7" x14ac:dyDescent="0.2">
      <c r="A2429" s="12">
        <v>40420</v>
      </c>
      <c r="B2429" s="9">
        <v>1025.8399999999999</v>
      </c>
      <c r="C2429" s="9">
        <v>1000.87</v>
      </c>
      <c r="D2429" s="9">
        <v>1008.52</v>
      </c>
      <c r="E2429" s="9">
        <f t="shared" si="112"/>
        <v>-1.0229889795790202E-2</v>
      </c>
      <c r="F2429" s="45">
        <f t="shared" si="113"/>
        <v>-2.3721871687907986E-2</v>
      </c>
      <c r="G2429" s="9">
        <f t="shared" si="114"/>
        <v>1.1761672951123552E-2</v>
      </c>
    </row>
    <row r="2430" spans="1:7" x14ac:dyDescent="0.2">
      <c r="A2430" s="12">
        <v>40421</v>
      </c>
      <c r="B2430" s="9">
        <v>1011.7</v>
      </c>
      <c r="C2430" s="9">
        <v>993.46</v>
      </c>
      <c r="D2430" s="9">
        <v>1011.7</v>
      </c>
      <c r="E2430" s="9">
        <f t="shared" si="112"/>
        <v>3.1481745813974485E-3</v>
      </c>
      <c r="F2430" s="45">
        <f t="shared" si="113"/>
        <v>-1.536032083389337E-2</v>
      </c>
      <c r="G2430" s="9">
        <f t="shared" si="114"/>
        <v>1.1752323619662256E-2</v>
      </c>
    </row>
    <row r="2431" spans="1:7" x14ac:dyDescent="0.2">
      <c r="A2431" s="12">
        <v>40422</v>
      </c>
      <c r="B2431" s="9">
        <v>1050.6500000000001</v>
      </c>
      <c r="C2431" s="9">
        <v>1009.74</v>
      </c>
      <c r="D2431" s="9">
        <v>1049.26</v>
      </c>
      <c r="E2431" s="9">
        <f t="shared" ref="E2431:E2494" si="115">LN(D2431/D2430)</f>
        <v>3.6453069573546833E-2</v>
      </c>
      <c r="F2431" s="45">
        <f t="shared" si="113"/>
        <v>8.0570743501822209E-3</v>
      </c>
      <c r="G2431" s="9">
        <f t="shared" si="114"/>
        <v>1.3351991256492687E-2</v>
      </c>
    </row>
    <row r="2432" spans="1:7" x14ac:dyDescent="0.2">
      <c r="A2432" s="12">
        <v>40423</v>
      </c>
      <c r="B2432" s="9">
        <v>1048.3399999999999</v>
      </c>
      <c r="C2432" s="9">
        <v>1039.82</v>
      </c>
      <c r="D2432" s="9">
        <v>1043.0899999999999</v>
      </c>
      <c r="E2432" s="9">
        <f t="shared" si="115"/>
        <v>-5.8976919579714548E-3</v>
      </c>
      <c r="F2432" s="45">
        <f t="shared" si="113"/>
        <v>-2.1134694820876963E-2</v>
      </c>
      <c r="G2432" s="9">
        <f t="shared" si="114"/>
        <v>1.2661968423230707E-2</v>
      </c>
    </row>
    <row r="2433" spans="1:7" x14ac:dyDescent="0.2">
      <c r="A2433" s="12">
        <v>40424</v>
      </c>
      <c r="B2433" s="9">
        <v>1057.71</v>
      </c>
      <c r="C2433" s="9">
        <v>1041.69</v>
      </c>
      <c r="D2433" s="9">
        <v>1047.99</v>
      </c>
      <c r="E2433" s="9">
        <f t="shared" si="115"/>
        <v>4.68658202330954E-3</v>
      </c>
      <c r="F2433" s="45">
        <f t="shared" si="113"/>
        <v>-9.288874630252502E-3</v>
      </c>
      <c r="G2433" s="9">
        <f t="shared" si="114"/>
        <v>1.2638420237936619E-2</v>
      </c>
    </row>
    <row r="2434" spans="1:7" x14ac:dyDescent="0.2">
      <c r="A2434" s="12">
        <v>40427</v>
      </c>
      <c r="B2434" s="9">
        <v>1054.06</v>
      </c>
      <c r="C2434" s="9">
        <v>1048.17</v>
      </c>
      <c r="D2434" s="9">
        <v>1052.53</v>
      </c>
      <c r="E2434" s="9">
        <f t="shared" si="115"/>
        <v>4.3227458625334624E-3</v>
      </c>
      <c r="F2434" s="45">
        <f t="shared" si="113"/>
        <v>-6.5436769054459656E-3</v>
      </c>
      <c r="G2434" s="9">
        <f t="shared" si="114"/>
        <v>1.266247044274757E-2</v>
      </c>
    </row>
    <row r="2435" spans="1:7" x14ac:dyDescent="0.2">
      <c r="A2435" s="12">
        <v>40428</v>
      </c>
      <c r="B2435" s="9">
        <v>1050.78</v>
      </c>
      <c r="C2435" s="9">
        <v>1042.43</v>
      </c>
      <c r="D2435" s="9">
        <v>1048.6500000000001</v>
      </c>
      <c r="E2435" s="9">
        <f t="shared" si="115"/>
        <v>-3.6931670871591018E-3</v>
      </c>
      <c r="F2435" s="45">
        <f t="shared" si="113"/>
        <v>-1.0095249735431468E-2</v>
      </c>
      <c r="G2435" s="9">
        <f t="shared" si="114"/>
        <v>1.2678322792233063E-2</v>
      </c>
    </row>
    <row r="2436" spans="1:7" x14ac:dyDescent="0.2">
      <c r="A2436" s="12">
        <v>40429</v>
      </c>
      <c r="B2436" s="9">
        <v>1060.1500000000001</v>
      </c>
      <c r="C2436" s="9">
        <v>1040.07</v>
      </c>
      <c r="D2436" s="9">
        <v>1059.5999999999999</v>
      </c>
      <c r="E2436" s="9">
        <f t="shared" si="115"/>
        <v>1.0387855771810603E-2</v>
      </c>
      <c r="F2436" s="45">
        <f t="shared" si="113"/>
        <v>8.3016340757811492E-3</v>
      </c>
      <c r="G2436" s="9">
        <f t="shared" si="114"/>
        <v>1.2739186234039536E-2</v>
      </c>
    </row>
    <row r="2437" spans="1:7" x14ac:dyDescent="0.2">
      <c r="A2437" s="12">
        <v>40430</v>
      </c>
      <c r="B2437" s="9">
        <v>1068.3499999999999</v>
      </c>
      <c r="C2437" s="9">
        <v>1054.55</v>
      </c>
      <c r="D2437" s="9">
        <v>1067.04</v>
      </c>
      <c r="E2437" s="9">
        <f t="shared" si="115"/>
        <v>6.9969814860816031E-3</v>
      </c>
      <c r="F2437" s="45">
        <f t="shared" si="113"/>
        <v>1.7032064892518173E-2</v>
      </c>
      <c r="G2437" s="9">
        <f t="shared" si="114"/>
        <v>1.2791294917583764E-2</v>
      </c>
    </row>
    <row r="2438" spans="1:7" x14ac:dyDescent="0.2">
      <c r="A2438" s="12">
        <v>40431</v>
      </c>
      <c r="B2438" s="9">
        <v>1072.3399999999999</v>
      </c>
      <c r="C2438" s="9">
        <v>1062.3800000000001</v>
      </c>
      <c r="D2438" s="9">
        <v>1068.8900000000001</v>
      </c>
      <c r="E2438" s="9">
        <f t="shared" si="115"/>
        <v>1.7322669400359548E-3</v>
      </c>
      <c r="F2438" s="45">
        <f t="shared" si="113"/>
        <v>2.0443497224143736E-2</v>
      </c>
      <c r="G2438" s="9">
        <f t="shared" si="114"/>
        <v>1.2785793820855981E-2</v>
      </c>
    </row>
    <row r="2439" spans="1:7" x14ac:dyDescent="0.2">
      <c r="A2439" s="12">
        <v>40434</v>
      </c>
      <c r="B2439" s="9">
        <v>1081.8699999999999</v>
      </c>
      <c r="C2439" s="9">
        <v>1071.18</v>
      </c>
      <c r="D2439" s="9">
        <v>1080.72</v>
      </c>
      <c r="E2439" s="9">
        <f t="shared" si="115"/>
        <v>1.1006758837393847E-2</v>
      </c>
      <c r="F2439" s="45">
        <f t="shared" si="113"/>
        <v>5.669680621803252E-3</v>
      </c>
      <c r="G2439" s="9">
        <f t="shared" si="114"/>
        <v>1.2049022803942388E-2</v>
      </c>
    </row>
    <row r="2440" spans="1:7" x14ac:dyDescent="0.2">
      <c r="A2440" s="12">
        <v>40435</v>
      </c>
      <c r="B2440" s="9">
        <v>1084.6099999999999</v>
      </c>
      <c r="C2440" s="9">
        <v>1074.48</v>
      </c>
      <c r="D2440" s="9">
        <v>1082.49</v>
      </c>
      <c r="E2440" s="9">
        <f t="shared" si="115"/>
        <v>1.6364572972608915E-3</v>
      </c>
      <c r="F2440" s="45">
        <f t="shared" si="113"/>
        <v>8.6470575810106195E-3</v>
      </c>
      <c r="G2440" s="9">
        <f t="shared" si="114"/>
        <v>1.2048248713438375E-2</v>
      </c>
    </row>
    <row r="2441" spans="1:7" x14ac:dyDescent="0.2">
      <c r="A2441" s="12">
        <v>40436</v>
      </c>
      <c r="B2441" s="9">
        <v>1086.99</v>
      </c>
      <c r="C2441" s="9">
        <v>1074.32</v>
      </c>
      <c r="D2441" s="9">
        <v>1080.22</v>
      </c>
      <c r="E2441" s="9">
        <f t="shared" si="115"/>
        <v>-2.0992188815000487E-3</v>
      </c>
      <c r="F2441" s="45">
        <f t="shared" si="113"/>
        <v>8.3105288898761547E-3</v>
      </c>
      <c r="G2441" s="9">
        <f t="shared" si="114"/>
        <v>1.2050380566008052E-2</v>
      </c>
    </row>
    <row r="2442" spans="1:7" x14ac:dyDescent="0.2">
      <c r="A2442" s="12">
        <v>40437</v>
      </c>
      <c r="B2442" s="9">
        <v>1084.17</v>
      </c>
      <c r="C2442" s="9">
        <v>1074.57</v>
      </c>
      <c r="D2442" s="9">
        <v>1078.19</v>
      </c>
      <c r="E2442" s="9">
        <f t="shared" si="115"/>
        <v>-1.8810148197500138E-3</v>
      </c>
      <c r="F2442" s="45">
        <f t="shared" si="113"/>
        <v>3.5213430484088508E-3</v>
      </c>
      <c r="G2442" s="9">
        <f t="shared" si="114"/>
        <v>1.2046043955412025E-2</v>
      </c>
    </row>
    <row r="2443" spans="1:7" x14ac:dyDescent="0.2">
      <c r="A2443" s="12">
        <v>40438</v>
      </c>
      <c r="B2443" s="9">
        <v>1089.68</v>
      </c>
      <c r="C2443" s="9">
        <v>1076.8699999999999</v>
      </c>
      <c r="D2443" s="9">
        <v>1081.98</v>
      </c>
      <c r="E2443" s="9">
        <f t="shared" si="115"/>
        <v>3.5089866897986175E-3</v>
      </c>
      <c r="F2443" s="45">
        <f t="shared" si="113"/>
        <v>1.5611345366973561E-2</v>
      </c>
      <c r="G2443" s="9">
        <f t="shared" si="114"/>
        <v>1.1946831577875851E-2</v>
      </c>
    </row>
    <row r="2444" spans="1:7" x14ac:dyDescent="0.2">
      <c r="A2444" s="12">
        <v>40441</v>
      </c>
      <c r="B2444" s="9">
        <v>1092.49</v>
      </c>
      <c r="C2444" s="9">
        <v>1080.05</v>
      </c>
      <c r="D2444" s="9">
        <v>1092.49</v>
      </c>
      <c r="E2444" s="9">
        <f t="shared" si="115"/>
        <v>9.6667986625402578E-3</v>
      </c>
      <c r="F2444" s="45">
        <f t="shared" si="113"/>
        <v>1.7507210710298832E-2</v>
      </c>
      <c r="G2444" s="9">
        <f t="shared" si="114"/>
        <v>1.1991438620366678E-2</v>
      </c>
    </row>
    <row r="2445" spans="1:7" x14ac:dyDescent="0.2">
      <c r="A2445" s="12">
        <v>40442</v>
      </c>
      <c r="B2445" s="9">
        <v>1099.8699999999999</v>
      </c>
      <c r="C2445" s="9">
        <v>1091.0999999999999</v>
      </c>
      <c r="D2445" s="9">
        <v>1093.4100000000001</v>
      </c>
      <c r="E2445" s="9">
        <f t="shared" si="115"/>
        <v>8.4175859309471273E-4</v>
      </c>
      <c r="F2445" s="45">
        <f t="shared" si="113"/>
        <v>2.7905164355659019E-2</v>
      </c>
      <c r="G2445" s="9">
        <f t="shared" si="114"/>
        <v>1.1837537080767777E-2</v>
      </c>
    </row>
    <row r="2446" spans="1:7" x14ac:dyDescent="0.2">
      <c r="A2446" s="12">
        <v>40443</v>
      </c>
      <c r="B2446" s="9">
        <v>1097.1099999999999</v>
      </c>
      <c r="C2446" s="9">
        <v>1078.69</v>
      </c>
      <c r="D2446" s="9">
        <v>1085.1099999999999</v>
      </c>
      <c r="E2446" s="9">
        <f t="shared" si="115"/>
        <v>-7.6198888786882637E-3</v>
      </c>
      <c r="F2446" s="45">
        <f t="shared" si="113"/>
        <v>4.6043986750913472E-2</v>
      </c>
      <c r="G2446" s="9">
        <f t="shared" si="114"/>
        <v>1.0849330276656294E-2</v>
      </c>
    </row>
    <row r="2447" spans="1:7" x14ac:dyDescent="0.2">
      <c r="A2447" s="12">
        <v>40444</v>
      </c>
      <c r="B2447" s="9">
        <v>1090.6600000000001</v>
      </c>
      <c r="C2447" s="9">
        <v>1066.8599999999999</v>
      </c>
      <c r="D2447" s="9">
        <v>1074.07</v>
      </c>
      <c r="E2447" s="9">
        <f t="shared" si="115"/>
        <v>-1.0226193470542058E-2</v>
      </c>
      <c r="F2447" s="45">
        <f t="shared" si="113"/>
        <v>4.0702906332207849E-2</v>
      </c>
      <c r="G2447" s="9">
        <f t="shared" si="114"/>
        <v>1.1001074916982136E-2</v>
      </c>
    </row>
    <row r="2448" spans="1:7" x14ac:dyDescent="0.2">
      <c r="A2448" s="12">
        <v>40445</v>
      </c>
      <c r="B2448" s="9">
        <v>1095.73</v>
      </c>
      <c r="C2448" s="9">
        <v>1071.17</v>
      </c>
      <c r="D2448" s="9">
        <v>1095.5899999999999</v>
      </c>
      <c r="E2448" s="9">
        <f t="shared" si="115"/>
        <v>1.9837860074862171E-2</v>
      </c>
      <c r="F2448" s="45">
        <f t="shared" si="113"/>
        <v>5.5491618482981529E-2</v>
      </c>
      <c r="G2448" s="9">
        <f t="shared" si="114"/>
        <v>1.1492595602607751E-2</v>
      </c>
    </row>
    <row r="2449" spans="1:7" x14ac:dyDescent="0.2">
      <c r="A2449" s="12">
        <v>40448</v>
      </c>
      <c r="B2449" s="9">
        <v>1099.32</v>
      </c>
      <c r="C2449" s="9">
        <v>1085.9100000000001</v>
      </c>
      <c r="D2449" s="9">
        <v>1086.24</v>
      </c>
      <c r="E2449" s="9">
        <f t="shared" si="115"/>
        <v>-8.570839375164941E-3</v>
      </c>
      <c r="F2449" s="45">
        <f t="shared" si="113"/>
        <v>3.7662787564865428E-2</v>
      </c>
      <c r="G2449" s="9">
        <f t="shared" si="114"/>
        <v>1.1557088995642709E-2</v>
      </c>
    </row>
    <row r="2450" spans="1:7" x14ac:dyDescent="0.2">
      <c r="A2450" s="12">
        <v>40449</v>
      </c>
      <c r="B2450" s="9">
        <v>1094.67</v>
      </c>
      <c r="C2450" s="9">
        <v>1077.93</v>
      </c>
      <c r="D2450" s="9">
        <v>1090.77</v>
      </c>
      <c r="E2450" s="9">
        <f t="shared" si="115"/>
        <v>4.1616772896138077E-3</v>
      </c>
      <c r="F2450" s="45">
        <f t="shared" si="113"/>
        <v>3.1316720412357953E-2</v>
      </c>
      <c r="G2450" s="9">
        <f t="shared" si="114"/>
        <v>1.1439377484575741E-2</v>
      </c>
    </row>
    <row r="2451" spans="1:7" x14ac:dyDescent="0.2">
      <c r="A2451" s="12">
        <v>40450</v>
      </c>
      <c r="B2451" s="9">
        <v>1092.74</v>
      </c>
      <c r="C2451" s="9">
        <v>1079.23</v>
      </c>
      <c r="D2451" s="9">
        <v>1085.0899999999999</v>
      </c>
      <c r="E2451" s="9">
        <f t="shared" si="115"/>
        <v>-5.2209359997389118E-3</v>
      </c>
      <c r="F2451" s="45">
        <f t="shared" si="113"/>
        <v>2.6039029113077757E-2</v>
      </c>
      <c r="G2451" s="9">
        <f t="shared" si="114"/>
        <v>1.149552613030178E-2</v>
      </c>
    </row>
    <row r="2452" spans="1:7" x14ac:dyDescent="0.2">
      <c r="A2452" s="12">
        <v>40451</v>
      </c>
      <c r="B2452" s="9">
        <v>1100.73</v>
      </c>
      <c r="C2452" s="9">
        <v>1079.8800000000001</v>
      </c>
      <c r="D2452" s="9">
        <v>1087.71</v>
      </c>
      <c r="E2452" s="9">
        <f t="shared" si="115"/>
        <v>2.4116359258321892E-3</v>
      </c>
      <c r="F2452" s="45">
        <f t="shared" si="113"/>
        <v>4.4450091003689407E-2</v>
      </c>
      <c r="G2452" s="9">
        <f t="shared" si="114"/>
        <v>1.1046674562121475E-2</v>
      </c>
    </row>
    <row r="2453" spans="1:7" x14ac:dyDescent="0.2">
      <c r="A2453" s="12">
        <v>40452</v>
      </c>
      <c r="B2453" s="9">
        <v>1092.1400000000001</v>
      </c>
      <c r="C2453" s="9">
        <v>1077.83</v>
      </c>
      <c r="D2453" s="9">
        <v>1082.3699999999999</v>
      </c>
      <c r="E2453" s="9">
        <f t="shared" si="115"/>
        <v>-4.9214874828192147E-3</v>
      </c>
      <c r="F2453" s="45">
        <f t="shared" si="113"/>
        <v>5.8732997614523816E-2</v>
      </c>
      <c r="G2453" s="9">
        <f t="shared" si="114"/>
        <v>1.041406324824566E-2</v>
      </c>
    </row>
    <row r="2454" spans="1:7" x14ac:dyDescent="0.2">
      <c r="A2454" s="12">
        <v>40455</v>
      </c>
      <c r="B2454" s="9">
        <v>1083.93</v>
      </c>
      <c r="C2454" s="9">
        <v>1068</v>
      </c>
      <c r="D2454" s="9">
        <v>1068.74</v>
      </c>
      <c r="E2454" s="9">
        <f t="shared" si="115"/>
        <v>-1.2672696804175466E-2</v>
      </c>
      <c r="F2454" s="45">
        <f t="shared" si="113"/>
        <v>4.4934180078927313E-2</v>
      </c>
      <c r="G2454" s="9">
        <f t="shared" si="114"/>
        <v>1.0751328063677235E-2</v>
      </c>
    </row>
    <row r="2455" spans="1:7" x14ac:dyDescent="0.2">
      <c r="A2455" s="12">
        <v>40456</v>
      </c>
      <c r="B2455" s="9">
        <v>1093.8699999999999</v>
      </c>
      <c r="C2455" s="9">
        <v>1061.98</v>
      </c>
      <c r="D2455" s="9">
        <v>1089.31</v>
      </c>
      <c r="E2455" s="9">
        <f t="shared" si="115"/>
        <v>1.9064083771685173E-2</v>
      </c>
      <c r="F2455" s="45">
        <f t="shared" si="113"/>
        <v>8.0218675516249824E-2</v>
      </c>
      <c r="G2455" s="9">
        <f t="shared" si="114"/>
        <v>1.0675914920380402E-2</v>
      </c>
    </row>
    <row r="2456" spans="1:7" x14ac:dyDescent="0.2">
      <c r="A2456" s="12">
        <v>40457</v>
      </c>
      <c r="B2456" s="9">
        <v>1096.8800000000001</v>
      </c>
      <c r="C2456" s="9">
        <v>1087.0899999999999</v>
      </c>
      <c r="D2456" s="9">
        <v>1089.08</v>
      </c>
      <c r="E2456" s="9">
        <f t="shared" si="115"/>
        <v>-2.1116512732309583E-4</v>
      </c>
      <c r="F2456" s="45">
        <f t="shared" si="113"/>
        <v>8.9662661305503794E-2</v>
      </c>
      <c r="G2456" s="9">
        <f t="shared" si="114"/>
        <v>1.0436381506220088E-2</v>
      </c>
    </row>
    <row r="2457" spans="1:7" x14ac:dyDescent="0.2">
      <c r="A2457" s="12">
        <v>40458</v>
      </c>
      <c r="B2457" s="9">
        <v>1091.95</v>
      </c>
      <c r="C2457" s="9">
        <v>1081.3599999999999</v>
      </c>
      <c r="D2457" s="9">
        <v>1085.78</v>
      </c>
      <c r="E2457" s="9">
        <f t="shared" si="115"/>
        <v>-3.0346804231564505E-3</v>
      </c>
      <c r="F2457" s="45">
        <f t="shared" si="113"/>
        <v>7.6157517964355076E-2</v>
      </c>
      <c r="G2457" s="9">
        <f t="shared" si="114"/>
        <v>1.0393714796029031E-2</v>
      </c>
    </row>
    <row r="2458" spans="1:7" x14ac:dyDescent="0.2">
      <c r="A2458" s="12">
        <v>40459</v>
      </c>
      <c r="B2458" s="9">
        <v>1087.4000000000001</v>
      </c>
      <c r="C2458" s="9">
        <v>1078.3499999999999</v>
      </c>
      <c r="D2458" s="9">
        <v>1085.51</v>
      </c>
      <c r="E2458" s="9">
        <f t="shared" si="115"/>
        <v>-2.4870008280016828E-4</v>
      </c>
      <c r="F2458" s="45">
        <f t="shared" si="113"/>
        <v>6.3336123194217442E-2</v>
      </c>
      <c r="G2458" s="9">
        <f t="shared" si="114"/>
        <v>1.0229193986256255E-2</v>
      </c>
    </row>
    <row r="2459" spans="1:7" x14ac:dyDescent="0.2">
      <c r="A2459" s="12">
        <v>40462</v>
      </c>
      <c r="B2459" s="9">
        <v>1094.1199999999999</v>
      </c>
      <c r="C2459" s="9">
        <v>1085.94</v>
      </c>
      <c r="D2459" s="9">
        <v>1092.3399999999999</v>
      </c>
      <c r="E2459" s="9">
        <f t="shared" si="115"/>
        <v>6.2722615347446742E-3</v>
      </c>
      <c r="F2459" s="45">
        <f t="shared" si="113"/>
        <v>7.9838274524752326E-2</v>
      </c>
      <c r="G2459" s="9">
        <f t="shared" si="114"/>
        <v>9.9834178244077639E-3</v>
      </c>
    </row>
    <row r="2460" spans="1:7" x14ac:dyDescent="0.2">
      <c r="A2460" s="12">
        <v>40463</v>
      </c>
      <c r="B2460" s="9">
        <v>1091.07</v>
      </c>
      <c r="C2460" s="9">
        <v>1077.1400000000001</v>
      </c>
      <c r="D2460" s="9">
        <v>1089.8900000000001</v>
      </c>
      <c r="E2460" s="9">
        <f t="shared" si="115"/>
        <v>-2.2454104557091698E-3</v>
      </c>
      <c r="F2460" s="45">
        <f t="shared" si="113"/>
        <v>7.4444689487645585E-2</v>
      </c>
      <c r="G2460" s="9">
        <f t="shared" si="114"/>
        <v>1.0022834481110894E-2</v>
      </c>
    </row>
    <row r="2461" spans="1:7" x14ac:dyDescent="0.2">
      <c r="A2461" s="12">
        <v>40464</v>
      </c>
      <c r="B2461" s="9">
        <v>1108.52</v>
      </c>
      <c r="C2461" s="9">
        <v>1091.3399999999999</v>
      </c>
      <c r="D2461" s="9">
        <v>1104.08</v>
      </c>
      <c r="E2461" s="9">
        <f t="shared" si="115"/>
        <v>1.2935635280294143E-2</v>
      </c>
      <c r="F2461" s="45">
        <f t="shared" si="113"/>
        <v>5.0927255194392763E-2</v>
      </c>
      <c r="G2461" s="9">
        <f t="shared" si="114"/>
        <v>7.9871543013712177E-3</v>
      </c>
    </row>
    <row r="2462" spans="1:7" x14ac:dyDescent="0.2">
      <c r="A2462" s="12">
        <v>40465</v>
      </c>
      <c r="B2462" s="9">
        <v>1109.31</v>
      </c>
      <c r="C2462" s="9">
        <v>1096.2</v>
      </c>
      <c r="D2462" s="9">
        <v>1098.43</v>
      </c>
      <c r="E2462" s="9">
        <f t="shared" si="115"/>
        <v>-5.1305214445221932E-3</v>
      </c>
      <c r="F2462" s="45">
        <f t="shared" si="113"/>
        <v>5.1694425707842183E-2</v>
      </c>
      <c r="G2462" s="9">
        <f t="shared" si="114"/>
        <v>7.9631902796282808E-3</v>
      </c>
    </row>
    <row r="2463" spans="1:7" x14ac:dyDescent="0.2">
      <c r="A2463" s="12">
        <v>40466</v>
      </c>
      <c r="B2463" s="9">
        <v>1101.51</v>
      </c>
      <c r="C2463" s="9">
        <v>1089.81</v>
      </c>
      <c r="D2463" s="9">
        <v>1094.52</v>
      </c>
      <c r="E2463" s="9">
        <f t="shared" si="115"/>
        <v>-3.5659765551949319E-3</v>
      </c>
      <c r="F2463" s="45">
        <f t="shared" si="113"/>
        <v>4.344186712933773E-2</v>
      </c>
      <c r="G2463" s="9">
        <f t="shared" si="114"/>
        <v>7.9997463656081621E-3</v>
      </c>
    </row>
    <row r="2464" spans="1:7" x14ac:dyDescent="0.2">
      <c r="A2464" s="12">
        <v>40469</v>
      </c>
      <c r="B2464" s="9">
        <v>1100.27</v>
      </c>
      <c r="C2464" s="9">
        <v>1087.1500000000001</v>
      </c>
      <c r="D2464" s="9">
        <v>1097.3</v>
      </c>
      <c r="E2464" s="9">
        <f t="shared" si="115"/>
        <v>2.5367060166861647E-3</v>
      </c>
      <c r="F2464" s="45">
        <f t="shared" si="113"/>
        <v>4.1655827283490508E-2</v>
      </c>
      <c r="G2464" s="9">
        <f t="shared" si="114"/>
        <v>7.9842459613410008E-3</v>
      </c>
    </row>
    <row r="2465" spans="1:7" x14ac:dyDescent="0.2">
      <c r="A2465" s="12">
        <v>40470</v>
      </c>
      <c r="B2465" s="9">
        <v>1110.17</v>
      </c>
      <c r="C2465" s="9">
        <v>1095.1199999999999</v>
      </c>
      <c r="D2465" s="9">
        <v>1095.46</v>
      </c>
      <c r="E2465" s="9">
        <f t="shared" si="115"/>
        <v>-1.6782506356072899E-3</v>
      </c>
      <c r="F2465" s="45">
        <f t="shared" ref="F2465:F2528" si="116">LN(D2465/D2435)</f>
        <v>4.3670743735042143E-2</v>
      </c>
      <c r="G2465" s="9">
        <f t="shared" ref="G2465:G2528" si="117">STDEV(E2436:E2465)</f>
        <v>7.9484188449402294E-3</v>
      </c>
    </row>
    <row r="2466" spans="1:7" x14ac:dyDescent="0.2">
      <c r="A2466" s="12">
        <v>40471</v>
      </c>
      <c r="B2466" s="9">
        <v>1098.9000000000001</v>
      </c>
      <c r="C2466" s="9">
        <v>1089.82</v>
      </c>
      <c r="D2466" s="9">
        <v>1098.8800000000001</v>
      </c>
      <c r="E2466" s="9">
        <f t="shared" si="115"/>
        <v>3.1171129079100024E-3</v>
      </c>
      <c r="F2466" s="45">
        <f t="shared" si="116"/>
        <v>3.6400000871141515E-2</v>
      </c>
      <c r="G2466" s="9">
        <f t="shared" si="117"/>
        <v>7.7756430944000308E-3</v>
      </c>
    </row>
    <row r="2467" spans="1:7" x14ac:dyDescent="0.2">
      <c r="A2467" s="12">
        <v>40472</v>
      </c>
      <c r="B2467" s="9">
        <v>1118.3499999999999</v>
      </c>
      <c r="C2467" s="9">
        <v>1096.94</v>
      </c>
      <c r="D2467" s="9">
        <v>1116.6300000000001</v>
      </c>
      <c r="E2467" s="9">
        <f t="shared" si="115"/>
        <v>1.6023741521943476E-2</v>
      </c>
      <c r="F2467" s="45">
        <f t="shared" si="116"/>
        <v>4.5426760907003448E-2</v>
      </c>
      <c r="G2467" s="9">
        <f t="shared" si="117"/>
        <v>8.1717335871387131E-3</v>
      </c>
    </row>
    <row r="2468" spans="1:7" x14ac:dyDescent="0.2">
      <c r="A2468" s="12">
        <v>40473</v>
      </c>
      <c r="B2468" s="9">
        <v>1119.19</v>
      </c>
      <c r="C2468" s="9">
        <v>1109.95</v>
      </c>
      <c r="D2468" s="9">
        <v>1109.96</v>
      </c>
      <c r="E2468" s="9">
        <f t="shared" si="115"/>
        <v>-5.9912421699693571E-3</v>
      </c>
      <c r="F2468" s="45">
        <f t="shared" si="116"/>
        <v>3.7703251796998183E-2</v>
      </c>
      <c r="G2468" s="9">
        <f t="shared" si="117"/>
        <v>8.2854998928500127E-3</v>
      </c>
    </row>
    <row r="2469" spans="1:7" x14ac:dyDescent="0.2">
      <c r="A2469" s="12">
        <v>40476</v>
      </c>
      <c r="B2469" s="9">
        <v>1117.6500000000001</v>
      </c>
      <c r="C2469" s="9">
        <v>1107.6099999999999</v>
      </c>
      <c r="D2469" s="9">
        <v>1110.3800000000001</v>
      </c>
      <c r="E2469" s="9">
        <f t="shared" si="115"/>
        <v>3.7832044192285857E-4</v>
      </c>
      <c r="F2469" s="45">
        <f t="shared" si="116"/>
        <v>2.7074813401527124E-2</v>
      </c>
      <c r="G2469" s="9">
        <f t="shared" si="117"/>
        <v>8.0788779262175193E-3</v>
      </c>
    </row>
    <row r="2470" spans="1:7" x14ac:dyDescent="0.2">
      <c r="A2470" s="12">
        <v>40477</v>
      </c>
      <c r="B2470" s="9">
        <v>1110.44</v>
      </c>
      <c r="C2470" s="9">
        <v>1100.6099999999999</v>
      </c>
      <c r="D2470" s="9">
        <v>1106.48</v>
      </c>
      <c r="E2470" s="9">
        <f t="shared" si="115"/>
        <v>-3.5184937465006618E-3</v>
      </c>
      <c r="F2470" s="45">
        <f t="shared" si="116"/>
        <v>2.191986235776576E-2</v>
      </c>
      <c r="G2470" s="9">
        <f t="shared" si="117"/>
        <v>8.1174576283879959E-3</v>
      </c>
    </row>
    <row r="2471" spans="1:7" x14ac:dyDescent="0.2">
      <c r="A2471" s="12">
        <v>40478</v>
      </c>
      <c r="B2471" s="9">
        <v>1112.4100000000001</v>
      </c>
      <c r="C2471" s="9">
        <v>1102.0899999999999</v>
      </c>
      <c r="D2471" s="9">
        <v>1103.8599999999999</v>
      </c>
      <c r="E2471" s="9">
        <f t="shared" si="115"/>
        <v>-2.370677114884943E-3</v>
      </c>
      <c r="F2471" s="45">
        <f t="shared" si="116"/>
        <v>2.16484041243808E-2</v>
      </c>
      <c r="G2471" s="9">
        <f t="shared" si="117"/>
        <v>8.1208714801943426E-3</v>
      </c>
    </row>
    <row r="2472" spans="1:7" x14ac:dyDescent="0.2">
      <c r="A2472" s="12">
        <v>40479</v>
      </c>
      <c r="B2472" s="9">
        <v>1106.1099999999999</v>
      </c>
      <c r="C2472" s="9">
        <v>1088.83</v>
      </c>
      <c r="D2472" s="9">
        <v>1091.6500000000001</v>
      </c>
      <c r="E2472" s="9">
        <f t="shared" si="115"/>
        <v>-1.1122815092441982E-2</v>
      </c>
      <c r="F2472" s="45">
        <f t="shared" si="116"/>
        <v>1.240660385168889E-2</v>
      </c>
      <c r="G2472" s="9">
        <f t="shared" si="117"/>
        <v>8.3937124235580231E-3</v>
      </c>
    </row>
    <row r="2473" spans="1:7" x14ac:dyDescent="0.2">
      <c r="A2473" s="12">
        <v>40480</v>
      </c>
      <c r="B2473" s="9">
        <v>1090.3699999999999</v>
      </c>
      <c r="C2473" s="9">
        <v>1079.5999999999999</v>
      </c>
      <c r="D2473" s="9">
        <v>1089.32</v>
      </c>
      <c r="E2473" s="9">
        <f t="shared" si="115"/>
        <v>-2.1366647743308888E-3</v>
      </c>
      <c r="F2473" s="45">
        <f t="shared" si="116"/>
        <v>6.760952387559375E-3</v>
      </c>
      <c r="G2473" s="9">
        <f t="shared" si="117"/>
        <v>8.3852030991364446E-3</v>
      </c>
    </row>
    <row r="2474" spans="1:7" x14ac:dyDescent="0.2">
      <c r="A2474" s="12">
        <v>40483</v>
      </c>
      <c r="B2474" s="9">
        <v>1095.55</v>
      </c>
      <c r="C2474" s="9">
        <v>1083.5899999999999</v>
      </c>
      <c r="D2474" s="9">
        <v>1091.69</v>
      </c>
      <c r="E2474" s="9">
        <f t="shared" si="115"/>
        <v>2.1733058838277223E-3</v>
      </c>
      <c r="F2474" s="45">
        <f t="shared" si="116"/>
        <v>-7.3254039115303266E-4</v>
      </c>
      <c r="G2474" s="9">
        <f t="shared" si="117"/>
        <v>8.2039085656943466E-3</v>
      </c>
    </row>
    <row r="2475" spans="1:7" x14ac:dyDescent="0.2">
      <c r="A2475" s="12">
        <v>40484</v>
      </c>
      <c r="B2475" s="9">
        <v>1097.97</v>
      </c>
      <c r="C2475" s="9">
        <v>1088.44</v>
      </c>
      <c r="D2475" s="9">
        <v>1096.5899999999999</v>
      </c>
      <c r="E2475" s="9">
        <f t="shared" si="115"/>
        <v>4.4784106143605142E-3</v>
      </c>
      <c r="F2475" s="45">
        <f t="shared" si="116"/>
        <v>2.9041116301129375E-3</v>
      </c>
      <c r="G2475" s="9">
        <f t="shared" si="117"/>
        <v>8.2439188022915416E-3</v>
      </c>
    </row>
    <row r="2476" spans="1:7" x14ac:dyDescent="0.2">
      <c r="A2476" s="12">
        <v>40485</v>
      </c>
      <c r="B2476" s="9">
        <v>1102.7</v>
      </c>
      <c r="C2476" s="9">
        <v>1087.92</v>
      </c>
      <c r="D2476" s="9">
        <v>1089.47</v>
      </c>
      <c r="E2476" s="9">
        <f t="shared" si="115"/>
        <v>-6.5140253941929627E-3</v>
      </c>
      <c r="F2476" s="45">
        <f t="shared" si="116"/>
        <v>4.0099751146083122E-3</v>
      </c>
      <c r="G2476" s="9">
        <f t="shared" si="117"/>
        <v>8.2106295104713845E-3</v>
      </c>
    </row>
    <row r="2477" spans="1:7" x14ac:dyDescent="0.2">
      <c r="A2477" s="12">
        <v>40486</v>
      </c>
      <c r="B2477" s="9">
        <v>1114.97</v>
      </c>
      <c r="C2477" s="9">
        <v>1098.6300000000001</v>
      </c>
      <c r="D2477" s="9">
        <v>1109.3699999999999</v>
      </c>
      <c r="E2477" s="9">
        <f t="shared" si="115"/>
        <v>1.8100947172580061E-2</v>
      </c>
      <c r="F2477" s="45">
        <f t="shared" si="116"/>
        <v>3.2337115757730371E-2</v>
      </c>
      <c r="G2477" s="9">
        <f t="shared" si="117"/>
        <v>8.5978498159388628E-3</v>
      </c>
    </row>
    <row r="2478" spans="1:7" x14ac:dyDescent="0.2">
      <c r="A2478" s="12">
        <v>40487</v>
      </c>
      <c r="B2478" s="9">
        <v>1111.6400000000001</v>
      </c>
      <c r="C2478" s="9">
        <v>1094.01</v>
      </c>
      <c r="D2478" s="9">
        <v>1098.69</v>
      </c>
      <c r="E2478" s="9">
        <f t="shared" si="115"/>
        <v>-9.6737256115602011E-3</v>
      </c>
      <c r="F2478" s="45">
        <f t="shared" si="116"/>
        <v>2.8255300713081791E-3</v>
      </c>
      <c r="G2478" s="9">
        <f t="shared" si="117"/>
        <v>8.0481269577244302E-3</v>
      </c>
    </row>
    <row r="2479" spans="1:7" x14ac:dyDescent="0.2">
      <c r="A2479" s="12">
        <v>40490</v>
      </c>
      <c r="B2479" s="9">
        <v>1107.8</v>
      </c>
      <c r="C2479" s="9">
        <v>1099.3499999999999</v>
      </c>
      <c r="D2479" s="9">
        <v>1105.31</v>
      </c>
      <c r="E2479" s="9">
        <f t="shared" si="115"/>
        <v>6.0072775936432536E-3</v>
      </c>
      <c r="F2479" s="45">
        <f t="shared" si="116"/>
        <v>1.740364704011629E-2</v>
      </c>
      <c r="G2479" s="9">
        <f t="shared" si="117"/>
        <v>7.9463634373106058E-3</v>
      </c>
    </row>
    <row r="2480" spans="1:7" x14ac:dyDescent="0.2">
      <c r="A2480" s="12">
        <v>40491</v>
      </c>
      <c r="B2480" s="9">
        <v>1116.0999999999999</v>
      </c>
      <c r="C2480" s="9">
        <v>1102.7</v>
      </c>
      <c r="D2480" s="9">
        <v>1113.42</v>
      </c>
      <c r="E2480" s="9">
        <f t="shared" si="115"/>
        <v>7.310520990849236E-3</v>
      </c>
      <c r="F2480" s="45">
        <f t="shared" si="116"/>
        <v>2.0552490741351719E-2</v>
      </c>
      <c r="G2480" s="9">
        <f t="shared" si="117"/>
        <v>8.0157953812740792E-3</v>
      </c>
    </row>
    <row r="2481" spans="1:7" x14ac:dyDescent="0.2">
      <c r="A2481" s="12">
        <v>40492</v>
      </c>
      <c r="B2481" s="9">
        <v>1112.42</v>
      </c>
      <c r="C2481" s="9">
        <v>1101.73</v>
      </c>
      <c r="D2481" s="9">
        <v>1106.3399999999999</v>
      </c>
      <c r="E2481" s="9">
        <f t="shared" si="115"/>
        <v>-6.3790896391743152E-3</v>
      </c>
      <c r="F2481" s="45">
        <f t="shared" si="116"/>
        <v>1.9394337101916233E-2</v>
      </c>
      <c r="G2481" s="9">
        <f t="shared" si="117"/>
        <v>8.0479448142977122E-3</v>
      </c>
    </row>
    <row r="2482" spans="1:7" x14ac:dyDescent="0.2">
      <c r="A2482" s="12">
        <v>40493</v>
      </c>
      <c r="B2482" s="9">
        <v>1109.74</v>
      </c>
      <c r="C2482" s="9">
        <v>1097.6600000000001</v>
      </c>
      <c r="D2482" s="9">
        <v>1103.1199999999999</v>
      </c>
      <c r="E2482" s="9">
        <f t="shared" si="115"/>
        <v>-2.9147414116426277E-3</v>
      </c>
      <c r="F2482" s="45">
        <f t="shared" si="116"/>
        <v>1.4067959764441522E-2</v>
      </c>
      <c r="G2482" s="9">
        <f t="shared" si="117"/>
        <v>8.0663923481897049E-3</v>
      </c>
    </row>
    <row r="2483" spans="1:7" x14ac:dyDescent="0.2">
      <c r="A2483" s="12">
        <v>40494</v>
      </c>
      <c r="B2483" s="9">
        <v>1100.0899999999999</v>
      </c>
      <c r="C2483" s="9">
        <v>1086.03</v>
      </c>
      <c r="D2483" s="9">
        <v>1094.55</v>
      </c>
      <c r="E2483" s="9">
        <f t="shared" si="115"/>
        <v>-7.7992086537469283E-3</v>
      </c>
      <c r="F2483" s="45">
        <f t="shared" si="116"/>
        <v>1.1190238593514012E-2</v>
      </c>
      <c r="G2483" s="9">
        <f t="shared" si="117"/>
        <v>8.1493883098552201E-3</v>
      </c>
    </row>
    <row r="2484" spans="1:7" x14ac:dyDescent="0.2">
      <c r="A2484" s="12">
        <v>40497</v>
      </c>
      <c r="B2484" s="9">
        <v>1104.73</v>
      </c>
      <c r="C2484" s="9">
        <v>1088.8699999999999</v>
      </c>
      <c r="D2484" s="9">
        <v>1104.04</v>
      </c>
      <c r="E2484" s="9">
        <f t="shared" si="115"/>
        <v>8.6328591850010055E-3</v>
      </c>
      <c r="F2484" s="45">
        <f t="shared" si="116"/>
        <v>3.2495794582690384E-2</v>
      </c>
      <c r="G2484" s="9">
        <f t="shared" si="117"/>
        <v>7.8977674805849121E-3</v>
      </c>
    </row>
    <row r="2485" spans="1:7" x14ac:dyDescent="0.2">
      <c r="A2485" s="12">
        <v>40498</v>
      </c>
      <c r="B2485" s="9">
        <v>1097.98</v>
      </c>
      <c r="C2485" s="9">
        <v>1079.67</v>
      </c>
      <c r="D2485" s="9">
        <v>1083.92</v>
      </c>
      <c r="E2485" s="9">
        <f t="shared" si="115"/>
        <v>-1.8392079526563913E-2</v>
      </c>
      <c r="F2485" s="45">
        <f t="shared" si="116"/>
        <v>-4.9603687155588732E-3</v>
      </c>
      <c r="G2485" s="9">
        <f t="shared" si="117"/>
        <v>7.9178444261120817E-3</v>
      </c>
    </row>
    <row r="2486" spans="1:7" x14ac:dyDescent="0.2">
      <c r="A2486" s="12">
        <v>40499</v>
      </c>
      <c r="B2486" s="9">
        <v>1089.3399999999999</v>
      </c>
      <c r="C2486" s="9">
        <v>1078.27</v>
      </c>
      <c r="D2486" s="9">
        <v>1086.53</v>
      </c>
      <c r="E2486" s="9">
        <f t="shared" si="115"/>
        <v>2.4050323739861807E-3</v>
      </c>
      <c r="F2486" s="45">
        <f t="shared" si="116"/>
        <v>-2.344171214249641E-3</v>
      </c>
      <c r="G2486" s="9">
        <f t="shared" si="117"/>
        <v>7.9317175256766424E-3</v>
      </c>
    </row>
    <row r="2487" spans="1:7" x14ac:dyDescent="0.2">
      <c r="A2487" s="12">
        <v>40500</v>
      </c>
      <c r="B2487" s="9">
        <v>1106.81</v>
      </c>
      <c r="C2487" s="9">
        <v>1090.57</v>
      </c>
      <c r="D2487" s="9">
        <v>1106.32</v>
      </c>
      <c r="E2487" s="9">
        <f t="shared" si="115"/>
        <v>1.8050060244241082E-2</v>
      </c>
      <c r="F2487" s="45">
        <f t="shared" si="116"/>
        <v>1.874056945314773E-2</v>
      </c>
      <c r="G2487" s="9">
        <f t="shared" si="117"/>
        <v>8.5692387710951043E-3</v>
      </c>
    </row>
    <row r="2488" spans="1:7" x14ac:dyDescent="0.2">
      <c r="A2488" s="12">
        <v>40501</v>
      </c>
      <c r="B2488" s="9">
        <v>1110.55</v>
      </c>
      <c r="C2488" s="9">
        <v>1101.3599999999999</v>
      </c>
      <c r="D2488" s="9">
        <v>1110.55</v>
      </c>
      <c r="E2488" s="9">
        <f t="shared" si="115"/>
        <v>3.8161959281149986E-3</v>
      </c>
      <c r="F2488" s="45">
        <f t="shared" si="116"/>
        <v>2.2805465464062927E-2</v>
      </c>
      <c r="G2488" s="9">
        <f t="shared" si="117"/>
        <v>8.5870710679919315E-3</v>
      </c>
    </row>
    <row r="2489" spans="1:7" x14ac:dyDescent="0.2">
      <c r="A2489" s="12">
        <v>40504</v>
      </c>
      <c r="B2489" s="9">
        <v>1119.07</v>
      </c>
      <c r="C2489" s="9">
        <v>1103.1099999999999</v>
      </c>
      <c r="D2489" s="9">
        <v>1106.55</v>
      </c>
      <c r="E2489" s="9">
        <f t="shared" si="115"/>
        <v>-3.6083210860968769E-3</v>
      </c>
      <c r="F2489" s="45">
        <f t="shared" si="116"/>
        <v>1.292488284322149E-2</v>
      </c>
      <c r="G2489" s="9">
        <f t="shared" si="117"/>
        <v>8.557800436853117E-3</v>
      </c>
    </row>
    <row r="2490" spans="1:7" x14ac:dyDescent="0.2">
      <c r="A2490" s="12">
        <v>40505</v>
      </c>
      <c r="B2490" s="9">
        <v>1103.53</v>
      </c>
      <c r="C2490" s="9">
        <v>1087.42</v>
      </c>
      <c r="D2490" s="9">
        <v>1088.81</v>
      </c>
      <c r="E2490" s="9">
        <f t="shared" si="115"/>
        <v>-1.6161710280123018E-2</v>
      </c>
      <c r="F2490" s="45">
        <f t="shared" si="116"/>
        <v>-9.9141698119233719E-4</v>
      </c>
      <c r="G2490" s="9">
        <f t="shared" si="117"/>
        <v>9.069724492171815E-3</v>
      </c>
    </row>
    <row r="2491" spans="1:7" x14ac:dyDescent="0.2">
      <c r="A2491" s="12">
        <v>40506</v>
      </c>
      <c r="B2491" s="9">
        <v>1102.1500000000001</v>
      </c>
      <c r="C2491" s="9">
        <v>1083.1600000000001</v>
      </c>
      <c r="D2491" s="9">
        <v>1100</v>
      </c>
      <c r="E2491" s="9">
        <f t="shared" si="115"/>
        <v>1.0224823068164E-2</v>
      </c>
      <c r="F2491" s="45">
        <f t="shared" si="116"/>
        <v>-3.7022291933225216E-3</v>
      </c>
      <c r="G2491" s="9">
        <f t="shared" si="117"/>
        <v>8.9487610304918343E-3</v>
      </c>
    </row>
    <row r="2492" spans="1:7" x14ac:dyDescent="0.2">
      <c r="A2492" s="12">
        <v>40507</v>
      </c>
      <c r="B2492" s="9">
        <v>1112.17</v>
      </c>
      <c r="C2492" s="9">
        <v>1100.44</v>
      </c>
      <c r="D2492" s="9">
        <v>1111.1600000000001</v>
      </c>
      <c r="E2492" s="9">
        <f t="shared" si="115"/>
        <v>1.0094334885529967E-2</v>
      </c>
      <c r="F2492" s="45">
        <f t="shared" si="116"/>
        <v>1.1522627136729613E-2</v>
      </c>
      <c r="G2492" s="9">
        <f t="shared" si="117"/>
        <v>9.0856725548197625E-3</v>
      </c>
    </row>
    <row r="2493" spans="1:7" x14ac:dyDescent="0.2">
      <c r="A2493" s="12">
        <v>40508</v>
      </c>
      <c r="B2493" s="9">
        <v>1114.4100000000001</v>
      </c>
      <c r="C2493" s="9">
        <v>1100.76</v>
      </c>
      <c r="D2493" s="9">
        <v>1110.1099999999999</v>
      </c>
      <c r="E2493" s="9">
        <f t="shared" si="115"/>
        <v>-9.4540517650435136E-4</v>
      </c>
      <c r="F2493" s="45">
        <f t="shared" si="116"/>
        <v>1.414319851542003E-2</v>
      </c>
      <c r="G2493" s="9">
        <f t="shared" si="117"/>
        <v>9.0589440631652658E-3</v>
      </c>
    </row>
    <row r="2494" spans="1:7" x14ac:dyDescent="0.2">
      <c r="A2494" s="12">
        <v>40511</v>
      </c>
      <c r="B2494" s="9">
        <v>1121.3800000000001</v>
      </c>
      <c r="C2494" s="9">
        <v>1100.75</v>
      </c>
      <c r="D2494" s="9">
        <v>1104.3499999999999</v>
      </c>
      <c r="E2494" s="9">
        <f t="shared" si="115"/>
        <v>-5.2021829160098561E-3</v>
      </c>
      <c r="F2494" s="45">
        <f t="shared" si="116"/>
        <v>6.404309582724246E-3</v>
      </c>
      <c r="G2494" s="9">
        <f t="shared" si="117"/>
        <v>9.108158306637271E-3</v>
      </c>
    </row>
    <row r="2495" spans="1:7" x14ac:dyDescent="0.2">
      <c r="A2495" s="12">
        <v>40512</v>
      </c>
      <c r="B2495" s="9">
        <v>1110.1199999999999</v>
      </c>
      <c r="C2495" s="9">
        <v>1096.73</v>
      </c>
      <c r="D2495" s="9">
        <v>1107.05</v>
      </c>
      <c r="E2495" s="9">
        <f t="shared" ref="E2495:E2558" si="118">LN(D2495/D2494)</f>
        <v>2.4418932274933324E-3</v>
      </c>
      <c r="F2495" s="45">
        <f t="shared" si="116"/>
        <v>1.0524453445825034E-2</v>
      </c>
      <c r="G2495" s="9">
        <f t="shared" si="117"/>
        <v>9.1097129617636781E-3</v>
      </c>
    </row>
    <row r="2496" spans="1:7" x14ac:dyDescent="0.2">
      <c r="A2496" s="12">
        <v>40513</v>
      </c>
      <c r="B2496" s="9">
        <v>1134.3499999999999</v>
      </c>
      <c r="C2496" s="9">
        <v>1111.77</v>
      </c>
      <c r="D2496" s="9">
        <v>1134.27</v>
      </c>
      <c r="E2496" s="9">
        <f t="shared" si="118"/>
        <v>2.4290452378648596E-2</v>
      </c>
      <c r="F2496" s="45">
        <f t="shared" si="116"/>
        <v>3.1697792916563709E-2</v>
      </c>
      <c r="G2496" s="9">
        <f t="shared" si="117"/>
        <v>1.0098018564868604E-2</v>
      </c>
    </row>
    <row r="2497" spans="1:7" x14ac:dyDescent="0.2">
      <c r="A2497" s="12">
        <v>40514</v>
      </c>
      <c r="B2497" s="9">
        <v>1145.51</v>
      </c>
      <c r="C2497" s="9">
        <v>1129.72</v>
      </c>
      <c r="D2497" s="9">
        <v>1145.51</v>
      </c>
      <c r="E2497" s="9">
        <f t="shared" si="118"/>
        <v>9.8606804821348044E-3</v>
      </c>
      <c r="F2497" s="45">
        <f t="shared" si="116"/>
        <v>2.5534731876754934E-2</v>
      </c>
      <c r="G2497" s="9">
        <f t="shared" si="117"/>
        <v>9.8424830430994693E-3</v>
      </c>
    </row>
    <row r="2498" spans="1:7" x14ac:dyDescent="0.2">
      <c r="A2498" s="12">
        <v>40515</v>
      </c>
      <c r="B2498" s="9">
        <v>1149.8</v>
      </c>
      <c r="C2498" s="9">
        <v>1135.1300000000001</v>
      </c>
      <c r="D2498" s="9">
        <v>1149.56</v>
      </c>
      <c r="E2498" s="9">
        <f t="shared" si="118"/>
        <v>3.5293077805066474E-3</v>
      </c>
      <c r="F2498" s="45">
        <f t="shared" si="116"/>
        <v>3.5055281827231013E-2</v>
      </c>
      <c r="G2498" s="9">
        <f t="shared" si="117"/>
        <v>9.7674554447592359E-3</v>
      </c>
    </row>
    <row r="2499" spans="1:7" x14ac:dyDescent="0.2">
      <c r="A2499" s="12">
        <v>40518</v>
      </c>
      <c r="B2499" s="9">
        <v>1149.93</v>
      </c>
      <c r="C2499" s="9">
        <v>1141.07</v>
      </c>
      <c r="D2499" s="9">
        <v>1144.44</v>
      </c>
      <c r="E2499" s="9">
        <f t="shared" si="118"/>
        <v>-4.4638260694398538E-3</v>
      </c>
      <c r="F2499" s="45">
        <f t="shared" si="116"/>
        <v>3.0213135315868341E-2</v>
      </c>
      <c r="G2499" s="9">
        <f t="shared" si="117"/>
        <v>9.8208252483422773E-3</v>
      </c>
    </row>
    <row r="2500" spans="1:7" x14ac:dyDescent="0.2">
      <c r="A2500" s="12">
        <v>40519</v>
      </c>
      <c r="B2500" s="9">
        <v>1157.22</v>
      </c>
      <c r="C2500" s="9">
        <v>1144.6199999999999</v>
      </c>
      <c r="D2500" s="9">
        <v>1148.98</v>
      </c>
      <c r="E2500" s="9">
        <f t="shared" si="118"/>
        <v>3.9591578780575612E-3</v>
      </c>
      <c r="F2500" s="45">
        <f t="shared" si="116"/>
        <v>3.7690786940426407E-2</v>
      </c>
      <c r="G2500" s="9">
        <f t="shared" si="117"/>
        <v>9.7968668201060243E-3</v>
      </c>
    </row>
    <row r="2501" spans="1:7" x14ac:dyDescent="0.2">
      <c r="A2501" s="12">
        <v>40520</v>
      </c>
      <c r="B2501" s="9">
        <v>1150.22</v>
      </c>
      <c r="C2501" s="9">
        <v>1142.8399999999999</v>
      </c>
      <c r="D2501" s="9">
        <v>1145.6300000000001</v>
      </c>
      <c r="E2501" s="9">
        <f t="shared" si="118"/>
        <v>-2.9198882425371343E-3</v>
      </c>
      <c r="F2501" s="45">
        <f t="shared" si="116"/>
        <v>3.7141575812774212E-2</v>
      </c>
      <c r="G2501" s="9">
        <f t="shared" si="117"/>
        <v>9.8043884992447435E-3</v>
      </c>
    </row>
    <row r="2502" spans="1:7" x14ac:dyDescent="0.2">
      <c r="A2502" s="12">
        <v>40521</v>
      </c>
      <c r="B2502" s="9">
        <v>1151.3</v>
      </c>
      <c r="C2502" s="9">
        <v>1131.1199999999999</v>
      </c>
      <c r="D2502" s="9">
        <v>1133.52</v>
      </c>
      <c r="E2502" s="9">
        <f t="shared" si="118"/>
        <v>-1.0626868758370486E-2</v>
      </c>
      <c r="F2502" s="45">
        <f t="shared" si="116"/>
        <v>3.7637522146845591E-2</v>
      </c>
      <c r="G2502" s="9">
        <f t="shared" si="117"/>
        <v>9.783222957279283E-3</v>
      </c>
    </row>
    <row r="2503" spans="1:7" x14ac:dyDescent="0.2">
      <c r="A2503" s="12">
        <v>40522</v>
      </c>
      <c r="B2503" s="9">
        <v>1139.1600000000001</v>
      </c>
      <c r="C2503" s="9">
        <v>1133.68</v>
      </c>
      <c r="D2503" s="9">
        <v>1139.1600000000001</v>
      </c>
      <c r="E2503" s="9">
        <f t="shared" si="118"/>
        <v>4.9633134257362202E-3</v>
      </c>
      <c r="F2503" s="45">
        <f t="shared" si="116"/>
        <v>4.4737500346912852E-2</v>
      </c>
      <c r="G2503" s="9">
        <f t="shared" si="117"/>
        <v>9.7842341042499968E-3</v>
      </c>
    </row>
    <row r="2504" spans="1:7" x14ac:dyDescent="0.2">
      <c r="A2504" s="12">
        <v>40525</v>
      </c>
      <c r="B2504" s="9">
        <v>1150.3900000000001</v>
      </c>
      <c r="C2504" s="9">
        <v>1141.24</v>
      </c>
      <c r="D2504" s="9">
        <v>1146.1500000000001</v>
      </c>
      <c r="E2504" s="9">
        <f t="shared" si="118"/>
        <v>6.1173510799778872E-3</v>
      </c>
      <c r="F2504" s="45">
        <f t="shared" si="116"/>
        <v>4.8681545543063011E-2</v>
      </c>
      <c r="G2504" s="9">
        <f t="shared" si="117"/>
        <v>9.820146370953544E-3</v>
      </c>
    </row>
    <row r="2505" spans="1:7" x14ac:dyDescent="0.2">
      <c r="A2505" s="12">
        <v>40526</v>
      </c>
      <c r="B2505" s="9">
        <v>1155.8399999999999</v>
      </c>
      <c r="C2505" s="9">
        <v>1143.81</v>
      </c>
      <c r="D2505" s="9">
        <v>1155.8399999999999</v>
      </c>
      <c r="E2505" s="9">
        <f t="shared" si="118"/>
        <v>8.4188525868257539E-3</v>
      </c>
      <c r="F2505" s="45">
        <f t="shared" si="116"/>
        <v>5.2621987515528004E-2</v>
      </c>
      <c r="G2505" s="9">
        <f t="shared" si="117"/>
        <v>9.8857924207328019E-3</v>
      </c>
    </row>
    <row r="2506" spans="1:7" x14ac:dyDescent="0.2">
      <c r="A2506" s="12">
        <v>40527</v>
      </c>
      <c r="B2506" s="9">
        <v>1159.0999999999999</v>
      </c>
      <c r="C2506" s="9">
        <v>1148.3800000000001</v>
      </c>
      <c r="D2506" s="9">
        <v>1156.4000000000001</v>
      </c>
      <c r="E2506" s="9">
        <f t="shared" si="118"/>
        <v>4.8437879367988959E-4</v>
      </c>
      <c r="F2506" s="45">
        <f t="shared" si="116"/>
        <v>5.9620391703400971E-2</v>
      </c>
      <c r="G2506" s="9">
        <f t="shared" si="117"/>
        <v>9.7658024722366305E-3</v>
      </c>
    </row>
    <row r="2507" spans="1:7" x14ac:dyDescent="0.2">
      <c r="A2507" s="12">
        <v>40528</v>
      </c>
      <c r="B2507" s="9">
        <v>1157.9100000000001</v>
      </c>
      <c r="C2507" s="9">
        <v>1149.9000000000001</v>
      </c>
      <c r="D2507" s="9">
        <v>1153.8499999999999</v>
      </c>
      <c r="E2507" s="9">
        <f t="shared" si="118"/>
        <v>-2.2075541916029696E-3</v>
      </c>
      <c r="F2507" s="45">
        <f t="shared" si="116"/>
        <v>3.9311890339217913E-2</v>
      </c>
      <c r="G2507" s="9">
        <f t="shared" si="117"/>
        <v>9.3032387012995134E-3</v>
      </c>
    </row>
    <row r="2508" spans="1:7" x14ac:dyDescent="0.2">
      <c r="A2508" s="12">
        <v>40529</v>
      </c>
      <c r="B2508" s="9">
        <v>1156.72</v>
      </c>
      <c r="C2508" s="9">
        <v>1148.3699999999999</v>
      </c>
      <c r="D2508" s="9">
        <v>1153.1300000000001</v>
      </c>
      <c r="E2508" s="9">
        <f t="shared" si="118"/>
        <v>-6.2419268773618655E-4</v>
      </c>
      <c r="F2508" s="45">
        <f t="shared" si="116"/>
        <v>4.8361423263041894E-2</v>
      </c>
      <c r="G2508" s="9">
        <f t="shared" si="117"/>
        <v>9.0788104144511918E-3</v>
      </c>
    </row>
    <row r="2509" spans="1:7" x14ac:dyDescent="0.2">
      <c r="A2509" s="12">
        <v>40532</v>
      </c>
      <c r="B2509" s="9">
        <v>1160.3900000000001</v>
      </c>
      <c r="C2509" s="9">
        <v>1149.1300000000001</v>
      </c>
      <c r="D2509" s="9">
        <v>1154.19</v>
      </c>
      <c r="E2509" s="9">
        <f t="shared" si="118"/>
        <v>9.1881496677763592E-4</v>
      </c>
      <c r="F2509" s="45">
        <f t="shared" si="116"/>
        <v>4.3272960636176347E-2</v>
      </c>
      <c r="G2509" s="9">
        <f t="shared" si="117"/>
        <v>9.0413200881488028E-3</v>
      </c>
    </row>
    <row r="2510" spans="1:7" x14ac:dyDescent="0.2">
      <c r="A2510" s="12">
        <v>40533</v>
      </c>
      <c r="B2510" s="9">
        <v>1166.49</v>
      </c>
      <c r="C2510" s="9">
        <v>1158.23</v>
      </c>
      <c r="D2510" s="9">
        <v>1166</v>
      </c>
      <c r="E2510" s="9">
        <f t="shared" si="118"/>
        <v>1.0180288680807956E-2</v>
      </c>
      <c r="F2510" s="45">
        <f t="shared" si="116"/>
        <v>4.614272832613505E-2</v>
      </c>
      <c r="G2510" s="9">
        <f t="shared" si="117"/>
        <v>9.1203821591062315E-3</v>
      </c>
    </row>
    <row r="2511" spans="1:7" x14ac:dyDescent="0.2">
      <c r="A2511" s="12">
        <v>40534</v>
      </c>
      <c r="B2511" s="9">
        <v>1169.46</v>
      </c>
      <c r="C2511" s="9">
        <v>1161.33</v>
      </c>
      <c r="D2511" s="9">
        <v>1163.27</v>
      </c>
      <c r="E2511" s="9">
        <f t="shared" si="118"/>
        <v>-2.344083124798771E-3</v>
      </c>
      <c r="F2511" s="45">
        <f t="shared" si="116"/>
        <v>5.0177734840510711E-2</v>
      </c>
      <c r="G2511" s="9">
        <f t="shared" si="117"/>
        <v>9.0288934079202684E-3</v>
      </c>
    </row>
    <row r="2512" spans="1:7" x14ac:dyDescent="0.2">
      <c r="A2512" s="12">
        <v>40535</v>
      </c>
      <c r="B2512" s="9">
        <v>1162.23</v>
      </c>
      <c r="C2512" s="9">
        <v>1156.27</v>
      </c>
      <c r="D2512" s="9">
        <v>1160.55</v>
      </c>
      <c r="E2512" s="9">
        <f t="shared" si="118"/>
        <v>-2.3409741220658318E-3</v>
      </c>
      <c r="F2512" s="45">
        <f t="shared" si="116"/>
        <v>5.0751502130087445E-2</v>
      </c>
      <c r="G2512" s="9">
        <f t="shared" si="117"/>
        <v>9.0194439034460838E-3</v>
      </c>
    </row>
    <row r="2513" spans="1:7" x14ac:dyDescent="0.2">
      <c r="A2513" s="12">
        <v>40539</v>
      </c>
      <c r="B2513" s="9">
        <v>1161.5999999999999</v>
      </c>
      <c r="C2513" s="9">
        <v>1154.81</v>
      </c>
      <c r="D2513" s="9">
        <v>1160.28</v>
      </c>
      <c r="E2513" s="9">
        <f t="shared" si="118"/>
        <v>-2.3267538011667634E-4</v>
      </c>
      <c r="F2513" s="45">
        <f t="shared" si="116"/>
        <v>5.8318035403717675E-2</v>
      </c>
      <c r="G2513" s="9">
        <f t="shared" si="117"/>
        <v>8.8490753219246428E-3</v>
      </c>
    </row>
    <row r="2514" spans="1:7" x14ac:dyDescent="0.2">
      <c r="A2514" s="12">
        <v>40540</v>
      </c>
      <c r="B2514" s="9">
        <v>1163.42</v>
      </c>
      <c r="C2514" s="9">
        <v>1158.05</v>
      </c>
      <c r="D2514" s="9">
        <v>1159.8</v>
      </c>
      <c r="E2514" s="9">
        <f t="shared" si="118"/>
        <v>-4.1377884111630921E-4</v>
      </c>
      <c r="F2514" s="45">
        <f t="shared" si="116"/>
        <v>4.9271397377600473E-2</v>
      </c>
      <c r="G2514" s="9">
        <f t="shared" si="117"/>
        <v>8.7670364812064486E-3</v>
      </c>
    </row>
    <row r="2515" spans="1:7" x14ac:dyDescent="0.2">
      <c r="A2515" s="12">
        <v>40541</v>
      </c>
      <c r="B2515" s="9">
        <v>1165.9000000000001</v>
      </c>
      <c r="C2515" s="9">
        <v>1160.68</v>
      </c>
      <c r="D2515" s="9">
        <v>1165.1099999999999</v>
      </c>
      <c r="E2515" s="9">
        <f t="shared" si="118"/>
        <v>4.567926700974648E-3</v>
      </c>
      <c r="F2515" s="45">
        <f t="shared" si="116"/>
        <v>7.2231403605139147E-2</v>
      </c>
      <c r="G2515" s="9">
        <f t="shared" si="117"/>
        <v>7.9189300203477819E-3</v>
      </c>
    </row>
    <row r="2516" spans="1:7" x14ac:dyDescent="0.2">
      <c r="A2516" s="12">
        <v>40542</v>
      </c>
      <c r="B2516" s="9">
        <v>1165.5899999999999</v>
      </c>
      <c r="C2516" s="9">
        <v>1155.57</v>
      </c>
      <c r="D2516" s="9">
        <v>1155.57</v>
      </c>
      <c r="E2516" s="9">
        <f t="shared" si="118"/>
        <v>-8.2217744281945886E-3</v>
      </c>
      <c r="F2516" s="45">
        <f t="shared" si="116"/>
        <v>6.1604596802958343E-2</v>
      </c>
      <c r="G2516" s="9">
        <f t="shared" si="117"/>
        <v>8.1532642754751378E-3</v>
      </c>
    </row>
    <row r="2517" spans="1:7" x14ac:dyDescent="0.2">
      <c r="A2517" s="12">
        <v>40546</v>
      </c>
      <c r="B2517" s="9">
        <v>1177</v>
      </c>
      <c r="C2517" s="9">
        <v>1161.1199999999999</v>
      </c>
      <c r="D2517" s="9">
        <v>1176.8499999999999</v>
      </c>
      <c r="E2517" s="9">
        <f t="shared" si="118"/>
        <v>1.8247648772844658E-2</v>
      </c>
      <c r="F2517" s="45">
        <f t="shared" si="116"/>
        <v>6.180218533156203E-2</v>
      </c>
      <c r="G2517" s="9">
        <f t="shared" si="117"/>
        <v>8.1667007874339313E-3</v>
      </c>
    </row>
    <row r="2518" spans="1:7" x14ac:dyDescent="0.2">
      <c r="A2518" s="12">
        <v>40547</v>
      </c>
      <c r="B2518" s="9">
        <v>1181.56</v>
      </c>
      <c r="C2518" s="9">
        <v>1165.78</v>
      </c>
      <c r="D2518" s="9">
        <v>1165.8800000000001</v>
      </c>
      <c r="E2518" s="9">
        <f t="shared" si="118"/>
        <v>-9.3652108257095794E-3</v>
      </c>
      <c r="F2518" s="45">
        <f t="shared" si="116"/>
        <v>4.8620778577737458E-2</v>
      </c>
      <c r="G2518" s="9">
        <f t="shared" si="117"/>
        <v>8.4196333362352715E-3</v>
      </c>
    </row>
    <row r="2519" spans="1:7" x14ac:dyDescent="0.2">
      <c r="A2519" s="12">
        <v>40548</v>
      </c>
      <c r="B2519" s="9">
        <v>1167.0899999999999</v>
      </c>
      <c r="C2519" s="9">
        <v>1149.21</v>
      </c>
      <c r="D2519" s="9">
        <v>1151.8</v>
      </c>
      <c r="E2519" s="9">
        <f t="shared" si="118"/>
        <v>-1.2150230589683283E-2</v>
      </c>
      <c r="F2519" s="45">
        <f t="shared" si="116"/>
        <v>4.0078869074151036E-2</v>
      </c>
      <c r="G2519" s="9">
        <f t="shared" si="117"/>
        <v>8.7408674332414647E-3</v>
      </c>
    </row>
    <row r="2520" spans="1:7" x14ac:dyDescent="0.2">
      <c r="A2520" s="12">
        <v>40550</v>
      </c>
      <c r="B2520" s="9">
        <v>1164.96</v>
      </c>
      <c r="C2520" s="9">
        <v>1152.03</v>
      </c>
      <c r="D2520" s="9">
        <v>1159.45</v>
      </c>
      <c r="E2520" s="9">
        <f t="shared" si="118"/>
        <v>6.619818657872604E-3</v>
      </c>
      <c r="F2520" s="45">
        <f t="shared" si="116"/>
        <v>6.2860398012146657E-2</v>
      </c>
      <c r="G2520" s="9">
        <f t="shared" si="117"/>
        <v>8.1370391927326202E-3</v>
      </c>
    </row>
    <row r="2521" spans="1:7" x14ac:dyDescent="0.2">
      <c r="A2521" s="12">
        <v>40553</v>
      </c>
      <c r="B2521" s="9">
        <v>1160.42</v>
      </c>
      <c r="C2521" s="9">
        <v>1149.3800000000001</v>
      </c>
      <c r="D2521" s="9">
        <v>1152.6099999999999</v>
      </c>
      <c r="E2521" s="9">
        <f t="shared" si="118"/>
        <v>-5.9168187287289677E-3</v>
      </c>
      <c r="F2521" s="45">
        <f t="shared" si="116"/>
        <v>4.6718756215253746E-2</v>
      </c>
      <c r="G2521" s="9">
        <f t="shared" si="117"/>
        <v>8.1145933181631311E-3</v>
      </c>
    </row>
    <row r="2522" spans="1:7" x14ac:dyDescent="0.2">
      <c r="A2522" s="12">
        <v>40554</v>
      </c>
      <c r="B2522" s="9">
        <v>1175.03</v>
      </c>
      <c r="C2522" s="9">
        <v>1154.8800000000001</v>
      </c>
      <c r="D2522" s="9">
        <v>1174.3599999999999</v>
      </c>
      <c r="E2522" s="9">
        <f t="shared" si="118"/>
        <v>1.8694382332978109E-2</v>
      </c>
      <c r="F2522" s="45">
        <f t="shared" si="116"/>
        <v>5.5318803662702073E-2</v>
      </c>
      <c r="G2522" s="9">
        <f t="shared" si="117"/>
        <v>8.5659420287167599E-3</v>
      </c>
    </row>
    <row r="2523" spans="1:7" x14ac:dyDescent="0.2">
      <c r="A2523" s="12">
        <v>40555</v>
      </c>
      <c r="B2523" s="9">
        <v>1178.06</v>
      </c>
      <c r="C2523" s="9">
        <v>1172.77</v>
      </c>
      <c r="D2523" s="9">
        <v>1174.0999999999999</v>
      </c>
      <c r="E2523" s="9">
        <f t="shared" si="118"/>
        <v>-2.2142169852776928E-4</v>
      </c>
      <c r="F2523" s="45">
        <f t="shared" si="116"/>
        <v>5.6042787140678514E-2</v>
      </c>
      <c r="G2523" s="9">
        <f t="shared" si="117"/>
        <v>8.5588294677863795E-3</v>
      </c>
    </row>
    <row r="2524" spans="1:7" x14ac:dyDescent="0.2">
      <c r="A2524" s="12">
        <v>40556</v>
      </c>
      <c r="B2524" s="9">
        <v>1179.8399999999999</v>
      </c>
      <c r="C2524" s="9">
        <v>1171.08</v>
      </c>
      <c r="D2524" s="9">
        <v>1174.43</v>
      </c>
      <c r="E2524" s="9">
        <f t="shared" si="118"/>
        <v>2.8102685694624815E-4</v>
      </c>
      <c r="F2524" s="45">
        <f t="shared" si="116"/>
        <v>6.1525996913634598E-2</v>
      </c>
      <c r="G2524" s="9">
        <f t="shared" si="117"/>
        <v>8.4606209237492683E-3</v>
      </c>
    </row>
    <row r="2525" spans="1:7" x14ac:dyDescent="0.2">
      <c r="A2525" s="12">
        <v>40557</v>
      </c>
      <c r="B2525" s="9">
        <v>1174.47</v>
      </c>
      <c r="C2525" s="9">
        <v>1163.05</v>
      </c>
      <c r="D2525" s="9">
        <v>1173.28</v>
      </c>
      <c r="E2525" s="9">
        <f t="shared" si="118"/>
        <v>-9.7967814762299705E-4</v>
      </c>
      <c r="F2525" s="45">
        <f t="shared" si="116"/>
        <v>5.8104425538518162E-2</v>
      </c>
      <c r="G2525" s="9">
        <f t="shared" si="117"/>
        <v>8.4782117240290219E-3</v>
      </c>
    </row>
    <row r="2526" spans="1:7" x14ac:dyDescent="0.2">
      <c r="A2526" s="12">
        <v>40560</v>
      </c>
      <c r="B2526" s="9">
        <v>1176.18</v>
      </c>
      <c r="C2526" s="9">
        <v>1163.55</v>
      </c>
      <c r="D2526" s="9">
        <v>1169.53</v>
      </c>
      <c r="E2526" s="9">
        <f t="shared" si="118"/>
        <v>-3.2012866622331687E-3</v>
      </c>
      <c r="F2526" s="45">
        <f t="shared" si="116"/>
        <v>3.0612686497636436E-2</v>
      </c>
      <c r="G2526" s="9">
        <f t="shared" si="117"/>
        <v>7.39534778360293E-3</v>
      </c>
    </row>
    <row r="2527" spans="1:7" x14ac:dyDescent="0.2">
      <c r="A2527" s="12">
        <v>40561</v>
      </c>
      <c r="B2527" s="9">
        <v>1180.5899999999999</v>
      </c>
      <c r="C2527" s="9">
        <v>1172.48</v>
      </c>
      <c r="D2527" s="9">
        <v>1179.29</v>
      </c>
      <c r="E2527" s="9">
        <f t="shared" si="118"/>
        <v>8.3106037701698339E-3</v>
      </c>
      <c r="F2527" s="45">
        <f t="shared" si="116"/>
        <v>2.9062609785671278E-2</v>
      </c>
      <c r="G2527" s="9">
        <f t="shared" si="117"/>
        <v>7.3366354876053938E-3</v>
      </c>
    </row>
    <row r="2528" spans="1:7" x14ac:dyDescent="0.2">
      <c r="A2528" s="12">
        <v>40562</v>
      </c>
      <c r="B2528" s="9">
        <v>1182.56</v>
      </c>
      <c r="C2528" s="9">
        <v>1153.5999999999999</v>
      </c>
      <c r="D2528" s="9">
        <v>1155.6400000000001</v>
      </c>
      <c r="E2528" s="9">
        <f t="shared" si="118"/>
        <v>-2.0258259407092558E-2</v>
      </c>
      <c r="F2528" s="45">
        <f t="shared" si="116"/>
        <v>5.2750425980722382E-3</v>
      </c>
      <c r="G2528" s="9">
        <f t="shared" si="117"/>
        <v>8.2756985800109609E-3</v>
      </c>
    </row>
    <row r="2529" spans="1:7" x14ac:dyDescent="0.2">
      <c r="A2529" s="12">
        <v>40563</v>
      </c>
      <c r="B2529" s="9">
        <v>1157.32</v>
      </c>
      <c r="C2529" s="9">
        <v>1136.42</v>
      </c>
      <c r="D2529" s="9">
        <v>1136.42</v>
      </c>
      <c r="E2529" s="9">
        <f t="shared" si="118"/>
        <v>-1.6771332784350702E-2</v>
      </c>
      <c r="F2529" s="45">
        <f t="shared" ref="F2529:F2592" si="119">LN(D2529/D2499)</f>
        <v>-7.0324641168387414E-3</v>
      </c>
      <c r="G2529" s="9">
        <f t="shared" ref="G2529:G2592" si="120">STDEV(E2500:E2529)</f>
        <v>8.8019576588989675E-3</v>
      </c>
    </row>
    <row r="2530" spans="1:7" x14ac:dyDescent="0.2">
      <c r="A2530" s="12">
        <v>40564</v>
      </c>
      <c r="B2530" s="9">
        <v>1156.69</v>
      </c>
      <c r="C2530" s="9">
        <v>1138.42</v>
      </c>
      <c r="D2530" s="9">
        <v>1150.8399999999999</v>
      </c>
      <c r="E2530" s="9">
        <f t="shared" si="118"/>
        <v>1.260914024026891E-2</v>
      </c>
      <c r="F2530" s="45">
        <f t="shared" si="119"/>
        <v>1.6175182453726836E-3</v>
      </c>
      <c r="G2530" s="9">
        <f t="shared" si="120"/>
        <v>9.0813110342960503E-3</v>
      </c>
    </row>
    <row r="2531" spans="1:7" x14ac:dyDescent="0.2">
      <c r="A2531" s="12">
        <v>40567</v>
      </c>
      <c r="B2531" s="9">
        <v>1158.5899999999999</v>
      </c>
      <c r="C2531" s="9">
        <v>1138.4100000000001</v>
      </c>
      <c r="D2531" s="9">
        <v>1148.74</v>
      </c>
      <c r="E2531" s="9">
        <f t="shared" si="118"/>
        <v>-1.8264209844991567E-3</v>
      </c>
      <c r="F2531" s="45">
        <f t="shared" si="119"/>
        <v>2.710985503410695E-3</v>
      </c>
      <c r="G2531" s="9">
        <f t="shared" si="120"/>
        <v>9.0711524378551955E-3</v>
      </c>
    </row>
    <row r="2532" spans="1:7" x14ac:dyDescent="0.2">
      <c r="A2532" s="12">
        <v>40568</v>
      </c>
      <c r="B2532" s="9">
        <v>1156.49</v>
      </c>
      <c r="C2532" s="9">
        <v>1148.6600000000001</v>
      </c>
      <c r="D2532" s="9">
        <v>1152.69</v>
      </c>
      <c r="E2532" s="9">
        <f t="shared" si="118"/>
        <v>3.4326517674683706E-3</v>
      </c>
      <c r="F2532" s="45">
        <f t="shared" si="119"/>
        <v>1.6770506029249472E-2</v>
      </c>
      <c r="G2532" s="9">
        <f t="shared" si="120"/>
        <v>8.8590712017771155E-3</v>
      </c>
    </row>
    <row r="2533" spans="1:7" x14ac:dyDescent="0.2">
      <c r="A2533" s="12">
        <v>40569</v>
      </c>
      <c r="B2533" s="9">
        <v>1176.29</v>
      </c>
      <c r="C2533" s="9">
        <v>1156.31</v>
      </c>
      <c r="D2533" s="9">
        <v>1173.8499999999999</v>
      </c>
      <c r="E2533" s="9">
        <f t="shared" si="118"/>
        <v>1.8190603626296237E-2</v>
      </c>
      <c r="F2533" s="45">
        <f t="shared" si="119"/>
        <v>2.9997796229809637E-2</v>
      </c>
      <c r="G2533" s="9">
        <f t="shared" si="120"/>
        <v>9.3985584320905678E-3</v>
      </c>
    </row>
    <row r="2534" spans="1:7" x14ac:dyDescent="0.2">
      <c r="A2534" s="12">
        <v>40570</v>
      </c>
      <c r="B2534" s="9">
        <v>1173.28</v>
      </c>
      <c r="C2534" s="9">
        <v>1165.21</v>
      </c>
      <c r="D2534" s="9">
        <v>1165.71</v>
      </c>
      <c r="E2534" s="9">
        <f t="shared" si="118"/>
        <v>-6.9586014860241333E-3</v>
      </c>
      <c r="F2534" s="45">
        <f t="shared" si="119"/>
        <v>1.6921843663807404E-2</v>
      </c>
      <c r="G2534" s="9">
        <f t="shared" si="120"/>
        <v>9.4560779591245994E-3</v>
      </c>
    </row>
    <row r="2535" spans="1:7" x14ac:dyDescent="0.2">
      <c r="A2535" s="12">
        <v>40571</v>
      </c>
      <c r="B2535" s="9">
        <v>1168.1300000000001</v>
      </c>
      <c r="C2535" s="9">
        <v>1151.8</v>
      </c>
      <c r="D2535" s="9">
        <v>1151.8</v>
      </c>
      <c r="E2535" s="9">
        <f t="shared" si="118"/>
        <v>-1.2004407352921045E-2</v>
      </c>
      <c r="F2535" s="45">
        <f t="shared" si="119"/>
        <v>-3.5014162759392006E-3</v>
      </c>
      <c r="G2535" s="9">
        <f t="shared" si="120"/>
        <v>9.605081115132327E-3</v>
      </c>
    </row>
    <row r="2536" spans="1:7" x14ac:dyDescent="0.2">
      <c r="A2536" s="12">
        <v>40574</v>
      </c>
      <c r="B2536" s="9">
        <v>1150.29</v>
      </c>
      <c r="C2536" s="9">
        <v>1139.6500000000001</v>
      </c>
      <c r="D2536" s="9">
        <v>1147.22</v>
      </c>
      <c r="E2536" s="9">
        <f t="shared" si="118"/>
        <v>-3.9843116274387675E-3</v>
      </c>
      <c r="F2536" s="45">
        <f t="shared" si="119"/>
        <v>-7.9701066970578292E-3</v>
      </c>
      <c r="G2536" s="9">
        <f t="shared" si="120"/>
        <v>9.6300558128289519E-3</v>
      </c>
    </row>
    <row r="2537" spans="1:7" x14ac:dyDescent="0.2">
      <c r="A2537" s="12">
        <v>40575</v>
      </c>
      <c r="B2537" s="9">
        <v>1156.2</v>
      </c>
      <c r="C2537" s="9">
        <v>1141.77</v>
      </c>
      <c r="D2537" s="9">
        <v>1146.79</v>
      </c>
      <c r="E2537" s="9">
        <f t="shared" si="118"/>
        <v>-3.7488939022597436E-4</v>
      </c>
      <c r="F2537" s="45">
        <f t="shared" si="119"/>
        <v>-6.1374418956808849E-3</v>
      </c>
      <c r="G2537" s="9">
        <f t="shared" si="120"/>
        <v>9.6231228960915842E-3</v>
      </c>
    </row>
    <row r="2538" spans="1:7" x14ac:dyDescent="0.2">
      <c r="A2538" s="12">
        <v>40576</v>
      </c>
      <c r="B2538" s="9">
        <v>1153.6600000000001</v>
      </c>
      <c r="C2538" s="9">
        <v>1120.68</v>
      </c>
      <c r="D2538" s="9">
        <v>1130.42</v>
      </c>
      <c r="E2538" s="9">
        <f t="shared" si="118"/>
        <v>-1.4377489989018388E-2</v>
      </c>
      <c r="F2538" s="45">
        <f t="shared" si="119"/>
        <v>-1.9890739196963134E-2</v>
      </c>
      <c r="G2538" s="9">
        <f t="shared" si="120"/>
        <v>9.9653200236495855E-3</v>
      </c>
    </row>
    <row r="2539" spans="1:7" x14ac:dyDescent="0.2">
      <c r="A2539" s="12">
        <v>40577</v>
      </c>
      <c r="B2539" s="9">
        <v>1144.25</v>
      </c>
      <c r="C2539" s="9">
        <v>1126.5899999999999</v>
      </c>
      <c r="D2539" s="9">
        <v>1138.72</v>
      </c>
      <c r="E2539" s="9">
        <f t="shared" si="118"/>
        <v>7.3155794850720511E-3</v>
      </c>
      <c r="F2539" s="45">
        <f t="shared" si="119"/>
        <v>-1.349397467866869E-2</v>
      </c>
      <c r="G2539" s="9">
        <f t="shared" si="120"/>
        <v>1.0068236920736657E-2</v>
      </c>
    </row>
    <row r="2540" spans="1:7" x14ac:dyDescent="0.2">
      <c r="A2540" s="12">
        <v>40578</v>
      </c>
      <c r="B2540" s="9">
        <v>1146.26</v>
      </c>
      <c r="C2540" s="9">
        <v>1133.3800000000001</v>
      </c>
      <c r="D2540" s="9">
        <v>1139.31</v>
      </c>
      <c r="E2540" s="9">
        <f t="shared" si="118"/>
        <v>5.1799143399530419E-4</v>
      </c>
      <c r="F2540" s="45">
        <f t="shared" si="119"/>
        <v>-2.3156271925481468E-2</v>
      </c>
      <c r="G2540" s="9">
        <f t="shared" si="120"/>
        <v>9.8690360387256194E-3</v>
      </c>
    </row>
    <row r="2541" spans="1:7" x14ac:dyDescent="0.2">
      <c r="A2541" s="12">
        <v>40581</v>
      </c>
      <c r="B2541" s="9">
        <v>1148.6600000000001</v>
      </c>
      <c r="C2541" s="9">
        <v>1136.7</v>
      </c>
      <c r="D2541" s="9">
        <v>1140.5</v>
      </c>
      <c r="E2541" s="9">
        <f t="shared" si="118"/>
        <v>1.0439467394865267E-3</v>
      </c>
      <c r="F2541" s="45">
        <f t="shared" si="119"/>
        <v>-1.9768242061196175E-2</v>
      </c>
      <c r="G2541" s="9">
        <f t="shared" si="120"/>
        <v>9.8698095009247064E-3</v>
      </c>
    </row>
    <row r="2542" spans="1:7" x14ac:dyDescent="0.2">
      <c r="A2542" s="12">
        <v>40582</v>
      </c>
      <c r="B2542" s="9">
        <v>1144.7</v>
      </c>
      <c r="C2542" s="9">
        <v>1127.6300000000001</v>
      </c>
      <c r="D2542" s="9">
        <v>1132.83</v>
      </c>
      <c r="E2542" s="9">
        <f t="shared" si="118"/>
        <v>-6.747836084809845E-3</v>
      </c>
      <c r="F2542" s="45">
        <f t="shared" si="119"/>
        <v>-2.4175104023940207E-2</v>
      </c>
      <c r="G2542" s="9">
        <f t="shared" si="120"/>
        <v>9.9283278180079797E-3</v>
      </c>
    </row>
    <row r="2543" spans="1:7" x14ac:dyDescent="0.2">
      <c r="A2543" s="12">
        <v>40583</v>
      </c>
      <c r="B2543" s="9">
        <v>1137.51</v>
      </c>
      <c r="C2543" s="9">
        <v>1130.6300000000001</v>
      </c>
      <c r="D2543" s="9">
        <v>1134.83</v>
      </c>
      <c r="E2543" s="9">
        <f t="shared" si="118"/>
        <v>1.7639333220823845E-3</v>
      </c>
      <c r="F2543" s="45">
        <f t="shared" si="119"/>
        <v>-2.2178495321741074E-2</v>
      </c>
      <c r="G2543" s="9">
        <f t="shared" si="120"/>
        <v>9.9389887564420038E-3</v>
      </c>
    </row>
    <row r="2544" spans="1:7" x14ac:dyDescent="0.2">
      <c r="A2544" s="12">
        <v>40584</v>
      </c>
      <c r="B2544" s="9">
        <v>1135.03</v>
      </c>
      <c r="C2544" s="9">
        <v>1122.32</v>
      </c>
      <c r="D2544" s="9">
        <v>1127</v>
      </c>
      <c r="E2544" s="9">
        <f t="shared" si="118"/>
        <v>-6.9236249219390309E-3</v>
      </c>
      <c r="F2544" s="45">
        <f t="shared" si="119"/>
        <v>-2.8688341402563905E-2</v>
      </c>
      <c r="G2544" s="9">
        <f t="shared" si="120"/>
        <v>1.0002497884684278E-2</v>
      </c>
    </row>
    <row r="2545" spans="1:7" x14ac:dyDescent="0.2">
      <c r="A2545" s="12">
        <v>40585</v>
      </c>
      <c r="B2545" s="9">
        <v>1140.4100000000001</v>
      </c>
      <c r="C2545" s="9">
        <v>1117.9000000000001</v>
      </c>
      <c r="D2545" s="9">
        <v>1139.97</v>
      </c>
      <c r="E2545" s="9">
        <f t="shared" si="118"/>
        <v>1.1442711213024656E-2</v>
      </c>
      <c r="F2545" s="45">
        <f t="shared" si="119"/>
        <v>-2.1813556890513845E-2</v>
      </c>
      <c r="G2545" s="9">
        <f t="shared" si="120"/>
        <v>1.0210021494387812E-2</v>
      </c>
    </row>
    <row r="2546" spans="1:7" x14ac:dyDescent="0.2">
      <c r="A2546" s="12">
        <v>40588</v>
      </c>
      <c r="B2546" s="9">
        <v>1146.08</v>
      </c>
      <c r="C2546" s="9">
        <v>1134.05</v>
      </c>
      <c r="D2546" s="9">
        <v>1134.05</v>
      </c>
      <c r="E2546" s="9">
        <f t="shared" si="118"/>
        <v>-5.2066502263561952E-3</v>
      </c>
      <c r="F2546" s="45">
        <f t="shared" si="119"/>
        <v>-1.8798432688675488E-2</v>
      </c>
      <c r="G2546" s="9">
        <f t="shared" si="120"/>
        <v>1.0148356302241856E-2</v>
      </c>
    </row>
    <row r="2547" spans="1:7" x14ac:dyDescent="0.2">
      <c r="A2547" s="12">
        <v>40589</v>
      </c>
      <c r="B2547" s="9">
        <v>1137.58</v>
      </c>
      <c r="C2547" s="9">
        <v>1119.53</v>
      </c>
      <c r="D2547" s="9">
        <v>1125.8499999999999</v>
      </c>
      <c r="E2547" s="9">
        <f t="shared" si="118"/>
        <v>-7.2569901207758533E-3</v>
      </c>
      <c r="F2547" s="45">
        <f t="shared" si="119"/>
        <v>-4.4303071582295871E-2</v>
      </c>
      <c r="G2547" s="9">
        <f t="shared" si="120"/>
        <v>9.5641682540358961E-3</v>
      </c>
    </row>
    <row r="2548" spans="1:7" x14ac:dyDescent="0.2">
      <c r="A2548" s="12">
        <v>40590</v>
      </c>
      <c r="B2548" s="9">
        <v>1133.32</v>
      </c>
      <c r="C2548" s="9">
        <v>1125.5999999999999</v>
      </c>
      <c r="D2548" s="9">
        <v>1128</v>
      </c>
      <c r="E2548" s="9">
        <f t="shared" si="118"/>
        <v>1.9078471523352601E-3</v>
      </c>
      <c r="F2548" s="45">
        <f t="shared" si="119"/>
        <v>-3.3030013604251014E-2</v>
      </c>
      <c r="G2548" s="9">
        <f t="shared" si="120"/>
        <v>9.4644856489897473E-3</v>
      </c>
    </row>
    <row r="2549" spans="1:7" x14ac:dyDescent="0.2">
      <c r="A2549" s="12">
        <v>40591</v>
      </c>
      <c r="B2549" s="9">
        <v>1131.26</v>
      </c>
      <c r="C2549" s="9">
        <v>1103.98</v>
      </c>
      <c r="D2549" s="9">
        <v>1110.69</v>
      </c>
      <c r="E2549" s="9">
        <f t="shared" si="118"/>
        <v>-1.5464709256692633E-2</v>
      </c>
      <c r="F2549" s="45">
        <f t="shared" si="119"/>
        <v>-3.634449227126036E-2</v>
      </c>
      <c r="G2549" s="9">
        <f t="shared" si="120"/>
        <v>9.6160473295573475E-3</v>
      </c>
    </row>
    <row r="2550" spans="1:7" x14ac:dyDescent="0.2">
      <c r="A2550" s="12">
        <v>40592</v>
      </c>
      <c r="B2550" s="9">
        <v>1119.04</v>
      </c>
      <c r="C2550" s="9">
        <v>1105.75</v>
      </c>
      <c r="D2550" s="9">
        <v>1117.23</v>
      </c>
      <c r="E2550" s="9">
        <f t="shared" si="118"/>
        <v>5.8709637555806249E-3</v>
      </c>
      <c r="F2550" s="45">
        <f t="shared" si="119"/>
        <v>-3.709334717355238E-2</v>
      </c>
      <c r="G2550" s="9">
        <f t="shared" si="120"/>
        <v>9.59596843250465E-3</v>
      </c>
    </row>
    <row r="2551" spans="1:7" x14ac:dyDescent="0.2">
      <c r="A2551" s="12">
        <v>40595</v>
      </c>
      <c r="B2551" s="9">
        <v>1124.73</v>
      </c>
      <c r="C2551" s="9">
        <v>1108.95</v>
      </c>
      <c r="D2551" s="9">
        <v>1113.98</v>
      </c>
      <c r="E2551" s="9">
        <f t="shared" si="118"/>
        <v>-2.9132195521901117E-3</v>
      </c>
      <c r="F2551" s="45">
        <f t="shared" si="119"/>
        <v>-3.4089747997013559E-2</v>
      </c>
      <c r="G2551" s="9">
        <f t="shared" si="120"/>
        <v>9.5610572355751336E-3</v>
      </c>
    </row>
    <row r="2552" spans="1:7" x14ac:dyDescent="0.2">
      <c r="A2552" s="12">
        <v>40596</v>
      </c>
      <c r="B2552" s="9">
        <v>1115.97</v>
      </c>
      <c r="C2552" s="9">
        <v>1100.76</v>
      </c>
      <c r="D2552" s="9">
        <v>1112.3499999999999</v>
      </c>
      <c r="E2552" s="9">
        <f t="shared" si="118"/>
        <v>-1.4642935155596236E-3</v>
      </c>
      <c r="F2552" s="45">
        <f t="shared" si="119"/>
        <v>-5.4248423845551327E-2</v>
      </c>
      <c r="G2552" s="9">
        <f t="shared" si="120"/>
        <v>8.7971498533180644E-3</v>
      </c>
    </row>
    <row r="2553" spans="1:7" x14ac:dyDescent="0.2">
      <c r="A2553" s="12">
        <v>40597</v>
      </c>
      <c r="B2553" s="9">
        <v>1109</v>
      </c>
      <c r="C2553" s="9">
        <v>1090.1600000000001</v>
      </c>
      <c r="D2553" s="9">
        <v>1098.07</v>
      </c>
      <c r="E2553" s="9">
        <f t="shared" si="118"/>
        <v>-1.2920801174889628E-2</v>
      </c>
      <c r="F2553" s="45">
        <f t="shared" si="119"/>
        <v>-6.6947803321913246E-2</v>
      </c>
      <c r="G2553" s="9">
        <f t="shared" si="120"/>
        <v>9.0208564853439185E-3</v>
      </c>
    </row>
    <row r="2554" spans="1:7" x14ac:dyDescent="0.2">
      <c r="A2554" s="12">
        <v>40598</v>
      </c>
      <c r="B2554" s="9">
        <v>1108.9100000000001</v>
      </c>
      <c r="C2554" s="9">
        <v>1085.06</v>
      </c>
      <c r="D2554" s="9">
        <v>1102.3</v>
      </c>
      <c r="E2554" s="9">
        <f t="shared" si="118"/>
        <v>3.8448126550168996E-3</v>
      </c>
      <c r="F2554" s="45">
        <f t="shared" si="119"/>
        <v>-6.3384017523842637E-2</v>
      </c>
      <c r="G2554" s="9">
        <f t="shared" si="120"/>
        <v>9.0783672353619699E-3</v>
      </c>
    </row>
    <row r="2555" spans="1:7" x14ac:dyDescent="0.2">
      <c r="A2555" s="12">
        <v>40599</v>
      </c>
      <c r="B2555" s="9">
        <v>1118.97</v>
      </c>
      <c r="C2555" s="9">
        <v>1101.48</v>
      </c>
      <c r="D2555" s="9">
        <v>1116.79</v>
      </c>
      <c r="E2555" s="9">
        <f t="shared" si="118"/>
        <v>1.3059592844021757E-2</v>
      </c>
      <c r="F2555" s="45">
        <f t="shared" si="119"/>
        <v>-4.9344746532197815E-2</v>
      </c>
      <c r="G2555" s="9">
        <f t="shared" si="120"/>
        <v>9.4912542617224573E-3</v>
      </c>
    </row>
    <row r="2556" spans="1:7" x14ac:dyDescent="0.2">
      <c r="A2556" s="12">
        <v>40602</v>
      </c>
      <c r="B2556" s="9">
        <v>1131.8499999999999</v>
      </c>
      <c r="C2556" s="9">
        <v>1111.96</v>
      </c>
      <c r="D2556" s="9">
        <v>1128.6600000000001</v>
      </c>
      <c r="E2556" s="9">
        <f t="shared" si="118"/>
        <v>1.0572589519692832E-2</v>
      </c>
      <c r="F2556" s="45">
        <f t="shared" si="119"/>
        <v>-3.5570870350271823E-2</v>
      </c>
      <c r="G2556" s="9">
        <f t="shared" si="120"/>
        <v>9.7431708514558422E-3</v>
      </c>
    </row>
    <row r="2557" spans="1:7" x14ac:dyDescent="0.2">
      <c r="A2557" s="12">
        <v>40603</v>
      </c>
      <c r="B2557" s="9">
        <v>1134.51</v>
      </c>
      <c r="C2557" s="9">
        <v>1119.1600000000001</v>
      </c>
      <c r="D2557" s="9">
        <v>1119.1600000000001</v>
      </c>
      <c r="E2557" s="9">
        <f t="shared" si="118"/>
        <v>-8.4526844345481651E-3</v>
      </c>
      <c r="F2557" s="45">
        <f t="shared" si="119"/>
        <v>-5.2334158554989865E-2</v>
      </c>
      <c r="G2557" s="9">
        <f t="shared" si="120"/>
        <v>9.6601107718922476E-3</v>
      </c>
    </row>
    <row r="2558" spans="1:7" x14ac:dyDescent="0.2">
      <c r="A2558" s="12">
        <v>40604</v>
      </c>
      <c r="B2558" s="9">
        <v>1112.6600000000001</v>
      </c>
      <c r="C2558" s="9">
        <v>1103.02</v>
      </c>
      <c r="D2558" s="9">
        <v>1103.6099999999999</v>
      </c>
      <c r="E2558" s="9">
        <f t="shared" si="118"/>
        <v>-1.3991779342280582E-2</v>
      </c>
      <c r="F2558" s="45">
        <f t="shared" si="119"/>
        <v>-4.6067678490177774E-2</v>
      </c>
      <c r="G2558" s="9">
        <f t="shared" si="120"/>
        <v>9.3072862019942179E-3</v>
      </c>
    </row>
    <row r="2559" spans="1:7" x14ac:dyDescent="0.2">
      <c r="A2559" s="12">
        <v>40605</v>
      </c>
      <c r="B2559" s="9">
        <v>1115.51</v>
      </c>
      <c r="C2559" s="9">
        <v>1105.67</v>
      </c>
      <c r="D2559" s="9">
        <v>1110.8</v>
      </c>
      <c r="E2559" s="9">
        <f t="shared" ref="E2559:E2622" si="121">LN(D2559/D2558)</f>
        <v>6.4938518764888009E-3</v>
      </c>
      <c r="F2559" s="45">
        <f t="shared" si="119"/>
        <v>-2.2802493829338272E-2</v>
      </c>
      <c r="G2559" s="9">
        <f t="shared" si="120"/>
        <v>8.9566840160046571E-3</v>
      </c>
    </row>
    <row r="2560" spans="1:7" x14ac:dyDescent="0.2">
      <c r="A2560" s="12">
        <v>40606</v>
      </c>
      <c r="B2560" s="9">
        <v>1125.07</v>
      </c>
      <c r="C2560" s="9">
        <v>1111.19</v>
      </c>
      <c r="D2560" s="9">
        <v>1112.3800000000001</v>
      </c>
      <c r="E2560" s="9">
        <f t="shared" si="121"/>
        <v>1.4213876213460307E-3</v>
      </c>
      <c r="F2560" s="45">
        <f t="shared" si="119"/>
        <v>-3.3990246448261194E-2</v>
      </c>
      <c r="G2560" s="9">
        <f t="shared" si="120"/>
        <v>8.6069217450950464E-3</v>
      </c>
    </row>
    <row r="2561" spans="1:7" x14ac:dyDescent="0.2">
      <c r="A2561" s="12">
        <v>40609</v>
      </c>
      <c r="B2561" s="9">
        <v>1127.54</v>
      </c>
      <c r="C2561" s="9">
        <v>1105.5</v>
      </c>
      <c r="D2561" s="9">
        <v>1117.98</v>
      </c>
      <c r="E2561" s="9">
        <f t="shared" si="121"/>
        <v>5.0216214133858277E-3</v>
      </c>
      <c r="F2561" s="45">
        <f t="shared" si="119"/>
        <v>-2.7142204050376175E-2</v>
      </c>
      <c r="G2561" s="9">
        <f t="shared" si="120"/>
        <v>8.6784104117393138E-3</v>
      </c>
    </row>
    <row r="2562" spans="1:7" x14ac:dyDescent="0.2">
      <c r="A2562" s="12">
        <v>40610</v>
      </c>
      <c r="B2562" s="9">
        <v>1128.47</v>
      </c>
      <c r="C2562" s="9">
        <v>1119.08</v>
      </c>
      <c r="D2562" s="9">
        <v>1122.8900000000001</v>
      </c>
      <c r="E2562" s="9">
        <f t="shared" si="121"/>
        <v>4.3822335589502655E-3</v>
      </c>
      <c r="F2562" s="45">
        <f t="shared" si="119"/>
        <v>-2.6192622258894401E-2</v>
      </c>
      <c r="G2562" s="9">
        <f t="shared" si="120"/>
        <v>8.6964885431148314E-3</v>
      </c>
    </row>
    <row r="2563" spans="1:7" x14ac:dyDescent="0.2">
      <c r="A2563" s="12">
        <v>40611</v>
      </c>
      <c r="B2563" s="9">
        <v>1136.24</v>
      </c>
      <c r="C2563" s="9">
        <v>1123.6199999999999</v>
      </c>
      <c r="D2563" s="9">
        <v>1126.58</v>
      </c>
      <c r="E2563" s="9">
        <f t="shared" si="121"/>
        <v>3.2807757469735131E-3</v>
      </c>
      <c r="F2563" s="45">
        <f t="shared" si="119"/>
        <v>-4.1102450138217103E-2</v>
      </c>
      <c r="G2563" s="9">
        <f t="shared" si="120"/>
        <v>7.9647036890196695E-3</v>
      </c>
    </row>
    <row r="2564" spans="1:7" x14ac:dyDescent="0.2">
      <c r="A2564" s="12">
        <v>40612</v>
      </c>
      <c r="B2564" s="9">
        <v>1130.1600000000001</v>
      </c>
      <c r="C2564" s="9">
        <v>1116.04</v>
      </c>
      <c r="D2564" s="9">
        <v>1118.99</v>
      </c>
      <c r="E2564" s="9">
        <f t="shared" si="121"/>
        <v>-6.7600020517974511E-3</v>
      </c>
      <c r="F2564" s="45">
        <f t="shared" si="119"/>
        <v>-4.0903850703990378E-2</v>
      </c>
      <c r="G2564" s="9">
        <f t="shared" si="120"/>
        <v>7.9599796699329727E-3</v>
      </c>
    </row>
    <row r="2565" spans="1:7" x14ac:dyDescent="0.2">
      <c r="A2565" s="12">
        <v>40613</v>
      </c>
      <c r="B2565" s="9">
        <v>1113.3699999999999</v>
      </c>
      <c r="C2565" s="9">
        <v>1101.44</v>
      </c>
      <c r="D2565" s="9">
        <v>1102.22</v>
      </c>
      <c r="E2565" s="9">
        <f t="shared" si="121"/>
        <v>-1.5100164909868066E-2</v>
      </c>
      <c r="F2565" s="45">
        <f t="shared" si="119"/>
        <v>-4.3999608260937545E-2</v>
      </c>
      <c r="G2565" s="9">
        <f t="shared" si="120"/>
        <v>8.1211194395965584E-3</v>
      </c>
    </row>
    <row r="2566" spans="1:7" x14ac:dyDescent="0.2">
      <c r="A2566" s="12">
        <v>40616</v>
      </c>
      <c r="B2566" s="9">
        <v>1101.8699999999999</v>
      </c>
      <c r="C2566" s="9">
        <v>1089.27</v>
      </c>
      <c r="D2566" s="9">
        <v>1091.56</v>
      </c>
      <c r="E2566" s="9">
        <f t="shared" si="121"/>
        <v>-9.7184621079816035E-3</v>
      </c>
      <c r="F2566" s="45">
        <f t="shared" si="119"/>
        <v>-4.9733758741480359E-2</v>
      </c>
      <c r="G2566" s="9">
        <f t="shared" si="120"/>
        <v>8.2488924505580569E-3</v>
      </c>
    </row>
    <row r="2567" spans="1:7" x14ac:dyDescent="0.2">
      <c r="A2567" s="12">
        <v>40617</v>
      </c>
      <c r="B2567" s="9">
        <v>1073.57</v>
      </c>
      <c r="C2567" s="9">
        <v>1045.58</v>
      </c>
      <c r="D2567" s="9">
        <v>1064.5999999999999</v>
      </c>
      <c r="E2567" s="9">
        <f t="shared" si="121"/>
        <v>-2.5008723964995903E-2</v>
      </c>
      <c r="F2567" s="45">
        <f t="shared" si="119"/>
        <v>-7.4367593316250313E-2</v>
      </c>
      <c r="G2567" s="9">
        <f t="shared" si="120"/>
        <v>9.278590917282321E-3</v>
      </c>
    </row>
    <row r="2568" spans="1:7" x14ac:dyDescent="0.2">
      <c r="A2568" s="12">
        <v>40618</v>
      </c>
      <c r="B2568" s="9">
        <v>1079.71</v>
      </c>
      <c r="C2568" s="9">
        <v>1055.45</v>
      </c>
      <c r="D2568" s="9">
        <v>1055.45</v>
      </c>
      <c r="E2568" s="9">
        <f t="shared" si="121"/>
        <v>-8.6319254865773899E-3</v>
      </c>
      <c r="F2568" s="45">
        <f t="shared" si="119"/>
        <v>-6.8622028813809355E-2</v>
      </c>
      <c r="G2568" s="9">
        <f t="shared" si="120"/>
        <v>9.0817330021674084E-3</v>
      </c>
    </row>
    <row r="2569" spans="1:7" x14ac:dyDescent="0.2">
      <c r="A2569" s="12">
        <v>40619</v>
      </c>
      <c r="B2569" s="9">
        <v>1078.18</v>
      </c>
      <c r="C2569" s="9">
        <v>1061.02</v>
      </c>
      <c r="D2569" s="9">
        <v>1075.33</v>
      </c>
      <c r="E2569" s="9">
        <f t="shared" si="121"/>
        <v>1.8660374946149267E-2</v>
      </c>
      <c r="F2569" s="45">
        <f t="shared" si="119"/>
        <v>-5.7277233352732132E-2</v>
      </c>
      <c r="G2569" s="9">
        <f t="shared" si="120"/>
        <v>9.7098604187882583E-3</v>
      </c>
    </row>
    <row r="2570" spans="1:7" x14ac:dyDescent="0.2">
      <c r="A2570" s="12">
        <v>40620</v>
      </c>
      <c r="B2570" s="9">
        <v>1093.8599999999999</v>
      </c>
      <c r="C2570" s="9">
        <v>1081.2</v>
      </c>
      <c r="D2570" s="9">
        <v>1091.3699999999999</v>
      </c>
      <c r="E2570" s="9">
        <f t="shared" si="121"/>
        <v>1.4806196545544596E-2</v>
      </c>
      <c r="F2570" s="45">
        <f t="shared" si="119"/>
        <v>-4.2989028241182795E-2</v>
      </c>
      <c r="G2570" s="9">
        <f t="shared" si="120"/>
        <v>1.0172426550699405E-2</v>
      </c>
    </row>
    <row r="2571" spans="1:7" x14ac:dyDescent="0.2">
      <c r="A2571" s="12">
        <v>40623</v>
      </c>
      <c r="B2571" s="9">
        <v>1107.45</v>
      </c>
      <c r="C2571" s="9">
        <v>1100.06</v>
      </c>
      <c r="D2571" s="9">
        <v>1106.92</v>
      </c>
      <c r="E2571" s="9">
        <f t="shared" si="121"/>
        <v>1.4147595964109356E-2</v>
      </c>
      <c r="F2571" s="45">
        <f t="shared" si="119"/>
        <v>-2.9885379016559892E-2</v>
      </c>
      <c r="G2571" s="9">
        <f t="shared" si="120"/>
        <v>1.0556522631033103E-2</v>
      </c>
    </row>
    <row r="2572" spans="1:7" x14ac:dyDescent="0.2">
      <c r="A2572" s="12">
        <v>40624</v>
      </c>
      <c r="B2572" s="9">
        <v>1110.8900000000001</v>
      </c>
      <c r="C2572" s="9">
        <v>1098.18</v>
      </c>
      <c r="D2572" s="9">
        <v>1105.94</v>
      </c>
      <c r="E2572" s="9">
        <f t="shared" si="121"/>
        <v>-8.8573164508296118E-4</v>
      </c>
      <c r="F2572" s="45">
        <f t="shared" si="119"/>
        <v>-2.4023274576833158E-2</v>
      </c>
      <c r="G2572" s="9">
        <f t="shared" si="120"/>
        <v>1.0500492761887659E-2</v>
      </c>
    </row>
    <row r="2573" spans="1:7" x14ac:dyDescent="0.2">
      <c r="A2573" s="12">
        <v>40625</v>
      </c>
      <c r="B2573" s="9">
        <v>1114.72</v>
      </c>
      <c r="C2573" s="9">
        <v>1101.47</v>
      </c>
      <c r="D2573" s="9">
        <v>1113.27</v>
      </c>
      <c r="E2573" s="9">
        <f t="shared" si="121"/>
        <v>6.6059783942087986E-3</v>
      </c>
      <c r="F2573" s="45">
        <f t="shared" si="119"/>
        <v>-1.9181229504706653E-2</v>
      </c>
      <c r="G2573" s="9">
        <f t="shared" si="120"/>
        <v>1.0578199541543445E-2</v>
      </c>
    </row>
    <row r="2574" spans="1:7" x14ac:dyDescent="0.2">
      <c r="A2574" s="12">
        <v>40626</v>
      </c>
      <c r="B2574" s="9">
        <v>1127.08</v>
      </c>
      <c r="C2574" s="9">
        <v>1108.54</v>
      </c>
      <c r="D2574" s="9">
        <v>1127.08</v>
      </c>
      <c r="E2574" s="9">
        <f t="shared" si="121"/>
        <v>1.23285869791631E-2</v>
      </c>
      <c r="F2574" s="45">
        <f t="shared" si="119"/>
        <v>7.0982396395544514E-5</v>
      </c>
      <c r="G2574" s="9">
        <f t="shared" si="120"/>
        <v>1.076612207756841E-2</v>
      </c>
    </row>
    <row r="2575" spans="1:7" x14ac:dyDescent="0.2">
      <c r="A2575" s="12">
        <v>40627</v>
      </c>
      <c r="B2575" s="9">
        <v>1129.8399999999999</v>
      </c>
      <c r="C2575" s="9">
        <v>1120.51</v>
      </c>
      <c r="D2575" s="9">
        <v>1127.0999999999999</v>
      </c>
      <c r="E2575" s="9">
        <f t="shared" si="121"/>
        <v>1.7744811861186861E-5</v>
      </c>
      <c r="F2575" s="45">
        <f t="shared" si="119"/>
        <v>-1.1353984004768157E-2</v>
      </c>
      <c r="G2575" s="9">
        <f t="shared" si="120"/>
        <v>1.0547331575563918E-2</v>
      </c>
    </row>
    <row r="2576" spans="1:7" x14ac:dyDescent="0.2">
      <c r="A2576" s="12">
        <v>40630</v>
      </c>
      <c r="B2576" s="9">
        <v>1132.42</v>
      </c>
      <c r="C2576" s="9">
        <v>1122.25</v>
      </c>
      <c r="D2576" s="9">
        <v>1132.27</v>
      </c>
      <c r="E2576" s="9">
        <f t="shared" si="121"/>
        <v>4.5765049757600859E-3</v>
      </c>
      <c r="F2576" s="45">
        <f t="shared" si="119"/>
        <v>-1.5708288026518554E-3</v>
      </c>
      <c r="G2576" s="9">
        <f t="shared" si="120"/>
        <v>1.0544143556916517E-2</v>
      </c>
    </row>
    <row r="2577" spans="1:7" x14ac:dyDescent="0.2">
      <c r="A2577" s="12">
        <v>40631</v>
      </c>
      <c r="B2577" s="9">
        <v>1131.22</v>
      </c>
      <c r="C2577" s="9">
        <v>1123.54</v>
      </c>
      <c r="D2577" s="9">
        <v>1130.71</v>
      </c>
      <c r="E2577" s="9">
        <f t="shared" si="121"/>
        <v>-1.3787132428130357E-3</v>
      </c>
      <c r="F2577" s="45">
        <f t="shared" si="119"/>
        <v>4.3074480753109634E-3</v>
      </c>
      <c r="G2577" s="9">
        <f t="shared" si="120"/>
        <v>1.045992460828106E-2</v>
      </c>
    </row>
    <row r="2578" spans="1:7" x14ac:dyDescent="0.2">
      <c r="A2578" s="12">
        <v>40632</v>
      </c>
      <c r="B2578" s="9">
        <v>1140.8599999999999</v>
      </c>
      <c r="C2578" s="9">
        <v>1136.08</v>
      </c>
      <c r="D2578" s="9">
        <v>1138.06</v>
      </c>
      <c r="E2578" s="9">
        <f t="shared" si="121"/>
        <v>6.479304392759515E-3</v>
      </c>
      <c r="F2578" s="45">
        <f t="shared" si="119"/>
        <v>8.8789053157353123E-3</v>
      </c>
      <c r="G2578" s="9">
        <f t="shared" si="120"/>
        <v>1.0519641406771314E-2</v>
      </c>
    </row>
    <row r="2579" spans="1:7" x14ac:dyDescent="0.2">
      <c r="A2579" s="12">
        <v>40633</v>
      </c>
      <c r="B2579" s="9">
        <v>1138.75</v>
      </c>
      <c r="C2579" s="9">
        <v>1131.9000000000001</v>
      </c>
      <c r="D2579" s="9">
        <v>1134.8699999999999</v>
      </c>
      <c r="E2579" s="9">
        <f t="shared" si="121"/>
        <v>-2.8069514630845835E-3</v>
      </c>
      <c r="F2579" s="45">
        <f t="shared" si="119"/>
        <v>2.1536663109343459E-2</v>
      </c>
      <c r="G2579" s="9">
        <f t="shared" si="120"/>
        <v>1.011163797229064E-2</v>
      </c>
    </row>
    <row r="2580" spans="1:7" x14ac:dyDescent="0.2">
      <c r="A2580" s="12">
        <v>40634</v>
      </c>
      <c r="B2580" s="9">
        <v>1146.7</v>
      </c>
      <c r="C2580" s="9">
        <v>1133.6300000000001</v>
      </c>
      <c r="D2580" s="9">
        <v>1145.5999999999999</v>
      </c>
      <c r="E2580" s="9">
        <f t="shared" si="121"/>
        <v>9.4104102957260211E-3</v>
      </c>
      <c r="F2580" s="45">
        <f t="shared" si="119"/>
        <v>2.5076109649488847E-2</v>
      </c>
      <c r="G2580" s="9">
        <f t="shared" si="120"/>
        <v>1.0194149118522863E-2</v>
      </c>
    </row>
    <row r="2581" spans="1:7" x14ac:dyDescent="0.2">
      <c r="A2581" s="12">
        <v>40637</v>
      </c>
      <c r="B2581" s="9">
        <v>1152.73</v>
      </c>
      <c r="C2581" s="9">
        <v>1141.92</v>
      </c>
      <c r="D2581" s="9">
        <v>1151.27</v>
      </c>
      <c r="E2581" s="9">
        <f t="shared" si="121"/>
        <v>4.9371636335179261E-3</v>
      </c>
      <c r="F2581" s="45">
        <f t="shared" si="119"/>
        <v>3.2926492835197024E-2</v>
      </c>
      <c r="G2581" s="9">
        <f t="shared" si="120"/>
        <v>1.0195350967805933E-2</v>
      </c>
    </row>
    <row r="2582" spans="1:7" x14ac:dyDescent="0.2">
      <c r="A2582" s="12">
        <v>40638</v>
      </c>
      <c r="B2582" s="9">
        <v>1151.6300000000001</v>
      </c>
      <c r="C2582" s="9">
        <v>1144.56</v>
      </c>
      <c r="D2582" s="9">
        <v>1149.1300000000001</v>
      </c>
      <c r="E2582" s="9">
        <f t="shared" si="121"/>
        <v>-1.8605465287118979E-3</v>
      </c>
      <c r="F2582" s="45">
        <f t="shared" si="119"/>
        <v>3.2530239822044608E-2</v>
      </c>
      <c r="G2582" s="9">
        <f t="shared" si="120"/>
        <v>1.0199040384456579E-2</v>
      </c>
    </row>
    <row r="2583" spans="1:7" x14ac:dyDescent="0.2">
      <c r="A2583" s="12">
        <v>40639</v>
      </c>
      <c r="B2583" s="9">
        <v>1157.6099999999999</v>
      </c>
      <c r="C2583" s="9">
        <v>1145.4100000000001</v>
      </c>
      <c r="D2583" s="9">
        <v>1156.52</v>
      </c>
      <c r="E2583" s="9">
        <f t="shared" si="121"/>
        <v>6.4103617689243997E-3</v>
      </c>
      <c r="F2583" s="45">
        <f t="shared" si="119"/>
        <v>5.1861402765858662E-2</v>
      </c>
      <c r="G2583" s="9">
        <f t="shared" si="120"/>
        <v>9.8896642901047261E-3</v>
      </c>
    </row>
    <row r="2584" spans="1:7" x14ac:dyDescent="0.2">
      <c r="A2584" s="12">
        <v>40640</v>
      </c>
      <c r="B2584" s="9">
        <v>1154.6500000000001</v>
      </c>
      <c r="C2584" s="9">
        <v>1144.27</v>
      </c>
      <c r="D2584" s="9">
        <v>1145.56</v>
      </c>
      <c r="E2584" s="9">
        <f t="shared" si="121"/>
        <v>-9.5218956844325547E-3</v>
      </c>
      <c r="F2584" s="45">
        <f t="shared" si="119"/>
        <v>3.8494694426409418E-2</v>
      </c>
      <c r="G2584" s="9">
        <f t="shared" si="120"/>
        <v>1.0090113004778106E-2</v>
      </c>
    </row>
    <row r="2585" spans="1:7" x14ac:dyDescent="0.2">
      <c r="A2585" s="12">
        <v>40641</v>
      </c>
      <c r="B2585" s="9">
        <v>1152.99</v>
      </c>
      <c r="C2585" s="9">
        <v>1145.2</v>
      </c>
      <c r="D2585" s="9">
        <v>1151.3699999999999</v>
      </c>
      <c r="E2585" s="9">
        <f t="shared" si="121"/>
        <v>5.0589372694838479E-3</v>
      </c>
      <c r="F2585" s="45">
        <f t="shared" si="119"/>
        <v>3.049403885187147E-2</v>
      </c>
      <c r="G2585" s="9">
        <f t="shared" si="120"/>
        <v>9.8714835156410736E-3</v>
      </c>
    </row>
    <row r="2586" spans="1:7" x14ac:dyDescent="0.2">
      <c r="A2586" s="12">
        <v>40644</v>
      </c>
      <c r="B2586" s="9">
        <v>1152.54</v>
      </c>
      <c r="C2586" s="9">
        <v>1145.98</v>
      </c>
      <c r="D2586" s="9">
        <v>1148.69</v>
      </c>
      <c r="E2586" s="9">
        <f t="shared" si="121"/>
        <v>-2.3303750448635811E-3</v>
      </c>
      <c r="F2586" s="45">
        <f t="shared" si="119"/>
        <v>1.7591074287314965E-2</v>
      </c>
      <c r="G2586" s="9">
        <f t="shared" si="120"/>
        <v>9.7207062434098591E-3</v>
      </c>
    </row>
    <row r="2587" spans="1:7" x14ac:dyDescent="0.2">
      <c r="A2587" s="12">
        <v>40645</v>
      </c>
      <c r="B2587" s="9">
        <v>1143.94</v>
      </c>
      <c r="C2587" s="9">
        <v>1128.9000000000001</v>
      </c>
      <c r="D2587" s="9">
        <v>1131.72</v>
      </c>
      <c r="E2587" s="9">
        <f t="shared" si="121"/>
        <v>-1.4883563276505573E-2</v>
      </c>
      <c r="F2587" s="45">
        <f t="shared" si="119"/>
        <v>1.1160195445357587E-2</v>
      </c>
      <c r="G2587" s="9">
        <f t="shared" si="120"/>
        <v>9.9939767129750764E-3</v>
      </c>
    </row>
    <row r="2588" spans="1:7" x14ac:dyDescent="0.2">
      <c r="A2588" s="12">
        <v>40646</v>
      </c>
      <c r="B2588" s="9">
        <v>1141.42</v>
      </c>
      <c r="C2588" s="9">
        <v>1134.47</v>
      </c>
      <c r="D2588" s="9">
        <v>1137.8699999999999</v>
      </c>
      <c r="E2588" s="9">
        <f t="shared" si="121"/>
        <v>5.4194943162317799E-3</v>
      </c>
      <c r="F2588" s="45">
        <f t="shared" si="119"/>
        <v>3.0571469103869969E-2</v>
      </c>
      <c r="G2588" s="9">
        <f t="shared" si="120"/>
        <v>9.654561931226489E-3</v>
      </c>
    </row>
    <row r="2589" spans="1:7" x14ac:dyDescent="0.2">
      <c r="A2589" s="12">
        <v>40647</v>
      </c>
      <c r="B2589" s="9">
        <v>1135.3900000000001</v>
      </c>
      <c r="C2589" s="9">
        <v>1122.9000000000001</v>
      </c>
      <c r="D2589" s="9">
        <v>1129.8800000000001</v>
      </c>
      <c r="E2589" s="9">
        <f t="shared" si="121"/>
        <v>-7.0466612829601146E-3</v>
      </c>
      <c r="F2589" s="45">
        <f t="shared" si="119"/>
        <v>1.7030955944421073E-2</v>
      </c>
      <c r="G2589" s="9">
        <f t="shared" si="120"/>
        <v>9.7061607078327335E-3</v>
      </c>
    </row>
    <row r="2590" spans="1:7" x14ac:dyDescent="0.2">
      <c r="A2590" s="12">
        <v>40648</v>
      </c>
      <c r="B2590" s="9">
        <v>1131.1199999999999</v>
      </c>
      <c r="C2590" s="9">
        <v>1121.44</v>
      </c>
      <c r="D2590" s="9">
        <v>1123.81</v>
      </c>
      <c r="E2590" s="9">
        <f t="shared" si="121"/>
        <v>-5.38673435806338E-3</v>
      </c>
      <c r="F2590" s="45">
        <f t="shared" si="119"/>
        <v>1.0222833965011781E-2</v>
      </c>
      <c r="G2590" s="9">
        <f t="shared" si="120"/>
        <v>9.7649241806822551E-3</v>
      </c>
    </row>
    <row r="2591" spans="1:7" x14ac:dyDescent="0.2">
      <c r="A2591" s="12">
        <v>40651</v>
      </c>
      <c r="B2591" s="9">
        <v>1125.3800000000001</v>
      </c>
      <c r="C2591" s="9">
        <v>1105.01</v>
      </c>
      <c r="D2591" s="9">
        <v>1106.79</v>
      </c>
      <c r="E2591" s="9">
        <f t="shared" si="121"/>
        <v>-1.5260764203065066E-2</v>
      </c>
      <c r="F2591" s="45">
        <f t="shared" si="119"/>
        <v>-1.0059551651439225E-2</v>
      </c>
      <c r="G2591" s="9">
        <f t="shared" si="120"/>
        <v>1.0125153413312276E-2</v>
      </c>
    </row>
    <row r="2592" spans="1:7" x14ac:dyDescent="0.2">
      <c r="A2592" s="12">
        <v>40652</v>
      </c>
      <c r="B2592" s="9">
        <v>1124.75</v>
      </c>
      <c r="C2592" s="9">
        <v>1109.5</v>
      </c>
      <c r="D2592" s="9">
        <v>1116.8399999999999</v>
      </c>
      <c r="E2592" s="9">
        <f t="shared" si="121"/>
        <v>9.0393351696823106E-3</v>
      </c>
      <c r="F2592" s="45">
        <f t="shared" si="119"/>
        <v>-5.4024500407071968E-3</v>
      </c>
      <c r="G2592" s="9">
        <f t="shared" si="120"/>
        <v>1.0235080137866092E-2</v>
      </c>
    </row>
    <row r="2593" spans="1:7" x14ac:dyDescent="0.2">
      <c r="A2593" s="12">
        <v>40653</v>
      </c>
      <c r="B2593" s="9">
        <v>1141.5899999999999</v>
      </c>
      <c r="C2593" s="9">
        <v>1125.25</v>
      </c>
      <c r="D2593" s="9">
        <v>1140.58</v>
      </c>
      <c r="E2593" s="9">
        <f t="shared" si="121"/>
        <v>2.103363595218952E-2</v>
      </c>
      <c r="F2593" s="45">
        <f t="shared" ref="F2593:F2656" si="122">LN(D2593/D2563)</f>
        <v>1.2350410164508864E-2</v>
      </c>
      <c r="G2593" s="9">
        <f t="shared" ref="G2593:G2656" si="123">STDEV(E2564:E2593)</f>
        <v>1.0931586486855875E-2</v>
      </c>
    </row>
    <row r="2594" spans="1:7" x14ac:dyDescent="0.2">
      <c r="A2594" s="12">
        <v>40654</v>
      </c>
      <c r="B2594" s="9">
        <v>1144.6199999999999</v>
      </c>
      <c r="C2594" s="9">
        <v>1137.5999999999999</v>
      </c>
      <c r="D2594" s="9">
        <v>1141.1300000000001</v>
      </c>
      <c r="E2594" s="9">
        <f t="shared" si="121"/>
        <v>4.8209457876104562E-4</v>
      </c>
      <c r="F2594" s="45">
        <f t="shared" si="122"/>
        <v>1.9592506795067466E-2</v>
      </c>
      <c r="G2594" s="9">
        <f t="shared" si="123"/>
        <v>1.0847392146261481E-2</v>
      </c>
    </row>
    <row r="2595" spans="1:7" x14ac:dyDescent="0.2">
      <c r="A2595" s="12">
        <v>40659</v>
      </c>
      <c r="B2595" s="9">
        <v>1153.9100000000001</v>
      </c>
      <c r="C2595" s="9">
        <v>1139.04</v>
      </c>
      <c r="D2595" s="9">
        <v>1153.46</v>
      </c>
      <c r="E2595" s="9">
        <f t="shared" si="121"/>
        <v>1.0747121426187133E-2</v>
      </c>
      <c r="F2595" s="45">
        <f t="shared" si="122"/>
        <v>4.5439793131122834E-2</v>
      </c>
      <c r="G2595" s="9">
        <f t="shared" si="123"/>
        <v>1.0576106660830011E-2</v>
      </c>
    </row>
    <row r="2596" spans="1:7" x14ac:dyDescent="0.2">
      <c r="A2596" s="12">
        <v>40660</v>
      </c>
      <c r="B2596" s="9">
        <v>1162.4000000000001</v>
      </c>
      <c r="C2596" s="9">
        <v>1149.25</v>
      </c>
      <c r="D2596" s="9">
        <v>1154.47</v>
      </c>
      <c r="E2596" s="9">
        <f t="shared" si="121"/>
        <v>8.7524323915881411E-4</v>
      </c>
      <c r="F2596" s="45">
        <f t="shared" si="122"/>
        <v>5.603349847826334E-2</v>
      </c>
      <c r="G2596" s="9">
        <f t="shared" si="123"/>
        <v>1.0362817934652558E-2</v>
      </c>
    </row>
    <row r="2597" spans="1:7" x14ac:dyDescent="0.2">
      <c r="A2597" s="12">
        <v>40661</v>
      </c>
      <c r="B2597" s="9">
        <v>1161.46</v>
      </c>
      <c r="C2597" s="9">
        <v>1148.43</v>
      </c>
      <c r="D2597" s="9">
        <v>1161.46</v>
      </c>
      <c r="E2597" s="9">
        <f t="shared" si="121"/>
        <v>6.0364702091069943E-3</v>
      </c>
      <c r="F2597" s="45">
        <f t="shared" si="122"/>
        <v>8.7078692652366244E-2</v>
      </c>
      <c r="G2597" s="9">
        <f t="shared" si="123"/>
        <v>9.053778744366428E-3</v>
      </c>
    </row>
    <row r="2598" spans="1:7" x14ac:dyDescent="0.2">
      <c r="A2598" s="12">
        <v>40662</v>
      </c>
      <c r="B2598" s="9">
        <v>1163.06</v>
      </c>
      <c r="C2598" s="9">
        <v>1154.6600000000001</v>
      </c>
      <c r="D2598" s="9">
        <v>1162.8399999999999</v>
      </c>
      <c r="E2598" s="9">
        <f t="shared" si="121"/>
        <v>1.1874544268429051E-3</v>
      </c>
      <c r="F2598" s="45">
        <f t="shared" si="122"/>
        <v>9.68980725657866E-2</v>
      </c>
      <c r="G2598" s="9">
        <f t="shared" si="123"/>
        <v>8.796234230151535E-3</v>
      </c>
    </row>
    <row r="2599" spans="1:7" x14ac:dyDescent="0.2">
      <c r="A2599" s="12">
        <v>40665</v>
      </c>
      <c r="B2599" s="9">
        <v>1167.0999999999999</v>
      </c>
      <c r="C2599" s="9">
        <v>1158.8399999999999</v>
      </c>
      <c r="D2599" s="9">
        <v>1163.46</v>
      </c>
      <c r="E2599" s="9">
        <f t="shared" si="121"/>
        <v>5.3303530471563896E-4</v>
      </c>
      <c r="F2599" s="45">
        <f t="shared" si="122"/>
        <v>7.8770732924352924E-2</v>
      </c>
      <c r="G2599" s="9">
        <f t="shared" si="123"/>
        <v>8.3088233793788911E-3</v>
      </c>
    </row>
    <row r="2600" spans="1:7" x14ac:dyDescent="0.2">
      <c r="A2600" s="12">
        <v>40666</v>
      </c>
      <c r="B2600" s="9">
        <v>1162</v>
      </c>
      <c r="C2600" s="9">
        <v>1146.72</v>
      </c>
      <c r="D2600" s="9">
        <v>1153.8699999999999</v>
      </c>
      <c r="E2600" s="9">
        <f t="shared" si="121"/>
        <v>-8.2768140466573069E-3</v>
      </c>
      <c r="F2600" s="45">
        <f t="shared" si="122"/>
        <v>5.5687722332150982E-2</v>
      </c>
      <c r="G2600" s="9">
        <f t="shared" si="123"/>
        <v>8.2101679852945187E-3</v>
      </c>
    </row>
    <row r="2601" spans="1:7" x14ac:dyDescent="0.2">
      <c r="A2601" s="12">
        <v>40667</v>
      </c>
      <c r="B2601" s="9">
        <v>1160.9100000000001</v>
      </c>
      <c r="C2601" s="9">
        <v>1146.44</v>
      </c>
      <c r="D2601" s="9">
        <v>1148.6400000000001</v>
      </c>
      <c r="E2601" s="9">
        <f t="shared" si="121"/>
        <v>-4.542876247751384E-3</v>
      </c>
      <c r="F2601" s="45">
        <f t="shared" si="122"/>
        <v>3.6997250120290127E-2</v>
      </c>
      <c r="G2601" s="9">
        <f t="shared" si="123"/>
        <v>7.9503336339243995E-3</v>
      </c>
    </row>
    <row r="2602" spans="1:7" x14ac:dyDescent="0.2">
      <c r="A2602" s="12">
        <v>40668</v>
      </c>
      <c r="B2602" s="9">
        <v>1153.06</v>
      </c>
      <c r="C2602" s="9">
        <v>1139.8900000000001</v>
      </c>
      <c r="D2602" s="9">
        <v>1148.83</v>
      </c>
      <c r="E2602" s="9">
        <f t="shared" si="121"/>
        <v>1.6539933094497405E-4</v>
      </c>
      <c r="F2602" s="45">
        <f t="shared" si="122"/>
        <v>3.8048381096318182E-2</v>
      </c>
      <c r="G2602" s="9">
        <f t="shared" si="123"/>
        <v>7.9429859580622333E-3</v>
      </c>
    </row>
    <row r="2603" spans="1:7" x14ac:dyDescent="0.2">
      <c r="A2603" s="12">
        <v>40669</v>
      </c>
      <c r="B2603" s="9">
        <v>1159.33</v>
      </c>
      <c r="C2603" s="9">
        <v>1140.3800000000001</v>
      </c>
      <c r="D2603" s="9">
        <v>1157.83</v>
      </c>
      <c r="E2603" s="9">
        <f t="shared" si="121"/>
        <v>7.8035303610139353E-3</v>
      </c>
      <c r="F2603" s="45">
        <f t="shared" si="122"/>
        <v>3.9245933063123094E-2</v>
      </c>
      <c r="G2603" s="9">
        <f t="shared" si="123"/>
        <v>7.9736860819152443E-3</v>
      </c>
    </row>
    <row r="2604" spans="1:7" x14ac:dyDescent="0.2">
      <c r="A2604" s="12">
        <v>40672</v>
      </c>
      <c r="B2604" s="9">
        <v>1160.96</v>
      </c>
      <c r="C2604" s="9">
        <v>1150.19</v>
      </c>
      <c r="D2604" s="9">
        <v>1157.1300000000001</v>
      </c>
      <c r="E2604" s="9">
        <f t="shared" si="121"/>
        <v>-6.0476208775483292E-4</v>
      </c>
      <c r="F2604" s="45">
        <f t="shared" si="122"/>
        <v>2.6312583996205206E-2</v>
      </c>
      <c r="G2604" s="9">
        <f t="shared" si="123"/>
        <v>7.7023174793974776E-3</v>
      </c>
    </row>
    <row r="2605" spans="1:7" x14ac:dyDescent="0.2">
      <c r="A2605" s="12">
        <v>40673</v>
      </c>
      <c r="B2605" s="9">
        <v>1167.72</v>
      </c>
      <c r="C2605" s="9">
        <v>1158.46</v>
      </c>
      <c r="D2605" s="9">
        <v>1167.53</v>
      </c>
      <c r="E2605" s="9">
        <f t="shared" si="121"/>
        <v>8.9476047120180084E-3</v>
      </c>
      <c r="F2605" s="45">
        <f t="shared" si="122"/>
        <v>3.524244389636226E-2</v>
      </c>
      <c r="G2605" s="9">
        <f t="shared" si="123"/>
        <v>7.8392950614329607E-3</v>
      </c>
    </row>
    <row r="2606" spans="1:7" x14ac:dyDescent="0.2">
      <c r="A2606" s="12">
        <v>40674</v>
      </c>
      <c r="B2606" s="9">
        <v>1175.08</v>
      </c>
      <c r="C2606" s="9">
        <v>1167.1500000000001</v>
      </c>
      <c r="D2606" s="9">
        <v>1173.79</v>
      </c>
      <c r="E2606" s="9">
        <f t="shared" si="121"/>
        <v>5.3474236046498428E-3</v>
      </c>
      <c r="F2606" s="45">
        <f t="shared" si="122"/>
        <v>3.601336252525203E-2</v>
      </c>
      <c r="G2606" s="9">
        <f t="shared" si="123"/>
        <v>7.8520836795467307E-3</v>
      </c>
    </row>
    <row r="2607" spans="1:7" x14ac:dyDescent="0.2">
      <c r="A2607" s="12">
        <v>40675</v>
      </c>
      <c r="B2607" s="9">
        <v>1169.0899999999999</v>
      </c>
      <c r="C2607" s="9">
        <v>1161.23</v>
      </c>
      <c r="D2607" s="9">
        <v>1166.53</v>
      </c>
      <c r="E2607" s="9">
        <f t="shared" si="121"/>
        <v>-6.2042996585529413E-3</v>
      </c>
      <c r="F2607" s="45">
        <f t="shared" si="122"/>
        <v>3.1187776109512164E-2</v>
      </c>
      <c r="G2607" s="9">
        <f t="shared" si="123"/>
        <v>7.9554867338006586E-3</v>
      </c>
    </row>
    <row r="2608" spans="1:7" x14ac:dyDescent="0.2">
      <c r="A2608" s="12">
        <v>40676</v>
      </c>
      <c r="B2608" s="9">
        <v>1171.8399999999999</v>
      </c>
      <c r="C2608" s="9">
        <v>1164.42</v>
      </c>
      <c r="D2608" s="9">
        <v>1166.54</v>
      </c>
      <c r="E2608" s="9">
        <f t="shared" si="121"/>
        <v>8.5723960276563306E-6</v>
      </c>
      <c r="F2608" s="45">
        <f t="shared" si="122"/>
        <v>2.4717044112780185E-2</v>
      </c>
      <c r="G2608" s="9">
        <f t="shared" si="123"/>
        <v>7.890369871034357E-3</v>
      </c>
    </row>
    <row r="2609" spans="1:7" x14ac:dyDescent="0.2">
      <c r="A2609" s="12">
        <v>40679</v>
      </c>
      <c r="B2609" s="9">
        <v>1173.48</v>
      </c>
      <c r="C2609" s="9">
        <v>1158.83</v>
      </c>
      <c r="D2609" s="9">
        <v>1173.48</v>
      </c>
      <c r="E2609" s="9">
        <f t="shared" si="121"/>
        <v>5.9315906256643455E-3</v>
      </c>
      <c r="F2609" s="45">
        <f t="shared" si="122"/>
        <v>3.3455586201529025E-2</v>
      </c>
      <c r="G2609" s="9">
        <f t="shared" si="123"/>
        <v>7.9129752804991717E-3</v>
      </c>
    </row>
    <row r="2610" spans="1:7" x14ac:dyDescent="0.2">
      <c r="A2610" s="12">
        <v>40680</v>
      </c>
      <c r="B2610" s="9">
        <v>1171.46</v>
      </c>
      <c r="C2610" s="9">
        <v>1157.68</v>
      </c>
      <c r="D2610" s="9">
        <v>1157.68</v>
      </c>
      <c r="E2610" s="9">
        <f t="shared" si="121"/>
        <v>-1.3555690682446737E-2</v>
      </c>
      <c r="F2610" s="45">
        <f t="shared" si="122"/>
        <v>1.0489485223356111E-2</v>
      </c>
      <c r="G2610" s="9">
        <f t="shared" si="123"/>
        <v>8.188896285311574E-3</v>
      </c>
    </row>
    <row r="2611" spans="1:7" x14ac:dyDescent="0.2">
      <c r="A2611" s="12">
        <v>40681</v>
      </c>
      <c r="B2611" s="9">
        <v>1165.43</v>
      </c>
      <c r="C2611" s="9">
        <v>1157</v>
      </c>
      <c r="D2611" s="9">
        <v>1158.06</v>
      </c>
      <c r="E2611" s="9">
        <f t="shared" si="121"/>
        <v>3.2818883243427151E-4</v>
      </c>
      <c r="F2611" s="45">
        <f t="shared" si="122"/>
        <v>5.8805104222724152E-3</v>
      </c>
      <c r="G2611" s="9">
        <f t="shared" si="123"/>
        <v>8.1429676349028604E-3</v>
      </c>
    </row>
    <row r="2612" spans="1:7" x14ac:dyDescent="0.2">
      <c r="A2612" s="12">
        <v>40682</v>
      </c>
      <c r="B2612" s="9">
        <v>1168.95</v>
      </c>
      <c r="C2612" s="9">
        <v>1160.04</v>
      </c>
      <c r="D2612" s="9">
        <v>1166.1500000000001</v>
      </c>
      <c r="E2612" s="9">
        <f t="shared" si="121"/>
        <v>6.9615333141811288E-3</v>
      </c>
      <c r="F2612" s="45">
        <f t="shared" si="122"/>
        <v>1.470259026516558E-2</v>
      </c>
      <c r="G2612" s="9">
        <f t="shared" si="123"/>
        <v>8.2250210969205279E-3</v>
      </c>
    </row>
    <row r="2613" spans="1:7" x14ac:dyDescent="0.2">
      <c r="A2613" s="12">
        <v>40683</v>
      </c>
      <c r="B2613" s="9">
        <v>1173.1199999999999</v>
      </c>
      <c r="C2613" s="9">
        <v>1163.76</v>
      </c>
      <c r="D2613" s="9">
        <v>1167.07</v>
      </c>
      <c r="E2613" s="9">
        <f t="shared" si="121"/>
        <v>7.8860977334272006E-4</v>
      </c>
      <c r="F2613" s="45">
        <f t="shared" si="122"/>
        <v>9.0808382695837849E-3</v>
      </c>
      <c r="G2613" s="9">
        <f t="shared" si="123"/>
        <v>8.1491784535349752E-3</v>
      </c>
    </row>
    <row r="2614" spans="1:7" x14ac:dyDescent="0.2">
      <c r="A2614" s="12">
        <v>40686</v>
      </c>
      <c r="B2614" s="9">
        <v>1154.68</v>
      </c>
      <c r="C2614" s="9">
        <v>1137.69</v>
      </c>
      <c r="D2614" s="9">
        <v>1137.69</v>
      </c>
      <c r="E2614" s="9">
        <f t="shared" si="121"/>
        <v>-2.5496443506009773E-2</v>
      </c>
      <c r="F2614" s="45">
        <f t="shared" si="122"/>
        <v>-6.8937095519933803E-3</v>
      </c>
      <c r="G2614" s="9">
        <f t="shared" si="123"/>
        <v>9.259535479645321E-3</v>
      </c>
    </row>
    <row r="2615" spans="1:7" x14ac:dyDescent="0.2">
      <c r="A2615" s="12">
        <v>40687</v>
      </c>
      <c r="B2615" s="9">
        <v>1146.1600000000001</v>
      </c>
      <c r="C2615" s="9">
        <v>1134.97</v>
      </c>
      <c r="D2615" s="9">
        <v>1134.97</v>
      </c>
      <c r="E2615" s="9">
        <f t="shared" si="121"/>
        <v>-2.3936719955683101E-3</v>
      </c>
      <c r="F2615" s="45">
        <f t="shared" si="122"/>
        <v>-1.4346318817045529E-2</v>
      </c>
      <c r="G2615" s="9">
        <f t="shared" si="123"/>
        <v>9.2126062181387934E-3</v>
      </c>
    </row>
    <row r="2616" spans="1:7" x14ac:dyDescent="0.2">
      <c r="A2616" s="12">
        <v>40688</v>
      </c>
      <c r="B2616" s="9">
        <v>1152.48</v>
      </c>
      <c r="C2616" s="9">
        <v>1126.05</v>
      </c>
      <c r="D2616" s="9">
        <v>1151.92</v>
      </c>
      <c r="E2616" s="9">
        <f t="shared" si="121"/>
        <v>1.4823896551897807E-2</v>
      </c>
      <c r="F2616" s="45">
        <f t="shared" si="122"/>
        <v>2.8079527797158469E-3</v>
      </c>
      <c r="G2616" s="9">
        <f t="shared" si="123"/>
        <v>9.6171654901363469E-3</v>
      </c>
    </row>
    <row r="2617" spans="1:7" x14ac:dyDescent="0.2">
      <c r="A2617" s="12">
        <v>40689</v>
      </c>
      <c r="B2617" s="9">
        <v>1157.52</v>
      </c>
      <c r="C2617" s="9">
        <v>1139.92</v>
      </c>
      <c r="D2617" s="9">
        <v>1140.4000000000001</v>
      </c>
      <c r="E2617" s="9">
        <f t="shared" si="121"/>
        <v>-1.0051037361498049E-2</v>
      </c>
      <c r="F2617" s="45">
        <f t="shared" si="122"/>
        <v>7.6404786947231202E-3</v>
      </c>
      <c r="G2617" s="9">
        <f t="shared" si="123"/>
        <v>9.3955714236240162E-3</v>
      </c>
    </row>
    <row r="2618" spans="1:7" x14ac:dyDescent="0.2">
      <c r="A2618" s="12">
        <v>40690</v>
      </c>
      <c r="B2618" s="9">
        <v>1152.52</v>
      </c>
      <c r="C2618" s="9">
        <v>1141.95</v>
      </c>
      <c r="D2618" s="9">
        <v>1149.1199999999999</v>
      </c>
      <c r="E2618" s="9">
        <f t="shared" si="121"/>
        <v>7.6173539992008361E-3</v>
      </c>
      <c r="F2618" s="45">
        <f t="shared" si="122"/>
        <v>9.8383383776922372E-3</v>
      </c>
      <c r="G2618" s="9">
        <f t="shared" si="123"/>
        <v>9.4456681173490202E-3</v>
      </c>
    </row>
    <row r="2619" spans="1:7" x14ac:dyDescent="0.2">
      <c r="A2619" s="12">
        <v>40693</v>
      </c>
      <c r="B2619" s="9">
        <v>1155.31</v>
      </c>
      <c r="C2619" s="9">
        <v>1143.79</v>
      </c>
      <c r="D2619" s="9">
        <v>1146.4100000000001</v>
      </c>
      <c r="E2619" s="9">
        <f t="shared" si="121"/>
        <v>-2.3611116029729502E-3</v>
      </c>
      <c r="F2619" s="45">
        <f t="shared" si="122"/>
        <v>1.452388805767957E-2</v>
      </c>
      <c r="G2619" s="9">
        <f t="shared" si="123"/>
        <v>9.3578533089426902E-3</v>
      </c>
    </row>
    <row r="2620" spans="1:7" x14ac:dyDescent="0.2">
      <c r="A2620" s="12">
        <v>40694</v>
      </c>
      <c r="B2620" s="9">
        <v>1158.4000000000001</v>
      </c>
      <c r="C2620" s="9">
        <v>1148.96</v>
      </c>
      <c r="D2620" s="9">
        <v>1151.3599999999999</v>
      </c>
      <c r="E2620" s="9">
        <f t="shared" si="121"/>
        <v>4.3085318873684305E-3</v>
      </c>
      <c r="F2620" s="45">
        <f t="shared" si="122"/>
        <v>2.4219154303111376E-2</v>
      </c>
      <c r="G2620" s="9">
        <f t="shared" si="123"/>
        <v>9.315428200653281E-3</v>
      </c>
    </row>
    <row r="2621" spans="1:7" x14ac:dyDescent="0.2">
      <c r="A2621" s="12">
        <v>40695</v>
      </c>
      <c r="B2621" s="9">
        <v>1161.49</v>
      </c>
      <c r="C2621" s="9">
        <v>1151.48</v>
      </c>
      <c r="D2621" s="9">
        <v>1159.47</v>
      </c>
      <c r="E2621" s="9">
        <f t="shared" si="121"/>
        <v>7.0191518175391791E-3</v>
      </c>
      <c r="F2621" s="45">
        <f t="shared" si="122"/>
        <v>4.6499070323715627E-2</v>
      </c>
      <c r="G2621" s="9">
        <f t="shared" si="123"/>
        <v>8.8676019622510628E-3</v>
      </c>
    </row>
    <row r="2622" spans="1:7" x14ac:dyDescent="0.2">
      <c r="A2622" s="12">
        <v>40697</v>
      </c>
      <c r="B2622" s="9">
        <v>1146.99</v>
      </c>
      <c r="C2622" s="9">
        <v>1129.3399999999999</v>
      </c>
      <c r="D2622" s="9">
        <v>1133.67</v>
      </c>
      <c r="E2622" s="9">
        <f t="shared" si="121"/>
        <v>-2.2502846493216596E-2</v>
      </c>
      <c r="F2622" s="45">
        <f t="shared" si="122"/>
        <v>1.495688866081691E-2</v>
      </c>
      <c r="G2622" s="9">
        <f t="shared" si="123"/>
        <v>9.7727281682640291E-3</v>
      </c>
    </row>
    <row r="2623" spans="1:7" x14ac:dyDescent="0.2">
      <c r="A2623" s="12">
        <v>40701</v>
      </c>
      <c r="B2623" s="9">
        <v>1137.74</v>
      </c>
      <c r="C2623" s="9">
        <v>1126.6500000000001</v>
      </c>
      <c r="D2623" s="9">
        <v>1128.8599999999999</v>
      </c>
      <c r="E2623" s="9">
        <f t="shared" ref="E2623:E2686" si="124">LN(D2623/D2622)</f>
        <v>-4.2518837288076103E-3</v>
      </c>
      <c r="F2623" s="45">
        <f t="shared" si="122"/>
        <v>-1.0328631020180409E-2</v>
      </c>
      <c r="G2623" s="9">
        <f t="shared" si="123"/>
        <v>9.0004709906173989E-3</v>
      </c>
    </row>
    <row r="2624" spans="1:7" x14ac:dyDescent="0.2">
      <c r="A2624" s="12">
        <v>40702</v>
      </c>
      <c r="B2624" s="9">
        <v>1127.5</v>
      </c>
      <c r="C2624" s="9">
        <v>1102.96</v>
      </c>
      <c r="D2624" s="9">
        <v>1102.96</v>
      </c>
      <c r="E2624" s="9">
        <f t="shared" si="124"/>
        <v>-2.3210799054254962E-2</v>
      </c>
      <c r="F2624" s="45">
        <f t="shared" si="122"/>
        <v>-3.4021524653196536E-2</v>
      </c>
      <c r="G2624" s="9">
        <f t="shared" si="123"/>
        <v>9.9181625865842112E-3</v>
      </c>
    </row>
    <row r="2625" spans="1:7" x14ac:dyDescent="0.2">
      <c r="A2625" s="12">
        <v>40703</v>
      </c>
      <c r="B2625" s="9">
        <v>1117.19</v>
      </c>
      <c r="C2625" s="9">
        <v>1098.19</v>
      </c>
      <c r="D2625" s="9">
        <v>1112.25</v>
      </c>
      <c r="E2625" s="9">
        <f t="shared" si="124"/>
        <v>8.3875158227776463E-3</v>
      </c>
      <c r="F2625" s="45">
        <f t="shared" si="122"/>
        <v>-3.6381130256606171E-2</v>
      </c>
      <c r="G2625" s="9">
        <f t="shared" si="123"/>
        <v>9.8296541311759314E-3</v>
      </c>
    </row>
    <row r="2626" spans="1:7" x14ac:dyDescent="0.2">
      <c r="A2626" s="12">
        <v>40704</v>
      </c>
      <c r="B2626" s="9">
        <v>1113.58</v>
      </c>
      <c r="C2626" s="9">
        <v>1091.51</v>
      </c>
      <c r="D2626" s="9">
        <v>1095.69</v>
      </c>
      <c r="E2626" s="9">
        <f t="shared" si="124"/>
        <v>-1.500068890219536E-2</v>
      </c>
      <c r="F2626" s="45">
        <f t="shared" si="122"/>
        <v>-5.2257062397960269E-2</v>
      </c>
      <c r="G2626" s="9">
        <f t="shared" si="123"/>
        <v>1.0135952391454827E-2</v>
      </c>
    </row>
    <row r="2627" spans="1:7" x14ac:dyDescent="0.2">
      <c r="A2627" s="12">
        <v>40707</v>
      </c>
      <c r="B2627" s="9">
        <v>1098.3800000000001</v>
      </c>
      <c r="C2627" s="9">
        <v>1086.97</v>
      </c>
      <c r="D2627" s="9">
        <v>1089.92</v>
      </c>
      <c r="E2627" s="9">
        <f t="shared" si="124"/>
        <v>-5.2800027496869642E-3</v>
      </c>
      <c r="F2627" s="45">
        <f t="shared" si="122"/>
        <v>-6.3573535356754377E-2</v>
      </c>
      <c r="G2627" s="9">
        <f t="shared" si="123"/>
        <v>1.0046675079516889E-2</v>
      </c>
    </row>
    <row r="2628" spans="1:7" x14ac:dyDescent="0.2">
      <c r="A2628" s="12">
        <v>40708</v>
      </c>
      <c r="B2628" s="9">
        <v>1111.53</v>
      </c>
      <c r="C2628" s="9">
        <v>1097.8800000000001</v>
      </c>
      <c r="D2628" s="9">
        <v>1106.49</v>
      </c>
      <c r="E2628" s="9">
        <f t="shared" si="124"/>
        <v>1.5088543910348601E-2</v>
      </c>
      <c r="F2628" s="45">
        <f t="shared" si="122"/>
        <v>-4.9672445873248615E-2</v>
      </c>
      <c r="G2628" s="9">
        <f t="shared" si="123"/>
        <v>1.0514134303470543E-2</v>
      </c>
    </row>
    <row r="2629" spans="1:7" x14ac:dyDescent="0.2">
      <c r="A2629" s="12">
        <v>40709</v>
      </c>
      <c r="B2629" s="9">
        <v>1104.81</v>
      </c>
      <c r="C2629" s="9">
        <v>1087.18</v>
      </c>
      <c r="D2629" s="9">
        <v>1089.3800000000001</v>
      </c>
      <c r="E2629" s="9">
        <f t="shared" si="124"/>
        <v>-1.5584115893142715E-2</v>
      </c>
      <c r="F2629" s="45">
        <f t="shared" si="122"/>
        <v>-6.5789597071106862E-2</v>
      </c>
      <c r="G2629" s="9">
        <f t="shared" si="123"/>
        <v>1.0806150046187728E-2</v>
      </c>
    </row>
    <row r="2630" spans="1:7" x14ac:dyDescent="0.2">
      <c r="A2630" s="12">
        <v>40710</v>
      </c>
      <c r="B2630" s="9">
        <v>1081.74</v>
      </c>
      <c r="C2630" s="9">
        <v>1064.67</v>
      </c>
      <c r="D2630" s="9">
        <v>1078.5</v>
      </c>
      <c r="E2630" s="9">
        <f t="shared" si="124"/>
        <v>-1.003754022226367E-2</v>
      </c>
      <c r="F2630" s="45">
        <f t="shared" si="122"/>
        <v>-6.7550323246713256E-2</v>
      </c>
      <c r="G2630" s="9">
        <f t="shared" si="123"/>
        <v>1.0845043699513484E-2</v>
      </c>
    </row>
    <row r="2631" spans="1:7" x14ac:dyDescent="0.2">
      <c r="A2631" s="12">
        <v>40711</v>
      </c>
      <c r="B2631" s="9">
        <v>1093.77</v>
      </c>
      <c r="C2631" s="9">
        <v>1067.8399999999999</v>
      </c>
      <c r="D2631" s="9">
        <v>1083.44</v>
      </c>
      <c r="E2631" s="9">
        <f t="shared" si="124"/>
        <v>4.5699775179048841E-3</v>
      </c>
      <c r="F2631" s="45">
        <f t="shared" si="122"/>
        <v>-5.8437469481056978E-2</v>
      </c>
      <c r="G2631" s="9">
        <f t="shared" si="123"/>
        <v>1.0906106261949352E-2</v>
      </c>
    </row>
    <row r="2632" spans="1:7" x14ac:dyDescent="0.2">
      <c r="A2632" s="12">
        <v>40714</v>
      </c>
      <c r="B2632" s="9">
        <v>1075.73</v>
      </c>
      <c r="C2632" s="9">
        <v>1064.23</v>
      </c>
      <c r="D2632" s="9">
        <v>1067.3</v>
      </c>
      <c r="E2632" s="9">
        <f t="shared" si="124"/>
        <v>-1.5009069427196689E-2</v>
      </c>
      <c r="F2632" s="45">
        <f t="shared" si="122"/>
        <v>-7.3611938239198607E-2</v>
      </c>
      <c r="G2632" s="9">
        <f t="shared" si="123"/>
        <v>1.1153789543917336E-2</v>
      </c>
    </row>
    <row r="2633" spans="1:7" x14ac:dyDescent="0.2">
      <c r="A2633" s="12">
        <v>40715</v>
      </c>
      <c r="B2633" s="9">
        <v>1092.32</v>
      </c>
      <c r="C2633" s="9">
        <v>1070.92</v>
      </c>
      <c r="D2633" s="9">
        <v>1092.07</v>
      </c>
      <c r="E2633" s="9">
        <f t="shared" si="124"/>
        <v>2.2942882894551979E-2</v>
      </c>
      <c r="F2633" s="45">
        <f t="shared" si="122"/>
        <v>-5.8472585705660489E-2</v>
      </c>
      <c r="G2633" s="9">
        <f t="shared" si="123"/>
        <v>1.194807762588164E-2</v>
      </c>
    </row>
    <row r="2634" spans="1:7" x14ac:dyDescent="0.2">
      <c r="A2634" s="12">
        <v>40716</v>
      </c>
      <c r="B2634" s="9">
        <v>1095.27</v>
      </c>
      <c r="C2634" s="9">
        <v>1072.78</v>
      </c>
      <c r="D2634" s="9">
        <v>1073.1500000000001</v>
      </c>
      <c r="E2634" s="9">
        <f t="shared" si="124"/>
        <v>-1.7476728986797491E-2</v>
      </c>
      <c r="F2634" s="45">
        <f t="shared" si="122"/>
        <v>-7.5344552604703116E-2</v>
      </c>
      <c r="G2634" s="9">
        <f t="shared" si="123"/>
        <v>1.227522303698954E-2</v>
      </c>
    </row>
    <row r="2635" spans="1:7" x14ac:dyDescent="0.2">
      <c r="A2635" s="12">
        <v>40717</v>
      </c>
      <c r="B2635" s="9">
        <v>1069.82</v>
      </c>
      <c r="C2635" s="9">
        <v>1053.05</v>
      </c>
      <c r="D2635" s="9">
        <v>1055.24</v>
      </c>
      <c r="E2635" s="9">
        <f t="shared" si="124"/>
        <v>-1.6830019637354185E-2</v>
      </c>
      <c r="F2635" s="45">
        <f t="shared" si="122"/>
        <v>-0.10112217695407542</v>
      </c>
      <c r="G2635" s="9">
        <f t="shared" si="123"/>
        <v>1.234743038982304E-2</v>
      </c>
    </row>
    <row r="2636" spans="1:7" x14ac:dyDescent="0.2">
      <c r="A2636" s="12">
        <v>40721</v>
      </c>
      <c r="B2636" s="9">
        <v>1069.33</v>
      </c>
      <c r="C2636" s="9">
        <v>1048.47</v>
      </c>
      <c r="D2636" s="9">
        <v>1068.8900000000001</v>
      </c>
      <c r="E2636" s="9">
        <f t="shared" si="124"/>
        <v>1.2852497633712547E-2</v>
      </c>
      <c r="F2636" s="45">
        <f t="shared" si="122"/>
        <v>-9.3617102925012879E-2</v>
      </c>
      <c r="G2636" s="9">
        <f t="shared" si="123"/>
        <v>1.2603532062403864E-2</v>
      </c>
    </row>
    <row r="2637" spans="1:7" x14ac:dyDescent="0.2">
      <c r="A2637" s="12">
        <v>40722</v>
      </c>
      <c r="B2637" s="9">
        <v>1082.9100000000001</v>
      </c>
      <c r="C2637" s="9">
        <v>1068.31</v>
      </c>
      <c r="D2637" s="9">
        <v>1072.3599999999999</v>
      </c>
      <c r="E2637" s="9">
        <f t="shared" si="124"/>
        <v>3.2411003270214249E-3</v>
      </c>
      <c r="F2637" s="45">
        <f t="shared" si="122"/>
        <v>-8.4171702939438514E-2</v>
      </c>
      <c r="G2637" s="9">
        <f t="shared" si="123"/>
        <v>1.2641760575338773E-2</v>
      </c>
    </row>
    <row r="2638" spans="1:7" x14ac:dyDescent="0.2">
      <c r="A2638" s="12">
        <v>40723</v>
      </c>
      <c r="B2638" s="9">
        <v>1103.68</v>
      </c>
      <c r="C2638" s="9">
        <v>1077.8900000000001</v>
      </c>
      <c r="D2638" s="9">
        <v>1100.03</v>
      </c>
      <c r="E2638" s="9">
        <f t="shared" si="124"/>
        <v>2.547562499078683E-2</v>
      </c>
      <c r="F2638" s="45">
        <f t="shared" si="122"/>
        <v>-5.870465034467913E-2</v>
      </c>
      <c r="G2638" s="9">
        <f t="shared" si="123"/>
        <v>1.3651960304930485E-2</v>
      </c>
    </row>
    <row r="2639" spans="1:7" x14ac:dyDescent="0.2">
      <c r="A2639" s="12">
        <v>40724</v>
      </c>
      <c r="B2639" s="9">
        <v>1118.6500000000001</v>
      </c>
      <c r="C2639" s="9">
        <v>1102.04</v>
      </c>
      <c r="D2639" s="9">
        <v>1115.23</v>
      </c>
      <c r="E2639" s="9">
        <f t="shared" si="124"/>
        <v>1.3723209506897564E-2</v>
      </c>
      <c r="F2639" s="45">
        <f t="shared" si="122"/>
        <v>-5.0913031463445987E-2</v>
      </c>
      <c r="G2639" s="9">
        <f t="shared" si="123"/>
        <v>1.3879428178104954E-2</v>
      </c>
    </row>
    <row r="2640" spans="1:7" x14ac:dyDescent="0.2">
      <c r="A2640" s="12">
        <v>40725</v>
      </c>
      <c r="B2640" s="9">
        <v>1119.9000000000001</v>
      </c>
      <c r="C2640" s="9">
        <v>1104.1300000000001</v>
      </c>
      <c r="D2640" s="9">
        <v>1118.05</v>
      </c>
      <c r="E2640" s="9">
        <f t="shared" si="124"/>
        <v>2.5254347854167234E-3</v>
      </c>
      <c r="F2640" s="45">
        <f t="shared" si="122"/>
        <v>-3.4831905995582564E-2</v>
      </c>
      <c r="G2640" s="9">
        <f t="shared" si="123"/>
        <v>1.3715207824253771E-2</v>
      </c>
    </row>
    <row r="2641" spans="1:7" x14ac:dyDescent="0.2">
      <c r="A2641" s="12">
        <v>40728</v>
      </c>
      <c r="B2641" s="9">
        <v>1127.53</v>
      </c>
      <c r="C2641" s="9">
        <v>1117.5</v>
      </c>
      <c r="D2641" s="9">
        <v>1125.9100000000001</v>
      </c>
      <c r="E2641" s="9">
        <f t="shared" si="124"/>
        <v>7.0055011189493954E-3</v>
      </c>
      <c r="F2641" s="45">
        <f t="shared" si="122"/>
        <v>-2.8154593709067369E-2</v>
      </c>
      <c r="G2641" s="9">
        <f t="shared" si="123"/>
        <v>1.3794163599864488E-2</v>
      </c>
    </row>
    <row r="2642" spans="1:7" x14ac:dyDescent="0.2">
      <c r="A2642" s="12">
        <v>40729</v>
      </c>
      <c r="B2642" s="9">
        <v>1128.49</v>
      </c>
      <c r="C2642" s="9">
        <v>1120.71</v>
      </c>
      <c r="D2642" s="9">
        <v>1127.26</v>
      </c>
      <c r="E2642" s="9">
        <f t="shared" si="124"/>
        <v>1.1983118553366553E-3</v>
      </c>
      <c r="F2642" s="45">
        <f t="shared" si="122"/>
        <v>-3.3917815167911897E-2</v>
      </c>
      <c r="G2642" s="9">
        <f t="shared" si="123"/>
        <v>1.3720281954516815E-2</v>
      </c>
    </row>
    <row r="2643" spans="1:7" x14ac:dyDescent="0.2">
      <c r="A2643" s="12">
        <v>40730</v>
      </c>
      <c r="B2643" s="9">
        <v>1127.77</v>
      </c>
      <c r="C2643" s="9">
        <v>1115.1600000000001</v>
      </c>
      <c r="D2643" s="9">
        <v>1118.8599999999999</v>
      </c>
      <c r="E2643" s="9">
        <f t="shared" si="124"/>
        <v>-7.4795996305192644E-3</v>
      </c>
      <c r="F2643" s="45">
        <f t="shared" si="122"/>
        <v>-4.2186024571773839E-2</v>
      </c>
      <c r="G2643" s="9">
        <f t="shared" si="123"/>
        <v>1.3763376848878565E-2</v>
      </c>
    </row>
    <row r="2644" spans="1:7" x14ac:dyDescent="0.2">
      <c r="A2644" s="12">
        <v>40731</v>
      </c>
      <c r="B2644" s="9">
        <v>1137.01</v>
      </c>
      <c r="C2644" s="9">
        <v>1120.21</v>
      </c>
      <c r="D2644" s="9">
        <v>1135.1500000000001</v>
      </c>
      <c r="E2644" s="9">
        <f t="shared" si="124"/>
        <v>1.4454490995712808E-2</v>
      </c>
      <c r="F2644" s="45">
        <f t="shared" si="122"/>
        <v>-2.235090070051344E-3</v>
      </c>
      <c r="G2644" s="9">
        <f t="shared" si="123"/>
        <v>1.3276249088735186E-2</v>
      </c>
    </row>
    <row r="2645" spans="1:7" x14ac:dyDescent="0.2">
      <c r="A2645" s="12">
        <v>40732</v>
      </c>
      <c r="B2645" s="9">
        <v>1142.1099999999999</v>
      </c>
      <c r="C2645" s="9">
        <v>1119.3599999999999</v>
      </c>
      <c r="D2645" s="9">
        <v>1120.58</v>
      </c>
      <c r="E2645" s="9">
        <f t="shared" si="124"/>
        <v>-1.2918392383372952E-2</v>
      </c>
      <c r="F2645" s="45">
        <f t="shared" si="122"/>
        <v>-1.2759810457856003E-2</v>
      </c>
      <c r="G2645" s="9">
        <f t="shared" si="123"/>
        <v>1.3477183184527348E-2</v>
      </c>
    </row>
    <row r="2646" spans="1:7" x14ac:dyDescent="0.2">
      <c r="A2646" s="12">
        <v>40735</v>
      </c>
      <c r="B2646" s="9">
        <v>1116.8399999999999</v>
      </c>
      <c r="C2646" s="9">
        <v>1101.22</v>
      </c>
      <c r="D2646" s="9">
        <v>1103.3900000000001</v>
      </c>
      <c r="E2646" s="9">
        <f t="shared" si="124"/>
        <v>-1.5459149489500883E-2</v>
      </c>
      <c r="F2646" s="45">
        <f t="shared" si="122"/>
        <v>-4.3042856499254559E-2</v>
      </c>
      <c r="G2646" s="9">
        <f t="shared" si="123"/>
        <v>1.3429647808167031E-2</v>
      </c>
    </row>
    <row r="2647" spans="1:7" x14ac:dyDescent="0.2">
      <c r="A2647" s="12">
        <v>40736</v>
      </c>
      <c r="B2647" s="9">
        <v>1099.42</v>
      </c>
      <c r="C2647" s="9">
        <v>1075.48</v>
      </c>
      <c r="D2647" s="9">
        <v>1099.19</v>
      </c>
      <c r="E2647" s="9">
        <f t="shared" si="124"/>
        <v>-3.813713999531369E-3</v>
      </c>
      <c r="F2647" s="45">
        <f t="shared" si="122"/>
        <v>-3.6805533137287863E-2</v>
      </c>
      <c r="G2647" s="9">
        <f t="shared" si="123"/>
        <v>1.3339635225572364E-2</v>
      </c>
    </row>
    <row r="2648" spans="1:7" x14ac:dyDescent="0.2">
      <c r="A2648" s="12">
        <v>40737</v>
      </c>
      <c r="B2648" s="9">
        <v>1109.1099999999999</v>
      </c>
      <c r="C2648" s="9">
        <v>1094.92</v>
      </c>
      <c r="D2648" s="9">
        <v>1108.1300000000001</v>
      </c>
      <c r="E2648" s="9">
        <f t="shared" si="124"/>
        <v>8.1003650434032237E-3</v>
      </c>
      <c r="F2648" s="45">
        <f t="shared" si="122"/>
        <v>-3.6322522093085591E-2</v>
      </c>
      <c r="G2648" s="9">
        <f t="shared" si="123"/>
        <v>1.3350964566841197E-2</v>
      </c>
    </row>
    <row r="2649" spans="1:7" x14ac:dyDescent="0.2">
      <c r="A2649" s="12">
        <v>40738</v>
      </c>
      <c r="B2649" s="9">
        <v>1103.29</v>
      </c>
      <c r="C2649" s="9">
        <v>1085.8800000000001</v>
      </c>
      <c r="D2649" s="9">
        <v>1091.6199999999999</v>
      </c>
      <c r="E2649" s="9">
        <f t="shared" si="124"/>
        <v>-1.5011078548718623E-2</v>
      </c>
      <c r="F2649" s="45">
        <f t="shared" si="122"/>
        <v>-4.8972489038831286E-2</v>
      </c>
      <c r="G2649" s="9">
        <f t="shared" si="123"/>
        <v>1.3586239302592552E-2</v>
      </c>
    </row>
    <row r="2650" spans="1:7" x14ac:dyDescent="0.2">
      <c r="A2650" s="12">
        <v>40739</v>
      </c>
      <c r="B2650" s="9">
        <v>1086.8499999999999</v>
      </c>
      <c r="C2650" s="9">
        <v>1077.1099999999999</v>
      </c>
      <c r="D2650" s="9">
        <v>1079.6400000000001</v>
      </c>
      <c r="E2650" s="9">
        <f t="shared" si="124"/>
        <v>-1.1035179178885978E-2</v>
      </c>
      <c r="F2650" s="45">
        <f t="shared" si="122"/>
        <v>-6.4316200105085639E-2</v>
      </c>
      <c r="G2650" s="9">
        <f t="shared" si="123"/>
        <v>1.3643566740418911E-2</v>
      </c>
    </row>
    <row r="2651" spans="1:7" x14ac:dyDescent="0.2">
      <c r="A2651" s="12">
        <v>40742</v>
      </c>
      <c r="B2651" s="9">
        <v>1081.83</v>
      </c>
      <c r="C2651" s="9">
        <v>1052.74</v>
      </c>
      <c r="D2651" s="9">
        <v>1056.1199999999999</v>
      </c>
      <c r="E2651" s="9">
        <f t="shared" si="124"/>
        <v>-2.2025837043307211E-2</v>
      </c>
      <c r="F2651" s="45">
        <f t="shared" si="122"/>
        <v>-9.3361188965932193E-2</v>
      </c>
      <c r="G2651" s="9">
        <f t="shared" si="123"/>
        <v>1.3996885811505237E-2</v>
      </c>
    </row>
    <row r="2652" spans="1:7" x14ac:dyDescent="0.2">
      <c r="A2652" s="12">
        <v>40743</v>
      </c>
      <c r="B2652" s="9">
        <v>1078.18</v>
      </c>
      <c r="C2652" s="9">
        <v>1052.07</v>
      </c>
      <c r="D2652" s="9">
        <v>1076.71</v>
      </c>
      <c r="E2652" s="9">
        <f t="shared" si="124"/>
        <v>1.9308280242974599E-2</v>
      </c>
      <c r="F2652" s="45">
        <f t="shared" si="122"/>
        <v>-5.1550062229741081E-2</v>
      </c>
      <c r="G2652" s="9">
        <f t="shared" si="123"/>
        <v>1.4080882820099594E-2</v>
      </c>
    </row>
    <row r="2653" spans="1:7" x14ac:dyDescent="0.2">
      <c r="A2653" s="12">
        <v>40744</v>
      </c>
      <c r="B2653" s="9">
        <v>1094.4100000000001</v>
      </c>
      <c r="C2653" s="9">
        <v>1084.51</v>
      </c>
      <c r="D2653" s="9">
        <v>1093.5899999999999</v>
      </c>
      <c r="E2653" s="9">
        <f t="shared" si="124"/>
        <v>1.5555766840044531E-2</v>
      </c>
      <c r="F2653" s="45">
        <f t="shared" si="122"/>
        <v>-3.1742411660888911E-2</v>
      </c>
      <c r="G2653" s="9">
        <f t="shared" si="123"/>
        <v>1.441833627768338E-2</v>
      </c>
    </row>
    <row r="2654" spans="1:7" x14ac:dyDescent="0.2">
      <c r="A2654" s="12">
        <v>40745</v>
      </c>
      <c r="B2654" s="9">
        <v>1094.82</v>
      </c>
      <c r="C2654" s="9">
        <v>1067.54</v>
      </c>
      <c r="D2654" s="9">
        <v>1088.1600000000001</v>
      </c>
      <c r="E2654" s="9">
        <f t="shared" si="124"/>
        <v>-4.9776658294110555E-3</v>
      </c>
      <c r="F2654" s="45">
        <f t="shared" si="122"/>
        <v>-1.3509278436044953E-2</v>
      </c>
      <c r="G2654" s="9">
        <f t="shared" si="123"/>
        <v>1.3824394784598966E-2</v>
      </c>
    </row>
    <row r="2655" spans="1:7" x14ac:dyDescent="0.2">
      <c r="A2655" s="12">
        <v>40746</v>
      </c>
      <c r="B2655" s="9">
        <v>1100.51</v>
      </c>
      <c r="C2655" s="9">
        <v>1082.6300000000001</v>
      </c>
      <c r="D2655" s="9">
        <v>1091</v>
      </c>
      <c r="E2655" s="9">
        <f t="shared" si="124"/>
        <v>2.6065104057421315E-3</v>
      </c>
      <c r="F2655" s="45">
        <f t="shared" si="122"/>
        <v>-1.9290283853080351E-2</v>
      </c>
      <c r="G2655" s="9">
        <f t="shared" si="123"/>
        <v>1.3736969796985172E-2</v>
      </c>
    </row>
    <row r="2656" spans="1:7" x14ac:dyDescent="0.2">
      <c r="A2656" s="12">
        <v>40749</v>
      </c>
      <c r="B2656" s="9">
        <v>1092.1300000000001</v>
      </c>
      <c r="C2656" s="9">
        <v>1080.2</v>
      </c>
      <c r="D2656" s="9">
        <v>1086.3800000000001</v>
      </c>
      <c r="E2656" s="9">
        <f t="shared" si="124"/>
        <v>-4.2436386237204721E-3</v>
      </c>
      <c r="F2656" s="45">
        <f t="shared" si="122"/>
        <v>-8.5332335746055882E-3</v>
      </c>
      <c r="G2656" s="9">
        <f t="shared" si="123"/>
        <v>1.3487401874819021E-2</v>
      </c>
    </row>
    <row r="2657" spans="1:7" x14ac:dyDescent="0.2">
      <c r="A2657" s="12">
        <v>40750</v>
      </c>
      <c r="B2657" s="9">
        <v>1089.79</v>
      </c>
      <c r="C2657" s="9">
        <v>1070.58</v>
      </c>
      <c r="D2657" s="9">
        <v>1078.1300000000001</v>
      </c>
      <c r="E2657" s="9">
        <f t="shared" si="124"/>
        <v>-7.6230093192202067E-3</v>
      </c>
      <c r="F2657" s="45">
        <f t="shared" ref="F2657:F2720" si="125">LN(D2657/D2627)</f>
        <v>-1.0876240144138799E-2</v>
      </c>
      <c r="G2657" s="9">
        <f t="shared" ref="G2657:G2720" si="126">STDEV(E2628:E2657)</f>
        <v>1.3524060587618476E-2</v>
      </c>
    </row>
    <row r="2658" spans="1:7" x14ac:dyDescent="0.2">
      <c r="A2658" s="12">
        <v>40751</v>
      </c>
      <c r="B2658" s="9">
        <v>1083.08</v>
      </c>
      <c r="C2658" s="9">
        <v>1066.71</v>
      </c>
      <c r="D2658" s="9">
        <v>1070.5</v>
      </c>
      <c r="E2658" s="9">
        <f t="shared" si="124"/>
        <v>-7.1022298603926372E-3</v>
      </c>
      <c r="F2658" s="45">
        <f t="shared" si="125"/>
        <v>-3.3067013914879893E-2</v>
      </c>
      <c r="G2658" s="9">
        <f t="shared" si="126"/>
        <v>1.3253989960805113E-2</v>
      </c>
    </row>
    <row r="2659" spans="1:7" x14ac:dyDescent="0.2">
      <c r="A2659" s="12">
        <v>40752</v>
      </c>
      <c r="B2659" s="9">
        <v>1073.3499999999999</v>
      </c>
      <c r="C2659" s="9">
        <v>1059.43</v>
      </c>
      <c r="D2659" s="9">
        <v>1068.79</v>
      </c>
      <c r="E2659" s="9">
        <f t="shared" si="124"/>
        <v>-1.5986615785516778E-3</v>
      </c>
      <c r="F2659" s="45">
        <f t="shared" si="125"/>
        <v>-1.9081559600288994E-2</v>
      </c>
      <c r="G2659" s="9">
        <f t="shared" si="126"/>
        <v>1.2969966651965708E-2</v>
      </c>
    </row>
    <row r="2660" spans="1:7" x14ac:dyDescent="0.2">
      <c r="A2660" s="12">
        <v>40753</v>
      </c>
      <c r="B2660" s="9">
        <v>1071.25</v>
      </c>
      <c r="C2660" s="9">
        <v>1053.31</v>
      </c>
      <c r="D2660" s="9">
        <v>1065.97</v>
      </c>
      <c r="E2660" s="9">
        <f t="shared" si="124"/>
        <v>-2.6419847105241361E-3</v>
      </c>
      <c r="F2660" s="45">
        <f t="shared" si="125"/>
        <v>-1.1686004088549504E-2</v>
      </c>
      <c r="G2660" s="9">
        <f t="shared" si="126"/>
        <v>1.285488456380139E-2</v>
      </c>
    </row>
    <row r="2661" spans="1:7" x14ac:dyDescent="0.2">
      <c r="A2661" s="12">
        <v>40756</v>
      </c>
      <c r="B2661" s="9">
        <v>1087.18</v>
      </c>
      <c r="C2661" s="9">
        <v>1035.92</v>
      </c>
      <c r="D2661" s="9">
        <v>1039.05</v>
      </c>
      <c r="E2661" s="9">
        <f t="shared" si="124"/>
        <v>-2.5578348603937835E-2</v>
      </c>
      <c r="F2661" s="45">
        <f t="shared" si="125"/>
        <v>-4.1834330210392262E-2</v>
      </c>
      <c r="G2661" s="9">
        <f t="shared" si="126"/>
        <v>1.3610057045091096E-2</v>
      </c>
    </row>
    <row r="2662" spans="1:7" x14ac:dyDescent="0.2">
      <c r="A2662" s="12">
        <v>40757</v>
      </c>
      <c r="B2662" s="9">
        <v>1035.56</v>
      </c>
      <c r="C2662" s="9">
        <v>1011.29</v>
      </c>
      <c r="D2662" s="9">
        <v>1012.7</v>
      </c>
      <c r="E2662" s="9">
        <f t="shared" si="124"/>
        <v>-2.5686802798484381E-2</v>
      </c>
      <c r="F2662" s="45">
        <f t="shared" si="125"/>
        <v>-5.2512063581679896E-2</v>
      </c>
      <c r="G2662" s="9">
        <f t="shared" si="126"/>
        <v>1.4108856860474084E-2</v>
      </c>
    </row>
    <row r="2663" spans="1:7" x14ac:dyDescent="0.2">
      <c r="A2663" s="12">
        <v>40758</v>
      </c>
      <c r="B2663" s="9">
        <v>1008.23</v>
      </c>
      <c r="C2663" s="9">
        <v>979.39</v>
      </c>
      <c r="D2663" s="9">
        <v>981.51</v>
      </c>
      <c r="E2663" s="9">
        <f t="shared" si="124"/>
        <v>-3.1283108186616192E-2</v>
      </c>
      <c r="F2663" s="45">
        <f t="shared" si="125"/>
        <v>-0.10673805466284809</v>
      </c>
      <c r="G2663" s="9">
        <f t="shared" si="126"/>
        <v>1.4308356068315544E-2</v>
      </c>
    </row>
    <row r="2664" spans="1:7" x14ac:dyDescent="0.2">
      <c r="A2664" s="12">
        <v>40759</v>
      </c>
      <c r="B2664" s="9">
        <v>996.43</v>
      </c>
      <c r="C2664" s="9">
        <v>939.63</v>
      </c>
      <c r="D2664" s="9">
        <v>939.63</v>
      </c>
      <c r="E2664" s="9">
        <f t="shared" si="124"/>
        <v>-4.3606021396364138E-2</v>
      </c>
      <c r="F2664" s="45">
        <f t="shared" si="125"/>
        <v>-0.1328673470724149</v>
      </c>
      <c r="G2664" s="9">
        <f t="shared" si="126"/>
        <v>1.5892419511982572E-2</v>
      </c>
    </row>
    <row r="2665" spans="1:7" x14ac:dyDescent="0.2">
      <c r="A2665" s="12">
        <v>40760</v>
      </c>
      <c r="B2665" s="9">
        <v>966.33</v>
      </c>
      <c r="C2665" s="9">
        <v>901.01</v>
      </c>
      <c r="D2665" s="9">
        <v>947.78</v>
      </c>
      <c r="E2665" s="9">
        <f t="shared" si="124"/>
        <v>8.6362270573828899E-3</v>
      </c>
      <c r="F2665" s="45">
        <f t="shared" si="125"/>
        <v>-0.10740110037767785</v>
      </c>
      <c r="G2665" s="9">
        <f t="shared" si="126"/>
        <v>1.5887311841638944E-2</v>
      </c>
    </row>
    <row r="2666" spans="1:7" x14ac:dyDescent="0.2">
      <c r="A2666" s="12">
        <v>40763</v>
      </c>
      <c r="B2666" s="9">
        <v>954.12</v>
      </c>
      <c r="C2666" s="9">
        <v>901.95</v>
      </c>
      <c r="D2666" s="9">
        <v>902.07</v>
      </c>
      <c r="E2666" s="9">
        <f t="shared" si="124"/>
        <v>-4.9430285439647434E-2</v>
      </c>
      <c r="F2666" s="45">
        <f t="shared" si="125"/>
        <v>-0.16968388345103783</v>
      </c>
      <c r="G2666" s="9">
        <f t="shared" si="126"/>
        <v>1.7638814899704487E-2</v>
      </c>
    </row>
    <row r="2667" spans="1:7" x14ac:dyDescent="0.2">
      <c r="A2667" s="12">
        <v>40764</v>
      </c>
      <c r="B2667" s="9">
        <v>930.03</v>
      </c>
      <c r="C2667" s="9">
        <v>860.41</v>
      </c>
      <c r="D2667" s="9">
        <v>930.03</v>
      </c>
      <c r="E2667" s="9">
        <f t="shared" si="124"/>
        <v>3.0524721318543228E-2</v>
      </c>
      <c r="F2667" s="45">
        <f t="shared" si="125"/>
        <v>-0.14240026245951604</v>
      </c>
      <c r="G2667" s="9">
        <f t="shared" si="126"/>
        <v>1.8779836955619151E-2</v>
      </c>
    </row>
    <row r="2668" spans="1:7" x14ac:dyDescent="0.2">
      <c r="A2668" s="12">
        <v>40765</v>
      </c>
      <c r="B2668" s="9">
        <v>952.37</v>
      </c>
      <c r="C2668" s="9">
        <v>893.3</v>
      </c>
      <c r="D2668" s="9">
        <v>904.58</v>
      </c>
      <c r="E2668" s="9">
        <f t="shared" si="124"/>
        <v>-2.7746096111751689E-2</v>
      </c>
      <c r="F2668" s="45">
        <f t="shared" si="125"/>
        <v>-0.19562198356205465</v>
      </c>
      <c r="G2668" s="9">
        <f t="shared" si="126"/>
        <v>1.8334961450429895E-2</v>
      </c>
    </row>
    <row r="2669" spans="1:7" x14ac:dyDescent="0.2">
      <c r="A2669" s="12">
        <v>40766</v>
      </c>
      <c r="B2669" s="9">
        <v>937.72</v>
      </c>
      <c r="C2669" s="9">
        <v>892.9</v>
      </c>
      <c r="D2669" s="9">
        <v>937.7</v>
      </c>
      <c r="E2669" s="9">
        <f t="shared" si="124"/>
        <v>3.5959320845793737E-2</v>
      </c>
      <c r="F2669" s="45">
        <f t="shared" si="125"/>
        <v>-0.17338587222315852</v>
      </c>
      <c r="G2669" s="9">
        <f t="shared" si="126"/>
        <v>1.9588182397064953E-2</v>
      </c>
    </row>
    <row r="2670" spans="1:7" x14ac:dyDescent="0.2">
      <c r="A2670" s="12">
        <v>40767</v>
      </c>
      <c r="B2670" s="9">
        <v>960.33</v>
      </c>
      <c r="C2670" s="9">
        <v>919.14</v>
      </c>
      <c r="D2670" s="9">
        <v>957.59</v>
      </c>
      <c r="E2670" s="9">
        <f t="shared" si="124"/>
        <v>2.0989642990057102E-2</v>
      </c>
      <c r="F2670" s="45">
        <f t="shared" si="125"/>
        <v>-0.15492166401851815</v>
      </c>
      <c r="G2670" s="9">
        <f t="shared" si="126"/>
        <v>2.0140422310464496E-2</v>
      </c>
    </row>
    <row r="2671" spans="1:7" x14ac:dyDescent="0.2">
      <c r="A2671" s="12">
        <v>40770</v>
      </c>
      <c r="B2671" s="9">
        <v>969.37</v>
      </c>
      <c r="C2671" s="9">
        <v>949.12</v>
      </c>
      <c r="D2671" s="9">
        <v>967.58</v>
      </c>
      <c r="E2671" s="9">
        <f t="shared" si="124"/>
        <v>1.0378397408392064E-2</v>
      </c>
      <c r="F2671" s="45">
        <f t="shared" si="125"/>
        <v>-0.15154876772907555</v>
      </c>
      <c r="G2671" s="9">
        <f t="shared" si="126"/>
        <v>2.0219956200749189E-2</v>
      </c>
    </row>
    <row r="2672" spans="1:7" x14ac:dyDescent="0.2">
      <c r="A2672" s="12">
        <v>40771</v>
      </c>
      <c r="B2672" s="9">
        <v>963.81</v>
      </c>
      <c r="C2672" s="9">
        <v>936.05</v>
      </c>
      <c r="D2672" s="9">
        <v>957.37</v>
      </c>
      <c r="E2672" s="9">
        <f t="shared" si="124"/>
        <v>-1.0608167221827286E-2</v>
      </c>
      <c r="F2672" s="45">
        <f t="shared" si="125"/>
        <v>-0.16335524680623945</v>
      </c>
      <c r="G2672" s="9">
        <f t="shared" si="126"/>
        <v>2.0209010656099823E-2</v>
      </c>
    </row>
    <row r="2673" spans="1:7" x14ac:dyDescent="0.2">
      <c r="A2673" s="12">
        <v>40772</v>
      </c>
      <c r="B2673" s="9">
        <v>965.16</v>
      </c>
      <c r="C2673" s="9">
        <v>939.85</v>
      </c>
      <c r="D2673" s="9">
        <v>957.53</v>
      </c>
      <c r="E2673" s="9">
        <f t="shared" si="124"/>
        <v>1.6711055446479994E-4</v>
      </c>
      <c r="F2673" s="45">
        <f t="shared" si="125"/>
        <v>-0.15570853662125539</v>
      </c>
      <c r="G2673" s="9">
        <f t="shared" si="126"/>
        <v>2.023067748250823E-2</v>
      </c>
    </row>
    <row r="2674" spans="1:7" x14ac:dyDescent="0.2">
      <c r="A2674" s="12">
        <v>40773</v>
      </c>
      <c r="B2674" s="9">
        <v>947.33</v>
      </c>
      <c r="C2674" s="9">
        <v>890.93</v>
      </c>
      <c r="D2674" s="9">
        <v>893.08</v>
      </c>
      <c r="E2674" s="9">
        <f t="shared" si="124"/>
        <v>-6.9680889626429876E-2</v>
      </c>
      <c r="F2674" s="45">
        <f t="shared" si="125"/>
        <v>-0.23984391724339807</v>
      </c>
      <c r="G2674" s="9">
        <f t="shared" si="126"/>
        <v>2.304889198056792E-2</v>
      </c>
    </row>
    <row r="2675" spans="1:7" x14ac:dyDescent="0.2">
      <c r="A2675" s="12">
        <v>40774</v>
      </c>
      <c r="B2675" s="9">
        <v>893.91</v>
      </c>
      <c r="C2675" s="9">
        <v>851.14</v>
      </c>
      <c r="D2675" s="9">
        <v>877.43</v>
      </c>
      <c r="E2675" s="9">
        <f t="shared" si="124"/>
        <v>-1.7678982451949148E-2</v>
      </c>
      <c r="F2675" s="45">
        <f t="shared" si="125"/>
        <v>-0.24460450731197431</v>
      </c>
      <c r="G2675" s="9">
        <f t="shared" si="126"/>
        <v>2.3100289174112609E-2</v>
      </c>
    </row>
    <row r="2676" spans="1:7" x14ac:dyDescent="0.2">
      <c r="A2676" s="12">
        <v>40777</v>
      </c>
      <c r="B2676" s="9">
        <v>904.81</v>
      </c>
      <c r="C2676" s="9">
        <v>867.74</v>
      </c>
      <c r="D2676" s="9">
        <v>887.85</v>
      </c>
      <c r="E2676" s="9">
        <f t="shared" si="124"/>
        <v>1.1805629726556601E-2</v>
      </c>
      <c r="F2676" s="45">
        <f t="shared" si="125"/>
        <v>-0.21733972809591678</v>
      </c>
      <c r="G2676" s="9">
        <f t="shared" si="126"/>
        <v>2.3338064178076476E-2</v>
      </c>
    </row>
    <row r="2677" spans="1:7" x14ac:dyDescent="0.2">
      <c r="A2677" s="12">
        <v>40778</v>
      </c>
      <c r="B2677" s="9">
        <v>911.95</v>
      </c>
      <c r="C2677" s="9">
        <v>891.57</v>
      </c>
      <c r="D2677" s="9">
        <v>905.67</v>
      </c>
      <c r="E2677" s="9">
        <f t="shared" si="124"/>
        <v>1.9872191476617399E-2</v>
      </c>
      <c r="F2677" s="45">
        <f t="shared" si="125"/>
        <v>-0.19365382261976799</v>
      </c>
      <c r="G2677" s="9">
        <f t="shared" si="126"/>
        <v>2.3853101685505008E-2</v>
      </c>
    </row>
    <row r="2678" spans="1:7" x14ac:dyDescent="0.2">
      <c r="A2678" s="12">
        <v>40779</v>
      </c>
      <c r="B2678" s="9">
        <v>934.37</v>
      </c>
      <c r="C2678" s="9">
        <v>899.34</v>
      </c>
      <c r="D2678" s="9">
        <v>916.26</v>
      </c>
      <c r="E2678" s="9">
        <f t="shared" si="124"/>
        <v>1.162516591168399E-2</v>
      </c>
      <c r="F2678" s="45">
        <f t="shared" si="125"/>
        <v>-0.19012902175148716</v>
      </c>
      <c r="G2678" s="9">
        <f t="shared" si="126"/>
        <v>2.3935807720650813E-2</v>
      </c>
    </row>
    <row r="2679" spans="1:7" x14ac:dyDescent="0.2">
      <c r="A2679" s="12">
        <v>40780</v>
      </c>
      <c r="B2679" s="9">
        <v>930.85</v>
      </c>
      <c r="C2679" s="9">
        <v>902.16</v>
      </c>
      <c r="D2679" s="9">
        <v>903.21</v>
      </c>
      <c r="E2679" s="9">
        <f t="shared" si="124"/>
        <v>-1.4345082674077223E-2</v>
      </c>
      <c r="F2679" s="45">
        <f t="shared" si="125"/>
        <v>-0.1894630258768458</v>
      </c>
      <c r="G2679" s="9">
        <f t="shared" si="126"/>
        <v>2.3927793430370707E-2</v>
      </c>
    </row>
    <row r="2680" spans="1:7" x14ac:dyDescent="0.2">
      <c r="A2680" s="12">
        <v>40781</v>
      </c>
      <c r="B2680" s="9">
        <v>907.47</v>
      </c>
      <c r="C2680" s="9">
        <v>884</v>
      </c>
      <c r="D2680" s="9">
        <v>904.32</v>
      </c>
      <c r="E2680" s="9">
        <f t="shared" si="124"/>
        <v>1.2281955370399501E-3</v>
      </c>
      <c r="F2680" s="45">
        <f t="shared" si="125"/>
        <v>-0.1771996511609199</v>
      </c>
      <c r="G2680" s="9">
        <f t="shared" si="126"/>
        <v>2.3949124956882385E-2</v>
      </c>
    </row>
    <row r="2681" spans="1:7" x14ac:dyDescent="0.2">
      <c r="A2681" s="12">
        <v>40784</v>
      </c>
      <c r="B2681" s="9">
        <v>928.48</v>
      </c>
      <c r="C2681" s="9">
        <v>907.91</v>
      </c>
      <c r="D2681" s="9">
        <v>927.37</v>
      </c>
      <c r="E2681" s="9">
        <f t="shared" si="124"/>
        <v>2.5169342876842259E-2</v>
      </c>
      <c r="F2681" s="45">
        <f t="shared" si="125"/>
        <v>-0.13000447124077028</v>
      </c>
      <c r="G2681" s="9">
        <f t="shared" si="126"/>
        <v>2.4399618744079293E-2</v>
      </c>
    </row>
    <row r="2682" spans="1:7" x14ac:dyDescent="0.2">
      <c r="A2682" s="12">
        <v>40785</v>
      </c>
      <c r="B2682" s="9">
        <v>938.28</v>
      </c>
      <c r="C2682" s="9">
        <v>921.2</v>
      </c>
      <c r="D2682" s="9">
        <v>930.13</v>
      </c>
      <c r="E2682" s="9">
        <f t="shared" si="124"/>
        <v>2.9717383915825418E-3</v>
      </c>
      <c r="F2682" s="45">
        <f t="shared" si="125"/>
        <v>-0.14634101309216216</v>
      </c>
      <c r="G2682" s="9">
        <f t="shared" si="126"/>
        <v>2.4033337245092979E-2</v>
      </c>
    </row>
    <row r="2683" spans="1:7" x14ac:dyDescent="0.2">
      <c r="A2683" s="12">
        <v>40786</v>
      </c>
      <c r="B2683" s="9">
        <v>963.09</v>
      </c>
      <c r="C2683" s="9">
        <v>930.74</v>
      </c>
      <c r="D2683" s="9">
        <v>954.63</v>
      </c>
      <c r="E2683" s="9">
        <f t="shared" si="124"/>
        <v>2.599946952906533E-2</v>
      </c>
      <c r="F2683" s="45">
        <f t="shared" si="125"/>
        <v>-0.13589731040314149</v>
      </c>
      <c r="G2683" s="9">
        <f t="shared" si="126"/>
        <v>2.4412180382662251E-2</v>
      </c>
    </row>
    <row r="2684" spans="1:7" x14ac:dyDescent="0.2">
      <c r="A2684" s="12">
        <v>40787</v>
      </c>
      <c r="B2684" s="9">
        <v>966.08</v>
      </c>
      <c r="C2684" s="9">
        <v>942.85</v>
      </c>
      <c r="D2684" s="9">
        <v>961.55</v>
      </c>
      <c r="E2684" s="9">
        <f t="shared" si="124"/>
        <v>7.2227349032579647E-3</v>
      </c>
      <c r="F2684" s="45">
        <f t="shared" si="125"/>
        <v>-0.12369690967047232</v>
      </c>
      <c r="G2684" s="9">
        <f t="shared" si="126"/>
        <v>2.4505906751839987E-2</v>
      </c>
    </row>
    <row r="2685" spans="1:7" x14ac:dyDescent="0.2">
      <c r="A2685" s="12">
        <v>40788</v>
      </c>
      <c r="B2685" s="9">
        <v>951.38</v>
      </c>
      <c r="C2685" s="9">
        <v>927.1</v>
      </c>
      <c r="D2685" s="9">
        <v>932.1</v>
      </c>
      <c r="E2685" s="9">
        <f t="shared" si="124"/>
        <v>-3.1106460689744809E-2</v>
      </c>
      <c r="F2685" s="45">
        <f t="shared" si="125"/>
        <v>-0.15740988076595941</v>
      </c>
      <c r="G2685" s="9">
        <f t="shared" si="126"/>
        <v>2.4955522045465375E-2</v>
      </c>
    </row>
    <row r="2686" spans="1:7" x14ac:dyDescent="0.2">
      <c r="A2686" s="12">
        <v>40791</v>
      </c>
      <c r="B2686" s="9">
        <v>915.38</v>
      </c>
      <c r="C2686" s="9">
        <v>886.54</v>
      </c>
      <c r="D2686" s="9">
        <v>887.41</v>
      </c>
      <c r="E2686" s="9">
        <f t="shared" si="124"/>
        <v>-4.9132997310429451E-2</v>
      </c>
      <c r="F2686" s="45">
        <f t="shared" si="125"/>
        <v>-0.20229923945266823</v>
      </c>
      <c r="G2686" s="9">
        <f t="shared" si="126"/>
        <v>2.6207639209340355E-2</v>
      </c>
    </row>
    <row r="2687" spans="1:7" x14ac:dyDescent="0.2">
      <c r="A2687" s="12">
        <v>40792</v>
      </c>
      <c r="B2687" s="9">
        <v>899.58</v>
      </c>
      <c r="C2687" s="9">
        <v>875.12</v>
      </c>
      <c r="D2687" s="9">
        <v>887.27</v>
      </c>
      <c r="E2687" s="9">
        <f t="shared" ref="E2687:E2750" si="127">LN(D2687/D2686)</f>
        <v>-1.5777492313020716E-4</v>
      </c>
      <c r="F2687" s="45">
        <f t="shared" si="125"/>
        <v>-0.19483400505657827</v>
      </c>
      <c r="G2687" s="9">
        <f t="shared" si="126"/>
        <v>2.6234425888067375E-2</v>
      </c>
    </row>
    <row r="2688" spans="1:7" x14ac:dyDescent="0.2">
      <c r="A2688" s="12">
        <v>40793</v>
      </c>
      <c r="B2688" s="9">
        <v>918.02</v>
      </c>
      <c r="C2688" s="9">
        <v>899.75</v>
      </c>
      <c r="D2688" s="9">
        <v>918.02</v>
      </c>
      <c r="E2688" s="9">
        <f t="shared" si="127"/>
        <v>3.4069844041991294E-2</v>
      </c>
      <c r="F2688" s="45">
        <f t="shared" si="125"/>
        <v>-0.15366193115419452</v>
      </c>
      <c r="G2688" s="9">
        <f t="shared" si="126"/>
        <v>2.725846735516119E-2</v>
      </c>
    </row>
    <row r="2689" spans="1:7" x14ac:dyDescent="0.2">
      <c r="A2689" s="12">
        <v>40794</v>
      </c>
      <c r="B2689" s="9">
        <v>925.27</v>
      </c>
      <c r="C2689" s="9">
        <v>904.66</v>
      </c>
      <c r="D2689" s="9">
        <v>918.82</v>
      </c>
      <c r="E2689" s="9">
        <f t="shared" si="127"/>
        <v>8.7106122534710134E-4</v>
      </c>
      <c r="F2689" s="45">
        <f t="shared" si="125"/>
        <v>-0.15119220835029576</v>
      </c>
      <c r="G2689" s="9">
        <f t="shared" si="126"/>
        <v>2.7273200881595554E-2</v>
      </c>
    </row>
    <row r="2690" spans="1:7" x14ac:dyDescent="0.2">
      <c r="A2690" s="12">
        <v>40795</v>
      </c>
      <c r="B2690" s="9">
        <v>917.29</v>
      </c>
      <c r="C2690" s="9">
        <v>883.09</v>
      </c>
      <c r="D2690" s="9">
        <v>884.6</v>
      </c>
      <c r="E2690" s="9">
        <f t="shared" si="127"/>
        <v>-3.7954672666663643E-2</v>
      </c>
      <c r="F2690" s="45">
        <f t="shared" si="125"/>
        <v>-0.18650489630643519</v>
      </c>
      <c r="G2690" s="9">
        <f t="shared" si="126"/>
        <v>2.792049948186209E-2</v>
      </c>
    </row>
    <row r="2691" spans="1:7" x14ac:dyDescent="0.2">
      <c r="A2691" s="12">
        <v>40798</v>
      </c>
      <c r="B2691" s="9">
        <v>875.84</v>
      </c>
      <c r="C2691" s="9">
        <v>859.69</v>
      </c>
      <c r="D2691" s="9">
        <v>862.58</v>
      </c>
      <c r="E2691" s="9">
        <f t="shared" si="127"/>
        <v>-2.5207667206874462E-2</v>
      </c>
      <c r="F2691" s="45">
        <f t="shared" si="125"/>
        <v>-0.18613421490937176</v>
      </c>
      <c r="G2691" s="9">
        <f t="shared" si="126"/>
        <v>2.7911716340499482E-2</v>
      </c>
    </row>
    <row r="2692" spans="1:7" x14ac:dyDescent="0.2">
      <c r="A2692" s="12">
        <v>40799</v>
      </c>
      <c r="B2692" s="9">
        <v>884.33</v>
      </c>
      <c r="C2692" s="9">
        <v>853.48</v>
      </c>
      <c r="D2692" s="9">
        <v>878.4</v>
      </c>
      <c r="E2692" s="9">
        <f t="shared" si="127"/>
        <v>1.8174172527914187E-2</v>
      </c>
      <c r="F2692" s="45">
        <f t="shared" si="125"/>
        <v>-0.14227323958297328</v>
      </c>
      <c r="G2692" s="9">
        <f t="shared" si="126"/>
        <v>2.8004608270691726E-2</v>
      </c>
    </row>
    <row r="2693" spans="1:7" x14ac:dyDescent="0.2">
      <c r="A2693" s="12">
        <v>40800</v>
      </c>
      <c r="B2693" s="9">
        <v>895.28</v>
      </c>
      <c r="C2693" s="9">
        <v>867.74</v>
      </c>
      <c r="D2693" s="9">
        <v>890.68</v>
      </c>
      <c r="E2693" s="9">
        <f t="shared" si="127"/>
        <v>1.3883145180990406E-2</v>
      </c>
      <c r="F2693" s="45">
        <f t="shared" si="125"/>
        <v>-9.710698621536655E-2</v>
      </c>
      <c r="G2693" s="9">
        <f t="shared" si="126"/>
        <v>2.7741410749461407E-2</v>
      </c>
    </row>
    <row r="2694" spans="1:7" x14ac:dyDescent="0.2">
      <c r="A2694" s="12">
        <v>40801</v>
      </c>
      <c r="B2694" s="9">
        <v>926.32</v>
      </c>
      <c r="C2694" s="9">
        <v>899.01</v>
      </c>
      <c r="D2694" s="9">
        <v>924.62</v>
      </c>
      <c r="E2694" s="9">
        <f t="shared" si="127"/>
        <v>3.7397626359479248E-2</v>
      </c>
      <c r="F2694" s="45">
        <f t="shared" si="125"/>
        <v>-1.6103338459523144E-2</v>
      </c>
      <c r="G2694" s="9">
        <f t="shared" si="126"/>
        <v>2.7618565244089614E-2</v>
      </c>
    </row>
    <row r="2695" spans="1:7" x14ac:dyDescent="0.2">
      <c r="A2695" s="12">
        <v>40802</v>
      </c>
      <c r="B2695" s="9">
        <v>939.14</v>
      </c>
      <c r="C2695" s="9">
        <v>924.11</v>
      </c>
      <c r="D2695" s="9">
        <v>927.15</v>
      </c>
      <c r="E2695" s="9">
        <f t="shared" si="127"/>
        <v>2.7325224776559927E-3</v>
      </c>
      <c r="F2695" s="45">
        <f t="shared" si="125"/>
        <v>-2.2007043039249816E-2</v>
      </c>
      <c r="G2695" s="9">
        <f t="shared" si="126"/>
        <v>2.7571944606185481E-2</v>
      </c>
    </row>
    <row r="2696" spans="1:7" x14ac:dyDescent="0.2">
      <c r="A2696" s="12">
        <v>40805</v>
      </c>
      <c r="B2696" s="9">
        <v>914.41</v>
      </c>
      <c r="C2696" s="9">
        <v>895.01</v>
      </c>
      <c r="D2696" s="9">
        <v>895.42</v>
      </c>
      <c r="E2696" s="9">
        <f t="shared" si="127"/>
        <v>-3.4822482830007516E-2</v>
      </c>
      <c r="F2696" s="45">
        <f t="shared" si="125"/>
        <v>-7.3992404296097354E-3</v>
      </c>
      <c r="G2696" s="9">
        <f t="shared" si="126"/>
        <v>2.6800490634712425E-2</v>
      </c>
    </row>
    <row r="2697" spans="1:7" x14ac:dyDescent="0.2">
      <c r="A2697" s="12">
        <v>40806</v>
      </c>
      <c r="B2697" s="9">
        <v>918.76</v>
      </c>
      <c r="C2697" s="9">
        <v>888.41</v>
      </c>
      <c r="D2697" s="9">
        <v>918.76</v>
      </c>
      <c r="E2697" s="9">
        <f t="shared" si="127"/>
        <v>2.5732052878169352E-2</v>
      </c>
      <c r="F2697" s="45">
        <f t="shared" si="125"/>
        <v>-1.2191908869983829E-2</v>
      </c>
      <c r="G2697" s="9">
        <f t="shared" si="126"/>
        <v>2.6624446108682157E-2</v>
      </c>
    </row>
    <row r="2698" spans="1:7" x14ac:dyDescent="0.2">
      <c r="A2698" s="12">
        <v>40807</v>
      </c>
      <c r="B2698" s="9">
        <v>919</v>
      </c>
      <c r="C2698" s="9">
        <v>905.72</v>
      </c>
      <c r="D2698" s="9">
        <v>906.4</v>
      </c>
      <c r="E2698" s="9">
        <f t="shared" si="127"/>
        <v>-1.354422510775726E-2</v>
      </c>
      <c r="F2698" s="45">
        <f t="shared" si="125"/>
        <v>2.0099621340106829E-3</v>
      </c>
      <c r="G2698" s="9">
        <f t="shared" si="126"/>
        <v>2.624512635306386E-2</v>
      </c>
    </row>
    <row r="2699" spans="1:7" x14ac:dyDescent="0.2">
      <c r="A2699" s="12">
        <v>40808</v>
      </c>
      <c r="B2699" s="9">
        <v>887.88</v>
      </c>
      <c r="C2699" s="9">
        <v>862.17</v>
      </c>
      <c r="D2699" s="9">
        <v>862.17</v>
      </c>
      <c r="E2699" s="9">
        <f t="shared" si="127"/>
        <v>-5.002824271731629E-2</v>
      </c>
      <c r="F2699" s="45">
        <f t="shared" si="125"/>
        <v>-8.3977601429099269E-2</v>
      </c>
      <c r="G2699" s="9">
        <f t="shared" si="126"/>
        <v>2.6877888268376209E-2</v>
      </c>
    </row>
    <row r="2700" spans="1:7" x14ac:dyDescent="0.2">
      <c r="A2700" s="12">
        <v>40809</v>
      </c>
      <c r="B2700" s="9">
        <v>873.66</v>
      </c>
      <c r="C2700" s="9">
        <v>833.03</v>
      </c>
      <c r="D2700" s="9">
        <v>862.35</v>
      </c>
      <c r="E2700" s="9">
        <f t="shared" si="127"/>
        <v>2.0875374092944974E-4</v>
      </c>
      <c r="F2700" s="45">
        <f t="shared" si="125"/>
        <v>-0.10475849067822703</v>
      </c>
      <c r="G2700" s="9">
        <f t="shared" si="126"/>
        <v>2.650891010017779E-2</v>
      </c>
    </row>
    <row r="2701" spans="1:7" x14ac:dyDescent="0.2">
      <c r="A2701" s="12">
        <v>40812</v>
      </c>
      <c r="B2701" s="9">
        <v>884.52</v>
      </c>
      <c r="C2701" s="9">
        <v>846.18</v>
      </c>
      <c r="D2701" s="9">
        <v>872.98</v>
      </c>
      <c r="E2701" s="9">
        <f t="shared" si="127"/>
        <v>1.2251425332320138E-2</v>
      </c>
      <c r="F2701" s="45">
        <f t="shared" si="125"/>
        <v>-0.10288546275429881</v>
      </c>
      <c r="G2701" s="9">
        <f t="shared" si="126"/>
        <v>2.654488554779506E-2</v>
      </c>
    </row>
    <row r="2702" spans="1:7" x14ac:dyDescent="0.2">
      <c r="A2702" s="12">
        <v>40813</v>
      </c>
      <c r="B2702" s="9">
        <v>927.27</v>
      </c>
      <c r="C2702" s="9">
        <v>891.98</v>
      </c>
      <c r="D2702" s="9">
        <v>927.27</v>
      </c>
      <c r="E2702" s="9">
        <f t="shared" si="127"/>
        <v>6.0332139223466232E-2</v>
      </c>
      <c r="F2702" s="45">
        <f t="shared" si="125"/>
        <v>-3.1945156309005358E-2</v>
      </c>
      <c r="G2702" s="9">
        <f t="shared" si="126"/>
        <v>2.8935458603298443E-2</v>
      </c>
    </row>
    <row r="2703" spans="1:7" x14ac:dyDescent="0.2">
      <c r="A2703" s="12">
        <v>40814</v>
      </c>
      <c r="B2703" s="9">
        <v>927.71</v>
      </c>
      <c r="C2703" s="9">
        <v>901.64</v>
      </c>
      <c r="D2703" s="9">
        <v>904.35</v>
      </c>
      <c r="E2703" s="9">
        <f t="shared" si="127"/>
        <v>-2.5028331689671685E-2</v>
      </c>
      <c r="F2703" s="45">
        <f t="shared" si="125"/>
        <v>-5.7140598553141908E-2</v>
      </c>
      <c r="G2703" s="9">
        <f t="shared" si="126"/>
        <v>2.9262270125733267E-2</v>
      </c>
    </row>
    <row r="2704" spans="1:7" x14ac:dyDescent="0.2">
      <c r="A2704" s="12">
        <v>40815</v>
      </c>
      <c r="B2704" s="9">
        <v>931.72</v>
      </c>
      <c r="C2704" s="9">
        <v>902.12</v>
      </c>
      <c r="D2704" s="9">
        <v>930.36</v>
      </c>
      <c r="E2704" s="9">
        <f t="shared" si="127"/>
        <v>2.8355154415343673E-2</v>
      </c>
      <c r="F2704" s="45">
        <f t="shared" si="125"/>
        <v>4.0895445488631596E-2</v>
      </c>
      <c r="G2704" s="9">
        <f t="shared" si="126"/>
        <v>2.6803119064032651E-2</v>
      </c>
    </row>
    <row r="2705" spans="1:7" x14ac:dyDescent="0.2">
      <c r="A2705" s="12">
        <v>40816</v>
      </c>
      <c r="B2705" s="9">
        <v>928.95</v>
      </c>
      <c r="C2705" s="9">
        <v>903.29</v>
      </c>
      <c r="D2705" s="9">
        <v>910.17</v>
      </c>
      <c r="E2705" s="9">
        <f t="shared" si="127"/>
        <v>-2.1940212768569559E-2</v>
      </c>
      <c r="F2705" s="45">
        <f t="shared" si="125"/>
        <v>3.663421517201125E-2</v>
      </c>
      <c r="G2705" s="9">
        <f t="shared" si="126"/>
        <v>2.6918553697891978E-2</v>
      </c>
    </row>
    <row r="2706" spans="1:7" x14ac:dyDescent="0.2">
      <c r="A2706" s="12">
        <v>40819</v>
      </c>
      <c r="B2706" s="9">
        <v>909.24</v>
      </c>
      <c r="C2706" s="9">
        <v>885.45</v>
      </c>
      <c r="D2706" s="9">
        <v>902.72</v>
      </c>
      <c r="E2706" s="9">
        <f t="shared" si="127"/>
        <v>-8.2189674366668405E-3</v>
      </c>
      <c r="F2706" s="45">
        <f t="shared" si="125"/>
        <v>1.660961800878772E-2</v>
      </c>
      <c r="G2706" s="9">
        <f t="shared" si="126"/>
        <v>2.6895305024574819E-2</v>
      </c>
    </row>
    <row r="2707" spans="1:7" x14ac:dyDescent="0.2">
      <c r="A2707" s="12">
        <v>40820</v>
      </c>
      <c r="B2707" s="9">
        <v>890.28</v>
      </c>
      <c r="C2707" s="9">
        <v>855.74</v>
      </c>
      <c r="D2707" s="9">
        <v>867.02</v>
      </c>
      <c r="E2707" s="9">
        <f t="shared" si="127"/>
        <v>-4.0350383248403385E-2</v>
      </c>
      <c r="F2707" s="45">
        <f t="shared" si="125"/>
        <v>-4.3612956716232991E-2</v>
      </c>
      <c r="G2707" s="9">
        <f t="shared" si="126"/>
        <v>2.7640804390557331E-2</v>
      </c>
    </row>
    <row r="2708" spans="1:7" x14ac:dyDescent="0.2">
      <c r="A2708" s="12">
        <v>40821</v>
      </c>
      <c r="B2708" s="9">
        <v>899.76</v>
      </c>
      <c r="C2708" s="9">
        <v>869.98</v>
      </c>
      <c r="D2708" s="9">
        <v>899.76</v>
      </c>
      <c r="E2708" s="9">
        <f t="shared" si="127"/>
        <v>3.7066016530538176E-2</v>
      </c>
      <c r="F2708" s="45">
        <f t="shared" si="125"/>
        <v>-1.8172106097378848E-2</v>
      </c>
      <c r="G2708" s="9">
        <f t="shared" si="126"/>
        <v>2.8434770202402551E-2</v>
      </c>
    </row>
    <row r="2709" spans="1:7" x14ac:dyDescent="0.2">
      <c r="A2709" s="12">
        <v>40822</v>
      </c>
      <c r="B2709" s="9">
        <v>920.5</v>
      </c>
      <c r="C2709" s="9">
        <v>897.4</v>
      </c>
      <c r="D2709" s="9">
        <v>920.5</v>
      </c>
      <c r="E2709" s="9">
        <f t="shared" si="127"/>
        <v>2.2788939577366323E-2</v>
      </c>
      <c r="F2709" s="45">
        <f t="shared" si="125"/>
        <v>1.8961916154064666E-2</v>
      </c>
      <c r="G2709" s="9">
        <f t="shared" si="126"/>
        <v>2.8623673154070432E-2</v>
      </c>
    </row>
    <row r="2710" spans="1:7" x14ac:dyDescent="0.2">
      <c r="A2710" s="12">
        <v>40823</v>
      </c>
      <c r="B2710" s="9">
        <v>933.58</v>
      </c>
      <c r="C2710" s="9">
        <v>912.72</v>
      </c>
      <c r="D2710" s="9">
        <v>918.28</v>
      </c>
      <c r="E2710" s="9">
        <f t="shared" si="127"/>
        <v>-2.4146456657620601E-3</v>
      </c>
      <c r="F2710" s="45">
        <f t="shared" si="125"/>
        <v>1.5319074951262588E-2</v>
      </c>
      <c r="G2710" s="9">
        <f t="shared" si="126"/>
        <v>2.8628783444034248E-2</v>
      </c>
    </row>
    <row r="2711" spans="1:7" x14ac:dyDescent="0.2">
      <c r="A2711" s="12">
        <v>40826</v>
      </c>
      <c r="B2711" s="9">
        <v>948.29</v>
      </c>
      <c r="C2711" s="9">
        <v>921.05</v>
      </c>
      <c r="D2711" s="9">
        <v>948.29</v>
      </c>
      <c r="E2711" s="9">
        <f t="shared" si="127"/>
        <v>3.2158007640587689E-2</v>
      </c>
      <c r="F2711" s="45">
        <f t="shared" si="125"/>
        <v>2.2307739715007963E-2</v>
      </c>
      <c r="G2711" s="9">
        <f t="shared" si="126"/>
        <v>2.8863821923258193E-2</v>
      </c>
    </row>
    <row r="2712" spans="1:7" x14ac:dyDescent="0.2">
      <c r="A2712" s="12">
        <v>40827</v>
      </c>
      <c r="B2712" s="9">
        <v>952.21</v>
      </c>
      <c r="C2712" s="9">
        <v>937.35</v>
      </c>
      <c r="D2712" s="9">
        <v>946.78</v>
      </c>
      <c r="E2712" s="9">
        <f t="shared" si="127"/>
        <v>-1.5936090166220984E-3</v>
      </c>
      <c r="F2712" s="45">
        <f t="shared" si="125"/>
        <v>1.7742392306803276E-2</v>
      </c>
      <c r="G2712" s="9">
        <f t="shared" si="126"/>
        <v>2.8863704319355286E-2</v>
      </c>
    </row>
    <row r="2713" spans="1:7" x14ac:dyDescent="0.2">
      <c r="A2713" s="12">
        <v>40828</v>
      </c>
      <c r="B2713" s="9">
        <v>960.7</v>
      </c>
      <c r="C2713" s="9">
        <v>933.51</v>
      </c>
      <c r="D2713" s="9">
        <v>957.74</v>
      </c>
      <c r="E2713" s="9">
        <f t="shared" si="127"/>
        <v>1.1509588756829088E-2</v>
      </c>
      <c r="F2713" s="45">
        <f t="shared" si="125"/>
        <v>3.2525115345670894E-3</v>
      </c>
      <c r="G2713" s="9">
        <f t="shared" si="126"/>
        <v>2.8543329468150719E-2</v>
      </c>
    </row>
    <row r="2714" spans="1:7" x14ac:dyDescent="0.2">
      <c r="A2714" s="12">
        <v>40829</v>
      </c>
      <c r="B2714" s="9">
        <v>965.45</v>
      </c>
      <c r="C2714" s="9">
        <v>933.35</v>
      </c>
      <c r="D2714" s="9">
        <v>936.22</v>
      </c>
      <c r="E2714" s="9">
        <f t="shared" si="127"/>
        <v>-2.2725850793746505E-2</v>
      </c>
      <c r="F2714" s="45">
        <f t="shared" si="125"/>
        <v>-2.6696074162437564E-2</v>
      </c>
      <c r="G2714" s="9">
        <f t="shared" si="126"/>
        <v>2.8808416554349157E-2</v>
      </c>
    </row>
    <row r="2715" spans="1:7" x14ac:dyDescent="0.2">
      <c r="A2715" s="12">
        <v>40830</v>
      </c>
      <c r="B2715" s="9">
        <v>959.67</v>
      </c>
      <c r="C2715" s="9">
        <v>936.8</v>
      </c>
      <c r="D2715" s="9">
        <v>956.39</v>
      </c>
      <c r="E2715" s="9">
        <f t="shared" si="127"/>
        <v>2.1315288058885353E-2</v>
      </c>
      <c r="F2715" s="45">
        <f t="shared" si="125"/>
        <v>2.572567458619264E-2</v>
      </c>
      <c r="G2715" s="9">
        <f t="shared" si="126"/>
        <v>2.8500602742072251E-2</v>
      </c>
    </row>
    <row r="2716" spans="1:7" x14ac:dyDescent="0.2">
      <c r="A2716" s="12">
        <v>40833</v>
      </c>
      <c r="B2716" s="9">
        <v>969.6</v>
      </c>
      <c r="C2716" s="9">
        <v>933.33</v>
      </c>
      <c r="D2716" s="9">
        <v>939.4</v>
      </c>
      <c r="E2716" s="9">
        <f t="shared" si="127"/>
        <v>-1.7924406060409469E-2</v>
      </c>
      <c r="F2716" s="45">
        <f t="shared" si="125"/>
        <v>5.6934265836212757E-2</v>
      </c>
      <c r="G2716" s="9">
        <f t="shared" si="126"/>
        <v>2.7150594863180957E-2</v>
      </c>
    </row>
    <row r="2717" spans="1:7" x14ac:dyDescent="0.2">
      <c r="A2717" s="12">
        <v>40834</v>
      </c>
      <c r="B2717" s="9">
        <v>949.45</v>
      </c>
      <c r="C2717" s="9">
        <v>926.59</v>
      </c>
      <c r="D2717" s="9">
        <v>945.53</v>
      </c>
      <c r="E2717" s="9">
        <f t="shared" si="127"/>
        <v>6.5042432460419982E-3</v>
      </c>
      <c r="F2717" s="45">
        <f t="shared" si="125"/>
        <v>6.3596284005384973E-2</v>
      </c>
      <c r="G2717" s="9">
        <f t="shared" si="126"/>
        <v>2.7160445147790226E-2</v>
      </c>
    </row>
    <row r="2718" spans="1:7" x14ac:dyDescent="0.2">
      <c r="A2718" s="12">
        <v>40835</v>
      </c>
      <c r="B2718" s="9">
        <v>952.71</v>
      </c>
      <c r="C2718" s="9">
        <v>939.24</v>
      </c>
      <c r="D2718" s="9">
        <v>942.22</v>
      </c>
      <c r="E2718" s="9">
        <f t="shared" si="127"/>
        <v>-3.5068238825545425E-3</v>
      </c>
      <c r="F2718" s="45">
        <f t="shared" si="125"/>
        <v>2.6019616080839039E-2</v>
      </c>
      <c r="G2718" s="9">
        <f t="shared" si="126"/>
        <v>2.6494499153293233E-2</v>
      </c>
    </row>
    <row r="2719" spans="1:7" x14ac:dyDescent="0.2">
      <c r="A2719" s="12">
        <v>40836</v>
      </c>
      <c r="B2719" s="9">
        <v>951.3</v>
      </c>
      <c r="C2719" s="9">
        <v>927.38</v>
      </c>
      <c r="D2719" s="9">
        <v>934.05</v>
      </c>
      <c r="E2719" s="9">
        <f t="shared" si="127"/>
        <v>-8.7088229698114531E-3</v>
      </c>
      <c r="F2719" s="45">
        <f t="shared" si="125"/>
        <v>1.6439731885680663E-2</v>
      </c>
      <c r="G2719" s="9">
        <f t="shared" si="126"/>
        <v>2.6552121447298391E-2</v>
      </c>
    </row>
    <row r="2720" spans="1:7" x14ac:dyDescent="0.2">
      <c r="A2720" s="12">
        <v>40837</v>
      </c>
      <c r="B2720" s="9">
        <v>965.74</v>
      </c>
      <c r="C2720" s="9">
        <v>934.91</v>
      </c>
      <c r="D2720" s="9">
        <v>965.2</v>
      </c>
      <c r="E2720" s="9">
        <f t="shared" si="127"/>
        <v>3.2805363764306081E-2</v>
      </c>
      <c r="F2720" s="45">
        <f t="shared" si="125"/>
        <v>8.7199768316650342E-2</v>
      </c>
      <c r="G2720" s="9">
        <f t="shared" si="126"/>
        <v>2.6153804365813289E-2</v>
      </c>
    </row>
    <row r="2721" spans="1:7" x14ac:dyDescent="0.2">
      <c r="A2721" s="12">
        <v>40840</v>
      </c>
      <c r="B2721" s="9">
        <v>978.61</v>
      </c>
      <c r="C2721" s="9">
        <v>964.41</v>
      </c>
      <c r="D2721" s="9">
        <v>978.08</v>
      </c>
      <c r="E2721" s="9">
        <f t="shared" si="127"/>
        <v>1.3256132529538545E-2</v>
      </c>
      <c r="F2721" s="45">
        <f t="shared" ref="F2721:F2784" si="128">LN(D2721/D2691)</f>
        <v>0.12566356805306328</v>
      </c>
      <c r="G2721" s="9">
        <f t="shared" ref="G2721:G2784" si="129">STDEV(E2692:E2721)</f>
        <v>2.5666296031240553E-2</v>
      </c>
    </row>
    <row r="2722" spans="1:7" x14ac:dyDescent="0.2">
      <c r="A2722" s="12">
        <v>40841</v>
      </c>
      <c r="B2722" s="9">
        <v>985.87</v>
      </c>
      <c r="C2722" s="9">
        <v>965.24</v>
      </c>
      <c r="D2722" s="9">
        <v>975.67</v>
      </c>
      <c r="E2722" s="9">
        <f t="shared" si="127"/>
        <v>-2.4670517951025776E-3</v>
      </c>
      <c r="F2722" s="45">
        <f t="shared" si="128"/>
        <v>0.10502234373004657</v>
      </c>
      <c r="G2722" s="9">
        <f t="shared" si="129"/>
        <v>2.5554884090977885E-2</v>
      </c>
    </row>
    <row r="2723" spans="1:7" x14ac:dyDescent="0.2">
      <c r="A2723" s="12">
        <v>40842</v>
      </c>
      <c r="B2723" s="9">
        <v>996.67</v>
      </c>
      <c r="C2723" s="9">
        <v>972.66</v>
      </c>
      <c r="D2723" s="9">
        <v>983.08</v>
      </c>
      <c r="E2723" s="9">
        <f t="shared" si="127"/>
        <v>7.5660858702322076E-3</v>
      </c>
      <c r="F2723" s="45">
        <f t="shared" si="128"/>
        <v>9.8705284419288233E-2</v>
      </c>
      <c r="G2723" s="9">
        <f t="shared" si="129"/>
        <v>2.5492333879313447E-2</v>
      </c>
    </row>
    <row r="2724" spans="1:7" x14ac:dyDescent="0.2">
      <c r="A2724" s="12">
        <v>40843</v>
      </c>
      <c r="B2724" s="9">
        <v>1029.6600000000001</v>
      </c>
      <c r="C2724" s="9">
        <v>1003.37</v>
      </c>
      <c r="D2724" s="9">
        <v>1029.3399999999999</v>
      </c>
      <c r="E2724" s="9">
        <f t="shared" si="127"/>
        <v>4.5982598783976411E-2</v>
      </c>
      <c r="F2724" s="45">
        <f t="shared" si="128"/>
        <v>0.10729025684378542</v>
      </c>
      <c r="G2724" s="9">
        <f t="shared" si="129"/>
        <v>2.593279216676788E-2</v>
      </c>
    </row>
    <row r="2725" spans="1:7" x14ac:dyDescent="0.2">
      <c r="A2725" s="12">
        <v>40844</v>
      </c>
      <c r="B2725" s="9">
        <v>1037.43</v>
      </c>
      <c r="C2725" s="9">
        <v>1019.91</v>
      </c>
      <c r="D2725" s="9">
        <v>1025.72</v>
      </c>
      <c r="E2725" s="9">
        <f t="shared" si="127"/>
        <v>-3.5230151374420664E-3</v>
      </c>
      <c r="F2725" s="45">
        <f t="shared" si="128"/>
        <v>0.10103471922868706</v>
      </c>
      <c r="G2725" s="9">
        <f t="shared" si="129"/>
        <v>2.5964940569628479E-2</v>
      </c>
    </row>
    <row r="2726" spans="1:7" x14ac:dyDescent="0.2">
      <c r="A2726" s="12">
        <v>40847</v>
      </c>
      <c r="B2726" s="9">
        <v>1021.08</v>
      </c>
      <c r="C2726" s="9">
        <v>990.44</v>
      </c>
      <c r="D2726" s="9">
        <v>990.44</v>
      </c>
      <c r="E2726" s="9">
        <f t="shared" si="127"/>
        <v>-3.5000795165177075E-2</v>
      </c>
      <c r="F2726" s="45">
        <f t="shared" si="128"/>
        <v>0.10085640689351753</v>
      </c>
      <c r="G2726" s="9">
        <f t="shared" si="129"/>
        <v>2.5974003160830379E-2</v>
      </c>
    </row>
    <row r="2727" spans="1:7" x14ac:dyDescent="0.2">
      <c r="A2727" s="12">
        <v>40848</v>
      </c>
      <c r="B2727" s="9">
        <v>969.35</v>
      </c>
      <c r="C2727" s="9">
        <v>940.95</v>
      </c>
      <c r="D2727" s="9">
        <v>945.86</v>
      </c>
      <c r="E2727" s="9">
        <f t="shared" si="127"/>
        <v>-4.6054722280193215E-2</v>
      </c>
      <c r="F2727" s="45">
        <f t="shared" si="128"/>
        <v>2.9069631735155105E-2</v>
      </c>
      <c r="G2727" s="9">
        <f t="shared" si="129"/>
        <v>2.712335442891637E-2</v>
      </c>
    </row>
    <row r="2728" spans="1:7" x14ac:dyDescent="0.2">
      <c r="A2728" s="12">
        <v>40849</v>
      </c>
      <c r="B2728" s="9">
        <v>965.72</v>
      </c>
      <c r="C2728" s="9">
        <v>942.25</v>
      </c>
      <c r="D2728" s="9">
        <v>964.9</v>
      </c>
      <c r="E2728" s="9">
        <f t="shared" si="127"/>
        <v>1.9929902469629123E-2</v>
      </c>
      <c r="F2728" s="45">
        <f t="shared" si="128"/>
        <v>6.2543759312541664E-2</v>
      </c>
      <c r="G2728" s="9">
        <f t="shared" si="129"/>
        <v>2.7194159284274932E-2</v>
      </c>
    </row>
    <row r="2729" spans="1:7" x14ac:dyDescent="0.2">
      <c r="A2729" s="12">
        <v>40850</v>
      </c>
      <c r="B2729" s="9">
        <v>989.62</v>
      </c>
      <c r="C2729" s="9">
        <v>947.39</v>
      </c>
      <c r="D2729" s="9">
        <v>979.78</v>
      </c>
      <c r="E2729" s="9">
        <f t="shared" si="127"/>
        <v>1.5303587640755045E-2</v>
      </c>
      <c r="F2729" s="45">
        <f t="shared" si="128"/>
        <v>0.12787558967061285</v>
      </c>
      <c r="G2729" s="9">
        <f t="shared" si="129"/>
        <v>2.5436086173299805E-2</v>
      </c>
    </row>
    <row r="2730" spans="1:7" x14ac:dyDescent="0.2">
      <c r="A2730" s="12">
        <v>40851</v>
      </c>
      <c r="B2730" s="9">
        <v>993.47</v>
      </c>
      <c r="C2730" s="9">
        <v>979.25</v>
      </c>
      <c r="D2730" s="9">
        <v>987.16</v>
      </c>
      <c r="E2730" s="9">
        <f t="shared" si="127"/>
        <v>7.5040770245540841E-3</v>
      </c>
      <c r="F2730" s="45">
        <f t="shared" si="128"/>
        <v>0.1351709129542378</v>
      </c>
      <c r="G2730" s="9">
        <f t="shared" si="129"/>
        <v>2.5430866754503519E-2</v>
      </c>
    </row>
    <row r="2731" spans="1:7" x14ac:dyDescent="0.2">
      <c r="A2731" s="12">
        <v>40854</v>
      </c>
      <c r="B2731" s="9">
        <v>984.74</v>
      </c>
      <c r="C2731" s="9">
        <v>960.98</v>
      </c>
      <c r="D2731" s="9">
        <v>968.39</v>
      </c>
      <c r="E2731" s="9">
        <f t="shared" si="127"/>
        <v>-1.9197234992502289E-2</v>
      </c>
      <c r="F2731" s="45">
        <f t="shared" si="128"/>
        <v>0.1037222526294153</v>
      </c>
      <c r="G2731" s="9">
        <f t="shared" si="129"/>
        <v>2.5746781480792066E-2</v>
      </c>
    </row>
    <row r="2732" spans="1:7" x14ac:dyDescent="0.2">
      <c r="A2732" s="12">
        <v>40855</v>
      </c>
      <c r="B2732" s="9">
        <v>982.94</v>
      </c>
      <c r="C2732" s="9">
        <v>967.77</v>
      </c>
      <c r="D2732" s="9">
        <v>970.45</v>
      </c>
      <c r="E2732" s="9">
        <f t="shared" si="127"/>
        <v>2.1249827475911401E-3</v>
      </c>
      <c r="F2732" s="45">
        <f t="shared" si="128"/>
        <v>4.5515096153540192E-2</v>
      </c>
      <c r="G2732" s="9">
        <f t="shared" si="129"/>
        <v>2.339916777731442E-2</v>
      </c>
    </row>
    <row r="2733" spans="1:7" x14ac:dyDescent="0.2">
      <c r="A2733" s="12">
        <v>40856</v>
      </c>
      <c r="B2733" s="9">
        <v>979.96</v>
      </c>
      <c r="C2733" s="9">
        <v>936.86</v>
      </c>
      <c r="D2733" s="9">
        <v>946.72</v>
      </c>
      <c r="E2733" s="9">
        <f t="shared" si="127"/>
        <v>-2.475650251835217E-2</v>
      </c>
      <c r="F2733" s="45">
        <f t="shared" si="128"/>
        <v>4.5786925324859645E-2</v>
      </c>
      <c r="G2733" s="9">
        <f t="shared" si="129"/>
        <v>2.3388584212237416E-2</v>
      </c>
    </row>
    <row r="2734" spans="1:7" x14ac:dyDescent="0.2">
      <c r="A2734" s="12">
        <v>40857</v>
      </c>
      <c r="B2734" s="9">
        <v>957.03</v>
      </c>
      <c r="C2734" s="9">
        <v>925.21</v>
      </c>
      <c r="D2734" s="9">
        <v>945.9</v>
      </c>
      <c r="E2734" s="9">
        <f t="shared" si="127"/>
        <v>-8.6652370925920953E-4</v>
      </c>
      <c r="F2734" s="45">
        <f t="shared" si="128"/>
        <v>1.6565247200256834E-2</v>
      </c>
      <c r="G2734" s="9">
        <f t="shared" si="129"/>
        <v>2.2834653684181593E-2</v>
      </c>
    </row>
    <row r="2735" spans="1:7" x14ac:dyDescent="0.2">
      <c r="A2735" s="12">
        <v>40858</v>
      </c>
      <c r="B2735" s="9">
        <v>978.8</v>
      </c>
      <c r="C2735" s="9">
        <v>942.63</v>
      </c>
      <c r="D2735" s="9">
        <v>976.51</v>
      </c>
      <c r="E2735" s="9">
        <f t="shared" si="127"/>
        <v>3.1848135700575556E-2</v>
      </c>
      <c r="F2735" s="45">
        <f t="shared" si="128"/>
        <v>7.0353595669402108E-2</v>
      </c>
      <c r="G2735" s="9">
        <f t="shared" si="129"/>
        <v>2.31176234970559E-2</v>
      </c>
    </row>
    <row r="2736" spans="1:7" x14ac:dyDescent="0.2">
      <c r="A2736" s="12">
        <v>40861</v>
      </c>
      <c r="B2736" s="9">
        <v>985.48</v>
      </c>
      <c r="C2736" s="9">
        <v>959.47</v>
      </c>
      <c r="D2736" s="9">
        <v>962.91</v>
      </c>
      <c r="E2736" s="9">
        <f t="shared" si="127"/>
        <v>-1.4025041432965893E-2</v>
      </c>
      <c r="F2736" s="45">
        <f t="shared" si="128"/>
        <v>6.4547521673102987E-2</v>
      </c>
      <c r="G2736" s="9">
        <f t="shared" si="129"/>
        <v>2.3233128491458394E-2</v>
      </c>
    </row>
    <row r="2737" spans="1:7" x14ac:dyDescent="0.2">
      <c r="A2737" s="12">
        <v>40862</v>
      </c>
      <c r="B2737" s="9">
        <v>965.49</v>
      </c>
      <c r="C2737" s="9">
        <v>946.84</v>
      </c>
      <c r="D2737" s="9">
        <v>959.34</v>
      </c>
      <c r="E2737" s="9">
        <f t="shared" si="127"/>
        <v>-3.7144014613504995E-3</v>
      </c>
      <c r="F2737" s="45">
        <f t="shared" si="128"/>
        <v>0.10118350346015591</v>
      </c>
      <c r="G2737" s="9">
        <f t="shared" si="129"/>
        <v>2.1843346851176434E-2</v>
      </c>
    </row>
    <row r="2738" spans="1:7" x14ac:dyDescent="0.2">
      <c r="A2738" s="12">
        <v>40863</v>
      </c>
      <c r="B2738" s="9">
        <v>970.24</v>
      </c>
      <c r="C2738" s="9">
        <v>951.82</v>
      </c>
      <c r="D2738" s="9">
        <v>961.17</v>
      </c>
      <c r="E2738" s="9">
        <f t="shared" si="127"/>
        <v>1.9057443635896885E-3</v>
      </c>
      <c r="F2738" s="45">
        <f t="shared" si="128"/>
        <v>6.6023231293207432E-2</v>
      </c>
      <c r="G2738" s="9">
        <f t="shared" si="129"/>
        <v>2.0895909794758277E-2</v>
      </c>
    </row>
    <row r="2739" spans="1:7" x14ac:dyDescent="0.2">
      <c r="A2739" s="12">
        <v>40864</v>
      </c>
      <c r="B2739" s="9">
        <v>959.86</v>
      </c>
      <c r="C2739" s="9">
        <v>938.79</v>
      </c>
      <c r="D2739" s="9">
        <v>947.46</v>
      </c>
      <c r="E2739" s="9">
        <f t="shared" si="127"/>
        <v>-1.4366572682366881E-2</v>
      </c>
      <c r="F2739" s="45">
        <f t="shared" si="128"/>
        <v>2.8867719033474241E-2</v>
      </c>
      <c r="G2739" s="9">
        <f t="shared" si="129"/>
        <v>2.0734045835225569E-2</v>
      </c>
    </row>
    <row r="2740" spans="1:7" x14ac:dyDescent="0.2">
      <c r="A2740" s="12">
        <v>40865</v>
      </c>
      <c r="B2740" s="9">
        <v>949.31</v>
      </c>
      <c r="C2740" s="9">
        <v>935.96</v>
      </c>
      <c r="D2740" s="9">
        <v>941.25</v>
      </c>
      <c r="E2740" s="9">
        <f t="shared" si="127"/>
        <v>-6.5759405925035191E-3</v>
      </c>
      <c r="F2740" s="45">
        <f t="shared" si="128"/>
        <v>2.4706424106732894E-2</v>
      </c>
      <c r="G2740" s="9">
        <f t="shared" si="129"/>
        <v>2.0771302140328702E-2</v>
      </c>
    </row>
    <row r="2741" spans="1:7" x14ac:dyDescent="0.2">
      <c r="A2741" s="12">
        <v>40868</v>
      </c>
      <c r="B2741" s="9">
        <v>934.94</v>
      </c>
      <c r="C2741" s="9">
        <v>905.99</v>
      </c>
      <c r="D2741" s="9">
        <v>907.4</v>
      </c>
      <c r="E2741" s="9">
        <f t="shared" si="127"/>
        <v>-3.6625411884239865E-2</v>
      </c>
      <c r="F2741" s="45">
        <f t="shared" si="128"/>
        <v>-4.4076995418094803E-2</v>
      </c>
      <c r="G2741" s="9">
        <f t="shared" si="129"/>
        <v>2.0988365952002246E-2</v>
      </c>
    </row>
    <row r="2742" spans="1:7" x14ac:dyDescent="0.2">
      <c r="A2742" s="12">
        <v>40869</v>
      </c>
      <c r="B2742" s="9">
        <v>917.46</v>
      </c>
      <c r="C2742" s="9">
        <v>899.09</v>
      </c>
      <c r="D2742" s="9">
        <v>905.76</v>
      </c>
      <c r="E2742" s="9">
        <f t="shared" si="127"/>
        <v>-1.808996941513768E-3</v>
      </c>
      <c r="F2742" s="45">
        <f t="shared" si="128"/>
        <v>-4.4292383342986484E-2</v>
      </c>
      <c r="G2742" s="9">
        <f t="shared" si="129"/>
        <v>2.0988446804246511E-2</v>
      </c>
    </row>
    <row r="2743" spans="1:7" x14ac:dyDescent="0.2">
      <c r="A2743" s="12">
        <v>40870</v>
      </c>
      <c r="B2743" s="9">
        <v>913.96</v>
      </c>
      <c r="C2743" s="9">
        <v>886.99</v>
      </c>
      <c r="D2743" s="9">
        <v>888.81</v>
      </c>
      <c r="E2743" s="9">
        <f t="shared" si="127"/>
        <v>-1.8890880901110494E-2</v>
      </c>
      <c r="F2743" s="45">
        <f t="shared" si="128"/>
        <v>-7.4692853000926027E-2</v>
      </c>
      <c r="G2743" s="9">
        <f t="shared" si="129"/>
        <v>2.1073560209621141E-2</v>
      </c>
    </row>
    <row r="2744" spans="1:7" x14ac:dyDescent="0.2">
      <c r="A2744" s="12">
        <v>40871</v>
      </c>
      <c r="B2744" s="9">
        <v>905.05</v>
      </c>
      <c r="C2744" s="9">
        <v>875.81</v>
      </c>
      <c r="D2744" s="9">
        <v>886.51</v>
      </c>
      <c r="E2744" s="9">
        <f t="shared" si="127"/>
        <v>-2.5910836207501614E-3</v>
      </c>
      <c r="F2744" s="45">
        <f t="shared" si="128"/>
        <v>-5.4558085827929606E-2</v>
      </c>
      <c r="G2744" s="9">
        <f t="shared" si="129"/>
        <v>2.0724590255132673E-2</v>
      </c>
    </row>
    <row r="2745" spans="1:7" x14ac:dyDescent="0.2">
      <c r="A2745" s="12">
        <v>40872</v>
      </c>
      <c r="B2745" s="9">
        <v>895.59</v>
      </c>
      <c r="C2745" s="9">
        <v>872.93</v>
      </c>
      <c r="D2745" s="9">
        <v>889.22</v>
      </c>
      <c r="E2745" s="9">
        <f t="shared" si="127"/>
        <v>3.052268198363562E-3</v>
      </c>
      <c r="F2745" s="45">
        <f t="shared" si="128"/>
        <v>-7.2821105688451432E-2</v>
      </c>
      <c r="G2745" s="9">
        <f t="shared" si="129"/>
        <v>2.0285191763879169E-2</v>
      </c>
    </row>
    <row r="2746" spans="1:7" x14ac:dyDescent="0.2">
      <c r="A2746" s="12">
        <v>40875</v>
      </c>
      <c r="B2746" s="9">
        <v>927.47</v>
      </c>
      <c r="C2746" s="9">
        <v>899.36</v>
      </c>
      <c r="D2746" s="9">
        <v>927.16</v>
      </c>
      <c r="E2746" s="9">
        <f t="shared" si="127"/>
        <v>4.1781476491623601E-2</v>
      </c>
      <c r="F2746" s="45">
        <f t="shared" si="128"/>
        <v>-1.3115223136418351E-2</v>
      </c>
      <c r="G2746" s="9">
        <f t="shared" si="129"/>
        <v>2.1598705845982585E-2</v>
      </c>
    </row>
    <row r="2747" spans="1:7" x14ac:dyDescent="0.2">
      <c r="A2747" s="12">
        <v>40876</v>
      </c>
      <c r="B2747" s="9">
        <v>933</v>
      </c>
      <c r="C2747" s="9">
        <v>916.01</v>
      </c>
      <c r="D2747" s="9">
        <v>931.44</v>
      </c>
      <c r="E2747" s="9">
        <f t="shared" si="127"/>
        <v>4.6056252722841608E-3</v>
      </c>
      <c r="F2747" s="45">
        <f t="shared" si="128"/>
        <v>-1.5013841110176033E-2</v>
      </c>
      <c r="G2747" s="9">
        <f t="shared" si="129"/>
        <v>2.1580439039345853E-2</v>
      </c>
    </row>
    <row r="2748" spans="1:7" x14ac:dyDescent="0.2">
      <c r="A2748" s="12">
        <v>40877</v>
      </c>
      <c r="B2748" s="9">
        <v>981.74</v>
      </c>
      <c r="C2748" s="9">
        <v>917.39</v>
      </c>
      <c r="D2748" s="9">
        <v>979.36</v>
      </c>
      <c r="E2748" s="9">
        <f t="shared" si="127"/>
        <v>5.0167521373999081E-2</v>
      </c>
      <c r="F2748" s="45">
        <f t="shared" si="128"/>
        <v>3.8660504146377617E-2</v>
      </c>
      <c r="G2748" s="9">
        <f t="shared" si="129"/>
        <v>2.3465249586587973E-2</v>
      </c>
    </row>
    <row r="2749" spans="1:7" x14ac:dyDescent="0.2">
      <c r="A2749" s="12">
        <v>40878</v>
      </c>
      <c r="B2749" s="9">
        <v>981.36</v>
      </c>
      <c r="C2749" s="9">
        <v>964.19</v>
      </c>
      <c r="D2749" s="9">
        <v>967.31</v>
      </c>
      <c r="E2749" s="9">
        <f t="shared" si="127"/>
        <v>-1.2380273913317577E-2</v>
      </c>
      <c r="F2749" s="45">
        <f t="shared" si="128"/>
        <v>3.4989053202871462E-2</v>
      </c>
      <c r="G2749" s="9">
        <f t="shared" si="129"/>
        <v>2.3528677402640582E-2</v>
      </c>
    </row>
    <row r="2750" spans="1:7" x14ac:dyDescent="0.2">
      <c r="A2750" s="12">
        <v>40879</v>
      </c>
      <c r="B2750" s="9">
        <v>980.56</v>
      </c>
      <c r="C2750" s="9">
        <v>971.32</v>
      </c>
      <c r="D2750" s="9">
        <v>974.48</v>
      </c>
      <c r="E2750" s="9">
        <f t="shared" si="127"/>
        <v>7.3849722022613293E-3</v>
      </c>
      <c r="F2750" s="45">
        <f t="shared" si="128"/>
        <v>9.5686616408267085E-3</v>
      </c>
      <c r="G2750" s="9">
        <f t="shared" si="129"/>
        <v>2.2796296500893355E-2</v>
      </c>
    </row>
    <row r="2751" spans="1:7" x14ac:dyDescent="0.2">
      <c r="A2751" s="12">
        <v>40882</v>
      </c>
      <c r="B2751" s="9">
        <v>992.03</v>
      </c>
      <c r="C2751" s="9">
        <v>976.04</v>
      </c>
      <c r="D2751" s="9">
        <v>988.71</v>
      </c>
      <c r="E2751" s="9">
        <f t="shared" ref="E2751:E2814" si="130">LN(D2751/D2750)</f>
        <v>1.4497067751728562E-2</v>
      </c>
      <c r="F2751" s="45">
        <f t="shared" si="128"/>
        <v>1.0809596863016866E-2</v>
      </c>
      <c r="G2751" s="9">
        <f t="shared" si="129"/>
        <v>2.2821692552357335E-2</v>
      </c>
    </row>
    <row r="2752" spans="1:7" x14ac:dyDescent="0.2">
      <c r="A2752" s="12">
        <v>40883</v>
      </c>
      <c r="B2752" s="9">
        <v>987.19</v>
      </c>
      <c r="C2752" s="9">
        <v>971.8</v>
      </c>
      <c r="D2752" s="9">
        <v>977.46</v>
      </c>
      <c r="E2752" s="9">
        <f t="shared" si="130"/>
        <v>-1.1443692837299119E-2</v>
      </c>
      <c r="F2752" s="45">
        <f t="shared" si="128"/>
        <v>1.8329558208203156E-3</v>
      </c>
      <c r="G2752" s="9">
        <f t="shared" si="129"/>
        <v>2.2918682757463262E-2</v>
      </c>
    </row>
    <row r="2753" spans="1:7" x14ac:dyDescent="0.2">
      <c r="A2753" s="12">
        <v>40884</v>
      </c>
      <c r="B2753" s="9">
        <v>989.59</v>
      </c>
      <c r="C2753" s="9">
        <v>964.82</v>
      </c>
      <c r="D2753" s="9">
        <v>978.82</v>
      </c>
      <c r="E2753" s="9">
        <f t="shared" si="130"/>
        <v>1.3903942371190903E-3</v>
      </c>
      <c r="F2753" s="45">
        <f t="shared" si="128"/>
        <v>-4.3427358122928097E-3</v>
      </c>
      <c r="G2753" s="9">
        <f t="shared" si="129"/>
        <v>2.2876644804085008E-2</v>
      </c>
    </row>
    <row r="2754" spans="1:7" x14ac:dyDescent="0.2">
      <c r="A2754" s="12">
        <v>40885</v>
      </c>
      <c r="B2754" s="9">
        <v>986.12</v>
      </c>
      <c r="C2754" s="9">
        <v>956.38</v>
      </c>
      <c r="D2754" s="9">
        <v>956.57</v>
      </c>
      <c r="E2754" s="9">
        <f t="shared" si="130"/>
        <v>-2.299379485928198E-2</v>
      </c>
      <c r="F2754" s="45">
        <f t="shared" si="128"/>
        <v>-7.3319129455551149E-2</v>
      </c>
      <c r="G2754" s="9">
        <f t="shared" si="129"/>
        <v>2.1505924988500201E-2</v>
      </c>
    </row>
    <row r="2755" spans="1:7" x14ac:dyDescent="0.2">
      <c r="A2755" s="12">
        <v>40886</v>
      </c>
      <c r="B2755" s="9">
        <v>972.72</v>
      </c>
      <c r="C2755" s="9">
        <v>946.68</v>
      </c>
      <c r="D2755" s="9">
        <v>963.25</v>
      </c>
      <c r="E2755" s="9">
        <f t="shared" si="130"/>
        <v>6.9590138222969692E-3</v>
      </c>
      <c r="F2755" s="45">
        <f t="shared" si="128"/>
        <v>-6.2837100495812134E-2</v>
      </c>
      <c r="G2755" s="9">
        <f t="shared" si="129"/>
        <v>2.1572834797350216E-2</v>
      </c>
    </row>
    <row r="2756" spans="1:7" x14ac:dyDescent="0.2">
      <c r="A2756" s="12">
        <v>40889</v>
      </c>
      <c r="B2756" s="9">
        <v>961.35</v>
      </c>
      <c r="C2756" s="9">
        <v>941.66</v>
      </c>
      <c r="D2756" s="9">
        <v>941.85</v>
      </c>
      <c r="E2756" s="9">
        <f t="shared" si="130"/>
        <v>-2.2466957278038803E-2</v>
      </c>
      <c r="F2756" s="45">
        <f t="shared" si="128"/>
        <v>-5.0303262608673939E-2</v>
      </c>
      <c r="G2756" s="9">
        <f t="shared" si="129"/>
        <v>2.1028065625105986E-2</v>
      </c>
    </row>
    <row r="2757" spans="1:7" x14ac:dyDescent="0.2">
      <c r="A2757" s="12">
        <v>40890</v>
      </c>
      <c r="B2757" s="9">
        <v>968.76</v>
      </c>
      <c r="C2757" s="9">
        <v>937.62</v>
      </c>
      <c r="D2757" s="9">
        <v>956.12</v>
      </c>
      <c r="E2757" s="9">
        <f t="shared" si="130"/>
        <v>1.5037401958371383E-2</v>
      </c>
      <c r="F2757" s="45">
        <f t="shared" si="128"/>
        <v>1.0788861629890505E-2</v>
      </c>
      <c r="G2757" s="9">
        <f t="shared" si="129"/>
        <v>1.9483644845254784E-2</v>
      </c>
    </row>
    <row r="2758" spans="1:7" x14ac:dyDescent="0.2">
      <c r="A2758" s="12">
        <v>40891</v>
      </c>
      <c r="B2758" s="9">
        <v>959.82</v>
      </c>
      <c r="C2758" s="9">
        <v>936.66</v>
      </c>
      <c r="D2758" s="9">
        <v>939.3</v>
      </c>
      <c r="E2758" s="9">
        <f t="shared" si="130"/>
        <v>-1.7748511186129749E-2</v>
      </c>
      <c r="F2758" s="45">
        <f t="shared" si="128"/>
        <v>-2.6889552025868461E-2</v>
      </c>
      <c r="G2758" s="9">
        <f t="shared" si="129"/>
        <v>1.9392806254521781E-2</v>
      </c>
    </row>
    <row r="2759" spans="1:7" x14ac:dyDescent="0.2">
      <c r="A2759" s="12">
        <v>40892</v>
      </c>
      <c r="B2759" s="9">
        <v>951.5</v>
      </c>
      <c r="C2759" s="9">
        <v>932.11</v>
      </c>
      <c r="D2759" s="9">
        <v>946.68</v>
      </c>
      <c r="E2759" s="9">
        <f t="shared" si="130"/>
        <v>7.8262098945288076E-3</v>
      </c>
      <c r="F2759" s="45">
        <f t="shared" si="128"/>
        <v>-3.4366929772094768E-2</v>
      </c>
      <c r="G2759" s="9">
        <f t="shared" si="129"/>
        <v>1.9224740648007884E-2</v>
      </c>
    </row>
    <row r="2760" spans="1:7" x14ac:dyDescent="0.2">
      <c r="A2760" s="12">
        <v>40893</v>
      </c>
      <c r="B2760" s="9">
        <v>950</v>
      </c>
      <c r="C2760" s="9">
        <v>935.26</v>
      </c>
      <c r="D2760" s="9">
        <v>937.69</v>
      </c>
      <c r="E2760" s="9">
        <f t="shared" si="130"/>
        <v>-9.54172291788042E-3</v>
      </c>
      <c r="F2760" s="45">
        <f t="shared" si="128"/>
        <v>-5.141272971452937E-2</v>
      </c>
      <c r="G2760" s="9">
        <f t="shared" si="129"/>
        <v>1.9212175387311476E-2</v>
      </c>
    </row>
    <row r="2761" spans="1:7" x14ac:dyDescent="0.2">
      <c r="A2761" s="12">
        <v>40896</v>
      </c>
      <c r="B2761" s="9">
        <v>949.44</v>
      </c>
      <c r="C2761" s="9">
        <v>930.06</v>
      </c>
      <c r="D2761" s="9">
        <v>934.27</v>
      </c>
      <c r="E2761" s="9">
        <f t="shared" si="130"/>
        <v>-3.6539282945030525E-3</v>
      </c>
      <c r="F2761" s="45">
        <f t="shared" si="128"/>
        <v>-3.5869423016530094E-2</v>
      </c>
      <c r="G2761" s="9">
        <f t="shared" si="129"/>
        <v>1.8931967078639846E-2</v>
      </c>
    </row>
    <row r="2762" spans="1:7" x14ac:dyDescent="0.2">
      <c r="A2762" s="12">
        <v>40897</v>
      </c>
      <c r="B2762" s="9">
        <v>960.55</v>
      </c>
      <c r="C2762" s="9">
        <v>927.47</v>
      </c>
      <c r="D2762" s="9">
        <v>959.67</v>
      </c>
      <c r="E2762" s="9">
        <f t="shared" si="130"/>
        <v>2.6823999683692576E-2</v>
      </c>
      <c r="F2762" s="45">
        <f t="shared" si="128"/>
        <v>-1.1170406080428649E-2</v>
      </c>
      <c r="G2762" s="9">
        <f t="shared" si="129"/>
        <v>1.9606386425872781E-2</v>
      </c>
    </row>
    <row r="2763" spans="1:7" x14ac:dyDescent="0.2">
      <c r="A2763" s="12">
        <v>40898</v>
      </c>
      <c r="B2763" s="9">
        <v>973.85</v>
      </c>
      <c r="C2763" s="9">
        <v>953.5</v>
      </c>
      <c r="D2763" s="9">
        <v>959.6</v>
      </c>
      <c r="E2763" s="9">
        <f t="shared" si="130"/>
        <v>-7.2944400767968316E-5</v>
      </c>
      <c r="F2763" s="45">
        <f t="shared" si="128"/>
        <v>1.3513152037155588E-2</v>
      </c>
      <c r="G2763" s="9">
        <f t="shared" si="129"/>
        <v>1.9058073317623356E-2</v>
      </c>
    </row>
    <row r="2764" spans="1:7" x14ac:dyDescent="0.2">
      <c r="A2764" s="12">
        <v>40899</v>
      </c>
      <c r="B2764" s="9">
        <v>970.9</v>
      </c>
      <c r="C2764" s="9">
        <v>960.24</v>
      </c>
      <c r="D2764" s="9">
        <v>970.9</v>
      </c>
      <c r="E2764" s="9">
        <f t="shared" si="130"/>
        <v>1.170694541055959E-2</v>
      </c>
      <c r="F2764" s="45">
        <f t="shared" si="128"/>
        <v>2.6086621156974462E-2</v>
      </c>
      <c r="G2764" s="9">
        <f t="shared" si="129"/>
        <v>1.9166061439649489E-2</v>
      </c>
    </row>
    <row r="2765" spans="1:7" x14ac:dyDescent="0.2">
      <c r="A2765" s="12">
        <v>40900</v>
      </c>
      <c r="B2765" s="9">
        <v>982.08</v>
      </c>
      <c r="C2765" s="9">
        <v>972.49</v>
      </c>
      <c r="D2765" s="9">
        <v>982.08</v>
      </c>
      <c r="E2765" s="9">
        <f t="shared" si="130"/>
        <v>1.1449295055272217E-2</v>
      </c>
      <c r="F2765" s="45">
        <f t="shared" si="128"/>
        <v>5.6877805116710405E-3</v>
      </c>
      <c r="G2765" s="9">
        <f t="shared" si="129"/>
        <v>1.8374633373787922E-2</v>
      </c>
    </row>
    <row r="2766" spans="1:7" x14ac:dyDescent="0.2">
      <c r="A2766" s="12">
        <v>40904</v>
      </c>
      <c r="B2766" s="9">
        <v>985.89</v>
      </c>
      <c r="C2766" s="9">
        <v>975.58</v>
      </c>
      <c r="D2766" s="9">
        <v>976.9</v>
      </c>
      <c r="E2766" s="9">
        <f t="shared" si="130"/>
        <v>-5.2884787724745072E-3</v>
      </c>
      <c r="F2766" s="45">
        <f t="shared" si="128"/>
        <v>1.4424343172162383E-2</v>
      </c>
      <c r="G2766" s="9">
        <f t="shared" si="129"/>
        <v>1.8210073557309789E-2</v>
      </c>
    </row>
    <row r="2767" spans="1:7" x14ac:dyDescent="0.2">
      <c r="A2767" s="12">
        <v>40905</v>
      </c>
      <c r="B2767" s="9">
        <v>981.37</v>
      </c>
      <c r="C2767" s="9">
        <v>966.94</v>
      </c>
      <c r="D2767" s="9">
        <v>969.36</v>
      </c>
      <c r="E2767" s="9">
        <f t="shared" si="130"/>
        <v>-7.7482327356296829E-3</v>
      </c>
      <c r="F2767" s="45">
        <f t="shared" si="128"/>
        <v>1.0390511897883162E-2</v>
      </c>
      <c r="G2767" s="9">
        <f t="shared" si="129"/>
        <v>1.8256951017784198E-2</v>
      </c>
    </row>
    <row r="2768" spans="1:7" x14ac:dyDescent="0.2">
      <c r="A2768" s="12">
        <v>40906</v>
      </c>
      <c r="B2768" s="9">
        <v>977.52</v>
      </c>
      <c r="C2768" s="9">
        <v>967.31</v>
      </c>
      <c r="D2768" s="9">
        <v>977.52</v>
      </c>
      <c r="E2768" s="9">
        <f t="shared" si="130"/>
        <v>8.3826920849997058E-3</v>
      </c>
      <c r="F2768" s="45">
        <f t="shared" si="128"/>
        <v>1.686745961929308E-2</v>
      </c>
      <c r="G2768" s="9">
        <f t="shared" si="129"/>
        <v>1.8314234401773162E-2</v>
      </c>
    </row>
    <row r="2769" spans="1:7" x14ac:dyDescent="0.2">
      <c r="A2769" s="12">
        <v>40907</v>
      </c>
      <c r="B2769" s="9">
        <v>988.16</v>
      </c>
      <c r="C2769" s="9">
        <v>975.85</v>
      </c>
      <c r="D2769" s="9">
        <v>987.85</v>
      </c>
      <c r="E2769" s="9">
        <f t="shared" si="130"/>
        <v>1.0512112351147285E-2</v>
      </c>
      <c r="F2769" s="45">
        <f t="shared" si="128"/>
        <v>4.1746144652807154E-2</v>
      </c>
      <c r="G2769" s="9">
        <f t="shared" si="129"/>
        <v>1.8177688786332111E-2</v>
      </c>
    </row>
    <row r="2770" spans="1:7" x14ac:dyDescent="0.2">
      <c r="A2770" s="12">
        <v>40910</v>
      </c>
      <c r="B2770" s="9">
        <v>1005.33</v>
      </c>
      <c r="C2770" s="9">
        <v>980.95</v>
      </c>
      <c r="D2770" s="9">
        <v>999.43</v>
      </c>
      <c r="E2770" s="9">
        <f t="shared" si="130"/>
        <v>1.1654252110965454E-2</v>
      </c>
      <c r="F2770" s="45">
        <f t="shared" si="128"/>
        <v>5.9976337356276221E-2</v>
      </c>
      <c r="G2770" s="9">
        <f t="shared" si="129"/>
        <v>1.8206845341493361E-2</v>
      </c>
    </row>
    <row r="2771" spans="1:7" x14ac:dyDescent="0.2">
      <c r="A2771" s="12">
        <v>40911</v>
      </c>
      <c r="B2771" s="9">
        <v>1018.8</v>
      </c>
      <c r="C2771" s="9">
        <v>1000.7</v>
      </c>
      <c r="D2771" s="9">
        <v>1018.8</v>
      </c>
      <c r="E2771" s="9">
        <f t="shared" si="130"/>
        <v>1.9195626634922313E-2</v>
      </c>
      <c r="F2771" s="45">
        <f t="shared" si="128"/>
        <v>0.11579737587543849</v>
      </c>
      <c r="G2771" s="9">
        <f t="shared" si="129"/>
        <v>1.6931073467099222E-2</v>
      </c>
    </row>
    <row r="2772" spans="1:7" x14ac:dyDescent="0.2">
      <c r="A2772" s="12">
        <v>40912</v>
      </c>
      <c r="B2772" s="9">
        <v>1015.85</v>
      </c>
      <c r="C2772" s="9">
        <v>1002.3</v>
      </c>
      <c r="D2772" s="9">
        <v>1006.31</v>
      </c>
      <c r="E2772" s="9">
        <f t="shared" si="130"/>
        <v>-1.2335288820974835E-2</v>
      </c>
      <c r="F2772" s="45">
        <f t="shared" si="128"/>
        <v>0.10527108399597726</v>
      </c>
      <c r="G2772" s="9">
        <f t="shared" si="129"/>
        <v>1.7160129006958673E-2</v>
      </c>
    </row>
    <row r="2773" spans="1:7" x14ac:dyDescent="0.2">
      <c r="A2773" s="12">
        <v>40913</v>
      </c>
      <c r="B2773" s="9">
        <v>1005.32</v>
      </c>
      <c r="C2773" s="9">
        <v>998.28</v>
      </c>
      <c r="D2773" s="9">
        <v>1002.18</v>
      </c>
      <c r="E2773" s="9">
        <f t="shared" si="130"/>
        <v>-4.1125480544159168E-3</v>
      </c>
      <c r="F2773" s="45">
        <f t="shared" si="128"/>
        <v>0.1200494168426719</v>
      </c>
      <c r="G2773" s="9">
        <f t="shared" si="129"/>
        <v>1.6700901369634123E-2</v>
      </c>
    </row>
    <row r="2774" spans="1:7" x14ac:dyDescent="0.2">
      <c r="A2774" s="12">
        <v>40917</v>
      </c>
      <c r="B2774" s="9">
        <v>1001.3</v>
      </c>
      <c r="C2774" s="9">
        <v>994.18</v>
      </c>
      <c r="D2774" s="9">
        <v>996.89</v>
      </c>
      <c r="E2774" s="9">
        <f t="shared" si="130"/>
        <v>-5.2924733479634877E-3</v>
      </c>
      <c r="F2774" s="45">
        <f t="shared" si="128"/>
        <v>0.11734802711545862</v>
      </c>
      <c r="G2774" s="9">
        <f t="shared" si="129"/>
        <v>1.6744897748074711E-2</v>
      </c>
    </row>
    <row r="2775" spans="1:7" x14ac:dyDescent="0.2">
      <c r="A2775" s="12">
        <v>40918</v>
      </c>
      <c r="B2775" s="9">
        <v>1013.88</v>
      </c>
      <c r="C2775" s="9">
        <v>1002.16</v>
      </c>
      <c r="D2775" s="9">
        <v>1012.68</v>
      </c>
      <c r="E2775" s="9">
        <f t="shared" si="130"/>
        <v>1.5715128075927676E-2</v>
      </c>
      <c r="F2775" s="45">
        <f t="shared" si="128"/>
        <v>0.1300108869930228</v>
      </c>
      <c r="G2775" s="9">
        <f t="shared" si="129"/>
        <v>1.6881530699722831E-2</v>
      </c>
    </row>
    <row r="2776" spans="1:7" x14ac:dyDescent="0.2">
      <c r="A2776" s="12">
        <v>40919</v>
      </c>
      <c r="B2776" s="9">
        <v>1015.42</v>
      </c>
      <c r="C2776" s="9">
        <v>1005.67</v>
      </c>
      <c r="D2776" s="9">
        <v>1009.61</v>
      </c>
      <c r="E2776" s="9">
        <f t="shared" si="130"/>
        <v>-3.0361643071432388E-3</v>
      </c>
      <c r="F2776" s="45">
        <f t="shared" si="128"/>
        <v>8.5193246194255806E-2</v>
      </c>
      <c r="G2776" s="9">
        <f t="shared" si="129"/>
        <v>1.5368598584849203E-2</v>
      </c>
    </row>
    <row r="2777" spans="1:7" x14ac:dyDescent="0.2">
      <c r="A2777" s="12">
        <v>40920</v>
      </c>
      <c r="B2777" s="9">
        <v>1025.23</v>
      </c>
      <c r="C2777" s="9">
        <v>1010.66</v>
      </c>
      <c r="D2777" s="9">
        <v>1015.5</v>
      </c>
      <c r="E2777" s="9">
        <f t="shared" si="130"/>
        <v>5.8169843697071667E-3</v>
      </c>
      <c r="F2777" s="45">
        <f t="shared" si="128"/>
        <v>8.6404605291678718E-2</v>
      </c>
      <c r="G2777" s="9">
        <f t="shared" si="129"/>
        <v>1.5374988070788938E-2</v>
      </c>
    </row>
    <row r="2778" spans="1:7" x14ac:dyDescent="0.2">
      <c r="A2778" s="12">
        <v>40921</v>
      </c>
      <c r="B2778" s="9">
        <v>1023.5</v>
      </c>
      <c r="C2778" s="9">
        <v>1000.56</v>
      </c>
      <c r="D2778" s="9">
        <v>1009</v>
      </c>
      <c r="E2778" s="9">
        <f t="shared" si="130"/>
        <v>-6.4213606668303853E-3</v>
      </c>
      <c r="F2778" s="45">
        <f t="shared" si="128"/>
        <v>2.9815723250849125E-2</v>
      </c>
      <c r="G2778" s="9">
        <f t="shared" si="129"/>
        <v>1.2593097600214992E-2</v>
      </c>
    </row>
    <row r="2779" spans="1:7" x14ac:dyDescent="0.2">
      <c r="A2779" s="12">
        <v>40924</v>
      </c>
      <c r="B2779" s="9">
        <v>1014.27</v>
      </c>
      <c r="C2779" s="9">
        <v>1000.06</v>
      </c>
      <c r="D2779" s="9">
        <v>1013.51</v>
      </c>
      <c r="E2779" s="9">
        <f t="shared" si="130"/>
        <v>4.4598122879931307E-3</v>
      </c>
      <c r="F2779" s="45">
        <f t="shared" si="128"/>
        <v>4.6655809452160128E-2</v>
      </c>
      <c r="G2779" s="9">
        <f t="shared" si="129"/>
        <v>1.2349353761221683E-2</v>
      </c>
    </row>
    <row r="2780" spans="1:7" x14ac:dyDescent="0.2">
      <c r="A2780" s="12">
        <v>40925</v>
      </c>
      <c r="B2780" s="9">
        <v>1026.27</v>
      </c>
      <c r="C2780" s="9">
        <v>1016.16</v>
      </c>
      <c r="D2780" s="9">
        <v>1025.06</v>
      </c>
      <c r="E2780" s="9">
        <f t="shared" si="130"/>
        <v>1.1331593803073109E-2</v>
      </c>
      <c r="F2780" s="45">
        <f t="shared" si="128"/>
        <v>5.0602431052971721E-2</v>
      </c>
      <c r="G2780" s="9">
        <f t="shared" si="129"/>
        <v>1.2434326929086446E-2</v>
      </c>
    </row>
    <row r="2781" spans="1:7" x14ac:dyDescent="0.2">
      <c r="A2781" s="12">
        <v>40926</v>
      </c>
      <c r="B2781" s="9">
        <v>1029.6500000000001</v>
      </c>
      <c r="C2781" s="9">
        <v>1013.88</v>
      </c>
      <c r="D2781" s="9">
        <v>1028.6199999999999</v>
      </c>
      <c r="E2781" s="9">
        <f t="shared" si="130"/>
        <v>3.4669506114462074E-3</v>
      </c>
      <c r="F2781" s="45">
        <f t="shared" si="128"/>
        <v>3.9572313912689283E-2</v>
      </c>
      <c r="G2781" s="9">
        <f t="shared" si="129"/>
        <v>1.2203407483933693E-2</v>
      </c>
    </row>
    <row r="2782" spans="1:7" x14ac:dyDescent="0.2">
      <c r="A2782" s="12">
        <v>40927</v>
      </c>
      <c r="B2782" s="9">
        <v>1041.54</v>
      </c>
      <c r="C2782" s="9">
        <v>1029.25</v>
      </c>
      <c r="D2782" s="9">
        <v>1037.82</v>
      </c>
      <c r="E2782" s="9">
        <f t="shared" si="130"/>
        <v>8.9042612277654368E-3</v>
      </c>
      <c r="F2782" s="45">
        <f t="shared" si="128"/>
        <v>5.992026797775394E-2</v>
      </c>
      <c r="G2782" s="9">
        <f t="shared" si="129"/>
        <v>1.2033884466256955E-2</v>
      </c>
    </row>
    <row r="2783" spans="1:7" x14ac:dyDescent="0.2">
      <c r="A2783" s="12">
        <v>40928</v>
      </c>
      <c r="B2783" s="9">
        <v>1040.1500000000001</v>
      </c>
      <c r="C2783" s="9">
        <v>1030.44</v>
      </c>
      <c r="D2783" s="9">
        <v>1033.3</v>
      </c>
      <c r="E2783" s="9">
        <f t="shared" si="130"/>
        <v>-4.3647950635778048E-3</v>
      </c>
      <c r="F2783" s="45">
        <f t="shared" si="128"/>
        <v>5.4165078677057124E-2</v>
      </c>
      <c r="G2783" s="9">
        <f t="shared" si="129"/>
        <v>1.2089638220958675E-2</v>
      </c>
    </row>
    <row r="2784" spans="1:7" x14ac:dyDescent="0.2">
      <c r="A2784" s="12">
        <v>40931</v>
      </c>
      <c r="B2784" s="9">
        <v>1042.6099999999999</v>
      </c>
      <c r="C2784" s="9">
        <v>1029.48</v>
      </c>
      <c r="D2784" s="9">
        <v>1042.3699999999999</v>
      </c>
      <c r="E2784" s="9">
        <f t="shared" si="130"/>
        <v>8.7394024371176323E-3</v>
      </c>
      <c r="F2784" s="45">
        <f t="shared" si="128"/>
        <v>8.5898275973456908E-2</v>
      </c>
      <c r="G2784" s="9">
        <f t="shared" si="129"/>
        <v>1.1200567259525408E-2</v>
      </c>
    </row>
    <row r="2785" spans="1:7" x14ac:dyDescent="0.2">
      <c r="A2785" s="12">
        <v>40932</v>
      </c>
      <c r="B2785" s="9">
        <v>1040.22</v>
      </c>
      <c r="C2785" s="9">
        <v>1023.97</v>
      </c>
      <c r="D2785" s="9">
        <v>1034.04</v>
      </c>
      <c r="E2785" s="9">
        <f t="shared" si="130"/>
        <v>-8.0235066177511763E-3</v>
      </c>
      <c r="F2785" s="45">
        <f t="shared" ref="F2785:F2848" si="131">LN(D2785/D2755)</f>
        <v>7.0915755533408828E-2</v>
      </c>
      <c r="G2785" s="9">
        <f t="shared" ref="G2785:G2848" si="132">STDEV(E2756:E2785)</f>
        <v>1.134474347961569E-2</v>
      </c>
    </row>
    <row r="2786" spans="1:7" x14ac:dyDescent="0.2">
      <c r="A2786" s="12">
        <v>40933</v>
      </c>
      <c r="B2786" s="9">
        <v>1031.27</v>
      </c>
      <c r="C2786" s="9">
        <v>1018.78</v>
      </c>
      <c r="D2786" s="9">
        <v>1026</v>
      </c>
      <c r="E2786" s="9">
        <f t="shared" si="130"/>
        <v>-7.8057133089609078E-3</v>
      </c>
      <c r="F2786" s="45">
        <f t="shared" si="131"/>
        <v>8.5576999502486692E-2</v>
      </c>
      <c r="G2786" s="9">
        <f t="shared" si="132"/>
        <v>1.0524321000009827E-2</v>
      </c>
    </row>
    <row r="2787" spans="1:7" x14ac:dyDescent="0.2">
      <c r="A2787" s="12">
        <v>40934</v>
      </c>
      <c r="B2787" s="9">
        <v>1050.8800000000001</v>
      </c>
      <c r="C2787" s="9">
        <v>1028.1099999999999</v>
      </c>
      <c r="D2787" s="9">
        <v>1046.01</v>
      </c>
      <c r="E2787" s="9">
        <f t="shared" si="130"/>
        <v>1.9315179077900226E-2</v>
      </c>
      <c r="F2787" s="45">
        <f t="shared" si="131"/>
        <v>8.9854776622015617E-2</v>
      </c>
      <c r="G2787" s="9">
        <f t="shared" si="132"/>
        <v>1.0722223231967965E-2</v>
      </c>
    </row>
    <row r="2788" spans="1:7" x14ac:dyDescent="0.2">
      <c r="A2788" s="12">
        <v>40935</v>
      </c>
      <c r="B2788" s="9">
        <v>1051.4100000000001</v>
      </c>
      <c r="C2788" s="9">
        <v>1038.04</v>
      </c>
      <c r="D2788" s="9">
        <v>1041.4000000000001</v>
      </c>
      <c r="E2788" s="9">
        <f t="shared" si="130"/>
        <v>-4.4169640798162671E-3</v>
      </c>
      <c r="F2788" s="45">
        <f t="shared" si="131"/>
        <v>0.10318632372832909</v>
      </c>
      <c r="G2788" s="9">
        <f t="shared" si="132"/>
        <v>1.0090506688428681E-2</v>
      </c>
    </row>
    <row r="2789" spans="1:7" x14ac:dyDescent="0.2">
      <c r="A2789" s="12">
        <v>40938</v>
      </c>
      <c r="B2789" s="9">
        <v>1036.56</v>
      </c>
      <c r="C2789" s="9">
        <v>1021.77</v>
      </c>
      <c r="D2789" s="9">
        <v>1028.3599999999999</v>
      </c>
      <c r="E2789" s="9">
        <f t="shared" si="130"/>
        <v>-1.2600661464959832E-2</v>
      </c>
      <c r="F2789" s="45">
        <f t="shared" si="131"/>
        <v>8.2759452368840358E-2</v>
      </c>
      <c r="G2789" s="9">
        <f t="shared" si="132"/>
        <v>1.0466478875182662E-2</v>
      </c>
    </row>
    <row r="2790" spans="1:7" x14ac:dyDescent="0.2">
      <c r="A2790" s="12">
        <v>40939</v>
      </c>
      <c r="B2790" s="9">
        <v>1044.54</v>
      </c>
      <c r="C2790" s="9">
        <v>1033.47</v>
      </c>
      <c r="D2790" s="9">
        <v>1036.3399999999999</v>
      </c>
      <c r="E2790" s="9">
        <f t="shared" si="130"/>
        <v>7.7299750427493458E-3</v>
      </c>
      <c r="F2790" s="45">
        <f t="shared" si="131"/>
        <v>0.10003115032947024</v>
      </c>
      <c r="G2790" s="9">
        <f t="shared" si="132"/>
        <v>1.0239105996388467E-2</v>
      </c>
    </row>
    <row r="2791" spans="1:7" x14ac:dyDescent="0.2">
      <c r="A2791" s="12">
        <v>40940</v>
      </c>
      <c r="B2791" s="9">
        <v>1067.31</v>
      </c>
      <c r="C2791" s="9">
        <v>1034.71</v>
      </c>
      <c r="D2791" s="9">
        <v>1065.29</v>
      </c>
      <c r="E2791" s="9">
        <f t="shared" si="130"/>
        <v>2.755178723937653E-2</v>
      </c>
      <c r="F2791" s="45">
        <f t="shared" si="131"/>
        <v>0.13123686586335001</v>
      </c>
      <c r="G2791" s="9">
        <f t="shared" si="132"/>
        <v>1.1057103267134648E-2</v>
      </c>
    </row>
    <row r="2792" spans="1:7" x14ac:dyDescent="0.2">
      <c r="A2792" s="12">
        <v>40941</v>
      </c>
      <c r="B2792" s="9">
        <v>1070.8599999999999</v>
      </c>
      <c r="C2792" s="9">
        <v>1058.5999999999999</v>
      </c>
      <c r="D2792" s="9">
        <v>1066.1199999999999</v>
      </c>
      <c r="E2792" s="9">
        <f t="shared" si="130"/>
        <v>7.7882720073051929E-4</v>
      </c>
      <c r="F2792" s="45">
        <f t="shared" si="131"/>
        <v>0.10519169338038796</v>
      </c>
      <c r="G2792" s="9">
        <f t="shared" si="132"/>
        <v>1.0224829167165023E-2</v>
      </c>
    </row>
    <row r="2793" spans="1:7" x14ac:dyDescent="0.2">
      <c r="A2793" s="12">
        <v>40942</v>
      </c>
      <c r="B2793" s="9">
        <v>1083.1500000000001</v>
      </c>
      <c r="C2793" s="9">
        <v>1062.8800000000001</v>
      </c>
      <c r="D2793" s="9">
        <v>1078.6600000000001</v>
      </c>
      <c r="E2793" s="9">
        <f t="shared" si="130"/>
        <v>1.1693640274762369E-2</v>
      </c>
      <c r="F2793" s="45">
        <f t="shared" si="131"/>
        <v>0.1169582780559182</v>
      </c>
      <c r="G2793" s="9">
        <f t="shared" si="132"/>
        <v>1.0308133994660561E-2</v>
      </c>
    </row>
    <row r="2794" spans="1:7" x14ac:dyDescent="0.2">
      <c r="A2794" s="12">
        <v>40945</v>
      </c>
      <c r="B2794" s="9">
        <v>1077.3800000000001</v>
      </c>
      <c r="C2794" s="9">
        <v>1064.8599999999999</v>
      </c>
      <c r="D2794" s="9">
        <v>1074.1099999999999</v>
      </c>
      <c r="E2794" s="9">
        <f t="shared" si="130"/>
        <v>-4.2271183406949533E-3</v>
      </c>
      <c r="F2794" s="45">
        <f t="shared" si="131"/>
        <v>0.10102421430466361</v>
      </c>
      <c r="G2794" s="9">
        <f t="shared" si="132"/>
        <v>1.0302435863162181E-2</v>
      </c>
    </row>
    <row r="2795" spans="1:7" x14ac:dyDescent="0.2">
      <c r="A2795" s="12">
        <v>40946</v>
      </c>
      <c r="B2795" s="9">
        <v>1077.3399999999999</v>
      </c>
      <c r="C2795" s="9">
        <v>1062.73</v>
      </c>
      <c r="D2795" s="9">
        <v>1074.3699999999999</v>
      </c>
      <c r="E2795" s="9">
        <f t="shared" si="130"/>
        <v>2.420315769933037E-4</v>
      </c>
      <c r="F2795" s="45">
        <f t="shared" si="131"/>
        <v>8.9816950826384731E-2</v>
      </c>
      <c r="G2795" s="9">
        <f t="shared" si="132"/>
        <v>1.0201979444084738E-2</v>
      </c>
    </row>
    <row r="2796" spans="1:7" x14ac:dyDescent="0.2">
      <c r="A2796" s="12">
        <v>40947</v>
      </c>
      <c r="B2796" s="9">
        <v>1084.5899999999999</v>
      </c>
      <c r="C2796" s="9">
        <v>1071.96</v>
      </c>
      <c r="D2796" s="9">
        <v>1074.6099999999999</v>
      </c>
      <c r="E2796" s="9">
        <f t="shared" si="130"/>
        <v>2.2336178186653811E-4</v>
      </c>
      <c r="F2796" s="45">
        <f t="shared" si="131"/>
        <v>9.5328791380725933E-2</v>
      </c>
      <c r="G2796" s="9">
        <f t="shared" si="132"/>
        <v>1.0096767279101365E-2</v>
      </c>
    </row>
    <row r="2797" spans="1:7" x14ac:dyDescent="0.2">
      <c r="A2797" s="12">
        <v>40948</v>
      </c>
      <c r="B2797" s="9">
        <v>1082.97</v>
      </c>
      <c r="C2797" s="9">
        <v>1071.74</v>
      </c>
      <c r="D2797" s="9">
        <v>1077.1199999999999</v>
      </c>
      <c r="E2797" s="9">
        <f t="shared" si="130"/>
        <v>2.3330075227638082E-3</v>
      </c>
      <c r="F2797" s="45">
        <f t="shared" si="131"/>
        <v>0.10541003163911927</v>
      </c>
      <c r="G2797" s="9">
        <f t="shared" si="132"/>
        <v>9.8861586369775288E-3</v>
      </c>
    </row>
    <row r="2798" spans="1:7" x14ac:dyDescent="0.2">
      <c r="A2798" s="12">
        <v>40949</v>
      </c>
      <c r="B2798" s="9">
        <v>1075.5899999999999</v>
      </c>
      <c r="C2798" s="9">
        <v>1058.5</v>
      </c>
      <c r="D2798" s="9">
        <v>1065.3699999999999</v>
      </c>
      <c r="E2798" s="9">
        <f t="shared" si="130"/>
        <v>-1.0968655914089284E-2</v>
      </c>
      <c r="F2798" s="45">
        <f t="shared" si="131"/>
        <v>8.6058683640030331E-2</v>
      </c>
      <c r="G2798" s="9">
        <f t="shared" si="132"/>
        <v>1.018432814962095E-2</v>
      </c>
    </row>
    <row r="2799" spans="1:7" x14ac:dyDescent="0.2">
      <c r="A2799" s="12">
        <v>40952</v>
      </c>
      <c r="B2799" s="9">
        <v>1080.77</v>
      </c>
      <c r="C2799" s="9">
        <v>1070.3900000000001</v>
      </c>
      <c r="D2799" s="9">
        <v>1074.31</v>
      </c>
      <c r="E2799" s="9">
        <f t="shared" si="130"/>
        <v>8.3564383677334521E-3</v>
      </c>
      <c r="F2799" s="45">
        <f t="shared" si="131"/>
        <v>8.3903009656616317E-2</v>
      </c>
      <c r="G2799" s="9">
        <f t="shared" si="132"/>
        <v>1.013602987192733E-2</v>
      </c>
    </row>
    <row r="2800" spans="1:7" x14ac:dyDescent="0.2">
      <c r="A2800" s="12">
        <v>40953</v>
      </c>
      <c r="B2800" s="9">
        <v>1080.28</v>
      </c>
      <c r="C2800" s="9">
        <v>1067.1400000000001</v>
      </c>
      <c r="D2800" s="9">
        <v>1069.6400000000001</v>
      </c>
      <c r="E2800" s="9">
        <f t="shared" si="130"/>
        <v>-4.3564517697371749E-3</v>
      </c>
      <c r="F2800" s="45">
        <f t="shared" si="131"/>
        <v>6.7892305775913625E-2</v>
      </c>
      <c r="G2800" s="9">
        <f t="shared" si="132"/>
        <v>1.0074896571144524E-2</v>
      </c>
    </row>
    <row r="2801" spans="1:7" x14ac:dyDescent="0.2">
      <c r="A2801" s="12">
        <v>40954</v>
      </c>
      <c r="B2801" s="9">
        <v>1085.55</v>
      </c>
      <c r="C2801" s="9">
        <v>1074.32</v>
      </c>
      <c r="D2801" s="9">
        <v>1082.7</v>
      </c>
      <c r="E2801" s="9">
        <f t="shared" si="130"/>
        <v>1.2135778070559282E-2</v>
      </c>
      <c r="F2801" s="45">
        <f t="shared" si="131"/>
        <v>6.0832457211550638E-2</v>
      </c>
      <c r="G2801" s="9">
        <f t="shared" si="132"/>
        <v>9.7427254770286655E-3</v>
      </c>
    </row>
    <row r="2802" spans="1:7" x14ac:dyDescent="0.2">
      <c r="A2802" s="12">
        <v>40955</v>
      </c>
      <c r="B2802" s="9">
        <v>1088.77</v>
      </c>
      <c r="C2802" s="9">
        <v>1071.19</v>
      </c>
      <c r="D2802" s="9">
        <v>1088.18</v>
      </c>
      <c r="E2802" s="9">
        <f t="shared" si="130"/>
        <v>5.0486545916238442E-3</v>
      </c>
      <c r="F2802" s="45">
        <f t="shared" si="131"/>
        <v>7.8216400624149363E-2</v>
      </c>
      <c r="G2802" s="9">
        <f t="shared" si="132"/>
        <v>9.3687962258376199E-3</v>
      </c>
    </row>
    <row r="2803" spans="1:7" x14ac:dyDescent="0.2">
      <c r="A2803" s="12">
        <v>40956</v>
      </c>
      <c r="B2803" s="9">
        <v>1101.56</v>
      </c>
      <c r="C2803" s="9">
        <v>1092.19</v>
      </c>
      <c r="D2803" s="9">
        <v>1099.55</v>
      </c>
      <c r="E2803" s="9">
        <f t="shared" si="130"/>
        <v>1.039442926838042E-2</v>
      </c>
      <c r="F2803" s="45">
        <f t="shared" si="131"/>
        <v>9.2723377946945629E-2</v>
      </c>
      <c r="G2803" s="9">
        <f t="shared" si="132"/>
        <v>9.3843714494245556E-3</v>
      </c>
    </row>
    <row r="2804" spans="1:7" x14ac:dyDescent="0.2">
      <c r="A2804" s="12">
        <v>40959</v>
      </c>
      <c r="B2804" s="9">
        <v>1112.8</v>
      </c>
      <c r="C2804" s="9">
        <v>1100.31</v>
      </c>
      <c r="D2804" s="9">
        <v>1111.96</v>
      </c>
      <c r="E2804" s="9">
        <f t="shared" si="130"/>
        <v>1.1223218763669338E-2</v>
      </c>
      <c r="F2804" s="45">
        <f t="shared" si="131"/>
        <v>0.10923907005857846</v>
      </c>
      <c r="G2804" s="9">
        <f t="shared" si="132"/>
        <v>9.3600246386017338E-3</v>
      </c>
    </row>
    <row r="2805" spans="1:7" x14ac:dyDescent="0.2">
      <c r="A2805" s="12">
        <v>40960</v>
      </c>
      <c r="B2805" s="9">
        <v>1113.45</v>
      </c>
      <c r="C2805" s="9">
        <v>1104.56</v>
      </c>
      <c r="D2805" s="9">
        <v>1106.42</v>
      </c>
      <c r="E2805" s="9">
        <f t="shared" si="130"/>
        <v>-4.9946461083835688E-3</v>
      </c>
      <c r="F2805" s="45">
        <f t="shared" si="131"/>
        <v>8.8529295874267111E-2</v>
      </c>
      <c r="G2805" s="9">
        <f t="shared" si="132"/>
        <v>9.2011948657529791E-3</v>
      </c>
    </row>
    <row r="2806" spans="1:7" x14ac:dyDescent="0.2">
      <c r="A2806" s="12">
        <v>40961</v>
      </c>
      <c r="B2806" s="9">
        <v>1108.19</v>
      </c>
      <c r="C2806" s="9">
        <v>1087.51</v>
      </c>
      <c r="D2806" s="9">
        <v>1096.06</v>
      </c>
      <c r="E2806" s="9">
        <f t="shared" si="130"/>
        <v>-9.407646297061277E-3</v>
      </c>
      <c r="F2806" s="45">
        <f t="shared" si="131"/>
        <v>8.2157813884349173E-2</v>
      </c>
      <c r="G2806" s="9">
        <f t="shared" si="132"/>
        <v>9.4152007171414941E-3</v>
      </c>
    </row>
    <row r="2807" spans="1:7" x14ac:dyDescent="0.2">
      <c r="A2807" s="12">
        <v>40962</v>
      </c>
      <c r="B2807" s="9">
        <v>1100.19</v>
      </c>
      <c r="C2807" s="9">
        <v>1085.33</v>
      </c>
      <c r="D2807" s="9">
        <v>1096.17</v>
      </c>
      <c r="E2807" s="9">
        <f t="shared" si="130"/>
        <v>1.0035443369762685E-4</v>
      </c>
      <c r="F2807" s="45">
        <f t="shared" si="131"/>
        <v>7.6441183948339639E-2</v>
      </c>
      <c r="G2807" s="9">
        <f t="shared" si="132"/>
        <v>9.4085958892218425E-3</v>
      </c>
    </row>
    <row r="2808" spans="1:7" x14ac:dyDescent="0.2">
      <c r="A2808" s="12">
        <v>40963</v>
      </c>
      <c r="B2808" s="9">
        <v>1102.1400000000001</v>
      </c>
      <c r="C2808" s="9">
        <v>1091.43</v>
      </c>
      <c r="D2808" s="9">
        <v>1100.01</v>
      </c>
      <c r="E2808" s="9">
        <f t="shared" si="130"/>
        <v>3.4969846854517972E-3</v>
      </c>
      <c r="F2808" s="45">
        <f t="shared" si="131"/>
        <v>8.6359529300621699E-2</v>
      </c>
      <c r="G2808" s="9">
        <f t="shared" si="132"/>
        <v>9.2555665650284735E-3</v>
      </c>
    </row>
    <row r="2809" spans="1:7" x14ac:dyDescent="0.2">
      <c r="A2809" s="12">
        <v>40966</v>
      </c>
      <c r="B2809" s="9">
        <v>1097.49</v>
      </c>
      <c r="C2809" s="9">
        <v>1082.25</v>
      </c>
      <c r="D2809" s="9">
        <v>1093.57</v>
      </c>
      <c r="E2809" s="9">
        <f t="shared" si="130"/>
        <v>-5.8716969543415026E-3</v>
      </c>
      <c r="F2809" s="45">
        <f t="shared" si="131"/>
        <v>7.6028020058286988E-2</v>
      </c>
      <c r="G2809" s="9">
        <f t="shared" si="132"/>
        <v>9.3859953926196827E-3</v>
      </c>
    </row>
    <row r="2810" spans="1:7" x14ac:dyDescent="0.2">
      <c r="A2810" s="12">
        <v>40967</v>
      </c>
      <c r="B2810" s="9">
        <v>1102.46</v>
      </c>
      <c r="C2810" s="9">
        <v>1092.92</v>
      </c>
      <c r="D2810" s="9">
        <v>1102.17</v>
      </c>
      <c r="E2810" s="9">
        <f t="shared" si="130"/>
        <v>7.8333900881300388E-3</v>
      </c>
      <c r="F2810" s="45">
        <f t="shared" si="131"/>
        <v>7.2529816343343906E-2</v>
      </c>
      <c r="G2810" s="9">
        <f t="shared" si="132"/>
        <v>9.294214385859409E-3</v>
      </c>
    </row>
    <row r="2811" spans="1:7" x14ac:dyDescent="0.2">
      <c r="A2811" s="12">
        <v>40968</v>
      </c>
      <c r="B2811" s="9">
        <v>1109.78</v>
      </c>
      <c r="C2811" s="9">
        <v>1099.23</v>
      </c>
      <c r="D2811" s="9">
        <v>1101.76</v>
      </c>
      <c r="E2811" s="9">
        <f t="shared" si="130"/>
        <v>-3.7206263786037302E-4</v>
      </c>
      <c r="F2811" s="45">
        <f t="shared" si="131"/>
        <v>6.8690803094037439E-2</v>
      </c>
      <c r="G2811" s="9">
        <f t="shared" si="132"/>
        <v>9.3056906742625053E-3</v>
      </c>
    </row>
    <row r="2812" spans="1:7" x14ac:dyDescent="0.2">
      <c r="A2812" s="12">
        <v>40969</v>
      </c>
      <c r="B2812" s="9">
        <v>1108.8800000000001</v>
      </c>
      <c r="C2812" s="9">
        <v>1092.72</v>
      </c>
      <c r="D2812" s="9">
        <v>1104.58</v>
      </c>
      <c r="E2812" s="9">
        <f t="shared" si="130"/>
        <v>2.5562710512543386E-3</v>
      </c>
      <c r="F2812" s="45">
        <f t="shared" si="131"/>
        <v>6.2342812917526344E-2</v>
      </c>
      <c r="G2812" s="9">
        <f t="shared" si="132"/>
        <v>9.2218926413013651E-3</v>
      </c>
    </row>
    <row r="2813" spans="1:7" x14ac:dyDescent="0.2">
      <c r="A2813" s="12">
        <v>40970</v>
      </c>
      <c r="B2813" s="9">
        <v>1106.75</v>
      </c>
      <c r="C2813" s="9">
        <v>1096.9100000000001</v>
      </c>
      <c r="D2813" s="9">
        <v>1105.1099999999999</v>
      </c>
      <c r="E2813" s="9">
        <f t="shared" si="130"/>
        <v>4.7970530722728466E-4</v>
      </c>
      <c r="F2813" s="45">
        <f t="shared" si="131"/>
        <v>6.7187313288331343E-2</v>
      </c>
      <c r="G2813" s="9">
        <f t="shared" si="132"/>
        <v>9.1472956920005937E-3</v>
      </c>
    </row>
    <row r="2814" spans="1:7" x14ac:dyDescent="0.2">
      <c r="A2814" s="12">
        <v>40973</v>
      </c>
      <c r="B2814" s="9">
        <v>1101.57</v>
      </c>
      <c r="C2814" s="9">
        <v>1091.5899999999999</v>
      </c>
      <c r="D2814" s="9">
        <v>1097.42</v>
      </c>
      <c r="E2814" s="9">
        <f t="shared" si="130"/>
        <v>-6.9829071546300778E-3</v>
      </c>
      <c r="F2814" s="45">
        <f t="shared" si="131"/>
        <v>5.1465003696583585E-2</v>
      </c>
      <c r="G2814" s="9">
        <f t="shared" si="132"/>
        <v>9.2122188759165557E-3</v>
      </c>
    </row>
    <row r="2815" spans="1:7" x14ac:dyDescent="0.2">
      <c r="A2815" s="12">
        <v>40974</v>
      </c>
      <c r="B2815" s="9">
        <v>1091.68</v>
      </c>
      <c r="C2815" s="9">
        <v>1055.48</v>
      </c>
      <c r="D2815" s="9">
        <v>1057.57</v>
      </c>
      <c r="E2815" s="9">
        <f t="shared" ref="E2815:E2878" si="133">LN(D2815/D2814)</f>
        <v>-3.698814677086612E-2</v>
      </c>
      <c r="F2815" s="45">
        <f t="shared" si="131"/>
        <v>2.2500363543468689E-2</v>
      </c>
      <c r="G2815" s="9">
        <f t="shared" si="132"/>
        <v>1.150148916876511E-2</v>
      </c>
    </row>
    <row r="2816" spans="1:7" x14ac:dyDescent="0.2">
      <c r="A2816" s="12">
        <v>40975</v>
      </c>
      <c r="B2816" s="9">
        <v>1068.97</v>
      </c>
      <c r="C2816" s="9">
        <v>1054.93</v>
      </c>
      <c r="D2816" s="9">
        <v>1062.6400000000001</v>
      </c>
      <c r="E2816" s="9">
        <f t="shared" si="133"/>
        <v>4.7825542411036159E-3</v>
      </c>
      <c r="F2816" s="45">
        <f t="shared" si="131"/>
        <v>3.5088631093533079E-2</v>
      </c>
      <c r="G2816" s="9">
        <f t="shared" si="132"/>
        <v>1.1407834798546857E-2</v>
      </c>
    </row>
    <row r="2817" spans="1:7" x14ac:dyDescent="0.2">
      <c r="A2817" s="12">
        <v>40976</v>
      </c>
      <c r="B2817" s="9">
        <v>1091.31</v>
      </c>
      <c r="C2817" s="9">
        <v>1071.6199999999999</v>
      </c>
      <c r="D2817" s="9">
        <v>1091.31</v>
      </c>
      <c r="E2817" s="9">
        <f t="shared" si="133"/>
        <v>2.6622431635933565E-2</v>
      </c>
      <c r="F2817" s="45">
        <f t="shared" si="131"/>
        <v>4.2395883651566504E-2</v>
      </c>
      <c r="G2817" s="9">
        <f t="shared" si="132"/>
        <v>1.1876993952450452E-2</v>
      </c>
    </row>
    <row r="2818" spans="1:7" x14ac:dyDescent="0.2">
      <c r="A2818" s="12">
        <v>40977</v>
      </c>
      <c r="B2818" s="9">
        <v>1095.19</v>
      </c>
      <c r="C2818" s="9">
        <v>1083.9000000000001</v>
      </c>
      <c r="D2818" s="9">
        <v>1089.8</v>
      </c>
      <c r="E2818" s="9">
        <f t="shared" si="133"/>
        <v>-1.3846163111836899E-3</v>
      </c>
      <c r="F2818" s="45">
        <f t="shared" si="131"/>
        <v>4.5428231420199125E-2</v>
      </c>
      <c r="G2818" s="9">
        <f t="shared" si="132"/>
        <v>1.1838506803925231E-2</v>
      </c>
    </row>
    <row r="2819" spans="1:7" x14ac:dyDescent="0.2">
      <c r="A2819" s="12">
        <v>40980</v>
      </c>
      <c r="B2819" s="9">
        <v>1094.44</v>
      </c>
      <c r="C2819" s="9">
        <v>1084.3800000000001</v>
      </c>
      <c r="D2819" s="9">
        <v>1092.31</v>
      </c>
      <c r="E2819" s="9">
        <f t="shared" si="133"/>
        <v>2.3005266526419403E-3</v>
      </c>
      <c r="F2819" s="45">
        <f t="shared" si="131"/>
        <v>6.0329419537800966E-2</v>
      </c>
      <c r="G2819" s="9">
        <f t="shared" si="132"/>
        <v>1.1534569214834712E-2</v>
      </c>
    </row>
    <row r="2820" spans="1:7" x14ac:dyDescent="0.2">
      <c r="A2820" s="12">
        <v>40981</v>
      </c>
      <c r="B2820" s="9">
        <v>1106.24</v>
      </c>
      <c r="C2820" s="9">
        <v>1098.6300000000001</v>
      </c>
      <c r="D2820" s="9">
        <v>1106.1199999999999</v>
      </c>
      <c r="E2820" s="9">
        <f t="shared" si="133"/>
        <v>1.2563676490879779E-2</v>
      </c>
      <c r="F2820" s="45">
        <f t="shared" si="131"/>
        <v>6.5163120985931397E-2</v>
      </c>
      <c r="G2820" s="9">
        <f t="shared" si="132"/>
        <v>1.1650389948325426E-2</v>
      </c>
    </row>
    <row r="2821" spans="1:7" x14ac:dyDescent="0.2">
      <c r="A2821" s="12">
        <v>40982</v>
      </c>
      <c r="B2821" s="9">
        <v>1117.81</v>
      </c>
      <c r="C2821" s="9">
        <v>1109.57</v>
      </c>
      <c r="D2821" s="9">
        <v>1115.6600000000001</v>
      </c>
      <c r="E2821" s="9">
        <f t="shared" si="133"/>
        <v>8.5877617323957441E-3</v>
      </c>
      <c r="F2821" s="45">
        <f t="shared" si="131"/>
        <v>4.6199095478950576E-2</v>
      </c>
      <c r="G2821" s="9">
        <f t="shared" si="132"/>
        <v>1.0701692627589791E-2</v>
      </c>
    </row>
    <row r="2822" spans="1:7" x14ac:dyDescent="0.2">
      <c r="A2822" s="12">
        <v>40983</v>
      </c>
      <c r="B2822" s="9">
        <v>1121.0999999999999</v>
      </c>
      <c r="C2822" s="9">
        <v>1112.32</v>
      </c>
      <c r="D2822" s="9">
        <v>1121.0999999999999</v>
      </c>
      <c r="E2822" s="9">
        <f t="shared" si="133"/>
        <v>4.8641881346324044E-3</v>
      </c>
      <c r="F2822" s="45">
        <f t="shared" si="131"/>
        <v>5.0284456412852445E-2</v>
      </c>
      <c r="G2822" s="9">
        <f t="shared" si="132"/>
        <v>1.0717654268754434E-2</v>
      </c>
    </row>
    <row r="2823" spans="1:7" x14ac:dyDescent="0.2">
      <c r="A2823" s="12">
        <v>40984</v>
      </c>
      <c r="B2823" s="9">
        <v>1127.54</v>
      </c>
      <c r="C2823" s="9">
        <v>1117.0999999999999</v>
      </c>
      <c r="D2823" s="9">
        <v>1123.3499999999999</v>
      </c>
      <c r="E2823" s="9">
        <f t="shared" si="133"/>
        <v>2.004946203937776E-3</v>
      </c>
      <c r="F2823" s="45">
        <f t="shared" si="131"/>
        <v>4.0595762342027809E-2</v>
      </c>
      <c r="G2823" s="9">
        <f t="shared" si="132"/>
        <v>1.0550051836235811E-2</v>
      </c>
    </row>
    <row r="2824" spans="1:7" x14ac:dyDescent="0.2">
      <c r="A2824" s="12">
        <v>40987</v>
      </c>
      <c r="B2824" s="9">
        <v>1122.44</v>
      </c>
      <c r="C2824" s="9">
        <v>1114.93</v>
      </c>
      <c r="D2824" s="9">
        <v>1121.3900000000001</v>
      </c>
      <c r="E2824" s="9">
        <f t="shared" si="133"/>
        <v>-1.7463051383216461E-3</v>
      </c>
      <c r="F2824" s="45">
        <f t="shared" si="131"/>
        <v>4.3076575544401238E-2</v>
      </c>
      <c r="G2824" s="9">
        <f t="shared" si="132"/>
        <v>1.0514466371902906E-2</v>
      </c>
    </row>
    <row r="2825" spans="1:7" x14ac:dyDescent="0.2">
      <c r="A2825" s="12">
        <v>40988</v>
      </c>
      <c r="B2825" s="9">
        <v>1116.07</v>
      </c>
      <c r="C2825" s="9">
        <v>1100.73</v>
      </c>
      <c r="D2825" s="9">
        <v>1104.6199999999999</v>
      </c>
      <c r="E2825" s="9">
        <f t="shared" si="133"/>
        <v>-1.5067602820234146E-2</v>
      </c>
      <c r="F2825" s="45">
        <f t="shared" si="131"/>
        <v>2.7766941147173822E-2</v>
      </c>
      <c r="G2825" s="9">
        <f t="shared" si="132"/>
        <v>1.0937428793257703E-2</v>
      </c>
    </row>
    <row r="2826" spans="1:7" x14ac:dyDescent="0.2">
      <c r="A2826" s="12">
        <v>40989</v>
      </c>
      <c r="B2826" s="9">
        <v>1110.75</v>
      </c>
      <c r="C2826" s="9">
        <v>1085.44</v>
      </c>
      <c r="D2826" s="9">
        <v>1088.76</v>
      </c>
      <c r="E2826" s="9">
        <f t="shared" si="133"/>
        <v>-1.4461950435392053E-2</v>
      </c>
      <c r="F2826" s="45">
        <f t="shared" si="131"/>
        <v>1.3081628929915084E-2</v>
      </c>
      <c r="G2826" s="9">
        <f t="shared" si="132"/>
        <v>1.1292791459834046E-2</v>
      </c>
    </row>
    <row r="2827" spans="1:7" x14ac:dyDescent="0.2">
      <c r="A2827" s="12">
        <v>40990</v>
      </c>
      <c r="B2827" s="9">
        <v>1096.29</v>
      </c>
      <c r="C2827" s="9">
        <v>1070.6400000000001</v>
      </c>
      <c r="D2827" s="9">
        <v>1077.3399999999999</v>
      </c>
      <c r="E2827" s="9">
        <f t="shared" si="133"/>
        <v>-1.0544393896996062E-2</v>
      </c>
      <c r="F2827" s="45">
        <f t="shared" si="131"/>
        <v>2.0422751015547423E-4</v>
      </c>
      <c r="G2827" s="9">
        <f t="shared" si="132"/>
        <v>1.1461677163301891E-2</v>
      </c>
    </row>
    <row r="2828" spans="1:7" x14ac:dyDescent="0.2">
      <c r="A2828" s="12">
        <v>40991</v>
      </c>
      <c r="B2828" s="9">
        <v>1084.57</v>
      </c>
      <c r="C2828" s="9">
        <v>1068.27</v>
      </c>
      <c r="D2828" s="9">
        <v>1084.29</v>
      </c>
      <c r="E2828" s="9">
        <f t="shared" si="133"/>
        <v>6.430354823179019E-3</v>
      </c>
      <c r="F2828" s="45">
        <f t="shared" si="131"/>
        <v>1.7603238247423745E-2</v>
      </c>
      <c r="G2828" s="9">
        <f t="shared" si="132"/>
        <v>1.1326565608668316E-2</v>
      </c>
    </row>
    <row r="2829" spans="1:7" x14ac:dyDescent="0.2">
      <c r="A2829" s="12">
        <v>40994</v>
      </c>
      <c r="B2829" s="9">
        <v>1102.8800000000001</v>
      </c>
      <c r="C2829" s="9">
        <v>1079.94</v>
      </c>
      <c r="D2829" s="9">
        <v>1102.8800000000001</v>
      </c>
      <c r="E2829" s="9">
        <f t="shared" si="133"/>
        <v>1.6999545241620985E-2</v>
      </c>
      <c r="F2829" s="45">
        <f t="shared" si="131"/>
        <v>2.624634512131125E-2</v>
      </c>
      <c r="G2829" s="9">
        <f t="shared" si="132"/>
        <v>1.1636688148923663E-2</v>
      </c>
    </row>
    <row r="2830" spans="1:7" x14ac:dyDescent="0.2">
      <c r="A2830" s="12">
        <v>40995</v>
      </c>
      <c r="B2830" s="9">
        <v>1110.01</v>
      </c>
      <c r="C2830" s="9">
        <v>1093.3399999999999</v>
      </c>
      <c r="D2830" s="9">
        <v>1095.42</v>
      </c>
      <c r="E2830" s="9">
        <f t="shared" si="133"/>
        <v>-6.787088783867825E-3</v>
      </c>
      <c r="F2830" s="45">
        <f t="shared" si="131"/>
        <v>2.3815708107180658E-2</v>
      </c>
      <c r="G2830" s="9">
        <f t="shared" si="132"/>
        <v>1.1682738242796243E-2</v>
      </c>
    </row>
    <row r="2831" spans="1:7" x14ac:dyDescent="0.2">
      <c r="A2831" s="12">
        <v>40996</v>
      </c>
      <c r="B2831" s="9">
        <v>1096.8399999999999</v>
      </c>
      <c r="C2831" s="9">
        <v>1081.27</v>
      </c>
      <c r="D2831" s="9">
        <v>1083.92</v>
      </c>
      <c r="E2831" s="9">
        <f t="shared" si="133"/>
        <v>-1.0553751815298246E-2</v>
      </c>
      <c r="F2831" s="45">
        <f t="shared" si="131"/>
        <v>1.1261782213231068E-3</v>
      </c>
      <c r="G2831" s="9">
        <f t="shared" si="132"/>
        <v>1.1657576151063524E-2</v>
      </c>
    </row>
    <row r="2832" spans="1:7" x14ac:dyDescent="0.2">
      <c r="A2832" s="12">
        <v>40997</v>
      </c>
      <c r="B2832" s="9">
        <v>1081.22</v>
      </c>
      <c r="C2832" s="9">
        <v>1054.46</v>
      </c>
      <c r="D2832" s="9">
        <v>1058.32</v>
      </c>
      <c r="E2832" s="9">
        <f t="shared" si="133"/>
        <v>-2.3901354384051166E-2</v>
      </c>
      <c r="F2832" s="45">
        <f t="shared" si="131"/>
        <v>-2.7823830754351832E-2</v>
      </c>
      <c r="G2832" s="9">
        <f t="shared" si="132"/>
        <v>1.2402858340390404E-2</v>
      </c>
    </row>
    <row r="2833" spans="1:7" x14ac:dyDescent="0.2">
      <c r="A2833" s="12">
        <v>40998</v>
      </c>
      <c r="B2833" s="9">
        <v>1074.8800000000001</v>
      </c>
      <c r="C2833" s="9">
        <v>1062.67</v>
      </c>
      <c r="D2833" s="9">
        <v>1074.48</v>
      </c>
      <c r="E2833" s="9">
        <f t="shared" si="133"/>
        <v>1.5154078446695252E-2</v>
      </c>
      <c r="F2833" s="45">
        <f t="shared" si="131"/>
        <v>-2.306418157603703E-2</v>
      </c>
      <c r="G2833" s="9">
        <f t="shared" si="132"/>
        <v>1.25818308043613E-2</v>
      </c>
    </row>
    <row r="2834" spans="1:7" x14ac:dyDescent="0.2">
      <c r="A2834" s="12">
        <v>41001</v>
      </c>
      <c r="B2834" s="9">
        <v>1086.47</v>
      </c>
      <c r="C2834" s="9">
        <v>1064.04</v>
      </c>
      <c r="D2834" s="9">
        <v>1086.47</v>
      </c>
      <c r="E2834" s="9">
        <f t="shared" si="133"/>
        <v>1.1097085117586813E-2</v>
      </c>
      <c r="F2834" s="45">
        <f t="shared" si="131"/>
        <v>-2.3190315222119652E-2</v>
      </c>
      <c r="G2834" s="9">
        <f t="shared" si="132"/>
        <v>1.2577705658115E-2</v>
      </c>
    </row>
    <row r="2835" spans="1:7" x14ac:dyDescent="0.2">
      <c r="A2835" s="12">
        <v>41002</v>
      </c>
      <c r="B2835" s="9">
        <v>1088.8399999999999</v>
      </c>
      <c r="C2835" s="9">
        <v>1079.56</v>
      </c>
      <c r="D2835" s="9">
        <v>1080.56</v>
      </c>
      <c r="E2835" s="9">
        <f t="shared" si="133"/>
        <v>-5.4544834658979231E-3</v>
      </c>
      <c r="F2835" s="45">
        <f t="shared" si="131"/>
        <v>-2.3650152579634001E-2</v>
      </c>
      <c r="G2835" s="9">
        <f t="shared" si="132"/>
        <v>1.2583306734156668E-2</v>
      </c>
    </row>
    <row r="2836" spans="1:7" x14ac:dyDescent="0.2">
      <c r="A2836" s="12">
        <v>41003</v>
      </c>
      <c r="B2836" s="9">
        <v>1070.78</v>
      </c>
      <c r="C2836" s="9">
        <v>1036.82</v>
      </c>
      <c r="D2836" s="9">
        <v>1041.6099999999999</v>
      </c>
      <c r="E2836" s="9">
        <f t="shared" si="133"/>
        <v>-3.6711832229850215E-2</v>
      </c>
      <c r="F2836" s="45">
        <f t="shared" si="131"/>
        <v>-5.0954338512422953E-2</v>
      </c>
      <c r="G2836" s="9">
        <f t="shared" si="132"/>
        <v>1.4121642674415612E-2</v>
      </c>
    </row>
    <row r="2837" spans="1:7" x14ac:dyDescent="0.2">
      <c r="A2837" s="12">
        <v>41004</v>
      </c>
      <c r="B2837" s="9">
        <v>1051.54</v>
      </c>
      <c r="C2837" s="9">
        <v>1030.94</v>
      </c>
      <c r="D2837" s="9">
        <v>1036.4000000000001</v>
      </c>
      <c r="E2837" s="9">
        <f t="shared" si="133"/>
        <v>-5.0144233347033766E-3</v>
      </c>
      <c r="F2837" s="45">
        <f t="shared" si="131"/>
        <v>-5.606911628082397E-2</v>
      </c>
      <c r="G2837" s="9">
        <f t="shared" si="132"/>
        <v>1.4130049450845941E-2</v>
      </c>
    </row>
    <row r="2838" spans="1:7" x14ac:dyDescent="0.2">
      <c r="A2838" s="12">
        <v>41009</v>
      </c>
      <c r="B2838" s="9">
        <v>1031.95</v>
      </c>
      <c r="C2838" s="9">
        <v>1013.62</v>
      </c>
      <c r="D2838" s="9">
        <v>1013.62</v>
      </c>
      <c r="E2838" s="9">
        <f t="shared" si="133"/>
        <v>-2.2225088226126236E-2</v>
      </c>
      <c r="F2838" s="45">
        <f t="shared" si="131"/>
        <v>-8.1791189192401928E-2</v>
      </c>
      <c r="G2838" s="9">
        <f t="shared" si="132"/>
        <v>1.4566866643906736E-2</v>
      </c>
    </row>
    <row r="2839" spans="1:7" x14ac:dyDescent="0.2">
      <c r="A2839" s="12">
        <v>41010</v>
      </c>
      <c r="B2839" s="9">
        <v>1032.3800000000001</v>
      </c>
      <c r="C2839" s="9">
        <v>1014.29</v>
      </c>
      <c r="D2839" s="9">
        <v>1026.8</v>
      </c>
      <c r="E2839" s="9">
        <f t="shared" si="133"/>
        <v>1.2919088535156492E-2</v>
      </c>
      <c r="F2839" s="45">
        <f t="shared" si="131"/>
        <v>-6.3000403702903926E-2</v>
      </c>
      <c r="G2839" s="9">
        <f t="shared" si="132"/>
        <v>1.4828597867038381E-2</v>
      </c>
    </row>
    <row r="2840" spans="1:7" x14ac:dyDescent="0.2">
      <c r="A2840" s="12">
        <v>41011</v>
      </c>
      <c r="B2840" s="9">
        <v>1050.9100000000001</v>
      </c>
      <c r="C2840" s="9">
        <v>1024.8900000000001</v>
      </c>
      <c r="D2840" s="9">
        <v>1049.8599999999999</v>
      </c>
      <c r="E2840" s="9">
        <f t="shared" si="133"/>
        <v>2.2209651931571248E-2</v>
      </c>
      <c r="F2840" s="45">
        <f t="shared" si="131"/>
        <v>-4.8624141859462719E-2</v>
      </c>
      <c r="G2840" s="9">
        <f t="shared" si="132"/>
        <v>1.5382625915378527E-2</v>
      </c>
    </row>
    <row r="2841" spans="1:7" x14ac:dyDescent="0.2">
      <c r="A2841" s="12">
        <v>41012</v>
      </c>
      <c r="B2841" s="9">
        <v>1048</v>
      </c>
      <c r="C2841" s="9">
        <v>1025.4100000000001</v>
      </c>
      <c r="D2841" s="9">
        <v>1027.72</v>
      </c>
      <c r="E2841" s="9">
        <f t="shared" si="133"/>
        <v>-2.1314065554711971E-2</v>
      </c>
      <c r="F2841" s="45">
        <f t="shared" si="131"/>
        <v>-6.9566144776314301E-2</v>
      </c>
      <c r="G2841" s="9">
        <f t="shared" si="132"/>
        <v>1.5793687598127538E-2</v>
      </c>
    </row>
    <row r="2842" spans="1:7" x14ac:dyDescent="0.2">
      <c r="A2842" s="12">
        <v>41015</v>
      </c>
      <c r="B2842" s="9">
        <v>1044.22</v>
      </c>
      <c r="C2842" s="9">
        <v>1021.76</v>
      </c>
      <c r="D2842" s="9">
        <v>1036.4100000000001</v>
      </c>
      <c r="E2842" s="9">
        <f t="shared" si="133"/>
        <v>8.4200620518142533E-3</v>
      </c>
      <c r="F2842" s="45">
        <f t="shared" si="131"/>
        <v>-6.3702353775754436E-2</v>
      </c>
      <c r="G2842" s="9">
        <f t="shared" si="132"/>
        <v>1.5892080021071467E-2</v>
      </c>
    </row>
    <row r="2843" spans="1:7" x14ac:dyDescent="0.2">
      <c r="A2843" s="12">
        <v>41016</v>
      </c>
      <c r="B2843" s="9">
        <v>1060.25</v>
      </c>
      <c r="C2843" s="9">
        <v>1032.67</v>
      </c>
      <c r="D2843" s="9">
        <v>1055.24</v>
      </c>
      <c r="E2843" s="9">
        <f t="shared" si="133"/>
        <v>1.8005410764660681E-2</v>
      </c>
      <c r="F2843" s="45">
        <f t="shared" si="131"/>
        <v>-4.6176648318320995E-2</v>
      </c>
      <c r="G2843" s="9">
        <f t="shared" si="132"/>
        <v>1.6307754605932766E-2</v>
      </c>
    </row>
    <row r="2844" spans="1:7" x14ac:dyDescent="0.2">
      <c r="A2844" s="12">
        <v>41017</v>
      </c>
      <c r="B2844" s="9">
        <v>1053.78</v>
      </c>
      <c r="C2844" s="9">
        <v>1033.6199999999999</v>
      </c>
      <c r="D2844" s="9">
        <v>1036.1500000000001</v>
      </c>
      <c r="E2844" s="9">
        <f t="shared" si="133"/>
        <v>-1.8256308206822929E-2</v>
      </c>
      <c r="F2844" s="45">
        <f t="shared" si="131"/>
        <v>-5.7450049370513796E-2</v>
      </c>
      <c r="G2844" s="9">
        <f t="shared" si="132"/>
        <v>1.6565370923595325E-2</v>
      </c>
    </row>
    <row r="2845" spans="1:7" x14ac:dyDescent="0.2">
      <c r="A2845" s="12">
        <v>41018</v>
      </c>
      <c r="B2845" s="9">
        <v>1052.42</v>
      </c>
      <c r="C2845" s="9">
        <v>1039.6400000000001</v>
      </c>
      <c r="D2845" s="9">
        <v>1041.6400000000001</v>
      </c>
      <c r="E2845" s="9">
        <f t="shared" si="133"/>
        <v>5.2844731912099962E-3</v>
      </c>
      <c r="F2845" s="45">
        <f t="shared" si="131"/>
        <v>-1.5177429408437781E-2</v>
      </c>
      <c r="G2845" s="9">
        <f t="shared" si="132"/>
        <v>1.5222572868000148E-2</v>
      </c>
    </row>
    <row r="2846" spans="1:7" x14ac:dyDescent="0.2">
      <c r="A2846" s="12">
        <v>41019</v>
      </c>
      <c r="B2846" s="9">
        <v>1055.97</v>
      </c>
      <c r="C2846" s="9">
        <v>1037.26</v>
      </c>
      <c r="D2846" s="9">
        <v>1055.73</v>
      </c>
      <c r="E2846" s="9">
        <f t="shared" si="133"/>
        <v>1.3436076581149614E-2</v>
      </c>
      <c r="F2846" s="45">
        <f t="shared" si="131"/>
        <v>-6.5239070683916663E-3</v>
      </c>
      <c r="G2846" s="9">
        <f t="shared" si="132"/>
        <v>1.5407107755634341E-2</v>
      </c>
    </row>
    <row r="2847" spans="1:7" x14ac:dyDescent="0.2">
      <c r="A2847" s="12">
        <v>41022</v>
      </c>
      <c r="B2847" s="9">
        <v>1048.0899999999999</v>
      </c>
      <c r="C2847" s="9">
        <v>1004.57</v>
      </c>
      <c r="D2847" s="9">
        <v>1007.32</v>
      </c>
      <c r="E2847" s="9">
        <f t="shared" si="133"/>
        <v>-4.6939131946253772E-2</v>
      </c>
      <c r="F2847" s="45">
        <f t="shared" si="131"/>
        <v>-8.0085470650579166E-2</v>
      </c>
      <c r="G2847" s="9">
        <f t="shared" si="132"/>
        <v>1.6780682290472672E-2</v>
      </c>
    </row>
    <row r="2848" spans="1:7" x14ac:dyDescent="0.2">
      <c r="A2848" s="12">
        <v>41023</v>
      </c>
      <c r="B2848" s="9">
        <v>1030.8599999999999</v>
      </c>
      <c r="C2848" s="9">
        <v>1015.17</v>
      </c>
      <c r="D2848" s="9">
        <v>1026.6199999999999</v>
      </c>
      <c r="E2848" s="9">
        <f t="shared" si="133"/>
        <v>1.8978513911364167E-2</v>
      </c>
      <c r="F2848" s="45">
        <f t="shared" si="131"/>
        <v>-5.9722340428031283E-2</v>
      </c>
      <c r="G2848" s="9">
        <f t="shared" si="132"/>
        <v>1.7240001562730079E-2</v>
      </c>
    </row>
    <row r="2849" spans="1:7" x14ac:dyDescent="0.2">
      <c r="A2849" s="12">
        <v>41024</v>
      </c>
      <c r="B2849" s="9">
        <v>1044.8699999999999</v>
      </c>
      <c r="C2849" s="9">
        <v>1034.57</v>
      </c>
      <c r="D2849" s="9">
        <v>1041.67</v>
      </c>
      <c r="E2849" s="9">
        <f t="shared" si="133"/>
        <v>1.4553341776305712E-2</v>
      </c>
      <c r="F2849" s="45">
        <f t="shared" ref="F2849:F2912" si="134">LN(D2849/D2819)</f>
        <v>-4.7469525304367724E-2</v>
      </c>
      <c r="G2849" s="9">
        <f t="shared" ref="G2849:G2912" si="135">STDEV(E2820:E2849)</f>
        <v>1.7488517776979622E-2</v>
      </c>
    </row>
    <row r="2850" spans="1:7" x14ac:dyDescent="0.2">
      <c r="A2850" s="12">
        <v>41025</v>
      </c>
      <c r="B2850" s="9">
        <v>1050.27</v>
      </c>
      <c r="C2850" s="9">
        <v>1029.4000000000001</v>
      </c>
      <c r="D2850" s="9">
        <v>1035.01</v>
      </c>
      <c r="E2850" s="9">
        <f t="shared" si="133"/>
        <v>-6.4141060087292518E-3</v>
      </c>
      <c r="F2850" s="45">
        <f t="shared" si="134"/>
        <v>-6.6447307803976716E-2</v>
      </c>
      <c r="G2850" s="9">
        <f t="shared" si="135"/>
        <v>1.7301416319574728E-2</v>
      </c>
    </row>
    <row r="2851" spans="1:7" x14ac:dyDescent="0.2">
      <c r="A2851" s="12">
        <v>41026</v>
      </c>
      <c r="B2851" s="9">
        <v>1057.99</v>
      </c>
      <c r="C2851" s="9">
        <v>1033.52</v>
      </c>
      <c r="D2851" s="9">
        <v>1056.67</v>
      </c>
      <c r="E2851" s="9">
        <f t="shared" si="133"/>
        <v>2.0711365283830614E-2</v>
      </c>
      <c r="F2851" s="45">
        <f t="shared" si="134"/>
        <v>-5.4323704252541988E-2</v>
      </c>
      <c r="G2851" s="9">
        <f t="shared" si="135"/>
        <v>1.7699452737761471E-2</v>
      </c>
    </row>
    <row r="2852" spans="1:7" x14ac:dyDescent="0.2">
      <c r="A2852" s="12">
        <v>41029</v>
      </c>
      <c r="B2852" s="9">
        <v>1060.78</v>
      </c>
      <c r="C2852" s="9">
        <v>1053.23</v>
      </c>
      <c r="D2852" s="9">
        <v>1059.6199999999999</v>
      </c>
      <c r="E2852" s="9">
        <f t="shared" si="133"/>
        <v>2.7878994945972138E-3</v>
      </c>
      <c r="F2852" s="45">
        <f t="shared" si="134"/>
        <v>-5.6399992892577085E-2</v>
      </c>
      <c r="G2852" s="9">
        <f t="shared" si="135"/>
        <v>1.7676496280129975E-2</v>
      </c>
    </row>
    <row r="2853" spans="1:7" x14ac:dyDescent="0.2">
      <c r="A2853" s="12">
        <v>41031</v>
      </c>
      <c r="B2853" s="9">
        <v>1071.42</v>
      </c>
      <c r="C2853" s="9">
        <v>1044.8699999999999</v>
      </c>
      <c r="D2853" s="9">
        <v>1051.48</v>
      </c>
      <c r="E2853" s="9">
        <f t="shared" si="133"/>
        <v>-7.7116577520877092E-3</v>
      </c>
      <c r="F2853" s="45">
        <f t="shared" si="134"/>
        <v>-6.6116596848602688E-2</v>
      </c>
      <c r="G2853" s="9">
        <f t="shared" si="135"/>
        <v>1.769186979795704E-2</v>
      </c>
    </row>
    <row r="2854" spans="1:7" x14ac:dyDescent="0.2">
      <c r="A2854" s="12">
        <v>41032</v>
      </c>
      <c r="B2854" s="9">
        <v>1063.27</v>
      </c>
      <c r="C2854" s="9">
        <v>1049.07</v>
      </c>
      <c r="D2854" s="9">
        <v>1059.9000000000001</v>
      </c>
      <c r="E2854" s="9">
        <f t="shared" si="133"/>
        <v>7.9758685183264188E-3</v>
      </c>
      <c r="F2854" s="45">
        <f t="shared" si="134"/>
        <v>-5.6394423191954701E-2</v>
      </c>
      <c r="G2854" s="9">
        <f t="shared" si="135"/>
        <v>1.7789315657719768E-2</v>
      </c>
    </row>
    <row r="2855" spans="1:7" x14ac:dyDescent="0.2">
      <c r="A2855" s="12">
        <v>41033</v>
      </c>
      <c r="B2855" s="9">
        <v>1050.6600000000001</v>
      </c>
      <c r="C2855" s="9">
        <v>1026.03</v>
      </c>
      <c r="D2855" s="9">
        <v>1031.95</v>
      </c>
      <c r="E2855" s="9">
        <f t="shared" si="133"/>
        <v>-2.6724347777824693E-2</v>
      </c>
      <c r="F2855" s="45">
        <f t="shared" si="134"/>
        <v>-6.8051168149545233E-2</v>
      </c>
      <c r="G2855" s="9">
        <f t="shared" si="135"/>
        <v>1.8209637988302763E-2</v>
      </c>
    </row>
    <row r="2856" spans="1:7" x14ac:dyDescent="0.2">
      <c r="A2856" s="12">
        <v>41036</v>
      </c>
      <c r="B2856" s="9">
        <v>1032.33</v>
      </c>
      <c r="C2856" s="9">
        <v>1011.95</v>
      </c>
      <c r="D2856" s="9">
        <v>1030.71</v>
      </c>
      <c r="E2856" s="9">
        <f t="shared" si="133"/>
        <v>-1.2023311155291989E-3</v>
      </c>
      <c r="F2856" s="45">
        <f t="shared" si="134"/>
        <v>-5.4791548829682353E-2</v>
      </c>
      <c r="G2856" s="9">
        <f t="shared" si="135"/>
        <v>1.8063803649281278E-2</v>
      </c>
    </row>
    <row r="2857" spans="1:7" x14ac:dyDescent="0.2">
      <c r="A2857" s="12">
        <v>41037</v>
      </c>
      <c r="B2857" s="9">
        <v>1030.45</v>
      </c>
      <c r="C2857" s="9">
        <v>1015.47</v>
      </c>
      <c r="D2857" s="9">
        <v>1018.54</v>
      </c>
      <c r="E2857" s="9">
        <f t="shared" si="133"/>
        <v>-1.1877655802841119E-2</v>
      </c>
      <c r="F2857" s="45">
        <f t="shared" si="134"/>
        <v>-5.6124810735527428E-2</v>
      </c>
      <c r="G2857" s="9">
        <f t="shared" si="135"/>
        <v>1.8087616433323014E-2</v>
      </c>
    </row>
    <row r="2858" spans="1:7" x14ac:dyDescent="0.2">
      <c r="A2858" s="12">
        <v>41038</v>
      </c>
      <c r="B2858" s="9">
        <v>1029.48</v>
      </c>
      <c r="C2858" s="9">
        <v>1006.28</v>
      </c>
      <c r="D2858" s="9">
        <v>1018.53</v>
      </c>
      <c r="E2858" s="9">
        <f t="shared" si="133"/>
        <v>-9.8180229448236651E-6</v>
      </c>
      <c r="F2858" s="45">
        <f t="shared" si="134"/>
        <v>-6.2564983581651301E-2</v>
      </c>
      <c r="G2858" s="9">
        <f t="shared" si="135"/>
        <v>1.8023801682702182E-2</v>
      </c>
    </row>
    <row r="2859" spans="1:7" x14ac:dyDescent="0.2">
      <c r="A2859" s="12">
        <v>41039</v>
      </c>
      <c r="B2859" s="9">
        <v>1030.72</v>
      </c>
      <c r="C2859" s="9">
        <v>1015.76</v>
      </c>
      <c r="D2859" s="9">
        <v>1026.5</v>
      </c>
      <c r="E2859" s="9">
        <f t="shared" si="133"/>
        <v>7.7945461449186485E-3</v>
      </c>
      <c r="F2859" s="45">
        <f t="shared" si="134"/>
        <v>-7.176998267835355E-2</v>
      </c>
      <c r="G2859" s="9">
        <f t="shared" si="135"/>
        <v>1.7764180693444796E-2</v>
      </c>
    </row>
    <row r="2860" spans="1:7" x14ac:dyDescent="0.2">
      <c r="A2860" s="12">
        <v>41040</v>
      </c>
      <c r="B2860" s="9">
        <v>1033.1300000000001</v>
      </c>
      <c r="C2860" s="9">
        <v>1018.16</v>
      </c>
      <c r="D2860" s="9">
        <v>1032.4100000000001</v>
      </c>
      <c r="E2860" s="9">
        <f t="shared" si="133"/>
        <v>5.7409175067119197E-3</v>
      </c>
      <c r="F2860" s="45">
        <f t="shared" si="134"/>
        <v>-5.9241976387773766E-2</v>
      </c>
      <c r="G2860" s="9">
        <f t="shared" si="135"/>
        <v>1.7804514670401287E-2</v>
      </c>
    </row>
    <row r="2861" spans="1:7" x14ac:dyDescent="0.2">
      <c r="A2861" s="12">
        <v>41043</v>
      </c>
      <c r="B2861" s="9">
        <v>1026.07</v>
      </c>
      <c r="C2861" s="9">
        <v>994.75</v>
      </c>
      <c r="D2861" s="9">
        <v>1004.87</v>
      </c>
      <c r="E2861" s="9">
        <f t="shared" si="133"/>
        <v>-2.7037695073205945E-2</v>
      </c>
      <c r="F2861" s="45">
        <f t="shared" si="134"/>
        <v>-7.5725919645681594E-2</v>
      </c>
      <c r="G2861" s="9">
        <f t="shared" si="135"/>
        <v>1.8325144502077329E-2</v>
      </c>
    </row>
    <row r="2862" spans="1:7" x14ac:dyDescent="0.2">
      <c r="A2862" s="12">
        <v>41044</v>
      </c>
      <c r="B2862" s="9">
        <v>1015.51</v>
      </c>
      <c r="C2862" s="9">
        <v>996.36</v>
      </c>
      <c r="D2862" s="9">
        <v>999.22</v>
      </c>
      <c r="E2862" s="9">
        <f t="shared" si="133"/>
        <v>-5.6384842686337585E-3</v>
      </c>
      <c r="F2862" s="45">
        <f t="shared" si="134"/>
        <v>-5.7463049530264071E-2</v>
      </c>
      <c r="G2862" s="9">
        <f t="shared" si="135"/>
        <v>1.7888654564060583E-2</v>
      </c>
    </row>
    <row r="2863" spans="1:7" x14ac:dyDescent="0.2">
      <c r="A2863" s="12">
        <v>41045</v>
      </c>
      <c r="B2863" s="9">
        <v>995.23</v>
      </c>
      <c r="C2863" s="9">
        <v>983.25</v>
      </c>
      <c r="D2863" s="9">
        <v>986.94</v>
      </c>
      <c r="E2863" s="9">
        <f t="shared" si="133"/>
        <v>-1.2365727311738656E-2</v>
      </c>
      <c r="F2863" s="45">
        <f t="shared" si="134"/>
        <v>-8.4982855288697978E-2</v>
      </c>
      <c r="G2863" s="9">
        <f t="shared" si="135"/>
        <v>1.7687625291619987E-2</v>
      </c>
    </row>
    <row r="2864" spans="1:7" x14ac:dyDescent="0.2">
      <c r="A2864" s="12">
        <v>41047</v>
      </c>
      <c r="B2864" s="9">
        <v>971.14</v>
      </c>
      <c r="C2864" s="9">
        <v>955.14</v>
      </c>
      <c r="D2864" s="9">
        <v>955.98</v>
      </c>
      <c r="E2864" s="9">
        <f t="shared" si="133"/>
        <v>-3.1872254981649355E-2</v>
      </c>
      <c r="F2864" s="45">
        <f t="shared" si="134"/>
        <v>-0.12795219538793395</v>
      </c>
      <c r="G2864" s="9">
        <f t="shared" si="135"/>
        <v>1.8251515400193763E-2</v>
      </c>
    </row>
    <row r="2865" spans="1:7" x14ac:dyDescent="0.2">
      <c r="A2865" s="12">
        <v>41050</v>
      </c>
      <c r="B2865" s="9">
        <v>977.5</v>
      </c>
      <c r="C2865" s="9">
        <v>955.01</v>
      </c>
      <c r="D2865" s="9">
        <v>975.97</v>
      </c>
      <c r="E2865" s="9">
        <f t="shared" si="133"/>
        <v>2.0694855905288967E-2</v>
      </c>
      <c r="F2865" s="45">
        <f t="shared" si="134"/>
        <v>-0.10180285601674707</v>
      </c>
      <c r="G2865" s="9">
        <f t="shared" si="135"/>
        <v>1.8808661842759981E-2</v>
      </c>
    </row>
    <row r="2866" spans="1:7" x14ac:dyDescent="0.2">
      <c r="A2866" s="12">
        <v>41051</v>
      </c>
      <c r="B2866" s="9">
        <v>1004.17</v>
      </c>
      <c r="C2866" s="9">
        <v>984.22</v>
      </c>
      <c r="D2866" s="9">
        <v>1000.53</v>
      </c>
      <c r="E2866" s="9">
        <f t="shared" si="133"/>
        <v>2.4853290345981421E-2</v>
      </c>
      <c r="F2866" s="45">
        <f t="shared" si="134"/>
        <v>-4.0237733440915503E-2</v>
      </c>
      <c r="G2866" s="9">
        <f t="shared" si="135"/>
        <v>1.8402235628660356E-2</v>
      </c>
    </row>
    <row r="2867" spans="1:7" x14ac:dyDescent="0.2">
      <c r="A2867" s="12">
        <v>41052</v>
      </c>
      <c r="B2867" s="9">
        <v>992.71</v>
      </c>
      <c r="C2867" s="9">
        <v>973.75</v>
      </c>
      <c r="D2867" s="9">
        <v>974.56</v>
      </c>
      <c r="E2867" s="9">
        <f t="shared" si="133"/>
        <v>-2.6299051493568582E-2</v>
      </c>
      <c r="F2867" s="45">
        <f t="shared" si="134"/>
        <v>-6.1522361599780542E-2</v>
      </c>
      <c r="G2867" s="9">
        <f t="shared" si="135"/>
        <v>1.8950865824807681E-2</v>
      </c>
    </row>
    <row r="2868" spans="1:7" x14ac:dyDescent="0.2">
      <c r="A2868" s="12">
        <v>41053</v>
      </c>
      <c r="B2868" s="9">
        <v>988.13</v>
      </c>
      <c r="C2868" s="9">
        <v>971.42</v>
      </c>
      <c r="D2868" s="9">
        <v>986.62</v>
      </c>
      <c r="E2868" s="9">
        <f t="shared" si="133"/>
        <v>1.2298873145972144E-2</v>
      </c>
      <c r="F2868" s="45">
        <f t="shared" si="134"/>
        <v>-2.6998400227682087E-2</v>
      </c>
      <c r="G2868" s="9">
        <f t="shared" si="135"/>
        <v>1.8730485442573861E-2</v>
      </c>
    </row>
    <row r="2869" spans="1:7" x14ac:dyDescent="0.2">
      <c r="A2869" s="12">
        <v>41054</v>
      </c>
      <c r="B2869" s="9">
        <v>995.52</v>
      </c>
      <c r="C2869" s="9">
        <v>976.26</v>
      </c>
      <c r="D2869" s="9">
        <v>985.03</v>
      </c>
      <c r="E2869" s="9">
        <f t="shared" si="133"/>
        <v>-1.6128626730664011E-3</v>
      </c>
      <c r="F2869" s="45">
        <f t="shared" si="134"/>
        <v>-4.1530351435905111E-2</v>
      </c>
      <c r="G2869" s="9">
        <f t="shared" si="135"/>
        <v>1.8547799129677817E-2</v>
      </c>
    </row>
    <row r="2870" spans="1:7" x14ac:dyDescent="0.2">
      <c r="A2870" s="12">
        <v>41057</v>
      </c>
      <c r="B2870" s="9">
        <v>1000.68</v>
      </c>
      <c r="C2870" s="9">
        <v>976.88</v>
      </c>
      <c r="D2870" s="9">
        <v>985.12</v>
      </c>
      <c r="E2870" s="9">
        <f t="shared" si="133"/>
        <v>9.136360181972532E-5</v>
      </c>
      <c r="F2870" s="45">
        <f t="shared" si="134"/>
        <v>-6.3648639765656545E-2</v>
      </c>
      <c r="G2870" s="9">
        <f t="shared" si="135"/>
        <v>1.800938304995164E-2</v>
      </c>
    </row>
    <row r="2871" spans="1:7" x14ac:dyDescent="0.2">
      <c r="A2871" s="12">
        <v>41058</v>
      </c>
      <c r="B2871" s="9">
        <v>1006.91</v>
      </c>
      <c r="C2871" s="9">
        <v>988.75</v>
      </c>
      <c r="D2871" s="9">
        <v>1001.83</v>
      </c>
      <c r="E2871" s="9">
        <f t="shared" si="133"/>
        <v>1.6820145409266473E-2</v>
      </c>
      <c r="F2871" s="45">
        <f t="shared" si="134"/>
        <v>-2.5514428801678191E-2</v>
      </c>
      <c r="G2871" s="9">
        <f t="shared" si="135"/>
        <v>1.7953738573344296E-2</v>
      </c>
    </row>
    <row r="2872" spans="1:7" x14ac:dyDescent="0.2">
      <c r="A2872" s="12">
        <v>41059</v>
      </c>
      <c r="B2872" s="9">
        <v>1000.02</v>
      </c>
      <c r="C2872" s="9">
        <v>982.63</v>
      </c>
      <c r="D2872" s="9">
        <v>986.61</v>
      </c>
      <c r="E2872" s="9">
        <f t="shared" si="133"/>
        <v>-1.5308782003907713E-2</v>
      </c>
      <c r="F2872" s="45">
        <f t="shared" si="134"/>
        <v>-4.9243272857400294E-2</v>
      </c>
      <c r="G2872" s="9">
        <f t="shared" si="135"/>
        <v>1.8053651874380881E-2</v>
      </c>
    </row>
    <row r="2873" spans="1:7" x14ac:dyDescent="0.2">
      <c r="A2873" s="12">
        <v>41060</v>
      </c>
      <c r="B2873" s="9">
        <v>991.49</v>
      </c>
      <c r="C2873" s="9">
        <v>969.16</v>
      </c>
      <c r="D2873" s="9">
        <v>975.98</v>
      </c>
      <c r="E2873" s="9">
        <f t="shared" si="133"/>
        <v>-1.0832730168404732E-2</v>
      </c>
      <c r="F2873" s="45">
        <f t="shared" si="134"/>
        <v>-7.8081413790465695E-2</v>
      </c>
      <c r="G2873" s="9">
        <f t="shared" si="135"/>
        <v>1.7736437931922987E-2</v>
      </c>
    </row>
    <row r="2874" spans="1:7" x14ac:dyDescent="0.2">
      <c r="A2874" s="12">
        <v>41061</v>
      </c>
      <c r="B2874" s="9">
        <v>980.53</v>
      </c>
      <c r="C2874" s="9">
        <v>946.37</v>
      </c>
      <c r="D2874" s="9">
        <v>956.7</v>
      </c>
      <c r="E2874" s="9">
        <f t="shared" si="133"/>
        <v>-1.9952231715732249E-2</v>
      </c>
      <c r="F2874" s="45">
        <f t="shared" si="134"/>
        <v>-7.9777337299375056E-2</v>
      </c>
      <c r="G2874" s="9">
        <f t="shared" si="135"/>
        <v>1.7790670324318955E-2</v>
      </c>
    </row>
    <row r="2875" spans="1:7" x14ac:dyDescent="0.2">
      <c r="A2875" s="12">
        <v>41064</v>
      </c>
      <c r="B2875" s="9">
        <v>956.76</v>
      </c>
      <c r="C2875" s="9">
        <v>941.11</v>
      </c>
      <c r="D2875" s="9">
        <v>946.12</v>
      </c>
      <c r="E2875" s="9">
        <f t="shared" si="133"/>
        <v>-1.1120451782719162E-2</v>
      </c>
      <c r="F2875" s="45">
        <f t="shared" si="134"/>
        <v>-9.6182262273304134E-2</v>
      </c>
      <c r="G2875" s="9">
        <f t="shared" si="135"/>
        <v>1.7790203836418477E-2</v>
      </c>
    </row>
    <row r="2876" spans="1:7" x14ac:dyDescent="0.2">
      <c r="A2876" s="12">
        <v>41065</v>
      </c>
      <c r="B2876" s="9">
        <v>957.62</v>
      </c>
      <c r="C2876" s="9">
        <v>948.69</v>
      </c>
      <c r="D2876" s="9">
        <v>951.91</v>
      </c>
      <c r="E2876" s="9">
        <f t="shared" si="133"/>
        <v>6.1010816058558208E-3</v>
      </c>
      <c r="F2876" s="45">
        <f t="shared" si="134"/>
        <v>-0.10351725724859791</v>
      </c>
      <c r="G2876" s="9">
        <f t="shared" si="135"/>
        <v>1.7603014796148873E-2</v>
      </c>
    </row>
    <row r="2877" spans="1:7" x14ac:dyDescent="0.2">
      <c r="A2877" s="12">
        <v>41067</v>
      </c>
      <c r="B2877" s="9">
        <v>990.57</v>
      </c>
      <c r="C2877" s="9">
        <v>970.49</v>
      </c>
      <c r="D2877" s="9">
        <v>981.95</v>
      </c>
      <c r="E2877" s="9">
        <f t="shared" si="133"/>
        <v>3.1069898053973689E-2</v>
      </c>
      <c r="F2877" s="45">
        <f t="shared" si="134"/>
        <v>-2.5508227248370416E-2</v>
      </c>
      <c r="G2877" s="9">
        <f t="shared" si="135"/>
        <v>1.6695734868388386E-2</v>
      </c>
    </row>
    <row r="2878" spans="1:7" x14ac:dyDescent="0.2">
      <c r="A2878" s="12">
        <v>41068</v>
      </c>
      <c r="B2878" s="9">
        <v>978.97</v>
      </c>
      <c r="C2878" s="9">
        <v>962.9</v>
      </c>
      <c r="D2878" s="9">
        <v>975.76</v>
      </c>
      <c r="E2878" s="9">
        <f t="shared" si="133"/>
        <v>-6.3237360262493126E-3</v>
      </c>
      <c r="F2878" s="45">
        <f t="shared" si="134"/>
        <v>-5.0810477185983777E-2</v>
      </c>
      <c r="G2878" s="9">
        <f t="shared" si="135"/>
        <v>1.6293765612233287E-2</v>
      </c>
    </row>
    <row r="2879" spans="1:7" x14ac:dyDescent="0.2">
      <c r="A2879" s="12">
        <v>41071</v>
      </c>
      <c r="B2879" s="9">
        <v>1002.07</v>
      </c>
      <c r="C2879" s="9">
        <v>981.9</v>
      </c>
      <c r="D2879" s="9">
        <v>982.29</v>
      </c>
      <c r="E2879" s="9">
        <f t="shared" ref="E2879:E2942" si="136">LN(D2879/D2878)</f>
        <v>6.6699259046710275E-3</v>
      </c>
      <c r="F2879" s="45">
        <f t="shared" si="134"/>
        <v>-5.8693893057618358E-2</v>
      </c>
      <c r="G2879" s="9">
        <f t="shared" si="135"/>
        <v>1.6084935847507933E-2</v>
      </c>
    </row>
    <row r="2880" spans="1:7" x14ac:dyDescent="0.2">
      <c r="A2880" s="12">
        <v>41072</v>
      </c>
      <c r="B2880" s="9">
        <v>988.07</v>
      </c>
      <c r="C2880" s="9">
        <v>976.13</v>
      </c>
      <c r="D2880" s="9">
        <v>987.16</v>
      </c>
      <c r="E2880" s="9">
        <f t="shared" si="136"/>
        <v>4.945553251993447E-3</v>
      </c>
      <c r="F2880" s="45">
        <f t="shared" si="134"/>
        <v>-4.7334233796895588E-2</v>
      </c>
      <c r="G2880" s="9">
        <f t="shared" si="135"/>
        <v>1.6110069168194172E-2</v>
      </c>
    </row>
    <row r="2881" spans="1:7" x14ac:dyDescent="0.2">
      <c r="A2881" s="12">
        <v>41073</v>
      </c>
      <c r="B2881" s="9">
        <v>997.06</v>
      </c>
      <c r="C2881" s="9">
        <v>971.43</v>
      </c>
      <c r="D2881" s="9">
        <v>976.01</v>
      </c>
      <c r="E2881" s="9">
        <f t="shared" si="136"/>
        <v>-1.1359301429404485E-2</v>
      </c>
      <c r="F2881" s="45">
        <f t="shared" si="134"/>
        <v>-7.9404900510130605E-2</v>
      </c>
      <c r="G2881" s="9">
        <f t="shared" si="135"/>
        <v>1.5637137112704032E-2</v>
      </c>
    </row>
    <row r="2882" spans="1:7" x14ac:dyDescent="0.2">
      <c r="A2882" s="12">
        <v>41074</v>
      </c>
      <c r="B2882" s="9">
        <v>976.03</v>
      </c>
      <c r="C2882" s="9">
        <v>958.27</v>
      </c>
      <c r="D2882" s="9">
        <v>971.66</v>
      </c>
      <c r="E2882" s="9">
        <f t="shared" si="136"/>
        <v>-4.4668832327619361E-3</v>
      </c>
      <c r="F2882" s="45">
        <f t="shared" si="134"/>
        <v>-8.665968323748971E-2</v>
      </c>
      <c r="G2882" s="9">
        <f t="shared" si="135"/>
        <v>1.5606258214708136E-2</v>
      </c>
    </row>
    <row r="2883" spans="1:7" x14ac:dyDescent="0.2">
      <c r="A2883" s="12">
        <v>41075</v>
      </c>
      <c r="B2883" s="9">
        <v>980.37</v>
      </c>
      <c r="C2883" s="9">
        <v>973.77</v>
      </c>
      <c r="D2883" s="9">
        <v>977.53</v>
      </c>
      <c r="E2883" s="9">
        <f t="shared" si="136"/>
        <v>6.0230328961792231E-3</v>
      </c>
      <c r="F2883" s="45">
        <f t="shared" si="134"/>
        <v>-7.2924992589222692E-2</v>
      </c>
      <c r="G2883" s="9">
        <f t="shared" si="135"/>
        <v>1.5661255032869466E-2</v>
      </c>
    </row>
    <row r="2884" spans="1:7" x14ac:dyDescent="0.2">
      <c r="A2884" s="12">
        <v>41078</v>
      </c>
      <c r="B2884" s="9">
        <v>992.44</v>
      </c>
      <c r="C2884" s="9">
        <v>971.76</v>
      </c>
      <c r="D2884" s="9">
        <v>981.05</v>
      </c>
      <c r="E2884" s="9">
        <f t="shared" si="136"/>
        <v>3.5944447404501739E-3</v>
      </c>
      <c r="F2884" s="45">
        <f t="shared" si="134"/>
        <v>-7.7306416367098812E-2</v>
      </c>
      <c r="G2884" s="9">
        <f t="shared" si="135"/>
        <v>1.5581086020450666E-2</v>
      </c>
    </row>
    <row r="2885" spans="1:7" x14ac:dyDescent="0.2">
      <c r="A2885" s="12">
        <v>41079</v>
      </c>
      <c r="B2885" s="9">
        <v>1000.9</v>
      </c>
      <c r="C2885" s="9">
        <v>980.89</v>
      </c>
      <c r="D2885" s="9">
        <v>1000.19</v>
      </c>
      <c r="E2885" s="9">
        <f t="shared" si="136"/>
        <v>1.9321834268312521E-2</v>
      </c>
      <c r="F2885" s="45">
        <f t="shared" si="134"/>
        <v>-3.1260234320961498E-2</v>
      </c>
      <c r="G2885" s="9">
        <f t="shared" si="135"/>
        <v>1.538709211972167E-2</v>
      </c>
    </row>
    <row r="2886" spans="1:7" x14ac:dyDescent="0.2">
      <c r="A2886" s="12">
        <v>41080</v>
      </c>
      <c r="B2886" s="9">
        <v>1016.12</v>
      </c>
      <c r="C2886" s="9">
        <v>996.68</v>
      </c>
      <c r="D2886" s="9">
        <v>1014.99</v>
      </c>
      <c r="E2886" s="9">
        <f t="shared" si="136"/>
        <v>1.4688778276182408E-2</v>
      </c>
      <c r="F2886" s="45">
        <f t="shared" si="134"/>
        <v>-1.5369124929249885E-2</v>
      </c>
      <c r="G2886" s="9">
        <f t="shared" si="135"/>
        <v>1.5652618886178256E-2</v>
      </c>
    </row>
    <row r="2887" spans="1:7" x14ac:dyDescent="0.2">
      <c r="A2887" s="12">
        <v>41081</v>
      </c>
      <c r="B2887" s="9">
        <v>1015.64</v>
      </c>
      <c r="C2887" s="9">
        <v>1005.18</v>
      </c>
      <c r="D2887" s="9">
        <v>1009.84</v>
      </c>
      <c r="E2887" s="9">
        <f t="shared" si="136"/>
        <v>-5.0868577659992573E-3</v>
      </c>
      <c r="F2887" s="45">
        <f t="shared" si="134"/>
        <v>-8.5783268924081134E-3</v>
      </c>
      <c r="G2887" s="9">
        <f t="shared" si="135"/>
        <v>1.5531223301588529E-2</v>
      </c>
    </row>
    <row r="2888" spans="1:7" x14ac:dyDescent="0.2">
      <c r="A2888" s="12">
        <v>41085</v>
      </c>
      <c r="B2888" s="9">
        <v>999.5</v>
      </c>
      <c r="C2888" s="9">
        <v>984.32</v>
      </c>
      <c r="D2888" s="9">
        <v>985.34</v>
      </c>
      <c r="E2888" s="9">
        <f t="shared" si="136"/>
        <v>-2.4560422167647384E-2</v>
      </c>
      <c r="F2888" s="45">
        <f t="shared" si="134"/>
        <v>-3.3128931037110801E-2</v>
      </c>
      <c r="G2888" s="9">
        <f t="shared" si="135"/>
        <v>1.6150617562033547E-2</v>
      </c>
    </row>
    <row r="2889" spans="1:7" x14ac:dyDescent="0.2">
      <c r="A2889" s="12">
        <v>41086</v>
      </c>
      <c r="B2889" s="9">
        <v>989.9</v>
      </c>
      <c r="C2889" s="9">
        <v>976.39</v>
      </c>
      <c r="D2889" s="9">
        <v>981.64</v>
      </c>
      <c r="E2889" s="9">
        <f t="shared" si="136"/>
        <v>-3.7621169142565136E-3</v>
      </c>
      <c r="F2889" s="45">
        <f t="shared" si="134"/>
        <v>-4.4685594096285988E-2</v>
      </c>
      <c r="G2889" s="9">
        <f t="shared" si="135"/>
        <v>1.6068660524559228E-2</v>
      </c>
    </row>
    <row r="2890" spans="1:7" x14ac:dyDescent="0.2">
      <c r="A2890" s="12">
        <v>41087</v>
      </c>
      <c r="B2890" s="9">
        <v>993.15</v>
      </c>
      <c r="C2890" s="9">
        <v>981.19</v>
      </c>
      <c r="D2890" s="9">
        <v>991.97</v>
      </c>
      <c r="E2890" s="9">
        <f t="shared" si="136"/>
        <v>1.0468222529390147E-2</v>
      </c>
      <c r="F2890" s="45">
        <f t="shared" si="134"/>
        <v>-3.9958289073607746E-2</v>
      </c>
      <c r="G2890" s="9">
        <f t="shared" si="135"/>
        <v>1.6164901468169481E-2</v>
      </c>
    </row>
    <row r="2891" spans="1:7" x14ac:dyDescent="0.2">
      <c r="A2891" s="12">
        <v>41088</v>
      </c>
      <c r="B2891" s="9">
        <v>996.01</v>
      </c>
      <c r="C2891" s="9">
        <v>971.9</v>
      </c>
      <c r="D2891" s="9">
        <v>979.53</v>
      </c>
      <c r="E2891" s="9">
        <f t="shared" si="136"/>
        <v>-1.2620000105157739E-2</v>
      </c>
      <c r="F2891" s="45">
        <f t="shared" si="134"/>
        <v>-2.5540594105559568E-2</v>
      </c>
      <c r="G2891" s="9">
        <f t="shared" si="135"/>
        <v>1.5577971504722631E-2</v>
      </c>
    </row>
    <row r="2892" spans="1:7" x14ac:dyDescent="0.2">
      <c r="A2892" s="12">
        <v>41089</v>
      </c>
      <c r="B2892" s="9">
        <v>1019.06</v>
      </c>
      <c r="C2892" s="9">
        <v>998.25</v>
      </c>
      <c r="D2892" s="9">
        <v>1019.06</v>
      </c>
      <c r="E2892" s="9">
        <f t="shared" si="136"/>
        <v>3.9563047958490354E-2</v>
      </c>
      <c r="F2892" s="45">
        <f t="shared" si="134"/>
        <v>1.9660938121564709E-2</v>
      </c>
      <c r="G2892" s="9">
        <f t="shared" si="135"/>
        <v>1.7200465040582012E-2</v>
      </c>
    </row>
    <row r="2893" spans="1:7" x14ac:dyDescent="0.2">
      <c r="A2893" s="12">
        <v>41092</v>
      </c>
      <c r="B2893" s="9">
        <v>1030.6199999999999</v>
      </c>
      <c r="C2893" s="9">
        <v>1019.08</v>
      </c>
      <c r="D2893" s="9">
        <v>1024.8599999999999</v>
      </c>
      <c r="E2893" s="9">
        <f t="shared" si="136"/>
        <v>5.6753841325992323E-3</v>
      </c>
      <c r="F2893" s="45">
        <f t="shared" si="134"/>
        <v>3.7702049565902514E-2</v>
      </c>
      <c r="G2893" s="9">
        <f t="shared" si="135"/>
        <v>1.7044188312849297E-2</v>
      </c>
    </row>
    <row r="2894" spans="1:7" x14ac:dyDescent="0.2">
      <c r="A2894" s="12">
        <v>41093</v>
      </c>
      <c r="B2894" s="9">
        <v>1040.1600000000001</v>
      </c>
      <c r="C2894" s="9">
        <v>1026.6199999999999</v>
      </c>
      <c r="D2894" s="9">
        <v>1040.1600000000001</v>
      </c>
      <c r="E2894" s="9">
        <f t="shared" si="136"/>
        <v>1.4818529578134516E-2</v>
      </c>
      <c r="F2894" s="45">
        <f t="shared" si="134"/>
        <v>8.4392834125686184E-2</v>
      </c>
      <c r="G2894" s="9">
        <f t="shared" si="135"/>
        <v>1.6015456922838716E-2</v>
      </c>
    </row>
    <row r="2895" spans="1:7" x14ac:dyDescent="0.2">
      <c r="A2895" s="12">
        <v>41094</v>
      </c>
      <c r="B2895" s="9">
        <v>1042.32</v>
      </c>
      <c r="C2895" s="9">
        <v>1030.3599999999999</v>
      </c>
      <c r="D2895" s="9">
        <v>1038.42</v>
      </c>
      <c r="E2895" s="9">
        <f t="shared" si="136"/>
        <v>-1.674220291195846E-3</v>
      </c>
      <c r="F2895" s="45">
        <f t="shared" si="134"/>
        <v>6.202375792920127E-2</v>
      </c>
      <c r="G2895" s="9">
        <f t="shared" si="135"/>
        <v>1.5671245762910568E-2</v>
      </c>
    </row>
    <row r="2896" spans="1:7" x14ac:dyDescent="0.2">
      <c r="A2896" s="12">
        <v>41095</v>
      </c>
      <c r="B2896" s="9">
        <v>1048.3800000000001</v>
      </c>
      <c r="C2896" s="9">
        <v>1028.02</v>
      </c>
      <c r="D2896" s="9">
        <v>1035.8699999999999</v>
      </c>
      <c r="E2896" s="9">
        <f t="shared" si="136"/>
        <v>-2.4586738446204823E-3</v>
      </c>
      <c r="F2896" s="45">
        <f t="shared" si="134"/>
        <v>3.4711793738599422E-2</v>
      </c>
      <c r="G2896" s="9">
        <f t="shared" si="135"/>
        <v>1.5084220272794782E-2</v>
      </c>
    </row>
    <row r="2897" spans="1:7" x14ac:dyDescent="0.2">
      <c r="A2897" s="12">
        <v>41096</v>
      </c>
      <c r="B2897" s="9">
        <v>1035.52</v>
      </c>
      <c r="C2897" s="9">
        <v>1023.87</v>
      </c>
      <c r="D2897" s="9">
        <v>1023.87</v>
      </c>
      <c r="E2897" s="9">
        <f t="shared" si="136"/>
        <v>-1.1652087905119322E-2</v>
      </c>
      <c r="F2897" s="45">
        <f t="shared" si="134"/>
        <v>4.935875732704853E-2</v>
      </c>
      <c r="G2897" s="9">
        <f t="shared" si="135"/>
        <v>1.4385771749042434E-2</v>
      </c>
    </row>
    <row r="2898" spans="1:7" x14ac:dyDescent="0.2">
      <c r="A2898" s="12">
        <v>41099</v>
      </c>
      <c r="B2898" s="9">
        <v>1025.94</v>
      </c>
      <c r="C2898" s="9">
        <v>1018.54</v>
      </c>
      <c r="D2898" s="9">
        <v>1020.44</v>
      </c>
      <c r="E2898" s="9">
        <f t="shared" si="136"/>
        <v>-3.3556586022763716E-3</v>
      </c>
      <c r="F2898" s="45">
        <f t="shared" si="134"/>
        <v>3.3704225578799957E-2</v>
      </c>
      <c r="G2898" s="9">
        <f t="shared" si="135"/>
        <v>1.4269456573771764E-2</v>
      </c>
    </row>
    <row r="2899" spans="1:7" x14ac:dyDescent="0.2">
      <c r="A2899" s="12">
        <v>41100</v>
      </c>
      <c r="B2899" s="9">
        <v>1032.76</v>
      </c>
      <c r="C2899" s="9">
        <v>1016.74</v>
      </c>
      <c r="D2899" s="9">
        <v>1028.0899999999999</v>
      </c>
      <c r="E2899" s="9">
        <f t="shared" si="136"/>
        <v>7.4688050081376392E-3</v>
      </c>
      <c r="F2899" s="45">
        <f t="shared" si="134"/>
        <v>4.2785893260004176E-2</v>
      </c>
      <c r="G2899" s="9">
        <f t="shared" si="135"/>
        <v>1.4305690689878407E-2</v>
      </c>
    </row>
    <row r="2900" spans="1:7" x14ac:dyDescent="0.2">
      <c r="A2900" s="12">
        <v>41101</v>
      </c>
      <c r="B2900" s="9">
        <v>1029.8699999999999</v>
      </c>
      <c r="C2900" s="9">
        <v>1019.01</v>
      </c>
      <c r="D2900" s="9">
        <v>1026.1199999999999</v>
      </c>
      <c r="E2900" s="9">
        <f t="shared" si="136"/>
        <v>-1.9180128652201286E-3</v>
      </c>
      <c r="F2900" s="45">
        <f t="shared" si="134"/>
        <v>4.077651679296404E-2</v>
      </c>
      <c r="G2900" s="9">
        <f t="shared" si="135"/>
        <v>1.4316855472555789E-2</v>
      </c>
    </row>
    <row r="2901" spans="1:7" x14ac:dyDescent="0.2">
      <c r="A2901" s="12">
        <v>41102</v>
      </c>
      <c r="B2901" s="9">
        <v>1021.78</v>
      </c>
      <c r="C2901" s="9">
        <v>1009.32</v>
      </c>
      <c r="D2901" s="9">
        <v>1013.72</v>
      </c>
      <c r="E2901" s="9">
        <f t="shared" si="136"/>
        <v>-1.2157966059070231E-2</v>
      </c>
      <c r="F2901" s="45">
        <f t="shared" si="134"/>
        <v>1.179840532462762E-2</v>
      </c>
      <c r="G2901" s="9">
        <f t="shared" si="135"/>
        <v>1.421495215738169E-2</v>
      </c>
    </row>
    <row r="2902" spans="1:7" x14ac:dyDescent="0.2">
      <c r="A2902" s="12">
        <v>41103</v>
      </c>
      <c r="B2902" s="9">
        <v>1033.82</v>
      </c>
      <c r="C2902" s="9">
        <v>1016.78</v>
      </c>
      <c r="D2902" s="9">
        <v>1030.94</v>
      </c>
      <c r="E2902" s="9">
        <f t="shared" si="136"/>
        <v>1.6844274500432188E-2</v>
      </c>
      <c r="F2902" s="45">
        <f t="shared" si="134"/>
        <v>4.3951461828967524E-2</v>
      </c>
      <c r="G2902" s="9">
        <f t="shared" si="135"/>
        <v>1.4202356413244074E-2</v>
      </c>
    </row>
    <row r="2903" spans="1:7" x14ac:dyDescent="0.2">
      <c r="A2903" s="12">
        <v>41106</v>
      </c>
      <c r="B2903" s="9">
        <v>1037.8</v>
      </c>
      <c r="C2903" s="9">
        <v>1029.4000000000001</v>
      </c>
      <c r="D2903" s="9">
        <v>1037.8</v>
      </c>
      <c r="E2903" s="9">
        <f t="shared" si="136"/>
        <v>6.6320805364130531E-3</v>
      </c>
      <c r="F2903" s="45">
        <f t="shared" si="134"/>
        <v>6.1416272533785225E-2</v>
      </c>
      <c r="G2903" s="9">
        <f t="shared" si="135"/>
        <v>1.403787540964031E-2</v>
      </c>
    </row>
    <row r="2904" spans="1:7" x14ac:dyDescent="0.2">
      <c r="A2904" s="12">
        <v>41107</v>
      </c>
      <c r="B2904" s="9">
        <v>1041.2</v>
      </c>
      <c r="C2904" s="9">
        <v>1022.21</v>
      </c>
      <c r="D2904" s="9">
        <v>1024.44</v>
      </c>
      <c r="E2904" s="9">
        <f t="shared" si="136"/>
        <v>-1.2956966123423794E-2</v>
      </c>
      <c r="F2904" s="45">
        <f t="shared" si="134"/>
        <v>6.8411538126093643E-2</v>
      </c>
      <c r="G2904" s="9">
        <f t="shared" si="135"/>
        <v>1.3714220140673051E-2</v>
      </c>
    </row>
    <row r="2905" spans="1:7" x14ac:dyDescent="0.2">
      <c r="A2905" s="12">
        <v>41108</v>
      </c>
      <c r="B2905" s="9">
        <v>1034.0899999999999</v>
      </c>
      <c r="C2905" s="9">
        <v>1017</v>
      </c>
      <c r="D2905" s="9">
        <v>1032.82</v>
      </c>
      <c r="E2905" s="9">
        <f t="shared" si="136"/>
        <v>8.1468033681837224E-3</v>
      </c>
      <c r="F2905" s="45">
        <f t="shared" si="134"/>
        <v>8.7678793276996569E-2</v>
      </c>
      <c r="G2905" s="9">
        <f t="shared" si="135"/>
        <v>1.351470897771224E-2</v>
      </c>
    </row>
    <row r="2906" spans="1:7" x14ac:dyDescent="0.2">
      <c r="A2906" s="12">
        <v>41109</v>
      </c>
      <c r="B2906" s="9">
        <v>1051.46</v>
      </c>
      <c r="C2906" s="9">
        <v>1036.52</v>
      </c>
      <c r="D2906" s="9">
        <v>1050.71</v>
      </c>
      <c r="E2906" s="9">
        <f t="shared" si="136"/>
        <v>1.7173200935587045E-2</v>
      </c>
      <c r="F2906" s="45">
        <f t="shared" si="134"/>
        <v>9.8750912606728039E-2</v>
      </c>
      <c r="G2906" s="9">
        <f t="shared" si="135"/>
        <v>1.3753574213518969E-2</v>
      </c>
    </row>
    <row r="2907" spans="1:7" x14ac:dyDescent="0.2">
      <c r="A2907" s="12">
        <v>41110</v>
      </c>
      <c r="B2907" s="9">
        <v>1052.76</v>
      </c>
      <c r="C2907" s="9">
        <v>1037.9000000000001</v>
      </c>
      <c r="D2907" s="9">
        <v>1041.56</v>
      </c>
      <c r="E2907" s="9">
        <f t="shared" si="136"/>
        <v>-8.746536854832121E-3</v>
      </c>
      <c r="F2907" s="45">
        <f t="shared" si="134"/>
        <v>5.8934477697922087E-2</v>
      </c>
      <c r="G2907" s="9">
        <f t="shared" si="135"/>
        <v>1.2873534712194493E-2</v>
      </c>
    </row>
    <row r="2908" spans="1:7" x14ac:dyDescent="0.2">
      <c r="A2908" s="12">
        <v>41113</v>
      </c>
      <c r="B2908" s="9">
        <v>1033.53</v>
      </c>
      <c r="C2908" s="9">
        <v>1011.67</v>
      </c>
      <c r="D2908" s="9">
        <v>1021.81</v>
      </c>
      <c r="E2908" s="9">
        <f t="shared" si="136"/>
        <v>-1.9144024759337592E-2</v>
      </c>
      <c r="F2908" s="45">
        <f t="shared" si="134"/>
        <v>4.6114188964833769E-2</v>
      </c>
      <c r="G2908" s="9">
        <f t="shared" si="135"/>
        <v>1.3361685881362792E-2</v>
      </c>
    </row>
    <row r="2909" spans="1:7" x14ac:dyDescent="0.2">
      <c r="A2909" s="12">
        <v>41114</v>
      </c>
      <c r="B2909" s="9">
        <v>1026.3599999999999</v>
      </c>
      <c r="C2909" s="9">
        <v>1015.47</v>
      </c>
      <c r="D2909" s="9">
        <v>1021.77</v>
      </c>
      <c r="E2909" s="9">
        <f t="shared" si="136"/>
        <v>-3.9146987155018319E-5</v>
      </c>
      <c r="F2909" s="45">
        <f t="shared" si="134"/>
        <v>3.9405116073007847E-2</v>
      </c>
      <c r="G2909" s="9">
        <f t="shared" si="135"/>
        <v>1.3328920635770583E-2</v>
      </c>
    </row>
    <row r="2910" spans="1:7" x14ac:dyDescent="0.2">
      <c r="A2910" s="12">
        <v>41115</v>
      </c>
      <c r="B2910" s="9">
        <v>1034.4100000000001</v>
      </c>
      <c r="C2910" s="9">
        <v>1014.83</v>
      </c>
      <c r="D2910" s="9">
        <v>1029.3</v>
      </c>
      <c r="E2910" s="9">
        <f t="shared" si="136"/>
        <v>7.3425420198520953E-3</v>
      </c>
      <c r="F2910" s="45">
        <f t="shared" si="134"/>
        <v>4.1802104840866383E-2</v>
      </c>
      <c r="G2910" s="9">
        <f t="shared" si="135"/>
        <v>1.3358594849092466E-2</v>
      </c>
    </row>
    <row r="2911" spans="1:7" x14ac:dyDescent="0.2">
      <c r="A2911" s="12">
        <v>41116</v>
      </c>
      <c r="B2911" s="9">
        <v>1053.52</v>
      </c>
      <c r="C2911" s="9">
        <v>1021.09</v>
      </c>
      <c r="D2911" s="9">
        <v>1048.3699999999999</v>
      </c>
      <c r="E2911" s="9">
        <f t="shared" si="136"/>
        <v>1.8357617474889319E-2</v>
      </c>
      <c r="F2911" s="45">
        <f t="shared" si="134"/>
        <v>7.1519023745160046E-2</v>
      </c>
      <c r="G2911" s="9">
        <f t="shared" si="135"/>
        <v>1.3481566211627364E-2</v>
      </c>
    </row>
    <row r="2912" spans="1:7" x14ac:dyDescent="0.2">
      <c r="A2912" s="12">
        <v>41117</v>
      </c>
      <c r="B2912" s="9">
        <v>1061.97</v>
      </c>
      <c r="C2912" s="9">
        <v>1042.21</v>
      </c>
      <c r="D2912" s="9">
        <v>1059.75</v>
      </c>
      <c r="E2912" s="9">
        <f t="shared" si="136"/>
        <v>1.0796454225343571E-2</v>
      </c>
      <c r="F2912" s="45">
        <f t="shared" si="134"/>
        <v>8.6782361203265573E-2</v>
      </c>
      <c r="G2912" s="9">
        <f t="shared" si="135"/>
        <v>1.3502102425615633E-2</v>
      </c>
    </row>
    <row r="2913" spans="1:7" x14ac:dyDescent="0.2">
      <c r="A2913" s="12">
        <v>41120</v>
      </c>
      <c r="B2913" s="9">
        <v>1067.8900000000001</v>
      </c>
      <c r="C2913" s="9">
        <v>1056.8699999999999</v>
      </c>
      <c r="D2913" s="9">
        <v>1066.1300000000001</v>
      </c>
      <c r="E2913" s="9">
        <f t="shared" si="136"/>
        <v>6.0022382771101994E-3</v>
      </c>
      <c r="F2913" s="45">
        <f t="shared" ref="F2913:F2976" si="137">LN(D2913/D2883)</f>
        <v>8.6761566584196398E-2</v>
      </c>
      <c r="G2913" s="9">
        <f t="shared" ref="G2913:G2976" si="138">STDEV(E2884:E2913)</f>
        <v>1.3501936718258349E-2</v>
      </c>
    </row>
    <row r="2914" spans="1:7" x14ac:dyDescent="0.2">
      <c r="A2914" s="12">
        <v>41121</v>
      </c>
      <c r="B2914" s="9">
        <v>1071.4100000000001</v>
      </c>
      <c r="C2914" s="9">
        <v>1061.6099999999999</v>
      </c>
      <c r="D2914" s="9">
        <v>1068.1600000000001</v>
      </c>
      <c r="E2914" s="9">
        <f t="shared" si="136"/>
        <v>1.9022725235589139E-3</v>
      </c>
      <c r="F2914" s="45">
        <f t="shared" si="137"/>
        <v>8.5069394367305151E-2</v>
      </c>
      <c r="G2914" s="9">
        <f t="shared" si="138"/>
        <v>1.3502435820528959E-2</v>
      </c>
    </row>
    <row r="2915" spans="1:7" x14ac:dyDescent="0.2">
      <c r="A2915" s="12">
        <v>41122</v>
      </c>
      <c r="B2915" s="9">
        <v>1068.99</v>
      </c>
      <c r="C2915" s="9">
        <v>1060.99</v>
      </c>
      <c r="D2915" s="9">
        <v>1065.9100000000001</v>
      </c>
      <c r="E2915" s="9">
        <f t="shared" si="136"/>
        <v>-2.1086476392049177E-3</v>
      </c>
      <c r="F2915" s="45">
        <f t="shared" si="137"/>
        <v>6.3638912459787561E-2</v>
      </c>
      <c r="G2915" s="9">
        <f t="shared" si="138"/>
        <v>1.3162774343619402E-2</v>
      </c>
    </row>
    <row r="2916" spans="1:7" x14ac:dyDescent="0.2">
      <c r="A2916" s="12">
        <v>41123</v>
      </c>
      <c r="B2916" s="9">
        <v>1079.8499999999999</v>
      </c>
      <c r="C2916" s="9">
        <v>1053.49</v>
      </c>
      <c r="D2916" s="9">
        <v>1058.0999999999999</v>
      </c>
      <c r="E2916" s="9">
        <f t="shared" si="136"/>
        <v>-7.3540474840948665E-3</v>
      </c>
      <c r="F2916" s="45">
        <f t="shared" si="137"/>
        <v>4.1596086699510301E-2</v>
      </c>
      <c r="G2916" s="9">
        <f t="shared" si="138"/>
        <v>1.3051812649519856E-2</v>
      </c>
    </row>
    <row r="2917" spans="1:7" x14ac:dyDescent="0.2">
      <c r="A2917" s="12">
        <v>41124</v>
      </c>
      <c r="B2917" s="9">
        <v>1081.26</v>
      </c>
      <c r="C2917" s="9">
        <v>1059.72</v>
      </c>
      <c r="D2917" s="9">
        <v>1081.07</v>
      </c>
      <c r="E2917" s="9">
        <f t="shared" si="136"/>
        <v>2.1476444489201257E-2</v>
      </c>
      <c r="F2917" s="45">
        <f t="shared" si="137"/>
        <v>6.8159388954710923E-2</v>
      </c>
      <c r="G2917" s="9">
        <f t="shared" si="138"/>
        <v>1.3491151472044133E-2</v>
      </c>
    </row>
    <row r="2918" spans="1:7" x14ac:dyDescent="0.2">
      <c r="A2918" s="12">
        <v>41127</v>
      </c>
      <c r="B2918" s="9">
        <v>1082.8499999999999</v>
      </c>
      <c r="C2918" s="9">
        <v>1074.24</v>
      </c>
      <c r="D2918" s="9">
        <v>1076.44</v>
      </c>
      <c r="E2918" s="9">
        <f t="shared" si="136"/>
        <v>-4.291991330289755E-3</v>
      </c>
      <c r="F2918" s="45">
        <f t="shared" si="137"/>
        <v>8.8427819792068776E-2</v>
      </c>
      <c r="G2918" s="9">
        <f t="shared" si="138"/>
        <v>1.2577673375548002E-2</v>
      </c>
    </row>
    <row r="2919" spans="1:7" x14ac:dyDescent="0.2">
      <c r="A2919" s="12">
        <v>41128</v>
      </c>
      <c r="B2919" s="9">
        <v>1077.96</v>
      </c>
      <c r="C2919" s="9">
        <v>1063.29</v>
      </c>
      <c r="D2919" s="9">
        <v>1075.7</v>
      </c>
      <c r="E2919" s="9">
        <f t="shared" si="136"/>
        <v>-6.8768763106770035E-4</v>
      </c>
      <c r="F2919" s="45">
        <f t="shared" si="137"/>
        <v>9.1502249075257405E-2</v>
      </c>
      <c r="G2919" s="9">
        <f t="shared" si="138"/>
        <v>1.2533566160418569E-2</v>
      </c>
    </row>
    <row r="2920" spans="1:7" x14ac:dyDescent="0.2">
      <c r="A2920" s="12">
        <v>41129</v>
      </c>
      <c r="B2920" s="9">
        <v>1079.95</v>
      </c>
      <c r="C2920" s="9">
        <v>1069.6500000000001</v>
      </c>
      <c r="D2920" s="9">
        <v>1079.95</v>
      </c>
      <c r="E2920" s="9">
        <f t="shared" si="136"/>
        <v>3.9431313123027816E-3</v>
      </c>
      <c r="F2920" s="45">
        <f t="shared" si="137"/>
        <v>8.4977157858170199E-2</v>
      </c>
      <c r="G2920" s="9">
        <f t="shared" si="138"/>
        <v>1.2456777063465138E-2</v>
      </c>
    </row>
    <row r="2921" spans="1:7" x14ac:dyDescent="0.2">
      <c r="A2921" s="12">
        <v>41130</v>
      </c>
      <c r="B2921" s="9">
        <v>1085.28</v>
      </c>
      <c r="C2921" s="9">
        <v>1075.99</v>
      </c>
      <c r="D2921" s="9">
        <v>1083.67</v>
      </c>
      <c r="E2921" s="9">
        <f t="shared" si="136"/>
        <v>3.4386848574250286E-3</v>
      </c>
      <c r="F2921" s="45">
        <f t="shared" si="137"/>
        <v>0.10103584282075286</v>
      </c>
      <c r="G2921" s="9">
        <f t="shared" si="138"/>
        <v>1.2110065483545224E-2</v>
      </c>
    </row>
    <row r="2922" spans="1:7" x14ac:dyDescent="0.2">
      <c r="A2922" s="12">
        <v>41131</v>
      </c>
      <c r="B2922" s="9">
        <v>1082.5</v>
      </c>
      <c r="C2922" s="9">
        <v>1070.29</v>
      </c>
      <c r="D2922" s="9">
        <v>1079.52</v>
      </c>
      <c r="E2922" s="9">
        <f t="shared" si="136"/>
        <v>-3.8369307285722977E-3</v>
      </c>
      <c r="F2922" s="45">
        <f t="shared" si="137"/>
        <v>5.7635864133690019E-2</v>
      </c>
      <c r="G2922" s="9">
        <f t="shared" si="138"/>
        <v>1.0055002400204896E-2</v>
      </c>
    </row>
    <row r="2923" spans="1:7" x14ac:dyDescent="0.2">
      <c r="A2923" s="12">
        <v>41134</v>
      </c>
      <c r="B2923" s="9">
        <v>1079.55</v>
      </c>
      <c r="C2923" s="9">
        <v>1071.53</v>
      </c>
      <c r="D2923" s="9">
        <v>1077.27</v>
      </c>
      <c r="E2923" s="9">
        <f t="shared" si="136"/>
        <v>-2.0864347629828387E-3</v>
      </c>
      <c r="F2923" s="45">
        <f t="shared" si="137"/>
        <v>4.9874045238108115E-2</v>
      </c>
      <c r="G2923" s="9">
        <f t="shared" si="138"/>
        <v>1.0054932050978585E-2</v>
      </c>
    </row>
    <row r="2924" spans="1:7" x14ac:dyDescent="0.2">
      <c r="A2924" s="12">
        <v>41135</v>
      </c>
      <c r="B2924" s="9">
        <v>1083.3900000000001</v>
      </c>
      <c r="C2924" s="9">
        <v>1074.01</v>
      </c>
      <c r="D2924" s="9">
        <v>1079.46</v>
      </c>
      <c r="E2924" s="9">
        <f t="shared" si="136"/>
        <v>2.0308529604507785E-3</v>
      </c>
      <c r="F2924" s="45">
        <f t="shared" si="137"/>
        <v>3.7086368620424498E-2</v>
      </c>
      <c r="G2924" s="9">
        <f t="shared" si="138"/>
        <v>9.7442308859430858E-3</v>
      </c>
    </row>
    <row r="2925" spans="1:7" x14ac:dyDescent="0.2">
      <c r="A2925" s="12">
        <v>41136</v>
      </c>
      <c r="B2925" s="9">
        <v>1077.49</v>
      </c>
      <c r="C2925" s="9">
        <v>1072.8599999999999</v>
      </c>
      <c r="D2925" s="9">
        <v>1075.17</v>
      </c>
      <c r="E2925" s="9">
        <f t="shared" si="136"/>
        <v>-3.9821274826743018E-3</v>
      </c>
      <c r="F2925" s="45">
        <f t="shared" si="137"/>
        <v>3.477846142894591E-2</v>
      </c>
      <c r="G2925" s="9">
        <f t="shared" si="138"/>
        <v>9.7770560682794317E-3</v>
      </c>
    </row>
    <row r="2926" spans="1:7" x14ac:dyDescent="0.2">
      <c r="A2926" s="12">
        <v>41137</v>
      </c>
      <c r="B2926" s="9">
        <v>1078.3399999999999</v>
      </c>
      <c r="C2926" s="9">
        <v>1071.71</v>
      </c>
      <c r="D2926" s="9">
        <v>1078.04</v>
      </c>
      <c r="E2926" s="9">
        <f t="shared" si="136"/>
        <v>2.6657889380237052E-3</v>
      </c>
      <c r="F2926" s="45">
        <f t="shared" si="137"/>
        <v>3.9902924211590293E-2</v>
      </c>
      <c r="G2926" s="9">
        <f t="shared" si="138"/>
        <v>9.7564100173714932E-3</v>
      </c>
    </row>
    <row r="2927" spans="1:7" x14ac:dyDescent="0.2">
      <c r="A2927" s="12">
        <v>41138</v>
      </c>
      <c r="B2927" s="9">
        <v>1092.5999999999999</v>
      </c>
      <c r="C2927" s="9">
        <v>1080.92</v>
      </c>
      <c r="D2927" s="9">
        <v>1091.45</v>
      </c>
      <c r="E2927" s="9">
        <f t="shared" si="136"/>
        <v>1.2362509888438908E-2</v>
      </c>
      <c r="F2927" s="45">
        <f t="shared" si="137"/>
        <v>6.3917522005148497E-2</v>
      </c>
      <c r="G2927" s="9">
        <f t="shared" si="138"/>
        <v>9.6389872470052582E-3</v>
      </c>
    </row>
    <row r="2928" spans="1:7" x14ac:dyDescent="0.2">
      <c r="A2928" s="12">
        <v>41141</v>
      </c>
      <c r="B2928" s="9">
        <v>1093.74</v>
      </c>
      <c r="C2928" s="9">
        <v>1081.01</v>
      </c>
      <c r="D2928" s="9">
        <v>1084.06</v>
      </c>
      <c r="E2928" s="9">
        <f t="shared" si="136"/>
        <v>-6.7938353990598657E-3</v>
      </c>
      <c r="F2928" s="45">
        <f t="shared" si="137"/>
        <v>6.0479345208364961E-2</v>
      </c>
      <c r="G2928" s="9">
        <f t="shared" si="138"/>
        <v>9.7265093645576318E-3</v>
      </c>
    </row>
    <row r="2929" spans="1:7" x14ac:dyDescent="0.2">
      <c r="A2929" s="12">
        <v>41142</v>
      </c>
      <c r="B2929" s="9">
        <v>1086.29</v>
      </c>
      <c r="C2929" s="9">
        <v>1079.8499999999999</v>
      </c>
      <c r="D2929" s="9">
        <v>1085.07</v>
      </c>
      <c r="E2929" s="9">
        <f t="shared" si="136"/>
        <v>9.3124900120451369E-4</v>
      </c>
      <c r="F2929" s="45">
        <f t="shared" si="137"/>
        <v>5.3941789201431903E-2</v>
      </c>
      <c r="G2929" s="9">
        <f t="shared" si="138"/>
        <v>9.6732179333884651E-3</v>
      </c>
    </row>
    <row r="2930" spans="1:7" x14ac:dyDescent="0.2">
      <c r="A2930" s="12">
        <v>41143</v>
      </c>
      <c r="B2930" s="9">
        <v>1077.0899999999999</v>
      </c>
      <c r="C2930" s="9">
        <v>1057.8499999999999</v>
      </c>
      <c r="D2930" s="9">
        <v>1061.8</v>
      </c>
      <c r="E2930" s="9">
        <f t="shared" si="136"/>
        <v>-2.1678919872945134E-2</v>
      </c>
      <c r="F2930" s="45">
        <f t="shared" si="137"/>
        <v>3.4180882193707018E-2</v>
      </c>
      <c r="G2930" s="9">
        <f t="shared" si="138"/>
        <v>1.056654795425057E-2</v>
      </c>
    </row>
    <row r="2931" spans="1:7" x14ac:dyDescent="0.2">
      <c r="A2931" s="12">
        <v>41144</v>
      </c>
      <c r="B2931" s="9">
        <v>1072.8499999999999</v>
      </c>
      <c r="C2931" s="9">
        <v>1051.01</v>
      </c>
      <c r="D2931" s="9">
        <v>1055.17</v>
      </c>
      <c r="E2931" s="9">
        <f t="shared" si="136"/>
        <v>-6.2636897798887753E-3</v>
      </c>
      <c r="F2931" s="45">
        <f t="shared" si="137"/>
        <v>4.0075158472888346E-2</v>
      </c>
      <c r="G2931" s="9">
        <f t="shared" si="138"/>
        <v>1.0363620530895854E-2</v>
      </c>
    </row>
    <row r="2932" spans="1:7" x14ac:dyDescent="0.2">
      <c r="A2932" s="12">
        <v>41145</v>
      </c>
      <c r="B2932" s="9">
        <v>1059.1199999999999</v>
      </c>
      <c r="C2932" s="9">
        <v>1049.05</v>
      </c>
      <c r="D2932" s="9">
        <v>1058.58</v>
      </c>
      <c r="E2932" s="9">
        <f t="shared" si="136"/>
        <v>3.2264959983468863E-3</v>
      </c>
      <c r="F2932" s="45">
        <f t="shared" si="137"/>
        <v>2.6457379970803076E-2</v>
      </c>
      <c r="G2932" s="9">
        <f t="shared" si="138"/>
        <v>9.9509414273895713E-3</v>
      </c>
    </row>
    <row r="2933" spans="1:7" x14ac:dyDescent="0.2">
      <c r="A2933" s="12">
        <v>41148</v>
      </c>
      <c r="B2933" s="9">
        <v>1065.55</v>
      </c>
      <c r="C2933" s="9">
        <v>1055.92</v>
      </c>
      <c r="D2933" s="9">
        <v>1065.55</v>
      </c>
      <c r="E2933" s="9">
        <f t="shared" si="136"/>
        <v>6.5627103953056253E-3</v>
      </c>
      <c r="F2933" s="45">
        <f t="shared" si="137"/>
        <v>2.6388009829695781E-2</v>
      </c>
      <c r="G2933" s="9">
        <f t="shared" si="138"/>
        <v>9.9495671285928702E-3</v>
      </c>
    </row>
    <row r="2934" spans="1:7" x14ac:dyDescent="0.2">
      <c r="A2934" s="12">
        <v>41149</v>
      </c>
      <c r="B2934" s="9">
        <v>1059.68</v>
      </c>
      <c r="C2934" s="9">
        <v>1040.83</v>
      </c>
      <c r="D2934" s="9">
        <v>1040.83</v>
      </c>
      <c r="E2934" s="9">
        <f t="shared" si="136"/>
        <v>-2.3472625998889825E-2</v>
      </c>
      <c r="F2934" s="45">
        <f t="shared" si="137"/>
        <v>1.5872349954229793E-2</v>
      </c>
      <c r="G2934" s="9">
        <f t="shared" si="138"/>
        <v>1.0616702977338563E-2</v>
      </c>
    </row>
    <row r="2935" spans="1:7" x14ac:dyDescent="0.2">
      <c r="A2935" s="12">
        <v>41150</v>
      </c>
      <c r="B2935" s="9">
        <v>1050.58</v>
      </c>
      <c r="C2935" s="9">
        <v>1040.3900000000001</v>
      </c>
      <c r="D2935" s="9">
        <v>1045.73</v>
      </c>
      <c r="E2935" s="9">
        <f t="shared" si="136"/>
        <v>4.6967343450940611E-3</v>
      </c>
      <c r="F2935" s="45">
        <f t="shared" si="137"/>
        <v>1.2422280931140096E-2</v>
      </c>
      <c r="G2935" s="9">
        <f t="shared" si="138"/>
        <v>1.0549816042196869E-2</v>
      </c>
    </row>
    <row r="2936" spans="1:7" x14ac:dyDescent="0.2">
      <c r="A2936" s="12">
        <v>41151</v>
      </c>
      <c r="B2936" s="9">
        <v>1044.23</v>
      </c>
      <c r="C2936" s="9">
        <v>1033.02</v>
      </c>
      <c r="D2936" s="9">
        <v>1038.3800000000001</v>
      </c>
      <c r="E2936" s="9">
        <f t="shared" si="136"/>
        <v>-7.0533997458137902E-3</v>
      </c>
      <c r="F2936" s="45">
        <f t="shared" si="137"/>
        <v>-1.1804319750260868E-2</v>
      </c>
      <c r="G2936" s="9">
        <f t="shared" si="138"/>
        <v>1.0142077919833686E-2</v>
      </c>
    </row>
    <row r="2937" spans="1:7" x14ac:dyDescent="0.2">
      <c r="A2937" s="12">
        <v>41152</v>
      </c>
      <c r="B2937" s="9">
        <v>1048.27</v>
      </c>
      <c r="C2937" s="9">
        <v>1034.24</v>
      </c>
      <c r="D2937" s="9">
        <v>1043.93</v>
      </c>
      <c r="E2937" s="9">
        <f t="shared" si="136"/>
        <v>5.3306310224907226E-3</v>
      </c>
      <c r="F2937" s="45">
        <f t="shared" si="137"/>
        <v>2.272848127061881E-3</v>
      </c>
      <c r="G2937" s="9">
        <f t="shared" si="138"/>
        <v>1.0067662210420868E-2</v>
      </c>
    </row>
    <row r="2938" spans="1:7" x14ac:dyDescent="0.2">
      <c r="A2938" s="12">
        <v>41155</v>
      </c>
      <c r="B2938" s="9">
        <v>1052.75</v>
      </c>
      <c r="C2938" s="9">
        <v>1039.99</v>
      </c>
      <c r="D2938" s="9">
        <v>1049.52</v>
      </c>
      <c r="E2938" s="9">
        <f t="shared" si="136"/>
        <v>5.3404793865587151E-3</v>
      </c>
      <c r="F2938" s="45">
        <f t="shared" si="137"/>
        <v>2.675735227295831E-2</v>
      </c>
      <c r="G2938" s="9">
        <f t="shared" si="138"/>
        <v>9.4279680831587352E-3</v>
      </c>
    </row>
    <row r="2939" spans="1:7" x14ac:dyDescent="0.2">
      <c r="A2939" s="12">
        <v>41156</v>
      </c>
      <c r="B2939" s="9">
        <v>1050.25</v>
      </c>
      <c r="C2939" s="9">
        <v>1032.53</v>
      </c>
      <c r="D2939" s="9">
        <v>1035.74</v>
      </c>
      <c r="E2939" s="9">
        <f t="shared" si="136"/>
        <v>-1.3216769701360192E-2</v>
      </c>
      <c r="F2939" s="45">
        <f t="shared" si="137"/>
        <v>1.3579729558753039E-2</v>
      </c>
      <c r="G2939" s="9">
        <f t="shared" si="138"/>
        <v>9.773487324846758E-3</v>
      </c>
    </row>
    <row r="2940" spans="1:7" x14ac:dyDescent="0.2">
      <c r="A2940" s="12">
        <v>41157</v>
      </c>
      <c r="B2940" s="9">
        <v>1040.74</v>
      </c>
      <c r="C2940" s="9">
        <v>1028.93</v>
      </c>
      <c r="D2940" s="9">
        <v>1038.1300000000001</v>
      </c>
      <c r="E2940" s="9">
        <f t="shared" si="136"/>
        <v>2.3048706602233622E-3</v>
      </c>
      <c r="F2940" s="45">
        <f t="shared" si="137"/>
        <v>8.5420581991243871E-3</v>
      </c>
      <c r="G2940" s="9">
        <f t="shared" si="138"/>
        <v>9.6939811202741526E-3</v>
      </c>
    </row>
    <row r="2941" spans="1:7" x14ac:dyDescent="0.2">
      <c r="A2941" s="12">
        <v>41158</v>
      </c>
      <c r="B2941" s="9">
        <v>1063.74</v>
      </c>
      <c r="C2941" s="9">
        <v>1038.4100000000001</v>
      </c>
      <c r="D2941" s="9">
        <v>1058.45</v>
      </c>
      <c r="E2941" s="9">
        <f t="shared" si="136"/>
        <v>1.9384556071951116E-2</v>
      </c>
      <c r="F2941" s="45">
        <f t="shared" si="137"/>
        <v>9.568996796186096E-3</v>
      </c>
      <c r="G2941" s="9">
        <f t="shared" si="138"/>
        <v>9.761578021959658E-3</v>
      </c>
    </row>
    <row r="2942" spans="1:7" x14ac:dyDescent="0.2">
      <c r="A2942" s="12">
        <v>41159</v>
      </c>
      <c r="B2942" s="9">
        <v>1074.83</v>
      </c>
      <c r="C2942" s="9">
        <v>1064.53</v>
      </c>
      <c r="D2942" s="9">
        <v>1070.8699999999999</v>
      </c>
      <c r="E2942" s="9">
        <f t="shared" si="136"/>
        <v>1.1665828390694523E-2</v>
      </c>
      <c r="F2942" s="45">
        <f t="shared" si="137"/>
        <v>1.0438370961537054E-2</v>
      </c>
      <c r="G2942" s="9">
        <f t="shared" si="138"/>
        <v>9.7949883223221457E-3</v>
      </c>
    </row>
    <row r="2943" spans="1:7" x14ac:dyDescent="0.2">
      <c r="A2943" s="12">
        <v>41162</v>
      </c>
      <c r="B2943" s="9">
        <v>1073.31</v>
      </c>
      <c r="C2943" s="9">
        <v>1066.8900000000001</v>
      </c>
      <c r="D2943" s="9">
        <v>1067.57</v>
      </c>
      <c r="E2943" s="9">
        <f t="shared" ref="E2943:E3006" si="139">LN(D2943/D2942)</f>
        <v>-3.086364470877883E-3</v>
      </c>
      <c r="F2943" s="45">
        <f t="shared" si="137"/>
        <v>1.3497682135488987E-3</v>
      </c>
      <c r="G2943" s="9">
        <f t="shared" si="138"/>
        <v>9.7545429367586218E-3</v>
      </c>
    </row>
    <row r="2944" spans="1:7" x14ac:dyDescent="0.2">
      <c r="A2944" s="12">
        <v>41163</v>
      </c>
      <c r="B2944" s="9">
        <v>1076.6400000000001</v>
      </c>
      <c r="C2944" s="9">
        <v>1060.44</v>
      </c>
      <c r="D2944" s="9">
        <v>1076.57</v>
      </c>
      <c r="E2944" s="9">
        <f t="shared" si="139"/>
        <v>8.3950235126929954E-3</v>
      </c>
      <c r="F2944" s="45">
        <f t="shared" si="137"/>
        <v>7.8425192026830397E-3</v>
      </c>
      <c r="G2944" s="9">
        <f t="shared" si="138"/>
        <v>9.868533180954854E-3</v>
      </c>
    </row>
    <row r="2945" spans="1:7" x14ac:dyDescent="0.2">
      <c r="A2945" s="12">
        <v>41164</v>
      </c>
      <c r="B2945" s="9">
        <v>1087.95</v>
      </c>
      <c r="C2945" s="9">
        <v>1073.46</v>
      </c>
      <c r="D2945" s="9">
        <v>1085.76</v>
      </c>
      <c r="E2945" s="9">
        <f t="shared" si="139"/>
        <v>8.5001413597667434E-3</v>
      </c>
      <c r="F2945" s="45">
        <f t="shared" si="137"/>
        <v>1.8451308201654606E-2</v>
      </c>
      <c r="G2945" s="9">
        <f t="shared" si="138"/>
        <v>9.9702285909832929E-3</v>
      </c>
    </row>
    <row r="2946" spans="1:7" x14ac:dyDescent="0.2">
      <c r="A2946" s="12">
        <v>41165</v>
      </c>
      <c r="B2946" s="9">
        <v>1086.71</v>
      </c>
      <c r="C2946" s="9">
        <v>1080.81</v>
      </c>
      <c r="D2946" s="9">
        <v>1086.3</v>
      </c>
      <c r="E2946" s="9">
        <f t="shared" si="139"/>
        <v>4.9722384383976638E-4</v>
      </c>
      <c r="F2946" s="45">
        <f t="shared" si="137"/>
        <v>2.6302579529589292E-2</v>
      </c>
      <c r="G2946" s="9">
        <f t="shared" si="138"/>
        <v>9.8562268196734533E-3</v>
      </c>
    </row>
    <row r="2947" spans="1:7" x14ac:dyDescent="0.2">
      <c r="A2947" s="12">
        <v>41166</v>
      </c>
      <c r="B2947" s="9">
        <v>1119.19</v>
      </c>
      <c r="C2947" s="9">
        <v>1102.04</v>
      </c>
      <c r="D2947" s="9">
        <v>1114.98</v>
      </c>
      <c r="E2947" s="9">
        <f t="shared" si="139"/>
        <v>2.6059041073909293E-2</v>
      </c>
      <c r="F2947" s="45">
        <f t="shared" si="137"/>
        <v>3.0885176114297221E-2</v>
      </c>
      <c r="G2947" s="9">
        <f t="shared" si="138"/>
        <v>1.0215457095632562E-2</v>
      </c>
    </row>
    <row r="2948" spans="1:7" x14ac:dyDescent="0.2">
      <c r="A2948" s="12">
        <v>41169</v>
      </c>
      <c r="B2948" s="9">
        <v>1112.6500000000001</v>
      </c>
      <c r="C2948" s="9">
        <v>1106.19</v>
      </c>
      <c r="D2948" s="9">
        <v>1108.53</v>
      </c>
      <c r="E2948" s="9">
        <f t="shared" si="139"/>
        <v>-5.8016542240020633E-3</v>
      </c>
      <c r="F2948" s="45">
        <f t="shared" si="137"/>
        <v>2.9375513220584692E-2</v>
      </c>
      <c r="G2948" s="9">
        <f t="shared" si="138"/>
        <v>1.0246247072221899E-2</v>
      </c>
    </row>
    <row r="2949" spans="1:7" x14ac:dyDescent="0.2">
      <c r="A2949" s="12">
        <v>41170</v>
      </c>
      <c r="B2949" s="9">
        <v>1105.76</v>
      </c>
      <c r="C2949" s="9">
        <v>1096.6300000000001</v>
      </c>
      <c r="D2949" s="9">
        <v>1100.98</v>
      </c>
      <c r="E2949" s="9">
        <f t="shared" si="139"/>
        <v>-6.8341210361922318E-3</v>
      </c>
      <c r="F2949" s="45">
        <f t="shared" si="137"/>
        <v>2.3229079815460251E-2</v>
      </c>
      <c r="G2949" s="9">
        <f t="shared" si="138"/>
        <v>1.0341732957797604E-2</v>
      </c>
    </row>
    <row r="2950" spans="1:7" x14ac:dyDescent="0.2">
      <c r="A2950" s="12">
        <v>41171</v>
      </c>
      <c r="B2950" s="9">
        <v>1108.53</v>
      </c>
      <c r="C2950" s="9">
        <v>1101.67</v>
      </c>
      <c r="D2950" s="9">
        <v>1106.43</v>
      </c>
      <c r="E2950" s="9">
        <f t="shared" si="139"/>
        <v>4.9379236969863908E-3</v>
      </c>
      <c r="F2950" s="45">
        <f t="shared" si="137"/>
        <v>2.4223872200144041E-2</v>
      </c>
      <c r="G2950" s="9">
        <f t="shared" si="138"/>
        <v>1.0353831632231815E-2</v>
      </c>
    </row>
    <row r="2951" spans="1:7" x14ac:dyDescent="0.2">
      <c r="A2951" s="12">
        <v>41172</v>
      </c>
      <c r="B2951" s="9">
        <v>1102.68</v>
      </c>
      <c r="C2951" s="9">
        <v>1095.42</v>
      </c>
      <c r="D2951" s="9">
        <v>1100.23</v>
      </c>
      <c r="E2951" s="9">
        <f t="shared" si="139"/>
        <v>-5.6193671113111705E-3</v>
      </c>
      <c r="F2951" s="45">
        <f t="shared" si="137"/>
        <v>1.5165820231407827E-2</v>
      </c>
      <c r="G2951" s="9">
        <f t="shared" si="138"/>
        <v>1.040639544262743E-2</v>
      </c>
    </row>
    <row r="2952" spans="1:7" x14ac:dyDescent="0.2">
      <c r="A2952" s="12">
        <v>41173</v>
      </c>
      <c r="B2952" s="9">
        <v>1106.4100000000001</v>
      </c>
      <c r="C2952" s="9">
        <v>1097.52</v>
      </c>
      <c r="D2952" s="9">
        <v>1099.8900000000001</v>
      </c>
      <c r="E2952" s="9">
        <f t="shared" si="139"/>
        <v>-3.0907405296670508E-4</v>
      </c>
      <c r="F2952" s="45">
        <f t="shared" si="137"/>
        <v>1.8693676907013415E-2</v>
      </c>
      <c r="G2952" s="9">
        <f t="shared" si="138"/>
        <v>1.0375519415989558E-2</v>
      </c>
    </row>
    <row r="2953" spans="1:7" x14ac:dyDescent="0.2">
      <c r="A2953" s="12">
        <v>41176</v>
      </c>
      <c r="B2953" s="9">
        <v>1100.1199999999999</v>
      </c>
      <c r="C2953" s="9">
        <v>1092.07</v>
      </c>
      <c r="D2953" s="9">
        <v>1099.73</v>
      </c>
      <c r="E2953" s="9">
        <f t="shared" si="139"/>
        <v>-1.4547967401853498E-4</v>
      </c>
      <c r="F2953" s="45">
        <f t="shared" si="137"/>
        <v>2.0634631995977763E-2</v>
      </c>
      <c r="G2953" s="9">
        <f t="shared" si="138"/>
        <v>1.0364086138333155E-2</v>
      </c>
    </row>
    <row r="2954" spans="1:7" x14ac:dyDescent="0.2">
      <c r="A2954" s="12">
        <v>41177</v>
      </c>
      <c r="B2954" s="9">
        <v>1106.07</v>
      </c>
      <c r="C2954" s="9">
        <v>1092.6300000000001</v>
      </c>
      <c r="D2954" s="9">
        <v>1105.73</v>
      </c>
      <c r="E2954" s="9">
        <f t="shared" si="139"/>
        <v>5.4410552016664086E-3</v>
      </c>
      <c r="F2954" s="45">
        <f t="shared" si="137"/>
        <v>2.4044834237193377E-2</v>
      </c>
      <c r="G2954" s="9">
        <f t="shared" si="138"/>
        <v>1.0397970647107801E-2</v>
      </c>
    </row>
    <row r="2955" spans="1:7" x14ac:dyDescent="0.2">
      <c r="A2955" s="12">
        <v>41178</v>
      </c>
      <c r="B2955" s="9">
        <v>1097.0899999999999</v>
      </c>
      <c r="C2955" s="9">
        <v>1085.49</v>
      </c>
      <c r="D2955" s="9">
        <v>1088.1600000000001</v>
      </c>
      <c r="E2955" s="9">
        <f t="shared" si="139"/>
        <v>-1.6017553886447843E-2</v>
      </c>
      <c r="F2955" s="45">
        <f t="shared" si="137"/>
        <v>1.2009407833419741E-2</v>
      </c>
      <c r="G2955" s="9">
        <f t="shared" si="138"/>
        <v>1.081280368048485E-2</v>
      </c>
    </row>
    <row r="2956" spans="1:7" x14ac:dyDescent="0.2">
      <c r="A2956" s="12">
        <v>41179</v>
      </c>
      <c r="B2956" s="9">
        <v>1091.3499999999999</v>
      </c>
      <c r="C2956" s="9">
        <v>1080.77</v>
      </c>
      <c r="D2956" s="9">
        <v>1083.6199999999999</v>
      </c>
      <c r="E2956" s="9">
        <f t="shared" si="139"/>
        <v>-4.1809083915156893E-3</v>
      </c>
      <c r="F2956" s="45">
        <f t="shared" si="137"/>
        <v>5.1627105038804513E-3</v>
      </c>
      <c r="G2956" s="9">
        <f t="shared" si="138"/>
        <v>1.0835569810492125E-2</v>
      </c>
    </row>
    <row r="2957" spans="1:7" x14ac:dyDescent="0.2">
      <c r="A2957" s="12">
        <v>41180</v>
      </c>
      <c r="B2957" s="9">
        <v>1088.54</v>
      </c>
      <c r="C2957" s="9">
        <v>1072.24</v>
      </c>
      <c r="D2957" s="9">
        <v>1072.45</v>
      </c>
      <c r="E2957" s="9">
        <f t="shared" si="139"/>
        <v>-1.0361537367009023E-2</v>
      </c>
      <c r="F2957" s="45">
        <f t="shared" si="137"/>
        <v>-1.7561336751567617E-2</v>
      </c>
      <c r="G2957" s="9">
        <f t="shared" si="138"/>
        <v>1.0747920184797274E-2</v>
      </c>
    </row>
    <row r="2958" spans="1:7" x14ac:dyDescent="0.2">
      <c r="A2958" s="12">
        <v>41183</v>
      </c>
      <c r="B2958" s="9">
        <v>1086.6400000000001</v>
      </c>
      <c r="C2958" s="9">
        <v>1069.3499999999999</v>
      </c>
      <c r="D2958" s="9">
        <v>1085.1400000000001</v>
      </c>
      <c r="E2958" s="9">
        <f t="shared" si="139"/>
        <v>1.1763260239874935E-2</v>
      </c>
      <c r="F2958" s="45">
        <f t="shared" si="137"/>
        <v>9.9575888736716219E-4</v>
      </c>
      <c r="G2958" s="9">
        <f t="shared" si="138"/>
        <v>1.0911052479018931E-2</v>
      </c>
    </row>
    <row r="2959" spans="1:7" x14ac:dyDescent="0.2">
      <c r="A2959" s="12">
        <v>41184</v>
      </c>
      <c r="B2959" s="9">
        <v>1090.01</v>
      </c>
      <c r="C2959" s="9">
        <v>1078.0999999999999</v>
      </c>
      <c r="D2959" s="9">
        <v>1084.97</v>
      </c>
      <c r="E2959" s="9">
        <f t="shared" si="139"/>
        <v>-1.5667408596592764E-4</v>
      </c>
      <c r="F2959" s="45">
        <f t="shared" si="137"/>
        <v>-9.2164199803363166E-5</v>
      </c>
      <c r="G2959" s="9">
        <f t="shared" si="138"/>
        <v>1.0909772604088935E-2</v>
      </c>
    </row>
    <row r="2960" spans="1:7" x14ac:dyDescent="0.2">
      <c r="A2960" s="12">
        <v>41185</v>
      </c>
      <c r="B2960" s="9">
        <v>1084.2</v>
      </c>
      <c r="C2960" s="9">
        <v>1076.8499999999999</v>
      </c>
      <c r="D2960" s="9">
        <v>1080.24</v>
      </c>
      <c r="E2960" s="9">
        <f t="shared" si="139"/>
        <v>-4.3690981699258608E-3</v>
      </c>
      <c r="F2960" s="45">
        <f t="shared" si="137"/>
        <v>1.7217657503215987E-2</v>
      </c>
      <c r="G2960" s="9">
        <f t="shared" si="138"/>
        <v>1.0155520248512628E-2</v>
      </c>
    </row>
    <row r="2961" spans="1:7" x14ac:dyDescent="0.2">
      <c r="A2961" s="12">
        <v>41186</v>
      </c>
      <c r="B2961" s="9">
        <v>1085.1099999999999</v>
      </c>
      <c r="C2961" s="9">
        <v>1076.04</v>
      </c>
      <c r="D2961" s="9">
        <v>1083.0899999999999</v>
      </c>
      <c r="E2961" s="9">
        <f t="shared" si="139"/>
        <v>2.6348283884575488E-3</v>
      </c>
      <c r="F2961" s="45">
        <f t="shared" si="137"/>
        <v>2.6116175671562152E-2</v>
      </c>
      <c r="G2961" s="9">
        <f t="shared" si="138"/>
        <v>1.007858450242792E-2</v>
      </c>
    </row>
    <row r="2962" spans="1:7" x14ac:dyDescent="0.2">
      <c r="A2962" s="12">
        <v>41187</v>
      </c>
      <c r="B2962" s="9">
        <v>1098.72</v>
      </c>
      <c r="C2962" s="9">
        <v>1085.55</v>
      </c>
      <c r="D2962" s="9">
        <v>1093.54</v>
      </c>
      <c r="E2962" s="9">
        <f t="shared" si="139"/>
        <v>9.6020731962199995E-3</v>
      </c>
      <c r="F2962" s="45">
        <f t="shared" si="137"/>
        <v>3.2491752869435259E-2</v>
      </c>
      <c r="G2962" s="9">
        <f t="shared" si="138"/>
        <v>1.019650434084912E-2</v>
      </c>
    </row>
    <row r="2963" spans="1:7" x14ac:dyDescent="0.2">
      <c r="A2963" s="12">
        <v>41190</v>
      </c>
      <c r="B2963" s="9">
        <v>1087.97</v>
      </c>
      <c r="C2963" s="9">
        <v>1078.3699999999999</v>
      </c>
      <c r="D2963" s="9">
        <v>1079.9100000000001</v>
      </c>
      <c r="E2963" s="9">
        <f t="shared" si="139"/>
        <v>-1.2542435924947543E-2</v>
      </c>
      <c r="F2963" s="45">
        <f t="shared" si="137"/>
        <v>1.3386606549182023E-2</v>
      </c>
      <c r="G2963" s="9">
        <f t="shared" si="138"/>
        <v>1.0436264601156668E-2</v>
      </c>
    </row>
    <row r="2964" spans="1:7" x14ac:dyDescent="0.2">
      <c r="A2964" s="12">
        <v>41191</v>
      </c>
      <c r="B2964" s="9">
        <v>1084.17</v>
      </c>
      <c r="C2964" s="9">
        <v>1073.29</v>
      </c>
      <c r="D2964" s="9">
        <v>1073.6600000000001</v>
      </c>
      <c r="E2964" s="9">
        <f t="shared" si="139"/>
        <v>-5.8043319204903708E-3</v>
      </c>
      <c r="F2964" s="45">
        <f t="shared" si="137"/>
        <v>3.1054900627581469E-2</v>
      </c>
      <c r="G2964" s="9">
        <f t="shared" si="138"/>
        <v>9.4961072298289911E-3</v>
      </c>
    </row>
    <row r="2965" spans="1:7" x14ac:dyDescent="0.2">
      <c r="A2965" s="12">
        <v>41192</v>
      </c>
      <c r="B2965" s="9">
        <v>1072.3399999999999</v>
      </c>
      <c r="C2965" s="9">
        <v>1059.46</v>
      </c>
      <c r="D2965" s="9">
        <v>1061.55</v>
      </c>
      <c r="E2965" s="9">
        <f t="shared" si="139"/>
        <v>-1.1343268202123242E-2</v>
      </c>
      <c r="F2965" s="45">
        <f t="shared" si="137"/>
        <v>1.5014898080364204E-2</v>
      </c>
      <c r="G2965" s="9">
        <f t="shared" si="138"/>
        <v>9.7314774239093422E-3</v>
      </c>
    </row>
    <row r="2966" spans="1:7" x14ac:dyDescent="0.2">
      <c r="A2966" s="12">
        <v>41193</v>
      </c>
      <c r="B2966" s="9">
        <v>1069.02</v>
      </c>
      <c r="C2966" s="9">
        <v>1055.8499999999999</v>
      </c>
      <c r="D2966" s="9">
        <v>1065.3399999999999</v>
      </c>
      <c r="E2966" s="9">
        <f t="shared" si="139"/>
        <v>3.563892830849878E-3</v>
      </c>
      <c r="F2966" s="45">
        <f t="shared" si="137"/>
        <v>2.563219065702791E-2</v>
      </c>
      <c r="G2966" s="9">
        <f t="shared" si="138"/>
        <v>9.6399195441771428E-3</v>
      </c>
    </row>
    <row r="2967" spans="1:7" x14ac:dyDescent="0.2">
      <c r="A2967" s="12">
        <v>41194</v>
      </c>
      <c r="B2967" s="9">
        <v>1064.79</v>
      </c>
      <c r="C2967" s="9">
        <v>1056.69</v>
      </c>
      <c r="D2967" s="9">
        <v>1058.7</v>
      </c>
      <c r="E2967" s="9">
        <f t="shared" si="139"/>
        <v>-6.2522566714191992E-3</v>
      </c>
      <c r="F2967" s="45">
        <f t="shared" si="137"/>
        <v>1.4049302963118132E-2</v>
      </c>
      <c r="G2967" s="9">
        <f t="shared" si="138"/>
        <v>9.686302768294526E-3</v>
      </c>
    </row>
    <row r="2968" spans="1:7" x14ac:dyDescent="0.2">
      <c r="A2968" s="12">
        <v>41197</v>
      </c>
      <c r="B2968" s="9">
        <v>1068.07</v>
      </c>
      <c r="C2968" s="9">
        <v>1058</v>
      </c>
      <c r="D2968" s="9">
        <v>1063.71</v>
      </c>
      <c r="E2968" s="9">
        <f t="shared" si="139"/>
        <v>4.7210570110345447E-3</v>
      </c>
      <c r="F2968" s="45">
        <f t="shared" si="137"/>
        <v>1.3429880587593784E-2</v>
      </c>
      <c r="G2968" s="9">
        <f t="shared" si="138"/>
        <v>9.6762140136747461E-3</v>
      </c>
    </row>
    <row r="2969" spans="1:7" x14ac:dyDescent="0.2">
      <c r="A2969" s="12">
        <v>41198</v>
      </c>
      <c r="B2969" s="9">
        <v>1072.8599999999999</v>
      </c>
      <c r="C2969" s="9">
        <v>1062.72</v>
      </c>
      <c r="D2969" s="9">
        <v>1072.8599999999999</v>
      </c>
      <c r="E2969" s="9">
        <f t="shared" si="139"/>
        <v>8.5651824547977422E-3</v>
      </c>
      <c r="F2969" s="45">
        <f t="shared" si="137"/>
        <v>3.5211832743751788E-2</v>
      </c>
      <c r="G2969" s="9">
        <f t="shared" si="138"/>
        <v>9.4296061854614917E-3</v>
      </c>
    </row>
    <row r="2970" spans="1:7" x14ac:dyDescent="0.2">
      <c r="A2970" s="12">
        <v>41199</v>
      </c>
      <c r="B2970" s="9">
        <v>1076.1600000000001</v>
      </c>
      <c r="C2970" s="9">
        <v>1068.8499999999999</v>
      </c>
      <c r="D2970" s="9">
        <v>1075.5</v>
      </c>
      <c r="E2970" s="9">
        <f t="shared" si="139"/>
        <v>2.4576898926182552E-3</v>
      </c>
      <c r="F2970" s="45">
        <f t="shared" si="137"/>
        <v>3.5364651976146716E-2</v>
      </c>
      <c r="G2970" s="9">
        <f t="shared" si="138"/>
        <v>9.4302795651222387E-3</v>
      </c>
    </row>
    <row r="2971" spans="1:7" x14ac:dyDescent="0.2">
      <c r="A2971" s="12">
        <v>41200</v>
      </c>
      <c r="B2971" s="9">
        <v>1083.57</v>
      </c>
      <c r="C2971" s="9">
        <v>1072.49</v>
      </c>
      <c r="D2971" s="9">
        <v>1082.72</v>
      </c>
      <c r="E2971" s="9">
        <f t="shared" si="139"/>
        <v>6.6907237761306406E-3</v>
      </c>
      <c r="F2971" s="45">
        <f t="shared" si="137"/>
        <v>2.2670819680326255E-2</v>
      </c>
      <c r="G2971" s="9">
        <f t="shared" si="138"/>
        <v>8.8523057512670759E-3</v>
      </c>
    </row>
    <row r="2972" spans="1:7" x14ac:dyDescent="0.2">
      <c r="A2972" s="12">
        <v>41201</v>
      </c>
      <c r="B2972" s="9">
        <v>1081.3900000000001</v>
      </c>
      <c r="C2972" s="9">
        <v>1064.6199999999999</v>
      </c>
      <c r="D2972" s="9">
        <v>1064.6400000000001</v>
      </c>
      <c r="E2972" s="9">
        <f t="shared" si="139"/>
        <v>-1.6839679653803459E-2</v>
      </c>
      <c r="F2972" s="45">
        <f t="shared" si="137"/>
        <v>-5.8346883641715464E-3</v>
      </c>
      <c r="G2972" s="9">
        <f t="shared" si="138"/>
        <v>9.1651831273805006E-3</v>
      </c>
    </row>
    <row r="2973" spans="1:7" x14ac:dyDescent="0.2">
      <c r="A2973" s="12">
        <v>41204</v>
      </c>
      <c r="B2973" s="9">
        <v>1075.95</v>
      </c>
      <c r="C2973" s="9">
        <v>1061.8900000000001</v>
      </c>
      <c r="D2973" s="9">
        <v>1067.28</v>
      </c>
      <c r="E2973" s="9">
        <f t="shared" si="139"/>
        <v>2.4766420404387468E-3</v>
      </c>
      <c r="F2973" s="45">
        <f t="shared" si="137"/>
        <v>-2.716818528549521E-4</v>
      </c>
      <c r="G2973" s="9">
        <f t="shared" si="138"/>
        <v>9.1609314897799551E-3</v>
      </c>
    </row>
    <row r="2974" spans="1:7" x14ac:dyDescent="0.2">
      <c r="A2974" s="12">
        <v>41205</v>
      </c>
      <c r="B2974" s="9">
        <v>1068.52</v>
      </c>
      <c r="C2974" s="9">
        <v>1044.2</v>
      </c>
      <c r="D2974" s="9">
        <v>1048.5999999999999</v>
      </c>
      <c r="E2974" s="9">
        <f t="shared" si="139"/>
        <v>-1.7657414732118314E-2</v>
      </c>
      <c r="F2974" s="45">
        <f t="shared" si="137"/>
        <v>-2.6324120097666267E-2</v>
      </c>
      <c r="G2974" s="9">
        <f t="shared" si="138"/>
        <v>9.5628032958286098E-3</v>
      </c>
    </row>
    <row r="2975" spans="1:7" x14ac:dyDescent="0.2">
      <c r="A2975" s="12">
        <v>41206</v>
      </c>
      <c r="B2975" s="9">
        <v>1054.72</v>
      </c>
      <c r="C2975" s="9">
        <v>1034.55</v>
      </c>
      <c r="D2975" s="9">
        <v>1050.47</v>
      </c>
      <c r="E2975" s="9">
        <f t="shared" si="139"/>
        <v>1.7817419092353013E-3</v>
      </c>
      <c r="F2975" s="45">
        <f t="shared" si="137"/>
        <v>-3.3042519548197723E-2</v>
      </c>
      <c r="G2975" s="9">
        <f t="shared" si="138"/>
        <v>9.4131167481031081E-3</v>
      </c>
    </row>
    <row r="2976" spans="1:7" x14ac:dyDescent="0.2">
      <c r="A2976" s="12">
        <v>41207</v>
      </c>
      <c r="B2976" s="9">
        <v>1062.3399999999999</v>
      </c>
      <c r="C2976" s="9">
        <v>1046.1199999999999</v>
      </c>
      <c r="D2976" s="9">
        <v>1057.74</v>
      </c>
      <c r="E2976" s="9">
        <f t="shared" si="139"/>
        <v>6.8968734780394505E-3</v>
      </c>
      <c r="F2976" s="45">
        <f t="shared" si="137"/>
        <v>-2.6642869913998161E-2</v>
      </c>
      <c r="G2976" s="9">
        <f t="shared" si="138"/>
        <v>9.5224744298338018E-3</v>
      </c>
    </row>
    <row r="2977" spans="1:7" x14ac:dyDescent="0.2">
      <c r="A2977" s="12">
        <v>41208</v>
      </c>
      <c r="B2977" s="9">
        <v>1061.01</v>
      </c>
      <c r="C2977" s="9">
        <v>1048.17</v>
      </c>
      <c r="D2977" s="9">
        <v>1059.2</v>
      </c>
      <c r="E2977" s="9">
        <f t="shared" si="139"/>
        <v>1.3793496570367271E-3</v>
      </c>
      <c r="F2977" s="45">
        <f t="shared" ref="F2977:F3040" si="140">LN(D2977/D2947)</f>
        <v>-5.1322561330870597E-2</v>
      </c>
      <c r="G2977" s="9">
        <f t="shared" ref="G2977:G3040" si="141">STDEV(E2948:E2977)</f>
        <v>8.0693936084743276E-3</v>
      </c>
    </row>
    <row r="2978" spans="1:7" x14ac:dyDescent="0.2">
      <c r="A2978" s="12">
        <v>41211</v>
      </c>
      <c r="B2978" s="9">
        <v>1059.51</v>
      </c>
      <c r="C2978" s="9">
        <v>1051.52</v>
      </c>
      <c r="D2978" s="9">
        <v>1055.57</v>
      </c>
      <c r="E2978" s="9">
        <f t="shared" si="139"/>
        <v>-3.4330008134326583E-3</v>
      </c>
      <c r="F2978" s="45">
        <f t="shared" si="140"/>
        <v>-4.8953907920301167E-2</v>
      </c>
      <c r="G2978" s="9">
        <f t="shared" si="141"/>
        <v>8.0395186121240327E-3</v>
      </c>
    </row>
    <row r="2979" spans="1:7" x14ac:dyDescent="0.2">
      <c r="A2979" s="12">
        <v>41212</v>
      </c>
      <c r="B2979" s="9">
        <v>1061.6199999999999</v>
      </c>
      <c r="C2979" s="9">
        <v>1054.73</v>
      </c>
      <c r="D2979" s="9">
        <v>1059.2</v>
      </c>
      <c r="E2979" s="9">
        <f t="shared" si="139"/>
        <v>3.4330008134327897E-3</v>
      </c>
      <c r="F2979" s="45">
        <f t="shared" si="140"/>
        <v>-3.8686786070676188E-2</v>
      </c>
      <c r="G2979" s="9">
        <f t="shared" si="141"/>
        <v>8.0289479127416737E-3</v>
      </c>
    </row>
    <row r="2980" spans="1:7" x14ac:dyDescent="0.2">
      <c r="A2980" s="12">
        <v>41213</v>
      </c>
      <c r="B2980" s="9">
        <v>1065.7</v>
      </c>
      <c r="C2980" s="9">
        <v>1051.96</v>
      </c>
      <c r="D2980" s="9">
        <v>1052.1099999999999</v>
      </c>
      <c r="E2980" s="9">
        <f t="shared" si="139"/>
        <v>-6.7162346137481397E-3</v>
      </c>
      <c r="F2980" s="45">
        <f t="shared" si="140"/>
        <v>-5.0340944381410846E-2</v>
      </c>
      <c r="G2980" s="9">
        <f t="shared" si="141"/>
        <v>7.9991294234037866E-3</v>
      </c>
    </row>
    <row r="2981" spans="1:7" x14ac:dyDescent="0.2">
      <c r="A2981" s="12">
        <v>41214</v>
      </c>
      <c r="B2981" s="9">
        <v>1064.08</v>
      </c>
      <c r="C2981" s="9">
        <v>1047.28</v>
      </c>
      <c r="D2981" s="9">
        <v>1062.51</v>
      </c>
      <c r="E2981" s="9">
        <f t="shared" si="139"/>
        <v>9.8363619499918353E-3</v>
      </c>
      <c r="F2981" s="45">
        <f t="shared" si="140"/>
        <v>-3.4885215320107951E-2</v>
      </c>
      <c r="G2981" s="9">
        <f t="shared" si="141"/>
        <v>8.23089334384371E-3</v>
      </c>
    </row>
    <row r="2982" spans="1:7" x14ac:dyDescent="0.2">
      <c r="A2982" s="12">
        <v>41215</v>
      </c>
      <c r="B2982" s="9">
        <v>1069.9100000000001</v>
      </c>
      <c r="C2982" s="9">
        <v>1062.5999999999999</v>
      </c>
      <c r="D2982" s="9">
        <v>1069.9100000000001</v>
      </c>
      <c r="E2982" s="9">
        <f t="shared" si="139"/>
        <v>6.9404992498066373E-3</v>
      </c>
      <c r="F2982" s="45">
        <f t="shared" si="140"/>
        <v>-2.7635642017334663E-2</v>
      </c>
      <c r="G2982" s="9">
        <f t="shared" si="141"/>
        <v>8.3621971063153732E-3</v>
      </c>
    </row>
    <row r="2983" spans="1:7" x14ac:dyDescent="0.2">
      <c r="A2983" s="12">
        <v>41218</v>
      </c>
      <c r="B2983" s="9">
        <v>1068.27</v>
      </c>
      <c r="C2983" s="9">
        <v>1062.18</v>
      </c>
      <c r="D2983" s="9">
        <v>1063.3499999999999</v>
      </c>
      <c r="E2983" s="9">
        <f t="shared" si="139"/>
        <v>-6.1502307996578135E-3</v>
      </c>
      <c r="F2983" s="45">
        <f t="shared" si="140"/>
        <v>-3.364039314297404E-2</v>
      </c>
      <c r="G2983" s="9">
        <f t="shared" si="141"/>
        <v>8.414689815588702E-3</v>
      </c>
    </row>
    <row r="2984" spans="1:7" x14ac:dyDescent="0.2">
      <c r="A2984" s="12">
        <v>41219</v>
      </c>
      <c r="B2984" s="9">
        <v>1073.8800000000001</v>
      </c>
      <c r="C2984" s="9">
        <v>1063.1600000000001</v>
      </c>
      <c r="D2984" s="9">
        <v>1072.48</v>
      </c>
      <c r="E2984" s="9">
        <f t="shared" si="139"/>
        <v>8.5494216405113781E-3</v>
      </c>
      <c r="F2984" s="45">
        <f t="shared" si="140"/>
        <v>-3.0532026704128998E-2</v>
      </c>
      <c r="G2984" s="9">
        <f t="shared" si="141"/>
        <v>8.5167982313710464E-3</v>
      </c>
    </row>
    <row r="2985" spans="1:7" x14ac:dyDescent="0.2">
      <c r="A2985" s="12">
        <v>41220</v>
      </c>
      <c r="B2985" s="9">
        <v>1079.03</v>
      </c>
      <c r="C2985" s="9">
        <v>1056.4000000000001</v>
      </c>
      <c r="D2985" s="9">
        <v>1056.4000000000001</v>
      </c>
      <c r="E2985" s="9">
        <f t="shared" si="139"/>
        <v>-1.5106822186670366E-2</v>
      </c>
      <c r="F2985" s="45">
        <f t="shared" si="140"/>
        <v>-2.9621295004351351E-2</v>
      </c>
      <c r="G2985" s="9">
        <f t="shared" si="141"/>
        <v>8.4629412700611868E-3</v>
      </c>
    </row>
    <row r="2986" spans="1:7" x14ac:dyDescent="0.2">
      <c r="A2986" s="12">
        <v>41221</v>
      </c>
      <c r="B2986" s="9">
        <v>1064.3699999999999</v>
      </c>
      <c r="C2986" s="9">
        <v>1052.5</v>
      </c>
      <c r="D2986" s="9">
        <v>1055.52</v>
      </c>
      <c r="E2986" s="9">
        <f t="shared" si="139"/>
        <v>-8.3336494841653786E-4</v>
      </c>
      <c r="F2986" s="45">
        <f t="shared" si="140"/>
        <v>-2.6273751561252206E-2</v>
      </c>
      <c r="G2986" s="9">
        <f t="shared" si="141"/>
        <v>8.4414237481683085E-3</v>
      </c>
    </row>
    <row r="2987" spans="1:7" x14ac:dyDescent="0.2">
      <c r="A2987" s="12">
        <v>41222</v>
      </c>
      <c r="B2987" s="9">
        <v>1059.45</v>
      </c>
      <c r="C2987" s="9">
        <v>1043.6400000000001</v>
      </c>
      <c r="D2987" s="9">
        <v>1052.1500000000001</v>
      </c>
      <c r="E2987" s="9">
        <f t="shared" si="139"/>
        <v>-3.1978467899282485E-3</v>
      </c>
      <c r="F2987" s="45">
        <f t="shared" si="140"/>
        <v>-1.9110060984171336E-2</v>
      </c>
      <c r="G2987" s="9">
        <f t="shared" si="141"/>
        <v>8.2632826528268727E-3</v>
      </c>
    </row>
    <row r="2988" spans="1:7" x14ac:dyDescent="0.2">
      <c r="A2988" s="12">
        <v>41225</v>
      </c>
      <c r="B2988" s="9">
        <v>1057.49</v>
      </c>
      <c r="C2988" s="9">
        <v>1049.5999999999999</v>
      </c>
      <c r="D2988" s="9">
        <v>1052.3</v>
      </c>
      <c r="E2988" s="9">
        <f t="shared" si="139"/>
        <v>1.4255506213385478E-4</v>
      </c>
      <c r="F2988" s="45">
        <f t="shared" si="140"/>
        <v>-3.0730766161912244E-2</v>
      </c>
      <c r="G2988" s="9">
        <f t="shared" si="141"/>
        <v>7.9275016959081696E-3</v>
      </c>
    </row>
    <row r="2989" spans="1:7" x14ac:dyDescent="0.2">
      <c r="A2989" s="12">
        <v>41226</v>
      </c>
      <c r="B2989" s="9">
        <v>1053.95</v>
      </c>
      <c r="C2989" s="9">
        <v>1040.1300000000001</v>
      </c>
      <c r="D2989" s="9">
        <v>1052.98</v>
      </c>
      <c r="E2989" s="9">
        <f t="shared" si="139"/>
        <v>6.4599485450647588E-4</v>
      </c>
      <c r="F2989" s="45">
        <f t="shared" si="140"/>
        <v>-2.9928097221439909E-2</v>
      </c>
      <c r="G2989" s="9">
        <f t="shared" si="141"/>
        <v>7.9318844562457497E-3</v>
      </c>
    </row>
    <row r="2990" spans="1:7" x14ac:dyDescent="0.2">
      <c r="A2990" s="12">
        <v>41227</v>
      </c>
      <c r="B2990" s="9">
        <v>1056.8699999999999</v>
      </c>
      <c r="C2990" s="9">
        <v>1048.8399999999999</v>
      </c>
      <c r="D2990" s="9">
        <v>1052.22</v>
      </c>
      <c r="E2990" s="9">
        <f t="shared" si="139"/>
        <v>-7.2202169201658747E-4</v>
      </c>
      <c r="F2990" s="45">
        <f t="shared" si="140"/>
        <v>-2.6281020743530711E-2</v>
      </c>
      <c r="G2990" s="9">
        <f t="shared" si="141"/>
        <v>7.9063364694885677E-3</v>
      </c>
    </row>
    <row r="2991" spans="1:7" x14ac:dyDescent="0.2">
      <c r="A2991" s="12">
        <v>41228</v>
      </c>
      <c r="B2991" s="9">
        <v>1045.6099999999999</v>
      </c>
      <c r="C2991" s="9">
        <v>1037.56</v>
      </c>
      <c r="D2991" s="9">
        <v>1038.33</v>
      </c>
      <c r="E2991" s="9">
        <f t="shared" si="139"/>
        <v>-1.3288564633838646E-2</v>
      </c>
      <c r="F2991" s="45">
        <f t="shared" si="140"/>
        <v>-4.2204413765826801E-2</v>
      </c>
      <c r="G2991" s="9">
        <f t="shared" si="141"/>
        <v>8.1918535671125607E-3</v>
      </c>
    </row>
    <row r="2992" spans="1:7" x14ac:dyDescent="0.2">
      <c r="A2992" s="12">
        <v>41229</v>
      </c>
      <c r="B2992" s="9">
        <v>1043.01</v>
      </c>
      <c r="C2992" s="9">
        <v>1026.47</v>
      </c>
      <c r="D2992" s="9">
        <v>1027.04</v>
      </c>
      <c r="E2992" s="9">
        <f t="shared" si="139"/>
        <v>-1.0932774711949625E-2</v>
      </c>
      <c r="F2992" s="45">
        <f t="shared" si="140"/>
        <v>-6.2739261673996516E-2</v>
      </c>
      <c r="G2992" s="9">
        <f t="shared" si="141"/>
        <v>8.0976365656248717E-3</v>
      </c>
    </row>
    <row r="2993" spans="1:7" x14ac:dyDescent="0.2">
      <c r="A2993" s="12">
        <v>41232</v>
      </c>
      <c r="B2993" s="9">
        <v>1051.3599999999999</v>
      </c>
      <c r="C2993" s="9">
        <v>1034.7</v>
      </c>
      <c r="D2993" s="9">
        <v>1051.3599999999999</v>
      </c>
      <c r="E2993" s="9">
        <f t="shared" si="139"/>
        <v>2.3403685586089695E-2</v>
      </c>
      <c r="F2993" s="45">
        <f t="shared" si="140"/>
        <v>-2.6793140162959302E-2</v>
      </c>
      <c r="G2993" s="9">
        <f t="shared" si="141"/>
        <v>9.0958074978885837E-3</v>
      </c>
    </row>
    <row r="2994" spans="1:7" x14ac:dyDescent="0.2">
      <c r="A2994" s="12">
        <v>41233</v>
      </c>
      <c r="B2994" s="9">
        <v>1055.22</v>
      </c>
      <c r="C2994" s="9">
        <v>1047.45</v>
      </c>
      <c r="D2994" s="9">
        <v>1053.9100000000001</v>
      </c>
      <c r="E2994" s="9">
        <f t="shared" si="139"/>
        <v>2.4224933115949048E-3</v>
      </c>
      <c r="F2994" s="45">
        <f t="shared" si="140"/>
        <v>-1.8566314930873986E-2</v>
      </c>
      <c r="G2994" s="9">
        <f t="shared" si="141"/>
        <v>9.0666016943674425E-3</v>
      </c>
    </row>
    <row r="2995" spans="1:7" x14ac:dyDescent="0.2">
      <c r="A2995" s="12">
        <v>41234</v>
      </c>
      <c r="B2995" s="9">
        <v>1056.9000000000001</v>
      </c>
      <c r="C2995" s="9">
        <v>1048.1600000000001</v>
      </c>
      <c r="D2995" s="9">
        <v>1053.6400000000001</v>
      </c>
      <c r="E2995" s="9">
        <f t="shared" si="139"/>
        <v>-2.5622168060272424E-4</v>
      </c>
      <c r="F2995" s="45">
        <f t="shared" si="140"/>
        <v>-7.4792684093534893E-3</v>
      </c>
      <c r="G2995" s="9">
        <f t="shared" si="141"/>
        <v>8.8374521568133375E-3</v>
      </c>
    </row>
    <row r="2996" spans="1:7" x14ac:dyDescent="0.2">
      <c r="A2996" s="12">
        <v>41235</v>
      </c>
      <c r="B2996" s="9">
        <v>1062.19</v>
      </c>
      <c r="C2996" s="9">
        <v>1054.01</v>
      </c>
      <c r="D2996" s="9">
        <v>1060.98</v>
      </c>
      <c r="E2996" s="9">
        <f t="shared" si="139"/>
        <v>6.9421735143909312E-3</v>
      </c>
      <c r="F2996" s="45">
        <f t="shared" si="140"/>
        <v>-4.1009877258123585E-3</v>
      </c>
      <c r="G2996" s="9">
        <f t="shared" si="141"/>
        <v>8.9089508346965433E-3</v>
      </c>
    </row>
    <row r="2997" spans="1:7" x14ac:dyDescent="0.2">
      <c r="A2997" s="12">
        <v>41236</v>
      </c>
      <c r="B2997" s="9">
        <v>1071.77</v>
      </c>
      <c r="C2997" s="9">
        <v>1058.31</v>
      </c>
      <c r="D2997" s="9">
        <v>1071.77</v>
      </c>
      <c r="E2997" s="9">
        <f t="shared" si="139"/>
        <v>1.0118478077376021E-2</v>
      </c>
      <c r="F2997" s="45">
        <f t="shared" si="140"/>
        <v>1.22697470229829E-2</v>
      </c>
      <c r="G2997" s="9">
        <f t="shared" si="141"/>
        <v>9.0220955010472791E-3</v>
      </c>
    </row>
    <row r="2998" spans="1:7" x14ac:dyDescent="0.2">
      <c r="A2998" s="12">
        <v>41239</v>
      </c>
      <c r="B2998" s="9">
        <v>1074.21</v>
      </c>
      <c r="C2998" s="9">
        <v>1065.1099999999999</v>
      </c>
      <c r="D2998" s="9">
        <v>1068.98</v>
      </c>
      <c r="E2998" s="9">
        <f t="shared" si="139"/>
        <v>-2.6065645961895201E-3</v>
      </c>
      <c r="F2998" s="45">
        <f t="shared" si="140"/>
        <v>4.9421254157589571E-3</v>
      </c>
      <c r="G2998" s="9">
        <f t="shared" si="141"/>
        <v>9.0004940074687456E-3</v>
      </c>
    </row>
    <row r="2999" spans="1:7" x14ac:dyDescent="0.2">
      <c r="A2999" s="12">
        <v>41240</v>
      </c>
      <c r="B2999" s="9">
        <v>1075.56</v>
      </c>
      <c r="C2999" s="9">
        <v>1068.24</v>
      </c>
      <c r="D2999" s="9">
        <v>1071.73</v>
      </c>
      <c r="E2999" s="9">
        <f t="shared" si="139"/>
        <v>2.5692424594929019E-3</v>
      </c>
      <c r="F2999" s="45">
        <f t="shared" si="140"/>
        <v>-1.0538145795460313E-3</v>
      </c>
      <c r="G2999" s="9">
        <f t="shared" si="141"/>
        <v>8.8731941752056426E-3</v>
      </c>
    </row>
    <row r="3000" spans="1:7" x14ac:dyDescent="0.2">
      <c r="A3000" s="12">
        <v>41241</v>
      </c>
      <c r="B3000" s="9">
        <v>1069.97</v>
      </c>
      <c r="C3000" s="9">
        <v>1061.19</v>
      </c>
      <c r="D3000" s="9">
        <v>1069.3900000000001</v>
      </c>
      <c r="E3000" s="9">
        <f t="shared" si="139"/>
        <v>-2.185772802675642E-3</v>
      </c>
      <c r="F3000" s="45">
        <f t="shared" si="140"/>
        <v>-5.6972772748398685E-3</v>
      </c>
      <c r="G3000" s="9">
        <f t="shared" si="141"/>
        <v>8.8687092057080103E-3</v>
      </c>
    </row>
    <row r="3001" spans="1:7" x14ac:dyDescent="0.2">
      <c r="A3001" s="12">
        <v>41242</v>
      </c>
      <c r="B3001" s="9">
        <v>1085.03</v>
      </c>
      <c r="C3001" s="9">
        <v>1074.22</v>
      </c>
      <c r="D3001" s="9">
        <v>1085.03</v>
      </c>
      <c r="E3001" s="9">
        <f t="shared" si="139"/>
        <v>1.4519243928952496E-2</v>
      </c>
      <c r="F3001" s="45">
        <f t="shared" si="140"/>
        <v>2.1312428779819686E-3</v>
      </c>
      <c r="G3001" s="9">
        <f t="shared" si="141"/>
        <v>9.1875840225634203E-3</v>
      </c>
    </row>
    <row r="3002" spans="1:7" x14ac:dyDescent="0.2">
      <c r="A3002" s="12">
        <v>41243</v>
      </c>
      <c r="B3002" s="9">
        <v>1090.94</v>
      </c>
      <c r="C3002" s="9">
        <v>1083.25</v>
      </c>
      <c r="D3002" s="9">
        <v>1085.8499999999999</v>
      </c>
      <c r="E3002" s="9">
        <f t="shared" si="139"/>
        <v>7.5545404536264845E-4</v>
      </c>
      <c r="F3002" s="45">
        <f t="shared" si="140"/>
        <v>1.9726376577148E-2</v>
      </c>
      <c r="G3002" s="9">
        <f t="shared" si="141"/>
        <v>8.6145738856896956E-3</v>
      </c>
    </row>
    <row r="3003" spans="1:7" x14ac:dyDescent="0.2">
      <c r="A3003" s="12">
        <v>41246</v>
      </c>
      <c r="B3003" s="9">
        <v>1096.94</v>
      </c>
      <c r="C3003" s="9">
        <v>1086.8399999999999</v>
      </c>
      <c r="D3003" s="9">
        <v>1088.8800000000001</v>
      </c>
      <c r="E3003" s="9">
        <f t="shared" si="139"/>
        <v>2.7865546165581835E-3</v>
      </c>
      <c r="F3003" s="45">
        <f t="shared" si="140"/>
        <v>2.0036289153267686E-2</v>
      </c>
      <c r="G3003" s="9">
        <f t="shared" si="141"/>
        <v>8.6170160039490927E-3</v>
      </c>
    </row>
    <row r="3004" spans="1:7" x14ac:dyDescent="0.2">
      <c r="A3004" s="12">
        <v>41247</v>
      </c>
      <c r="B3004" s="9">
        <v>1090.06</v>
      </c>
      <c r="C3004" s="9">
        <v>1085.1600000000001</v>
      </c>
      <c r="D3004" s="9">
        <v>1088.5999999999999</v>
      </c>
      <c r="E3004" s="9">
        <f t="shared" si="139"/>
        <v>-2.5717802371873536E-4</v>
      </c>
      <c r="F3004" s="45">
        <f t="shared" si="140"/>
        <v>3.7436525861667257E-2</v>
      </c>
      <c r="G3004" s="9">
        <f t="shared" si="141"/>
        <v>7.8964923222947098E-3</v>
      </c>
    </row>
    <row r="3005" spans="1:7" x14ac:dyDescent="0.2">
      <c r="A3005" s="12">
        <v>41248</v>
      </c>
      <c r="B3005" s="9">
        <v>1096.26</v>
      </c>
      <c r="C3005" s="9">
        <v>1090.4100000000001</v>
      </c>
      <c r="D3005" s="9">
        <v>1091.33</v>
      </c>
      <c r="E3005" s="9">
        <f t="shared" si="139"/>
        <v>2.504668890460388E-3</v>
      </c>
      <c r="F3005" s="45">
        <f t="shared" si="140"/>
        <v>3.815945284289244E-2</v>
      </c>
      <c r="G3005" s="9">
        <f t="shared" si="141"/>
        <v>7.8992802417998161E-3</v>
      </c>
    </row>
    <row r="3006" spans="1:7" x14ac:dyDescent="0.2">
      <c r="A3006" s="12">
        <v>41249</v>
      </c>
      <c r="B3006" s="9">
        <v>1102.71</v>
      </c>
      <c r="C3006" s="9">
        <v>1094.92</v>
      </c>
      <c r="D3006" s="9">
        <v>1098.03</v>
      </c>
      <c r="E3006" s="9">
        <f t="shared" si="139"/>
        <v>6.1205292100374878E-3</v>
      </c>
      <c r="F3006" s="45">
        <f t="shared" si="140"/>
        <v>3.7383108574890425E-2</v>
      </c>
      <c r="G3006" s="9">
        <f t="shared" si="141"/>
        <v>7.8814691808382249E-3</v>
      </c>
    </row>
    <row r="3007" spans="1:7" x14ac:dyDescent="0.2">
      <c r="A3007" s="12">
        <v>41250</v>
      </c>
      <c r="B3007" s="9">
        <v>1100.8399999999999</v>
      </c>
      <c r="C3007" s="9">
        <v>1094.6600000000001</v>
      </c>
      <c r="D3007" s="9">
        <v>1098.6199999999999</v>
      </c>
      <c r="E3007" s="9">
        <f t="shared" ref="E3007:E3070" si="142">LN(D3007/D3006)</f>
        <v>5.3718163038056965E-4</v>
      </c>
      <c r="F3007" s="45">
        <f t="shared" si="140"/>
        <v>3.6540940548234098E-2</v>
      </c>
      <c r="G3007" s="9">
        <f t="shared" si="141"/>
        <v>7.8824779740278243E-3</v>
      </c>
    </row>
    <row r="3008" spans="1:7" x14ac:dyDescent="0.2">
      <c r="A3008" s="12">
        <v>41253</v>
      </c>
      <c r="B3008" s="9">
        <v>1107.03</v>
      </c>
      <c r="C3008" s="9">
        <v>1093.55</v>
      </c>
      <c r="D3008" s="9">
        <v>1105.95</v>
      </c>
      <c r="E3008" s="9">
        <f t="shared" si="142"/>
        <v>6.6498473727913746E-3</v>
      </c>
      <c r="F3008" s="45">
        <f t="shared" si="140"/>
        <v>4.6623788734458139E-2</v>
      </c>
      <c r="G3008" s="9">
        <f t="shared" si="141"/>
        <v>7.8922791650560958E-3</v>
      </c>
    </row>
    <row r="3009" spans="1:7" x14ac:dyDescent="0.2">
      <c r="A3009" s="12">
        <v>41254</v>
      </c>
      <c r="B3009" s="9">
        <v>1109.56</v>
      </c>
      <c r="C3009" s="9">
        <v>1101.99</v>
      </c>
      <c r="D3009" s="9">
        <v>1108.96</v>
      </c>
      <c r="E3009" s="9">
        <f t="shared" si="142"/>
        <v>2.7179450659053409E-3</v>
      </c>
      <c r="F3009" s="45">
        <f t="shared" si="140"/>
        <v>4.590873298693076E-2</v>
      </c>
      <c r="G3009" s="9">
        <f t="shared" si="141"/>
        <v>7.8874874792740218E-3</v>
      </c>
    </row>
    <row r="3010" spans="1:7" x14ac:dyDescent="0.2">
      <c r="A3010" s="12">
        <v>41255</v>
      </c>
      <c r="B3010" s="9">
        <v>1109.98</v>
      </c>
      <c r="C3010" s="9">
        <v>1102.22</v>
      </c>
      <c r="D3010" s="9">
        <v>1103.3499999999999</v>
      </c>
      <c r="E3010" s="9">
        <f t="shared" si="142"/>
        <v>-5.0716328405850221E-3</v>
      </c>
      <c r="F3010" s="45">
        <f t="shared" si="140"/>
        <v>4.75533347600939E-2</v>
      </c>
      <c r="G3010" s="9">
        <f t="shared" si="141"/>
        <v>7.8337276095105154E-3</v>
      </c>
    </row>
    <row r="3011" spans="1:7" x14ac:dyDescent="0.2">
      <c r="A3011" s="12">
        <v>41256</v>
      </c>
      <c r="B3011" s="9">
        <v>1103.8800000000001</v>
      </c>
      <c r="C3011" s="9">
        <v>1092.1199999999999</v>
      </c>
      <c r="D3011" s="9">
        <v>1092.1199999999999</v>
      </c>
      <c r="E3011" s="9">
        <f t="shared" si="142"/>
        <v>-1.0230244951825026E-2</v>
      </c>
      <c r="F3011" s="45">
        <f t="shared" si="140"/>
        <v>2.7486727858277177E-2</v>
      </c>
      <c r="G3011" s="9">
        <f t="shared" si="141"/>
        <v>7.9605678395588183E-3</v>
      </c>
    </row>
    <row r="3012" spans="1:7" x14ac:dyDescent="0.2">
      <c r="A3012" s="12">
        <v>41257</v>
      </c>
      <c r="B3012" s="9">
        <v>1099.07</v>
      </c>
      <c r="C3012" s="9">
        <v>1093.55</v>
      </c>
      <c r="D3012" s="9">
        <v>1098.08</v>
      </c>
      <c r="E3012" s="9">
        <f t="shared" si="142"/>
        <v>5.4424387830599641E-3</v>
      </c>
      <c r="F3012" s="45">
        <f t="shared" si="140"/>
        <v>2.5988667391530499E-2</v>
      </c>
      <c r="G3012" s="9">
        <f t="shared" si="141"/>
        <v>7.9260993844387888E-3</v>
      </c>
    </row>
    <row r="3013" spans="1:7" x14ac:dyDescent="0.2">
      <c r="A3013" s="12">
        <v>41260</v>
      </c>
      <c r="B3013" s="9">
        <v>1102.4100000000001</v>
      </c>
      <c r="C3013" s="9">
        <v>1094.8</v>
      </c>
      <c r="D3013" s="9">
        <v>1101.71</v>
      </c>
      <c r="E3013" s="9">
        <f t="shared" si="142"/>
        <v>3.3003180256837785E-3</v>
      </c>
      <c r="F3013" s="45">
        <f t="shared" si="140"/>
        <v>3.5439216216872023E-2</v>
      </c>
      <c r="G3013" s="9">
        <f t="shared" si="141"/>
        <v>7.824771331197404E-3</v>
      </c>
    </row>
    <row r="3014" spans="1:7" x14ac:dyDescent="0.2">
      <c r="A3014" s="12">
        <v>41261</v>
      </c>
      <c r="B3014" s="9">
        <v>1108.75</v>
      </c>
      <c r="C3014" s="9">
        <v>1103.0999999999999</v>
      </c>
      <c r="D3014" s="9">
        <v>1107.48</v>
      </c>
      <c r="E3014" s="9">
        <f t="shared" si="142"/>
        <v>5.2236458794775115E-3</v>
      </c>
      <c r="F3014" s="45">
        <f t="shared" si="140"/>
        <v>3.2113440455838062E-2</v>
      </c>
      <c r="G3014" s="9">
        <f t="shared" si="141"/>
        <v>7.7398811449615121E-3</v>
      </c>
    </row>
    <row r="3015" spans="1:7" x14ac:dyDescent="0.2">
      <c r="A3015" s="12">
        <v>41262</v>
      </c>
      <c r="B3015" s="9">
        <v>1110.03</v>
      </c>
      <c r="C3015" s="9">
        <v>1103.95</v>
      </c>
      <c r="D3015" s="9">
        <v>1108.94</v>
      </c>
      <c r="E3015" s="9">
        <f t="shared" si="142"/>
        <v>1.317440025961341E-3</v>
      </c>
      <c r="F3015" s="45">
        <f t="shared" si="140"/>
        <v>4.8537702668469698E-2</v>
      </c>
      <c r="G3015" s="9">
        <f t="shared" si="141"/>
        <v>7.1115062137890542E-3</v>
      </c>
    </row>
    <row r="3016" spans="1:7" x14ac:dyDescent="0.2">
      <c r="A3016" s="12">
        <v>41263</v>
      </c>
      <c r="B3016" s="9">
        <v>1109.2</v>
      </c>
      <c r="C3016" s="9">
        <v>1101.9100000000001</v>
      </c>
      <c r="D3016" s="9">
        <v>1108.07</v>
      </c>
      <c r="E3016" s="9">
        <f t="shared" si="142"/>
        <v>-7.8484088448700119E-4</v>
      </c>
      <c r="F3016" s="45">
        <f t="shared" si="140"/>
        <v>4.8586226732399242E-2</v>
      </c>
      <c r="G3016" s="9">
        <f t="shared" si="141"/>
        <v>7.1109349532844941E-3</v>
      </c>
    </row>
    <row r="3017" spans="1:7" x14ac:dyDescent="0.2">
      <c r="A3017" s="12">
        <v>41264</v>
      </c>
      <c r="B3017" s="9">
        <v>1109.1400000000001</v>
      </c>
      <c r="C3017" s="9">
        <v>1097.98</v>
      </c>
      <c r="D3017" s="9">
        <v>1107.93</v>
      </c>
      <c r="E3017" s="9">
        <f t="shared" si="142"/>
        <v>-1.2635379078172217E-4</v>
      </c>
      <c r="F3017" s="45">
        <f t="shared" si="140"/>
        <v>5.1657719731545593E-2</v>
      </c>
      <c r="G3017" s="9">
        <f t="shared" si="141"/>
        <v>7.0611197133503461E-3</v>
      </c>
    </row>
    <row r="3018" spans="1:7" x14ac:dyDescent="0.2">
      <c r="A3018" s="12">
        <v>41270</v>
      </c>
      <c r="B3018" s="9">
        <v>1114.05</v>
      </c>
      <c r="C3018" s="9">
        <v>1104.07</v>
      </c>
      <c r="D3018" s="9">
        <v>1110.9100000000001</v>
      </c>
      <c r="E3018" s="9">
        <f t="shared" si="142"/>
        <v>2.6860898413083117E-3</v>
      </c>
      <c r="F3018" s="45">
        <f t="shared" si="140"/>
        <v>5.4201254510720207E-2</v>
      </c>
      <c r="G3018" s="9">
        <f t="shared" si="141"/>
        <v>7.0567710058693951E-3</v>
      </c>
    </row>
    <row r="3019" spans="1:7" x14ac:dyDescent="0.2">
      <c r="A3019" s="12">
        <v>41271</v>
      </c>
      <c r="B3019" s="9">
        <v>1114</v>
      </c>
      <c r="C3019" s="9">
        <v>1104.69</v>
      </c>
      <c r="D3019" s="9">
        <v>1104.73</v>
      </c>
      <c r="E3019" s="9">
        <f t="shared" si="142"/>
        <v>-5.5785380538683604E-3</v>
      </c>
      <c r="F3019" s="45">
        <f t="shared" si="140"/>
        <v>4.797672160234543E-2</v>
      </c>
      <c r="G3019" s="9">
        <f t="shared" si="141"/>
        <v>7.1824633428650255E-3</v>
      </c>
    </row>
    <row r="3020" spans="1:7" x14ac:dyDescent="0.2">
      <c r="A3020" s="12">
        <v>41276</v>
      </c>
      <c r="B3020" s="9">
        <v>1129.96</v>
      </c>
      <c r="C3020" s="9">
        <v>1116.6199999999999</v>
      </c>
      <c r="D3020" s="9">
        <v>1129.96</v>
      </c>
      <c r="E3020" s="9">
        <f t="shared" si="142"/>
        <v>2.2581272646147413E-2</v>
      </c>
      <c r="F3020" s="45">
        <f t="shared" si="140"/>
        <v>7.1280015940509353E-2</v>
      </c>
      <c r="G3020" s="9">
        <f t="shared" si="141"/>
        <v>8.1214962544350795E-3</v>
      </c>
    </row>
    <row r="3021" spans="1:7" x14ac:dyDescent="0.2">
      <c r="A3021" s="12">
        <v>41277</v>
      </c>
      <c r="B3021" s="9">
        <v>1130.8900000000001</v>
      </c>
      <c r="C3021" s="9">
        <v>1126.0999999999999</v>
      </c>
      <c r="D3021" s="9">
        <v>1130.4000000000001</v>
      </c>
      <c r="E3021" s="9">
        <f t="shared" si="142"/>
        <v>3.8931852055202866E-4</v>
      </c>
      <c r="F3021" s="45">
        <f t="shared" si="140"/>
        <v>8.4957899094900091E-2</v>
      </c>
      <c r="G3021" s="9">
        <f t="shared" si="141"/>
        <v>7.5774950253676976E-3</v>
      </c>
    </row>
    <row r="3022" spans="1:7" x14ac:dyDescent="0.2">
      <c r="A3022" s="12">
        <v>41278</v>
      </c>
      <c r="B3022" s="9">
        <v>1136.77</v>
      </c>
      <c r="C3022" s="9">
        <v>1126.3800000000001</v>
      </c>
      <c r="D3022" s="9">
        <v>1136.77</v>
      </c>
      <c r="E3022" s="9">
        <f t="shared" si="142"/>
        <v>5.6193551980631999E-3</v>
      </c>
      <c r="F3022" s="45">
        <f t="shared" si="140"/>
        <v>0.10151002900491285</v>
      </c>
      <c r="G3022" s="9">
        <f t="shared" si="141"/>
        <v>7.1300836815368267E-3</v>
      </c>
    </row>
    <row r="3023" spans="1:7" x14ac:dyDescent="0.2">
      <c r="A3023" s="12">
        <v>41281</v>
      </c>
      <c r="B3023" s="9">
        <v>1137.3699999999999</v>
      </c>
      <c r="C3023" s="9">
        <v>1130.1300000000001</v>
      </c>
      <c r="D3023" s="9">
        <v>1130.1300000000001</v>
      </c>
      <c r="E3023" s="9">
        <f t="shared" si="142"/>
        <v>-5.8582372312888514E-3</v>
      </c>
      <c r="F3023" s="45">
        <f t="shared" si="140"/>
        <v>7.2248106187534314E-2</v>
      </c>
      <c r="G3023" s="9">
        <f t="shared" si="141"/>
        <v>6.2432705518963199E-3</v>
      </c>
    </row>
    <row r="3024" spans="1:7" x14ac:dyDescent="0.2">
      <c r="A3024" s="12">
        <v>41282</v>
      </c>
      <c r="B3024" s="9">
        <v>1133.28</v>
      </c>
      <c r="C3024" s="9">
        <v>1124.32</v>
      </c>
      <c r="D3024" s="9">
        <v>1125.3900000000001</v>
      </c>
      <c r="E3024" s="9">
        <f t="shared" si="142"/>
        <v>-4.2030281069100192E-3</v>
      </c>
      <c r="F3024" s="45">
        <f t="shared" si="140"/>
        <v>6.5622584769029282E-2</v>
      </c>
      <c r="G3024" s="9">
        <f t="shared" si="141"/>
        <v>6.3588661977192857E-3</v>
      </c>
    </row>
    <row r="3025" spans="1:7" x14ac:dyDescent="0.2">
      <c r="A3025" s="12">
        <v>41283</v>
      </c>
      <c r="B3025" s="9">
        <v>1128.6600000000001</v>
      </c>
      <c r="C3025" s="9">
        <v>1118.98</v>
      </c>
      <c r="D3025" s="9">
        <v>1127.67</v>
      </c>
      <c r="E3025" s="9">
        <f t="shared" si="142"/>
        <v>2.0239148342999303E-3</v>
      </c>
      <c r="F3025" s="45">
        <f t="shared" si="140"/>
        <v>6.7902721283931988E-2</v>
      </c>
      <c r="G3025" s="9">
        <f t="shared" si="141"/>
        <v>6.3422563458419507E-3</v>
      </c>
    </row>
    <row r="3026" spans="1:7" x14ac:dyDescent="0.2">
      <c r="A3026" s="12">
        <v>41284</v>
      </c>
      <c r="B3026" s="9">
        <v>1131.27</v>
      </c>
      <c r="C3026" s="9">
        <v>1125.4000000000001</v>
      </c>
      <c r="D3026" s="9">
        <v>1126.8699999999999</v>
      </c>
      <c r="E3026" s="9">
        <f t="shared" si="142"/>
        <v>-7.0967916610614767E-4</v>
      </c>
      <c r="F3026" s="45">
        <f t="shared" si="140"/>
        <v>6.0250868603434725E-2</v>
      </c>
      <c r="G3026" s="9">
        <f t="shared" si="141"/>
        <v>6.3013386706542449E-3</v>
      </c>
    </row>
    <row r="3027" spans="1:7" x14ac:dyDescent="0.2">
      <c r="A3027" s="12">
        <v>41285</v>
      </c>
      <c r="B3027" s="9">
        <v>1132.28</v>
      </c>
      <c r="C3027" s="9">
        <v>1126.6600000000001</v>
      </c>
      <c r="D3027" s="9">
        <v>1132.28</v>
      </c>
      <c r="E3027" s="9">
        <f t="shared" si="142"/>
        <v>4.7894211021501246E-3</v>
      </c>
      <c r="F3027" s="45">
        <f t="shared" si="140"/>
        <v>5.4921811628208701E-2</v>
      </c>
      <c r="G3027" s="9">
        <f t="shared" si="141"/>
        <v>6.1378219318589137E-3</v>
      </c>
    </row>
    <row r="3028" spans="1:7" x14ac:dyDescent="0.2">
      <c r="A3028" s="12">
        <v>41288</v>
      </c>
      <c r="B3028" s="9">
        <v>1138.07</v>
      </c>
      <c r="C3028" s="9">
        <v>1130.78</v>
      </c>
      <c r="D3028" s="9">
        <v>1132.8399999999999</v>
      </c>
      <c r="E3028" s="9">
        <f t="shared" si="142"/>
        <v>4.9445504998345009E-4</v>
      </c>
      <c r="F3028" s="45">
        <f t="shared" si="140"/>
        <v>5.8022831274381723E-2</v>
      </c>
      <c r="G3028" s="9">
        <f t="shared" si="141"/>
        <v>6.0864133754599493E-3</v>
      </c>
    </row>
    <row r="3029" spans="1:7" x14ac:dyDescent="0.2">
      <c r="A3029" s="12">
        <v>41289</v>
      </c>
      <c r="B3029" s="9">
        <v>1133.97</v>
      </c>
      <c r="C3029" s="9">
        <v>1125.3900000000001</v>
      </c>
      <c r="D3029" s="9">
        <v>1127.51</v>
      </c>
      <c r="E3029" s="9">
        <f t="shared" si="142"/>
        <v>-4.7160925334059087E-3</v>
      </c>
      <c r="F3029" s="45">
        <f t="shared" si="140"/>
        <v>5.073749628148301E-2</v>
      </c>
      <c r="G3029" s="9">
        <f t="shared" si="141"/>
        <v>6.2043943682870695E-3</v>
      </c>
    </row>
    <row r="3030" spans="1:7" x14ac:dyDescent="0.2">
      <c r="A3030" s="12">
        <v>41290</v>
      </c>
      <c r="B3030" s="9">
        <v>1130.6500000000001</v>
      </c>
      <c r="C3030" s="9">
        <v>1123.74</v>
      </c>
      <c r="D3030" s="9">
        <v>1130.6199999999999</v>
      </c>
      <c r="E3030" s="9">
        <f t="shared" si="142"/>
        <v>2.7544932898970315E-3</v>
      </c>
      <c r="F3030" s="45">
        <f t="shared" si="140"/>
        <v>5.5677762374055556E-2</v>
      </c>
      <c r="G3030" s="9">
        <f t="shared" si="141"/>
        <v>6.1633690282591816E-3</v>
      </c>
    </row>
    <row r="3031" spans="1:7" x14ac:dyDescent="0.2">
      <c r="A3031" s="12">
        <v>41291</v>
      </c>
      <c r="B3031" s="9">
        <v>1137.73</v>
      </c>
      <c r="C3031" s="9">
        <v>1129.44</v>
      </c>
      <c r="D3031" s="9">
        <v>1136.2</v>
      </c>
      <c r="E3031" s="9">
        <f t="shared" si="142"/>
        <v>4.9232063160261985E-3</v>
      </c>
      <c r="F3031" s="45">
        <f t="shared" si="140"/>
        <v>4.6081724761129227E-2</v>
      </c>
      <c r="G3031" s="9">
        <f t="shared" si="141"/>
        <v>5.7162971112920567E-3</v>
      </c>
    </row>
    <row r="3032" spans="1:7" x14ac:dyDescent="0.2">
      <c r="A3032" s="12">
        <v>41292</v>
      </c>
      <c r="B3032" s="9">
        <v>1141.17</v>
      </c>
      <c r="C3032" s="9">
        <v>1133.46</v>
      </c>
      <c r="D3032" s="9">
        <v>1135.02</v>
      </c>
      <c r="E3032" s="9">
        <f t="shared" si="142"/>
        <v>-1.0390892173996785E-3</v>
      </c>
      <c r="F3032" s="45">
        <f t="shared" si="140"/>
        <v>4.4287181498366787E-2</v>
      </c>
      <c r="G3032" s="9">
        <f t="shared" si="141"/>
        <v>5.7341091359979285E-3</v>
      </c>
    </row>
    <row r="3033" spans="1:7" x14ac:dyDescent="0.2">
      <c r="A3033" s="12">
        <v>41295</v>
      </c>
      <c r="B3033" s="9">
        <v>1143.6300000000001</v>
      </c>
      <c r="C3033" s="9">
        <v>1135.01</v>
      </c>
      <c r="D3033" s="9">
        <v>1143.0899999999999</v>
      </c>
      <c r="E3033" s="9">
        <f t="shared" si="142"/>
        <v>7.0848499468204353E-3</v>
      </c>
      <c r="F3033" s="45">
        <f t="shared" si="140"/>
        <v>4.8585476828629216E-2</v>
      </c>
      <c r="G3033" s="9">
        <f t="shared" si="141"/>
        <v>5.8210200599362102E-3</v>
      </c>
    </row>
    <row r="3034" spans="1:7" x14ac:dyDescent="0.2">
      <c r="A3034" s="12">
        <v>41296</v>
      </c>
      <c r="B3034" s="9">
        <v>1142.96</v>
      </c>
      <c r="C3034" s="9">
        <v>1135.33</v>
      </c>
      <c r="D3034" s="9">
        <v>1139.1500000000001</v>
      </c>
      <c r="E3034" s="9">
        <f t="shared" si="142"/>
        <v>-3.4527516073882343E-3</v>
      </c>
      <c r="F3034" s="45">
        <f t="shared" si="140"/>
        <v>4.538990324495961E-2</v>
      </c>
      <c r="G3034" s="9">
        <f t="shared" si="141"/>
        <v>5.8854276189222151E-3</v>
      </c>
    </row>
    <row r="3035" spans="1:7" x14ac:dyDescent="0.2">
      <c r="A3035" s="12">
        <v>41297</v>
      </c>
      <c r="B3035" s="9">
        <v>1141.99</v>
      </c>
      <c r="C3035" s="9">
        <v>1136.75</v>
      </c>
      <c r="D3035" s="9">
        <v>1140.82</v>
      </c>
      <c r="E3035" s="9">
        <f t="shared" si="142"/>
        <v>1.4649318180983979E-3</v>
      </c>
      <c r="F3035" s="45">
        <f t="shared" si="140"/>
        <v>4.4350166172597759E-2</v>
      </c>
      <c r="G3035" s="9">
        <f t="shared" si="141"/>
        <v>5.8824471538542851E-3</v>
      </c>
    </row>
    <row r="3036" spans="1:7" x14ac:dyDescent="0.2">
      <c r="A3036" s="12">
        <v>41298</v>
      </c>
      <c r="B3036" s="9">
        <v>1146.93</v>
      </c>
      <c r="C3036" s="9">
        <v>1137.8399999999999</v>
      </c>
      <c r="D3036" s="9">
        <v>1146.93</v>
      </c>
      <c r="E3036" s="9">
        <f t="shared" si="142"/>
        <v>5.3415054331755821E-3</v>
      </c>
      <c r="F3036" s="45">
        <f t="shared" si="140"/>
        <v>4.3571142395735944E-2</v>
      </c>
      <c r="G3036" s="9">
        <f t="shared" si="141"/>
        <v>5.8629351437538939E-3</v>
      </c>
    </row>
    <row r="3037" spans="1:7" x14ac:dyDescent="0.2">
      <c r="A3037" s="12">
        <v>41299</v>
      </c>
      <c r="B3037" s="9">
        <v>1158.5</v>
      </c>
      <c r="C3037" s="9">
        <v>1144.71</v>
      </c>
      <c r="D3037" s="9">
        <v>1158.5</v>
      </c>
      <c r="E3037" s="9">
        <f t="shared" si="142"/>
        <v>1.0037257376097541E-2</v>
      </c>
      <c r="F3037" s="45">
        <f t="shared" si="140"/>
        <v>5.3071218141452985E-2</v>
      </c>
      <c r="G3037" s="9">
        <f t="shared" si="141"/>
        <v>6.0648807016944967E-3</v>
      </c>
    </row>
    <row r="3038" spans="1:7" x14ac:dyDescent="0.2">
      <c r="A3038" s="12">
        <v>41302</v>
      </c>
      <c r="B3038" s="9">
        <v>1162.49</v>
      </c>
      <c r="C3038" s="9">
        <v>1157.6600000000001</v>
      </c>
      <c r="D3038" s="9">
        <v>1160.25</v>
      </c>
      <c r="E3038" s="9">
        <f t="shared" si="142"/>
        <v>1.5094342488543404E-3</v>
      </c>
      <c r="F3038" s="45">
        <f t="shared" si="140"/>
        <v>4.793080501751585E-2</v>
      </c>
      <c r="G3038" s="9">
        <f t="shared" si="141"/>
        <v>5.9944367475693455E-3</v>
      </c>
    </row>
    <row r="3039" spans="1:7" x14ac:dyDescent="0.2">
      <c r="A3039" s="12">
        <v>41303</v>
      </c>
      <c r="B3039" s="9">
        <v>1161.97</v>
      </c>
      <c r="C3039" s="9">
        <v>1155.74</v>
      </c>
      <c r="D3039" s="9">
        <v>1161.97</v>
      </c>
      <c r="E3039" s="9">
        <f t="shared" si="142"/>
        <v>1.4813414013546003E-3</v>
      </c>
      <c r="F3039" s="45">
        <f t="shared" si="140"/>
        <v>4.6694201352965134E-2</v>
      </c>
      <c r="G3039" s="9">
        <f t="shared" si="141"/>
        <v>5.9907183582403097E-3</v>
      </c>
    </row>
    <row r="3040" spans="1:7" x14ac:dyDescent="0.2">
      <c r="A3040" s="12">
        <v>41304</v>
      </c>
      <c r="B3040" s="9">
        <v>1173.3800000000001</v>
      </c>
      <c r="C3040" s="9">
        <v>1162.97</v>
      </c>
      <c r="D3040" s="9">
        <v>1173.3800000000001</v>
      </c>
      <c r="E3040" s="9">
        <f t="shared" si="142"/>
        <v>9.771632337752351E-3</v>
      </c>
      <c r="F3040" s="45">
        <f t="shared" si="140"/>
        <v>6.1537466531302522E-2</v>
      </c>
      <c r="G3040" s="9">
        <f t="shared" si="141"/>
        <v>6.0371991896871298E-3</v>
      </c>
    </row>
    <row r="3041" spans="1:7" x14ac:dyDescent="0.2">
      <c r="A3041" s="12">
        <v>41305</v>
      </c>
      <c r="B3041" s="9">
        <v>1182.1199999999999</v>
      </c>
      <c r="C3041" s="9">
        <v>1168.25</v>
      </c>
      <c r="D3041" s="9">
        <v>1169.17</v>
      </c>
      <c r="E3041" s="9">
        <f t="shared" si="142"/>
        <v>-3.594377522450079E-3</v>
      </c>
      <c r="F3041" s="45">
        <f t="shared" ref="F3041:F3104" si="143">LN(D3041/D3011)</f>
        <v>6.8173333960677221E-2</v>
      </c>
      <c r="G3041" s="9">
        <f t="shared" ref="G3041:G3104" si="144">STDEV(E3012:E3041)</f>
        <v>5.6828709043455711E-3</v>
      </c>
    </row>
    <row r="3042" spans="1:7" x14ac:dyDescent="0.2">
      <c r="A3042" s="12">
        <v>41306</v>
      </c>
      <c r="B3042" s="9">
        <v>1178.8699999999999</v>
      </c>
      <c r="C3042" s="9">
        <v>1167.53</v>
      </c>
      <c r="D3042" s="9">
        <v>1176.1099999999999</v>
      </c>
      <c r="E3042" s="9">
        <f t="shared" si="142"/>
        <v>5.918287161245003E-3</v>
      </c>
      <c r="F3042" s="45">
        <f t="shared" si="143"/>
        <v>6.8649182338862511E-2</v>
      </c>
      <c r="G3042" s="9">
        <f t="shared" si="144"/>
        <v>5.6926794703570796E-3</v>
      </c>
    </row>
    <row r="3043" spans="1:7" x14ac:dyDescent="0.2">
      <c r="A3043" s="12">
        <v>41309</v>
      </c>
      <c r="B3043" s="9">
        <v>1177.4100000000001</v>
      </c>
      <c r="C3043" s="9">
        <v>1160.48</v>
      </c>
      <c r="D3043" s="9">
        <v>1161.19</v>
      </c>
      <c r="E3043" s="9">
        <f t="shared" si="142"/>
        <v>-1.2767041166709877E-2</v>
      </c>
      <c r="F3043" s="45">
        <f t="shared" si="143"/>
        <v>5.2581823146468677E-2</v>
      </c>
      <c r="G3043" s="9">
        <f t="shared" si="144"/>
        <v>6.315895014275803E-3</v>
      </c>
    </row>
    <row r="3044" spans="1:7" x14ac:dyDescent="0.2">
      <c r="A3044" s="12">
        <v>41310</v>
      </c>
      <c r="B3044" s="9">
        <v>1175.54</v>
      </c>
      <c r="C3044" s="9">
        <v>1156.82</v>
      </c>
      <c r="D3044" s="9">
        <v>1175.54</v>
      </c>
      <c r="E3044" s="9">
        <f t="shared" si="142"/>
        <v>1.2282275141865841E-2</v>
      </c>
      <c r="F3044" s="45">
        <f t="shared" si="143"/>
        <v>5.9640452408857091E-2</v>
      </c>
      <c r="G3044" s="9">
        <f t="shared" si="144"/>
        <v>6.5757880264396794E-3</v>
      </c>
    </row>
    <row r="3045" spans="1:7" x14ac:dyDescent="0.2">
      <c r="A3045" s="12">
        <v>41311</v>
      </c>
      <c r="B3045" s="9">
        <v>1181.03</v>
      </c>
      <c r="C3045" s="9">
        <v>1168.67</v>
      </c>
      <c r="D3045" s="9">
        <v>1174.79</v>
      </c>
      <c r="E3045" s="9">
        <f t="shared" si="142"/>
        <v>-6.3820827326959611E-4</v>
      </c>
      <c r="F3045" s="45">
        <f t="shared" si="143"/>
        <v>5.7684804109626141E-2</v>
      </c>
      <c r="G3045" s="9">
        <f t="shared" si="144"/>
        <v>6.5923376361168746E-3</v>
      </c>
    </row>
    <row r="3046" spans="1:7" x14ac:dyDescent="0.2">
      <c r="A3046" s="12">
        <v>41312</v>
      </c>
      <c r="B3046" s="9">
        <v>1177.06</v>
      </c>
      <c r="C3046" s="9">
        <v>1163.6500000000001</v>
      </c>
      <c r="D3046" s="9">
        <v>1165.71</v>
      </c>
      <c r="E3046" s="9">
        <f t="shared" si="142"/>
        <v>-7.7590647755801908E-3</v>
      </c>
      <c r="F3046" s="45">
        <f t="shared" si="143"/>
        <v>5.0710580218533009E-2</v>
      </c>
      <c r="G3046" s="9">
        <f t="shared" si="144"/>
        <v>6.8104756615529234E-3</v>
      </c>
    </row>
    <row r="3047" spans="1:7" x14ac:dyDescent="0.2">
      <c r="A3047" s="12">
        <v>41313</v>
      </c>
      <c r="B3047" s="9">
        <v>1175.6400000000001</v>
      </c>
      <c r="C3047" s="9">
        <v>1165.52</v>
      </c>
      <c r="D3047" s="9">
        <v>1175.05</v>
      </c>
      <c r="E3047" s="9">
        <f t="shared" si="142"/>
        <v>7.9803564388944027E-3</v>
      </c>
      <c r="F3047" s="45">
        <f t="shared" si="143"/>
        <v>5.8817290448208978E-2</v>
      </c>
      <c r="G3047" s="9">
        <f t="shared" si="144"/>
        <v>6.8961955611737029E-3</v>
      </c>
    </row>
    <row r="3048" spans="1:7" x14ac:dyDescent="0.2">
      <c r="A3048" s="12">
        <v>41316</v>
      </c>
      <c r="B3048" s="9">
        <v>1176.28</v>
      </c>
      <c r="C3048" s="9">
        <v>1166.26</v>
      </c>
      <c r="D3048" s="9">
        <v>1171.01</v>
      </c>
      <c r="E3048" s="9">
        <f t="shared" si="142"/>
        <v>-3.4440755934831446E-3</v>
      </c>
      <c r="F3048" s="45">
        <f t="shared" si="143"/>
        <v>5.2687125013417463E-2</v>
      </c>
      <c r="G3048" s="9">
        <f t="shared" si="144"/>
        <v>6.9644395897069172E-3</v>
      </c>
    </row>
    <row r="3049" spans="1:7" x14ac:dyDescent="0.2">
      <c r="A3049" s="12">
        <v>41317</v>
      </c>
      <c r="B3049" s="9">
        <v>1176.68</v>
      </c>
      <c r="C3049" s="9">
        <v>1166.3699999999999</v>
      </c>
      <c r="D3049" s="9">
        <v>1175.98</v>
      </c>
      <c r="E3049" s="9">
        <f t="shared" si="142"/>
        <v>4.2352182403296579E-3</v>
      </c>
      <c r="F3049" s="45">
        <f t="shared" si="143"/>
        <v>6.2500881307615705E-2</v>
      </c>
      <c r="G3049" s="9">
        <f t="shared" si="144"/>
        <v>6.8373599239296683E-3</v>
      </c>
    </row>
    <row r="3050" spans="1:7" x14ac:dyDescent="0.2">
      <c r="A3050" s="12">
        <v>41318</v>
      </c>
      <c r="B3050" s="9">
        <v>1186.02</v>
      </c>
      <c r="C3050" s="9">
        <v>1176.6400000000001</v>
      </c>
      <c r="D3050" s="9">
        <v>1185.46</v>
      </c>
      <c r="E3050" s="9">
        <f t="shared" si="142"/>
        <v>8.0290423874477528E-3</v>
      </c>
      <c r="F3050" s="45">
        <f t="shared" si="143"/>
        <v>4.7948651048915977E-2</v>
      </c>
      <c r="G3050" s="9">
        <f t="shared" si="144"/>
        <v>5.7651243750033608E-3</v>
      </c>
    </row>
    <row r="3051" spans="1:7" x14ac:dyDescent="0.2">
      <c r="A3051" s="12">
        <v>41319</v>
      </c>
      <c r="B3051" s="9">
        <v>1184.55</v>
      </c>
      <c r="C3051" s="9">
        <v>1176.98</v>
      </c>
      <c r="D3051" s="9">
        <v>1182.9100000000001</v>
      </c>
      <c r="E3051" s="9">
        <f t="shared" si="142"/>
        <v>-2.1533805827404938E-3</v>
      </c>
      <c r="F3051" s="45">
        <f t="shared" si="143"/>
        <v>4.5405951945623496E-2</v>
      </c>
      <c r="G3051" s="9">
        <f t="shared" si="144"/>
        <v>5.8020834959330225E-3</v>
      </c>
    </row>
    <row r="3052" spans="1:7" x14ac:dyDescent="0.2">
      <c r="A3052" s="12">
        <v>41320</v>
      </c>
      <c r="B3052" s="9">
        <v>1187.52</v>
      </c>
      <c r="C3052" s="9">
        <v>1180.56</v>
      </c>
      <c r="D3052" s="9">
        <v>1183.43</v>
      </c>
      <c r="E3052" s="9">
        <f t="shared" si="142"/>
        <v>4.3949728979791002E-4</v>
      </c>
      <c r="F3052" s="45">
        <f t="shared" si="143"/>
        <v>4.0226094037358114E-2</v>
      </c>
      <c r="G3052" s="9">
        <f t="shared" si="144"/>
        <v>5.75254790115732E-3</v>
      </c>
    </row>
    <row r="3053" spans="1:7" x14ac:dyDescent="0.2">
      <c r="A3053" s="12">
        <v>41323</v>
      </c>
      <c r="B3053" s="9">
        <v>1186.45</v>
      </c>
      <c r="C3053" s="9">
        <v>1181.0899999999999</v>
      </c>
      <c r="D3053" s="9">
        <v>1185.98</v>
      </c>
      <c r="E3053" s="9">
        <f t="shared" si="142"/>
        <v>2.1524354033346845E-3</v>
      </c>
      <c r="F3053" s="45">
        <f t="shared" si="143"/>
        <v>4.8236766671981901E-2</v>
      </c>
      <c r="G3053" s="9">
        <f t="shared" si="144"/>
        <v>5.5904934109451626E-3</v>
      </c>
    </row>
    <row r="3054" spans="1:7" x14ac:dyDescent="0.2">
      <c r="A3054" s="12">
        <v>41324</v>
      </c>
      <c r="B3054" s="9">
        <v>1193.8</v>
      </c>
      <c r="C3054" s="9">
        <v>1183.79</v>
      </c>
      <c r="D3054" s="9">
        <v>1193.77</v>
      </c>
      <c r="E3054" s="9">
        <f t="shared" si="142"/>
        <v>6.5469295722223103E-3</v>
      </c>
      <c r="F3054" s="45">
        <f t="shared" si="143"/>
        <v>5.8986724351114052E-2</v>
      </c>
      <c r="G3054" s="9">
        <f t="shared" si="144"/>
        <v>5.5495576792449902E-3</v>
      </c>
    </row>
    <row r="3055" spans="1:7" x14ac:dyDescent="0.2">
      <c r="A3055" s="12">
        <v>41325</v>
      </c>
      <c r="B3055" s="9">
        <v>1201.28</v>
      </c>
      <c r="C3055" s="9">
        <v>1191.68</v>
      </c>
      <c r="D3055" s="9">
        <v>1200.54</v>
      </c>
      <c r="E3055" s="9">
        <f t="shared" si="142"/>
        <v>5.6550889751603283E-3</v>
      </c>
      <c r="F3055" s="45">
        <f t="shared" si="143"/>
        <v>6.2617898491974494E-2</v>
      </c>
      <c r="G3055" s="9">
        <f t="shared" si="144"/>
        <v>5.5903087446475229E-3</v>
      </c>
    </row>
    <row r="3056" spans="1:7" x14ac:dyDescent="0.2">
      <c r="A3056" s="12">
        <v>41326</v>
      </c>
      <c r="B3056" s="9">
        <v>1195.1400000000001</v>
      </c>
      <c r="C3056" s="9">
        <v>1184.56</v>
      </c>
      <c r="D3056" s="9">
        <v>1188.95</v>
      </c>
      <c r="E3056" s="9">
        <f t="shared" si="142"/>
        <v>-9.7008908945501737E-3</v>
      </c>
      <c r="F3056" s="45">
        <f t="shared" si="143"/>
        <v>5.3626686763530544E-2</v>
      </c>
      <c r="G3056" s="9">
        <f t="shared" si="144"/>
        <v>5.9733256669900333E-3</v>
      </c>
    </row>
    <row r="3057" spans="1:7" x14ac:dyDescent="0.2">
      <c r="A3057" s="12">
        <v>41327</v>
      </c>
      <c r="B3057" s="9">
        <v>1207.3599999999999</v>
      </c>
      <c r="C3057" s="9">
        <v>1191.26</v>
      </c>
      <c r="D3057" s="9">
        <v>1205.0999999999999</v>
      </c>
      <c r="E3057" s="9">
        <f t="shared" si="142"/>
        <v>1.3491986371439793E-2</v>
      </c>
      <c r="F3057" s="45">
        <f t="shared" si="143"/>
        <v>6.2329252032820442E-2</v>
      </c>
      <c r="G3057" s="9">
        <f t="shared" si="144"/>
        <v>6.3250895330246599E-3</v>
      </c>
    </row>
    <row r="3058" spans="1:7" x14ac:dyDescent="0.2">
      <c r="A3058" s="12">
        <v>41330</v>
      </c>
      <c r="B3058" s="9">
        <v>1212.32</v>
      </c>
      <c r="C3058" s="9">
        <v>1197.9000000000001</v>
      </c>
      <c r="D3058" s="9">
        <v>1199.44</v>
      </c>
      <c r="E3058" s="9">
        <f t="shared" si="142"/>
        <v>-4.7077698466983257E-3</v>
      </c>
      <c r="F3058" s="45">
        <f t="shared" si="143"/>
        <v>5.7127027136138576E-2</v>
      </c>
      <c r="G3058" s="9">
        <f t="shared" si="144"/>
        <v>6.4402537856242687E-3</v>
      </c>
    </row>
    <row r="3059" spans="1:7" x14ac:dyDescent="0.2">
      <c r="A3059" s="12">
        <v>41331</v>
      </c>
      <c r="B3059" s="9">
        <v>1191.67</v>
      </c>
      <c r="C3059" s="9">
        <v>1180.76</v>
      </c>
      <c r="D3059" s="9">
        <v>1180.9000000000001</v>
      </c>
      <c r="E3059" s="9">
        <f t="shared" si="142"/>
        <v>-1.5577921579411728E-2</v>
      </c>
      <c r="F3059" s="45">
        <f t="shared" si="143"/>
        <v>4.62651980901327E-2</v>
      </c>
      <c r="G3059" s="9">
        <f t="shared" si="144"/>
        <v>7.0970941042058141E-3</v>
      </c>
    </row>
    <row r="3060" spans="1:7" x14ac:dyDescent="0.2">
      <c r="A3060" s="12">
        <v>41332</v>
      </c>
      <c r="B3060" s="9">
        <v>1194.1300000000001</v>
      </c>
      <c r="C3060" s="9">
        <v>1178.53</v>
      </c>
      <c r="D3060" s="9">
        <v>1194.07</v>
      </c>
      <c r="E3060" s="9">
        <f t="shared" si="142"/>
        <v>1.1090780092508941E-2</v>
      </c>
      <c r="F3060" s="45">
        <f t="shared" si="143"/>
        <v>5.4601484892744488E-2</v>
      </c>
      <c r="G3060" s="9">
        <f t="shared" si="144"/>
        <v>7.3063111912979707E-3</v>
      </c>
    </row>
    <row r="3061" spans="1:7" x14ac:dyDescent="0.2">
      <c r="A3061" s="12">
        <v>41333</v>
      </c>
      <c r="B3061" s="9">
        <v>1200</v>
      </c>
      <c r="C3061" s="9">
        <v>1192.52</v>
      </c>
      <c r="D3061" s="9">
        <v>1199.4000000000001</v>
      </c>
      <c r="E3061" s="9">
        <f t="shared" si="142"/>
        <v>4.4537920346645323E-3</v>
      </c>
      <c r="F3061" s="45">
        <f t="shared" si="143"/>
        <v>5.4132070611382845E-2</v>
      </c>
      <c r="G3061" s="9">
        <f t="shared" si="144"/>
        <v>7.2999361972103998E-3</v>
      </c>
    </row>
    <row r="3062" spans="1:7" x14ac:dyDescent="0.2">
      <c r="A3062" s="12">
        <v>41334</v>
      </c>
      <c r="B3062" s="9">
        <v>1203.76</v>
      </c>
      <c r="C3062" s="9">
        <v>1189.77</v>
      </c>
      <c r="D3062" s="9">
        <v>1199.21</v>
      </c>
      <c r="E3062" s="9">
        <f t="shared" si="142"/>
        <v>-1.5842508819474205E-4</v>
      </c>
      <c r="F3062" s="45">
        <f t="shared" si="143"/>
        <v>5.50127347405878E-2</v>
      </c>
      <c r="G3062" s="9">
        <f t="shared" si="144"/>
        <v>7.2898710573677016E-3</v>
      </c>
    </row>
    <row r="3063" spans="1:7" x14ac:dyDescent="0.2">
      <c r="A3063" s="12">
        <v>41337</v>
      </c>
      <c r="B3063" s="9">
        <v>1203.6400000000001</v>
      </c>
      <c r="C3063" s="9">
        <v>1190.3699999999999</v>
      </c>
      <c r="D3063" s="9">
        <v>1203.47</v>
      </c>
      <c r="E3063" s="9">
        <f t="shared" si="142"/>
        <v>3.5460439708334093E-3</v>
      </c>
      <c r="F3063" s="45">
        <f t="shared" si="143"/>
        <v>5.147392876460067E-2</v>
      </c>
      <c r="G3063" s="9">
        <f t="shared" si="144"/>
        <v>7.2303595991835452E-3</v>
      </c>
    </row>
    <row r="3064" spans="1:7" x14ac:dyDescent="0.2">
      <c r="A3064" s="12">
        <v>41338</v>
      </c>
      <c r="B3064" s="9">
        <v>1219.22</v>
      </c>
      <c r="C3064" s="9">
        <v>1208.55</v>
      </c>
      <c r="D3064" s="9">
        <v>1217.4100000000001</v>
      </c>
      <c r="E3064" s="9">
        <f t="shared" si="142"/>
        <v>1.1516600636080747E-2</v>
      </c>
      <c r="F3064" s="45">
        <f t="shared" si="143"/>
        <v>6.6443281008069538E-2</v>
      </c>
      <c r="G3064" s="9">
        <f t="shared" si="144"/>
        <v>7.3764241243313598E-3</v>
      </c>
    </row>
    <row r="3065" spans="1:7" x14ac:dyDescent="0.2">
      <c r="A3065" s="12">
        <v>41339</v>
      </c>
      <c r="B3065" s="9">
        <v>1221</v>
      </c>
      <c r="C3065" s="9">
        <v>1208.0999999999999</v>
      </c>
      <c r="D3065" s="9">
        <v>1208.3900000000001</v>
      </c>
      <c r="E3065" s="9">
        <f t="shared" si="142"/>
        <v>-7.4367561803479875E-3</v>
      </c>
      <c r="F3065" s="45">
        <f t="shared" si="143"/>
        <v>5.7541593009623068E-2</v>
      </c>
      <c r="G3065" s="9">
        <f t="shared" si="144"/>
        <v>7.583752655271646E-3</v>
      </c>
    </row>
    <row r="3066" spans="1:7" x14ac:dyDescent="0.2">
      <c r="A3066" s="12">
        <v>41340</v>
      </c>
      <c r="B3066" s="9">
        <v>1213.33</v>
      </c>
      <c r="C3066" s="9">
        <v>1206.07</v>
      </c>
      <c r="D3066" s="9">
        <v>1208.0899999999999</v>
      </c>
      <c r="E3066" s="9">
        <f t="shared" si="142"/>
        <v>-2.4829504199617633E-4</v>
      </c>
      <c r="F3066" s="45">
        <f t="shared" si="143"/>
        <v>5.1951792534451285E-2</v>
      </c>
      <c r="G3066" s="9">
        <f t="shared" si="144"/>
        <v>7.5653870041945464E-3</v>
      </c>
    </row>
    <row r="3067" spans="1:7" x14ac:dyDescent="0.2">
      <c r="A3067" s="12">
        <v>41341</v>
      </c>
      <c r="B3067" s="9">
        <v>1219.83</v>
      </c>
      <c r="C3067" s="9">
        <v>1211.4000000000001</v>
      </c>
      <c r="D3067" s="9">
        <v>1215.1400000000001</v>
      </c>
      <c r="E3067" s="9">
        <f t="shared" si="142"/>
        <v>5.8186964432683811E-3</v>
      </c>
      <c r="F3067" s="45">
        <f t="shared" si="143"/>
        <v>4.7733231601622156E-2</v>
      </c>
      <c r="G3067" s="9">
        <f t="shared" si="144"/>
        <v>7.4439181519129673E-3</v>
      </c>
    </row>
    <row r="3068" spans="1:7" x14ac:dyDescent="0.2">
      <c r="A3068" s="12">
        <v>41344</v>
      </c>
      <c r="B3068" s="9">
        <v>1218.28</v>
      </c>
      <c r="C3068" s="9">
        <v>1212.0999999999999</v>
      </c>
      <c r="D3068" s="9">
        <v>1218.08</v>
      </c>
      <c r="E3068" s="9">
        <f t="shared" si="142"/>
        <v>2.4165520838494749E-3</v>
      </c>
      <c r="F3068" s="45">
        <f t="shared" si="143"/>
        <v>4.8640349436617186E-2</v>
      </c>
      <c r="G3068" s="9">
        <f t="shared" si="144"/>
        <v>7.445417163000431E-3</v>
      </c>
    </row>
    <row r="3069" spans="1:7" x14ac:dyDescent="0.2">
      <c r="A3069" s="12">
        <v>41345</v>
      </c>
      <c r="B3069" s="9">
        <v>1219.5</v>
      </c>
      <c r="C3069" s="9">
        <v>1208.3</v>
      </c>
      <c r="D3069" s="9">
        <v>1208.52</v>
      </c>
      <c r="E3069" s="9">
        <f t="shared" si="142"/>
        <v>-7.8793781098488655E-3</v>
      </c>
      <c r="F3069" s="45">
        <f t="shared" si="143"/>
        <v>3.9279629925413825E-2</v>
      </c>
      <c r="G3069" s="9">
        <f t="shared" si="144"/>
        <v>7.644958299113839E-3</v>
      </c>
    </row>
    <row r="3070" spans="1:7" x14ac:dyDescent="0.2">
      <c r="A3070" s="12">
        <v>41346</v>
      </c>
      <c r="B3070" s="9">
        <v>1211.47</v>
      </c>
      <c r="C3070" s="9">
        <v>1202.99</v>
      </c>
      <c r="D3070" s="9">
        <v>1210.8900000000001</v>
      </c>
      <c r="E3070" s="9">
        <f t="shared" si="142"/>
        <v>1.9591559579093198E-3</v>
      </c>
      <c r="F3070" s="45">
        <f t="shared" si="143"/>
        <v>3.1467153545570989E-2</v>
      </c>
      <c r="G3070" s="9">
        <f t="shared" si="144"/>
        <v>7.4779983349108009E-3</v>
      </c>
    </row>
    <row r="3071" spans="1:7" x14ac:dyDescent="0.2">
      <c r="A3071" s="12">
        <v>41347</v>
      </c>
      <c r="B3071" s="9">
        <v>1222.8</v>
      </c>
      <c r="C3071" s="9">
        <v>1214.8800000000001</v>
      </c>
      <c r="D3071" s="9">
        <v>1221.8499999999999</v>
      </c>
      <c r="E3071" s="9">
        <f t="shared" ref="E3071:E3134" si="145">LN(D3071/D3070)</f>
        <v>9.0104772003953802E-3</v>
      </c>
      <c r="F3071" s="45">
        <f t="shared" si="143"/>
        <v>4.4072008268416535E-2</v>
      </c>
      <c r="G3071" s="9">
        <f t="shared" si="144"/>
        <v>7.5617544748454776E-3</v>
      </c>
    </row>
    <row r="3072" spans="1:7" x14ac:dyDescent="0.2">
      <c r="A3072" s="12">
        <v>41348</v>
      </c>
      <c r="B3072" s="9">
        <v>1218.99</v>
      </c>
      <c r="C3072" s="9">
        <v>1213.82</v>
      </c>
      <c r="D3072" s="9">
        <v>1217.3499999999999</v>
      </c>
      <c r="E3072" s="9">
        <f t="shared" si="145"/>
        <v>-3.6897385251825907E-3</v>
      </c>
      <c r="F3072" s="45">
        <f t="shared" si="143"/>
        <v>3.4463982581988836E-2</v>
      </c>
      <c r="G3072" s="9">
        <f t="shared" si="144"/>
        <v>7.5702784673089378E-3</v>
      </c>
    </row>
    <row r="3073" spans="1:7" x14ac:dyDescent="0.2">
      <c r="A3073" s="12">
        <v>41351</v>
      </c>
      <c r="B3073" s="9">
        <v>1211.8499999999999</v>
      </c>
      <c r="C3073" s="9">
        <v>1194.83</v>
      </c>
      <c r="D3073" s="9">
        <v>1209.67</v>
      </c>
      <c r="E3073" s="9">
        <f t="shared" si="145"/>
        <v>-6.3287699599619005E-3</v>
      </c>
      <c r="F3073" s="45">
        <f t="shared" si="143"/>
        <v>4.0902253788736728E-2</v>
      </c>
      <c r="G3073" s="9">
        <f t="shared" si="144"/>
        <v>7.2465118350883827E-3</v>
      </c>
    </row>
    <row r="3074" spans="1:7" x14ac:dyDescent="0.2">
      <c r="A3074" s="12">
        <v>41352</v>
      </c>
      <c r="B3074" s="9">
        <v>1210.19</v>
      </c>
      <c r="C3074" s="9">
        <v>1195.3900000000001</v>
      </c>
      <c r="D3074" s="9">
        <v>1195.98</v>
      </c>
      <c r="E3074" s="9">
        <f t="shared" si="145"/>
        <v>-1.1381662158484412E-2</v>
      </c>
      <c r="F3074" s="45">
        <f t="shared" si="143"/>
        <v>1.723831648838656E-2</v>
      </c>
      <c r="G3074" s="9">
        <f t="shared" si="144"/>
        <v>7.3046871835995607E-3</v>
      </c>
    </row>
    <row r="3075" spans="1:7" x14ac:dyDescent="0.2">
      <c r="A3075" s="12">
        <v>41353</v>
      </c>
      <c r="B3075" s="9">
        <v>1205.83</v>
      </c>
      <c r="C3075" s="9">
        <v>1198.05</v>
      </c>
      <c r="D3075" s="9">
        <v>1203.0999999999999</v>
      </c>
      <c r="E3075" s="9">
        <f t="shared" si="145"/>
        <v>5.9356260767494959E-3</v>
      </c>
      <c r="F3075" s="45">
        <f t="shared" si="143"/>
        <v>2.381215083840561E-2</v>
      </c>
      <c r="G3075" s="9">
        <f t="shared" si="144"/>
        <v>7.3653996279592964E-3</v>
      </c>
    </row>
    <row r="3076" spans="1:7" x14ac:dyDescent="0.2">
      <c r="A3076" s="12">
        <v>41354</v>
      </c>
      <c r="B3076" s="9">
        <v>1198.48</v>
      </c>
      <c r="C3076" s="9">
        <v>1183.6300000000001</v>
      </c>
      <c r="D3076" s="9">
        <v>1187.72</v>
      </c>
      <c r="E3076" s="9">
        <f t="shared" si="145"/>
        <v>-1.2866056131887321E-2</v>
      </c>
      <c r="F3076" s="45">
        <f t="shared" si="143"/>
        <v>1.8705159482098575E-2</v>
      </c>
      <c r="G3076" s="9">
        <f t="shared" si="144"/>
        <v>7.624358433414035E-3</v>
      </c>
    </row>
    <row r="3077" spans="1:7" x14ac:dyDescent="0.2">
      <c r="A3077" s="12">
        <v>41355</v>
      </c>
      <c r="B3077" s="9">
        <v>1196.98</v>
      </c>
      <c r="C3077" s="9">
        <v>1179.75</v>
      </c>
      <c r="D3077" s="9">
        <v>1196.43</v>
      </c>
      <c r="E3077" s="9">
        <f t="shared" si="145"/>
        <v>7.3066197595004186E-3</v>
      </c>
      <c r="F3077" s="45">
        <f t="shared" si="143"/>
        <v>1.8031422802704616E-2</v>
      </c>
      <c r="G3077" s="9">
        <f t="shared" si="144"/>
        <v>7.6029033329851701E-3</v>
      </c>
    </row>
    <row r="3078" spans="1:7" x14ac:dyDescent="0.2">
      <c r="A3078" s="12">
        <v>41358</v>
      </c>
      <c r="B3078" s="9">
        <v>1206.78</v>
      </c>
      <c r="C3078" s="9">
        <v>1191.5</v>
      </c>
      <c r="D3078" s="9">
        <v>1195.58</v>
      </c>
      <c r="E3078" s="9">
        <f t="shared" si="145"/>
        <v>-7.1069939990018986E-4</v>
      </c>
      <c r="F3078" s="45">
        <f t="shared" si="143"/>
        <v>2.0764798996287463E-2</v>
      </c>
      <c r="G3078" s="9">
        <f t="shared" si="144"/>
        <v>7.5690582666446153E-3</v>
      </c>
    </row>
    <row r="3079" spans="1:7" x14ac:dyDescent="0.2">
      <c r="A3079" s="12">
        <v>41359</v>
      </c>
      <c r="B3079" s="9">
        <v>1199.9100000000001</v>
      </c>
      <c r="C3079" s="9">
        <v>1192.3499999999999</v>
      </c>
      <c r="D3079" s="9">
        <v>1194.99</v>
      </c>
      <c r="E3079" s="9">
        <f t="shared" si="145"/>
        <v>-4.9360613743099611E-4</v>
      </c>
      <c r="F3079" s="45">
        <f t="shared" si="143"/>
        <v>1.6035974618526794E-2</v>
      </c>
      <c r="G3079" s="9">
        <f t="shared" si="144"/>
        <v>7.5419197110900629E-3</v>
      </c>
    </row>
    <row r="3080" spans="1:7" x14ac:dyDescent="0.2">
      <c r="A3080" s="12">
        <v>41360</v>
      </c>
      <c r="B3080" s="9">
        <v>1200.2</v>
      </c>
      <c r="C3080" s="9">
        <v>1185.06</v>
      </c>
      <c r="D3080" s="9">
        <v>1194.49</v>
      </c>
      <c r="E3080" s="9">
        <f t="shared" si="145"/>
        <v>-4.1850110258103508E-4</v>
      </c>
      <c r="F3080" s="45">
        <f t="shared" si="143"/>
        <v>7.588431128498014E-3</v>
      </c>
      <c r="G3080" s="9">
        <f t="shared" si="144"/>
        <v>7.4089831998324085E-3</v>
      </c>
    </row>
    <row r="3081" spans="1:7" x14ac:dyDescent="0.2">
      <c r="A3081" s="12">
        <v>41361</v>
      </c>
      <c r="B3081" s="9">
        <v>1203.44</v>
      </c>
      <c r="C3081" s="9">
        <v>1192.75</v>
      </c>
      <c r="D3081" s="9">
        <v>1201.19</v>
      </c>
      <c r="E3081" s="9">
        <f t="shared" si="145"/>
        <v>5.5934160390175153E-3</v>
      </c>
      <c r="F3081" s="45">
        <f t="shared" si="143"/>
        <v>1.5335227750255899E-2</v>
      </c>
      <c r="G3081" s="9">
        <f t="shared" si="144"/>
        <v>7.457067203896205E-3</v>
      </c>
    </row>
    <row r="3082" spans="1:7" x14ac:dyDescent="0.2">
      <c r="A3082" s="12">
        <v>41366</v>
      </c>
      <c r="B3082" s="9">
        <v>1211.25</v>
      </c>
      <c r="C3082" s="9">
        <v>1200.9000000000001</v>
      </c>
      <c r="D3082" s="9">
        <v>1210.08</v>
      </c>
      <c r="E3082" s="9">
        <f t="shared" si="145"/>
        <v>7.3737410415220441E-3</v>
      </c>
      <c r="F3082" s="45">
        <f t="shared" si="143"/>
        <v>2.2269471501980186E-2</v>
      </c>
      <c r="G3082" s="9">
        <f t="shared" si="144"/>
        <v>7.5615054632943617E-3</v>
      </c>
    </row>
    <row r="3083" spans="1:7" x14ac:dyDescent="0.2">
      <c r="A3083" s="12">
        <v>41367</v>
      </c>
      <c r="B3083" s="9">
        <v>1210.3599999999999</v>
      </c>
      <c r="C3083" s="9">
        <v>1201.01</v>
      </c>
      <c r="D3083" s="9">
        <v>1203.3800000000001</v>
      </c>
      <c r="E3083" s="9">
        <f t="shared" si="145"/>
        <v>-5.5522090374373187E-3</v>
      </c>
      <c r="F3083" s="45">
        <f t="shared" si="143"/>
        <v>1.4564827061208275E-2</v>
      </c>
      <c r="G3083" s="9">
        <f t="shared" si="144"/>
        <v>7.6423693460528873E-3</v>
      </c>
    </row>
    <row r="3084" spans="1:7" x14ac:dyDescent="0.2">
      <c r="A3084" s="12">
        <v>41368</v>
      </c>
      <c r="B3084" s="9">
        <v>1201.46</v>
      </c>
      <c r="C3084" s="9">
        <v>1179.82</v>
      </c>
      <c r="D3084" s="9">
        <v>1183.01</v>
      </c>
      <c r="E3084" s="9">
        <f t="shared" si="145"/>
        <v>-1.7072226042246189E-2</v>
      </c>
      <c r="F3084" s="45">
        <f t="shared" si="143"/>
        <v>-9.0543285532603181E-3</v>
      </c>
      <c r="G3084" s="9">
        <f t="shared" si="144"/>
        <v>8.1931542633241414E-3</v>
      </c>
    </row>
    <row r="3085" spans="1:7" x14ac:dyDescent="0.2">
      <c r="A3085" s="12">
        <v>41369</v>
      </c>
      <c r="B3085" s="9">
        <v>1184.8</v>
      </c>
      <c r="C3085" s="9">
        <v>1162.07</v>
      </c>
      <c r="D3085" s="9">
        <v>1168.79</v>
      </c>
      <c r="E3085" s="9">
        <f t="shared" si="145"/>
        <v>-1.2093012411856858E-2</v>
      </c>
      <c r="F3085" s="45">
        <f t="shared" si="143"/>
        <v>-2.6802429940277418E-2</v>
      </c>
      <c r="G3085" s="9">
        <f t="shared" si="144"/>
        <v>8.3866755261924174E-3</v>
      </c>
    </row>
    <row r="3086" spans="1:7" x14ac:dyDescent="0.2">
      <c r="A3086" s="12">
        <v>41372</v>
      </c>
      <c r="B3086" s="9">
        <v>1177.83</v>
      </c>
      <c r="C3086" s="9">
        <v>1162.0899999999999</v>
      </c>
      <c r="D3086" s="9">
        <v>1164.8499999999999</v>
      </c>
      <c r="E3086" s="9">
        <f t="shared" si="145"/>
        <v>-3.3767022708685677E-3</v>
      </c>
      <c r="F3086" s="45">
        <f t="shared" si="143"/>
        <v>-2.0478241316595799E-2</v>
      </c>
      <c r="G3086" s="9">
        <f t="shared" si="144"/>
        <v>8.2357826542674064E-3</v>
      </c>
    </row>
    <row r="3087" spans="1:7" x14ac:dyDescent="0.2">
      <c r="A3087" s="12">
        <v>41373</v>
      </c>
      <c r="B3087" s="9">
        <v>1178.4000000000001</v>
      </c>
      <c r="C3087" s="9">
        <v>1169.3800000000001</v>
      </c>
      <c r="D3087" s="9">
        <v>1175.6199999999999</v>
      </c>
      <c r="E3087" s="9">
        <f t="shared" si="145"/>
        <v>9.2033446440553113E-3</v>
      </c>
      <c r="F3087" s="45">
        <f t="shared" si="143"/>
        <v>-2.476688304398025E-2</v>
      </c>
      <c r="G3087" s="9">
        <f t="shared" si="144"/>
        <v>8.0155349468377067E-3</v>
      </c>
    </row>
    <row r="3088" spans="1:7" x14ac:dyDescent="0.2">
      <c r="A3088" s="12">
        <v>41374</v>
      </c>
      <c r="B3088" s="9">
        <v>1194.67</v>
      </c>
      <c r="C3088" s="9">
        <v>1175.73</v>
      </c>
      <c r="D3088" s="9">
        <v>1193.6600000000001</v>
      </c>
      <c r="E3088" s="9">
        <f t="shared" si="145"/>
        <v>1.522854929324689E-2</v>
      </c>
      <c r="F3088" s="45">
        <f t="shared" si="143"/>
        <v>-4.8305639040349653E-3</v>
      </c>
      <c r="G3088" s="9">
        <f t="shared" si="144"/>
        <v>8.4946831964202597E-3</v>
      </c>
    </row>
    <row r="3089" spans="1:7" x14ac:dyDescent="0.2">
      <c r="A3089" s="12">
        <v>41375</v>
      </c>
      <c r="B3089" s="9">
        <v>1197.3699999999999</v>
      </c>
      <c r="C3089" s="9">
        <v>1190.44</v>
      </c>
      <c r="D3089" s="9">
        <v>1195.53</v>
      </c>
      <c r="E3089" s="9">
        <f t="shared" si="145"/>
        <v>1.5653844038006513E-3</v>
      </c>
      <c r="F3089" s="45">
        <f t="shared" si="143"/>
        <v>1.2312742079177546E-2</v>
      </c>
      <c r="G3089" s="9">
        <f t="shared" si="144"/>
        <v>7.9830267807584916E-3</v>
      </c>
    </row>
    <row r="3090" spans="1:7" x14ac:dyDescent="0.2">
      <c r="A3090" s="12">
        <v>41376</v>
      </c>
      <c r="B3090" s="9">
        <v>1192.4000000000001</v>
      </c>
      <c r="C3090" s="9">
        <v>1183.3399999999999</v>
      </c>
      <c r="D3090" s="9">
        <v>1185.33</v>
      </c>
      <c r="E3090" s="9">
        <f t="shared" si="145"/>
        <v>-8.5683848731635554E-3</v>
      </c>
      <c r="F3090" s="45">
        <f t="shared" si="143"/>
        <v>-7.3464228864950276E-3</v>
      </c>
      <c r="G3090" s="9">
        <f t="shared" si="144"/>
        <v>7.8823221098013093E-3</v>
      </c>
    </row>
    <row r="3091" spans="1:7" x14ac:dyDescent="0.2">
      <c r="A3091" s="12">
        <v>41379</v>
      </c>
      <c r="B3091" s="9">
        <v>1186.94</v>
      </c>
      <c r="C3091" s="9">
        <v>1168.57</v>
      </c>
      <c r="D3091" s="9">
        <v>1177.6099999999999</v>
      </c>
      <c r="E3091" s="9">
        <f t="shared" si="145"/>
        <v>-6.5342560268676596E-3</v>
      </c>
      <c r="F3091" s="45">
        <f t="shared" si="143"/>
        <v>-1.8334470948027207E-2</v>
      </c>
      <c r="G3091" s="9">
        <f t="shared" si="144"/>
        <v>7.9116962635859024E-3</v>
      </c>
    </row>
    <row r="3092" spans="1:7" x14ac:dyDescent="0.2">
      <c r="A3092" s="12">
        <v>41380</v>
      </c>
      <c r="B3092" s="9">
        <v>1177.2</v>
      </c>
      <c r="C3092" s="9">
        <v>1164.4000000000001</v>
      </c>
      <c r="D3092" s="9">
        <v>1167.48</v>
      </c>
      <c r="E3092" s="9">
        <f t="shared" si="145"/>
        <v>-8.6393810110456572E-3</v>
      </c>
      <c r="F3092" s="45">
        <f t="shared" si="143"/>
        <v>-2.6815426870877998E-2</v>
      </c>
      <c r="G3092" s="9">
        <f t="shared" si="144"/>
        <v>8.0453524626888998E-3</v>
      </c>
    </row>
    <row r="3093" spans="1:7" x14ac:dyDescent="0.2">
      <c r="A3093" s="12">
        <v>41381</v>
      </c>
      <c r="B3093" s="9">
        <v>1171.06</v>
      </c>
      <c r="C3093" s="9">
        <v>1146.52</v>
      </c>
      <c r="D3093" s="9">
        <v>1147.48</v>
      </c>
      <c r="E3093" s="9">
        <f t="shared" si="145"/>
        <v>-1.7279346186426327E-2</v>
      </c>
      <c r="F3093" s="45">
        <f t="shared" si="143"/>
        <v>-4.7640817028137723E-2</v>
      </c>
      <c r="G3093" s="9">
        <f t="shared" si="144"/>
        <v>8.5327332344207196E-3</v>
      </c>
    </row>
    <row r="3094" spans="1:7" x14ac:dyDescent="0.2">
      <c r="A3094" s="12">
        <v>41382</v>
      </c>
      <c r="B3094" s="9">
        <v>1155.47</v>
      </c>
      <c r="C3094" s="9">
        <v>1140.69</v>
      </c>
      <c r="D3094" s="9">
        <v>1146.6500000000001</v>
      </c>
      <c r="E3094" s="9">
        <f t="shared" si="145"/>
        <v>-7.2358587892924981E-4</v>
      </c>
      <c r="F3094" s="45">
        <f t="shared" si="143"/>
        <v>-5.9881003543147737E-2</v>
      </c>
      <c r="G3094" s="9">
        <f t="shared" si="144"/>
        <v>8.1694140930391613E-3</v>
      </c>
    </row>
    <row r="3095" spans="1:7" x14ac:dyDescent="0.2">
      <c r="A3095" s="12">
        <v>41383</v>
      </c>
      <c r="B3095" s="9">
        <v>1153.99</v>
      </c>
      <c r="C3095" s="9">
        <v>1143.46</v>
      </c>
      <c r="D3095" s="9">
        <v>1147.31</v>
      </c>
      <c r="E3095" s="9">
        <f t="shared" si="145"/>
        <v>5.7542417322977248E-4</v>
      </c>
      <c r="F3095" s="45">
        <f t="shared" si="143"/>
        <v>-5.1868823189569938E-2</v>
      </c>
      <c r="G3095" s="9">
        <f t="shared" si="144"/>
        <v>8.116206792198561E-3</v>
      </c>
    </row>
    <row r="3096" spans="1:7" x14ac:dyDescent="0.2">
      <c r="A3096" s="12">
        <v>41386</v>
      </c>
      <c r="B3096" s="9">
        <v>1158.29</v>
      </c>
      <c r="C3096" s="9">
        <v>1142.81</v>
      </c>
      <c r="D3096" s="9">
        <v>1143.3</v>
      </c>
      <c r="E3096" s="9">
        <f t="shared" si="145"/>
        <v>-3.5012543352866189E-3</v>
      </c>
      <c r="F3096" s="45">
        <f t="shared" si="143"/>
        <v>-5.5121782482860406E-2</v>
      </c>
      <c r="G3096" s="9">
        <f t="shared" si="144"/>
        <v>8.1174726336353756E-3</v>
      </c>
    </row>
    <row r="3097" spans="1:7" x14ac:dyDescent="0.2">
      <c r="A3097" s="12">
        <v>41387</v>
      </c>
      <c r="B3097" s="9">
        <v>1172.79</v>
      </c>
      <c r="C3097" s="9">
        <v>1143.83</v>
      </c>
      <c r="D3097" s="9">
        <v>1172.79</v>
      </c>
      <c r="E3097" s="9">
        <f t="shared" si="145"/>
        <v>2.5466707945109752E-2</v>
      </c>
      <c r="F3097" s="45">
        <f t="shared" si="143"/>
        <v>-3.5473770981018976E-2</v>
      </c>
      <c r="G3097" s="9">
        <f t="shared" si="144"/>
        <v>9.441174613852809E-3</v>
      </c>
    </row>
    <row r="3098" spans="1:7" x14ac:dyDescent="0.2">
      <c r="A3098" s="12">
        <v>41388</v>
      </c>
      <c r="B3098" s="9">
        <v>1176.9100000000001</v>
      </c>
      <c r="C3098" s="9">
        <v>1161.05</v>
      </c>
      <c r="D3098" s="9">
        <v>1176.9100000000001</v>
      </c>
      <c r="E3098" s="9">
        <f t="shared" si="145"/>
        <v>3.5068342531161655E-3</v>
      </c>
      <c r="F3098" s="45">
        <f t="shared" si="143"/>
        <v>-3.4383488811752176E-2</v>
      </c>
      <c r="G3098" s="9">
        <f t="shared" si="144"/>
        <v>9.4575905133929185E-3</v>
      </c>
    </row>
    <row r="3099" spans="1:7" x14ac:dyDescent="0.2">
      <c r="A3099" s="12">
        <v>41389</v>
      </c>
      <c r="B3099" s="9">
        <v>1198.33</v>
      </c>
      <c r="C3099" s="9">
        <v>1174.6600000000001</v>
      </c>
      <c r="D3099" s="9">
        <v>1194.8599999999999</v>
      </c>
      <c r="E3099" s="9">
        <f t="shared" si="145"/>
        <v>1.513666394458418E-2</v>
      </c>
      <c r="F3099" s="45">
        <f t="shared" si="143"/>
        <v>-1.1367446757319096E-2</v>
      </c>
      <c r="G3099" s="9">
        <f t="shared" si="144"/>
        <v>9.8191732026539323E-3</v>
      </c>
    </row>
    <row r="3100" spans="1:7" x14ac:dyDescent="0.2">
      <c r="A3100" s="12">
        <v>41390</v>
      </c>
      <c r="B3100" s="9">
        <v>1196.55</v>
      </c>
      <c r="C3100" s="9">
        <v>1186.75</v>
      </c>
      <c r="D3100" s="9">
        <v>1194.6600000000001</v>
      </c>
      <c r="E3100" s="9">
        <f t="shared" si="145"/>
        <v>-1.673976367360804E-4</v>
      </c>
      <c r="F3100" s="45">
        <f t="shared" si="143"/>
        <v>-1.3494000351964542E-2</v>
      </c>
      <c r="G3100" s="9">
        <f t="shared" si="144"/>
        <v>9.8093834956406896E-3</v>
      </c>
    </row>
    <row r="3101" spans="1:7" x14ac:dyDescent="0.2">
      <c r="A3101" s="12">
        <v>41393</v>
      </c>
      <c r="B3101" s="9">
        <v>1200.2</v>
      </c>
      <c r="C3101" s="9">
        <v>1188.3800000000001</v>
      </c>
      <c r="D3101" s="9">
        <v>1198.1099999999999</v>
      </c>
      <c r="E3101" s="9">
        <f t="shared" si="145"/>
        <v>2.8836891057248751E-3</v>
      </c>
      <c r="F3101" s="45">
        <f t="shared" si="143"/>
        <v>-1.9620788446635135E-2</v>
      </c>
      <c r="G3101" s="9">
        <f t="shared" si="144"/>
        <v>9.668398908315598E-3</v>
      </c>
    </row>
    <row r="3102" spans="1:7" x14ac:dyDescent="0.2">
      <c r="A3102" s="12">
        <v>41394</v>
      </c>
      <c r="B3102" s="9">
        <v>1204.04</v>
      </c>
      <c r="C3102" s="9">
        <v>1198.33</v>
      </c>
      <c r="D3102" s="9">
        <v>1198.99</v>
      </c>
      <c r="E3102" s="9">
        <f t="shared" si="145"/>
        <v>7.3422054944114823E-4</v>
      </c>
      <c r="F3102" s="45">
        <f t="shared" si="143"/>
        <v>-1.5196829372011379E-2</v>
      </c>
      <c r="G3102" s="9">
        <f t="shared" si="144"/>
        <v>9.654228100063748E-3</v>
      </c>
    </row>
    <row r="3103" spans="1:7" x14ac:dyDescent="0.2">
      <c r="A3103" s="12">
        <v>41396</v>
      </c>
      <c r="B3103" s="9">
        <v>1197.0999999999999</v>
      </c>
      <c r="C3103" s="9">
        <v>1186.79</v>
      </c>
      <c r="D3103" s="9">
        <v>1194.42</v>
      </c>
      <c r="E3103" s="9">
        <f t="shared" si="145"/>
        <v>-3.818823815267108E-3</v>
      </c>
      <c r="F3103" s="45">
        <f t="shared" si="143"/>
        <v>-1.2686883227316535E-2</v>
      </c>
      <c r="G3103" s="9">
        <f t="shared" si="144"/>
        <v>9.6128191340073034E-3</v>
      </c>
    </row>
    <row r="3104" spans="1:7" x14ac:dyDescent="0.2">
      <c r="A3104" s="12">
        <v>41397</v>
      </c>
      <c r="B3104" s="9">
        <v>1208.6099999999999</v>
      </c>
      <c r="C3104" s="9">
        <v>1190.94</v>
      </c>
      <c r="D3104" s="9">
        <v>1203.3399999999999</v>
      </c>
      <c r="E3104" s="9">
        <f t="shared" si="145"/>
        <v>7.4403119157780582E-3</v>
      </c>
      <c r="F3104" s="45">
        <f t="shared" si="143"/>
        <v>6.1350908469457897E-3</v>
      </c>
      <c r="G3104" s="9">
        <f t="shared" si="144"/>
        <v>9.4863042041973683E-3</v>
      </c>
    </row>
    <row r="3105" spans="1:7" x14ac:dyDescent="0.2">
      <c r="A3105" s="12">
        <v>41400</v>
      </c>
      <c r="B3105" s="9">
        <v>1207.2</v>
      </c>
      <c r="C3105" s="9">
        <v>1200</v>
      </c>
      <c r="D3105" s="9">
        <v>1205.17</v>
      </c>
      <c r="E3105" s="9">
        <f t="shared" si="145"/>
        <v>1.5196120025711215E-3</v>
      </c>
      <c r="F3105" s="45">
        <f t="shared" ref="F3105:F3168" si="146">LN(D3105/D3075)</f>
        <v>1.7190767727676226E-3</v>
      </c>
      <c r="G3105" s="9">
        <f t="shared" ref="G3105:G3168" si="147">STDEV(E3076:E3105)</f>
        <v>9.4283921126312661E-3</v>
      </c>
    </row>
    <row r="3106" spans="1:7" x14ac:dyDescent="0.2">
      <c r="A3106" s="12">
        <v>41401</v>
      </c>
      <c r="B3106" s="9">
        <v>1215.1400000000001</v>
      </c>
      <c r="C3106" s="9">
        <v>1207.19</v>
      </c>
      <c r="D3106" s="9">
        <v>1208.0999999999999</v>
      </c>
      <c r="E3106" s="9">
        <f t="shared" si="145"/>
        <v>2.4282417132717947E-3</v>
      </c>
      <c r="F3106" s="45">
        <f t="shared" si="146"/>
        <v>1.7013374617926638E-2</v>
      </c>
      <c r="G3106" s="9">
        <f t="shared" si="147"/>
        <v>9.1137518766167425E-3</v>
      </c>
    </row>
    <row r="3107" spans="1:7" x14ac:dyDescent="0.2">
      <c r="A3107" s="12">
        <v>41402</v>
      </c>
      <c r="B3107" s="9">
        <v>1221.83</v>
      </c>
      <c r="C3107" s="9">
        <v>1209.27</v>
      </c>
      <c r="D3107" s="9">
        <v>1221.83</v>
      </c>
      <c r="E3107" s="9">
        <f t="shared" si="145"/>
        <v>1.1300857325519963E-2</v>
      </c>
      <c r="F3107" s="45">
        <f t="shared" si="146"/>
        <v>2.1007612183946357E-2</v>
      </c>
      <c r="G3107" s="9">
        <f t="shared" si="147"/>
        <v>9.2438502333781845E-3</v>
      </c>
    </row>
    <row r="3108" spans="1:7" x14ac:dyDescent="0.2">
      <c r="A3108" s="12">
        <v>41404</v>
      </c>
      <c r="B3108" s="9">
        <v>1232.8499999999999</v>
      </c>
      <c r="C3108" s="9">
        <v>1223.3699999999999</v>
      </c>
      <c r="D3108" s="9">
        <v>1227.31</v>
      </c>
      <c r="E3108" s="9">
        <f t="shared" si="145"/>
        <v>4.4750476863122607E-3</v>
      </c>
      <c r="F3108" s="45">
        <f t="shared" si="146"/>
        <v>2.6193359270158527E-2</v>
      </c>
      <c r="G3108" s="9">
        <f t="shared" si="147"/>
        <v>9.2650178712103803E-3</v>
      </c>
    </row>
    <row r="3109" spans="1:7" x14ac:dyDescent="0.2">
      <c r="A3109" s="12">
        <v>41407</v>
      </c>
      <c r="B3109" s="9">
        <v>1230.48</v>
      </c>
      <c r="C3109" s="9">
        <v>1220.81</v>
      </c>
      <c r="D3109" s="9">
        <v>1223.8900000000001</v>
      </c>
      <c r="E3109" s="9">
        <f t="shared" si="145"/>
        <v>-2.7904717846103043E-3</v>
      </c>
      <c r="F3109" s="45">
        <f t="shared" si="146"/>
        <v>2.3896493622979305E-2</v>
      </c>
      <c r="G3109" s="9">
        <f t="shared" si="147"/>
        <v>9.286167322995597E-3</v>
      </c>
    </row>
    <row r="3110" spans="1:7" x14ac:dyDescent="0.2">
      <c r="A3110" s="12">
        <v>41408</v>
      </c>
      <c r="B3110" s="9">
        <v>1225.98</v>
      </c>
      <c r="C3110" s="9">
        <v>1218.3499999999999</v>
      </c>
      <c r="D3110" s="9">
        <v>1224.8499999999999</v>
      </c>
      <c r="E3110" s="9">
        <f t="shared" si="145"/>
        <v>7.8407674900712572E-4</v>
      </c>
      <c r="F3110" s="45">
        <f t="shared" si="146"/>
        <v>2.5099071474567504E-2</v>
      </c>
      <c r="G3110" s="9">
        <f t="shared" si="147"/>
        <v>9.2833365795575579E-3</v>
      </c>
    </row>
    <row r="3111" spans="1:7" x14ac:dyDescent="0.2">
      <c r="A3111" s="12">
        <v>41409</v>
      </c>
      <c r="B3111" s="9">
        <v>1230.4000000000001</v>
      </c>
      <c r="C3111" s="9">
        <v>1222.9100000000001</v>
      </c>
      <c r="D3111" s="9">
        <v>1230.1199999999999</v>
      </c>
      <c r="E3111" s="9">
        <f t="shared" si="145"/>
        <v>4.2933380815631823E-3</v>
      </c>
      <c r="F3111" s="45">
        <f t="shared" si="146"/>
        <v>2.3798993517113273E-2</v>
      </c>
      <c r="G3111" s="9">
        <f t="shared" si="147"/>
        <v>9.2633785739841597E-3</v>
      </c>
    </row>
    <row r="3112" spans="1:7" x14ac:dyDescent="0.2">
      <c r="A3112" s="12">
        <v>41410</v>
      </c>
      <c r="B3112" s="9">
        <v>1239.9100000000001</v>
      </c>
      <c r="C3112" s="9">
        <v>1228.82</v>
      </c>
      <c r="D3112" s="9">
        <v>1235</v>
      </c>
      <c r="E3112" s="9">
        <f t="shared" si="145"/>
        <v>3.9592444787671915E-3</v>
      </c>
      <c r="F3112" s="45">
        <f t="shared" si="146"/>
        <v>2.0384496954358219E-2</v>
      </c>
      <c r="G3112" s="9">
        <f t="shared" si="147"/>
        <v>9.2005016129811275E-3</v>
      </c>
    </row>
    <row r="3113" spans="1:7" x14ac:dyDescent="0.2">
      <c r="A3113" s="12">
        <v>41411</v>
      </c>
      <c r="B3113" s="9">
        <v>1244.67</v>
      </c>
      <c r="C3113" s="9">
        <v>1232.53</v>
      </c>
      <c r="D3113" s="9">
        <v>1244.25</v>
      </c>
      <c r="E3113" s="9">
        <f t="shared" si="145"/>
        <v>7.4619686765860244E-3</v>
      </c>
      <c r="F3113" s="45">
        <f t="shared" si="146"/>
        <v>3.3398674668381582E-2</v>
      </c>
      <c r="G3113" s="9">
        <f t="shared" si="147"/>
        <v>9.2033542627183683E-3</v>
      </c>
    </row>
    <row r="3114" spans="1:7" x14ac:dyDescent="0.2">
      <c r="A3114" s="12">
        <v>41414</v>
      </c>
      <c r="B3114" s="9">
        <v>1250.0999999999999</v>
      </c>
      <c r="C3114" s="9">
        <v>1240.04</v>
      </c>
      <c r="D3114" s="9">
        <v>1243.3699999999999</v>
      </c>
      <c r="E3114" s="9">
        <f t="shared" si="145"/>
        <v>-7.0750358712979222E-4</v>
      </c>
      <c r="F3114" s="45">
        <f t="shared" si="146"/>
        <v>4.9763397123498039E-2</v>
      </c>
      <c r="G3114" s="9">
        <f t="shared" si="147"/>
        <v>8.5501072374141278E-3</v>
      </c>
    </row>
    <row r="3115" spans="1:7" x14ac:dyDescent="0.2">
      <c r="A3115" s="12">
        <v>41415</v>
      </c>
      <c r="B3115" s="9">
        <v>1248.1600000000001</v>
      </c>
      <c r="C3115" s="9">
        <v>1236.31</v>
      </c>
      <c r="D3115" s="9">
        <v>1248.1400000000001</v>
      </c>
      <c r="E3115" s="9">
        <f t="shared" si="145"/>
        <v>3.8290079733705566E-3</v>
      </c>
      <c r="F3115" s="45">
        <f t="shared" si="146"/>
        <v>6.568541750872546E-2</v>
      </c>
      <c r="G3115" s="9">
        <f t="shared" si="147"/>
        <v>8.1519479786809363E-3</v>
      </c>
    </row>
    <row r="3116" spans="1:7" x14ac:dyDescent="0.2">
      <c r="A3116" s="12">
        <v>41416</v>
      </c>
      <c r="B3116" s="9">
        <v>1257.56</v>
      </c>
      <c r="C3116" s="9">
        <v>1246.28</v>
      </c>
      <c r="D3116" s="9">
        <v>1254.57</v>
      </c>
      <c r="E3116" s="9">
        <f t="shared" si="145"/>
        <v>5.1384412480160223E-3</v>
      </c>
      <c r="F3116" s="45">
        <f t="shared" si="146"/>
        <v>7.4200561027609996E-2</v>
      </c>
      <c r="G3116" s="9">
        <f t="shared" si="147"/>
        <v>8.099531504152116E-3</v>
      </c>
    </row>
    <row r="3117" spans="1:7" x14ac:dyDescent="0.2">
      <c r="A3117" s="12">
        <v>41417</v>
      </c>
      <c r="B3117" s="9">
        <v>1234.17</v>
      </c>
      <c r="C3117" s="9">
        <v>1216.05</v>
      </c>
      <c r="D3117" s="9">
        <v>1224.45</v>
      </c>
      <c r="E3117" s="9">
        <f t="shared" si="145"/>
        <v>-2.4301120807445644E-2</v>
      </c>
      <c r="F3117" s="45">
        <f t="shared" si="146"/>
        <v>4.0696095576108829E-2</v>
      </c>
      <c r="G3117" s="9">
        <f t="shared" si="147"/>
        <v>9.3525419660941984E-3</v>
      </c>
    </row>
    <row r="3118" spans="1:7" x14ac:dyDescent="0.2">
      <c r="A3118" s="12">
        <v>41418</v>
      </c>
      <c r="B3118" s="9">
        <v>1231.29</v>
      </c>
      <c r="C3118" s="9">
        <v>1214.82</v>
      </c>
      <c r="D3118" s="9">
        <v>1217.06</v>
      </c>
      <c r="E3118" s="9">
        <f t="shared" si="145"/>
        <v>-6.0536492320135363E-3</v>
      </c>
      <c r="F3118" s="45">
        <f t="shared" si="146"/>
        <v>1.941389705084846E-2</v>
      </c>
      <c r="G3118" s="9">
        <f t="shared" si="147"/>
        <v>9.0668239080241107E-3</v>
      </c>
    </row>
    <row r="3119" spans="1:7" x14ac:dyDescent="0.2">
      <c r="A3119" s="12">
        <v>41421</v>
      </c>
      <c r="B3119" s="9">
        <v>1231.68</v>
      </c>
      <c r="C3119" s="9">
        <v>1220.68</v>
      </c>
      <c r="D3119" s="9">
        <v>1231.68</v>
      </c>
      <c r="E3119" s="9">
        <f t="shared" si="145"/>
        <v>1.1940976761920115E-2</v>
      </c>
      <c r="F3119" s="45">
        <f t="shared" si="146"/>
        <v>2.9789489408967897E-2</v>
      </c>
      <c r="G3119" s="9">
        <f t="shared" si="147"/>
        <v>9.2979992890695456E-3</v>
      </c>
    </row>
    <row r="3120" spans="1:7" x14ac:dyDescent="0.2">
      <c r="A3120" s="12">
        <v>41422</v>
      </c>
      <c r="B3120" s="9">
        <v>1245.8</v>
      </c>
      <c r="C3120" s="9">
        <v>1236.4000000000001</v>
      </c>
      <c r="D3120" s="9">
        <v>1244.04</v>
      </c>
      <c r="E3120" s="9">
        <f t="shared" si="145"/>
        <v>9.9850570276396131E-3</v>
      </c>
      <c r="F3120" s="45">
        <f t="shared" si="146"/>
        <v>4.8342931309771166E-2</v>
      </c>
      <c r="G3120" s="9">
        <f t="shared" si="147"/>
        <v>9.2570462125140685E-3</v>
      </c>
    </row>
    <row r="3121" spans="1:7" x14ac:dyDescent="0.2">
      <c r="A3121" s="12">
        <v>41423</v>
      </c>
      <c r="B3121" s="9">
        <v>1238.24</v>
      </c>
      <c r="C3121" s="9">
        <v>1220.49</v>
      </c>
      <c r="D3121" s="9">
        <v>1222.3699999999999</v>
      </c>
      <c r="E3121" s="9">
        <f t="shared" si="145"/>
        <v>-1.7572550896738825E-2</v>
      </c>
      <c r="F3121" s="45">
        <f t="shared" si="146"/>
        <v>3.730463643989991E-2</v>
      </c>
      <c r="G3121" s="9">
        <f t="shared" si="147"/>
        <v>9.795681161218775E-3</v>
      </c>
    </row>
    <row r="3122" spans="1:7" x14ac:dyDescent="0.2">
      <c r="A3122" s="12">
        <v>41424</v>
      </c>
      <c r="B3122" s="9">
        <v>1229.04</v>
      </c>
      <c r="C3122" s="9">
        <v>1216.6600000000001</v>
      </c>
      <c r="D3122" s="9">
        <v>1225.18</v>
      </c>
      <c r="E3122" s="9">
        <f t="shared" si="145"/>
        <v>2.2961747336108858E-3</v>
      </c>
      <c r="F3122" s="45">
        <f t="shared" si="146"/>
        <v>4.8240192184556524E-2</v>
      </c>
      <c r="G3122" s="9">
        <f t="shared" si="147"/>
        <v>9.6170763217496309E-3</v>
      </c>
    </row>
    <row r="3123" spans="1:7" x14ac:dyDescent="0.2">
      <c r="A3123" s="12">
        <v>41425</v>
      </c>
      <c r="B3123" s="9">
        <v>1225.55</v>
      </c>
      <c r="C3123" s="9">
        <v>1209.56</v>
      </c>
      <c r="D3123" s="9">
        <v>1214.77</v>
      </c>
      <c r="E3123" s="9">
        <f t="shared" si="145"/>
        <v>-8.5330135163514051E-3</v>
      </c>
      <c r="F3123" s="45">
        <f t="shared" si="146"/>
        <v>5.6986524854631536E-2</v>
      </c>
      <c r="G3123" s="9">
        <f t="shared" si="147"/>
        <v>9.1457825309109262E-3</v>
      </c>
    </row>
    <row r="3124" spans="1:7" x14ac:dyDescent="0.2">
      <c r="A3124" s="12">
        <v>41428</v>
      </c>
      <c r="B3124" s="9">
        <v>1222.6600000000001</v>
      </c>
      <c r="C3124" s="9">
        <v>1202.3900000000001</v>
      </c>
      <c r="D3124" s="9">
        <v>1209.71</v>
      </c>
      <c r="E3124" s="9">
        <f t="shared" si="145"/>
        <v>-4.1740969995482371E-3</v>
      </c>
      <c r="F3124" s="45">
        <f t="shared" si="146"/>
        <v>5.3536013734012629E-2</v>
      </c>
      <c r="G3124" s="9">
        <f t="shared" si="147"/>
        <v>9.201435962083733E-3</v>
      </c>
    </row>
    <row r="3125" spans="1:7" x14ac:dyDescent="0.2">
      <c r="A3125" s="12">
        <v>41429</v>
      </c>
      <c r="B3125" s="9">
        <v>1220</v>
      </c>
      <c r="C3125" s="9">
        <v>1205.47</v>
      </c>
      <c r="D3125" s="9">
        <v>1207.56</v>
      </c>
      <c r="E3125" s="9">
        <f t="shared" si="145"/>
        <v>-1.7788667107515039E-3</v>
      </c>
      <c r="F3125" s="45">
        <f t="shared" si="146"/>
        <v>5.1181722850031287E-2</v>
      </c>
      <c r="G3125" s="9">
        <f t="shared" si="147"/>
        <v>9.2221199785206976E-3</v>
      </c>
    </row>
    <row r="3126" spans="1:7" x14ac:dyDescent="0.2">
      <c r="A3126" s="12">
        <v>41430</v>
      </c>
      <c r="B3126" s="9">
        <v>1205.17</v>
      </c>
      <c r="C3126" s="9">
        <v>1182.77</v>
      </c>
      <c r="D3126" s="9">
        <v>1185.04</v>
      </c>
      <c r="E3126" s="9">
        <f t="shared" si="145"/>
        <v>-1.8825265459445403E-2</v>
      </c>
      <c r="F3126" s="45">
        <f t="shared" si="146"/>
        <v>3.5857711725872432E-2</v>
      </c>
      <c r="G3126" s="9">
        <f t="shared" si="147"/>
        <v>9.9185806534711728E-3</v>
      </c>
    </row>
    <row r="3127" spans="1:7" x14ac:dyDescent="0.2">
      <c r="A3127" s="12">
        <v>41432</v>
      </c>
      <c r="B3127" s="9">
        <v>1197.98</v>
      </c>
      <c r="C3127" s="9">
        <v>1175.53</v>
      </c>
      <c r="D3127" s="9">
        <v>1192.98</v>
      </c>
      <c r="E3127" s="9">
        <f t="shared" si="145"/>
        <v>6.6778492242480685E-3</v>
      </c>
      <c r="F3127" s="45">
        <f t="shared" si="146"/>
        <v>1.7068853005010758E-2</v>
      </c>
      <c r="G3127" s="9">
        <f t="shared" si="147"/>
        <v>8.8710243900692026E-3</v>
      </c>
    </row>
    <row r="3128" spans="1:7" x14ac:dyDescent="0.2">
      <c r="A3128" s="12">
        <v>41435</v>
      </c>
      <c r="B3128" s="9">
        <v>1197.17</v>
      </c>
      <c r="C3128" s="9">
        <v>1188.9100000000001</v>
      </c>
      <c r="D3128" s="9">
        <v>1192.8599999999999</v>
      </c>
      <c r="E3128" s="9">
        <f t="shared" si="145"/>
        <v>-1.0059350174467673E-4</v>
      </c>
      <c r="F3128" s="45">
        <f t="shared" si="146"/>
        <v>1.3461425250149924E-2</v>
      </c>
      <c r="G3128" s="9">
        <f t="shared" si="147"/>
        <v>8.8542617113877842E-3</v>
      </c>
    </row>
    <row r="3129" spans="1:7" x14ac:dyDescent="0.2">
      <c r="A3129" s="12">
        <v>41436</v>
      </c>
      <c r="B3129" s="9">
        <v>1190.97</v>
      </c>
      <c r="C3129" s="9">
        <v>1178.54</v>
      </c>
      <c r="D3129" s="9">
        <v>1184.6199999999999</v>
      </c>
      <c r="E3129" s="9">
        <f t="shared" si="145"/>
        <v>-6.9317369598100769E-3</v>
      </c>
      <c r="F3129" s="45">
        <f t="shared" si="146"/>
        <v>-8.6069756542445017E-3</v>
      </c>
      <c r="G3129" s="9">
        <f t="shared" si="147"/>
        <v>8.5016062236182941E-3</v>
      </c>
    </row>
    <row r="3130" spans="1:7" x14ac:dyDescent="0.2">
      <c r="A3130" s="12">
        <v>41437</v>
      </c>
      <c r="B3130" s="9">
        <v>1192.9100000000001</v>
      </c>
      <c r="C3130" s="9">
        <v>1176.53</v>
      </c>
      <c r="D3130" s="9">
        <v>1177.26</v>
      </c>
      <c r="E3130" s="9">
        <f t="shared" si="145"/>
        <v>-6.2323435764247686E-3</v>
      </c>
      <c r="F3130" s="45">
        <f t="shared" si="146"/>
        <v>-1.4671921593933157E-2</v>
      </c>
      <c r="G3130" s="9">
        <f t="shared" si="147"/>
        <v>8.570498421181549E-3</v>
      </c>
    </row>
    <row r="3131" spans="1:7" x14ac:dyDescent="0.2">
      <c r="A3131" s="12">
        <v>41438</v>
      </c>
      <c r="B3131" s="9">
        <v>1174.03</v>
      </c>
      <c r="C3131" s="9">
        <v>1155.94</v>
      </c>
      <c r="D3131" s="9">
        <v>1173.57</v>
      </c>
      <c r="E3131" s="9">
        <f t="shared" si="145"/>
        <v>-3.1393193302044825E-3</v>
      </c>
      <c r="F3131" s="45">
        <f t="shared" si="146"/>
        <v>-2.0694930029862418E-2</v>
      </c>
      <c r="G3131" s="9">
        <f t="shared" si="147"/>
        <v>8.5593043154686896E-3</v>
      </c>
    </row>
    <row r="3132" spans="1:7" x14ac:dyDescent="0.2">
      <c r="A3132" s="12">
        <v>41439</v>
      </c>
      <c r="B3132" s="9">
        <v>1185.21</v>
      </c>
      <c r="C3132" s="9">
        <v>1174.42</v>
      </c>
      <c r="D3132" s="9">
        <v>1177.5899999999999</v>
      </c>
      <c r="E3132" s="9">
        <f t="shared" si="145"/>
        <v>3.4195919608688233E-3</v>
      </c>
      <c r="F3132" s="45">
        <f t="shared" si="146"/>
        <v>-1.8009558618434542E-2</v>
      </c>
      <c r="G3132" s="9">
        <f t="shared" si="147"/>
        <v>8.5887016417785129E-3</v>
      </c>
    </row>
    <row r="3133" spans="1:7" x14ac:dyDescent="0.2">
      <c r="A3133" s="12">
        <v>41442</v>
      </c>
      <c r="B3133" s="9">
        <v>1196.45</v>
      </c>
      <c r="C3133" s="9">
        <v>1180.23</v>
      </c>
      <c r="D3133" s="9">
        <v>1191.3900000000001</v>
      </c>
      <c r="E3133" s="9">
        <f t="shared" si="145"/>
        <v>1.1650715581977601E-2</v>
      </c>
      <c r="F3133" s="45">
        <f t="shared" si="146"/>
        <v>-2.5400192211898786E-3</v>
      </c>
      <c r="G3133" s="9">
        <f t="shared" si="147"/>
        <v>8.8492358054880569E-3</v>
      </c>
    </row>
    <row r="3134" spans="1:7" x14ac:dyDescent="0.2">
      <c r="A3134" s="12">
        <v>41443</v>
      </c>
      <c r="B3134" s="9">
        <v>1198.1199999999999</v>
      </c>
      <c r="C3134" s="9">
        <v>1183.4000000000001</v>
      </c>
      <c r="D3134" s="9">
        <v>1193.95</v>
      </c>
      <c r="E3134" s="9">
        <f t="shared" si="145"/>
        <v>2.1464453561128062E-3</v>
      </c>
      <c r="F3134" s="45">
        <f t="shared" si="146"/>
        <v>-7.8338857808549871E-3</v>
      </c>
      <c r="G3134" s="9">
        <f t="shared" si="147"/>
        <v>8.7461886080555731E-3</v>
      </c>
    </row>
    <row r="3135" spans="1:7" x14ac:dyDescent="0.2">
      <c r="A3135" s="12">
        <v>41444</v>
      </c>
      <c r="B3135" s="9">
        <v>1192.21</v>
      </c>
      <c r="C3135" s="9">
        <v>1174.1600000000001</v>
      </c>
      <c r="D3135" s="9">
        <v>1174.8399999999999</v>
      </c>
      <c r="E3135" s="9">
        <f t="shared" ref="E3135:E3198" si="148">LN(D3135/D3134)</f>
        <v>-1.6135169935331969E-2</v>
      </c>
      <c r="F3135" s="45">
        <f t="shared" si="146"/>
        <v>-2.5488667718758153E-2</v>
      </c>
      <c r="G3135" s="9">
        <f t="shared" si="147"/>
        <v>9.204202652433352E-3</v>
      </c>
    </row>
    <row r="3136" spans="1:7" x14ac:dyDescent="0.2">
      <c r="A3136" s="12">
        <v>41445</v>
      </c>
      <c r="B3136" s="9">
        <v>1163.6600000000001</v>
      </c>
      <c r="C3136" s="9">
        <v>1137.1199999999999</v>
      </c>
      <c r="D3136" s="9">
        <v>1138.5999999999999</v>
      </c>
      <c r="E3136" s="9">
        <f t="shared" si="148"/>
        <v>-3.1332530576506722E-2</v>
      </c>
      <c r="F3136" s="45">
        <f t="shared" si="146"/>
        <v>-5.9249440008536693E-2</v>
      </c>
      <c r="G3136" s="9">
        <f t="shared" si="147"/>
        <v>1.0727459710566233E-2</v>
      </c>
    </row>
    <row r="3137" spans="1:7" x14ac:dyDescent="0.2">
      <c r="A3137" s="12">
        <v>41449</v>
      </c>
      <c r="B3137" s="9">
        <v>1129.3399999999999</v>
      </c>
      <c r="C3137" s="9">
        <v>1108.96</v>
      </c>
      <c r="D3137" s="9">
        <v>1112.1400000000001</v>
      </c>
      <c r="E3137" s="9">
        <f t="shared" si="148"/>
        <v>-2.3513350350527377E-2</v>
      </c>
      <c r="F3137" s="45">
        <f t="shared" si="146"/>
        <v>-9.4063647684584084E-2</v>
      </c>
      <c r="G3137" s="9">
        <f t="shared" si="147"/>
        <v>1.1117748846002497E-2</v>
      </c>
    </row>
    <row r="3138" spans="1:7" x14ac:dyDescent="0.2">
      <c r="A3138" s="12">
        <v>41450</v>
      </c>
      <c r="B3138" s="9">
        <v>1133.21</v>
      </c>
      <c r="C3138" s="9">
        <v>1117.8800000000001</v>
      </c>
      <c r="D3138" s="9">
        <v>1129.25</v>
      </c>
      <c r="E3138" s="9">
        <f t="shared" si="148"/>
        <v>1.5267608368259454E-2</v>
      </c>
      <c r="F3138" s="45">
        <f t="shared" si="146"/>
        <v>-8.3271087002636648E-2</v>
      </c>
      <c r="G3138" s="9">
        <f t="shared" si="147"/>
        <v>1.153913309610176E-2</v>
      </c>
    </row>
    <row r="3139" spans="1:7" x14ac:dyDescent="0.2">
      <c r="A3139" s="12">
        <v>41451</v>
      </c>
      <c r="B3139" s="9">
        <v>1147.82</v>
      </c>
      <c r="C3139" s="9">
        <v>1128.77</v>
      </c>
      <c r="D3139" s="9">
        <v>1144.78</v>
      </c>
      <c r="E3139" s="9">
        <f t="shared" si="148"/>
        <v>1.3658783254430854E-2</v>
      </c>
      <c r="F3139" s="45">
        <f t="shared" si="146"/>
        <v>-6.6821831963595424E-2</v>
      </c>
      <c r="G3139" s="9">
        <f t="shared" si="147"/>
        <v>1.1922839624076653E-2</v>
      </c>
    </row>
    <row r="3140" spans="1:7" x14ac:dyDescent="0.2">
      <c r="A3140" s="12">
        <v>41452</v>
      </c>
      <c r="B3140" s="9">
        <v>1163.3399999999999</v>
      </c>
      <c r="C3140" s="9">
        <v>1144.07</v>
      </c>
      <c r="D3140" s="9">
        <v>1161</v>
      </c>
      <c r="E3140" s="9">
        <f t="shared" si="148"/>
        <v>1.4069223908746958E-2</v>
      </c>
      <c r="F3140" s="45">
        <f t="shared" si="146"/>
        <v>-5.3536684803855657E-2</v>
      </c>
      <c r="G3140" s="9">
        <f t="shared" si="147"/>
        <v>1.2279920075783133E-2</v>
      </c>
    </row>
    <row r="3141" spans="1:7" x14ac:dyDescent="0.2">
      <c r="A3141" s="12">
        <v>41453</v>
      </c>
      <c r="B3141" s="9">
        <v>1166.3599999999999</v>
      </c>
      <c r="C3141" s="9">
        <v>1150.26</v>
      </c>
      <c r="D3141" s="9">
        <v>1151</v>
      </c>
      <c r="E3141" s="9">
        <f t="shared" si="148"/>
        <v>-8.6505729760088194E-3</v>
      </c>
      <c r="F3141" s="45">
        <f t="shared" si="146"/>
        <v>-6.6480595861427738E-2</v>
      </c>
      <c r="G3141" s="9">
        <f t="shared" si="147"/>
        <v>1.228640015694614E-2</v>
      </c>
    </row>
    <row r="3142" spans="1:7" x14ac:dyDescent="0.2">
      <c r="A3142" s="12">
        <v>41456</v>
      </c>
      <c r="B3142" s="9">
        <v>1165.98</v>
      </c>
      <c r="C3142" s="9">
        <v>1150.3900000000001</v>
      </c>
      <c r="D3142" s="9">
        <v>1165.6400000000001</v>
      </c>
      <c r="E3142" s="9">
        <f t="shared" si="148"/>
        <v>1.2639162660205434E-2</v>
      </c>
      <c r="F3142" s="45">
        <f t="shared" si="146"/>
        <v>-5.7800677679989441E-2</v>
      </c>
      <c r="G3142" s="9">
        <f t="shared" si="147"/>
        <v>1.2536490775255897E-2</v>
      </c>
    </row>
    <row r="3143" spans="1:7" x14ac:dyDescent="0.2">
      <c r="A3143" s="12">
        <v>41457</v>
      </c>
      <c r="B3143" s="9">
        <v>1167.3399999999999</v>
      </c>
      <c r="C3143" s="9">
        <v>1153.8800000000001</v>
      </c>
      <c r="D3143" s="9">
        <v>1161.3800000000001</v>
      </c>
      <c r="E3143" s="9">
        <f t="shared" si="148"/>
        <v>-3.6613391882472468E-3</v>
      </c>
      <c r="F3143" s="45">
        <f t="shared" si="146"/>
        <v>-6.8923985544822736E-2</v>
      </c>
      <c r="G3143" s="9">
        <f t="shared" si="147"/>
        <v>1.241312191478482E-2</v>
      </c>
    </row>
    <row r="3144" spans="1:7" x14ac:dyDescent="0.2">
      <c r="A3144" s="12">
        <v>41458</v>
      </c>
      <c r="B3144" s="9">
        <v>1154.73</v>
      </c>
      <c r="C3144" s="9">
        <v>1141.9000000000001</v>
      </c>
      <c r="D3144" s="9">
        <v>1154.54</v>
      </c>
      <c r="E3144" s="9">
        <f t="shared" si="148"/>
        <v>-5.9069569661376218E-3</v>
      </c>
      <c r="F3144" s="45">
        <f t="shared" si="146"/>
        <v>-7.412343892383054E-2</v>
      </c>
      <c r="G3144" s="9">
        <f t="shared" si="147"/>
        <v>1.2426447842180156E-2</v>
      </c>
    </row>
    <row r="3145" spans="1:7" x14ac:dyDescent="0.2">
      <c r="A3145" s="12">
        <v>41459</v>
      </c>
      <c r="B3145" s="9">
        <v>1178.3</v>
      </c>
      <c r="C3145" s="9">
        <v>1158.83</v>
      </c>
      <c r="D3145" s="9">
        <v>1175.22</v>
      </c>
      <c r="E3145" s="9">
        <f t="shared" si="148"/>
        <v>1.7753367867003714E-2</v>
      </c>
      <c r="F3145" s="45">
        <f t="shared" si="146"/>
        <v>-6.0199079030197548E-2</v>
      </c>
      <c r="G3145" s="9">
        <f t="shared" si="147"/>
        <v>1.2920109307764646E-2</v>
      </c>
    </row>
    <row r="3146" spans="1:7" x14ac:dyDescent="0.2">
      <c r="A3146" s="12">
        <v>41460</v>
      </c>
      <c r="B3146" s="9">
        <v>1186.33</v>
      </c>
      <c r="C3146" s="9">
        <v>1164.8399999999999</v>
      </c>
      <c r="D3146" s="9">
        <v>1167.52</v>
      </c>
      <c r="E3146" s="9">
        <f t="shared" si="148"/>
        <v>-6.5735230773968315E-3</v>
      </c>
      <c r="F3146" s="45">
        <f t="shared" si="146"/>
        <v>-7.1911043355610424E-2</v>
      </c>
      <c r="G3146" s="9">
        <f t="shared" si="147"/>
        <v>1.2873629158654852E-2</v>
      </c>
    </row>
    <row r="3147" spans="1:7" x14ac:dyDescent="0.2">
      <c r="A3147" s="12">
        <v>41463</v>
      </c>
      <c r="B3147" s="9">
        <v>1186.96</v>
      </c>
      <c r="C3147" s="9">
        <v>1173.52</v>
      </c>
      <c r="D3147" s="9">
        <v>1182.6400000000001</v>
      </c>
      <c r="E3147" s="9">
        <f t="shared" si="148"/>
        <v>1.2867386575524485E-2</v>
      </c>
      <c r="F3147" s="45">
        <f t="shared" si="146"/>
        <v>-3.4742535972640133E-2</v>
      </c>
      <c r="G3147" s="9">
        <f t="shared" si="147"/>
        <v>1.2475276442054171E-2</v>
      </c>
    </row>
    <row r="3148" spans="1:7" x14ac:dyDescent="0.2">
      <c r="A3148" s="12">
        <v>41464</v>
      </c>
      <c r="B3148" s="9">
        <v>1194.77</v>
      </c>
      <c r="C3148" s="9">
        <v>1185.18</v>
      </c>
      <c r="D3148" s="9">
        <v>1194.75</v>
      </c>
      <c r="E3148" s="9">
        <f t="shared" si="148"/>
        <v>1.0187730865433125E-2</v>
      </c>
      <c r="F3148" s="45">
        <f t="shared" si="146"/>
        <v>-1.8501155875193569E-2</v>
      </c>
      <c r="G3148" s="9">
        <f t="shared" si="147"/>
        <v>1.2607211090040624E-2</v>
      </c>
    </row>
    <row r="3149" spans="1:7" x14ac:dyDescent="0.2">
      <c r="A3149" s="12">
        <v>41465</v>
      </c>
      <c r="B3149" s="9">
        <v>1197.3399999999999</v>
      </c>
      <c r="C3149" s="9">
        <v>1185.81</v>
      </c>
      <c r="D3149" s="9">
        <v>1195.31</v>
      </c>
      <c r="E3149" s="9">
        <f t="shared" si="148"/>
        <v>4.6860749123249512E-4</v>
      </c>
      <c r="F3149" s="45">
        <f t="shared" si="146"/>
        <v>-2.9973525145881183E-2</v>
      </c>
      <c r="G3149" s="9">
        <f t="shared" si="147"/>
        <v>1.238520630993528E-2</v>
      </c>
    </row>
    <row r="3150" spans="1:7" x14ac:dyDescent="0.2">
      <c r="A3150" s="12">
        <v>41466</v>
      </c>
      <c r="B3150" s="9">
        <v>1211.3699999999999</v>
      </c>
      <c r="C3150" s="9">
        <v>1204.8900000000001</v>
      </c>
      <c r="D3150" s="9">
        <v>1211.3699999999999</v>
      </c>
      <c r="E3150" s="9">
        <f t="shared" si="148"/>
        <v>1.3346384555678168E-2</v>
      </c>
      <c r="F3150" s="45">
        <f t="shared" si="146"/>
        <v>-2.6612197617842719E-2</v>
      </c>
      <c r="G3150" s="9">
        <f t="shared" si="147"/>
        <v>1.2502649990320872E-2</v>
      </c>
    </row>
    <row r="3151" spans="1:7" x14ac:dyDescent="0.2">
      <c r="A3151" s="12">
        <v>41467</v>
      </c>
      <c r="B3151" s="9">
        <v>1216.92</v>
      </c>
      <c r="C3151" s="9">
        <v>1210.57</v>
      </c>
      <c r="D3151" s="9">
        <v>1210.73</v>
      </c>
      <c r="E3151" s="9">
        <f t="shared" si="148"/>
        <v>-5.2846704503917879E-4</v>
      </c>
      <c r="F3151" s="45">
        <f t="shared" si="146"/>
        <v>-9.5681137661430497E-3</v>
      </c>
      <c r="G3151" s="9">
        <f t="shared" si="147"/>
        <v>1.2099033191735074E-2</v>
      </c>
    </row>
    <row r="3152" spans="1:7" x14ac:dyDescent="0.2">
      <c r="A3152" s="12">
        <v>41470</v>
      </c>
      <c r="B3152" s="9">
        <v>1222.5999999999999</v>
      </c>
      <c r="C3152" s="9">
        <v>1213.8900000000001</v>
      </c>
      <c r="D3152" s="9">
        <v>1215.23</v>
      </c>
      <c r="E3152" s="9">
        <f t="shared" si="148"/>
        <v>3.7098758109703951E-3</v>
      </c>
      <c r="F3152" s="45">
        <f t="shared" si="146"/>
        <v>-8.1544126887837486E-3</v>
      </c>
      <c r="G3152" s="9">
        <f t="shared" si="147"/>
        <v>1.2112315514199685E-2</v>
      </c>
    </row>
    <row r="3153" spans="1:7" x14ac:dyDescent="0.2">
      <c r="A3153" s="12">
        <v>41471</v>
      </c>
      <c r="B3153" s="9">
        <v>1219.69</v>
      </c>
      <c r="C3153" s="9">
        <v>1210.4000000000001</v>
      </c>
      <c r="D3153" s="9">
        <v>1212.6199999999999</v>
      </c>
      <c r="E3153" s="9">
        <f t="shared" si="148"/>
        <v>-2.1500512844218386E-3</v>
      </c>
      <c r="F3153" s="45">
        <f t="shared" si="146"/>
        <v>-1.7714504568541519E-3</v>
      </c>
      <c r="G3153" s="9">
        <f t="shared" si="147"/>
        <v>1.2017888545292088E-2</v>
      </c>
    </row>
    <row r="3154" spans="1:7" x14ac:dyDescent="0.2">
      <c r="A3154" s="12">
        <v>41472</v>
      </c>
      <c r="B3154" s="9">
        <v>1218.3800000000001</v>
      </c>
      <c r="C3154" s="9">
        <v>1205.71</v>
      </c>
      <c r="D3154" s="9">
        <v>1211.0999999999999</v>
      </c>
      <c r="E3154" s="9">
        <f t="shared" si="148"/>
        <v>-1.2542704596828331E-3</v>
      </c>
      <c r="F3154" s="45">
        <f t="shared" si="146"/>
        <v>1.1483760830111056E-3</v>
      </c>
      <c r="G3154" s="9">
        <f t="shared" si="147"/>
        <v>1.199521522201639E-2</v>
      </c>
    </row>
    <row r="3155" spans="1:7" x14ac:dyDescent="0.2">
      <c r="A3155" s="12">
        <v>41473</v>
      </c>
      <c r="B3155" s="9">
        <v>1219.57</v>
      </c>
      <c r="C3155" s="9">
        <v>1207.42</v>
      </c>
      <c r="D3155" s="9">
        <v>1217.57</v>
      </c>
      <c r="E3155" s="9">
        <f t="shared" si="148"/>
        <v>5.3280316435033821E-3</v>
      </c>
      <c r="F3155" s="45">
        <f t="shared" si="146"/>
        <v>8.2552744372659994E-3</v>
      </c>
      <c r="G3155" s="9">
        <f t="shared" si="147"/>
        <v>1.2028223017675161E-2</v>
      </c>
    </row>
    <row r="3156" spans="1:7" x14ac:dyDescent="0.2">
      <c r="A3156" s="12">
        <v>41474</v>
      </c>
      <c r="B3156" s="9">
        <v>1221.21</v>
      </c>
      <c r="C3156" s="9">
        <v>1208.71</v>
      </c>
      <c r="D3156" s="9">
        <v>1221.21</v>
      </c>
      <c r="E3156" s="9">
        <f t="shared" si="148"/>
        <v>2.9851013235728196E-3</v>
      </c>
      <c r="F3156" s="45">
        <f t="shared" si="146"/>
        <v>3.0065641220284239E-2</v>
      </c>
      <c r="G3156" s="9">
        <f t="shared" si="147"/>
        <v>1.1480608472430409E-2</v>
      </c>
    </row>
    <row r="3157" spans="1:7" x14ac:dyDescent="0.2">
      <c r="A3157" s="12">
        <v>41477</v>
      </c>
      <c r="B3157" s="9">
        <v>1225.17</v>
      </c>
      <c r="C3157" s="9">
        <v>1210.24</v>
      </c>
      <c r="D3157" s="9">
        <v>1213.3800000000001</v>
      </c>
      <c r="E3157" s="9">
        <f t="shared" si="148"/>
        <v>-6.4323167325686572E-3</v>
      </c>
      <c r="F3157" s="45">
        <f t="shared" si="146"/>
        <v>1.6955475263467475E-2</v>
      </c>
      <c r="G3157" s="9">
        <f t="shared" si="147"/>
        <v>1.1506604209106064E-2</v>
      </c>
    </row>
    <row r="3158" spans="1:7" x14ac:dyDescent="0.2">
      <c r="A3158" s="12">
        <v>41478</v>
      </c>
      <c r="B3158" s="9">
        <v>1222.46</v>
      </c>
      <c r="C3158" s="9">
        <v>1215.05</v>
      </c>
      <c r="D3158" s="9">
        <v>1216.68</v>
      </c>
      <c r="E3158" s="9">
        <f t="shared" si="148"/>
        <v>2.7159839909765898E-3</v>
      </c>
      <c r="F3158" s="45">
        <f t="shared" si="146"/>
        <v>1.9772052756188672E-2</v>
      </c>
      <c r="G3158" s="9">
        <f t="shared" si="147"/>
        <v>1.1512473781745634E-2</v>
      </c>
    </row>
    <row r="3159" spans="1:7" x14ac:dyDescent="0.2">
      <c r="A3159" s="12">
        <v>41479</v>
      </c>
      <c r="B3159" s="9">
        <v>1232.6099999999999</v>
      </c>
      <c r="C3159" s="9">
        <v>1220.08</v>
      </c>
      <c r="D3159" s="9">
        <v>1230.3399999999999</v>
      </c>
      <c r="E3159" s="9">
        <f t="shared" si="148"/>
        <v>1.1164716180468569E-2</v>
      </c>
      <c r="F3159" s="45">
        <f t="shared" si="146"/>
        <v>3.7868505896467348E-2</v>
      </c>
      <c r="G3159" s="9">
        <f t="shared" si="147"/>
        <v>1.1574953309171064E-2</v>
      </c>
    </row>
    <row r="3160" spans="1:7" x14ac:dyDescent="0.2">
      <c r="A3160" s="12">
        <v>41480</v>
      </c>
      <c r="B3160" s="9">
        <v>1232.95</v>
      </c>
      <c r="C3160" s="9">
        <v>1220.73</v>
      </c>
      <c r="D3160" s="9">
        <v>1232.95</v>
      </c>
      <c r="E3160" s="9">
        <f t="shared" si="148"/>
        <v>2.1191179087471242E-3</v>
      </c>
      <c r="F3160" s="45">
        <f t="shared" si="146"/>
        <v>4.6219967381639325E-2</v>
      </c>
      <c r="G3160" s="9">
        <f t="shared" si="147"/>
        <v>1.1488594962112488E-2</v>
      </c>
    </row>
    <row r="3161" spans="1:7" x14ac:dyDescent="0.2">
      <c r="A3161" s="12">
        <v>41481</v>
      </c>
      <c r="B3161" s="9">
        <v>1237.26</v>
      </c>
      <c r="C3161" s="9">
        <v>1224.6600000000001</v>
      </c>
      <c r="D3161" s="9">
        <v>1227.8599999999999</v>
      </c>
      <c r="E3161" s="9">
        <f t="shared" si="148"/>
        <v>-4.1368551485114003E-3</v>
      </c>
      <c r="F3161" s="45">
        <f t="shared" si="146"/>
        <v>4.522243156333218E-2</v>
      </c>
      <c r="G3161" s="9">
        <f t="shared" si="147"/>
        <v>1.1504040407921412E-2</v>
      </c>
    </row>
    <row r="3162" spans="1:7" x14ac:dyDescent="0.2">
      <c r="A3162" s="12">
        <v>41484</v>
      </c>
      <c r="B3162" s="9">
        <v>1236.29</v>
      </c>
      <c r="C3162" s="9">
        <v>1224.8900000000001</v>
      </c>
      <c r="D3162" s="9">
        <v>1226.98</v>
      </c>
      <c r="E3162" s="9">
        <f t="shared" si="148"/>
        <v>-7.1695103362716492E-4</v>
      </c>
      <c r="F3162" s="45">
        <f t="shared" si="146"/>
        <v>4.1085888568836285E-2</v>
      </c>
      <c r="G3162" s="9">
        <f t="shared" si="147"/>
        <v>1.1505120955287891E-2</v>
      </c>
    </row>
    <row r="3163" spans="1:7" x14ac:dyDescent="0.2">
      <c r="A3163" s="12">
        <v>41485</v>
      </c>
      <c r="B3163" s="9">
        <v>1238.78</v>
      </c>
      <c r="C3163" s="9">
        <v>1230.5</v>
      </c>
      <c r="D3163" s="9">
        <v>1236.8599999999999</v>
      </c>
      <c r="E3163" s="9">
        <f t="shared" si="148"/>
        <v>8.0200442866884096E-3</v>
      </c>
      <c r="F3163" s="45">
        <f t="shared" si="146"/>
        <v>3.7455217273547212E-2</v>
      </c>
      <c r="G3163" s="9">
        <f t="shared" si="147"/>
        <v>1.1411962274599194E-2</v>
      </c>
    </row>
    <row r="3164" spans="1:7" x14ac:dyDescent="0.2">
      <c r="A3164" s="12">
        <v>41486</v>
      </c>
      <c r="B3164" s="9">
        <v>1242.05</v>
      </c>
      <c r="C3164" s="9">
        <v>1233.3</v>
      </c>
      <c r="D3164" s="9">
        <v>1234.07</v>
      </c>
      <c r="E3164" s="9">
        <f t="shared" si="148"/>
        <v>-2.2582599957821376E-3</v>
      </c>
      <c r="F3164" s="45">
        <f t="shared" si="146"/>
        <v>3.3050511921652252E-2</v>
      </c>
      <c r="G3164" s="9">
        <f t="shared" si="147"/>
        <v>1.1428334441427865E-2</v>
      </c>
    </row>
    <row r="3165" spans="1:7" x14ac:dyDescent="0.2">
      <c r="A3165" s="12">
        <v>41487</v>
      </c>
      <c r="B3165" s="9">
        <v>1248.3800000000001</v>
      </c>
      <c r="C3165" s="9">
        <v>1240.0999999999999</v>
      </c>
      <c r="D3165" s="9">
        <v>1248.3800000000001</v>
      </c>
      <c r="E3165" s="9">
        <f t="shared" si="148"/>
        <v>1.1529060811574385E-2</v>
      </c>
      <c r="F3165" s="45">
        <f t="shared" si="146"/>
        <v>6.0714742668558565E-2</v>
      </c>
      <c r="G3165" s="9">
        <f t="shared" si="147"/>
        <v>1.1100961066558326E-2</v>
      </c>
    </row>
    <row r="3166" spans="1:7" x14ac:dyDescent="0.2">
      <c r="A3166" s="12">
        <v>41488</v>
      </c>
      <c r="B3166" s="9">
        <v>1252.82</v>
      </c>
      <c r="C3166" s="9">
        <v>1246.06</v>
      </c>
      <c r="D3166" s="9">
        <v>1250.54</v>
      </c>
      <c r="E3166" s="9">
        <f t="shared" si="148"/>
        <v>1.7287472491652313E-3</v>
      </c>
      <c r="F3166" s="45">
        <f t="shared" si="146"/>
        <v>9.3776020494230491E-2</v>
      </c>
      <c r="G3166" s="9">
        <f t="shared" si="147"/>
        <v>9.1438965035203681E-3</v>
      </c>
    </row>
    <row r="3167" spans="1:7" x14ac:dyDescent="0.2">
      <c r="A3167" s="12">
        <v>41491</v>
      </c>
      <c r="B3167" s="9">
        <v>1253.6500000000001</v>
      </c>
      <c r="C3167" s="9">
        <v>1248.31</v>
      </c>
      <c r="D3167" s="9">
        <v>1251.77</v>
      </c>
      <c r="E3167" s="9">
        <f t="shared" si="148"/>
        <v>9.830917025173227E-4</v>
      </c>
      <c r="F3167" s="45">
        <f t="shared" si="146"/>
        <v>0.11827246254727525</v>
      </c>
      <c r="G3167" s="9">
        <f t="shared" si="147"/>
        <v>7.6556391208061434E-3</v>
      </c>
    </row>
    <row r="3168" spans="1:7" x14ac:dyDescent="0.2">
      <c r="A3168" s="12">
        <v>41492</v>
      </c>
      <c r="B3168" s="9">
        <v>1254</v>
      </c>
      <c r="C3168" s="9">
        <v>1239.95</v>
      </c>
      <c r="D3168" s="9">
        <v>1242.1199999999999</v>
      </c>
      <c r="E3168" s="9">
        <f t="shared" si="148"/>
        <v>-7.7389525300702805E-3</v>
      </c>
      <c r="F3168" s="45">
        <f t="shared" si="146"/>
        <v>9.5265901648945439E-2</v>
      </c>
      <c r="G3168" s="9">
        <f t="shared" si="147"/>
        <v>7.6343291534402809E-3</v>
      </c>
    </row>
    <row r="3169" spans="1:7" x14ac:dyDescent="0.2">
      <c r="A3169" s="12">
        <v>41493</v>
      </c>
      <c r="B3169" s="9">
        <v>1244.3</v>
      </c>
      <c r="C3169" s="9">
        <v>1236.0899999999999</v>
      </c>
      <c r="D3169" s="9">
        <v>1240.4100000000001</v>
      </c>
      <c r="E3169" s="9">
        <f t="shared" si="148"/>
        <v>-1.3776270743510123E-3</v>
      </c>
      <c r="F3169" s="45">
        <f t="shared" ref="F3169:F3232" si="149">LN(D3169/D3139)</f>
        <v>8.0229491320163618E-2</v>
      </c>
      <c r="G3169" s="9">
        <f t="shared" ref="G3169:G3232" si="150">STDEV(E3140:E3169)</f>
        <v>7.4127166008940096E-3</v>
      </c>
    </row>
    <row r="3170" spans="1:7" x14ac:dyDescent="0.2">
      <c r="A3170" s="12">
        <v>41494</v>
      </c>
      <c r="B3170" s="9">
        <v>1254.3599999999999</v>
      </c>
      <c r="C3170" s="9">
        <v>1245.08</v>
      </c>
      <c r="D3170" s="9">
        <v>1249.22</v>
      </c>
      <c r="E3170" s="9">
        <f t="shared" si="148"/>
        <v>7.0773864180106961E-3</v>
      </c>
      <c r="F3170" s="45">
        <f t="shared" si="149"/>
        <v>7.3237653829427193E-2</v>
      </c>
      <c r="G3170" s="9">
        <f t="shared" si="150"/>
        <v>7.1472595097711511E-3</v>
      </c>
    </row>
    <row r="3171" spans="1:7" x14ac:dyDescent="0.2">
      <c r="A3171" s="12">
        <v>41495</v>
      </c>
      <c r="B3171" s="9">
        <v>1258.07</v>
      </c>
      <c r="C3171" s="9">
        <v>1249.94</v>
      </c>
      <c r="D3171" s="9">
        <v>1253.79</v>
      </c>
      <c r="E3171" s="9">
        <f t="shared" si="148"/>
        <v>3.651607527034223E-3</v>
      </c>
      <c r="F3171" s="45">
        <f t="shared" si="149"/>
        <v>8.5539834332470227E-2</v>
      </c>
      <c r="G3171" s="9">
        <f t="shared" si="150"/>
        <v>6.8350207491021941E-3</v>
      </c>
    </row>
    <row r="3172" spans="1:7" x14ac:dyDescent="0.2">
      <c r="A3172" s="12">
        <v>41498</v>
      </c>
      <c r="B3172" s="9">
        <v>1257.21</v>
      </c>
      <c r="C3172" s="9">
        <v>1250.02</v>
      </c>
      <c r="D3172" s="9">
        <v>1253.69</v>
      </c>
      <c r="E3172" s="9">
        <f t="shared" si="148"/>
        <v>-7.9761354070933852E-5</v>
      </c>
      <c r="F3172" s="45">
        <f t="shared" si="149"/>
        <v>7.2820910318193779E-2</v>
      </c>
      <c r="G3172" s="9">
        <f t="shared" si="150"/>
        <v>6.5972955682658341E-3</v>
      </c>
    </row>
    <row r="3173" spans="1:7" x14ac:dyDescent="0.2">
      <c r="A3173" s="12">
        <v>41499</v>
      </c>
      <c r="B3173" s="9">
        <v>1263.57</v>
      </c>
      <c r="C3173" s="9">
        <v>1254.08</v>
      </c>
      <c r="D3173" s="9">
        <v>1260.44</v>
      </c>
      <c r="E3173" s="9">
        <f t="shared" si="148"/>
        <v>5.3696636361018424E-3</v>
      </c>
      <c r="F3173" s="45">
        <f t="shared" si="149"/>
        <v>8.185191314254299E-2</v>
      </c>
      <c r="G3173" s="9">
        <f t="shared" si="150"/>
        <v>6.5154224156230298E-3</v>
      </c>
    </row>
    <row r="3174" spans="1:7" x14ac:dyDescent="0.2">
      <c r="A3174" s="12">
        <v>41500</v>
      </c>
      <c r="B3174" s="9">
        <v>1265.8800000000001</v>
      </c>
      <c r="C3174" s="9">
        <v>1260.2</v>
      </c>
      <c r="D3174" s="9">
        <v>1262.48</v>
      </c>
      <c r="E3174" s="9">
        <f t="shared" si="148"/>
        <v>1.6171741034935135E-3</v>
      </c>
      <c r="F3174" s="45">
        <f t="shared" si="149"/>
        <v>8.9376044212174002E-2</v>
      </c>
      <c r="G3174" s="9">
        <f t="shared" si="150"/>
        <v>6.3132306065417573E-3</v>
      </c>
    </row>
    <row r="3175" spans="1:7" x14ac:dyDescent="0.2">
      <c r="A3175" s="12">
        <v>41501</v>
      </c>
      <c r="B3175" s="9">
        <v>1258.72</v>
      </c>
      <c r="C3175" s="9">
        <v>1238.4100000000001</v>
      </c>
      <c r="D3175" s="9">
        <v>1245.3499999999999</v>
      </c>
      <c r="E3175" s="9">
        <f t="shared" si="148"/>
        <v>-1.3661425551164754E-2</v>
      </c>
      <c r="F3175" s="45">
        <f t="shared" si="149"/>
        <v>5.7961250794005569E-2</v>
      </c>
      <c r="G3175" s="9">
        <f t="shared" si="150"/>
        <v>6.3831343155830575E-3</v>
      </c>
    </row>
    <row r="3176" spans="1:7" x14ac:dyDescent="0.2">
      <c r="A3176" s="12">
        <v>41502</v>
      </c>
      <c r="B3176" s="9">
        <v>1255.21</v>
      </c>
      <c r="C3176" s="9">
        <v>1240.83</v>
      </c>
      <c r="D3176" s="9">
        <v>1255.02</v>
      </c>
      <c r="E3176" s="9">
        <f t="shared" si="148"/>
        <v>7.7348938051711447E-3</v>
      </c>
      <c r="F3176" s="45">
        <f t="shared" si="149"/>
        <v>7.2269667676573668E-2</v>
      </c>
      <c r="G3176" s="9">
        <f t="shared" si="150"/>
        <v>6.2590398288958314E-3</v>
      </c>
    </row>
    <row r="3177" spans="1:7" x14ac:dyDescent="0.2">
      <c r="A3177" s="12">
        <v>41505</v>
      </c>
      <c r="B3177" s="9">
        <v>1257.45</v>
      </c>
      <c r="C3177" s="9">
        <v>1250.17</v>
      </c>
      <c r="D3177" s="9">
        <v>1250.8399999999999</v>
      </c>
      <c r="E3177" s="9">
        <f t="shared" si="148"/>
        <v>-3.3361830884329536E-3</v>
      </c>
      <c r="F3177" s="45">
        <f t="shared" si="149"/>
        <v>5.6066098012616125E-2</v>
      </c>
      <c r="G3177" s="9">
        <f t="shared" si="150"/>
        <v>6.019992187295084E-3</v>
      </c>
    </row>
    <row r="3178" spans="1:7" x14ac:dyDescent="0.2">
      <c r="A3178" s="12">
        <v>41506</v>
      </c>
      <c r="B3178" s="9">
        <v>1248.24</v>
      </c>
      <c r="C3178" s="9">
        <v>1236.69</v>
      </c>
      <c r="D3178" s="9">
        <v>1247.1500000000001</v>
      </c>
      <c r="E3178" s="9">
        <f t="shared" si="148"/>
        <v>-2.9543774666558921E-3</v>
      </c>
      <c r="F3178" s="45">
        <f t="shared" si="149"/>
        <v>4.2923989680527137E-2</v>
      </c>
      <c r="G3178" s="9">
        <f t="shared" si="150"/>
        <v>5.8700642461254884E-3</v>
      </c>
    </row>
    <row r="3179" spans="1:7" x14ac:dyDescent="0.2">
      <c r="A3179" s="12">
        <v>41507</v>
      </c>
      <c r="B3179" s="9">
        <v>1250.03</v>
      </c>
      <c r="C3179" s="9">
        <v>1226.05</v>
      </c>
      <c r="D3179" s="9">
        <v>1226.05</v>
      </c>
      <c r="E3179" s="9">
        <f t="shared" si="148"/>
        <v>-1.7063328439985644E-2</v>
      </c>
      <c r="F3179" s="45">
        <f t="shared" si="149"/>
        <v>2.5392053749308915E-2</v>
      </c>
      <c r="G3179" s="9">
        <f t="shared" si="150"/>
        <v>6.7724933210044349E-3</v>
      </c>
    </row>
    <row r="3180" spans="1:7" x14ac:dyDescent="0.2">
      <c r="A3180" s="12">
        <v>41508</v>
      </c>
      <c r="B3180" s="9">
        <v>1241.44</v>
      </c>
      <c r="C3180" s="9">
        <v>1226.56</v>
      </c>
      <c r="D3180" s="9">
        <v>1237.1400000000001</v>
      </c>
      <c r="E3180" s="9">
        <f t="shared" si="148"/>
        <v>9.0046443308696312E-3</v>
      </c>
      <c r="F3180" s="45">
        <f t="shared" si="149"/>
        <v>2.1050313524500257E-2</v>
      </c>
      <c r="G3180" s="9">
        <f t="shared" si="150"/>
        <v>6.5385127039105581E-3</v>
      </c>
    </row>
    <row r="3181" spans="1:7" x14ac:dyDescent="0.2">
      <c r="A3181" s="12">
        <v>41509</v>
      </c>
      <c r="B3181" s="9">
        <v>1243.82</v>
      </c>
      <c r="C3181" s="9">
        <v>1234.8399999999999</v>
      </c>
      <c r="D3181" s="9">
        <v>1243.82</v>
      </c>
      <c r="E3181" s="9">
        <f t="shared" si="148"/>
        <v>5.38502526642005E-3</v>
      </c>
      <c r="F3181" s="45">
        <f t="shared" si="149"/>
        <v>2.696380583595967E-2</v>
      </c>
      <c r="G3181" s="9">
        <f t="shared" si="150"/>
        <v>6.5890901256732502E-3</v>
      </c>
    </row>
    <row r="3182" spans="1:7" x14ac:dyDescent="0.2">
      <c r="A3182" s="12">
        <v>41512</v>
      </c>
      <c r="B3182" s="9">
        <v>1246.95</v>
      </c>
      <c r="C3182" s="9">
        <v>1234.9100000000001</v>
      </c>
      <c r="D3182" s="9">
        <v>1245.99</v>
      </c>
      <c r="E3182" s="9">
        <f t="shared" si="148"/>
        <v>1.7431053369107608E-3</v>
      </c>
      <c r="F3182" s="45">
        <f t="shared" si="149"/>
        <v>2.4997035361900129E-2</v>
      </c>
      <c r="G3182" s="9">
        <f t="shared" si="150"/>
        <v>6.5699128507709049E-3</v>
      </c>
    </row>
    <row r="3183" spans="1:7" x14ac:dyDescent="0.2">
      <c r="A3183" s="12">
        <v>41513</v>
      </c>
      <c r="B3183" s="9">
        <v>1241.4100000000001</v>
      </c>
      <c r="C3183" s="9">
        <v>1222.44</v>
      </c>
      <c r="D3183" s="9">
        <v>1224.8499999999999</v>
      </c>
      <c r="E3183" s="9">
        <f t="shared" si="148"/>
        <v>-1.7112007131262451E-2</v>
      </c>
      <c r="F3183" s="45">
        <f t="shared" si="149"/>
        <v>1.0035079515059523E-2</v>
      </c>
      <c r="G3183" s="9">
        <f t="shared" si="150"/>
        <v>7.3283073986326469E-3</v>
      </c>
    </row>
    <row r="3184" spans="1:7" x14ac:dyDescent="0.2">
      <c r="A3184" s="12">
        <v>41514</v>
      </c>
      <c r="B3184" s="9">
        <v>1226.02</v>
      </c>
      <c r="C3184" s="9">
        <v>1206.1199999999999</v>
      </c>
      <c r="D3184" s="9">
        <v>1218.1500000000001</v>
      </c>
      <c r="E3184" s="9">
        <f t="shared" si="148"/>
        <v>-5.4850731052174424E-3</v>
      </c>
      <c r="F3184" s="45">
        <f t="shared" si="149"/>
        <v>5.8042768695248702E-3</v>
      </c>
      <c r="G3184" s="9">
        <f t="shared" si="150"/>
        <v>7.4002916907799157E-3</v>
      </c>
    </row>
    <row r="3185" spans="1:7" x14ac:dyDescent="0.2">
      <c r="A3185" s="12">
        <v>41515</v>
      </c>
      <c r="B3185" s="9">
        <v>1225.53</v>
      </c>
      <c r="C3185" s="9">
        <v>1218.42</v>
      </c>
      <c r="D3185" s="9">
        <v>1224.31</v>
      </c>
      <c r="E3185" s="9">
        <f t="shared" si="148"/>
        <v>5.044105582678894E-3</v>
      </c>
      <c r="F3185" s="45">
        <f t="shared" si="149"/>
        <v>5.5203508087003942E-3</v>
      </c>
      <c r="G3185" s="9">
        <f t="shared" si="150"/>
        <v>7.3936772957323973E-3</v>
      </c>
    </row>
    <row r="3186" spans="1:7" x14ac:dyDescent="0.2">
      <c r="A3186" s="12">
        <v>41516</v>
      </c>
      <c r="B3186" s="9">
        <v>1226.23</v>
      </c>
      <c r="C3186" s="9">
        <v>1214.02</v>
      </c>
      <c r="D3186" s="9">
        <v>1214.3499999999999</v>
      </c>
      <c r="E3186" s="9">
        <f t="shared" si="148"/>
        <v>-8.1684657809780823E-3</v>
      </c>
      <c r="F3186" s="45">
        <f t="shared" si="149"/>
        <v>-5.6332162958504899E-3</v>
      </c>
      <c r="G3186" s="9">
        <f t="shared" si="150"/>
        <v>7.5271886408034092E-3</v>
      </c>
    </row>
    <row r="3187" spans="1:7" x14ac:dyDescent="0.2">
      <c r="A3187" s="12">
        <v>41519</v>
      </c>
      <c r="B3187" s="9">
        <v>1232.3800000000001</v>
      </c>
      <c r="C3187" s="9">
        <v>1220.98</v>
      </c>
      <c r="D3187" s="9">
        <v>1230.8800000000001</v>
      </c>
      <c r="E3187" s="9">
        <f t="shared" si="148"/>
        <v>1.3520406512394181E-2</v>
      </c>
      <c r="F3187" s="45">
        <f t="shared" si="149"/>
        <v>1.4319506949112333E-2</v>
      </c>
      <c r="G3187" s="9">
        <f t="shared" si="150"/>
        <v>7.8317391782419116E-3</v>
      </c>
    </row>
    <row r="3188" spans="1:7" x14ac:dyDescent="0.2">
      <c r="A3188" s="12">
        <v>41520</v>
      </c>
      <c r="B3188" s="9">
        <v>1240.99</v>
      </c>
      <c r="C3188" s="9">
        <v>1226.22</v>
      </c>
      <c r="D3188" s="9">
        <v>1238.6400000000001</v>
      </c>
      <c r="E3188" s="9">
        <f t="shared" si="148"/>
        <v>6.2846427979569046E-3</v>
      </c>
      <c r="F3188" s="45">
        <f t="shared" si="149"/>
        <v>1.7888165756092672E-2</v>
      </c>
      <c r="G3188" s="9">
        <f t="shared" si="150"/>
        <v>7.8937708113056577E-3</v>
      </c>
    </row>
    <row r="3189" spans="1:7" x14ac:dyDescent="0.2">
      <c r="A3189" s="12">
        <v>41521</v>
      </c>
      <c r="B3189" s="9">
        <v>1244.5899999999999</v>
      </c>
      <c r="C3189" s="9">
        <v>1232.71</v>
      </c>
      <c r="D3189" s="9">
        <v>1242.52</v>
      </c>
      <c r="E3189" s="9">
        <f t="shared" si="148"/>
        <v>3.1275719121305122E-3</v>
      </c>
      <c r="F3189" s="45">
        <f t="shared" si="149"/>
        <v>9.8510214877546853E-3</v>
      </c>
      <c r="G3189" s="9">
        <f t="shared" si="150"/>
        <v>7.6555123060067145E-3</v>
      </c>
    </row>
    <row r="3190" spans="1:7" x14ac:dyDescent="0.2">
      <c r="A3190" s="12">
        <v>41522</v>
      </c>
      <c r="B3190" s="9">
        <v>1250.1099999999999</v>
      </c>
      <c r="C3190" s="9">
        <v>1241.5899999999999</v>
      </c>
      <c r="D3190" s="9">
        <v>1243.9000000000001</v>
      </c>
      <c r="E3190" s="9">
        <f t="shared" si="148"/>
        <v>1.1100297952069307E-3</v>
      </c>
      <c r="F3190" s="45">
        <f t="shared" si="149"/>
        <v>8.8419333742144716E-3</v>
      </c>
      <c r="G3190" s="9">
        <f t="shared" si="150"/>
        <v>7.6495874535494491E-3</v>
      </c>
    </row>
    <row r="3191" spans="1:7" x14ac:dyDescent="0.2">
      <c r="A3191" s="12">
        <v>41523</v>
      </c>
      <c r="B3191" s="9">
        <v>1250.1300000000001</v>
      </c>
      <c r="C3191" s="9">
        <v>1238.45</v>
      </c>
      <c r="D3191" s="9">
        <v>1249.05</v>
      </c>
      <c r="E3191" s="9">
        <f t="shared" si="148"/>
        <v>4.1316571340188953E-3</v>
      </c>
      <c r="F3191" s="45">
        <f t="shared" si="149"/>
        <v>1.711044565674491E-2</v>
      </c>
      <c r="G3191" s="9">
        <f t="shared" si="150"/>
        <v>7.6333514115697696E-3</v>
      </c>
    </row>
    <row r="3192" spans="1:7" x14ac:dyDescent="0.2">
      <c r="A3192" s="12">
        <v>41526</v>
      </c>
      <c r="B3192" s="9">
        <v>1251.05</v>
      </c>
      <c r="C3192" s="9">
        <v>1242.49</v>
      </c>
      <c r="D3192" s="9">
        <v>1249.1099999999999</v>
      </c>
      <c r="E3192" s="9">
        <f t="shared" si="148"/>
        <v>4.8035354029672044E-5</v>
      </c>
      <c r="F3192" s="45">
        <f t="shared" si="149"/>
        <v>1.7875432044401712E-2</v>
      </c>
      <c r="G3192" s="9">
        <f t="shared" si="150"/>
        <v>7.6301799228725405E-3</v>
      </c>
    </row>
    <row r="3193" spans="1:7" x14ac:dyDescent="0.2">
      <c r="A3193" s="12">
        <v>41527</v>
      </c>
      <c r="B3193" s="9">
        <v>1268.25</v>
      </c>
      <c r="C3193" s="9">
        <v>1255.68</v>
      </c>
      <c r="D3193" s="9">
        <v>1268.22</v>
      </c>
      <c r="E3193" s="9">
        <f t="shared" si="148"/>
        <v>1.5183044820832594E-2</v>
      </c>
      <c r="F3193" s="45">
        <f t="shared" si="149"/>
        <v>2.5038432578545874E-2</v>
      </c>
      <c r="G3193" s="9">
        <f t="shared" si="150"/>
        <v>7.9748031269698157E-3</v>
      </c>
    </row>
    <row r="3194" spans="1:7" x14ac:dyDescent="0.2">
      <c r="A3194" s="12">
        <v>41528</v>
      </c>
      <c r="B3194" s="9">
        <v>1274.1600000000001</v>
      </c>
      <c r="C3194" s="9">
        <v>1265.8599999999999</v>
      </c>
      <c r="D3194" s="9">
        <v>1270.6600000000001</v>
      </c>
      <c r="E3194" s="9">
        <f t="shared" si="148"/>
        <v>1.9221079777026313E-3</v>
      </c>
      <c r="F3194" s="45">
        <f t="shared" si="149"/>
        <v>2.9218800552030699E-2</v>
      </c>
      <c r="G3194" s="9">
        <f t="shared" si="150"/>
        <v>7.9553957328394685E-3</v>
      </c>
    </row>
    <row r="3195" spans="1:7" x14ac:dyDescent="0.2">
      <c r="A3195" s="12">
        <v>41529</v>
      </c>
      <c r="B3195" s="9">
        <v>1271.3800000000001</v>
      </c>
      <c r="C3195" s="9">
        <v>1265.18</v>
      </c>
      <c r="D3195" s="9">
        <v>1268.3</v>
      </c>
      <c r="E3195" s="9">
        <f t="shared" si="148"/>
        <v>-1.8590294291191156E-3</v>
      </c>
      <c r="F3195" s="45">
        <f t="shared" si="149"/>
        <v>1.583071031133711E-2</v>
      </c>
      <c r="G3195" s="9">
        <f t="shared" si="150"/>
        <v>7.7147469498259407E-3</v>
      </c>
    </row>
    <row r="3196" spans="1:7" x14ac:dyDescent="0.2">
      <c r="A3196" s="12">
        <v>41530</v>
      </c>
      <c r="B3196" s="9">
        <v>1266.8900000000001</v>
      </c>
      <c r="C3196" s="9">
        <v>1262.21</v>
      </c>
      <c r="D3196" s="9">
        <v>1265.97</v>
      </c>
      <c r="E3196" s="9">
        <f t="shared" si="148"/>
        <v>-1.83879433249764E-3</v>
      </c>
      <c r="F3196" s="45">
        <f t="shared" si="149"/>
        <v>1.2263168729674258E-2</v>
      </c>
      <c r="G3196" s="9">
        <f t="shared" si="150"/>
        <v>7.7230862185382939E-3</v>
      </c>
    </row>
    <row r="3197" spans="1:7" x14ac:dyDescent="0.2">
      <c r="A3197" s="12">
        <v>41533</v>
      </c>
      <c r="B3197" s="9">
        <v>1279.99</v>
      </c>
      <c r="C3197" s="9">
        <v>1273.77</v>
      </c>
      <c r="D3197" s="9">
        <v>1278.4100000000001</v>
      </c>
      <c r="E3197" s="9">
        <f t="shared" si="148"/>
        <v>9.7784915183773812E-3</v>
      </c>
      <c r="F3197" s="45">
        <f t="shared" si="149"/>
        <v>2.1058568545534416E-2</v>
      </c>
      <c r="G3197" s="9">
        <f t="shared" si="150"/>
        <v>7.9103139171762833E-3</v>
      </c>
    </row>
    <row r="3198" spans="1:7" x14ac:dyDescent="0.2">
      <c r="A3198" s="12">
        <v>41534</v>
      </c>
      <c r="B3198" s="9">
        <v>1277.53</v>
      </c>
      <c r="C3198" s="9">
        <v>1273.6199999999999</v>
      </c>
      <c r="D3198" s="9">
        <v>1274.22</v>
      </c>
      <c r="E3198" s="9">
        <f t="shared" si="148"/>
        <v>-3.2828915770011019E-3</v>
      </c>
      <c r="F3198" s="45">
        <f t="shared" si="149"/>
        <v>2.5514629498603638E-2</v>
      </c>
      <c r="G3198" s="9">
        <f t="shared" si="150"/>
        <v>7.7872290358529488E-3</v>
      </c>
    </row>
    <row r="3199" spans="1:7" x14ac:dyDescent="0.2">
      <c r="A3199" s="12">
        <v>41535</v>
      </c>
      <c r="B3199" s="9">
        <v>1277.1199999999999</v>
      </c>
      <c r="C3199" s="9">
        <v>1271.3800000000001</v>
      </c>
      <c r="D3199" s="9">
        <v>1276.74</v>
      </c>
      <c r="E3199" s="9">
        <f t="shared" ref="E3199:E3262" si="151">LN(D3199/D3198)</f>
        <v>1.9757274278974597E-3</v>
      </c>
      <c r="F3199" s="45">
        <f t="shared" si="149"/>
        <v>2.886798400085205E-2</v>
      </c>
      <c r="G3199" s="9">
        <f t="shared" si="150"/>
        <v>7.7782055862135793E-3</v>
      </c>
    </row>
    <row r="3200" spans="1:7" x14ac:dyDescent="0.2">
      <c r="A3200" s="12">
        <v>41536</v>
      </c>
      <c r="B3200" s="9">
        <v>1291.8800000000001</v>
      </c>
      <c r="C3200" s="9">
        <v>1282.92</v>
      </c>
      <c r="D3200" s="9">
        <v>1286.49</v>
      </c>
      <c r="E3200" s="9">
        <f t="shared" si="151"/>
        <v>7.6076255538344573E-3</v>
      </c>
      <c r="F3200" s="45">
        <f t="shared" si="149"/>
        <v>2.9398223136675884E-2</v>
      </c>
      <c r="G3200" s="9">
        <f t="shared" si="150"/>
        <v>7.7931683522914526E-3</v>
      </c>
    </row>
    <row r="3201" spans="1:7" x14ac:dyDescent="0.2">
      <c r="A3201" s="12">
        <v>41537</v>
      </c>
      <c r="B3201" s="9">
        <v>1287.01</v>
      </c>
      <c r="C3201" s="9">
        <v>1283.19</v>
      </c>
      <c r="D3201" s="9">
        <v>1285.78</v>
      </c>
      <c r="E3201" s="9">
        <f t="shared" si="151"/>
        <v>-5.5204159596864018E-4</v>
      </c>
      <c r="F3201" s="45">
        <f t="shared" si="149"/>
        <v>2.5194574013673067E-2</v>
      </c>
      <c r="G3201" s="9">
        <f t="shared" si="150"/>
        <v>7.7812570134432194E-3</v>
      </c>
    </row>
    <row r="3202" spans="1:7" x14ac:dyDescent="0.2">
      <c r="A3202" s="12">
        <v>41540</v>
      </c>
      <c r="B3202" s="9">
        <v>1286.69</v>
      </c>
      <c r="C3202" s="9">
        <v>1273.3399999999999</v>
      </c>
      <c r="D3202" s="9">
        <v>1274.77</v>
      </c>
      <c r="E3202" s="9">
        <f t="shared" si="151"/>
        <v>-8.599767904984245E-3</v>
      </c>
      <c r="F3202" s="45">
        <f t="shared" si="149"/>
        <v>1.6674567462759689E-2</v>
      </c>
      <c r="G3202" s="9">
        <f t="shared" si="150"/>
        <v>7.9691892722178383E-3</v>
      </c>
    </row>
    <row r="3203" spans="1:7" x14ac:dyDescent="0.2">
      <c r="A3203" s="12">
        <v>41541</v>
      </c>
      <c r="B3203" s="9">
        <v>1282.73</v>
      </c>
      <c r="C3203" s="9">
        <v>1274.78</v>
      </c>
      <c r="D3203" s="9">
        <v>1282.73</v>
      </c>
      <c r="E3203" s="9">
        <f t="shared" si="151"/>
        <v>6.2248490348526565E-3</v>
      </c>
      <c r="F3203" s="45">
        <f t="shared" si="149"/>
        <v>1.7529752861510494E-2</v>
      </c>
      <c r="G3203" s="9">
        <f t="shared" si="150"/>
        <v>7.98850850406887E-3</v>
      </c>
    </row>
    <row r="3204" spans="1:7" x14ac:dyDescent="0.2">
      <c r="A3204" s="12">
        <v>41542</v>
      </c>
      <c r="B3204" s="9">
        <v>1276.6500000000001</v>
      </c>
      <c r="C3204" s="9">
        <v>1263.03</v>
      </c>
      <c r="D3204" s="9">
        <v>1265.69</v>
      </c>
      <c r="E3204" s="9">
        <f t="shared" si="151"/>
        <v>-1.3373191197077189E-2</v>
      </c>
      <c r="F3204" s="45">
        <f t="shared" si="149"/>
        <v>2.5393875609399418E-3</v>
      </c>
      <c r="G3204" s="9">
        <f t="shared" si="150"/>
        <v>8.3808626233937995E-3</v>
      </c>
    </row>
    <row r="3205" spans="1:7" x14ac:dyDescent="0.2">
      <c r="A3205" s="12">
        <v>41543</v>
      </c>
      <c r="B3205" s="9">
        <v>1277.4100000000001</v>
      </c>
      <c r="C3205" s="9">
        <v>1272.27</v>
      </c>
      <c r="D3205" s="9">
        <v>1275.23</v>
      </c>
      <c r="E3205" s="9">
        <f t="shared" si="151"/>
        <v>7.5091264798635027E-3</v>
      </c>
      <c r="F3205" s="45">
        <f t="shared" si="149"/>
        <v>2.3709939591968196E-2</v>
      </c>
      <c r="G3205" s="9">
        <f t="shared" si="150"/>
        <v>8.0690031970911385E-3</v>
      </c>
    </row>
    <row r="3206" spans="1:7" x14ac:dyDescent="0.2">
      <c r="A3206" s="12">
        <v>41544</v>
      </c>
      <c r="B3206" s="9">
        <v>1279.67</v>
      </c>
      <c r="C3206" s="9">
        <v>1266.24</v>
      </c>
      <c r="D3206" s="9">
        <v>1269.48</v>
      </c>
      <c r="E3206" s="9">
        <f t="shared" si="151"/>
        <v>-4.5191866939970878E-3</v>
      </c>
      <c r="F3206" s="45">
        <f t="shared" si="149"/>
        <v>1.1455859092800055E-2</v>
      </c>
      <c r="G3206" s="9">
        <f t="shared" si="150"/>
        <v>8.0153176252449141E-3</v>
      </c>
    </row>
    <row r="3207" spans="1:7" x14ac:dyDescent="0.2">
      <c r="A3207" s="12">
        <v>41547</v>
      </c>
      <c r="B3207" s="9">
        <v>1262.1400000000001</v>
      </c>
      <c r="C3207" s="9">
        <v>1253.29</v>
      </c>
      <c r="D3207" s="9">
        <v>1259.5999999999999</v>
      </c>
      <c r="E3207" s="9">
        <f t="shared" si="151"/>
        <v>-7.8131575598139949E-3</v>
      </c>
      <c r="F3207" s="45">
        <f t="shared" si="149"/>
        <v>6.9788846214188733E-3</v>
      </c>
      <c r="G3207" s="9">
        <f t="shared" si="150"/>
        <v>8.1278163466785673E-3</v>
      </c>
    </row>
    <row r="3208" spans="1:7" x14ac:dyDescent="0.2">
      <c r="A3208" s="12">
        <v>41548</v>
      </c>
      <c r="B3208" s="9">
        <v>1269.25</v>
      </c>
      <c r="C3208" s="9">
        <v>1258.6199999999999</v>
      </c>
      <c r="D3208" s="9">
        <v>1268.3499999999999</v>
      </c>
      <c r="E3208" s="9">
        <f t="shared" si="151"/>
        <v>6.9226329189376922E-3</v>
      </c>
      <c r="F3208" s="45">
        <f t="shared" si="149"/>
        <v>1.6855895007012497E-2</v>
      </c>
      <c r="G3208" s="9">
        <f t="shared" si="150"/>
        <v>8.1940429297689289E-3</v>
      </c>
    </row>
    <row r="3209" spans="1:7" x14ac:dyDescent="0.2">
      <c r="A3209" s="12">
        <v>41549</v>
      </c>
      <c r="B3209" s="9">
        <v>1265.28</v>
      </c>
      <c r="C3209" s="9">
        <v>1255.53</v>
      </c>
      <c r="D3209" s="9">
        <v>1260.24</v>
      </c>
      <c r="E3209" s="9">
        <f t="shared" si="151"/>
        <v>-6.4146641480936871E-3</v>
      </c>
      <c r="F3209" s="45">
        <f t="shared" si="149"/>
        <v>2.7504559298904472E-2</v>
      </c>
      <c r="G3209" s="9">
        <f t="shared" si="150"/>
        <v>7.6143525977492845E-3</v>
      </c>
    </row>
    <row r="3210" spans="1:7" x14ac:dyDescent="0.2">
      <c r="A3210" s="12">
        <v>41550</v>
      </c>
      <c r="B3210" s="9">
        <v>1267.98</v>
      </c>
      <c r="C3210" s="9">
        <v>1254.57</v>
      </c>
      <c r="D3210" s="9">
        <v>1256.27</v>
      </c>
      <c r="E3210" s="9">
        <f t="shared" si="151"/>
        <v>-3.1551659190459775E-3</v>
      </c>
      <c r="F3210" s="45">
        <f t="shared" si="149"/>
        <v>1.5344749048988988E-2</v>
      </c>
      <c r="G3210" s="9">
        <f t="shared" si="150"/>
        <v>7.4916321904108839E-3</v>
      </c>
    </row>
    <row r="3211" spans="1:7" x14ac:dyDescent="0.2">
      <c r="A3211" s="12">
        <v>41551</v>
      </c>
      <c r="B3211" s="9">
        <v>1258.83</v>
      </c>
      <c r="C3211" s="9">
        <v>1250.83</v>
      </c>
      <c r="D3211" s="9">
        <v>1251.3900000000001</v>
      </c>
      <c r="E3211" s="9">
        <f t="shared" si="151"/>
        <v>-3.892079596356993E-3</v>
      </c>
      <c r="F3211" s="45">
        <f t="shared" si="149"/>
        <v>6.0676441862119821E-3</v>
      </c>
      <c r="G3211" s="9">
        <f t="shared" si="150"/>
        <v>7.474977385412019E-3</v>
      </c>
    </row>
    <row r="3212" spans="1:7" x14ac:dyDescent="0.2">
      <c r="A3212" s="12">
        <v>41554</v>
      </c>
      <c r="B3212" s="9">
        <v>1249.3499999999999</v>
      </c>
      <c r="C3212" s="9">
        <v>1239.26</v>
      </c>
      <c r="D3212" s="9">
        <v>1246.8599999999999</v>
      </c>
      <c r="E3212" s="9">
        <f t="shared" si="151"/>
        <v>-3.6265425516323244E-3</v>
      </c>
      <c r="F3212" s="45">
        <f t="shared" si="149"/>
        <v>6.97996297668772E-4</v>
      </c>
      <c r="G3212" s="9">
        <f t="shared" si="150"/>
        <v>7.5010520764651183E-3</v>
      </c>
    </row>
    <row r="3213" spans="1:7" x14ac:dyDescent="0.2">
      <c r="A3213" s="12">
        <v>41555</v>
      </c>
      <c r="B3213" s="9">
        <v>1247.8499999999999</v>
      </c>
      <c r="C3213" s="9">
        <v>1239.92</v>
      </c>
      <c r="D3213" s="9">
        <v>1241.82</v>
      </c>
      <c r="E3213" s="9">
        <f t="shared" si="151"/>
        <v>-4.0503454764962898E-3</v>
      </c>
      <c r="F3213" s="45">
        <f t="shared" si="149"/>
        <v>1.3759657952434836E-2</v>
      </c>
      <c r="G3213" s="9">
        <f t="shared" si="150"/>
        <v>6.8203486011004615E-3</v>
      </c>
    </row>
    <row r="3214" spans="1:7" x14ac:dyDescent="0.2">
      <c r="A3214" s="12">
        <v>41556</v>
      </c>
      <c r="B3214" s="9">
        <v>1245.8499999999999</v>
      </c>
      <c r="C3214" s="9">
        <v>1234.04</v>
      </c>
      <c r="D3214" s="9">
        <v>1235.3599999999999</v>
      </c>
      <c r="E3214" s="9">
        <f t="shared" si="151"/>
        <v>-5.2156198936764014E-3</v>
      </c>
      <c r="F3214" s="45">
        <f t="shared" si="149"/>
        <v>1.4029111163975982E-2</v>
      </c>
      <c r="G3214" s="9">
        <f t="shared" si="150"/>
        <v>6.8124241663481506E-3</v>
      </c>
    </row>
    <row r="3215" spans="1:7" x14ac:dyDescent="0.2">
      <c r="A3215" s="12">
        <v>41557</v>
      </c>
      <c r="B3215" s="9">
        <v>1261.6199999999999</v>
      </c>
      <c r="C3215" s="9">
        <v>1242.17</v>
      </c>
      <c r="D3215" s="9">
        <v>1260.52</v>
      </c>
      <c r="E3215" s="9">
        <f t="shared" si="151"/>
        <v>2.0161908661149537E-2</v>
      </c>
      <c r="F3215" s="45">
        <f t="shared" si="149"/>
        <v>2.914691424244668E-2</v>
      </c>
      <c r="G3215" s="9">
        <f t="shared" si="150"/>
        <v>7.6680406443594314E-3</v>
      </c>
    </row>
    <row r="3216" spans="1:7" x14ac:dyDescent="0.2">
      <c r="A3216" s="12">
        <v>41558</v>
      </c>
      <c r="B3216" s="9">
        <v>1268.01</v>
      </c>
      <c r="C3216" s="9">
        <v>1260.24</v>
      </c>
      <c r="D3216" s="9">
        <v>1266.3900000000001</v>
      </c>
      <c r="E3216" s="9">
        <f t="shared" si="151"/>
        <v>4.6459989147286601E-3</v>
      </c>
      <c r="F3216" s="45">
        <f t="shared" si="149"/>
        <v>4.1961378938153424E-2</v>
      </c>
      <c r="G3216" s="9">
        <f t="shared" si="150"/>
        <v>7.4963306456821083E-3</v>
      </c>
    </row>
    <row r="3217" spans="1:7" x14ac:dyDescent="0.2">
      <c r="A3217" s="12">
        <v>41561</v>
      </c>
      <c r="B3217" s="9">
        <v>1262.01</v>
      </c>
      <c r="C3217" s="9">
        <v>1254.46</v>
      </c>
      <c r="D3217" s="9">
        <v>1258.72</v>
      </c>
      <c r="E3217" s="9">
        <f t="shared" si="151"/>
        <v>-6.0750015554514652E-3</v>
      </c>
      <c r="F3217" s="45">
        <f t="shared" si="149"/>
        <v>2.2365970870307724E-2</v>
      </c>
      <c r="G3217" s="9">
        <f t="shared" si="150"/>
        <v>7.2534791381460148E-3</v>
      </c>
    </row>
    <row r="3218" spans="1:7" x14ac:dyDescent="0.2">
      <c r="A3218" s="12">
        <v>41562</v>
      </c>
      <c r="B3218" s="9">
        <v>1272.3900000000001</v>
      </c>
      <c r="C3218" s="9">
        <v>1262.5</v>
      </c>
      <c r="D3218" s="9">
        <v>1265.46</v>
      </c>
      <c r="E3218" s="9">
        <f t="shared" si="151"/>
        <v>5.3403608446458903E-3</v>
      </c>
      <c r="F3218" s="45">
        <f t="shared" si="149"/>
        <v>2.1421688916996688E-2</v>
      </c>
      <c r="G3218" s="9">
        <f t="shared" si="150"/>
        <v>7.2306264590084402E-3</v>
      </c>
    </row>
    <row r="3219" spans="1:7" x14ac:dyDescent="0.2">
      <c r="A3219" s="12">
        <v>41563</v>
      </c>
      <c r="B3219" s="9">
        <v>1266.94</v>
      </c>
      <c r="C3219" s="9">
        <v>1253.77</v>
      </c>
      <c r="D3219" s="9">
        <v>1266.01</v>
      </c>
      <c r="E3219" s="9">
        <f t="shared" si="151"/>
        <v>4.3453014150210385E-4</v>
      </c>
      <c r="F3219" s="45">
        <f t="shared" si="149"/>
        <v>1.8728647146368214E-2</v>
      </c>
      <c r="G3219" s="9">
        <f t="shared" si="150"/>
        <v>7.2163323830510065E-3</v>
      </c>
    </row>
    <row r="3220" spans="1:7" x14ac:dyDescent="0.2">
      <c r="A3220" s="12">
        <v>41564</v>
      </c>
      <c r="B3220" s="9">
        <v>1269.1099999999999</v>
      </c>
      <c r="C3220" s="9">
        <v>1257.99</v>
      </c>
      <c r="D3220" s="9">
        <v>1266.9100000000001</v>
      </c>
      <c r="E3220" s="9">
        <f t="shared" si="151"/>
        <v>7.1064229259199354E-4</v>
      </c>
      <c r="F3220" s="45">
        <f t="shared" si="149"/>
        <v>1.8329259643753214E-2</v>
      </c>
      <c r="G3220" s="9">
        <f t="shared" si="150"/>
        <v>7.2157737510582815E-3</v>
      </c>
    </row>
    <row r="3221" spans="1:7" x14ac:dyDescent="0.2">
      <c r="A3221" s="12">
        <v>41565</v>
      </c>
      <c r="B3221" s="9">
        <v>1283.9000000000001</v>
      </c>
      <c r="C3221" s="9">
        <v>1268.3499999999999</v>
      </c>
      <c r="D3221" s="9">
        <v>1283.9000000000001</v>
      </c>
      <c r="E3221" s="9">
        <f t="shared" si="151"/>
        <v>1.3321455737365862E-2</v>
      </c>
      <c r="F3221" s="45">
        <f t="shared" si="149"/>
        <v>2.7519058247100082E-2</v>
      </c>
      <c r="G3221" s="9">
        <f t="shared" si="150"/>
        <v>7.5573676451608385E-3</v>
      </c>
    </row>
    <row r="3222" spans="1:7" x14ac:dyDescent="0.2">
      <c r="A3222" s="12">
        <v>41568</v>
      </c>
      <c r="B3222" s="9">
        <v>1290.76</v>
      </c>
      <c r="C3222" s="9">
        <v>1284.24</v>
      </c>
      <c r="D3222" s="9">
        <v>1288.55</v>
      </c>
      <c r="E3222" s="9">
        <f t="shared" si="151"/>
        <v>3.6152345542910165E-3</v>
      </c>
      <c r="F3222" s="45">
        <f t="shared" si="149"/>
        <v>3.108625744736131E-2</v>
      </c>
      <c r="G3222" s="9">
        <f t="shared" si="150"/>
        <v>7.5712692379015095E-3</v>
      </c>
    </row>
    <row r="3223" spans="1:7" x14ac:dyDescent="0.2">
      <c r="A3223" s="12">
        <v>41569</v>
      </c>
      <c r="B3223" s="9">
        <v>1300.92</v>
      </c>
      <c r="C3223" s="9">
        <v>1291.03</v>
      </c>
      <c r="D3223" s="9">
        <v>1300.23</v>
      </c>
      <c r="E3223" s="9">
        <f t="shared" si="151"/>
        <v>9.0236167261801923E-3</v>
      </c>
      <c r="F3223" s="45">
        <f t="shared" si="149"/>
        <v>2.4926829352709016E-2</v>
      </c>
      <c r="G3223" s="9">
        <f t="shared" si="150"/>
        <v>7.2511604615076502E-3</v>
      </c>
    </row>
    <row r="3224" spans="1:7" x14ac:dyDescent="0.2">
      <c r="A3224" s="12">
        <v>41570</v>
      </c>
      <c r="B3224" s="9">
        <v>1295.0999999999999</v>
      </c>
      <c r="C3224" s="9">
        <v>1288.79</v>
      </c>
      <c r="D3224" s="9">
        <v>1291.6199999999999</v>
      </c>
      <c r="E3224" s="9">
        <f t="shared" si="151"/>
        <v>-6.6439274430990297E-3</v>
      </c>
      <c r="F3224" s="45">
        <f t="shared" si="149"/>
        <v>1.6360793931907303E-2</v>
      </c>
      <c r="G3224" s="9">
        <f t="shared" si="150"/>
        <v>7.3743189688094211E-3</v>
      </c>
    </row>
    <row r="3225" spans="1:7" x14ac:dyDescent="0.2">
      <c r="A3225" s="12">
        <v>41571</v>
      </c>
      <c r="B3225" s="9">
        <v>1298.6600000000001</v>
      </c>
      <c r="C3225" s="9">
        <v>1290.02</v>
      </c>
      <c r="D3225" s="9">
        <v>1298.5999999999999</v>
      </c>
      <c r="E3225" s="9">
        <f t="shared" si="151"/>
        <v>5.3895166399760865E-3</v>
      </c>
      <c r="F3225" s="45">
        <f t="shared" si="149"/>
        <v>2.3609340001002389E-2</v>
      </c>
      <c r="G3225" s="9">
        <f t="shared" si="150"/>
        <v>7.4114780848080096E-3</v>
      </c>
    </row>
    <row r="3226" spans="1:7" x14ac:dyDescent="0.2">
      <c r="A3226" s="12">
        <v>41572</v>
      </c>
      <c r="B3226" s="9">
        <v>1291.6099999999999</v>
      </c>
      <c r="C3226" s="9">
        <v>1284.31</v>
      </c>
      <c r="D3226" s="9">
        <v>1290.6300000000001</v>
      </c>
      <c r="E3226" s="9">
        <f t="shared" si="151"/>
        <v>-6.1562898404832322E-3</v>
      </c>
      <c r="F3226" s="45">
        <f t="shared" si="149"/>
        <v>1.9291844493016762E-2</v>
      </c>
      <c r="G3226" s="9">
        <f t="shared" si="150"/>
        <v>7.5055454066645056E-3</v>
      </c>
    </row>
    <row r="3227" spans="1:7" x14ac:dyDescent="0.2">
      <c r="A3227" s="12">
        <v>41575</v>
      </c>
      <c r="B3227" s="9">
        <v>1294.97</v>
      </c>
      <c r="C3227" s="9">
        <v>1285.3</v>
      </c>
      <c r="D3227" s="9">
        <v>1288.42</v>
      </c>
      <c r="E3227" s="9">
        <f t="shared" si="151"/>
        <v>-1.7138097678788928E-3</v>
      </c>
      <c r="F3227" s="45">
        <f t="shared" si="149"/>
        <v>7.7995432067604169E-3</v>
      </c>
      <c r="G3227" s="9">
        <f t="shared" si="150"/>
        <v>7.3140381574632639E-3</v>
      </c>
    </row>
    <row r="3228" spans="1:7" x14ac:dyDescent="0.2">
      <c r="A3228" s="12">
        <v>41576</v>
      </c>
      <c r="B3228" s="9">
        <v>1293.7</v>
      </c>
      <c r="C3228" s="9">
        <v>1285.01</v>
      </c>
      <c r="D3228" s="9">
        <v>1290.78</v>
      </c>
      <c r="E3228" s="9">
        <f t="shared" si="151"/>
        <v>1.8300253246239652E-3</v>
      </c>
      <c r="F3228" s="45">
        <f t="shared" si="149"/>
        <v>1.291246010838568E-2</v>
      </c>
      <c r="G3228" s="9">
        <f t="shared" si="150"/>
        <v>7.2881602808101123E-3</v>
      </c>
    </row>
    <row r="3229" spans="1:7" x14ac:dyDescent="0.2">
      <c r="A3229" s="12">
        <v>41577</v>
      </c>
      <c r="B3229" s="9">
        <v>1295.5999999999999</v>
      </c>
      <c r="C3229" s="9">
        <v>1287.95</v>
      </c>
      <c r="D3229" s="9">
        <v>1291.1400000000001</v>
      </c>
      <c r="E3229" s="9">
        <f t="shared" si="151"/>
        <v>2.7886224385962206E-4</v>
      </c>
      <c r="F3229" s="45">
        <f t="shared" si="149"/>
        <v>1.1215594924347719E-2</v>
      </c>
      <c r="G3229" s="9">
        <f t="shared" si="150"/>
        <v>7.2823360418925957E-3</v>
      </c>
    </row>
    <row r="3230" spans="1:7" x14ac:dyDescent="0.2">
      <c r="A3230" s="12">
        <v>41578</v>
      </c>
      <c r="B3230" s="9">
        <v>1290.68</v>
      </c>
      <c r="C3230" s="9">
        <v>1281.8800000000001</v>
      </c>
      <c r="D3230" s="9">
        <v>1283.52</v>
      </c>
      <c r="E3230" s="9">
        <f t="shared" si="151"/>
        <v>-5.9192454528198303E-3</v>
      </c>
      <c r="F3230" s="45">
        <f t="shared" si="149"/>
        <v>-2.3112760823064096E-3</v>
      </c>
      <c r="G3230" s="9">
        <f t="shared" si="150"/>
        <v>7.2376328475141161E-3</v>
      </c>
    </row>
    <row r="3231" spans="1:7" x14ac:dyDescent="0.2">
      <c r="A3231" s="12">
        <v>41579</v>
      </c>
      <c r="B3231" s="9">
        <v>1285.49</v>
      </c>
      <c r="C3231" s="9">
        <v>1274.95</v>
      </c>
      <c r="D3231" s="9">
        <v>1278.42</v>
      </c>
      <c r="E3231" s="9">
        <f t="shared" si="151"/>
        <v>-3.9813631363578789E-3</v>
      </c>
      <c r="F3231" s="45">
        <f t="shared" si="149"/>
        <v>-5.740597622695731E-3</v>
      </c>
      <c r="G3231" s="9">
        <f t="shared" si="150"/>
        <v>7.2723914267741928E-3</v>
      </c>
    </row>
    <row r="3232" spans="1:7" x14ac:dyDescent="0.2">
      <c r="A3232" s="12">
        <v>41582</v>
      </c>
      <c r="B3232" s="9">
        <v>1286.32</v>
      </c>
      <c r="C3232" s="9">
        <v>1279.73</v>
      </c>
      <c r="D3232" s="9">
        <v>1281.4100000000001</v>
      </c>
      <c r="E3232" s="9">
        <f t="shared" si="151"/>
        <v>2.3360936935542813E-3</v>
      </c>
      <c r="F3232" s="45">
        <f t="shared" si="149"/>
        <v>5.1952639758427619E-3</v>
      </c>
      <c r="G3232" s="9">
        <f t="shared" si="150"/>
        <v>7.1086221332437513E-3</v>
      </c>
    </row>
    <row r="3233" spans="1:7" x14ac:dyDescent="0.2">
      <c r="A3233" s="12">
        <v>41583</v>
      </c>
      <c r="B3233" s="9">
        <v>1285.29</v>
      </c>
      <c r="C3233" s="9">
        <v>1271.58</v>
      </c>
      <c r="D3233" s="9">
        <v>1274.07</v>
      </c>
      <c r="E3233" s="9">
        <f t="shared" si="151"/>
        <v>-5.7445334612549704E-3</v>
      </c>
      <c r="F3233" s="45">
        <f t="shared" ref="F3233:F3296" si="152">LN(D3233/D3203)</f>
        <v>-6.77411852026497E-3</v>
      </c>
      <c r="G3233" s="9">
        <f t="shared" ref="G3233:G3296" si="153">STDEV(E3204:E3233)</f>
        <v>7.093133491405096E-3</v>
      </c>
    </row>
    <row r="3234" spans="1:7" x14ac:dyDescent="0.2">
      <c r="A3234" s="12">
        <v>41584</v>
      </c>
      <c r="B3234" s="9">
        <v>1288.1400000000001</v>
      </c>
      <c r="C3234" s="9">
        <v>1275.1199999999999</v>
      </c>
      <c r="D3234" s="9">
        <v>1283.48</v>
      </c>
      <c r="E3234" s="9">
        <f t="shared" si="151"/>
        <v>7.3586381202618064E-3</v>
      </c>
      <c r="F3234" s="45">
        <f t="shared" si="152"/>
        <v>1.3957710797074099E-2</v>
      </c>
      <c r="G3234" s="9">
        <f t="shared" si="153"/>
        <v>6.7706434038793039E-3</v>
      </c>
    </row>
    <row r="3235" spans="1:7" x14ac:dyDescent="0.2">
      <c r="A3235" s="12">
        <v>41585</v>
      </c>
      <c r="B3235" s="9">
        <v>1296.48</v>
      </c>
      <c r="C3235" s="9">
        <v>1279.8499999999999</v>
      </c>
      <c r="D3235" s="9">
        <v>1284.69</v>
      </c>
      <c r="E3235" s="9">
        <f t="shared" si="151"/>
        <v>9.4230529095348423E-4</v>
      </c>
      <c r="F3235" s="45">
        <f t="shared" si="152"/>
        <v>7.3908896081639223E-3</v>
      </c>
      <c r="G3235" s="9">
        <f t="shared" si="153"/>
        <v>6.6399542767595441E-3</v>
      </c>
    </row>
    <row r="3236" spans="1:7" x14ac:dyDescent="0.2">
      <c r="A3236" s="12">
        <v>41586</v>
      </c>
      <c r="B3236" s="9">
        <v>1287.1500000000001</v>
      </c>
      <c r="C3236" s="9">
        <v>1274.95</v>
      </c>
      <c r="D3236" s="9">
        <v>1281.8599999999999</v>
      </c>
      <c r="E3236" s="9">
        <f t="shared" si="151"/>
        <v>-2.205295939635261E-3</v>
      </c>
      <c r="F3236" s="45">
        <f t="shared" si="152"/>
        <v>9.7047803625257955E-3</v>
      </c>
      <c r="G3236" s="9">
        <f t="shared" si="153"/>
        <v>6.5959822911670091E-3</v>
      </c>
    </row>
    <row r="3237" spans="1:7" x14ac:dyDescent="0.2">
      <c r="A3237" s="12">
        <v>41589</v>
      </c>
      <c r="B3237" s="9">
        <v>1287.99</v>
      </c>
      <c r="C3237" s="9">
        <v>1282.67</v>
      </c>
      <c r="D3237" s="9">
        <v>1287.71</v>
      </c>
      <c r="E3237" s="9">
        <f t="shared" si="151"/>
        <v>4.5532988843312054E-3</v>
      </c>
      <c r="F3237" s="45">
        <f t="shared" si="152"/>
        <v>2.2071236806671075E-2</v>
      </c>
      <c r="G3237" s="9">
        <f t="shared" si="153"/>
        <v>6.4548592524755451E-3</v>
      </c>
    </row>
    <row r="3238" spans="1:7" x14ac:dyDescent="0.2">
      <c r="A3238" s="12">
        <v>41590</v>
      </c>
      <c r="B3238" s="9">
        <v>1288.01</v>
      </c>
      <c r="C3238" s="9">
        <v>1278.9100000000001</v>
      </c>
      <c r="D3238" s="9">
        <v>1279.8599999999999</v>
      </c>
      <c r="E3238" s="9">
        <f t="shared" si="151"/>
        <v>-6.1147501017591891E-3</v>
      </c>
      <c r="F3238" s="45">
        <f t="shared" si="152"/>
        <v>9.0338537859739349E-3</v>
      </c>
      <c r="G3238" s="9">
        <f t="shared" si="153"/>
        <v>6.4628273572805489E-3</v>
      </c>
    </row>
    <row r="3239" spans="1:7" x14ac:dyDescent="0.2">
      <c r="A3239" s="12">
        <v>41591</v>
      </c>
      <c r="B3239" s="9">
        <v>1278.3699999999999</v>
      </c>
      <c r="C3239" s="9">
        <v>1269.75</v>
      </c>
      <c r="D3239" s="9">
        <v>1274.7</v>
      </c>
      <c r="E3239" s="9">
        <f t="shared" si="151"/>
        <v>-4.0398401429056156E-3</v>
      </c>
      <c r="F3239" s="45">
        <f t="shared" si="152"/>
        <v>1.1408677791162123E-2</v>
      </c>
      <c r="G3239" s="9">
        <f t="shared" si="153"/>
        <v>6.3918863740402183E-3</v>
      </c>
    </row>
    <row r="3240" spans="1:7" x14ac:dyDescent="0.2">
      <c r="A3240" s="12">
        <v>41592</v>
      </c>
      <c r="B3240" s="9">
        <v>1289.46</v>
      </c>
      <c r="C3240" s="9">
        <v>1281.8399999999999</v>
      </c>
      <c r="D3240" s="9">
        <v>1289.17</v>
      </c>
      <c r="E3240" s="9">
        <f t="shared" si="151"/>
        <v>1.1287743636537699E-2</v>
      </c>
      <c r="F3240" s="45">
        <f t="shared" si="152"/>
        <v>2.5851587346745693E-2</v>
      </c>
      <c r="G3240" s="9">
        <f t="shared" si="153"/>
        <v>6.6549177933589851E-3</v>
      </c>
    </row>
    <row r="3241" spans="1:7" x14ac:dyDescent="0.2">
      <c r="A3241" s="12">
        <v>41593</v>
      </c>
      <c r="B3241" s="9">
        <v>1296.76</v>
      </c>
      <c r="C3241" s="9">
        <v>1289.77</v>
      </c>
      <c r="D3241" s="9">
        <v>1295.93</v>
      </c>
      <c r="E3241" s="9">
        <f t="shared" si="151"/>
        <v>5.2299836824086197E-3</v>
      </c>
      <c r="F3241" s="45">
        <f t="shared" si="152"/>
        <v>3.4973650625511152E-2</v>
      </c>
      <c r="G3241" s="9">
        <f t="shared" si="153"/>
        <v>6.6386002480032262E-3</v>
      </c>
    </row>
    <row r="3242" spans="1:7" x14ac:dyDescent="0.2">
      <c r="A3242" s="12">
        <v>41596</v>
      </c>
      <c r="B3242" s="9">
        <v>1305.43</v>
      </c>
      <c r="C3242" s="9">
        <v>1293.43</v>
      </c>
      <c r="D3242" s="9">
        <v>1304.8</v>
      </c>
      <c r="E3242" s="9">
        <f t="shared" si="151"/>
        <v>6.8211881989822115E-3</v>
      </c>
      <c r="F3242" s="45">
        <f t="shared" si="152"/>
        <v>4.5421381376125752E-2</v>
      </c>
      <c r="G3242" s="9">
        <f t="shared" si="153"/>
        <v>6.6525545874472434E-3</v>
      </c>
    </row>
    <row r="3243" spans="1:7" x14ac:dyDescent="0.2">
      <c r="A3243" s="12">
        <v>41597</v>
      </c>
      <c r="B3243" s="9">
        <v>1301.17</v>
      </c>
      <c r="C3243" s="9">
        <v>1296.4100000000001</v>
      </c>
      <c r="D3243" s="9">
        <v>1299.51</v>
      </c>
      <c r="E3243" s="9">
        <f t="shared" si="151"/>
        <v>-4.0625019874570073E-3</v>
      </c>
      <c r="F3243" s="45">
        <f t="shared" si="152"/>
        <v>4.5409224865165E-2</v>
      </c>
      <c r="G3243" s="9">
        <f t="shared" si="153"/>
        <v>6.6529055712465862E-3</v>
      </c>
    </row>
    <row r="3244" spans="1:7" x14ac:dyDescent="0.2">
      <c r="A3244" s="12">
        <v>41598</v>
      </c>
      <c r="B3244" s="9">
        <v>1298.28</v>
      </c>
      <c r="C3244" s="9">
        <v>1289.67</v>
      </c>
      <c r="D3244" s="9">
        <v>1294.7</v>
      </c>
      <c r="E3244" s="9">
        <f t="shared" si="151"/>
        <v>-3.7082622547454061E-3</v>
      </c>
      <c r="F3244" s="45">
        <f t="shared" si="152"/>
        <v>4.6916582504095965E-2</v>
      </c>
      <c r="G3244" s="9">
        <f t="shared" si="153"/>
        <v>6.6058568789035526E-3</v>
      </c>
    </row>
    <row r="3245" spans="1:7" x14ac:dyDescent="0.2">
      <c r="A3245" s="12">
        <v>41599</v>
      </c>
      <c r="B3245" s="9">
        <v>1290.58</v>
      </c>
      <c r="C3245" s="9">
        <v>1281.77</v>
      </c>
      <c r="D3245" s="9">
        <v>1290.5</v>
      </c>
      <c r="E3245" s="9">
        <f t="shared" si="151"/>
        <v>-3.2492679059331073E-3</v>
      </c>
      <c r="F3245" s="45">
        <f t="shared" si="152"/>
        <v>2.3505405937013384E-2</v>
      </c>
      <c r="G3245" s="9">
        <f t="shared" si="153"/>
        <v>5.6461569962093913E-3</v>
      </c>
    </row>
    <row r="3246" spans="1:7" x14ac:dyDescent="0.2">
      <c r="A3246" s="12">
        <v>41600</v>
      </c>
      <c r="B3246" s="9">
        <v>1297.8699999999999</v>
      </c>
      <c r="C3246" s="9">
        <v>1290.45</v>
      </c>
      <c r="D3246" s="9">
        <v>1297.8699999999999</v>
      </c>
      <c r="E3246" s="9">
        <f t="shared" si="151"/>
        <v>5.6947190064066877E-3</v>
      </c>
      <c r="F3246" s="45">
        <f t="shared" si="152"/>
        <v>2.4554126028691472E-2</v>
      </c>
      <c r="G3246" s="9">
        <f t="shared" si="153"/>
        <v>5.6740731017926446E-3</v>
      </c>
    </row>
    <row r="3247" spans="1:7" x14ac:dyDescent="0.2">
      <c r="A3247" s="12">
        <v>41603</v>
      </c>
      <c r="B3247" s="9">
        <v>1306.1300000000001</v>
      </c>
      <c r="C3247" s="9">
        <v>1301.22</v>
      </c>
      <c r="D3247" s="9">
        <v>1306.1300000000001</v>
      </c>
      <c r="E3247" s="9">
        <f t="shared" si="151"/>
        <v>6.3441072993958214E-3</v>
      </c>
      <c r="F3247" s="45">
        <f t="shared" si="152"/>
        <v>3.6973234883538673E-2</v>
      </c>
      <c r="G3247" s="9">
        <f t="shared" si="153"/>
        <v>5.6064298528111754E-3</v>
      </c>
    </row>
    <row r="3248" spans="1:7" x14ac:dyDescent="0.2">
      <c r="A3248" s="12">
        <v>41604</v>
      </c>
      <c r="B3248" s="9">
        <v>1308.1300000000001</v>
      </c>
      <c r="C3248" s="9">
        <v>1304.07</v>
      </c>
      <c r="D3248" s="9">
        <v>1305.78</v>
      </c>
      <c r="E3248" s="9">
        <f t="shared" si="151"/>
        <v>-2.6800311044024571E-4</v>
      </c>
      <c r="F3248" s="45">
        <f t="shared" si="152"/>
        <v>3.1364870928452471E-2</v>
      </c>
      <c r="G3248" s="9">
        <f t="shared" si="153"/>
        <v>5.5580245989587437E-3</v>
      </c>
    </row>
    <row r="3249" spans="1:7" x14ac:dyDescent="0.2">
      <c r="A3249" s="12">
        <v>41605</v>
      </c>
      <c r="B3249" s="9">
        <v>1311.47</v>
      </c>
      <c r="C3249" s="9">
        <v>1305.22</v>
      </c>
      <c r="D3249" s="9">
        <v>1310.1300000000001</v>
      </c>
      <c r="E3249" s="9">
        <f t="shared" si="151"/>
        <v>3.3258055587581476E-3</v>
      </c>
      <c r="F3249" s="45">
        <f t="shared" si="152"/>
        <v>3.4256146345708664E-2</v>
      </c>
      <c r="G3249" s="9">
        <f t="shared" si="153"/>
        <v>5.5721145954203757E-3</v>
      </c>
    </row>
    <row r="3250" spans="1:7" x14ac:dyDescent="0.2">
      <c r="A3250" s="12">
        <v>41606</v>
      </c>
      <c r="B3250" s="9">
        <v>1316.3</v>
      </c>
      <c r="C3250" s="9">
        <v>1310.71</v>
      </c>
      <c r="D3250" s="9">
        <v>1315.21</v>
      </c>
      <c r="E3250" s="9">
        <f t="shared" si="151"/>
        <v>3.8699797665467453E-3</v>
      </c>
      <c r="F3250" s="45">
        <f t="shared" si="152"/>
        <v>3.7415483819663538E-2</v>
      </c>
      <c r="G3250" s="9">
        <f t="shared" si="153"/>
        <v>5.5934976809464245E-3</v>
      </c>
    </row>
    <row r="3251" spans="1:7" x14ac:dyDescent="0.2">
      <c r="A3251" s="12">
        <v>41607</v>
      </c>
      <c r="B3251" s="9">
        <v>1314.85</v>
      </c>
      <c r="C3251" s="9">
        <v>1307.71</v>
      </c>
      <c r="D3251" s="9">
        <v>1307.71</v>
      </c>
      <c r="E3251" s="9">
        <f t="shared" si="151"/>
        <v>-5.718832782276328E-3</v>
      </c>
      <c r="F3251" s="45">
        <f t="shared" si="152"/>
        <v>1.8375195300021446E-2</v>
      </c>
      <c r="G3251" s="9">
        <f t="shared" si="153"/>
        <v>5.245629245413325E-3</v>
      </c>
    </row>
    <row r="3252" spans="1:7" x14ac:dyDescent="0.2">
      <c r="A3252" s="12">
        <v>41610</v>
      </c>
      <c r="B3252" s="9">
        <v>1309.0899999999999</v>
      </c>
      <c r="C3252" s="9">
        <v>1301.1099999999999</v>
      </c>
      <c r="D3252" s="9">
        <v>1304.58</v>
      </c>
      <c r="E3252" s="9">
        <f t="shared" si="151"/>
        <v>-2.3963660220371131E-3</v>
      </c>
      <c r="F3252" s="45">
        <f t="shared" si="152"/>
        <v>1.2363594723693102E-2</v>
      </c>
      <c r="G3252" s="9">
        <f t="shared" si="153"/>
        <v>5.2417898125166791E-3</v>
      </c>
    </row>
    <row r="3253" spans="1:7" x14ac:dyDescent="0.2">
      <c r="A3253" s="12">
        <v>41611</v>
      </c>
      <c r="B3253" s="9">
        <v>1305.1099999999999</v>
      </c>
      <c r="C3253" s="9">
        <v>1278.98</v>
      </c>
      <c r="D3253" s="9">
        <v>1281.32</v>
      </c>
      <c r="E3253" s="9">
        <f t="shared" si="151"/>
        <v>-1.7990353334353205E-2</v>
      </c>
      <c r="F3253" s="45">
        <f t="shared" si="152"/>
        <v>-1.4650375336840289E-2</v>
      </c>
      <c r="G3253" s="9">
        <f t="shared" si="153"/>
        <v>5.979800595105297E-3</v>
      </c>
    </row>
    <row r="3254" spans="1:7" x14ac:dyDescent="0.2">
      <c r="A3254" s="12">
        <v>41612</v>
      </c>
      <c r="B3254" s="9">
        <v>1288.3</v>
      </c>
      <c r="C3254" s="9">
        <v>1269.42</v>
      </c>
      <c r="D3254" s="9">
        <v>1279.03</v>
      </c>
      <c r="E3254" s="9">
        <f t="shared" si="151"/>
        <v>-1.7888184120468486E-3</v>
      </c>
      <c r="F3254" s="45">
        <f t="shared" si="152"/>
        <v>-9.7952663057880827E-3</v>
      </c>
      <c r="G3254" s="9">
        <f t="shared" si="153"/>
        <v>5.8721926455247916E-3</v>
      </c>
    </row>
    <row r="3255" spans="1:7" x14ac:dyDescent="0.2">
      <c r="A3255" s="12">
        <v>41613</v>
      </c>
      <c r="B3255" s="9">
        <v>1284.2</v>
      </c>
      <c r="C3255" s="9">
        <v>1269.51</v>
      </c>
      <c r="D3255" s="9">
        <v>1269.51</v>
      </c>
      <c r="E3255" s="9">
        <f t="shared" si="151"/>
        <v>-7.4709788979383396E-3</v>
      </c>
      <c r="F3255" s="45">
        <f t="shared" si="152"/>
        <v>-2.2655761843702316E-2</v>
      </c>
      <c r="G3255" s="9">
        <f t="shared" si="153"/>
        <v>5.9098228385512427E-3</v>
      </c>
    </row>
    <row r="3256" spans="1:7" x14ac:dyDescent="0.2">
      <c r="A3256" s="12">
        <v>41614</v>
      </c>
      <c r="B3256" s="9">
        <v>1278.69</v>
      </c>
      <c r="C3256" s="9">
        <v>1263.3</v>
      </c>
      <c r="D3256" s="9">
        <v>1274.6300000000001</v>
      </c>
      <c r="E3256" s="9">
        <f t="shared" si="151"/>
        <v>4.0249411683813121E-3</v>
      </c>
      <c r="F3256" s="45">
        <f t="shared" si="152"/>
        <v>-1.2474530834837752E-2</v>
      </c>
      <c r="G3256" s="9">
        <f t="shared" si="153"/>
        <v>5.8812288803729781E-3</v>
      </c>
    </row>
    <row r="3257" spans="1:7" x14ac:dyDescent="0.2">
      <c r="A3257" s="12">
        <v>41617</v>
      </c>
      <c r="B3257" s="9">
        <v>1284.78</v>
      </c>
      <c r="C3257" s="9">
        <v>1273.92</v>
      </c>
      <c r="D3257" s="9">
        <v>1283.3499999999999</v>
      </c>
      <c r="E3257" s="9">
        <f t="shared" si="151"/>
        <v>6.8179061433112694E-3</v>
      </c>
      <c r="F3257" s="45">
        <f t="shared" si="152"/>
        <v>-3.9428149236475814E-3</v>
      </c>
      <c r="G3257" s="9">
        <f t="shared" si="153"/>
        <v>6.0209186464925228E-3</v>
      </c>
    </row>
    <row r="3258" spans="1:7" x14ac:dyDescent="0.2">
      <c r="A3258" s="12">
        <v>41618</v>
      </c>
      <c r="B3258" s="9">
        <v>1282.67</v>
      </c>
      <c r="C3258" s="9">
        <v>1266.96</v>
      </c>
      <c r="D3258" s="9">
        <v>1270.2</v>
      </c>
      <c r="E3258" s="9">
        <f t="shared" si="151"/>
        <v>-1.0299478173502132E-2</v>
      </c>
      <c r="F3258" s="45">
        <f t="shared" si="152"/>
        <v>-1.6072318421773667E-2</v>
      </c>
      <c r="G3258" s="9">
        <f t="shared" si="153"/>
        <v>6.286082554861485E-3</v>
      </c>
    </row>
    <row r="3259" spans="1:7" x14ac:dyDescent="0.2">
      <c r="A3259" s="12">
        <v>41619</v>
      </c>
      <c r="B3259" s="9">
        <v>1276.29</v>
      </c>
      <c r="C3259" s="9">
        <v>1265.28</v>
      </c>
      <c r="D3259" s="9">
        <v>1268.05</v>
      </c>
      <c r="E3259" s="9">
        <f t="shared" si="151"/>
        <v>-1.6940809724749605E-3</v>
      </c>
      <c r="F3259" s="45">
        <f t="shared" si="152"/>
        <v>-1.8045261638108365E-2</v>
      </c>
      <c r="G3259" s="9">
        <f t="shared" si="153"/>
        <v>6.2875865496527135E-3</v>
      </c>
    </row>
    <row r="3260" spans="1:7" x14ac:dyDescent="0.2">
      <c r="A3260" s="12">
        <v>41620</v>
      </c>
      <c r="B3260" s="9">
        <v>1265.1500000000001</v>
      </c>
      <c r="C3260" s="9">
        <v>1253.23</v>
      </c>
      <c r="D3260" s="9">
        <v>1255</v>
      </c>
      <c r="E3260" s="9">
        <f t="shared" si="151"/>
        <v>-1.0344714830515227E-2</v>
      </c>
      <c r="F3260" s="45">
        <f t="shared" si="152"/>
        <v>-2.2470731015803793E-2</v>
      </c>
      <c r="G3260" s="9">
        <f t="shared" si="153"/>
        <v>6.4660319584127351E-3</v>
      </c>
    </row>
    <row r="3261" spans="1:7" x14ac:dyDescent="0.2">
      <c r="A3261" s="12">
        <v>41621</v>
      </c>
      <c r="B3261" s="9">
        <v>1261.81</v>
      </c>
      <c r="C3261" s="9">
        <v>1252.69</v>
      </c>
      <c r="D3261" s="9">
        <v>1255.71</v>
      </c>
      <c r="E3261" s="9">
        <f t="shared" si="151"/>
        <v>5.6557708291767571E-4</v>
      </c>
      <c r="F3261" s="45">
        <f t="shared" si="152"/>
        <v>-1.7923790796528161E-2</v>
      </c>
      <c r="G3261" s="9">
        <f t="shared" si="153"/>
        <v>6.440894446536451E-3</v>
      </c>
    </row>
    <row r="3262" spans="1:7" x14ac:dyDescent="0.2">
      <c r="A3262" s="12">
        <v>41624</v>
      </c>
      <c r="B3262" s="9">
        <v>1269.1099999999999</v>
      </c>
      <c r="C3262" s="9">
        <v>1254.1300000000001</v>
      </c>
      <c r="D3262" s="9">
        <v>1269.08</v>
      </c>
      <c r="E3262" s="9">
        <f t="shared" si="151"/>
        <v>1.0591078843706629E-2</v>
      </c>
      <c r="F3262" s="45">
        <f t="shared" si="152"/>
        <v>-9.668805646375964E-3</v>
      </c>
      <c r="G3262" s="9">
        <f t="shared" si="153"/>
        <v>6.7399342146833583E-3</v>
      </c>
    </row>
    <row r="3263" spans="1:7" x14ac:dyDescent="0.2">
      <c r="A3263" s="12">
        <v>41625</v>
      </c>
      <c r="B3263" s="9">
        <v>1275.01</v>
      </c>
      <c r="C3263" s="9">
        <v>1262.83</v>
      </c>
      <c r="D3263" s="9">
        <v>1263.26</v>
      </c>
      <c r="E3263" s="9">
        <f t="shared" ref="E3263:E3326" si="154">LN(D3263/D3262)</f>
        <v>-4.5965472623707296E-3</v>
      </c>
      <c r="F3263" s="45">
        <f t="shared" si="152"/>
        <v>-8.5208194474917544E-3</v>
      </c>
      <c r="G3263" s="9">
        <f t="shared" si="153"/>
        <v>6.7112856914346448E-3</v>
      </c>
    </row>
    <row r="3264" spans="1:7" x14ac:dyDescent="0.2">
      <c r="A3264" s="12">
        <v>41626</v>
      </c>
      <c r="B3264" s="9">
        <v>1277.46</v>
      </c>
      <c r="C3264" s="9">
        <v>1268.49</v>
      </c>
      <c r="D3264" s="9">
        <v>1275.1199999999999</v>
      </c>
      <c r="E3264" s="9">
        <f t="shared" si="154"/>
        <v>9.3446105806597526E-3</v>
      </c>
      <c r="F3264" s="45">
        <f t="shared" si="152"/>
        <v>-6.534846987093829E-3</v>
      </c>
      <c r="G3264" s="9">
        <f t="shared" si="153"/>
        <v>6.7984992678300398E-3</v>
      </c>
    </row>
    <row r="3265" spans="1:7" x14ac:dyDescent="0.2">
      <c r="A3265" s="12">
        <v>41627</v>
      </c>
      <c r="B3265" s="9">
        <v>1300.8900000000001</v>
      </c>
      <c r="C3265" s="9">
        <v>1286.05</v>
      </c>
      <c r="D3265" s="9">
        <v>1300.8900000000001</v>
      </c>
      <c r="E3265" s="9">
        <f t="shared" si="154"/>
        <v>2.0008353781238161E-2</v>
      </c>
      <c r="F3265" s="45">
        <f t="shared" si="152"/>
        <v>1.2531201503190995E-2</v>
      </c>
      <c r="G3265" s="9">
        <f t="shared" si="153"/>
        <v>7.73706610493989E-3</v>
      </c>
    </row>
    <row r="3266" spans="1:7" x14ac:dyDescent="0.2">
      <c r="A3266" s="12">
        <v>41628</v>
      </c>
      <c r="B3266" s="9">
        <v>1311.38</v>
      </c>
      <c r="C3266" s="9">
        <v>1296.56</v>
      </c>
      <c r="D3266" s="9">
        <v>1309.92</v>
      </c>
      <c r="E3266" s="9">
        <f t="shared" si="154"/>
        <v>6.9174210361024049E-3</v>
      </c>
      <c r="F3266" s="45">
        <f t="shared" si="152"/>
        <v>2.165391847892862E-2</v>
      </c>
      <c r="G3266" s="9">
        <f t="shared" si="153"/>
        <v>7.8093568470758391E-3</v>
      </c>
    </row>
    <row r="3267" spans="1:7" x14ac:dyDescent="0.2">
      <c r="A3267" s="12">
        <v>41631</v>
      </c>
      <c r="B3267" s="9">
        <v>1320.56</v>
      </c>
      <c r="C3267" s="9">
        <v>1311.52</v>
      </c>
      <c r="D3267" s="9">
        <v>1320.56</v>
      </c>
      <c r="E3267" s="9">
        <f t="shared" si="154"/>
        <v>8.0898224111473922E-3</v>
      </c>
      <c r="F3267" s="45">
        <f t="shared" si="152"/>
        <v>2.5190442005745044E-2</v>
      </c>
      <c r="G3267" s="9">
        <f t="shared" si="153"/>
        <v>7.8954069284301147E-3</v>
      </c>
    </row>
    <row r="3268" spans="1:7" x14ac:dyDescent="0.2">
      <c r="A3268" s="12">
        <v>41635</v>
      </c>
      <c r="B3268" s="9">
        <v>1335.59</v>
      </c>
      <c r="C3268" s="9">
        <v>1326.66</v>
      </c>
      <c r="D3268" s="9">
        <v>1334.42</v>
      </c>
      <c r="E3268" s="9">
        <f t="shared" si="154"/>
        <v>1.0440851462470063E-2</v>
      </c>
      <c r="F3268" s="45">
        <f t="shared" si="152"/>
        <v>4.1746043569974384E-2</v>
      </c>
      <c r="G3268" s="9">
        <f t="shared" si="153"/>
        <v>7.9707831802221362E-3</v>
      </c>
    </row>
    <row r="3269" spans="1:7" x14ac:dyDescent="0.2">
      <c r="A3269" s="12">
        <v>41638</v>
      </c>
      <c r="B3269" s="9">
        <v>1338.53</v>
      </c>
      <c r="C3269" s="9">
        <v>1326.73</v>
      </c>
      <c r="D3269" s="9">
        <v>1332.95</v>
      </c>
      <c r="E3269" s="9">
        <f t="shared" si="154"/>
        <v>-1.1022094038855169E-3</v>
      </c>
      <c r="F3269" s="45">
        <f t="shared" si="152"/>
        <v>4.4683674308994517E-2</v>
      </c>
      <c r="G3269" s="9">
        <f t="shared" si="153"/>
        <v>7.9196382304468349E-3</v>
      </c>
    </row>
    <row r="3270" spans="1:7" x14ac:dyDescent="0.2">
      <c r="A3270" s="12">
        <v>41641</v>
      </c>
      <c r="B3270" s="9">
        <v>1334.71</v>
      </c>
      <c r="C3270" s="9">
        <v>1320.76</v>
      </c>
      <c r="D3270" s="9">
        <v>1324.35</v>
      </c>
      <c r="E3270" s="9">
        <f t="shared" si="154"/>
        <v>-6.4727580821690106E-3</v>
      </c>
      <c r="F3270" s="45">
        <f t="shared" si="152"/>
        <v>2.6923172590287946E-2</v>
      </c>
      <c r="G3270" s="9">
        <f t="shared" si="153"/>
        <v>7.8251921052408316E-3</v>
      </c>
    </row>
    <row r="3271" spans="1:7" x14ac:dyDescent="0.2">
      <c r="A3271" s="12">
        <v>41642</v>
      </c>
      <c r="B3271" s="9">
        <v>1330.69</v>
      </c>
      <c r="C3271" s="9">
        <v>1320.52</v>
      </c>
      <c r="D3271" s="9">
        <v>1325.12</v>
      </c>
      <c r="E3271" s="9">
        <f t="shared" si="154"/>
        <v>5.8124834150127152E-4</v>
      </c>
      <c r="F3271" s="45">
        <f t="shared" si="152"/>
        <v>2.227443724938058E-2</v>
      </c>
      <c r="G3271" s="9">
        <f t="shared" si="153"/>
        <v>7.7823495896605713E-3</v>
      </c>
    </row>
    <row r="3272" spans="1:7" x14ac:dyDescent="0.2">
      <c r="A3272" s="12">
        <v>41646</v>
      </c>
      <c r="B3272" s="9">
        <v>1330.09</v>
      </c>
      <c r="C3272" s="9">
        <v>1323.37</v>
      </c>
      <c r="D3272" s="9">
        <v>1326.24</v>
      </c>
      <c r="E3272" s="9">
        <f t="shared" si="154"/>
        <v>8.4484948601366437E-4</v>
      </c>
      <c r="F3272" s="45">
        <f t="shared" si="152"/>
        <v>1.6298098536412085E-2</v>
      </c>
      <c r="G3272" s="9">
        <f t="shared" si="153"/>
        <v>7.6974094069597668E-3</v>
      </c>
    </row>
    <row r="3273" spans="1:7" x14ac:dyDescent="0.2">
      <c r="A3273" s="12">
        <v>41647</v>
      </c>
      <c r="B3273" s="9">
        <v>1332.22</v>
      </c>
      <c r="C3273" s="9">
        <v>1323.2</v>
      </c>
      <c r="D3273" s="9">
        <v>1324.83</v>
      </c>
      <c r="E3273" s="9">
        <f t="shared" si="154"/>
        <v>-1.0637215410772042E-3</v>
      </c>
      <c r="F3273" s="45">
        <f t="shared" si="152"/>
        <v>1.9296878982791834E-2</v>
      </c>
      <c r="G3273" s="9">
        <f t="shared" si="153"/>
        <v>7.6548897290164035E-3</v>
      </c>
    </row>
    <row r="3274" spans="1:7" x14ac:dyDescent="0.2">
      <c r="A3274" s="12">
        <v>41648</v>
      </c>
      <c r="B3274" s="9">
        <v>1332.66</v>
      </c>
      <c r="C3274" s="9">
        <v>1322.3</v>
      </c>
      <c r="D3274" s="9">
        <v>1323.58</v>
      </c>
      <c r="E3274" s="9">
        <f t="shared" si="154"/>
        <v>-9.4396267407191104E-4</v>
      </c>
      <c r="F3274" s="45">
        <f t="shared" si="152"/>
        <v>2.2061178563465515E-2</v>
      </c>
      <c r="G3274" s="9">
        <f t="shared" si="153"/>
        <v>7.6172484714859042E-3</v>
      </c>
    </row>
    <row r="3275" spans="1:7" x14ac:dyDescent="0.2">
      <c r="A3275" s="12">
        <v>41649</v>
      </c>
      <c r="B3275" s="9">
        <v>1334.47</v>
      </c>
      <c r="C3275" s="9">
        <v>1325.96</v>
      </c>
      <c r="D3275" s="9">
        <v>1329.84</v>
      </c>
      <c r="E3275" s="9">
        <f t="shared" si="154"/>
        <v>4.7184475991368493E-3</v>
      </c>
      <c r="F3275" s="45">
        <f t="shared" si="152"/>
        <v>3.0028894068535258E-2</v>
      </c>
      <c r="G3275" s="9">
        <f t="shared" si="153"/>
        <v>7.6124288808709119E-3</v>
      </c>
    </row>
    <row r="3276" spans="1:7" x14ac:dyDescent="0.2">
      <c r="A3276" s="12">
        <v>41652</v>
      </c>
      <c r="B3276" s="9">
        <v>1335.52</v>
      </c>
      <c r="C3276" s="9">
        <v>1328.33</v>
      </c>
      <c r="D3276" s="9">
        <v>1328.65</v>
      </c>
      <c r="E3276" s="9">
        <f t="shared" si="154"/>
        <v>-8.9524510491164916E-4</v>
      </c>
      <c r="F3276" s="45">
        <f t="shared" si="152"/>
        <v>2.3438929957216973E-2</v>
      </c>
      <c r="G3276" s="9">
        <f t="shared" si="153"/>
        <v>7.5672611646209094E-3</v>
      </c>
    </row>
    <row r="3277" spans="1:7" x14ac:dyDescent="0.2">
      <c r="A3277" s="12">
        <v>41653</v>
      </c>
      <c r="B3277" s="9">
        <v>1325.51</v>
      </c>
      <c r="C3277" s="9">
        <v>1313.92</v>
      </c>
      <c r="D3277" s="9">
        <v>1323.89</v>
      </c>
      <c r="E3277" s="9">
        <f t="shared" si="154"/>
        <v>-3.589016647800489E-3</v>
      </c>
      <c r="F3277" s="45">
        <f t="shared" si="152"/>
        <v>1.350580601002062E-2</v>
      </c>
      <c r="G3277" s="9">
        <f t="shared" si="153"/>
        <v>7.5327004414188249E-3</v>
      </c>
    </row>
    <row r="3278" spans="1:7" x14ac:dyDescent="0.2">
      <c r="A3278" s="12">
        <v>41654</v>
      </c>
      <c r="B3278" s="9">
        <v>1343.93</v>
      </c>
      <c r="C3278" s="9">
        <v>1329.39</v>
      </c>
      <c r="D3278" s="9">
        <v>1342.99</v>
      </c>
      <c r="E3278" s="9">
        <f t="shared" si="154"/>
        <v>1.4324099004642977E-2</v>
      </c>
      <c r="F3278" s="45">
        <f t="shared" si="152"/>
        <v>2.8097908125103804E-2</v>
      </c>
      <c r="G3278" s="9">
        <f t="shared" si="153"/>
        <v>7.9445871851356997E-3</v>
      </c>
    </row>
    <row r="3279" spans="1:7" x14ac:dyDescent="0.2">
      <c r="A3279" s="12">
        <v>41655</v>
      </c>
      <c r="B3279" s="9">
        <v>1345.22</v>
      </c>
      <c r="C3279" s="9">
        <v>1340.12</v>
      </c>
      <c r="D3279" s="9">
        <v>1342.65</v>
      </c>
      <c r="E3279" s="9">
        <f t="shared" si="154"/>
        <v>-2.5319849407689756E-4</v>
      </c>
      <c r="F3279" s="45">
        <f t="shared" si="152"/>
        <v>2.4518904072268834E-2</v>
      </c>
      <c r="G3279" s="9">
        <f t="shared" si="153"/>
        <v>7.9343379020875172E-3</v>
      </c>
    </row>
    <row r="3280" spans="1:7" x14ac:dyDescent="0.2">
      <c r="A3280" s="12">
        <v>41656</v>
      </c>
      <c r="B3280" s="9">
        <v>1351.83</v>
      </c>
      <c r="C3280" s="9">
        <v>1341.12</v>
      </c>
      <c r="D3280" s="9">
        <v>1350.1</v>
      </c>
      <c r="E3280" s="9">
        <f t="shared" si="154"/>
        <v>5.5333907781427404E-3</v>
      </c>
      <c r="F3280" s="45">
        <f t="shared" si="152"/>
        <v>2.6182315083864496E-2</v>
      </c>
      <c r="G3280" s="9">
        <f t="shared" si="153"/>
        <v>7.9621697317800097E-3</v>
      </c>
    </row>
    <row r="3281" spans="1:7" x14ac:dyDescent="0.2">
      <c r="A3281" s="12">
        <v>41659</v>
      </c>
      <c r="B3281" s="9">
        <v>1352.78</v>
      </c>
      <c r="C3281" s="9">
        <v>1346.8</v>
      </c>
      <c r="D3281" s="9">
        <v>1350.98</v>
      </c>
      <c r="E3281" s="9">
        <f t="shared" si="154"/>
        <v>6.5159123841965823E-4</v>
      </c>
      <c r="F3281" s="45">
        <f t="shared" si="152"/>
        <v>3.2552739104560705E-2</v>
      </c>
      <c r="G3281" s="9">
        <f t="shared" si="153"/>
        <v>7.8646646267381548E-3</v>
      </c>
    </row>
    <row r="3282" spans="1:7" x14ac:dyDescent="0.2">
      <c r="A3282" s="12">
        <v>41660</v>
      </c>
      <c r="B3282" s="9">
        <v>1355.37</v>
      </c>
      <c r="C3282" s="9">
        <v>1348.66</v>
      </c>
      <c r="D3282" s="9">
        <v>1350.02</v>
      </c>
      <c r="E3282" s="9">
        <f t="shared" si="154"/>
        <v>-7.1084786406845288E-4</v>
      </c>
      <c r="F3282" s="45">
        <f t="shared" si="152"/>
        <v>3.4238257262529236E-2</v>
      </c>
      <c r="G3282" s="9">
        <f t="shared" si="153"/>
        <v>7.8449318020295637E-3</v>
      </c>
    </row>
    <row r="3283" spans="1:7" x14ac:dyDescent="0.2">
      <c r="A3283" s="12">
        <v>41661</v>
      </c>
      <c r="B3283" s="9">
        <v>1358.55</v>
      </c>
      <c r="C3283" s="9">
        <v>1349.76</v>
      </c>
      <c r="D3283" s="9">
        <v>1355.24</v>
      </c>
      <c r="E3283" s="9">
        <f t="shared" si="154"/>
        <v>3.859153263258345E-3</v>
      </c>
      <c r="F3283" s="45">
        <f t="shared" si="152"/>
        <v>5.6087763860140923E-2</v>
      </c>
      <c r="G3283" s="9">
        <f t="shared" si="153"/>
        <v>6.9733482254023347E-3</v>
      </c>
    </row>
    <row r="3284" spans="1:7" x14ac:dyDescent="0.2">
      <c r="A3284" s="12">
        <v>41662</v>
      </c>
      <c r="B3284" s="9">
        <v>1354.84</v>
      </c>
      <c r="C3284" s="9">
        <v>1337.52</v>
      </c>
      <c r="D3284" s="9">
        <v>1339.8</v>
      </c>
      <c r="E3284" s="9">
        <f t="shared" si="154"/>
        <v>-1.1458211326642908E-2</v>
      </c>
      <c r="F3284" s="45">
        <f t="shared" si="152"/>
        <v>4.6418370945544796E-2</v>
      </c>
      <c r="G3284" s="9">
        <f t="shared" si="153"/>
        <v>7.3609636362931899E-3</v>
      </c>
    </row>
    <row r="3285" spans="1:7" x14ac:dyDescent="0.2">
      <c r="A3285" s="12">
        <v>41663</v>
      </c>
      <c r="B3285" s="9">
        <v>1344.69</v>
      </c>
      <c r="C3285" s="9">
        <v>1318.48</v>
      </c>
      <c r="D3285" s="9">
        <v>1318.53</v>
      </c>
      <c r="E3285" s="9">
        <f t="shared" si="154"/>
        <v>-1.600286941111909E-2</v>
      </c>
      <c r="F3285" s="45">
        <f t="shared" si="152"/>
        <v>3.7886480432364138E-2</v>
      </c>
      <c r="G3285" s="9">
        <f t="shared" si="153"/>
        <v>7.8687116759597851E-3</v>
      </c>
    </row>
    <row r="3286" spans="1:7" x14ac:dyDescent="0.2">
      <c r="A3286" s="12">
        <v>41666</v>
      </c>
      <c r="B3286" s="9">
        <v>1318.85</v>
      </c>
      <c r="C3286" s="9">
        <v>1307.83</v>
      </c>
      <c r="D3286" s="9">
        <v>1317.24</v>
      </c>
      <c r="E3286" s="9">
        <f t="shared" si="154"/>
        <v>-9.7884117582261649E-4</v>
      </c>
      <c r="F3286" s="45">
        <f t="shared" si="152"/>
        <v>3.2882698088160196E-2</v>
      </c>
      <c r="G3286" s="9">
        <f t="shared" si="153"/>
        <v>7.8611744404534188E-3</v>
      </c>
    </row>
    <row r="3287" spans="1:7" x14ac:dyDescent="0.2">
      <c r="A3287" s="12">
        <v>41667</v>
      </c>
      <c r="B3287" s="9">
        <v>1321.3</v>
      </c>
      <c r="C3287" s="9">
        <v>1309.22</v>
      </c>
      <c r="D3287" s="9">
        <v>1318.41</v>
      </c>
      <c r="E3287" s="9">
        <f t="shared" si="154"/>
        <v>8.8782659067261778E-4</v>
      </c>
      <c r="F3287" s="45">
        <f t="shared" si="152"/>
        <v>2.6952618535521323E-2</v>
      </c>
      <c r="G3287" s="9">
        <f t="shared" si="153"/>
        <v>7.7865397610114044E-3</v>
      </c>
    </row>
    <row r="3288" spans="1:7" x14ac:dyDescent="0.2">
      <c r="A3288" s="12">
        <v>41668</v>
      </c>
      <c r="B3288" s="9">
        <v>1327.25</v>
      </c>
      <c r="C3288" s="9">
        <v>1295.6099999999999</v>
      </c>
      <c r="D3288" s="9">
        <v>1310.1300000000001</v>
      </c>
      <c r="E3288" s="9">
        <f t="shared" si="154"/>
        <v>-6.3000961651090513E-3</v>
      </c>
      <c r="F3288" s="45">
        <f t="shared" si="152"/>
        <v>3.0952000543914438E-2</v>
      </c>
      <c r="G3288" s="9">
        <f t="shared" si="153"/>
        <v>7.6206805290047336E-3</v>
      </c>
    </row>
    <row r="3289" spans="1:7" x14ac:dyDescent="0.2">
      <c r="A3289" s="12">
        <v>41669</v>
      </c>
      <c r="B3289" s="9">
        <v>1311.12</v>
      </c>
      <c r="C3289" s="9">
        <v>1297.52</v>
      </c>
      <c r="D3289" s="9">
        <v>1302.83</v>
      </c>
      <c r="E3289" s="9">
        <f t="shared" si="154"/>
        <v>-5.587547450075496E-3</v>
      </c>
      <c r="F3289" s="45">
        <f t="shared" si="152"/>
        <v>2.7058534066313884E-2</v>
      </c>
      <c r="G3289" s="9">
        <f t="shared" si="153"/>
        <v>7.7014281969787638E-3</v>
      </c>
    </row>
    <row r="3290" spans="1:7" x14ac:dyDescent="0.2">
      <c r="A3290" s="12">
        <v>41670</v>
      </c>
      <c r="B3290" s="9">
        <v>1306.29</v>
      </c>
      <c r="C3290" s="9">
        <v>1292.04</v>
      </c>
      <c r="D3290" s="9">
        <v>1304.45</v>
      </c>
      <c r="E3290" s="9">
        <f t="shared" si="154"/>
        <v>1.2426745178673339E-3</v>
      </c>
      <c r="F3290" s="45">
        <f t="shared" si="152"/>
        <v>3.8645923414696456E-2</v>
      </c>
      <c r="G3290" s="9">
        <f t="shared" si="153"/>
        <v>7.4027043115371862E-3</v>
      </c>
    </row>
    <row r="3291" spans="1:7" x14ac:dyDescent="0.2">
      <c r="A3291" s="12">
        <v>41673</v>
      </c>
      <c r="B3291" s="9">
        <v>1312.32</v>
      </c>
      <c r="C3291" s="9">
        <v>1285.21</v>
      </c>
      <c r="D3291" s="9">
        <v>1285.9100000000001</v>
      </c>
      <c r="E3291" s="9">
        <f t="shared" si="154"/>
        <v>-1.4314857079942258E-2</v>
      </c>
      <c r="F3291" s="45">
        <f t="shared" si="152"/>
        <v>2.3765489251836674E-2</v>
      </c>
      <c r="G3291" s="9">
        <f t="shared" si="153"/>
        <v>7.9323717423071833E-3</v>
      </c>
    </row>
    <row r="3292" spans="1:7" x14ac:dyDescent="0.2">
      <c r="A3292" s="12">
        <v>41674</v>
      </c>
      <c r="B3292" s="9">
        <v>1283.9000000000001</v>
      </c>
      <c r="C3292" s="9">
        <v>1275.77</v>
      </c>
      <c r="D3292" s="9">
        <v>1280.99</v>
      </c>
      <c r="E3292" s="9">
        <f t="shared" si="154"/>
        <v>-3.8334224356234713E-3</v>
      </c>
      <c r="F3292" s="45">
        <f t="shared" si="152"/>
        <v>9.3409879725065634E-3</v>
      </c>
      <c r="G3292" s="9">
        <f t="shared" si="153"/>
        <v>7.7530760218537673E-3</v>
      </c>
    </row>
    <row r="3293" spans="1:7" x14ac:dyDescent="0.2">
      <c r="A3293" s="12">
        <v>41675</v>
      </c>
      <c r="B3293" s="9">
        <v>1295.81</v>
      </c>
      <c r="C3293" s="9">
        <v>1283.96</v>
      </c>
      <c r="D3293" s="9">
        <v>1292.46</v>
      </c>
      <c r="E3293" s="9">
        <f t="shared" si="154"/>
        <v>8.9141626630482862E-3</v>
      </c>
      <c r="F3293" s="45">
        <f t="shared" si="152"/>
        <v>2.285169789792553E-2</v>
      </c>
      <c r="G3293" s="9">
        <f t="shared" si="153"/>
        <v>7.8499534242330773E-3</v>
      </c>
    </row>
    <row r="3294" spans="1:7" x14ac:dyDescent="0.2">
      <c r="A3294" s="12">
        <v>41676</v>
      </c>
      <c r="B3294" s="9">
        <v>1313.83</v>
      </c>
      <c r="C3294" s="9">
        <v>1298.03</v>
      </c>
      <c r="D3294" s="9">
        <v>1308.1400000000001</v>
      </c>
      <c r="E3294" s="9">
        <f t="shared" si="154"/>
        <v>1.2058901800533248E-2</v>
      </c>
      <c r="F3294" s="45">
        <f t="shared" si="152"/>
        <v>2.5565989117799188E-2</v>
      </c>
      <c r="G3294" s="9">
        <f t="shared" si="153"/>
        <v>7.9670571798186769E-3</v>
      </c>
    </row>
    <row r="3295" spans="1:7" x14ac:dyDescent="0.2">
      <c r="A3295" s="12">
        <v>41677</v>
      </c>
      <c r="B3295" s="9">
        <v>1315.41</v>
      </c>
      <c r="C3295" s="9">
        <v>1308.33</v>
      </c>
      <c r="D3295" s="9">
        <v>1313.2</v>
      </c>
      <c r="E3295" s="9">
        <f t="shared" si="154"/>
        <v>3.8606256988410522E-3</v>
      </c>
      <c r="F3295" s="45">
        <f t="shared" si="152"/>
        <v>9.4182610354019754E-3</v>
      </c>
      <c r="G3295" s="9">
        <f t="shared" si="153"/>
        <v>7.1297017190139964E-3</v>
      </c>
    </row>
    <row r="3296" spans="1:7" x14ac:dyDescent="0.2">
      <c r="A3296" s="12">
        <v>41680</v>
      </c>
      <c r="B3296" s="9">
        <v>1319.41</v>
      </c>
      <c r="C3296" s="9">
        <v>1313.42</v>
      </c>
      <c r="D3296" s="9">
        <v>1318.65</v>
      </c>
      <c r="E3296" s="9">
        <f t="shared" si="154"/>
        <v>4.1415793378596728E-3</v>
      </c>
      <c r="F3296" s="45">
        <f t="shared" si="152"/>
        <v>6.6424193371593726E-3</v>
      </c>
      <c r="G3296" s="9">
        <f t="shared" si="153"/>
        <v>7.0587064865264186E-3</v>
      </c>
    </row>
    <row r="3297" spans="1:7" x14ac:dyDescent="0.2">
      <c r="A3297" s="12">
        <v>41681</v>
      </c>
      <c r="B3297" s="9">
        <v>1335.12</v>
      </c>
      <c r="C3297" s="9">
        <v>1322.52</v>
      </c>
      <c r="D3297" s="9">
        <v>1335.12</v>
      </c>
      <c r="E3297" s="9">
        <f t="shared" si="154"/>
        <v>1.2412689469850042E-2</v>
      </c>
      <c r="F3297" s="45">
        <f t="shared" ref="F3297:F3360" si="155">LN(D3297/D3267)</f>
        <v>1.0965286395861907E-2</v>
      </c>
      <c r="G3297" s="9">
        <f t="shared" ref="G3297:G3360" si="156">STDEV(E3268:E3297)</f>
        <v>7.2659508751584138E-3</v>
      </c>
    </row>
    <row r="3298" spans="1:7" x14ac:dyDescent="0.2">
      <c r="A3298" s="12">
        <v>41682</v>
      </c>
      <c r="B3298" s="9">
        <v>1341.14</v>
      </c>
      <c r="C3298" s="9">
        <v>1330</v>
      </c>
      <c r="D3298" s="9">
        <v>1330.02</v>
      </c>
      <c r="E3298" s="9">
        <f t="shared" si="154"/>
        <v>-3.8271957384264947E-3</v>
      </c>
      <c r="F3298" s="45">
        <f t="shared" si="155"/>
        <v>-3.3027608050346332E-3</v>
      </c>
      <c r="G3298" s="9">
        <f t="shared" si="156"/>
        <v>7.0473951623914255E-3</v>
      </c>
    </row>
    <row r="3299" spans="1:7" x14ac:dyDescent="0.2">
      <c r="A3299" s="12">
        <v>41683</v>
      </c>
      <c r="B3299" s="9">
        <v>1330.41</v>
      </c>
      <c r="C3299" s="9">
        <v>1318.38</v>
      </c>
      <c r="D3299" s="9">
        <v>1330.38</v>
      </c>
      <c r="E3299" s="9">
        <f t="shared" si="154"/>
        <v>2.7063599623932782E-4</v>
      </c>
      <c r="F3299" s="45">
        <f t="shared" si="155"/>
        <v>-1.9299154049099432E-3</v>
      </c>
      <c r="G3299" s="9">
        <f t="shared" si="156"/>
        <v>7.0451876755469071E-3</v>
      </c>
    </row>
    <row r="3300" spans="1:7" x14ac:dyDescent="0.2">
      <c r="A3300" s="12">
        <v>41684</v>
      </c>
      <c r="B3300" s="9">
        <v>1337.14</v>
      </c>
      <c r="C3300" s="9">
        <v>1328.72</v>
      </c>
      <c r="D3300" s="9">
        <v>1335.89</v>
      </c>
      <c r="E3300" s="9">
        <f t="shared" si="154"/>
        <v>4.1331206845503085E-3</v>
      </c>
      <c r="F3300" s="45">
        <f t="shared" si="155"/>
        <v>8.6759633618093447E-3</v>
      </c>
      <c r="G3300" s="9">
        <f t="shared" si="156"/>
        <v>6.9783077090166739E-3</v>
      </c>
    </row>
    <row r="3301" spans="1:7" x14ac:dyDescent="0.2">
      <c r="A3301" s="12">
        <v>41687</v>
      </c>
      <c r="B3301" s="9">
        <v>1345.58</v>
      </c>
      <c r="C3301" s="9">
        <v>1338.79</v>
      </c>
      <c r="D3301" s="9">
        <v>1342.2</v>
      </c>
      <c r="E3301" s="9">
        <f t="shared" si="154"/>
        <v>4.7123223466284496E-3</v>
      </c>
      <c r="F3301" s="45">
        <f t="shared" si="155"/>
        <v>1.2807037366936612E-2</v>
      </c>
      <c r="G3301" s="9">
        <f t="shared" si="156"/>
        <v>7.0248731637550703E-3</v>
      </c>
    </row>
    <row r="3302" spans="1:7" x14ac:dyDescent="0.2">
      <c r="A3302" s="12">
        <v>41688</v>
      </c>
      <c r="B3302" s="9">
        <v>1343.36</v>
      </c>
      <c r="C3302" s="9">
        <v>1325.82</v>
      </c>
      <c r="D3302" s="9">
        <v>1329.04</v>
      </c>
      <c r="E3302" s="9">
        <f t="shared" si="154"/>
        <v>-9.8531816459157279E-3</v>
      </c>
      <c r="F3302" s="45">
        <f t="shared" si="155"/>
        <v>2.1090062350071275E-3</v>
      </c>
      <c r="G3302" s="9">
        <f t="shared" si="156"/>
        <v>7.2701727450880816E-3</v>
      </c>
    </row>
    <row r="3303" spans="1:7" x14ac:dyDescent="0.2">
      <c r="A3303" s="12">
        <v>41689</v>
      </c>
      <c r="B3303" s="9">
        <v>1338</v>
      </c>
      <c r="C3303" s="9">
        <v>1324.63</v>
      </c>
      <c r="D3303" s="9">
        <v>1338</v>
      </c>
      <c r="E3303" s="9">
        <f t="shared" si="154"/>
        <v>6.7190846099505156E-3</v>
      </c>
      <c r="F3303" s="45">
        <f t="shared" si="155"/>
        <v>9.8918123860349174E-3</v>
      </c>
      <c r="G3303" s="9">
        <f t="shared" si="156"/>
        <v>7.366532427613229E-3</v>
      </c>
    </row>
    <row r="3304" spans="1:7" x14ac:dyDescent="0.2">
      <c r="A3304" s="12">
        <v>41690</v>
      </c>
      <c r="B3304" s="9">
        <v>1341.87</v>
      </c>
      <c r="C3304" s="9">
        <v>1325.01</v>
      </c>
      <c r="D3304" s="9">
        <v>1341.85</v>
      </c>
      <c r="E3304" s="9">
        <f t="shared" si="154"/>
        <v>2.8732971239040016E-3</v>
      </c>
      <c r="F3304" s="45">
        <f t="shared" si="155"/>
        <v>1.3709072184010643E-2</v>
      </c>
      <c r="G3304" s="9">
        <f t="shared" si="156"/>
        <v>7.3767340391397871E-3</v>
      </c>
    </row>
    <row r="3305" spans="1:7" x14ac:dyDescent="0.2">
      <c r="A3305" s="12">
        <v>41691</v>
      </c>
      <c r="B3305" s="9">
        <v>1350.17</v>
      </c>
      <c r="C3305" s="9">
        <v>1343.29</v>
      </c>
      <c r="D3305" s="9">
        <v>1349.12</v>
      </c>
      <c r="E3305" s="9">
        <f t="shared" si="154"/>
        <v>5.4032692207555948E-3</v>
      </c>
      <c r="F3305" s="45">
        <f t="shared" si="155"/>
        <v>1.4393893805629436E-2</v>
      </c>
      <c r="G3305" s="9">
        <f t="shared" si="156"/>
        <v>7.3914209372494856E-3</v>
      </c>
    </row>
    <row r="3306" spans="1:7" x14ac:dyDescent="0.2">
      <c r="A3306" s="12">
        <v>41694</v>
      </c>
      <c r="B3306" s="9">
        <v>1370.11</v>
      </c>
      <c r="C3306" s="9">
        <v>1351.33</v>
      </c>
      <c r="D3306" s="9">
        <v>1370.11</v>
      </c>
      <c r="E3306" s="9">
        <f t="shared" si="154"/>
        <v>1.5438500536912389E-2</v>
      </c>
      <c r="F3306" s="45">
        <f t="shared" si="155"/>
        <v>3.0727639447453606E-2</v>
      </c>
      <c r="G3306" s="9">
        <f t="shared" si="156"/>
        <v>7.8725604814084086E-3</v>
      </c>
    </row>
    <row r="3307" spans="1:7" x14ac:dyDescent="0.2">
      <c r="A3307" s="12">
        <v>41695</v>
      </c>
      <c r="B3307" s="9">
        <v>1372.51</v>
      </c>
      <c r="C3307" s="9">
        <v>1363.04</v>
      </c>
      <c r="D3307" s="9">
        <v>1371.94</v>
      </c>
      <c r="E3307" s="9">
        <f t="shared" si="154"/>
        <v>1.334767981397213E-3</v>
      </c>
      <c r="F3307" s="45">
        <f t="shared" si="155"/>
        <v>3.5651424076650985E-2</v>
      </c>
      <c r="G3307" s="9">
        <f t="shared" si="156"/>
        <v>7.8242440906517337E-3</v>
      </c>
    </row>
    <row r="3308" spans="1:7" x14ac:dyDescent="0.2">
      <c r="A3308" s="12">
        <v>41696</v>
      </c>
      <c r="B3308" s="9">
        <v>1373.68</v>
      </c>
      <c r="C3308" s="9">
        <v>1368.2</v>
      </c>
      <c r="D3308" s="9">
        <v>1373.36</v>
      </c>
      <c r="E3308" s="9">
        <f t="shared" si="154"/>
        <v>1.0344954115308878E-3</v>
      </c>
      <c r="F3308" s="45">
        <f t="shared" si="155"/>
        <v>2.2361820483539078E-2</v>
      </c>
      <c r="G3308" s="9">
        <f t="shared" si="156"/>
        <v>7.4206945983862098E-3</v>
      </c>
    </row>
    <row r="3309" spans="1:7" x14ac:dyDescent="0.2">
      <c r="A3309" s="12">
        <v>41697</v>
      </c>
      <c r="B3309" s="9">
        <v>1373.66</v>
      </c>
      <c r="C3309" s="9">
        <v>1359.12</v>
      </c>
      <c r="D3309" s="9">
        <v>1368.83</v>
      </c>
      <c r="E3309" s="9">
        <f t="shared" si="154"/>
        <v>-3.3039316172662888E-3</v>
      </c>
      <c r="F3309" s="45">
        <f t="shared" si="155"/>
        <v>1.9311087360349706E-2</v>
      </c>
      <c r="G3309" s="9">
        <f t="shared" si="156"/>
        <v>7.4556716666301691E-3</v>
      </c>
    </row>
    <row r="3310" spans="1:7" x14ac:dyDescent="0.2">
      <c r="A3310" s="12">
        <v>41698</v>
      </c>
      <c r="B3310" s="9">
        <v>1371.3</v>
      </c>
      <c r="C3310" s="9">
        <v>1363.49</v>
      </c>
      <c r="D3310" s="9">
        <v>1369.13</v>
      </c>
      <c r="E3310" s="9">
        <f t="shared" si="154"/>
        <v>2.1914125933224053E-4</v>
      </c>
      <c r="F3310" s="45">
        <f t="shared" si="155"/>
        <v>1.3996837841539451E-2</v>
      </c>
      <c r="G3310" s="9">
        <f t="shared" si="156"/>
        <v>7.3984014821802833E-3</v>
      </c>
    </row>
    <row r="3311" spans="1:7" x14ac:dyDescent="0.2">
      <c r="A3311" s="12">
        <v>41701</v>
      </c>
      <c r="B3311" s="9">
        <v>1349.53</v>
      </c>
      <c r="C3311" s="9">
        <v>1334.09</v>
      </c>
      <c r="D3311" s="9">
        <v>1335.56</v>
      </c>
      <c r="E3311" s="9">
        <f t="shared" si="154"/>
        <v>-2.482482207027607E-2</v>
      </c>
      <c r="F3311" s="45">
        <f t="shared" si="155"/>
        <v>-1.147957546715641E-2</v>
      </c>
      <c r="G3311" s="9">
        <f t="shared" si="156"/>
        <v>8.72044546438429E-3</v>
      </c>
    </row>
    <row r="3312" spans="1:7" x14ac:dyDescent="0.2">
      <c r="A3312" s="12">
        <v>41702</v>
      </c>
      <c r="B3312" s="9">
        <v>1363.51</v>
      </c>
      <c r="C3312" s="9">
        <v>1343.66</v>
      </c>
      <c r="D3312" s="9">
        <v>1363.44</v>
      </c>
      <c r="E3312" s="9">
        <f t="shared" si="154"/>
        <v>2.0660238382517414E-2</v>
      </c>
      <c r="F3312" s="45">
        <f t="shared" si="155"/>
        <v>9.8915107794294577E-3</v>
      </c>
      <c r="G3312" s="9">
        <f t="shared" si="156"/>
        <v>9.5281983282144364E-3</v>
      </c>
    </row>
    <row r="3313" spans="1:7" x14ac:dyDescent="0.2">
      <c r="A3313" s="12">
        <v>41703</v>
      </c>
      <c r="B3313" s="9">
        <v>1368.14</v>
      </c>
      <c r="C3313" s="9">
        <v>1361.99</v>
      </c>
      <c r="D3313" s="9">
        <v>1364.92</v>
      </c>
      <c r="E3313" s="9">
        <f t="shared" si="154"/>
        <v>1.0849009259516304E-3</v>
      </c>
      <c r="F3313" s="45">
        <f t="shared" si="155"/>
        <v>7.117258442122746E-3</v>
      </c>
      <c r="G3313" s="9">
        <f t="shared" si="156"/>
        <v>9.5061997400618294E-3</v>
      </c>
    </row>
    <row r="3314" spans="1:7" x14ac:dyDescent="0.2">
      <c r="A3314" s="12">
        <v>41704</v>
      </c>
      <c r="B3314" s="9">
        <v>1376.45</v>
      </c>
      <c r="C3314" s="9">
        <v>1370.5</v>
      </c>
      <c r="D3314" s="9">
        <v>1374.32</v>
      </c>
      <c r="E3314" s="9">
        <f t="shared" si="154"/>
        <v>6.8632444752574056E-3</v>
      </c>
      <c r="F3314" s="45">
        <f t="shared" si="155"/>
        <v>2.5438714244022918E-2</v>
      </c>
      <c r="G3314" s="9">
        <f t="shared" si="156"/>
        <v>9.3155381176244414E-3</v>
      </c>
    </row>
    <row r="3315" spans="1:7" x14ac:dyDescent="0.2">
      <c r="A3315" s="12">
        <v>41705</v>
      </c>
      <c r="B3315" s="9">
        <v>1376.32</v>
      </c>
      <c r="C3315" s="9">
        <v>1356.6</v>
      </c>
      <c r="D3315" s="9">
        <v>1358.36</v>
      </c>
      <c r="E3315" s="9">
        <f t="shared" si="154"/>
        <v>-1.1680973602199482E-2</v>
      </c>
      <c r="F3315" s="45">
        <f t="shared" si="155"/>
        <v>2.9760610052942546E-2</v>
      </c>
      <c r="G3315" s="9">
        <f t="shared" si="156"/>
        <v>9.0763037178251231E-3</v>
      </c>
    </row>
    <row r="3316" spans="1:7" x14ac:dyDescent="0.2">
      <c r="A3316" s="12">
        <v>41708</v>
      </c>
      <c r="B3316" s="9">
        <v>1367.19</v>
      </c>
      <c r="C3316" s="9">
        <v>1354.35</v>
      </c>
      <c r="D3316" s="9">
        <v>1359.93</v>
      </c>
      <c r="E3316" s="9">
        <f t="shared" si="154"/>
        <v>1.1551381012157569E-3</v>
      </c>
      <c r="F3316" s="45">
        <f t="shared" si="155"/>
        <v>3.1894589329980891E-2</v>
      </c>
      <c r="G3316" s="9">
        <f t="shared" si="156"/>
        <v>9.068684090552977E-3</v>
      </c>
    </row>
    <row r="3317" spans="1:7" x14ac:dyDescent="0.2">
      <c r="A3317" s="12">
        <v>41709</v>
      </c>
      <c r="B3317" s="9">
        <v>1365.53</v>
      </c>
      <c r="C3317" s="9">
        <v>1353.24</v>
      </c>
      <c r="D3317" s="9">
        <v>1359.18</v>
      </c>
      <c r="E3317" s="9">
        <f t="shared" si="154"/>
        <v>-5.5165110570734252E-4</v>
      </c>
      <c r="F3317" s="45">
        <f t="shared" si="155"/>
        <v>3.0455111633600995E-2</v>
      </c>
      <c r="G3317" s="9">
        <f t="shared" si="156"/>
        <v>9.0734506341701715E-3</v>
      </c>
    </row>
    <row r="3318" spans="1:7" x14ac:dyDescent="0.2">
      <c r="A3318" s="12">
        <v>41710</v>
      </c>
      <c r="B3318" s="9">
        <v>1355.22</v>
      </c>
      <c r="C3318" s="9">
        <v>1342.68</v>
      </c>
      <c r="D3318" s="9">
        <v>1346.36</v>
      </c>
      <c r="E3318" s="9">
        <f t="shared" si="154"/>
        <v>-9.4769221294577384E-3</v>
      </c>
      <c r="F3318" s="45">
        <f t="shared" si="155"/>
        <v>2.7278285669252195E-2</v>
      </c>
      <c r="G3318" s="9">
        <f t="shared" si="156"/>
        <v>9.1796855162142397E-3</v>
      </c>
    </row>
    <row r="3319" spans="1:7" x14ac:dyDescent="0.2">
      <c r="A3319" s="12">
        <v>41711</v>
      </c>
      <c r="B3319" s="9">
        <v>1351.25</v>
      </c>
      <c r="C3319" s="9">
        <v>1336.7</v>
      </c>
      <c r="D3319" s="9">
        <v>1337.23</v>
      </c>
      <c r="E3319" s="9">
        <f t="shared" si="154"/>
        <v>-6.8043443490792806E-3</v>
      </c>
      <c r="F3319" s="45">
        <f t="shared" si="155"/>
        <v>2.6061488770248373E-2</v>
      </c>
      <c r="G3319" s="9">
        <f t="shared" si="156"/>
        <v>9.2120124544605112E-3</v>
      </c>
    </row>
    <row r="3320" spans="1:7" x14ac:dyDescent="0.2">
      <c r="A3320" s="12">
        <v>41712</v>
      </c>
      <c r="B3320" s="9">
        <v>1329.95</v>
      </c>
      <c r="C3320" s="9">
        <v>1317.92</v>
      </c>
      <c r="D3320" s="9">
        <v>1326.82</v>
      </c>
      <c r="E3320" s="9">
        <f t="shared" si="154"/>
        <v>-7.8152084117506532E-3</v>
      </c>
      <c r="F3320" s="45">
        <f t="shared" si="155"/>
        <v>1.7003605840630393E-2</v>
      </c>
      <c r="G3320" s="9">
        <f t="shared" si="156"/>
        <v>9.3467860831594439E-3</v>
      </c>
    </row>
    <row r="3321" spans="1:7" x14ac:dyDescent="0.2">
      <c r="A3321" s="12">
        <v>41715</v>
      </c>
      <c r="B3321" s="9">
        <v>1350.48</v>
      </c>
      <c r="C3321" s="9">
        <v>1327.24</v>
      </c>
      <c r="D3321" s="9">
        <v>1349.39</v>
      </c>
      <c r="E3321" s="9">
        <f t="shared" si="154"/>
        <v>1.6867536643602157E-2</v>
      </c>
      <c r="F3321" s="45">
        <f t="shared" si="155"/>
        <v>4.8185999564174797E-2</v>
      </c>
      <c r="G3321" s="9">
        <f t="shared" si="156"/>
        <v>9.3686005657125197E-3</v>
      </c>
    </row>
    <row r="3322" spans="1:7" x14ac:dyDescent="0.2">
      <c r="A3322" s="12">
        <v>41716</v>
      </c>
      <c r="B3322" s="9">
        <v>1362.08</v>
      </c>
      <c r="C3322" s="9">
        <v>1344.04</v>
      </c>
      <c r="D3322" s="9">
        <v>1359.07</v>
      </c>
      <c r="E3322" s="9">
        <f t="shared" si="154"/>
        <v>7.1480038219194613E-3</v>
      </c>
      <c r="F3322" s="45">
        <f t="shared" si="155"/>
        <v>5.9167425821717683E-2</v>
      </c>
      <c r="G3322" s="9">
        <f t="shared" si="156"/>
        <v>9.3632664390037382E-3</v>
      </c>
    </row>
    <row r="3323" spans="1:7" x14ac:dyDescent="0.2">
      <c r="A3323" s="12">
        <v>41717</v>
      </c>
      <c r="B3323" s="9">
        <v>1362.94</v>
      </c>
      <c r="C3323" s="9">
        <v>1356.63</v>
      </c>
      <c r="D3323" s="9">
        <v>1360.48</v>
      </c>
      <c r="E3323" s="9">
        <f t="shared" si="154"/>
        <v>1.0369363507495759E-3</v>
      </c>
      <c r="F3323" s="45">
        <f t="shared" si="155"/>
        <v>5.1290199509419133E-2</v>
      </c>
      <c r="G3323" s="9">
        <f t="shared" si="156"/>
        <v>9.2718860533311468E-3</v>
      </c>
    </row>
    <row r="3324" spans="1:7" x14ac:dyDescent="0.2">
      <c r="A3324" s="12">
        <v>41718</v>
      </c>
      <c r="B3324" s="9">
        <v>1352.47</v>
      </c>
      <c r="C3324" s="9">
        <v>1342.71</v>
      </c>
      <c r="D3324" s="9">
        <v>1352.47</v>
      </c>
      <c r="E3324" s="9">
        <f t="shared" si="154"/>
        <v>-5.9050283088769263E-3</v>
      </c>
      <c r="F3324" s="45">
        <f t="shared" si="155"/>
        <v>3.3326269400008872E-2</v>
      </c>
      <c r="G3324" s="9">
        <f t="shared" si="156"/>
        <v>9.1598611827676084E-3</v>
      </c>
    </row>
    <row r="3325" spans="1:7" x14ac:dyDescent="0.2">
      <c r="A3325" s="12">
        <v>41719</v>
      </c>
      <c r="B3325" s="9">
        <v>1354.89</v>
      </c>
      <c r="C3325" s="9">
        <v>1345.78</v>
      </c>
      <c r="D3325" s="9">
        <v>1351.43</v>
      </c>
      <c r="E3325" s="9">
        <f t="shared" si="154"/>
        <v>-7.6925925610103589E-4</v>
      </c>
      <c r="F3325" s="45">
        <f t="shared" si="155"/>
        <v>2.8696384445066777E-2</v>
      </c>
      <c r="G3325" s="9">
        <f t="shared" si="156"/>
        <v>9.1509334436619388E-3</v>
      </c>
    </row>
    <row r="3326" spans="1:7" x14ac:dyDescent="0.2">
      <c r="A3326" s="12">
        <v>41722</v>
      </c>
      <c r="B3326" s="9">
        <v>1353.66</v>
      </c>
      <c r="C3326" s="9">
        <v>1335.5</v>
      </c>
      <c r="D3326" s="9">
        <v>1335.5</v>
      </c>
      <c r="E3326" s="9">
        <f t="shared" si="154"/>
        <v>-1.185753752248888E-2</v>
      </c>
      <c r="F3326" s="45">
        <f t="shared" si="155"/>
        <v>1.269726758471817E-2</v>
      </c>
      <c r="G3326" s="9">
        <f t="shared" si="156"/>
        <v>9.4211277902658576E-3</v>
      </c>
    </row>
    <row r="3327" spans="1:7" x14ac:dyDescent="0.2">
      <c r="A3327" s="12">
        <v>41723</v>
      </c>
      <c r="B3327" s="9">
        <v>1350.77</v>
      </c>
      <c r="C3327" s="9">
        <v>1337.82</v>
      </c>
      <c r="D3327" s="9">
        <v>1350.67</v>
      </c>
      <c r="E3327" s="9">
        <f t="shared" ref="E3327:E3390" si="157">LN(D3327/D3326)</f>
        <v>1.129501206448146E-2</v>
      </c>
      <c r="F3327" s="45">
        <f t="shared" si="155"/>
        <v>1.1579590179349638E-2</v>
      </c>
      <c r="G3327" s="9">
        <f t="shared" si="156"/>
        <v>9.3741734542307567E-3</v>
      </c>
    </row>
    <row r="3328" spans="1:7" x14ac:dyDescent="0.2">
      <c r="A3328" s="12">
        <v>41724</v>
      </c>
      <c r="B3328" s="9">
        <v>1359.28</v>
      </c>
      <c r="C3328" s="9">
        <v>1349.46</v>
      </c>
      <c r="D3328" s="9">
        <v>1351.48</v>
      </c>
      <c r="E3328" s="9">
        <f t="shared" si="157"/>
        <v>5.9952262032922908E-4</v>
      </c>
      <c r="F3328" s="45">
        <f t="shared" si="155"/>
        <v>1.6006308538105439E-2</v>
      </c>
      <c r="G3328" s="9">
        <f t="shared" si="156"/>
        <v>9.3403466866156994E-3</v>
      </c>
    </row>
    <row r="3329" spans="1:7" x14ac:dyDescent="0.2">
      <c r="A3329" s="12">
        <v>41725</v>
      </c>
      <c r="B3329" s="9">
        <v>1344.29</v>
      </c>
      <c r="C3329" s="9">
        <v>1337.36</v>
      </c>
      <c r="D3329" s="9">
        <v>1341.69</v>
      </c>
      <c r="E3329" s="9">
        <f t="shared" si="157"/>
        <v>-7.2702748971513187E-3</v>
      </c>
      <c r="F3329" s="45">
        <f t="shared" si="155"/>
        <v>8.465397644714755E-3</v>
      </c>
      <c r="G3329" s="9">
        <f t="shared" si="156"/>
        <v>9.4485086623291564E-3</v>
      </c>
    </row>
    <row r="3330" spans="1:7" x14ac:dyDescent="0.2">
      <c r="A3330" s="12">
        <v>41726</v>
      </c>
      <c r="B3330" s="9">
        <v>1350.26</v>
      </c>
      <c r="C3330" s="9">
        <v>1342.77</v>
      </c>
      <c r="D3330" s="9">
        <v>1346.48</v>
      </c>
      <c r="E3330" s="9">
        <f t="shared" si="157"/>
        <v>3.5637664802359243E-3</v>
      </c>
      <c r="F3330" s="45">
        <f t="shared" si="155"/>
        <v>7.8960434404002373E-3</v>
      </c>
      <c r="G3330" s="9">
        <f t="shared" si="156"/>
        <v>9.4410757394619276E-3</v>
      </c>
    </row>
    <row r="3331" spans="1:7" x14ac:dyDescent="0.2">
      <c r="A3331" s="12">
        <v>41729</v>
      </c>
      <c r="B3331" s="9">
        <v>1365.03</v>
      </c>
      <c r="C3331" s="9">
        <v>1349.82</v>
      </c>
      <c r="D3331" s="9">
        <v>1364.97</v>
      </c>
      <c r="E3331" s="9">
        <f t="shared" si="157"/>
        <v>1.3638670537651004E-2</v>
      </c>
      <c r="F3331" s="45">
        <f t="shared" si="155"/>
        <v>1.6822391631422927E-2</v>
      </c>
      <c r="G3331" s="9">
        <f t="shared" si="156"/>
        <v>9.722593540204133E-3</v>
      </c>
    </row>
    <row r="3332" spans="1:7" x14ac:dyDescent="0.2">
      <c r="A3332" s="12">
        <v>41730</v>
      </c>
      <c r="B3332" s="9">
        <v>1377.38</v>
      </c>
      <c r="C3332" s="9">
        <v>1367.45</v>
      </c>
      <c r="D3332" s="9">
        <v>1375.01</v>
      </c>
      <c r="E3332" s="9">
        <f t="shared" si="157"/>
        <v>7.3285534459363155E-3</v>
      </c>
      <c r="F3332" s="45">
        <f t="shared" si="155"/>
        <v>3.4004126723274943E-2</v>
      </c>
      <c r="G3332" s="9">
        <f t="shared" si="156"/>
        <v>9.5931887544704244E-3</v>
      </c>
    </row>
    <row r="3333" spans="1:7" x14ac:dyDescent="0.2">
      <c r="A3333" s="12">
        <v>41731</v>
      </c>
      <c r="B3333" s="9">
        <v>1382.13</v>
      </c>
      <c r="C3333" s="9">
        <v>1374.18</v>
      </c>
      <c r="D3333" s="9">
        <v>1377.5</v>
      </c>
      <c r="E3333" s="9">
        <f t="shared" si="157"/>
        <v>1.8092582255713752E-3</v>
      </c>
      <c r="F3333" s="45">
        <f t="shared" si="155"/>
        <v>2.9094300338895786E-2</v>
      </c>
      <c r="G3333" s="9">
        <f t="shared" si="156"/>
        <v>9.5363242128514991E-3</v>
      </c>
    </row>
    <row r="3334" spans="1:7" x14ac:dyDescent="0.2">
      <c r="A3334" s="12">
        <v>41732</v>
      </c>
      <c r="B3334" s="9">
        <v>1375.17</v>
      </c>
      <c r="C3334" s="9">
        <v>1368.35</v>
      </c>
      <c r="D3334" s="9">
        <v>1368.88</v>
      </c>
      <c r="E3334" s="9">
        <f t="shared" si="157"/>
        <v>-6.277374803354511E-3</v>
      </c>
      <c r="F3334" s="45">
        <f t="shared" si="155"/>
        <v>1.9943628411637358E-2</v>
      </c>
      <c r="G3334" s="9">
        <f t="shared" si="156"/>
        <v>9.6193235297769315E-3</v>
      </c>
    </row>
    <row r="3335" spans="1:7" x14ac:dyDescent="0.2">
      <c r="A3335" s="12">
        <v>41733</v>
      </c>
      <c r="B3335" s="9">
        <v>1376.48</v>
      </c>
      <c r="C3335" s="9">
        <v>1366.41</v>
      </c>
      <c r="D3335" s="9">
        <v>1369.69</v>
      </c>
      <c r="E3335" s="9">
        <f t="shared" si="157"/>
        <v>5.9154962160575084E-4</v>
      </c>
      <c r="F3335" s="45">
        <f t="shared" si="155"/>
        <v>1.5131908812487348E-2</v>
      </c>
      <c r="G3335" s="9">
        <f t="shared" si="156"/>
        <v>9.5776150133209635E-3</v>
      </c>
    </row>
    <row r="3336" spans="1:7" x14ac:dyDescent="0.2">
      <c r="A3336" s="12">
        <v>41736</v>
      </c>
      <c r="B3336" s="9">
        <v>1363.73</v>
      </c>
      <c r="C3336" s="9">
        <v>1356.65</v>
      </c>
      <c r="D3336" s="9">
        <v>1357.31</v>
      </c>
      <c r="E3336" s="9">
        <f t="shared" si="157"/>
        <v>-9.079637000575843E-3</v>
      </c>
      <c r="F3336" s="45">
        <f t="shared" si="155"/>
        <v>-9.3862287250008856E-3</v>
      </c>
      <c r="G3336" s="9">
        <f t="shared" si="156"/>
        <v>9.3014252881623294E-3</v>
      </c>
    </row>
    <row r="3337" spans="1:7" x14ac:dyDescent="0.2">
      <c r="A3337" s="12">
        <v>41737</v>
      </c>
      <c r="B3337" s="9">
        <v>1363.52</v>
      </c>
      <c r="C3337" s="9">
        <v>1352.17</v>
      </c>
      <c r="D3337" s="9">
        <v>1361.53</v>
      </c>
      <c r="E3337" s="9">
        <f t="shared" si="157"/>
        <v>3.1042675470621191E-3</v>
      </c>
      <c r="F3337" s="45">
        <f t="shared" si="155"/>
        <v>-7.6167291593358189E-3</v>
      </c>
      <c r="G3337" s="9">
        <f t="shared" si="156"/>
        <v>9.3178298155456307E-3</v>
      </c>
    </row>
    <row r="3338" spans="1:7" x14ac:dyDescent="0.2">
      <c r="A3338" s="12">
        <v>41738</v>
      </c>
      <c r="B3338" s="9">
        <v>1371.65</v>
      </c>
      <c r="C3338" s="9">
        <v>1364.4</v>
      </c>
      <c r="D3338" s="9">
        <v>1366.53</v>
      </c>
      <c r="E3338" s="9">
        <f t="shared" si="157"/>
        <v>3.6656126321491034E-3</v>
      </c>
      <c r="F3338" s="45">
        <f t="shared" si="155"/>
        <v>-4.985611938717582E-3</v>
      </c>
      <c r="G3338" s="9">
        <f t="shared" si="156"/>
        <v>9.342724315525186E-3</v>
      </c>
    </row>
    <row r="3339" spans="1:7" x14ac:dyDescent="0.2">
      <c r="A3339" s="12">
        <v>41739</v>
      </c>
      <c r="B3339" s="9">
        <v>1373.32</v>
      </c>
      <c r="C3339" s="9">
        <v>1354.99</v>
      </c>
      <c r="D3339" s="9">
        <v>1354.99</v>
      </c>
      <c r="E3339" s="9">
        <f t="shared" si="157"/>
        <v>-8.4806058111884745E-3</v>
      </c>
      <c r="F3339" s="45">
        <f t="shared" si="155"/>
        <v>-1.0162286132639819E-2</v>
      </c>
      <c r="G3339" s="9">
        <f t="shared" si="156"/>
        <v>9.4498664184437843E-3</v>
      </c>
    </row>
    <row r="3340" spans="1:7" x14ac:dyDescent="0.2">
      <c r="A3340" s="12">
        <v>41740</v>
      </c>
      <c r="B3340" s="9">
        <v>1348.43</v>
      </c>
      <c r="C3340" s="9">
        <v>1330.71</v>
      </c>
      <c r="D3340" s="9">
        <v>1344.12</v>
      </c>
      <c r="E3340" s="9">
        <f t="shared" si="157"/>
        <v>-8.0545504011193744E-3</v>
      </c>
      <c r="F3340" s="45">
        <f t="shared" si="155"/>
        <v>-1.843597779309138E-2</v>
      </c>
      <c r="G3340" s="9">
        <f t="shared" si="156"/>
        <v>9.5531903616305151E-3</v>
      </c>
    </row>
    <row r="3341" spans="1:7" x14ac:dyDescent="0.2">
      <c r="A3341" s="12">
        <v>41743</v>
      </c>
      <c r="B3341" s="9">
        <v>1349.97</v>
      </c>
      <c r="C3341" s="9">
        <v>1332.12</v>
      </c>
      <c r="D3341" s="9">
        <v>1348.22</v>
      </c>
      <c r="E3341" s="9">
        <f t="shared" si="157"/>
        <v>3.0456800919325833E-3</v>
      </c>
      <c r="F3341" s="45">
        <f t="shared" si="155"/>
        <v>9.434524369117148E-3</v>
      </c>
      <c r="G3341" s="9">
        <f t="shared" si="156"/>
        <v>8.4036256826040458E-3</v>
      </c>
    </row>
    <row r="3342" spans="1:7" x14ac:dyDescent="0.2">
      <c r="A3342" s="12">
        <v>41744</v>
      </c>
      <c r="B3342" s="9">
        <v>1351.73</v>
      </c>
      <c r="C3342" s="9">
        <v>1328.82</v>
      </c>
      <c r="D3342" s="9">
        <v>1329.28</v>
      </c>
      <c r="E3342" s="9">
        <f t="shared" si="157"/>
        <v>-1.4147761655888077E-2</v>
      </c>
      <c r="F3342" s="45">
        <f t="shared" si="155"/>
        <v>-2.537347566928835E-2</v>
      </c>
      <c r="G3342" s="9">
        <f t="shared" si="156"/>
        <v>7.8845704619629527E-3</v>
      </c>
    </row>
    <row r="3343" spans="1:7" x14ac:dyDescent="0.2">
      <c r="A3343" s="12">
        <v>41745</v>
      </c>
      <c r="B3343" s="9">
        <v>1342.55</v>
      </c>
      <c r="C3343" s="9">
        <v>1336.64</v>
      </c>
      <c r="D3343" s="9">
        <v>1342.55</v>
      </c>
      <c r="E3343" s="9">
        <f t="shared" si="157"/>
        <v>9.9333483896468858E-3</v>
      </c>
      <c r="F3343" s="45">
        <f t="shared" si="155"/>
        <v>-1.6525028205593123E-2</v>
      </c>
      <c r="G3343" s="9">
        <f t="shared" si="156"/>
        <v>8.1212352132433354E-3</v>
      </c>
    </row>
    <row r="3344" spans="1:7" x14ac:dyDescent="0.2">
      <c r="A3344" s="12">
        <v>41746</v>
      </c>
      <c r="B3344" s="9">
        <v>1345.75</v>
      </c>
      <c r="C3344" s="9">
        <v>1338.93</v>
      </c>
      <c r="D3344" s="9">
        <v>1341.56</v>
      </c>
      <c r="E3344" s="9">
        <f t="shared" si="157"/>
        <v>-7.3767471891508253E-4</v>
      </c>
      <c r="F3344" s="45">
        <f t="shared" si="155"/>
        <v>-2.4125947399765497E-2</v>
      </c>
      <c r="G3344" s="9">
        <f t="shared" si="156"/>
        <v>7.9996119018972411E-3</v>
      </c>
    </row>
    <row r="3345" spans="1:7" x14ac:dyDescent="0.2">
      <c r="A3345" s="12">
        <v>41751</v>
      </c>
      <c r="B3345" s="9">
        <v>1369.45</v>
      </c>
      <c r="C3345" s="9">
        <v>1354.54</v>
      </c>
      <c r="D3345" s="9">
        <v>1369.45</v>
      </c>
      <c r="E3345" s="9">
        <f t="shared" si="157"/>
        <v>2.057608344315015E-2</v>
      </c>
      <c r="F3345" s="45">
        <f t="shared" si="155"/>
        <v>8.1311096455840871E-3</v>
      </c>
      <c r="G3345" s="9">
        <f t="shared" si="156"/>
        <v>8.6302359530245013E-3</v>
      </c>
    </row>
    <row r="3346" spans="1:7" x14ac:dyDescent="0.2">
      <c r="A3346" s="12">
        <v>41752</v>
      </c>
      <c r="B3346" s="9">
        <v>1364.35</v>
      </c>
      <c r="C3346" s="9">
        <v>1352.47</v>
      </c>
      <c r="D3346" s="9">
        <v>1353.06</v>
      </c>
      <c r="E3346" s="9">
        <f t="shared" si="157"/>
        <v>-1.2040505276032365E-2</v>
      </c>
      <c r="F3346" s="45">
        <f t="shared" si="155"/>
        <v>-5.0645337316641021E-3</v>
      </c>
      <c r="G3346" s="9">
        <f t="shared" si="156"/>
        <v>8.9151875004599302E-3</v>
      </c>
    </row>
    <row r="3347" spans="1:7" x14ac:dyDescent="0.2">
      <c r="A3347" s="12">
        <v>41753</v>
      </c>
      <c r="B3347" s="9">
        <v>1369.38</v>
      </c>
      <c r="C3347" s="9">
        <v>1351.06</v>
      </c>
      <c r="D3347" s="9">
        <v>1365.27</v>
      </c>
      <c r="E3347" s="9">
        <f t="shared" si="157"/>
        <v>8.9835171710446766E-3</v>
      </c>
      <c r="F3347" s="45">
        <f t="shared" si="155"/>
        <v>4.4706345450879238E-3</v>
      </c>
      <c r="G3347" s="9">
        <f t="shared" si="156"/>
        <v>9.0697004151409442E-3</v>
      </c>
    </row>
    <row r="3348" spans="1:7" x14ac:dyDescent="0.2">
      <c r="A3348" s="12">
        <v>41754</v>
      </c>
      <c r="B3348" s="9">
        <v>1368.33</v>
      </c>
      <c r="C3348" s="9">
        <v>1357.73</v>
      </c>
      <c r="D3348" s="9">
        <v>1360.35</v>
      </c>
      <c r="E3348" s="9">
        <f t="shared" si="157"/>
        <v>-3.6101916949005533E-3</v>
      </c>
      <c r="F3348" s="45">
        <f t="shared" si="155"/>
        <v>1.033736497964508E-2</v>
      </c>
      <c r="G3348" s="9">
        <f t="shared" si="156"/>
        <v>8.9169542425890803E-3</v>
      </c>
    </row>
    <row r="3349" spans="1:7" x14ac:dyDescent="0.2">
      <c r="A3349" s="12">
        <v>41757</v>
      </c>
      <c r="B3349" s="9">
        <v>1368.39</v>
      </c>
      <c r="C3349" s="9">
        <v>1353.48</v>
      </c>
      <c r="D3349" s="9">
        <v>1357.56</v>
      </c>
      <c r="E3349" s="9">
        <f t="shared" si="157"/>
        <v>-2.0530488353107126E-3</v>
      </c>
      <c r="F3349" s="45">
        <f t="shared" si="155"/>
        <v>1.5088660493413862E-2</v>
      </c>
      <c r="G3349" s="9">
        <f t="shared" si="156"/>
        <v>8.8273461043020252E-3</v>
      </c>
    </row>
    <row r="3350" spans="1:7" x14ac:dyDescent="0.2">
      <c r="A3350" s="12">
        <v>41758</v>
      </c>
      <c r="B3350" s="9">
        <v>1371.71</v>
      </c>
      <c r="C3350" s="9">
        <v>1358.41</v>
      </c>
      <c r="D3350" s="9">
        <v>1371.65</v>
      </c>
      <c r="E3350" s="9">
        <f t="shared" si="157"/>
        <v>1.0325423974578096E-2</v>
      </c>
      <c r="F3350" s="45">
        <f t="shared" si="155"/>
        <v>3.322929287974255E-2</v>
      </c>
      <c r="G3350" s="9">
        <f t="shared" si="156"/>
        <v>8.85916389282463E-3</v>
      </c>
    </row>
    <row r="3351" spans="1:7" x14ac:dyDescent="0.2">
      <c r="A3351" s="12">
        <v>41759</v>
      </c>
      <c r="B3351" s="9">
        <v>1367.8</v>
      </c>
      <c r="C3351" s="9">
        <v>1362.9</v>
      </c>
      <c r="D3351" s="9">
        <v>1364.39</v>
      </c>
      <c r="E3351" s="9">
        <f t="shared" si="157"/>
        <v>-5.3069524122871586E-3</v>
      </c>
      <c r="F3351" s="45">
        <f t="shared" si="155"/>
        <v>1.1054803823853258E-2</v>
      </c>
      <c r="G3351" s="9">
        <f t="shared" si="156"/>
        <v>8.4127187924089714E-3</v>
      </c>
    </row>
    <row r="3352" spans="1:7" x14ac:dyDescent="0.2">
      <c r="A3352" s="12">
        <v>41761</v>
      </c>
      <c r="B3352" s="9">
        <v>1369.31</v>
      </c>
      <c r="C3352" s="9">
        <v>1357.92</v>
      </c>
      <c r="D3352" s="9">
        <v>1360.19</v>
      </c>
      <c r="E3352" s="9">
        <f t="shared" si="157"/>
        <v>-3.0830464341740377E-3</v>
      </c>
      <c r="F3352" s="45">
        <f t="shared" si="155"/>
        <v>8.2375356775978091E-4</v>
      </c>
      <c r="G3352" s="9">
        <f t="shared" si="156"/>
        <v>8.3354322799656932E-3</v>
      </c>
    </row>
    <row r="3353" spans="1:7" x14ac:dyDescent="0.2">
      <c r="A3353" s="12">
        <v>41764</v>
      </c>
      <c r="B3353" s="9">
        <v>1362.61</v>
      </c>
      <c r="C3353" s="9">
        <v>1346.31</v>
      </c>
      <c r="D3353" s="9">
        <v>1358.59</v>
      </c>
      <c r="E3353" s="9">
        <f t="shared" si="157"/>
        <v>-1.1769986425603891E-3</v>
      </c>
      <c r="F3353" s="45">
        <f t="shared" si="155"/>
        <v>-1.3901814255501408E-3</v>
      </c>
      <c r="G3353" s="9">
        <f t="shared" si="156"/>
        <v>8.3359871996383401E-3</v>
      </c>
    </row>
    <row r="3354" spans="1:7" x14ac:dyDescent="0.2">
      <c r="A3354" s="12">
        <v>41765</v>
      </c>
      <c r="B3354" s="9">
        <v>1364.6</v>
      </c>
      <c r="C3354" s="9">
        <v>1350.74</v>
      </c>
      <c r="D3354" s="9">
        <v>1352.98</v>
      </c>
      <c r="E3354" s="9">
        <f t="shared" si="157"/>
        <v>-4.1378301163999941E-3</v>
      </c>
      <c r="F3354" s="45">
        <f t="shared" si="155"/>
        <v>3.7701676692670187E-4</v>
      </c>
      <c r="G3354" s="9">
        <f t="shared" si="156"/>
        <v>8.2993222739899432E-3</v>
      </c>
    </row>
    <row r="3355" spans="1:7" x14ac:dyDescent="0.2">
      <c r="A3355" s="12">
        <v>41766</v>
      </c>
      <c r="B3355" s="9">
        <v>1352.79</v>
      </c>
      <c r="C3355" s="9">
        <v>1341.83</v>
      </c>
      <c r="D3355" s="9">
        <v>1343.13</v>
      </c>
      <c r="E3355" s="9">
        <f t="shared" si="157"/>
        <v>-7.3068560439831917E-3</v>
      </c>
      <c r="F3355" s="45">
        <f t="shared" si="155"/>
        <v>-6.1605800209553717E-3</v>
      </c>
      <c r="G3355" s="9">
        <f t="shared" si="156"/>
        <v>8.4057078062102827E-3</v>
      </c>
    </row>
    <row r="3356" spans="1:7" x14ac:dyDescent="0.2">
      <c r="A3356" s="12">
        <v>41767</v>
      </c>
      <c r="B3356" s="9">
        <v>1359.13</v>
      </c>
      <c r="C3356" s="9">
        <v>1345.41</v>
      </c>
      <c r="D3356" s="9">
        <v>1359.13</v>
      </c>
      <c r="E3356" s="9">
        <f t="shared" si="157"/>
        <v>1.1842078097085068E-2</v>
      </c>
      <c r="F3356" s="45">
        <f t="shared" si="155"/>
        <v>1.7539035598618507E-2</v>
      </c>
      <c r="G3356" s="9">
        <f t="shared" si="156"/>
        <v>8.3864968877943539E-3</v>
      </c>
    </row>
    <row r="3357" spans="1:7" x14ac:dyDescent="0.2">
      <c r="A3357" s="12">
        <v>41768</v>
      </c>
      <c r="B3357" s="9">
        <v>1358.77</v>
      </c>
      <c r="C3357" s="9">
        <v>1351.23</v>
      </c>
      <c r="D3357" s="9">
        <v>1354.34</v>
      </c>
      <c r="E3357" s="9">
        <f t="shared" si="157"/>
        <v>-3.5305383700519472E-3</v>
      </c>
      <c r="F3357" s="45">
        <f t="shared" si="155"/>
        <v>2.713485164085149E-3</v>
      </c>
      <c r="G3357" s="9">
        <f t="shared" si="156"/>
        <v>8.1675608719909247E-3</v>
      </c>
    </row>
    <row r="3358" spans="1:7" x14ac:dyDescent="0.2">
      <c r="A3358" s="12">
        <v>41771</v>
      </c>
      <c r="B3358" s="9">
        <v>1364.81</v>
      </c>
      <c r="C3358" s="9">
        <v>1357.48</v>
      </c>
      <c r="D3358" s="9">
        <v>1364.78</v>
      </c>
      <c r="E3358" s="9">
        <f t="shared" si="157"/>
        <v>7.6789926896773629E-3</v>
      </c>
      <c r="F3358" s="45">
        <f t="shared" si="155"/>
        <v>9.7929552334331711E-3</v>
      </c>
      <c r="G3358" s="9">
        <f t="shared" si="156"/>
        <v>8.284215713555464E-3</v>
      </c>
    </row>
    <row r="3359" spans="1:7" x14ac:dyDescent="0.2">
      <c r="A3359" s="12">
        <v>41772</v>
      </c>
      <c r="B3359" s="9">
        <v>1373.62</v>
      </c>
      <c r="C3359" s="9">
        <v>1367.65</v>
      </c>
      <c r="D3359" s="9">
        <v>1373.62</v>
      </c>
      <c r="E3359" s="9">
        <f t="shared" si="157"/>
        <v>6.4563472885638068E-3</v>
      </c>
      <c r="F3359" s="45">
        <f t="shared" si="155"/>
        <v>2.3519577419148202E-2</v>
      </c>
      <c r="G3359" s="9">
        <f t="shared" si="156"/>
        <v>8.2290568192750924E-3</v>
      </c>
    </row>
    <row r="3360" spans="1:7" x14ac:dyDescent="0.2">
      <c r="A3360" s="12">
        <v>41773</v>
      </c>
      <c r="B3360" s="9">
        <v>1375.93</v>
      </c>
      <c r="C3360" s="9">
        <v>1369.45</v>
      </c>
      <c r="D3360" s="9">
        <v>1375.93</v>
      </c>
      <c r="E3360" s="9">
        <f t="shared" si="157"/>
        <v>1.6802753494136579E-3</v>
      </c>
      <c r="F3360" s="45">
        <f t="shared" si="155"/>
        <v>2.1636086288326258E-2</v>
      </c>
      <c r="G3360" s="9">
        <f t="shared" si="156"/>
        <v>8.2142890879073945E-3</v>
      </c>
    </row>
    <row r="3361" spans="1:7" x14ac:dyDescent="0.2">
      <c r="A3361" s="12">
        <v>41774</v>
      </c>
      <c r="B3361" s="9">
        <v>1386.5</v>
      </c>
      <c r="C3361" s="9">
        <v>1376.5</v>
      </c>
      <c r="D3361" s="9">
        <v>1385.84</v>
      </c>
      <c r="E3361" s="9">
        <f t="shared" si="157"/>
        <v>7.1765878644484407E-3</v>
      </c>
      <c r="F3361" s="45">
        <f t="shared" ref="F3361:F3424" si="158">LN(D3361/D3331)</f>
        <v>1.5174003615123468E-2</v>
      </c>
      <c r="G3361" s="9">
        <f t="shared" ref="G3361:G3424" si="159">STDEV(E3332:E3361)</f>
        <v>7.9441604784610889E-3</v>
      </c>
    </row>
    <row r="3362" spans="1:7" x14ac:dyDescent="0.2">
      <c r="A3362" s="12">
        <v>41775</v>
      </c>
      <c r="B3362" s="9">
        <v>1384.18</v>
      </c>
      <c r="C3362" s="9">
        <v>1377.4</v>
      </c>
      <c r="D3362" s="9">
        <v>1382.14</v>
      </c>
      <c r="E3362" s="9">
        <f t="shared" si="157"/>
        <v>-2.6734313136152076E-3</v>
      </c>
      <c r="F3362" s="45">
        <f t="shared" si="158"/>
        <v>5.1720188555720173E-3</v>
      </c>
      <c r="G3362" s="9">
        <f t="shared" si="159"/>
        <v>7.8573571463926677E-3</v>
      </c>
    </row>
    <row r="3363" spans="1:7" x14ac:dyDescent="0.2">
      <c r="A3363" s="12">
        <v>41778</v>
      </c>
      <c r="B3363" s="9">
        <v>1382.42</v>
      </c>
      <c r="C3363" s="9">
        <v>1372.34</v>
      </c>
      <c r="D3363" s="9">
        <v>1379.92</v>
      </c>
      <c r="E3363" s="9">
        <f t="shared" si="157"/>
        <v>-1.6074962006966578E-3</v>
      </c>
      <c r="F3363" s="45">
        <f t="shared" si="158"/>
        <v>1.7552644293038586E-3</v>
      </c>
      <c r="G3363" s="9">
        <f t="shared" si="159"/>
        <v>7.8575756724989666E-3</v>
      </c>
    </row>
    <row r="3364" spans="1:7" x14ac:dyDescent="0.2">
      <c r="A3364" s="12">
        <v>41779</v>
      </c>
      <c r="B3364" s="9">
        <v>1384.37</v>
      </c>
      <c r="C3364" s="9">
        <v>1380.01</v>
      </c>
      <c r="D3364" s="9">
        <v>1381.27</v>
      </c>
      <c r="E3364" s="9">
        <f t="shared" si="157"/>
        <v>9.7783934286958048E-4</v>
      </c>
      <c r="F3364" s="45">
        <f t="shared" si="158"/>
        <v>9.0104785755279505E-3</v>
      </c>
      <c r="G3364" s="9">
        <f t="shared" si="159"/>
        <v>7.7669736506709277E-3</v>
      </c>
    </row>
    <row r="3365" spans="1:7" x14ac:dyDescent="0.2">
      <c r="A3365" s="12">
        <v>41780</v>
      </c>
      <c r="B3365" s="9">
        <v>1389.05</v>
      </c>
      <c r="C3365" s="9">
        <v>1374.66</v>
      </c>
      <c r="D3365" s="9">
        <v>1385.86</v>
      </c>
      <c r="E3365" s="9">
        <f t="shared" si="157"/>
        <v>3.3175197477315378E-3</v>
      </c>
      <c r="F3365" s="45">
        <f t="shared" si="158"/>
        <v>1.1736448701653815E-2</v>
      </c>
      <c r="G3365" s="9">
        <f t="shared" si="159"/>
        <v>7.786419065120515E-3</v>
      </c>
    </row>
    <row r="3366" spans="1:7" x14ac:dyDescent="0.2">
      <c r="A3366" s="12">
        <v>41781</v>
      </c>
      <c r="B3366" s="9">
        <v>1391</v>
      </c>
      <c r="C3366" s="9">
        <v>1384.11</v>
      </c>
      <c r="D3366" s="9">
        <v>1388.52</v>
      </c>
      <c r="E3366" s="9">
        <f t="shared" si="157"/>
        <v>1.9175461292718545E-3</v>
      </c>
      <c r="F3366" s="45">
        <f t="shared" si="158"/>
        <v>2.2733631831501542E-2</v>
      </c>
      <c r="G3366" s="9">
        <f t="shared" si="159"/>
        <v>7.5813353296348036E-3</v>
      </c>
    </row>
    <row r="3367" spans="1:7" x14ac:dyDescent="0.2">
      <c r="A3367" s="12">
        <v>41782</v>
      </c>
      <c r="B3367" s="9">
        <v>1392.3</v>
      </c>
      <c r="C3367" s="9">
        <v>1382.54</v>
      </c>
      <c r="D3367" s="9">
        <v>1392.28</v>
      </c>
      <c r="E3367" s="9">
        <f t="shared" si="157"/>
        <v>2.704259415572697E-3</v>
      </c>
      <c r="F3367" s="45">
        <f t="shared" si="158"/>
        <v>2.2333623700012139E-2</v>
      </c>
      <c r="G3367" s="9">
        <f t="shared" si="159"/>
        <v>7.5774169171876167E-3</v>
      </c>
    </row>
    <row r="3368" spans="1:7" x14ac:dyDescent="0.2">
      <c r="A3368" s="12">
        <v>41785</v>
      </c>
      <c r="B3368" s="9">
        <v>1397.47</v>
      </c>
      <c r="C3368" s="9">
        <v>1393.57</v>
      </c>
      <c r="D3368" s="9">
        <v>1394.15</v>
      </c>
      <c r="E3368" s="9">
        <f t="shared" si="157"/>
        <v>1.3422194569697821E-3</v>
      </c>
      <c r="F3368" s="45">
        <f t="shared" si="158"/>
        <v>2.0010230524832771E-2</v>
      </c>
      <c r="G3368" s="9">
        <f t="shared" si="159"/>
        <v>7.5583805618203515E-3</v>
      </c>
    </row>
    <row r="3369" spans="1:7" x14ac:dyDescent="0.2">
      <c r="A3369" s="12">
        <v>41786</v>
      </c>
      <c r="B3369" s="9">
        <v>1399.34</v>
      </c>
      <c r="C3369" s="9">
        <v>1389.03</v>
      </c>
      <c r="D3369" s="9">
        <v>1395.39</v>
      </c>
      <c r="E3369" s="9">
        <f t="shared" si="157"/>
        <v>8.890355267700122E-4</v>
      </c>
      <c r="F3369" s="45">
        <f t="shared" si="158"/>
        <v>2.937987186279126E-2</v>
      </c>
      <c r="G3369" s="9">
        <f t="shared" si="159"/>
        <v>7.3582899747226243E-3</v>
      </c>
    </row>
    <row r="3370" spans="1:7" x14ac:dyDescent="0.2">
      <c r="A3370" s="12">
        <v>41787</v>
      </c>
      <c r="B3370" s="9">
        <v>1397.72</v>
      </c>
      <c r="C3370" s="9">
        <v>1389.74</v>
      </c>
      <c r="D3370" s="9">
        <v>1392.85</v>
      </c>
      <c r="E3370" s="9">
        <f t="shared" si="157"/>
        <v>-1.8219383572569542E-3</v>
      </c>
      <c r="F3370" s="45">
        <f t="shared" si="158"/>
        <v>3.5612483906653607E-2</v>
      </c>
      <c r="G3370" s="9">
        <f t="shared" si="159"/>
        <v>7.1802645753294954E-3</v>
      </c>
    </row>
    <row r="3371" spans="1:7" x14ac:dyDescent="0.2">
      <c r="A3371" s="12">
        <v>41789</v>
      </c>
      <c r="B3371" s="9">
        <v>1404.63</v>
      </c>
      <c r="C3371" s="9">
        <v>1393.16</v>
      </c>
      <c r="D3371" s="9">
        <v>1402.08</v>
      </c>
      <c r="E3371" s="9">
        <f t="shared" si="157"/>
        <v>6.6048405892384495E-3</v>
      </c>
      <c r="F3371" s="45">
        <f t="shared" si="158"/>
        <v>3.9171644403959614E-2</v>
      </c>
      <c r="G3371" s="9">
        <f t="shared" si="159"/>
        <v>7.2411783268042044E-3</v>
      </c>
    </row>
    <row r="3372" spans="1:7" x14ac:dyDescent="0.2">
      <c r="A3372" s="12">
        <v>41792</v>
      </c>
      <c r="B3372" s="9">
        <v>1406.26</v>
      </c>
      <c r="C3372" s="9">
        <v>1397.9</v>
      </c>
      <c r="D3372" s="9">
        <v>1399.4</v>
      </c>
      <c r="E3372" s="9">
        <f t="shared" si="157"/>
        <v>-1.913274995744038E-3</v>
      </c>
      <c r="F3372" s="45">
        <f t="shared" si="158"/>
        <v>5.1406131064103563E-2</v>
      </c>
      <c r="G3372" s="9">
        <f t="shared" si="159"/>
        <v>6.6622136178479639E-3</v>
      </c>
    </row>
    <row r="3373" spans="1:7" x14ac:dyDescent="0.2">
      <c r="A3373" s="12">
        <v>41793</v>
      </c>
      <c r="B3373" s="9">
        <v>1398.86</v>
      </c>
      <c r="C3373" s="9">
        <v>1392.19</v>
      </c>
      <c r="D3373" s="9">
        <v>1395.77</v>
      </c>
      <c r="E3373" s="9">
        <f t="shared" si="157"/>
        <v>-2.5973390103043955E-3</v>
      </c>
      <c r="F3373" s="45">
        <f t="shared" si="158"/>
        <v>3.8875443664152493E-2</v>
      </c>
      <c r="G3373" s="9">
        <f t="shared" si="159"/>
        <v>6.5203978383475986E-3</v>
      </c>
    </row>
    <row r="3374" spans="1:7" x14ac:dyDescent="0.2">
      <c r="A3374" s="12">
        <v>41794</v>
      </c>
      <c r="B3374" s="9">
        <v>1397.9</v>
      </c>
      <c r="C3374" s="9">
        <v>1391.84</v>
      </c>
      <c r="D3374" s="9">
        <v>1397.47</v>
      </c>
      <c r="E3374" s="9">
        <f t="shared" si="157"/>
        <v>1.2172245921570632E-3</v>
      </c>
      <c r="F3374" s="45">
        <f t="shared" si="158"/>
        <v>4.0830342975224504E-2</v>
      </c>
      <c r="G3374" s="9">
        <f t="shared" si="159"/>
        <v>6.509133185427428E-3</v>
      </c>
    </row>
    <row r="3375" spans="1:7" x14ac:dyDescent="0.2">
      <c r="A3375" s="12">
        <v>41795</v>
      </c>
      <c r="B3375" s="9">
        <v>1401.23</v>
      </c>
      <c r="C3375" s="9">
        <v>1391.2</v>
      </c>
      <c r="D3375" s="9">
        <v>1391.2</v>
      </c>
      <c r="E3375" s="9">
        <f t="shared" si="157"/>
        <v>-4.4967748535757572E-3</v>
      </c>
      <c r="F3375" s="45">
        <f t="shared" si="158"/>
        <v>1.5757484678498818E-2</v>
      </c>
      <c r="G3375" s="9">
        <f t="shared" si="159"/>
        <v>5.4861435389544286E-3</v>
      </c>
    </row>
    <row r="3376" spans="1:7" x14ac:dyDescent="0.2">
      <c r="A3376" s="12">
        <v>41799</v>
      </c>
      <c r="B3376" s="9">
        <v>1406.44</v>
      </c>
      <c r="C3376" s="9">
        <v>1400.96</v>
      </c>
      <c r="D3376" s="9">
        <v>1406.44</v>
      </c>
      <c r="E3376" s="9">
        <f t="shared" si="157"/>
        <v>1.0895004897083917E-2</v>
      </c>
      <c r="F3376" s="45">
        <f t="shared" si="158"/>
        <v>3.8692994851615044E-2</v>
      </c>
      <c r="G3376" s="9">
        <f t="shared" si="159"/>
        <v>5.2684303878679983E-3</v>
      </c>
    </row>
    <row r="3377" spans="1:7" x14ac:dyDescent="0.2">
      <c r="A3377" s="12">
        <v>41800</v>
      </c>
      <c r="B3377" s="9">
        <v>1406.74</v>
      </c>
      <c r="C3377" s="9">
        <v>1401.5</v>
      </c>
      <c r="D3377" s="9">
        <v>1406.22</v>
      </c>
      <c r="E3377" s="9">
        <f t="shared" si="157"/>
        <v>-1.5643554531916923E-4</v>
      </c>
      <c r="F3377" s="45">
        <f t="shared" si="158"/>
        <v>2.9553042135251239E-2</v>
      </c>
      <c r="G3377" s="9">
        <f t="shared" si="159"/>
        <v>5.0686578518614831E-3</v>
      </c>
    </row>
    <row r="3378" spans="1:7" x14ac:dyDescent="0.2">
      <c r="A3378" s="12">
        <v>41801</v>
      </c>
      <c r="B3378" s="9">
        <v>1410.09</v>
      </c>
      <c r="C3378" s="9">
        <v>1398.28</v>
      </c>
      <c r="D3378" s="9">
        <v>1400.35</v>
      </c>
      <c r="E3378" s="9">
        <f t="shared" si="157"/>
        <v>-4.1830480332809335E-3</v>
      </c>
      <c r="F3378" s="45">
        <f t="shared" si="158"/>
        <v>2.8980185796870901E-2</v>
      </c>
      <c r="G3378" s="9">
        <f t="shared" si="159"/>
        <v>5.0876103437560308E-3</v>
      </c>
    </row>
    <row r="3379" spans="1:7" x14ac:dyDescent="0.2">
      <c r="A3379" s="12">
        <v>41802</v>
      </c>
      <c r="B3379" s="9">
        <v>1402.66</v>
      </c>
      <c r="C3379" s="9">
        <v>1395.49</v>
      </c>
      <c r="D3379" s="9">
        <v>1397.67</v>
      </c>
      <c r="E3379" s="9">
        <f t="shared" si="157"/>
        <v>-1.9156409314885314E-3</v>
      </c>
      <c r="F3379" s="45">
        <f t="shared" si="158"/>
        <v>2.9117593700693178E-2</v>
      </c>
      <c r="G3379" s="9">
        <f t="shared" si="159"/>
        <v>5.0848597404063289E-3</v>
      </c>
    </row>
    <row r="3380" spans="1:7" x14ac:dyDescent="0.2">
      <c r="A3380" s="12">
        <v>41803</v>
      </c>
      <c r="B3380" s="9">
        <v>1397.39</v>
      </c>
      <c r="C3380" s="9">
        <v>1383.29</v>
      </c>
      <c r="D3380" s="9">
        <v>1390.15</v>
      </c>
      <c r="E3380" s="9">
        <f t="shared" si="157"/>
        <v>-5.394909455527697E-3</v>
      </c>
      <c r="F3380" s="45">
        <f t="shared" si="158"/>
        <v>1.3397260270587231E-2</v>
      </c>
      <c r="G3380" s="9">
        <f t="shared" si="159"/>
        <v>4.8940043635130473E-3</v>
      </c>
    </row>
    <row r="3381" spans="1:7" x14ac:dyDescent="0.2">
      <c r="A3381" s="12">
        <v>41806</v>
      </c>
      <c r="B3381" s="9">
        <v>1392.16</v>
      </c>
      <c r="C3381" s="9">
        <v>1380.28</v>
      </c>
      <c r="D3381" s="9">
        <v>1382.98</v>
      </c>
      <c r="E3381" s="9">
        <f t="shared" si="157"/>
        <v>-5.1710637273285447E-3</v>
      </c>
      <c r="F3381" s="45">
        <f t="shared" si="158"/>
        <v>1.3533148955545903E-2</v>
      </c>
      <c r="G3381" s="9">
        <f t="shared" si="159"/>
        <v>4.8885554391292513E-3</v>
      </c>
    </row>
    <row r="3382" spans="1:7" x14ac:dyDescent="0.2">
      <c r="A3382" s="12">
        <v>41807</v>
      </c>
      <c r="B3382" s="9">
        <v>1390.09</v>
      </c>
      <c r="C3382" s="9">
        <v>1380.17</v>
      </c>
      <c r="D3382" s="9">
        <v>1384.27</v>
      </c>
      <c r="E3382" s="9">
        <f t="shared" si="157"/>
        <v>9.3233361166778536E-4</v>
      </c>
      <c r="F3382" s="45">
        <f t="shared" si="158"/>
        <v>1.7548529001387685E-2</v>
      </c>
      <c r="G3382" s="9">
        <f t="shared" si="159"/>
        <v>4.8432148289255976E-3</v>
      </c>
    </row>
    <row r="3383" spans="1:7" x14ac:dyDescent="0.2">
      <c r="A3383" s="12">
        <v>41808</v>
      </c>
      <c r="B3383" s="9">
        <v>1389.61</v>
      </c>
      <c r="C3383" s="9">
        <v>1378.42</v>
      </c>
      <c r="D3383" s="9">
        <v>1378.42</v>
      </c>
      <c r="E3383" s="9">
        <f t="shared" si="157"/>
        <v>-4.2350091711030758E-3</v>
      </c>
      <c r="F3383" s="45">
        <f t="shared" si="158"/>
        <v>1.4490518472845205E-2</v>
      </c>
      <c r="G3383" s="9">
        <f t="shared" si="159"/>
        <v>4.9132509131074352E-3</v>
      </c>
    </row>
    <row r="3384" spans="1:7" x14ac:dyDescent="0.2">
      <c r="A3384" s="12">
        <v>41809</v>
      </c>
      <c r="B3384" s="9">
        <v>1391.52</v>
      </c>
      <c r="C3384" s="9">
        <v>1383.23</v>
      </c>
      <c r="D3384" s="9">
        <v>1386.04</v>
      </c>
      <c r="E3384" s="9">
        <f t="shared" si="157"/>
        <v>5.5128446774885456E-3</v>
      </c>
      <c r="F3384" s="45">
        <f t="shared" si="158"/>
        <v>2.4141193266733661E-2</v>
      </c>
      <c r="G3384" s="9">
        <f t="shared" si="159"/>
        <v>4.9162061942753564E-3</v>
      </c>
    </row>
    <row r="3385" spans="1:7" x14ac:dyDescent="0.2">
      <c r="A3385" s="12">
        <v>41813</v>
      </c>
      <c r="B3385" s="9">
        <v>1399.17</v>
      </c>
      <c r="C3385" s="9">
        <v>1381.23</v>
      </c>
      <c r="D3385" s="9">
        <v>1396.08</v>
      </c>
      <c r="E3385" s="9">
        <f t="shared" si="157"/>
        <v>7.2175489083498405E-3</v>
      </c>
      <c r="F3385" s="45">
        <f t="shared" si="158"/>
        <v>3.8665598219066698E-2</v>
      </c>
      <c r="G3385" s="9">
        <f t="shared" si="159"/>
        <v>4.803729064689565E-3</v>
      </c>
    </row>
    <row r="3386" spans="1:7" x14ac:dyDescent="0.2">
      <c r="A3386" s="12">
        <v>41814</v>
      </c>
      <c r="B3386" s="9">
        <v>1400.56</v>
      </c>
      <c r="C3386" s="9">
        <v>1393</v>
      </c>
      <c r="D3386" s="9">
        <v>1400.37</v>
      </c>
      <c r="E3386" s="9">
        <f t="shared" si="157"/>
        <v>3.0681781297024519E-3</v>
      </c>
      <c r="F3386" s="45">
        <f t="shared" si="158"/>
        <v>2.9891698251684109E-2</v>
      </c>
      <c r="G3386" s="9">
        <f t="shared" si="159"/>
        <v>4.3881815165168212E-3</v>
      </c>
    </row>
    <row r="3387" spans="1:7" x14ac:dyDescent="0.2">
      <c r="A3387" s="12">
        <v>41815</v>
      </c>
      <c r="B3387" s="9">
        <v>1393.82</v>
      </c>
      <c r="C3387" s="9">
        <v>1375.26</v>
      </c>
      <c r="D3387" s="9">
        <v>1380.5</v>
      </c>
      <c r="E3387" s="9">
        <f t="shared" si="157"/>
        <v>-1.4290735030109095E-2</v>
      </c>
      <c r="F3387" s="45">
        <f t="shared" si="158"/>
        <v>1.9131501591626941E-2</v>
      </c>
      <c r="G3387" s="9">
        <f t="shared" si="159"/>
        <v>5.1453751888739779E-3</v>
      </c>
    </row>
    <row r="3388" spans="1:7" x14ac:dyDescent="0.2">
      <c r="A3388" s="12">
        <v>41816</v>
      </c>
      <c r="B3388" s="9">
        <v>1383.16</v>
      </c>
      <c r="C3388" s="9">
        <v>1369.65</v>
      </c>
      <c r="D3388" s="9">
        <v>1372.38</v>
      </c>
      <c r="E3388" s="9">
        <f t="shared" si="157"/>
        <v>-5.8992935028857833E-3</v>
      </c>
      <c r="F3388" s="45">
        <f t="shared" si="158"/>
        <v>5.5532153990638872E-3</v>
      </c>
      <c r="G3388" s="9">
        <f t="shared" si="159"/>
        <v>5.1016527500992335E-3</v>
      </c>
    </row>
    <row r="3389" spans="1:7" x14ac:dyDescent="0.2">
      <c r="A3389" s="12">
        <v>41817</v>
      </c>
      <c r="B3389" s="9">
        <v>1379.02</v>
      </c>
      <c r="C3389" s="9">
        <v>1372.7</v>
      </c>
      <c r="D3389" s="9">
        <v>1379.02</v>
      </c>
      <c r="E3389" s="9">
        <f t="shared" si="157"/>
        <v>4.826643084041413E-3</v>
      </c>
      <c r="F3389" s="45">
        <f t="shared" si="158"/>
        <v>3.9235111945414248E-3</v>
      </c>
      <c r="G3389" s="9">
        <f t="shared" si="159"/>
        <v>5.0408874237587355E-3</v>
      </c>
    </row>
    <row r="3390" spans="1:7" x14ac:dyDescent="0.2">
      <c r="A3390" s="12">
        <v>41820</v>
      </c>
      <c r="B3390" s="9">
        <v>1384.13</v>
      </c>
      <c r="C3390" s="9">
        <v>1375.04</v>
      </c>
      <c r="D3390" s="9">
        <v>1376.81</v>
      </c>
      <c r="E3390" s="9">
        <f t="shared" si="157"/>
        <v>-1.6038728613534171E-3</v>
      </c>
      <c r="F3390" s="45">
        <f t="shared" si="158"/>
        <v>6.3936298377423849E-4</v>
      </c>
      <c r="G3390" s="9">
        <f t="shared" si="159"/>
        <v>5.0417375994370982E-3</v>
      </c>
    </row>
    <row r="3391" spans="1:7" x14ac:dyDescent="0.2">
      <c r="A3391" s="12">
        <v>41821</v>
      </c>
      <c r="B3391" s="9">
        <v>1384.36</v>
      </c>
      <c r="C3391" s="9">
        <v>1372.88</v>
      </c>
      <c r="D3391" s="9">
        <v>1384.36</v>
      </c>
      <c r="E3391" s="9">
        <f t="shared" ref="E3391:E3454" si="160">LN(D3391/D3390)</f>
        <v>5.4687098703409057E-3</v>
      </c>
      <c r="F3391" s="45">
        <f t="shared" si="158"/>
        <v>-1.0685150103333346E-3</v>
      </c>
      <c r="G3391" s="9">
        <f t="shared" si="159"/>
        <v>4.9672491713758709E-3</v>
      </c>
    </row>
    <row r="3392" spans="1:7" x14ac:dyDescent="0.2">
      <c r="A3392" s="12">
        <v>41822</v>
      </c>
      <c r="B3392" s="9">
        <v>1390.02</v>
      </c>
      <c r="C3392" s="9">
        <v>1384.71</v>
      </c>
      <c r="D3392" s="9">
        <v>1388.11</v>
      </c>
      <c r="E3392" s="9">
        <f t="shared" si="160"/>
        <v>2.7051706866863417E-3</v>
      </c>
      <c r="F3392" s="45">
        <f t="shared" si="158"/>
        <v>4.3100869899682145E-3</v>
      </c>
      <c r="G3392" s="9">
        <f t="shared" si="159"/>
        <v>4.9658242646348685E-3</v>
      </c>
    </row>
    <row r="3393" spans="1:7" x14ac:dyDescent="0.2">
      <c r="A3393" s="12">
        <v>41823</v>
      </c>
      <c r="B3393" s="9">
        <v>1409.44</v>
      </c>
      <c r="C3393" s="9">
        <v>1390.01</v>
      </c>
      <c r="D3393" s="9">
        <v>1409.44</v>
      </c>
      <c r="E3393" s="9">
        <f t="shared" si="160"/>
        <v>1.5249352714447134E-2</v>
      </c>
      <c r="F3393" s="45">
        <f t="shared" si="158"/>
        <v>2.1166935905112188E-2</v>
      </c>
      <c r="G3393" s="9">
        <f t="shared" si="159"/>
        <v>5.6652790402283966E-3</v>
      </c>
    </row>
    <row r="3394" spans="1:7" x14ac:dyDescent="0.2">
      <c r="A3394" s="12">
        <v>41824</v>
      </c>
      <c r="B3394" s="9">
        <v>1409.17</v>
      </c>
      <c r="C3394" s="9">
        <v>1399.94</v>
      </c>
      <c r="D3394" s="9">
        <v>1399.94</v>
      </c>
      <c r="E3394" s="9">
        <f t="shared" si="160"/>
        <v>-6.7630838193862728E-3</v>
      </c>
      <c r="F3394" s="45">
        <f t="shared" si="158"/>
        <v>1.3426012742856245E-2</v>
      </c>
      <c r="G3394" s="9">
        <f t="shared" si="159"/>
        <v>5.8264420731501667E-3</v>
      </c>
    </row>
    <row r="3395" spans="1:7" x14ac:dyDescent="0.2">
      <c r="A3395" s="12">
        <v>41827</v>
      </c>
      <c r="B3395" s="9">
        <v>1404.68</v>
      </c>
      <c r="C3395" s="9">
        <v>1396.35</v>
      </c>
      <c r="D3395" s="9">
        <v>1397.11</v>
      </c>
      <c r="E3395" s="9">
        <f t="shared" si="160"/>
        <v>-2.0235612275006803E-3</v>
      </c>
      <c r="F3395" s="45">
        <f t="shared" si="158"/>
        <v>8.0849317676241032E-3</v>
      </c>
      <c r="G3395" s="9">
        <f t="shared" si="159"/>
        <v>5.8173165270549495E-3</v>
      </c>
    </row>
    <row r="3396" spans="1:7" x14ac:dyDescent="0.2">
      <c r="A3396" s="12">
        <v>41828</v>
      </c>
      <c r="B3396" s="9">
        <v>1399.88</v>
      </c>
      <c r="C3396" s="9">
        <v>1381.59</v>
      </c>
      <c r="D3396" s="9">
        <v>1381.59</v>
      </c>
      <c r="E3396" s="9">
        <f t="shared" si="160"/>
        <v>-1.1170807493269081E-2</v>
      </c>
      <c r="F3396" s="45">
        <f t="shared" si="158"/>
        <v>-5.0034218549169646E-3</v>
      </c>
      <c r="G3396" s="9">
        <f t="shared" si="159"/>
        <v>6.1695814673260168E-3</v>
      </c>
    </row>
    <row r="3397" spans="1:7" x14ac:dyDescent="0.2">
      <c r="A3397" s="12">
        <v>41829</v>
      </c>
      <c r="B3397" s="9">
        <v>1385.43</v>
      </c>
      <c r="C3397" s="9">
        <v>1376.68</v>
      </c>
      <c r="D3397" s="9">
        <v>1379.77</v>
      </c>
      <c r="E3397" s="9">
        <f t="shared" si="160"/>
        <v>-1.3181912271780637E-3</v>
      </c>
      <c r="F3397" s="45">
        <f t="shared" si="158"/>
        <v>-9.0258724976677689E-3</v>
      </c>
      <c r="G3397" s="9">
        <f t="shared" si="159"/>
        <v>6.1487084896563009E-3</v>
      </c>
    </row>
    <row r="3398" spans="1:7" x14ac:dyDescent="0.2">
      <c r="A3398" s="12">
        <v>41830</v>
      </c>
      <c r="B3398" s="9">
        <v>1379.09</v>
      </c>
      <c r="C3398" s="9">
        <v>1355.55</v>
      </c>
      <c r="D3398" s="9">
        <v>1357.82</v>
      </c>
      <c r="E3398" s="9">
        <f t="shared" si="160"/>
        <v>-1.6036346125261135E-2</v>
      </c>
      <c r="F3398" s="45">
        <f t="shared" si="158"/>
        <v>-2.6404438079898698E-2</v>
      </c>
      <c r="G3398" s="9">
        <f t="shared" si="159"/>
        <v>6.7752858312149014E-3</v>
      </c>
    </row>
    <row r="3399" spans="1:7" x14ac:dyDescent="0.2">
      <c r="A3399" s="12">
        <v>41831</v>
      </c>
      <c r="B3399" s="9">
        <v>1366.53</v>
      </c>
      <c r="C3399" s="9">
        <v>1356.24</v>
      </c>
      <c r="D3399" s="9">
        <v>1362.35</v>
      </c>
      <c r="E3399" s="9">
        <f t="shared" si="160"/>
        <v>3.3306772648487178E-3</v>
      </c>
      <c r="F3399" s="45">
        <f t="shared" si="158"/>
        <v>-2.3962796341819848E-2</v>
      </c>
      <c r="G3399" s="9">
        <f t="shared" si="159"/>
        <v>6.8118374730370707E-3</v>
      </c>
    </row>
    <row r="3400" spans="1:7" x14ac:dyDescent="0.2">
      <c r="A3400" s="12">
        <v>41834</v>
      </c>
      <c r="B3400" s="9">
        <v>1383.04</v>
      </c>
      <c r="C3400" s="9">
        <v>1367.96</v>
      </c>
      <c r="D3400" s="9">
        <v>1382.55</v>
      </c>
      <c r="E3400" s="9">
        <f t="shared" si="160"/>
        <v>1.4718470374043939E-2</v>
      </c>
      <c r="F3400" s="45">
        <f t="shared" si="158"/>
        <v>-7.422387610519084E-3</v>
      </c>
      <c r="G3400" s="9">
        <f t="shared" si="159"/>
        <v>7.3724809829535647E-3</v>
      </c>
    </row>
    <row r="3401" spans="1:7" x14ac:dyDescent="0.2">
      <c r="A3401" s="12">
        <v>41835</v>
      </c>
      <c r="B3401" s="9">
        <v>1386.03</v>
      </c>
      <c r="C3401" s="9">
        <v>1368.83</v>
      </c>
      <c r="D3401" s="9">
        <v>1372.25</v>
      </c>
      <c r="E3401" s="9">
        <f t="shared" si="160"/>
        <v>-7.4778916777843134E-3</v>
      </c>
      <c r="F3401" s="45">
        <f t="shared" si="158"/>
        <v>-2.1505119877541928E-2</v>
      </c>
      <c r="G3401" s="9">
        <f t="shared" si="159"/>
        <v>7.3694768122635548E-3</v>
      </c>
    </row>
    <row r="3402" spans="1:7" x14ac:dyDescent="0.2">
      <c r="A3402" s="12">
        <v>41836</v>
      </c>
      <c r="B3402" s="9">
        <v>1393.12</v>
      </c>
      <c r="C3402" s="9">
        <v>1374.86</v>
      </c>
      <c r="D3402" s="9">
        <v>1393.12</v>
      </c>
      <c r="E3402" s="9">
        <f t="shared" si="160"/>
        <v>1.5094107650306707E-2</v>
      </c>
      <c r="F3402" s="45">
        <f t="shared" si="158"/>
        <v>-4.4977372314910363E-3</v>
      </c>
      <c r="G3402" s="9">
        <f t="shared" si="159"/>
        <v>7.9087016285120694E-3</v>
      </c>
    </row>
    <row r="3403" spans="1:7" x14ac:dyDescent="0.2">
      <c r="A3403" s="12">
        <v>41837</v>
      </c>
      <c r="B3403" s="9">
        <v>1390.88</v>
      </c>
      <c r="C3403" s="9">
        <v>1376.36</v>
      </c>
      <c r="D3403" s="9">
        <v>1376.36</v>
      </c>
      <c r="E3403" s="9">
        <f t="shared" si="160"/>
        <v>-1.2103502898652391E-2</v>
      </c>
      <c r="F3403" s="45">
        <f t="shared" si="158"/>
        <v>-1.4003901119839042E-2</v>
      </c>
      <c r="G3403" s="9">
        <f t="shared" si="159"/>
        <v>8.1953839845105795E-3</v>
      </c>
    </row>
    <row r="3404" spans="1:7" x14ac:dyDescent="0.2">
      <c r="A3404" s="12">
        <v>41838</v>
      </c>
      <c r="B3404" s="9">
        <v>1388.82</v>
      </c>
      <c r="C3404" s="9">
        <v>1373.45</v>
      </c>
      <c r="D3404" s="9">
        <v>1387.37</v>
      </c>
      <c r="E3404" s="9">
        <f t="shared" si="160"/>
        <v>7.9675353557145043E-3</v>
      </c>
      <c r="F3404" s="45">
        <f t="shared" si="158"/>
        <v>-7.2535903562815857E-3</v>
      </c>
      <c r="G3404" s="9">
        <f t="shared" si="159"/>
        <v>8.3346976874085869E-3</v>
      </c>
    </row>
    <row r="3405" spans="1:7" x14ac:dyDescent="0.2">
      <c r="A3405" s="12">
        <v>41841</v>
      </c>
      <c r="B3405" s="9">
        <v>1389.92</v>
      </c>
      <c r="C3405" s="9">
        <v>1378.64</v>
      </c>
      <c r="D3405" s="9">
        <v>1383.53</v>
      </c>
      <c r="E3405" s="9">
        <f t="shared" si="160"/>
        <v>-2.771664411042703E-3</v>
      </c>
      <c r="F3405" s="45">
        <f t="shared" si="158"/>
        <v>-5.5284799137485718E-3</v>
      </c>
      <c r="G3405" s="9">
        <f t="shared" si="159"/>
        <v>8.3102440652458951E-3</v>
      </c>
    </row>
    <row r="3406" spans="1:7" x14ac:dyDescent="0.2">
      <c r="A3406" s="12">
        <v>41842</v>
      </c>
      <c r="B3406" s="9">
        <v>1399.09</v>
      </c>
      <c r="C3406" s="9">
        <v>1389.98</v>
      </c>
      <c r="D3406" s="9">
        <v>1399.09</v>
      </c>
      <c r="E3406" s="9">
        <f t="shared" si="160"/>
        <v>1.1183821135438803E-2</v>
      </c>
      <c r="F3406" s="45">
        <f t="shared" si="158"/>
        <v>-5.239663675393664E-3</v>
      </c>
      <c r="G3406" s="9">
        <f t="shared" si="159"/>
        <v>8.3236781635371397E-3</v>
      </c>
    </row>
    <row r="3407" spans="1:7" x14ac:dyDescent="0.2">
      <c r="A3407" s="12">
        <v>41843</v>
      </c>
      <c r="B3407" s="9">
        <v>1401.91</v>
      </c>
      <c r="C3407" s="9">
        <v>1395.34</v>
      </c>
      <c r="D3407" s="9">
        <v>1398.13</v>
      </c>
      <c r="E3407" s="9">
        <f t="shared" si="160"/>
        <v>-6.8639580561477261E-4</v>
      </c>
      <c r="F3407" s="45">
        <f t="shared" si="158"/>
        <v>-5.7696239356893331E-3</v>
      </c>
      <c r="G3407" s="9">
        <f t="shared" si="159"/>
        <v>8.324200512973369E-3</v>
      </c>
    </row>
    <row r="3408" spans="1:7" x14ac:dyDescent="0.2">
      <c r="A3408" s="12">
        <v>41844</v>
      </c>
      <c r="B3408" s="9">
        <v>1407.55</v>
      </c>
      <c r="C3408" s="9">
        <v>1397.04</v>
      </c>
      <c r="D3408" s="9">
        <v>1405.7</v>
      </c>
      <c r="E3408" s="9">
        <f t="shared" si="160"/>
        <v>5.3997698815713927E-3</v>
      </c>
      <c r="F3408" s="45">
        <f t="shared" si="158"/>
        <v>3.8131939791629095E-3</v>
      </c>
      <c r="G3408" s="9">
        <f t="shared" si="159"/>
        <v>8.349605962659044E-3</v>
      </c>
    </row>
    <row r="3409" spans="1:7" x14ac:dyDescent="0.2">
      <c r="A3409" s="12">
        <v>41845</v>
      </c>
      <c r="B3409" s="9">
        <v>1408.57</v>
      </c>
      <c r="C3409" s="9">
        <v>1401</v>
      </c>
      <c r="D3409" s="9">
        <v>1404.12</v>
      </c>
      <c r="E3409" s="9">
        <f t="shared" si="160"/>
        <v>-1.1246273188534371E-3</v>
      </c>
      <c r="F3409" s="45">
        <f t="shared" si="158"/>
        <v>4.604207591797924E-3</v>
      </c>
      <c r="G3409" s="9">
        <f t="shared" si="159"/>
        <v>8.3441799580668587E-3</v>
      </c>
    </row>
    <row r="3410" spans="1:7" x14ac:dyDescent="0.2">
      <c r="A3410" s="12">
        <v>41848</v>
      </c>
      <c r="B3410" s="9">
        <v>1408.2</v>
      </c>
      <c r="C3410" s="9">
        <v>1395.23</v>
      </c>
      <c r="D3410" s="9">
        <v>1400.87</v>
      </c>
      <c r="E3410" s="9">
        <f t="shared" si="160"/>
        <v>-2.3172998508672145E-3</v>
      </c>
      <c r="F3410" s="45">
        <f t="shared" si="158"/>
        <v>7.6818171964583857E-3</v>
      </c>
      <c r="G3410" s="9">
        <f t="shared" si="159"/>
        <v>8.2923714014083837E-3</v>
      </c>
    </row>
    <row r="3411" spans="1:7" x14ac:dyDescent="0.2">
      <c r="A3411" s="12">
        <v>41849</v>
      </c>
      <c r="B3411" s="9">
        <v>1404.72</v>
      </c>
      <c r="C3411" s="9">
        <v>1397.18</v>
      </c>
      <c r="D3411" s="9">
        <v>1397.89</v>
      </c>
      <c r="E3411" s="9">
        <f t="shared" si="160"/>
        <v>-2.1295153040278752E-3</v>
      </c>
      <c r="F3411" s="45">
        <f t="shared" si="158"/>
        <v>1.0723365619759112E-2</v>
      </c>
      <c r="G3411" s="9">
        <f t="shared" si="159"/>
        <v>8.242171222090533E-3</v>
      </c>
    </row>
    <row r="3412" spans="1:7" x14ac:dyDescent="0.2">
      <c r="A3412" s="12">
        <v>41850</v>
      </c>
      <c r="B3412" s="9">
        <v>1402.96</v>
      </c>
      <c r="C3412" s="9">
        <v>1395.86</v>
      </c>
      <c r="D3412" s="9">
        <v>1398.23</v>
      </c>
      <c r="E3412" s="9">
        <f t="shared" si="160"/>
        <v>2.4319414165040171E-4</v>
      </c>
      <c r="F3412" s="45">
        <f t="shared" si="158"/>
        <v>1.0034226149741626E-2</v>
      </c>
      <c r="G3412" s="9">
        <f t="shared" si="159"/>
        <v>8.2414740349493372E-3</v>
      </c>
    </row>
    <row r="3413" spans="1:7" x14ac:dyDescent="0.2">
      <c r="A3413" s="12">
        <v>41851</v>
      </c>
      <c r="B3413" s="9">
        <v>1400.36</v>
      </c>
      <c r="C3413" s="9">
        <v>1377.29</v>
      </c>
      <c r="D3413" s="9">
        <v>1379.87</v>
      </c>
      <c r="E3413" s="9">
        <f t="shared" si="160"/>
        <v>-1.3217859190294208E-2</v>
      </c>
      <c r="F3413" s="45">
        <f t="shared" si="158"/>
        <v>1.0513761305505187E-3</v>
      </c>
      <c r="G3413" s="9">
        <f t="shared" si="159"/>
        <v>8.5698565072897786E-3</v>
      </c>
    </row>
    <row r="3414" spans="1:7" x14ac:dyDescent="0.2">
      <c r="A3414" s="12">
        <v>41852</v>
      </c>
      <c r="B3414" s="9">
        <v>1383.55</v>
      </c>
      <c r="C3414" s="9">
        <v>1360.53</v>
      </c>
      <c r="D3414" s="9">
        <v>1361.44</v>
      </c>
      <c r="E3414" s="9">
        <f t="shared" si="160"/>
        <v>-1.3446328714080618E-2</v>
      </c>
      <c r="F3414" s="45">
        <f t="shared" si="158"/>
        <v>-1.7907797261018713E-2</v>
      </c>
      <c r="G3414" s="9">
        <f t="shared" si="159"/>
        <v>8.8465662184407188E-3</v>
      </c>
    </row>
    <row r="3415" spans="1:7" x14ac:dyDescent="0.2">
      <c r="A3415" s="12">
        <v>41855</v>
      </c>
      <c r="B3415" s="9">
        <v>1371.54</v>
      </c>
      <c r="C3415" s="9">
        <v>1360.14</v>
      </c>
      <c r="D3415" s="9">
        <v>1361.03</v>
      </c>
      <c r="E3415" s="9">
        <f t="shared" si="160"/>
        <v>-3.0119707699238096E-4</v>
      </c>
      <c r="F3415" s="45">
        <f t="shared" si="158"/>
        <v>-2.5426543246360796E-2</v>
      </c>
      <c r="G3415" s="9">
        <f t="shared" si="159"/>
        <v>8.7231901116677224E-3</v>
      </c>
    </row>
    <row r="3416" spans="1:7" x14ac:dyDescent="0.2">
      <c r="A3416" s="12">
        <v>41856</v>
      </c>
      <c r="B3416" s="9">
        <v>1368.29</v>
      </c>
      <c r="C3416" s="9">
        <v>1360.47</v>
      </c>
      <c r="D3416" s="9">
        <v>1366.13</v>
      </c>
      <c r="E3416" s="9">
        <f t="shared" si="160"/>
        <v>3.7401589530750676E-3</v>
      </c>
      <c r="F3416" s="45">
        <f t="shared" si="158"/>
        <v>-2.4754562422988225E-2</v>
      </c>
      <c r="G3416" s="9">
        <f t="shared" si="159"/>
        <v>8.7344471089128659E-3</v>
      </c>
    </row>
    <row r="3417" spans="1:7" x14ac:dyDescent="0.2">
      <c r="A3417" s="12">
        <v>41857</v>
      </c>
      <c r="B3417" s="9">
        <v>1358.48</v>
      </c>
      <c r="C3417" s="9">
        <v>1342.19</v>
      </c>
      <c r="D3417" s="9">
        <v>1344.3</v>
      </c>
      <c r="E3417" s="9">
        <f t="shared" si="160"/>
        <v>-1.6108493517122922E-2</v>
      </c>
      <c r="F3417" s="45">
        <f t="shared" si="158"/>
        <v>-2.6572320910002108E-2</v>
      </c>
      <c r="G3417" s="9">
        <f t="shared" si="159"/>
        <v>8.836786126691136E-3</v>
      </c>
    </row>
    <row r="3418" spans="1:7" x14ac:dyDescent="0.2">
      <c r="A3418" s="12">
        <v>41858</v>
      </c>
      <c r="B3418" s="9">
        <v>1349.7</v>
      </c>
      <c r="C3418" s="9">
        <v>1334.06</v>
      </c>
      <c r="D3418" s="9">
        <v>1334.4</v>
      </c>
      <c r="E3418" s="9">
        <f t="shared" si="160"/>
        <v>-7.3916788557246739E-3</v>
      </c>
      <c r="F3418" s="45">
        <f t="shared" si="158"/>
        <v>-2.8064706262841015E-2</v>
      </c>
      <c r="G3418" s="9">
        <f t="shared" si="159"/>
        <v>8.8701206141704389E-3</v>
      </c>
    </row>
    <row r="3419" spans="1:7" x14ac:dyDescent="0.2">
      <c r="A3419" s="12">
        <v>41859</v>
      </c>
      <c r="B3419" s="9">
        <v>1333.85</v>
      </c>
      <c r="C3419" s="9">
        <v>1320.99</v>
      </c>
      <c r="D3419" s="9">
        <v>1331.56</v>
      </c>
      <c r="E3419" s="9">
        <f t="shared" si="160"/>
        <v>-2.1305654055598375E-3</v>
      </c>
      <c r="F3419" s="45">
        <f t="shared" si="158"/>
        <v>-3.5021914752442179E-2</v>
      </c>
      <c r="G3419" s="9">
        <f t="shared" si="159"/>
        <v>8.8049843862695373E-3</v>
      </c>
    </row>
    <row r="3420" spans="1:7" x14ac:dyDescent="0.2">
      <c r="A3420" s="12">
        <v>41862</v>
      </c>
      <c r="B3420" s="9">
        <v>1358.16</v>
      </c>
      <c r="C3420" s="9">
        <v>1339.83</v>
      </c>
      <c r="D3420" s="9">
        <v>1357.36</v>
      </c>
      <c r="E3420" s="9">
        <f t="shared" si="160"/>
        <v>1.9190449535761423E-2</v>
      </c>
      <c r="F3420" s="45">
        <f t="shared" si="158"/>
        <v>-1.4227592355327265E-2</v>
      </c>
      <c r="G3420" s="9">
        <f t="shared" si="159"/>
        <v>9.555902131306639E-3</v>
      </c>
    </row>
    <row r="3421" spans="1:7" x14ac:dyDescent="0.2">
      <c r="A3421" s="12">
        <v>41863</v>
      </c>
      <c r="B3421" s="9">
        <v>1356.5</v>
      </c>
      <c r="C3421" s="9">
        <v>1346.93</v>
      </c>
      <c r="D3421" s="9">
        <v>1349.96</v>
      </c>
      <c r="E3421" s="9">
        <f t="shared" si="160"/>
        <v>-5.4666743708046035E-3</v>
      </c>
      <c r="F3421" s="45">
        <f t="shared" si="158"/>
        <v>-2.5162976596472684E-2</v>
      </c>
      <c r="G3421" s="9">
        <f t="shared" si="159"/>
        <v>9.5299203507939398E-3</v>
      </c>
    </row>
    <row r="3422" spans="1:7" x14ac:dyDescent="0.2">
      <c r="A3422" s="12">
        <v>41864</v>
      </c>
      <c r="B3422" s="9">
        <v>1361.82</v>
      </c>
      <c r="C3422" s="9">
        <v>1354.81</v>
      </c>
      <c r="D3422" s="9">
        <v>1361.82</v>
      </c>
      <c r="E3422" s="9">
        <f t="shared" si="160"/>
        <v>8.7470780215538196E-3</v>
      </c>
      <c r="F3422" s="45">
        <f t="shared" si="158"/>
        <v>-1.9121069261605127E-2</v>
      </c>
      <c r="G3422" s="9">
        <f t="shared" si="159"/>
        <v>9.6702069485440963E-3</v>
      </c>
    </row>
    <row r="3423" spans="1:7" x14ac:dyDescent="0.2">
      <c r="A3423" s="12">
        <v>41865</v>
      </c>
      <c r="B3423" s="9">
        <v>1357.64</v>
      </c>
      <c r="C3423" s="9">
        <v>1350.04</v>
      </c>
      <c r="D3423" s="9">
        <v>1353.94</v>
      </c>
      <c r="E3423" s="9">
        <f t="shared" si="160"/>
        <v>-5.8031800413028195E-3</v>
      </c>
      <c r="F3423" s="45">
        <f t="shared" si="158"/>
        <v>-4.0173602017355071E-2</v>
      </c>
      <c r="G3423" s="9">
        <f t="shared" si="159"/>
        <v>9.231501933453309E-3</v>
      </c>
    </row>
    <row r="3424" spans="1:7" x14ac:dyDescent="0.2">
      <c r="A3424" s="12">
        <v>41866</v>
      </c>
      <c r="B3424" s="9">
        <v>1368.51</v>
      </c>
      <c r="C3424" s="9">
        <v>1352.98</v>
      </c>
      <c r="D3424" s="9">
        <v>1352.98</v>
      </c>
      <c r="E3424" s="9">
        <f t="shared" si="160"/>
        <v>-7.0929324859821314E-4</v>
      </c>
      <c r="F3424" s="45">
        <f t="shared" si="158"/>
        <v>-3.4119811446567096E-2</v>
      </c>
      <c r="G3424" s="9">
        <f t="shared" si="159"/>
        <v>9.1748417196425812E-3</v>
      </c>
    </row>
    <row r="3425" spans="1:7" x14ac:dyDescent="0.2">
      <c r="A3425" s="12">
        <v>41869</v>
      </c>
      <c r="B3425" s="9">
        <v>1369.32</v>
      </c>
      <c r="C3425" s="9">
        <v>1362.32</v>
      </c>
      <c r="D3425" s="9">
        <v>1369.32</v>
      </c>
      <c r="E3425" s="9">
        <f t="shared" si="160"/>
        <v>1.2004699139056269E-2</v>
      </c>
      <c r="F3425" s="45">
        <f t="shared" ref="F3425:F3488" si="161">LN(D3425/D3395)</f>
        <v>-2.0091551080010032E-2</v>
      </c>
      <c r="G3425" s="9">
        <f t="shared" ref="G3425:G3488" si="162">STDEV(E3396:E3425)</f>
        <v>9.480509228691366E-3</v>
      </c>
    </row>
    <row r="3426" spans="1:7" x14ac:dyDescent="0.2">
      <c r="A3426" s="12">
        <v>41870</v>
      </c>
      <c r="B3426" s="9">
        <v>1376.61</v>
      </c>
      <c r="C3426" s="9">
        <v>1369.6</v>
      </c>
      <c r="D3426" s="9">
        <v>1376.61</v>
      </c>
      <c r="E3426" s="9">
        <f t="shared" si="160"/>
        <v>5.3096889775895153E-3</v>
      </c>
      <c r="F3426" s="45">
        <f t="shared" si="161"/>
        <v>-3.6110546091514734E-3</v>
      </c>
      <c r="G3426" s="9">
        <f t="shared" si="162"/>
        <v>9.3272838239773087E-3</v>
      </c>
    </row>
    <row r="3427" spans="1:7" x14ac:dyDescent="0.2">
      <c r="A3427" s="12">
        <v>41871</v>
      </c>
      <c r="B3427" s="9">
        <v>1381.02</v>
      </c>
      <c r="C3427" s="9">
        <v>1367.87</v>
      </c>
      <c r="D3427" s="9">
        <v>1373.5</v>
      </c>
      <c r="E3427" s="9">
        <f t="shared" si="160"/>
        <v>-2.2617286768494378E-3</v>
      </c>
      <c r="F3427" s="45">
        <f t="shared" si="161"/>
        <v>-4.5545920588228881E-3</v>
      </c>
      <c r="G3427" s="9">
        <f t="shared" si="162"/>
        <v>9.3330511165372904E-3</v>
      </c>
    </row>
    <row r="3428" spans="1:7" x14ac:dyDescent="0.2">
      <c r="A3428" s="12">
        <v>41872</v>
      </c>
      <c r="B3428" s="9">
        <v>1385.18</v>
      </c>
      <c r="C3428" s="9">
        <v>1373.38</v>
      </c>
      <c r="D3428" s="9">
        <v>1385.03</v>
      </c>
      <c r="E3428" s="9">
        <f t="shared" si="160"/>
        <v>8.3595735013412466E-3</v>
      </c>
      <c r="F3428" s="45">
        <f t="shared" si="161"/>
        <v>1.9841327567779572E-2</v>
      </c>
      <c r="G3428" s="9">
        <f t="shared" si="162"/>
        <v>8.9565163926976742E-3</v>
      </c>
    </row>
    <row r="3429" spans="1:7" x14ac:dyDescent="0.2">
      <c r="A3429" s="12">
        <v>41873</v>
      </c>
      <c r="B3429" s="9">
        <v>1388.07</v>
      </c>
      <c r="C3429" s="9">
        <v>1378.17</v>
      </c>
      <c r="D3429" s="9">
        <v>1382.72</v>
      </c>
      <c r="E3429" s="9">
        <f t="shared" si="160"/>
        <v>-1.6692262931015218E-3</v>
      </c>
      <c r="F3429" s="45">
        <f t="shared" si="161"/>
        <v>1.4841424009829303E-2</v>
      </c>
      <c r="G3429" s="9">
        <f t="shared" si="162"/>
        <v>8.9516510581945982E-3</v>
      </c>
    </row>
    <row r="3430" spans="1:7" x14ac:dyDescent="0.2">
      <c r="A3430" s="12">
        <v>41876</v>
      </c>
      <c r="B3430" s="9">
        <v>1394.69</v>
      </c>
      <c r="C3430" s="9">
        <v>1385.56</v>
      </c>
      <c r="D3430" s="9">
        <v>1394.69</v>
      </c>
      <c r="E3430" s="9">
        <f t="shared" si="160"/>
        <v>8.6195945946588807E-3</v>
      </c>
      <c r="F3430" s="45">
        <f t="shared" si="161"/>
        <v>8.7425482304442949E-3</v>
      </c>
      <c r="G3430" s="9">
        <f t="shared" si="162"/>
        <v>8.682698230090883E-3</v>
      </c>
    </row>
    <row r="3431" spans="1:7" x14ac:dyDescent="0.2">
      <c r="A3431" s="12">
        <v>41877</v>
      </c>
      <c r="B3431" s="9">
        <v>1397.54</v>
      </c>
      <c r="C3431" s="9">
        <v>1388.73</v>
      </c>
      <c r="D3431" s="9">
        <v>1397.54</v>
      </c>
      <c r="E3431" s="9">
        <f t="shared" si="160"/>
        <v>2.0413798216604084E-3</v>
      </c>
      <c r="F3431" s="45">
        <f t="shared" si="161"/>
        <v>1.8261819729889023E-2</v>
      </c>
      <c r="G3431" s="9">
        <f t="shared" si="162"/>
        <v>8.5620812918086285E-3</v>
      </c>
    </row>
    <row r="3432" spans="1:7" x14ac:dyDescent="0.2">
      <c r="A3432" s="12">
        <v>41878</v>
      </c>
      <c r="B3432" s="9">
        <v>1398.48</v>
      </c>
      <c r="C3432" s="9">
        <v>1392.81</v>
      </c>
      <c r="D3432" s="9">
        <v>1397.41</v>
      </c>
      <c r="E3432" s="9">
        <f t="shared" si="160"/>
        <v>-9.302492001187103E-5</v>
      </c>
      <c r="F3432" s="45">
        <f t="shared" si="161"/>
        <v>3.0746871595703569E-3</v>
      </c>
      <c r="G3432" s="9">
        <f t="shared" si="162"/>
        <v>8.1133048637363862E-3</v>
      </c>
    </row>
    <row r="3433" spans="1:7" x14ac:dyDescent="0.2">
      <c r="A3433" s="12">
        <v>41879</v>
      </c>
      <c r="B3433" s="9">
        <v>1394.83</v>
      </c>
      <c r="C3433" s="9">
        <v>1380.59</v>
      </c>
      <c r="D3433" s="9">
        <v>1383.03</v>
      </c>
      <c r="E3433" s="9">
        <f t="shared" si="160"/>
        <v>-1.0343778836415287E-2</v>
      </c>
      <c r="F3433" s="45">
        <f t="shared" si="161"/>
        <v>4.8344112218073288E-3</v>
      </c>
      <c r="G3433" s="9">
        <f t="shared" si="162"/>
        <v>8.0279271362727663E-3</v>
      </c>
    </row>
    <row r="3434" spans="1:7" x14ac:dyDescent="0.2">
      <c r="A3434" s="12">
        <v>41880</v>
      </c>
      <c r="B3434" s="9">
        <v>1388.99</v>
      </c>
      <c r="C3434" s="9">
        <v>1382.1</v>
      </c>
      <c r="D3434" s="9">
        <v>1388.89</v>
      </c>
      <c r="E3434" s="9">
        <f t="shared" si="160"/>
        <v>4.2281225503927756E-3</v>
      </c>
      <c r="F3434" s="45">
        <f t="shared" si="161"/>
        <v>1.094998416485611E-3</v>
      </c>
      <c r="G3434" s="9">
        <f t="shared" si="162"/>
        <v>7.9309852703311097E-3</v>
      </c>
    </row>
    <row r="3435" spans="1:7" x14ac:dyDescent="0.2">
      <c r="A3435" s="12">
        <v>41883</v>
      </c>
      <c r="B3435" s="9">
        <v>1393.59</v>
      </c>
      <c r="C3435" s="9">
        <v>1382.47</v>
      </c>
      <c r="D3435" s="9">
        <v>1386.97</v>
      </c>
      <c r="E3435" s="9">
        <f t="shared" si="160"/>
        <v>-1.3833552889465776E-3</v>
      </c>
      <c r="F3435" s="45">
        <f t="shared" si="161"/>
        <v>2.4833075385819461E-3</v>
      </c>
      <c r="G3435" s="9">
        <f t="shared" si="162"/>
        <v>7.9180745841312839E-3</v>
      </c>
    </row>
    <row r="3436" spans="1:7" x14ac:dyDescent="0.2">
      <c r="A3436" s="12">
        <v>41884</v>
      </c>
      <c r="B3436" s="9">
        <v>1391.94</v>
      </c>
      <c r="C3436" s="9">
        <v>1384.69</v>
      </c>
      <c r="D3436" s="9">
        <v>1387.94</v>
      </c>
      <c r="E3436" s="9">
        <f t="shared" si="160"/>
        <v>6.9912180179464883E-4</v>
      </c>
      <c r="F3436" s="45">
        <f t="shared" si="161"/>
        <v>-8.00139179506228E-3</v>
      </c>
      <c r="G3436" s="9">
        <f t="shared" si="162"/>
        <v>7.6376193470806862E-3</v>
      </c>
    </row>
    <row r="3437" spans="1:7" x14ac:dyDescent="0.2">
      <c r="A3437" s="12">
        <v>41885</v>
      </c>
      <c r="B3437" s="9">
        <v>1402.18</v>
      </c>
      <c r="C3437" s="9">
        <v>1391.88</v>
      </c>
      <c r="D3437" s="9">
        <v>1398.48</v>
      </c>
      <c r="E3437" s="9">
        <f t="shared" si="160"/>
        <v>7.5652990362271317E-3</v>
      </c>
      <c r="F3437" s="45">
        <f t="shared" si="161"/>
        <v>2.5030304677974111E-4</v>
      </c>
      <c r="G3437" s="9">
        <f t="shared" si="162"/>
        <v>7.7694322498008906E-3</v>
      </c>
    </row>
    <row r="3438" spans="1:7" x14ac:dyDescent="0.2">
      <c r="A3438" s="12">
        <v>41886</v>
      </c>
      <c r="B3438" s="9">
        <v>1402.34</v>
      </c>
      <c r="C3438" s="9">
        <v>1392.2</v>
      </c>
      <c r="D3438" s="9">
        <v>1397.99</v>
      </c>
      <c r="E3438" s="9">
        <f t="shared" si="160"/>
        <v>-3.5044181057882487E-4</v>
      </c>
      <c r="F3438" s="45">
        <f t="shared" si="161"/>
        <v>-5.4999086453706323E-3</v>
      </c>
      <c r="G3438" s="9">
        <f t="shared" si="162"/>
        <v>7.7024790686395341E-3</v>
      </c>
    </row>
    <row r="3439" spans="1:7" x14ac:dyDescent="0.2">
      <c r="A3439" s="12">
        <v>41887</v>
      </c>
      <c r="B3439" s="9">
        <v>1398.05</v>
      </c>
      <c r="C3439" s="9">
        <v>1384.86</v>
      </c>
      <c r="D3439" s="9">
        <v>1388.39</v>
      </c>
      <c r="E3439" s="9">
        <f t="shared" si="160"/>
        <v>-6.8906882659491644E-3</v>
      </c>
      <c r="F3439" s="45">
        <f t="shared" si="161"/>
        <v>-1.1265969592466273E-2</v>
      </c>
      <c r="G3439" s="9">
        <f t="shared" si="162"/>
        <v>7.7981246476667597E-3</v>
      </c>
    </row>
    <row r="3440" spans="1:7" x14ac:dyDescent="0.2">
      <c r="A3440" s="12">
        <v>41890</v>
      </c>
      <c r="B3440" s="9">
        <v>1392.73</v>
      </c>
      <c r="C3440" s="9">
        <v>1383.35</v>
      </c>
      <c r="D3440" s="9">
        <v>1392.73</v>
      </c>
      <c r="E3440" s="9">
        <f t="shared" si="160"/>
        <v>3.1210472924371006E-3</v>
      </c>
      <c r="F3440" s="45">
        <f t="shared" si="161"/>
        <v>-5.8276224491620966E-3</v>
      </c>
      <c r="G3440" s="9">
        <f t="shared" si="162"/>
        <v>7.814622558994809E-3</v>
      </c>
    </row>
    <row r="3441" spans="1:7" x14ac:dyDescent="0.2">
      <c r="A3441" s="12">
        <v>41891</v>
      </c>
      <c r="B3441" s="9">
        <v>1391.31</v>
      </c>
      <c r="C3441" s="9">
        <v>1382.56</v>
      </c>
      <c r="D3441" s="9">
        <v>1382.78</v>
      </c>
      <c r="E3441" s="9">
        <f t="shared" si="160"/>
        <v>-7.1698841835430363E-3</v>
      </c>
      <c r="F3441" s="45">
        <f t="shared" si="161"/>
        <v>-1.0867991328677155E-2</v>
      </c>
      <c r="G3441" s="9">
        <f t="shared" si="162"/>
        <v>7.9112507878481772E-3</v>
      </c>
    </row>
    <row r="3442" spans="1:7" x14ac:dyDescent="0.2">
      <c r="A3442" s="12">
        <v>41892</v>
      </c>
      <c r="B3442" s="9">
        <v>1388.31</v>
      </c>
      <c r="C3442" s="9">
        <v>1376.18</v>
      </c>
      <c r="D3442" s="9">
        <v>1387.38</v>
      </c>
      <c r="E3442" s="9">
        <f t="shared" si="160"/>
        <v>3.3211108586368421E-3</v>
      </c>
      <c r="F3442" s="45">
        <f t="shared" si="161"/>
        <v>-7.7900746116907173E-3</v>
      </c>
      <c r="G3442" s="9">
        <f t="shared" si="162"/>
        <v>7.9392818261418089E-3</v>
      </c>
    </row>
    <row r="3443" spans="1:7" x14ac:dyDescent="0.2">
      <c r="A3443" s="12">
        <v>41893</v>
      </c>
      <c r="B3443" s="9">
        <v>1394.05</v>
      </c>
      <c r="C3443" s="9">
        <v>1378.44</v>
      </c>
      <c r="D3443" s="9">
        <v>1382.85</v>
      </c>
      <c r="E3443" s="9">
        <f t="shared" si="160"/>
        <v>-3.2704894812183656E-3</v>
      </c>
      <c r="F3443" s="45">
        <f t="shared" si="161"/>
        <v>2.1572950973850736E-3</v>
      </c>
      <c r="G3443" s="9">
        <f t="shared" si="162"/>
        <v>7.578976577140596E-3</v>
      </c>
    </row>
    <row r="3444" spans="1:7" x14ac:dyDescent="0.2">
      <c r="A3444" s="12">
        <v>41894</v>
      </c>
      <c r="B3444" s="9">
        <v>1389.6</v>
      </c>
      <c r="C3444" s="9">
        <v>1383.12</v>
      </c>
      <c r="D3444" s="9">
        <v>1388.59</v>
      </c>
      <c r="E3444" s="9">
        <f t="shared" si="160"/>
        <v>4.1422568826175185E-3</v>
      </c>
      <c r="F3444" s="45">
        <f t="shared" si="161"/>
        <v>1.9745880694083201E-2</v>
      </c>
      <c r="G3444" s="9">
        <f t="shared" si="162"/>
        <v>7.1662491981624443E-3</v>
      </c>
    </row>
    <row r="3445" spans="1:7" x14ac:dyDescent="0.2">
      <c r="A3445" s="12">
        <v>41897</v>
      </c>
      <c r="B3445" s="9">
        <v>1396.87</v>
      </c>
      <c r="C3445" s="9">
        <v>1380.22</v>
      </c>
      <c r="D3445" s="9">
        <v>1393.22</v>
      </c>
      <c r="E3445" s="9">
        <f t="shared" si="160"/>
        <v>3.3287710341892503E-3</v>
      </c>
      <c r="F3445" s="45">
        <f t="shared" si="161"/>
        <v>2.3375848805264998E-2</v>
      </c>
      <c r="G3445" s="9">
        <f t="shared" si="162"/>
        <v>7.1801234573501344E-3</v>
      </c>
    </row>
    <row r="3446" spans="1:7" x14ac:dyDescent="0.2">
      <c r="A3446" s="12">
        <v>41898</v>
      </c>
      <c r="B3446" s="9">
        <v>1395.29</v>
      </c>
      <c r="C3446" s="9">
        <v>1384.55</v>
      </c>
      <c r="D3446" s="9">
        <v>1395.29</v>
      </c>
      <c r="E3446" s="9">
        <f t="shared" si="160"/>
        <v>1.484664125449878E-3</v>
      </c>
      <c r="F3446" s="45">
        <f t="shared" si="161"/>
        <v>2.1120353977639818E-2</v>
      </c>
      <c r="G3446" s="9">
        <f t="shared" si="162"/>
        <v>7.1598300325766825E-3</v>
      </c>
    </row>
    <row r="3447" spans="1:7" x14ac:dyDescent="0.2">
      <c r="A3447" s="12">
        <v>41899</v>
      </c>
      <c r="B3447" s="9">
        <v>1409.12</v>
      </c>
      <c r="C3447" s="9">
        <v>1399.29</v>
      </c>
      <c r="D3447" s="9">
        <v>1407.04</v>
      </c>
      <c r="E3447" s="9">
        <f t="shared" si="160"/>
        <v>8.3859280374755062E-3</v>
      </c>
      <c r="F3447" s="45">
        <f t="shared" si="161"/>
        <v>4.5614775532238173E-2</v>
      </c>
      <c r="G3447" s="9">
        <f t="shared" si="162"/>
        <v>6.5468710503152677E-3</v>
      </c>
    </row>
    <row r="3448" spans="1:7" x14ac:dyDescent="0.2">
      <c r="A3448" s="12">
        <v>41900</v>
      </c>
      <c r="B3448" s="9">
        <v>1416.8</v>
      </c>
      <c r="C3448" s="9">
        <v>1406.84</v>
      </c>
      <c r="D3448" s="9">
        <v>1416.79</v>
      </c>
      <c r="E3448" s="9">
        <f t="shared" si="160"/>
        <v>6.905542292037571E-3</v>
      </c>
      <c r="F3448" s="45">
        <f t="shared" si="161"/>
        <v>5.9911996680000433E-2</v>
      </c>
      <c r="G3448" s="9">
        <f t="shared" si="162"/>
        <v>6.3943465709079455E-3</v>
      </c>
    </row>
    <row r="3449" spans="1:7" x14ac:dyDescent="0.2">
      <c r="A3449" s="12">
        <v>41901</v>
      </c>
      <c r="B3449" s="9">
        <v>1424.22</v>
      </c>
      <c r="C3449" s="9">
        <v>1418.23</v>
      </c>
      <c r="D3449" s="9">
        <v>1421.48</v>
      </c>
      <c r="E3449" s="9">
        <f t="shared" si="160"/>
        <v>3.3048330628518692E-3</v>
      </c>
      <c r="F3449" s="45">
        <f t="shared" si="161"/>
        <v>6.5347395148412202E-2</v>
      </c>
      <c r="G3449" s="9">
        <f t="shared" si="162"/>
        <v>6.3502117705847589E-3</v>
      </c>
    </row>
    <row r="3450" spans="1:7" x14ac:dyDescent="0.2">
      <c r="A3450" s="12">
        <v>41904</v>
      </c>
      <c r="B3450" s="9">
        <v>1423.6</v>
      </c>
      <c r="C3450" s="9">
        <v>1412.79</v>
      </c>
      <c r="D3450" s="9">
        <v>1418.29</v>
      </c>
      <c r="E3450" s="9">
        <f t="shared" si="160"/>
        <v>-2.2466617661224863E-3</v>
      </c>
      <c r="F3450" s="45">
        <f t="shared" si="161"/>
        <v>4.3910283846528252E-2</v>
      </c>
      <c r="G3450" s="9">
        <f t="shared" si="162"/>
        <v>5.5219840666996985E-3</v>
      </c>
    </row>
    <row r="3451" spans="1:7" x14ac:dyDescent="0.2">
      <c r="A3451" s="12">
        <v>41905</v>
      </c>
      <c r="B3451" s="9">
        <v>1417.48</v>
      </c>
      <c r="C3451" s="9">
        <v>1405.32</v>
      </c>
      <c r="D3451" s="9">
        <v>1405.32</v>
      </c>
      <c r="E3451" s="9">
        <f t="shared" si="160"/>
        <v>-9.1868857391660275E-3</v>
      </c>
      <c r="F3451" s="45">
        <f t="shared" si="161"/>
        <v>4.0190072478166701E-2</v>
      </c>
      <c r="G3451" s="9">
        <f t="shared" si="162"/>
        <v>5.7211655148004074E-3</v>
      </c>
    </row>
    <row r="3452" spans="1:7" x14ac:dyDescent="0.2">
      <c r="A3452" s="12">
        <v>41906</v>
      </c>
      <c r="B3452" s="9">
        <v>1411.23</v>
      </c>
      <c r="C3452" s="9">
        <v>1399.4</v>
      </c>
      <c r="D3452" s="9">
        <v>1411.23</v>
      </c>
      <c r="E3452" s="9">
        <f t="shared" si="160"/>
        <v>4.1966296879232074E-3</v>
      </c>
      <c r="F3452" s="45">
        <f t="shared" si="161"/>
        <v>3.56396241445361E-2</v>
      </c>
      <c r="G3452" s="9">
        <f t="shared" si="162"/>
        <v>5.5764981223896991E-3</v>
      </c>
    </row>
    <row r="3453" spans="1:7" x14ac:dyDescent="0.2">
      <c r="A3453" s="12">
        <v>41907</v>
      </c>
      <c r="B3453" s="9">
        <v>1413.88</v>
      </c>
      <c r="C3453" s="9">
        <v>1391.01</v>
      </c>
      <c r="D3453" s="9">
        <v>1393.09</v>
      </c>
      <c r="E3453" s="9">
        <f t="shared" si="160"/>
        <v>-1.2937363079143652E-2</v>
      </c>
      <c r="F3453" s="45">
        <f t="shared" si="161"/>
        <v>2.850544110669536E-2</v>
      </c>
      <c r="G3453" s="9">
        <f t="shared" si="162"/>
        <v>6.0194373682946082E-3</v>
      </c>
    </row>
    <row r="3454" spans="1:7" x14ac:dyDescent="0.2">
      <c r="A3454" s="12">
        <v>41908</v>
      </c>
      <c r="B3454" s="9">
        <v>1400.31</v>
      </c>
      <c r="C3454" s="9">
        <v>1387.31</v>
      </c>
      <c r="D3454" s="9">
        <v>1396.2</v>
      </c>
      <c r="E3454" s="9">
        <f t="shared" si="160"/>
        <v>2.2299590854753023E-3</v>
      </c>
      <c r="F3454" s="45">
        <f t="shared" si="161"/>
        <v>3.1444693440768771E-2</v>
      </c>
      <c r="G3454" s="9">
        <f t="shared" si="162"/>
        <v>6.0154145734038281E-3</v>
      </c>
    </row>
    <row r="3455" spans="1:7" x14ac:dyDescent="0.2">
      <c r="A3455" s="12">
        <v>41911</v>
      </c>
      <c r="B3455" s="9">
        <v>1400.11</v>
      </c>
      <c r="C3455" s="9">
        <v>1384.09</v>
      </c>
      <c r="D3455" s="9">
        <v>1392.39</v>
      </c>
      <c r="E3455" s="9">
        <f t="shared" ref="E3455:E3518" si="163">LN(D3455/D3454)</f>
        <v>-2.7325654691043276E-3</v>
      </c>
      <c r="F3455" s="45">
        <f t="shared" si="161"/>
        <v>1.6707428832608194E-2</v>
      </c>
      <c r="G3455" s="9">
        <f t="shared" si="162"/>
        <v>5.6823369011215459E-3</v>
      </c>
    </row>
    <row r="3456" spans="1:7" x14ac:dyDescent="0.2">
      <c r="A3456" s="12">
        <v>41912</v>
      </c>
      <c r="B3456" s="9">
        <v>1403.22</v>
      </c>
      <c r="C3456" s="9">
        <v>1390.89</v>
      </c>
      <c r="D3456" s="9">
        <v>1403</v>
      </c>
      <c r="E3456" s="9">
        <f t="shared" si="163"/>
        <v>7.5911060352641677E-3</v>
      </c>
      <c r="F3456" s="45">
        <f t="shared" si="161"/>
        <v>1.8988845890283008E-2</v>
      </c>
      <c r="G3456" s="9">
        <f t="shared" si="162"/>
        <v>5.7628331091569198E-3</v>
      </c>
    </row>
    <row r="3457" spans="1:7" x14ac:dyDescent="0.2">
      <c r="A3457" s="12">
        <v>41913</v>
      </c>
      <c r="B3457" s="9">
        <v>1399.8</v>
      </c>
      <c r="C3457" s="9">
        <v>1381.59</v>
      </c>
      <c r="D3457" s="9">
        <v>1381.59</v>
      </c>
      <c r="E3457" s="9">
        <f t="shared" si="163"/>
        <v>-1.5377791281131507E-2</v>
      </c>
      <c r="F3457" s="45">
        <f t="shared" si="161"/>
        <v>5.8727832860008874E-3</v>
      </c>
      <c r="G3457" s="9">
        <f t="shared" si="162"/>
        <v>6.4469391885141223E-3</v>
      </c>
    </row>
    <row r="3458" spans="1:7" x14ac:dyDescent="0.2">
      <c r="A3458" s="12">
        <v>41914</v>
      </c>
      <c r="B3458" s="9">
        <v>1382.22</v>
      </c>
      <c r="C3458" s="9">
        <v>1353.93</v>
      </c>
      <c r="D3458" s="9">
        <v>1353.93</v>
      </c>
      <c r="E3458" s="9">
        <f t="shared" si="163"/>
        <v>-2.0223535356137051E-2</v>
      </c>
      <c r="F3458" s="45">
        <f t="shared" si="161"/>
        <v>-2.2710325571477511E-2</v>
      </c>
      <c r="G3458" s="9">
        <f t="shared" si="162"/>
        <v>7.2597005855270869E-3</v>
      </c>
    </row>
    <row r="3459" spans="1:7" x14ac:dyDescent="0.2">
      <c r="A3459" s="12">
        <v>41915</v>
      </c>
      <c r="B3459" s="9">
        <v>1371.42</v>
      </c>
      <c r="C3459" s="9">
        <v>1360.97</v>
      </c>
      <c r="D3459" s="9">
        <v>1369.52</v>
      </c>
      <c r="E3459" s="9">
        <f t="shared" si="163"/>
        <v>1.1448839001330426E-2</v>
      </c>
      <c r="F3459" s="45">
        <f t="shared" si="161"/>
        <v>-9.5922602770454925E-3</v>
      </c>
      <c r="G3459" s="9">
        <f t="shared" si="162"/>
        <v>7.5903951047928504E-3</v>
      </c>
    </row>
    <row r="3460" spans="1:7" x14ac:dyDescent="0.2">
      <c r="A3460" s="12">
        <v>41918</v>
      </c>
      <c r="B3460" s="9">
        <v>1380.73</v>
      </c>
      <c r="C3460" s="9">
        <v>1365.67</v>
      </c>
      <c r="D3460" s="9">
        <v>1365.71</v>
      </c>
      <c r="E3460" s="9">
        <f t="shared" si="163"/>
        <v>-2.7858735566267672E-3</v>
      </c>
      <c r="F3460" s="45">
        <f t="shared" si="161"/>
        <v>-2.0997728428331107E-2</v>
      </c>
      <c r="G3460" s="9">
        <f t="shared" si="162"/>
        <v>7.4107162543187418E-3</v>
      </c>
    </row>
    <row r="3461" spans="1:7" x14ac:dyDescent="0.2">
      <c r="A3461" s="12">
        <v>41919</v>
      </c>
      <c r="B3461" s="9">
        <v>1364.04</v>
      </c>
      <c r="C3461" s="9">
        <v>1337.63</v>
      </c>
      <c r="D3461" s="9">
        <v>1337.63</v>
      </c>
      <c r="E3461" s="9">
        <f t="shared" si="163"/>
        <v>-2.0775048601302745E-2</v>
      </c>
      <c r="F3461" s="45">
        <f t="shared" si="161"/>
        <v>-4.3814156851294153E-2</v>
      </c>
      <c r="G3461" s="9">
        <f t="shared" si="162"/>
        <v>8.243671835799455E-3</v>
      </c>
    </row>
    <row r="3462" spans="1:7" x14ac:dyDescent="0.2">
      <c r="A3462" s="12">
        <v>41920</v>
      </c>
      <c r="B3462" s="9">
        <v>1336.43</v>
      </c>
      <c r="C3462" s="9">
        <v>1325.99</v>
      </c>
      <c r="D3462" s="9">
        <v>1331.83</v>
      </c>
      <c r="E3462" s="9">
        <f t="shared" si="163"/>
        <v>-4.3454549809853376E-3</v>
      </c>
      <c r="F3462" s="45">
        <f t="shared" si="161"/>
        <v>-4.8066586912267562E-2</v>
      </c>
      <c r="G3462" s="9">
        <f t="shared" si="162"/>
        <v>8.2558987874782139E-3</v>
      </c>
    </row>
    <row r="3463" spans="1:7" x14ac:dyDescent="0.2">
      <c r="A3463" s="12">
        <v>41921</v>
      </c>
      <c r="B3463" s="9">
        <v>1348.81</v>
      </c>
      <c r="C3463" s="9">
        <v>1316.15</v>
      </c>
      <c r="D3463" s="9">
        <v>1322.31</v>
      </c>
      <c r="E3463" s="9">
        <f t="shared" si="163"/>
        <v>-7.1737292130747022E-3</v>
      </c>
      <c r="F3463" s="45">
        <f t="shared" si="161"/>
        <v>-4.4896537288926973E-2</v>
      </c>
      <c r="G3463" s="9">
        <f t="shared" si="162"/>
        <v>8.1598849854933424E-3</v>
      </c>
    </row>
    <row r="3464" spans="1:7" x14ac:dyDescent="0.2">
      <c r="A3464" s="12">
        <v>41922</v>
      </c>
      <c r="B3464" s="9">
        <v>1316.93</v>
      </c>
      <c r="C3464" s="9">
        <v>1297.46</v>
      </c>
      <c r="D3464" s="9">
        <v>1302.3399999999999</v>
      </c>
      <c r="E3464" s="9">
        <f t="shared" si="163"/>
        <v>-1.5217560723525925E-2</v>
      </c>
      <c r="F3464" s="45">
        <f t="shared" si="161"/>
        <v>-6.4342220562845762E-2</v>
      </c>
      <c r="G3464" s="9">
        <f t="shared" si="162"/>
        <v>8.4564150120884519E-3</v>
      </c>
    </row>
    <row r="3465" spans="1:7" x14ac:dyDescent="0.2">
      <c r="A3465" s="12">
        <v>41925</v>
      </c>
      <c r="B3465" s="9">
        <v>1308.02</v>
      </c>
      <c r="C3465" s="9">
        <v>1289.33</v>
      </c>
      <c r="D3465" s="9">
        <v>1294.6400000000001</v>
      </c>
      <c r="E3465" s="9">
        <f t="shared" si="163"/>
        <v>-5.9299821823773705E-3</v>
      </c>
      <c r="F3465" s="45">
        <f t="shared" si="161"/>
        <v>-6.8888847456276589E-2</v>
      </c>
      <c r="G3465" s="9">
        <f t="shared" si="162"/>
        <v>8.4829991763951187E-3</v>
      </c>
    </row>
    <row r="3466" spans="1:7" x14ac:dyDescent="0.2">
      <c r="A3466" s="12">
        <v>41926</v>
      </c>
      <c r="B3466" s="9">
        <v>1308.93</v>
      </c>
      <c r="C3466" s="9">
        <v>1287.73</v>
      </c>
      <c r="D3466" s="9">
        <v>1307.8599999999999</v>
      </c>
      <c r="E3466" s="9">
        <f t="shared" si="163"/>
        <v>1.0159549440861388E-2</v>
      </c>
      <c r="F3466" s="45">
        <f t="shared" si="161"/>
        <v>-5.942841981720981E-2</v>
      </c>
      <c r="G3466" s="9">
        <f t="shared" si="162"/>
        <v>8.7692039312583375E-3</v>
      </c>
    </row>
    <row r="3467" spans="1:7" x14ac:dyDescent="0.2">
      <c r="A3467" s="12">
        <v>41927</v>
      </c>
      <c r="B3467" s="9">
        <v>1309.03</v>
      </c>
      <c r="C3467" s="9">
        <v>1269.9100000000001</v>
      </c>
      <c r="D3467" s="9">
        <v>1269.9100000000001</v>
      </c>
      <c r="E3467" s="9">
        <f t="shared" si="163"/>
        <v>-2.944618184971038E-2</v>
      </c>
      <c r="F3467" s="45">
        <f t="shared" si="161"/>
        <v>-9.6439900703147424E-2</v>
      </c>
      <c r="G3467" s="9">
        <f t="shared" si="162"/>
        <v>9.9092708603827628E-3</v>
      </c>
    </row>
    <row r="3468" spans="1:7" x14ac:dyDescent="0.2">
      <c r="A3468" s="12">
        <v>41928</v>
      </c>
      <c r="B3468" s="9">
        <v>1285.33</v>
      </c>
      <c r="C3468" s="9">
        <v>1246.56</v>
      </c>
      <c r="D3468" s="9">
        <v>1271.01</v>
      </c>
      <c r="E3468" s="9">
        <f t="shared" si="163"/>
        <v>8.6582817933561745E-4</v>
      </c>
      <c r="F3468" s="45">
        <f t="shared" si="161"/>
        <v>-9.5223630713233046E-2</v>
      </c>
      <c r="G3468" s="9">
        <f t="shared" si="162"/>
        <v>9.9238708316868023E-3</v>
      </c>
    </row>
    <row r="3469" spans="1:7" x14ac:dyDescent="0.2">
      <c r="A3469" s="12">
        <v>41929</v>
      </c>
      <c r="B3469" s="9">
        <v>1310.46</v>
      </c>
      <c r="C3469" s="9">
        <v>1267.78</v>
      </c>
      <c r="D3469" s="9">
        <v>1310.46</v>
      </c>
      <c r="E3469" s="9">
        <f t="shared" si="163"/>
        <v>3.0566360617258367E-2</v>
      </c>
      <c r="F3469" s="45">
        <f t="shared" si="161"/>
        <v>-5.7766581830025622E-2</v>
      </c>
      <c r="G3469" s="9">
        <f t="shared" si="162"/>
        <v>1.1646891996014668E-2</v>
      </c>
    </row>
    <row r="3470" spans="1:7" x14ac:dyDescent="0.2">
      <c r="A3470" s="12">
        <v>41932</v>
      </c>
      <c r="B3470" s="9">
        <v>1310.83</v>
      </c>
      <c r="C3470" s="9">
        <v>1293.24</v>
      </c>
      <c r="D3470" s="9">
        <v>1306.44</v>
      </c>
      <c r="E3470" s="9">
        <f t="shared" si="163"/>
        <v>-3.0723399152859164E-3</v>
      </c>
      <c r="F3470" s="45">
        <f t="shared" si="161"/>
        <v>-6.3959969037748476E-2</v>
      </c>
      <c r="G3470" s="9">
        <f t="shared" si="162"/>
        <v>1.1609183418111594E-2</v>
      </c>
    </row>
    <row r="3471" spans="1:7" x14ac:dyDescent="0.2">
      <c r="A3471" s="12">
        <v>41933</v>
      </c>
      <c r="B3471" s="9">
        <v>1338.12</v>
      </c>
      <c r="C3471" s="9">
        <v>1301.51</v>
      </c>
      <c r="D3471" s="9">
        <v>1338.12</v>
      </c>
      <c r="E3471" s="9">
        <f t="shared" si="163"/>
        <v>2.395976308418158E-2</v>
      </c>
      <c r="F3471" s="45">
        <f t="shared" si="161"/>
        <v>-3.2830321770023825E-2</v>
      </c>
      <c r="G3471" s="9">
        <f t="shared" si="162"/>
        <v>1.2500370998167422E-2</v>
      </c>
    </row>
    <row r="3472" spans="1:7" x14ac:dyDescent="0.2">
      <c r="A3472" s="12">
        <v>41934</v>
      </c>
      <c r="B3472" s="9">
        <v>1348.15</v>
      </c>
      <c r="C3472" s="9">
        <v>1334.13</v>
      </c>
      <c r="D3472" s="9">
        <v>1344.34</v>
      </c>
      <c r="E3472" s="9">
        <f t="shared" si="163"/>
        <v>4.6375425152193539E-3</v>
      </c>
      <c r="F3472" s="45">
        <f t="shared" si="161"/>
        <v>-3.1513890113441252E-2</v>
      </c>
      <c r="G3472" s="9">
        <f t="shared" si="162"/>
        <v>1.2518702550408808E-2</v>
      </c>
    </row>
    <row r="3473" spans="1:7" x14ac:dyDescent="0.2">
      <c r="A3473" s="12">
        <v>41935</v>
      </c>
      <c r="B3473" s="9">
        <v>1363.7</v>
      </c>
      <c r="C3473" s="9">
        <v>1336.11</v>
      </c>
      <c r="D3473" s="9">
        <v>1361.88</v>
      </c>
      <c r="E3473" s="9">
        <f t="shared" si="163"/>
        <v>1.2962911820557841E-2</v>
      </c>
      <c r="F3473" s="45">
        <f t="shared" si="161"/>
        <v>-1.5280488811665062E-2</v>
      </c>
      <c r="G3473" s="9">
        <f t="shared" si="162"/>
        <v>1.2767795611636905E-2</v>
      </c>
    </row>
    <row r="3474" spans="1:7" x14ac:dyDescent="0.2">
      <c r="A3474" s="12">
        <v>41936</v>
      </c>
      <c r="B3474" s="9">
        <v>1367.34</v>
      </c>
      <c r="C3474" s="9">
        <v>1353.82</v>
      </c>
      <c r="D3474" s="9">
        <v>1358.57</v>
      </c>
      <c r="E3474" s="9">
        <f t="shared" si="163"/>
        <v>-2.4334221421890589E-3</v>
      </c>
      <c r="F3474" s="45">
        <f t="shared" si="161"/>
        <v>-2.1856167836471499E-2</v>
      </c>
      <c r="G3474" s="9">
        <f t="shared" si="162"/>
        <v>1.2741602822454526E-2</v>
      </c>
    </row>
    <row r="3475" spans="1:7" x14ac:dyDescent="0.2">
      <c r="A3475" s="12">
        <v>41939</v>
      </c>
      <c r="B3475" s="9">
        <v>1374.07</v>
      </c>
      <c r="C3475" s="9">
        <v>1348.79</v>
      </c>
      <c r="D3475" s="9">
        <v>1360.33</v>
      </c>
      <c r="E3475" s="9">
        <f t="shared" si="163"/>
        <v>1.294641396026033E-3</v>
      </c>
      <c r="F3475" s="45">
        <f t="shared" si="161"/>
        <v>-2.3890297474634888E-2</v>
      </c>
      <c r="G3475" s="9">
        <f t="shared" si="162"/>
        <v>1.2724668417582852E-2</v>
      </c>
    </row>
    <row r="3476" spans="1:7" x14ac:dyDescent="0.2">
      <c r="A3476" s="12">
        <v>41940</v>
      </c>
      <c r="B3476" s="9">
        <v>1381.29</v>
      </c>
      <c r="C3476" s="9">
        <v>1364.86</v>
      </c>
      <c r="D3476" s="9">
        <v>1380.83</v>
      </c>
      <c r="E3476" s="9">
        <f t="shared" si="163"/>
        <v>1.4957450273602579E-2</v>
      </c>
      <c r="F3476" s="45">
        <f t="shared" si="161"/>
        <v>-1.0417511326482186E-2</v>
      </c>
      <c r="G3476" s="9">
        <f t="shared" si="162"/>
        <v>1.3041745820408785E-2</v>
      </c>
    </row>
    <row r="3477" spans="1:7" x14ac:dyDescent="0.2">
      <c r="A3477" s="12">
        <v>41941</v>
      </c>
      <c r="B3477" s="9">
        <v>1393.46</v>
      </c>
      <c r="C3477" s="9">
        <v>1383.49</v>
      </c>
      <c r="D3477" s="9">
        <v>1389.95</v>
      </c>
      <c r="E3477" s="9">
        <f t="shared" si="163"/>
        <v>6.5830076262484603E-3</v>
      </c>
      <c r="F3477" s="45">
        <f t="shared" si="161"/>
        <v>-1.2220431737709335E-2</v>
      </c>
      <c r="G3477" s="9">
        <f t="shared" si="162"/>
        <v>1.300421497626331E-2</v>
      </c>
    </row>
    <row r="3478" spans="1:7" x14ac:dyDescent="0.2">
      <c r="A3478" s="12">
        <v>41942</v>
      </c>
      <c r="B3478" s="9">
        <v>1398.02</v>
      </c>
      <c r="C3478" s="9">
        <v>1379.91</v>
      </c>
      <c r="D3478" s="9">
        <v>1397.18</v>
      </c>
      <c r="E3478" s="9">
        <f t="shared" si="163"/>
        <v>5.1881442325181935E-3</v>
      </c>
      <c r="F3478" s="45">
        <f t="shared" si="161"/>
        <v>-1.3937829797228709E-2</v>
      </c>
      <c r="G3478" s="9">
        <f t="shared" si="162"/>
        <v>1.2974658937728372E-2</v>
      </c>
    </row>
    <row r="3479" spans="1:7" x14ac:dyDescent="0.2">
      <c r="A3479" s="12">
        <v>41943</v>
      </c>
      <c r="B3479" s="9">
        <v>1414.08</v>
      </c>
      <c r="C3479" s="9">
        <v>1404.19</v>
      </c>
      <c r="D3479" s="9">
        <v>1412.84</v>
      </c>
      <c r="E3479" s="9">
        <f t="shared" si="163"/>
        <v>1.114594353242954E-2</v>
      </c>
      <c r="F3479" s="45">
        <f t="shared" si="161"/>
        <v>-6.0967193276509277E-3</v>
      </c>
      <c r="G3479" s="9">
        <f t="shared" si="162"/>
        <v>1.3131244701240968E-2</v>
      </c>
    </row>
    <row r="3480" spans="1:7" x14ac:dyDescent="0.2">
      <c r="A3480" s="12">
        <v>41946</v>
      </c>
      <c r="B3480" s="9">
        <v>1414.93</v>
      </c>
      <c r="C3480" s="9">
        <v>1396.23</v>
      </c>
      <c r="D3480" s="9">
        <v>1399.05</v>
      </c>
      <c r="E3480" s="9">
        <f t="shared" si="163"/>
        <v>-9.8084281787015511E-3</v>
      </c>
      <c r="F3480" s="45">
        <f t="shared" si="161"/>
        <v>-1.3658485740230058E-2</v>
      </c>
      <c r="G3480" s="9">
        <f t="shared" si="162"/>
        <v>1.3243913805952825E-2</v>
      </c>
    </row>
    <row r="3481" spans="1:7" x14ac:dyDescent="0.2">
      <c r="A3481" s="12">
        <v>41947</v>
      </c>
      <c r="B3481" s="9">
        <v>1407.51</v>
      </c>
      <c r="C3481" s="9">
        <v>1397.34</v>
      </c>
      <c r="D3481" s="9">
        <v>1399.87</v>
      </c>
      <c r="E3481" s="9">
        <f t="shared" si="163"/>
        <v>5.8594030801919193E-4</v>
      </c>
      <c r="F3481" s="45">
        <f t="shared" si="161"/>
        <v>-3.8856596930448416E-3</v>
      </c>
      <c r="G3481" s="9">
        <f t="shared" si="162"/>
        <v>1.3141531935307713E-2</v>
      </c>
    </row>
    <row r="3482" spans="1:7" x14ac:dyDescent="0.2">
      <c r="A3482" s="12">
        <v>41948</v>
      </c>
      <c r="B3482" s="9">
        <v>1414.09</v>
      </c>
      <c r="C3482" s="9">
        <v>1406.49</v>
      </c>
      <c r="D3482" s="9">
        <v>1414.09</v>
      </c>
      <c r="E3482" s="9">
        <f t="shared" si="163"/>
        <v>1.0106839504055888E-2</v>
      </c>
      <c r="F3482" s="45">
        <f t="shared" si="161"/>
        <v>2.0245501230878298E-3</v>
      </c>
      <c r="G3482" s="9">
        <f t="shared" si="162"/>
        <v>1.3252454739717402E-2</v>
      </c>
    </row>
    <row r="3483" spans="1:7" x14ac:dyDescent="0.2">
      <c r="A3483" s="12">
        <v>41949</v>
      </c>
      <c r="B3483" s="9">
        <v>1422.61</v>
      </c>
      <c r="C3483" s="9">
        <v>1406.31</v>
      </c>
      <c r="D3483" s="9">
        <v>1415.3</v>
      </c>
      <c r="E3483" s="9">
        <f t="shared" si="163"/>
        <v>8.5530808673595646E-4</v>
      </c>
      <c r="F3483" s="45">
        <f t="shared" si="161"/>
        <v>1.5817221288967457E-2</v>
      </c>
      <c r="G3483" s="9">
        <f t="shared" si="162"/>
        <v>1.3022993557150199E-2</v>
      </c>
    </row>
    <row r="3484" spans="1:7" x14ac:dyDescent="0.2">
      <c r="A3484" s="12">
        <v>41950</v>
      </c>
      <c r="B3484" s="9">
        <v>1422.11</v>
      </c>
      <c r="C3484" s="9">
        <v>1404.98</v>
      </c>
      <c r="D3484" s="9">
        <v>1410.88</v>
      </c>
      <c r="E3484" s="9">
        <f t="shared" si="163"/>
        <v>-3.1278995702202789E-3</v>
      </c>
      <c r="F3484" s="45">
        <f t="shared" si="161"/>
        <v>1.0459362633271869E-2</v>
      </c>
      <c r="G3484" s="9">
        <f t="shared" si="162"/>
        <v>1.3035569887920827E-2</v>
      </c>
    </row>
    <row r="3485" spans="1:7" x14ac:dyDescent="0.2">
      <c r="A3485" s="12">
        <v>41953</v>
      </c>
      <c r="B3485" s="9">
        <v>1417.95</v>
      </c>
      <c r="C3485" s="9">
        <v>1406.71</v>
      </c>
      <c r="D3485" s="9">
        <v>1417.82</v>
      </c>
      <c r="E3485" s="9">
        <f t="shared" si="163"/>
        <v>4.9068575138197876E-3</v>
      </c>
      <c r="F3485" s="45">
        <f t="shared" si="161"/>
        <v>1.8098785616195826E-2</v>
      </c>
      <c r="G3485" s="9">
        <f t="shared" si="162"/>
        <v>1.3047914966562787E-2</v>
      </c>
    </row>
    <row r="3486" spans="1:7" x14ac:dyDescent="0.2">
      <c r="A3486" s="12">
        <v>41954</v>
      </c>
      <c r="B3486" s="9">
        <v>1425.06</v>
      </c>
      <c r="C3486" s="9">
        <v>1418.78</v>
      </c>
      <c r="D3486" s="9">
        <v>1424.93</v>
      </c>
      <c r="E3486" s="9">
        <f t="shared" si="163"/>
        <v>5.0022090057762723E-3</v>
      </c>
      <c r="F3486" s="45">
        <f t="shared" si="161"/>
        <v>1.5509888586707777E-2</v>
      </c>
      <c r="G3486" s="9">
        <f t="shared" si="162"/>
        <v>1.3008607205775869E-2</v>
      </c>
    </row>
    <row r="3487" spans="1:7" x14ac:dyDescent="0.2">
      <c r="A3487" s="12">
        <v>41955</v>
      </c>
      <c r="B3487" s="9">
        <v>1426.14</v>
      </c>
      <c r="C3487" s="9">
        <v>1408.86</v>
      </c>
      <c r="D3487" s="9">
        <v>1408.86</v>
      </c>
      <c r="E3487" s="9">
        <f t="shared" si="163"/>
        <v>-1.1341822976257472E-2</v>
      </c>
      <c r="F3487" s="45">
        <f t="shared" si="161"/>
        <v>1.9545856891581899E-2</v>
      </c>
      <c r="G3487" s="9">
        <f t="shared" si="162"/>
        <v>1.2858562605455762E-2</v>
      </c>
    </row>
    <row r="3488" spans="1:7" x14ac:dyDescent="0.2">
      <c r="A3488" s="12">
        <v>41956</v>
      </c>
      <c r="B3488" s="9">
        <v>1423.13</v>
      </c>
      <c r="C3488" s="9">
        <v>1412.68</v>
      </c>
      <c r="D3488" s="9">
        <v>1422.76</v>
      </c>
      <c r="E3488" s="9">
        <f t="shared" si="163"/>
        <v>9.8177803873361336E-3</v>
      </c>
      <c r="F3488" s="45">
        <f t="shared" si="161"/>
        <v>4.9587172635055146E-2</v>
      </c>
      <c r="G3488" s="9">
        <f t="shared" si="162"/>
        <v>1.2335965817078317E-2</v>
      </c>
    </row>
    <row r="3489" spans="1:7" x14ac:dyDescent="0.2">
      <c r="A3489" s="12">
        <v>41957</v>
      </c>
      <c r="B3489" s="9">
        <v>1424.4</v>
      </c>
      <c r="C3489" s="9">
        <v>1411.58</v>
      </c>
      <c r="D3489" s="9">
        <v>1415.6</v>
      </c>
      <c r="E3489" s="9">
        <f t="shared" si="163"/>
        <v>-5.0451776289392545E-3</v>
      </c>
      <c r="F3489" s="45">
        <f t="shared" ref="F3489:F3552" si="164">LN(D3489/D3459)</f>
        <v>3.3093156004785323E-2</v>
      </c>
      <c r="G3489" s="9">
        <f t="shared" ref="G3489:G3552" si="165">STDEV(E3460:E3489)</f>
        <v>1.2251588383879288E-2</v>
      </c>
    </row>
    <row r="3490" spans="1:7" x14ac:dyDescent="0.2">
      <c r="A3490" s="12">
        <v>41960</v>
      </c>
      <c r="B3490" s="9">
        <v>1421.82</v>
      </c>
      <c r="C3490" s="9">
        <v>1408.35</v>
      </c>
      <c r="D3490" s="9">
        <v>1419.92</v>
      </c>
      <c r="E3490" s="9">
        <f t="shared" si="163"/>
        <v>3.0470625087828259E-3</v>
      </c>
      <c r="F3490" s="45">
        <f t="shared" si="164"/>
        <v>3.8926092070195012E-2</v>
      </c>
      <c r="G3490" s="9">
        <f t="shared" si="165"/>
        <v>1.2234013959657508E-2</v>
      </c>
    </row>
    <row r="3491" spans="1:7" x14ac:dyDescent="0.2">
      <c r="A3491" s="12">
        <v>41961</v>
      </c>
      <c r="B3491" s="9">
        <v>1432.38</v>
      </c>
      <c r="C3491" s="9">
        <v>1419.31</v>
      </c>
      <c r="D3491" s="9">
        <v>1432.38</v>
      </c>
      <c r="E3491" s="9">
        <f t="shared" si="163"/>
        <v>8.7368644664239849E-3</v>
      </c>
      <c r="F3491" s="45">
        <f t="shared" si="164"/>
        <v>6.8438005137921726E-2</v>
      </c>
      <c r="G3491" s="9">
        <f t="shared" si="165"/>
        <v>1.1566262853650842E-2</v>
      </c>
    </row>
    <row r="3492" spans="1:7" x14ac:dyDescent="0.2">
      <c r="A3492" s="12">
        <v>41962</v>
      </c>
      <c r="B3492" s="9">
        <v>1432.58</v>
      </c>
      <c r="C3492" s="9">
        <v>1426.04</v>
      </c>
      <c r="D3492" s="9">
        <v>1428.01</v>
      </c>
      <c r="E3492" s="9">
        <f t="shared" si="163"/>
        <v>-3.0555297703845036E-3</v>
      </c>
      <c r="F3492" s="45">
        <f t="shared" si="164"/>
        <v>6.9727930348522621E-2</v>
      </c>
      <c r="G3492" s="9">
        <f t="shared" si="165"/>
        <v>1.1543153140009293E-2</v>
      </c>
    </row>
    <row r="3493" spans="1:7" x14ac:dyDescent="0.2">
      <c r="A3493" s="12">
        <v>41963</v>
      </c>
      <c r="B3493" s="9">
        <v>1430.41</v>
      </c>
      <c r="C3493" s="9">
        <v>1418.61</v>
      </c>
      <c r="D3493" s="9">
        <v>1423.71</v>
      </c>
      <c r="E3493" s="9">
        <f t="shared" si="163"/>
        <v>-3.0157261294231179E-3</v>
      </c>
      <c r="F3493" s="45">
        <f t="shared" si="164"/>
        <v>7.3885933432174103E-2</v>
      </c>
      <c r="G3493" s="9">
        <f t="shared" si="165"/>
        <v>1.1449762028818745E-2</v>
      </c>
    </row>
    <row r="3494" spans="1:7" x14ac:dyDescent="0.2">
      <c r="A3494" s="12">
        <v>41964</v>
      </c>
      <c r="B3494" s="9">
        <v>1447.53</v>
      </c>
      <c r="C3494" s="9">
        <v>1424.16</v>
      </c>
      <c r="D3494" s="9">
        <v>1447.53</v>
      </c>
      <c r="E3494" s="9">
        <f t="shared" si="163"/>
        <v>1.6592515074275848E-2</v>
      </c>
      <c r="F3494" s="45">
        <f t="shared" si="164"/>
        <v>0.1056960092299761</v>
      </c>
      <c r="G3494" s="9">
        <f t="shared" si="165"/>
        <v>1.1226714896262176E-2</v>
      </c>
    </row>
    <row r="3495" spans="1:7" x14ac:dyDescent="0.2">
      <c r="A3495" s="12">
        <v>41967</v>
      </c>
      <c r="B3495" s="9">
        <v>1456.59</v>
      </c>
      <c r="C3495" s="9">
        <v>1445.15</v>
      </c>
      <c r="D3495" s="9">
        <v>1456.59</v>
      </c>
      <c r="E3495" s="9">
        <f t="shared" si="163"/>
        <v>6.2394318365052081E-3</v>
      </c>
      <c r="F3495" s="45">
        <f t="shared" si="164"/>
        <v>0.11786542324885842</v>
      </c>
      <c r="G3495" s="9">
        <f t="shared" si="165"/>
        <v>1.1092422794499655E-2</v>
      </c>
    </row>
    <row r="3496" spans="1:7" x14ac:dyDescent="0.2">
      <c r="A3496" s="12">
        <v>41968</v>
      </c>
      <c r="B3496" s="9">
        <v>1467.97</v>
      </c>
      <c r="C3496" s="9">
        <v>1455.35</v>
      </c>
      <c r="D3496" s="9">
        <v>1467.36</v>
      </c>
      <c r="E3496" s="9">
        <f t="shared" si="163"/>
        <v>7.3667803531453383E-3</v>
      </c>
      <c r="F3496" s="45">
        <f t="shared" si="164"/>
        <v>0.11507265416114246</v>
      </c>
      <c r="G3496" s="9">
        <f t="shared" si="165"/>
        <v>1.1049966781196859E-2</v>
      </c>
    </row>
    <row r="3497" spans="1:7" x14ac:dyDescent="0.2">
      <c r="A3497" s="12">
        <v>41969</v>
      </c>
      <c r="B3497" s="9">
        <v>1474.89</v>
      </c>
      <c r="C3497" s="9">
        <v>1455.5</v>
      </c>
      <c r="D3497" s="9">
        <v>1457.81</v>
      </c>
      <c r="E3497" s="9">
        <f t="shared" si="163"/>
        <v>-6.5295582345190036E-3</v>
      </c>
      <c r="F3497" s="45">
        <f t="shared" si="164"/>
        <v>0.1379892777763338</v>
      </c>
      <c r="G3497" s="9">
        <f t="shared" si="165"/>
        <v>9.32774482199125E-3</v>
      </c>
    </row>
    <row r="3498" spans="1:7" x14ac:dyDescent="0.2">
      <c r="A3498" s="12">
        <v>41970</v>
      </c>
      <c r="B3498" s="9">
        <v>1467.31</v>
      </c>
      <c r="C3498" s="9">
        <v>1458.62</v>
      </c>
      <c r="D3498" s="9">
        <v>1465.96</v>
      </c>
      <c r="E3498" s="9">
        <f t="shared" si="163"/>
        <v>5.5750083686315535E-3</v>
      </c>
      <c r="F3498" s="45">
        <f t="shared" si="164"/>
        <v>0.14269845796562999</v>
      </c>
      <c r="G3498" s="9">
        <f t="shared" si="165"/>
        <v>9.302333107760517E-3</v>
      </c>
    </row>
    <row r="3499" spans="1:7" x14ac:dyDescent="0.2">
      <c r="A3499" s="12">
        <v>41971</v>
      </c>
      <c r="B3499" s="9">
        <v>1466.15</v>
      </c>
      <c r="C3499" s="9">
        <v>1453.77</v>
      </c>
      <c r="D3499" s="9">
        <v>1461.34</v>
      </c>
      <c r="E3499" s="9">
        <f t="shared" si="163"/>
        <v>-3.156494951615327E-3</v>
      </c>
      <c r="F3499" s="45">
        <f t="shared" si="164"/>
        <v>0.10897560239675641</v>
      </c>
      <c r="G3499" s="9">
        <f t="shared" si="165"/>
        <v>8.0258962219090547E-3</v>
      </c>
    </row>
    <row r="3500" spans="1:7" x14ac:dyDescent="0.2">
      <c r="A3500" s="12">
        <v>41974</v>
      </c>
      <c r="B3500" s="9">
        <v>1456.9</v>
      </c>
      <c r="C3500" s="9">
        <v>1447.78</v>
      </c>
      <c r="D3500" s="9">
        <v>1450.03</v>
      </c>
      <c r="E3500" s="9">
        <f t="shared" si="163"/>
        <v>-7.769577137366728E-3</v>
      </c>
      <c r="F3500" s="45">
        <f t="shared" si="164"/>
        <v>0.10427836517467548</v>
      </c>
      <c r="G3500" s="9">
        <f t="shared" si="165"/>
        <v>8.2050289462606892E-3</v>
      </c>
    </row>
    <row r="3501" spans="1:7" x14ac:dyDescent="0.2">
      <c r="A3501" s="12">
        <v>41975</v>
      </c>
      <c r="B3501" s="9">
        <v>1463.44</v>
      </c>
      <c r="C3501" s="9">
        <v>1447.97</v>
      </c>
      <c r="D3501" s="9">
        <v>1450.07</v>
      </c>
      <c r="E3501" s="9">
        <f t="shared" si="163"/>
        <v>2.7585255682457978E-5</v>
      </c>
      <c r="F3501" s="45">
        <f t="shared" si="164"/>
        <v>8.034618734617642E-2</v>
      </c>
      <c r="G3501" s="9">
        <f t="shared" si="165"/>
        <v>7.2529786229347882E-3</v>
      </c>
    </row>
    <row r="3502" spans="1:7" x14ac:dyDescent="0.2">
      <c r="A3502" s="12">
        <v>41976</v>
      </c>
      <c r="B3502" s="9">
        <v>1466.02</v>
      </c>
      <c r="C3502" s="9">
        <v>1452.13</v>
      </c>
      <c r="D3502" s="9">
        <v>1464.84</v>
      </c>
      <c r="E3502" s="9">
        <f t="shared" si="163"/>
        <v>1.0134190358261463E-2</v>
      </c>
      <c r="F3502" s="45">
        <f t="shared" si="164"/>
        <v>8.5842835189218439E-2</v>
      </c>
      <c r="G3502" s="9">
        <f t="shared" si="165"/>
        <v>7.3726214495974142E-3</v>
      </c>
    </row>
    <row r="3503" spans="1:7" x14ac:dyDescent="0.2">
      <c r="A3503" s="12">
        <v>41977</v>
      </c>
      <c r="B3503" s="9">
        <v>1471.92</v>
      </c>
      <c r="C3503" s="9">
        <v>1447.18</v>
      </c>
      <c r="D3503" s="9">
        <v>1447.82</v>
      </c>
      <c r="E3503" s="9">
        <f t="shared" si="163"/>
        <v>-1.1687044643364957E-2</v>
      </c>
      <c r="F3503" s="45">
        <f t="shared" si="164"/>
        <v>6.1192878725295656E-2</v>
      </c>
      <c r="G3503" s="9">
        <f t="shared" si="165"/>
        <v>7.578724588623042E-3</v>
      </c>
    </row>
    <row r="3504" spans="1:7" x14ac:dyDescent="0.2">
      <c r="A3504" s="12">
        <v>41978</v>
      </c>
      <c r="B3504" s="9">
        <v>1474.7</v>
      </c>
      <c r="C3504" s="9">
        <v>1455.93</v>
      </c>
      <c r="D3504" s="9">
        <v>1474.7</v>
      </c>
      <c r="E3504" s="9">
        <f t="shared" si="163"/>
        <v>1.8395602430551543E-2</v>
      </c>
      <c r="F3504" s="45">
        <f t="shared" si="164"/>
        <v>8.2021903298036186E-2</v>
      </c>
      <c r="G3504" s="9">
        <f t="shared" si="165"/>
        <v>8.0915397075178742E-3</v>
      </c>
    </row>
    <row r="3505" spans="1:7" x14ac:dyDescent="0.2">
      <c r="A3505" s="12">
        <v>41981</v>
      </c>
      <c r="B3505" s="9">
        <v>1472.66</v>
      </c>
      <c r="C3505" s="9">
        <v>1466.19</v>
      </c>
      <c r="D3505" s="9">
        <v>1467.88</v>
      </c>
      <c r="E3505" s="9">
        <f t="shared" si="163"/>
        <v>-4.6353962928561716E-3</v>
      </c>
      <c r="F3505" s="45">
        <f t="shared" si="164"/>
        <v>7.6091865609154152E-2</v>
      </c>
      <c r="G3505" s="9">
        <f t="shared" si="165"/>
        <v>8.1996262594622622E-3</v>
      </c>
    </row>
    <row r="3506" spans="1:7" x14ac:dyDescent="0.2">
      <c r="A3506" s="12">
        <v>41982</v>
      </c>
      <c r="B3506" s="9">
        <v>1466.47</v>
      </c>
      <c r="C3506" s="9">
        <v>1447.96</v>
      </c>
      <c r="D3506" s="9">
        <v>1452.24</v>
      </c>
      <c r="E3506" s="9">
        <f t="shared" si="163"/>
        <v>-1.0711990981863321E-2</v>
      </c>
      <c r="F3506" s="45">
        <f t="shared" si="164"/>
        <v>5.0422424353688267E-2</v>
      </c>
      <c r="G3506" s="9">
        <f t="shared" si="165"/>
        <v>8.1980977390507925E-3</v>
      </c>
    </row>
    <row r="3507" spans="1:7" x14ac:dyDescent="0.2">
      <c r="A3507" s="12">
        <v>41983</v>
      </c>
      <c r="B3507" s="9">
        <v>1462.71</v>
      </c>
      <c r="C3507" s="9">
        <v>1450.49</v>
      </c>
      <c r="D3507" s="9">
        <v>1452.8</v>
      </c>
      <c r="E3507" s="9">
        <f t="shared" si="163"/>
        <v>3.8553686485319223E-4</v>
      </c>
      <c r="F3507" s="45">
        <f t="shared" si="164"/>
        <v>4.4224953592292782E-2</v>
      </c>
      <c r="G3507" s="9">
        <f t="shared" si="165"/>
        <v>8.1482397453447823E-3</v>
      </c>
    </row>
    <row r="3508" spans="1:7" x14ac:dyDescent="0.2">
      <c r="A3508" s="12">
        <v>41984</v>
      </c>
      <c r="B3508" s="9">
        <v>1459.45</v>
      </c>
      <c r="C3508" s="9">
        <v>1445.45</v>
      </c>
      <c r="D3508" s="9">
        <v>1454.45</v>
      </c>
      <c r="E3508" s="9">
        <f t="shared" si="163"/>
        <v>1.1350934231044358E-3</v>
      </c>
      <c r="F3508" s="45">
        <f t="shared" si="164"/>
        <v>4.0171902782879118E-2</v>
      </c>
      <c r="G3508" s="9">
        <f t="shared" si="165"/>
        <v>8.118081717137236E-3</v>
      </c>
    </row>
    <row r="3509" spans="1:7" x14ac:dyDescent="0.2">
      <c r="A3509" s="12">
        <v>41985</v>
      </c>
      <c r="B3509" s="9">
        <v>1450.46</v>
      </c>
      <c r="C3509" s="9">
        <v>1425.86</v>
      </c>
      <c r="D3509" s="9">
        <v>1425.86</v>
      </c>
      <c r="E3509" s="9">
        <f t="shared" si="163"/>
        <v>-1.9852681833634051E-2</v>
      </c>
      <c r="F3509" s="45">
        <f t="shared" si="164"/>
        <v>9.1732774168155236E-3</v>
      </c>
      <c r="G3509" s="9">
        <f t="shared" si="165"/>
        <v>8.7731544860846725E-3</v>
      </c>
    </row>
    <row r="3510" spans="1:7" x14ac:dyDescent="0.2">
      <c r="A3510" s="12">
        <v>41988</v>
      </c>
      <c r="B3510" s="9">
        <v>1438.39</v>
      </c>
      <c r="C3510" s="9">
        <v>1408.75</v>
      </c>
      <c r="D3510" s="9">
        <v>1408.75</v>
      </c>
      <c r="E3510" s="9">
        <f t="shared" si="163"/>
        <v>-1.207235408251307E-2</v>
      </c>
      <c r="F3510" s="45">
        <f t="shared" si="164"/>
        <v>6.9093515130037786E-3</v>
      </c>
      <c r="G3510" s="9">
        <f t="shared" si="165"/>
        <v>8.872330257790547E-3</v>
      </c>
    </row>
    <row r="3511" spans="1:7" x14ac:dyDescent="0.2">
      <c r="A3511" s="12">
        <v>41989</v>
      </c>
      <c r="B3511" s="9">
        <v>1414.6</v>
      </c>
      <c r="C3511" s="9">
        <v>1386.61</v>
      </c>
      <c r="D3511" s="9">
        <v>1413.58</v>
      </c>
      <c r="E3511" s="9">
        <f t="shared" si="163"/>
        <v>3.4227072775021385E-3</v>
      </c>
      <c r="F3511" s="45">
        <f t="shared" si="164"/>
        <v>9.7461184824869374E-3</v>
      </c>
      <c r="G3511" s="9">
        <f t="shared" si="165"/>
        <v>8.8913475144406628E-3</v>
      </c>
    </row>
    <row r="3512" spans="1:7" x14ac:dyDescent="0.2">
      <c r="A3512" s="12">
        <v>41990</v>
      </c>
      <c r="B3512" s="9">
        <v>1409.12</v>
      </c>
      <c r="C3512" s="9">
        <v>1397.8</v>
      </c>
      <c r="D3512" s="9">
        <v>1405.35</v>
      </c>
      <c r="E3512" s="9">
        <f t="shared" si="163"/>
        <v>-5.8391115661813745E-3</v>
      </c>
      <c r="F3512" s="45">
        <f t="shared" si="164"/>
        <v>-6.1998325877503386E-3</v>
      </c>
      <c r="G3512" s="9">
        <f t="shared" si="165"/>
        <v>8.7621004814310652E-3</v>
      </c>
    </row>
    <row r="3513" spans="1:7" x14ac:dyDescent="0.2">
      <c r="A3513" s="12">
        <v>41991</v>
      </c>
      <c r="B3513" s="9">
        <v>1441.85</v>
      </c>
      <c r="C3513" s="9">
        <v>1419.99</v>
      </c>
      <c r="D3513" s="9">
        <v>1441.85</v>
      </c>
      <c r="E3513" s="9">
        <f t="shared" si="163"/>
        <v>2.5640629177503246E-2</v>
      </c>
      <c r="F3513" s="45">
        <f t="shared" si="164"/>
        <v>1.8585488503016816E-2</v>
      </c>
      <c r="G3513" s="9">
        <f t="shared" si="165"/>
        <v>9.9532273480604019E-3</v>
      </c>
    </row>
    <row r="3514" spans="1:7" x14ac:dyDescent="0.2">
      <c r="A3514" s="12">
        <v>41992</v>
      </c>
      <c r="B3514" s="9">
        <v>1456.51</v>
      </c>
      <c r="C3514" s="9">
        <v>1435.27</v>
      </c>
      <c r="D3514" s="9">
        <v>1452.36</v>
      </c>
      <c r="E3514" s="9">
        <f t="shared" si="163"/>
        <v>7.2628082957024685E-3</v>
      </c>
      <c r="F3514" s="45">
        <f t="shared" si="164"/>
        <v>2.8976196368939774E-2</v>
      </c>
      <c r="G3514" s="9">
        <f t="shared" si="165"/>
        <v>9.9990113548153025E-3</v>
      </c>
    </row>
    <row r="3515" spans="1:7" x14ac:dyDescent="0.2">
      <c r="A3515" s="12">
        <v>41995</v>
      </c>
      <c r="B3515" s="9">
        <v>1465.33</v>
      </c>
      <c r="C3515" s="9">
        <v>1453.66</v>
      </c>
      <c r="D3515" s="9">
        <v>1461.75</v>
      </c>
      <c r="E3515" s="9">
        <f t="shared" si="163"/>
        <v>6.4445285172671672E-3</v>
      </c>
      <c r="F3515" s="45">
        <f t="shared" si="164"/>
        <v>3.051386737238734E-2</v>
      </c>
      <c r="G3515" s="9">
        <f t="shared" si="165"/>
        <v>1.0023820089511666E-2</v>
      </c>
    </row>
    <row r="3516" spans="1:7" x14ac:dyDescent="0.2">
      <c r="A3516" s="12">
        <v>41996</v>
      </c>
      <c r="B3516" s="9">
        <v>1472</v>
      </c>
      <c r="C3516" s="9">
        <v>1460.18</v>
      </c>
      <c r="D3516" s="9">
        <v>1470.49</v>
      </c>
      <c r="E3516" s="9">
        <f t="shared" si="163"/>
        <v>5.9613305071225739E-3</v>
      </c>
      <c r="F3516" s="45">
        <f t="shared" si="164"/>
        <v>3.1472988873733579E-2</v>
      </c>
      <c r="G3516" s="9">
        <f t="shared" si="165"/>
        <v>1.0038487502292553E-2</v>
      </c>
    </row>
    <row r="3517" spans="1:7" x14ac:dyDescent="0.2">
      <c r="A3517" s="12">
        <v>42002</v>
      </c>
      <c r="B3517" s="9">
        <v>1479.37</v>
      </c>
      <c r="C3517" s="9">
        <v>1470.66</v>
      </c>
      <c r="D3517" s="9">
        <v>1478.93</v>
      </c>
      <c r="E3517" s="9">
        <f t="shared" si="163"/>
        <v>5.7231747512936472E-3</v>
      </c>
      <c r="F3517" s="45">
        <f t="shared" si="164"/>
        <v>4.8537986601284631E-2</v>
      </c>
      <c r="G3517" s="9">
        <f t="shared" si="165"/>
        <v>9.7926266872931655E-3</v>
      </c>
    </row>
    <row r="3518" spans="1:7" x14ac:dyDescent="0.2">
      <c r="A3518" s="12">
        <v>42003</v>
      </c>
      <c r="B3518" s="9">
        <v>1476.33</v>
      </c>
      <c r="C3518" s="9">
        <v>1463.13</v>
      </c>
      <c r="D3518" s="9">
        <v>1464.55</v>
      </c>
      <c r="E3518" s="9">
        <f t="shared" si="163"/>
        <v>-9.7708252840414452E-3</v>
      </c>
      <c r="F3518" s="45">
        <f t="shared" si="164"/>
        <v>2.8949380929907242E-2</v>
      </c>
      <c r="G3518" s="9">
        <f t="shared" si="165"/>
        <v>9.8797013256380125E-3</v>
      </c>
    </row>
    <row r="3519" spans="1:7" x14ac:dyDescent="0.2">
      <c r="A3519" s="12">
        <v>42006</v>
      </c>
      <c r="B3519" s="9">
        <v>1472.61</v>
      </c>
      <c r="C3519" s="9">
        <v>1460.67</v>
      </c>
      <c r="D3519" s="9">
        <v>1463.78</v>
      </c>
      <c r="E3519" s="9">
        <f t="shared" ref="E3519:E3582" si="166">LN(D3519/D3518)</f>
        <v>-5.2589702509377005E-4</v>
      </c>
      <c r="F3519" s="45">
        <f t="shared" si="164"/>
        <v>3.3468661533752581E-2</v>
      </c>
      <c r="G3519" s="9">
        <f t="shared" si="165"/>
        <v>9.8191691111769331E-3</v>
      </c>
    </row>
    <row r="3520" spans="1:7" x14ac:dyDescent="0.2">
      <c r="A3520" s="12">
        <v>42009</v>
      </c>
      <c r="B3520" s="9">
        <v>1467.69</v>
      </c>
      <c r="C3520" s="9">
        <v>1453.53</v>
      </c>
      <c r="D3520" s="9">
        <v>1454.81</v>
      </c>
      <c r="E3520" s="9">
        <f t="shared" si="166"/>
        <v>-6.1468231187659468E-3</v>
      </c>
      <c r="F3520" s="45">
        <f t="shared" si="164"/>
        <v>2.4274775906203899E-2</v>
      </c>
      <c r="G3520" s="9">
        <f t="shared" si="165"/>
        <v>9.8999502648628081E-3</v>
      </c>
    </row>
    <row r="3521" spans="1:7" x14ac:dyDescent="0.2">
      <c r="A3521" s="12">
        <v>42011</v>
      </c>
      <c r="B3521" s="9">
        <v>1441.31</v>
      </c>
      <c r="C3521" s="9">
        <v>1421.34</v>
      </c>
      <c r="D3521" s="9">
        <v>1421.34</v>
      </c>
      <c r="E3521" s="9">
        <f t="shared" si="166"/>
        <v>-2.3275219288204606E-2</v>
      </c>
      <c r="F3521" s="45">
        <f t="shared" si="164"/>
        <v>-7.7373078484247694E-3</v>
      </c>
      <c r="G3521" s="9">
        <f t="shared" si="165"/>
        <v>1.0708216473811897E-2</v>
      </c>
    </row>
    <row r="3522" spans="1:7" x14ac:dyDescent="0.2">
      <c r="A3522" s="12">
        <v>42012</v>
      </c>
      <c r="B3522" s="9">
        <v>1458.17</v>
      </c>
      <c r="C3522" s="9">
        <v>1428.54</v>
      </c>
      <c r="D3522" s="9">
        <v>1456.72</v>
      </c>
      <c r="E3522" s="9">
        <f t="shared" si="166"/>
        <v>2.4587244425497468E-2</v>
      </c>
      <c r="F3522" s="45">
        <f t="shared" si="164"/>
        <v>1.9905466347457348E-2</v>
      </c>
      <c r="G3522" s="9">
        <f t="shared" si="165"/>
        <v>1.1610481846386704E-2</v>
      </c>
    </row>
    <row r="3523" spans="1:7" x14ac:dyDescent="0.2">
      <c r="A3523" s="12">
        <v>42013</v>
      </c>
      <c r="B3523" s="9">
        <v>1460.99</v>
      </c>
      <c r="C3523" s="9">
        <v>1439.15</v>
      </c>
      <c r="D3523" s="9">
        <v>1444.46</v>
      </c>
      <c r="E3523" s="9">
        <f t="shared" si="166"/>
        <v>-8.4517837433519608E-3</v>
      </c>
      <c r="F3523" s="45">
        <f t="shared" si="164"/>
        <v>1.4469408733528399E-2</v>
      </c>
      <c r="G3523" s="9">
        <f t="shared" si="165"/>
        <v>1.1711859904402355E-2</v>
      </c>
    </row>
    <row r="3524" spans="1:7" x14ac:dyDescent="0.2">
      <c r="A3524" s="12">
        <v>42016</v>
      </c>
      <c r="B3524" s="9">
        <v>1460.11</v>
      </c>
      <c r="C3524" s="9">
        <v>1444.55</v>
      </c>
      <c r="D3524" s="9">
        <v>1453.64</v>
      </c>
      <c r="E3524" s="9">
        <f t="shared" si="166"/>
        <v>6.3352063097417656E-3</v>
      </c>
      <c r="F3524" s="45">
        <f t="shared" si="164"/>
        <v>4.2120999689942967E-3</v>
      </c>
      <c r="G3524" s="9">
        <f t="shared" si="165"/>
        <v>1.1370064890460666E-2</v>
      </c>
    </row>
    <row r="3525" spans="1:7" x14ac:dyDescent="0.2">
      <c r="A3525" s="12">
        <v>42017</v>
      </c>
      <c r="B3525" s="9">
        <v>1468.85</v>
      </c>
      <c r="C3525" s="9">
        <v>1449.84</v>
      </c>
      <c r="D3525" s="9">
        <v>1465.66</v>
      </c>
      <c r="E3525" s="9">
        <f t="shared" si="166"/>
        <v>8.2348973565445974E-3</v>
      </c>
      <c r="F3525" s="45">
        <f t="shared" si="164"/>
        <v>6.2075654890337163E-3</v>
      </c>
      <c r="G3525" s="9">
        <f t="shared" si="165"/>
        <v>1.1412731620457825E-2</v>
      </c>
    </row>
    <row r="3526" spans="1:7" x14ac:dyDescent="0.2">
      <c r="A3526" s="12">
        <v>42018</v>
      </c>
      <c r="B3526" s="9">
        <v>1459.68</v>
      </c>
      <c r="C3526" s="9">
        <v>1434.79</v>
      </c>
      <c r="D3526" s="9">
        <v>1434.79</v>
      </c>
      <c r="E3526" s="9">
        <f t="shared" si="166"/>
        <v>-2.1287155925172205E-2</v>
      </c>
      <c r="F3526" s="45">
        <f t="shared" si="164"/>
        <v>-2.2446370789283864E-2</v>
      </c>
      <c r="G3526" s="9">
        <f t="shared" si="165"/>
        <v>1.1977890858383118E-2</v>
      </c>
    </row>
    <row r="3527" spans="1:7" x14ac:dyDescent="0.2">
      <c r="A3527" s="12">
        <v>42019</v>
      </c>
      <c r="B3527" s="9">
        <v>1458</v>
      </c>
      <c r="C3527" s="9">
        <v>1421.84</v>
      </c>
      <c r="D3527" s="9">
        <v>1457.36</v>
      </c>
      <c r="E3527" s="9">
        <f t="shared" si="166"/>
        <v>1.5608082701223389E-2</v>
      </c>
      <c r="F3527" s="45">
        <f t="shared" si="164"/>
        <v>-3.0872985354147371E-4</v>
      </c>
      <c r="G3527" s="9">
        <f t="shared" si="165"/>
        <v>1.2287356555912014E-2</v>
      </c>
    </row>
    <row r="3528" spans="1:7" x14ac:dyDescent="0.2">
      <c r="A3528" s="12">
        <v>42020</v>
      </c>
      <c r="B3528" s="9">
        <v>1470.47</v>
      </c>
      <c r="C3528" s="9">
        <v>1447.41</v>
      </c>
      <c r="D3528" s="9">
        <v>1468.9</v>
      </c>
      <c r="E3528" s="9">
        <f t="shared" si="166"/>
        <v>7.8872416147958008E-3</v>
      </c>
      <c r="F3528" s="45">
        <f t="shared" si="164"/>
        <v>2.0035033926227891E-3</v>
      </c>
      <c r="G3528" s="9">
        <f t="shared" si="165"/>
        <v>1.2330774566781949E-2</v>
      </c>
    </row>
    <row r="3529" spans="1:7" x14ac:dyDescent="0.2">
      <c r="A3529" s="12">
        <v>42023</v>
      </c>
      <c r="B3529" s="9">
        <v>1479.81</v>
      </c>
      <c r="C3529" s="9">
        <v>1466.78</v>
      </c>
      <c r="D3529" s="9">
        <v>1476.31</v>
      </c>
      <c r="E3529" s="9">
        <f t="shared" si="166"/>
        <v>5.0319098707159093E-3</v>
      </c>
      <c r="F3529" s="45">
        <f t="shared" si="164"/>
        <v>1.0191908214953724E-2</v>
      </c>
      <c r="G3529" s="9">
        <f t="shared" si="165"/>
        <v>1.2347581082037576E-2</v>
      </c>
    </row>
    <row r="3530" spans="1:7" x14ac:dyDescent="0.2">
      <c r="A3530" s="12">
        <v>42024</v>
      </c>
      <c r="B3530" s="9">
        <v>1498.27</v>
      </c>
      <c r="C3530" s="9">
        <v>1480.62</v>
      </c>
      <c r="D3530" s="9">
        <v>1491.59</v>
      </c>
      <c r="E3530" s="9">
        <f t="shared" si="166"/>
        <v>1.0296933863863289E-2</v>
      </c>
      <c r="F3530" s="45">
        <f t="shared" si="164"/>
        <v>2.8258419216183713E-2</v>
      </c>
      <c r="G3530" s="9">
        <f t="shared" si="165"/>
        <v>1.2378965856663397E-2</v>
      </c>
    </row>
    <row r="3531" spans="1:7" x14ac:dyDescent="0.2">
      <c r="A3531" s="12">
        <v>42025</v>
      </c>
      <c r="B3531" s="9">
        <v>1501.22</v>
      </c>
      <c r="C3531" s="9">
        <v>1483.26</v>
      </c>
      <c r="D3531" s="9">
        <v>1501.22</v>
      </c>
      <c r="E3531" s="9">
        <f t="shared" si="166"/>
        <v>6.4354457753646021E-3</v>
      </c>
      <c r="F3531" s="45">
        <f t="shared" si="164"/>
        <v>3.4666279735865745E-2</v>
      </c>
      <c r="G3531" s="9">
        <f t="shared" si="165"/>
        <v>1.2417866512542546E-2</v>
      </c>
    </row>
    <row r="3532" spans="1:7" x14ac:dyDescent="0.2">
      <c r="A3532" s="12">
        <v>42026</v>
      </c>
      <c r="B3532" s="9">
        <v>1526.46</v>
      </c>
      <c r="C3532" s="9">
        <v>1501.48</v>
      </c>
      <c r="D3532" s="9">
        <v>1523.8</v>
      </c>
      <c r="E3532" s="9">
        <f t="shared" si="166"/>
        <v>1.4929104191596359E-2</v>
      </c>
      <c r="F3532" s="45">
        <f t="shared" si="164"/>
        <v>3.9461193569200782E-2</v>
      </c>
      <c r="G3532" s="9">
        <f t="shared" si="165"/>
        <v>1.2567373415649922E-2</v>
      </c>
    </row>
    <row r="3533" spans="1:7" x14ac:dyDescent="0.2">
      <c r="A3533" s="12">
        <v>42027</v>
      </c>
      <c r="B3533" s="9">
        <v>1540.91</v>
      </c>
      <c r="C3533" s="9">
        <v>1530.36</v>
      </c>
      <c r="D3533" s="9">
        <v>1536.39</v>
      </c>
      <c r="E3533" s="9">
        <f t="shared" si="166"/>
        <v>8.2282936899717805E-3</v>
      </c>
      <c r="F3533" s="45">
        <f t="shared" si="164"/>
        <v>5.9376531902537361E-2</v>
      </c>
      <c r="G3533" s="9">
        <f t="shared" si="165"/>
        <v>1.2381482663718189E-2</v>
      </c>
    </row>
    <row r="3534" spans="1:7" x14ac:dyDescent="0.2">
      <c r="A3534" s="12">
        <v>42030</v>
      </c>
      <c r="B3534" s="9">
        <v>1554.7</v>
      </c>
      <c r="C3534" s="9">
        <v>1527.36</v>
      </c>
      <c r="D3534" s="9">
        <v>1554.7</v>
      </c>
      <c r="E3534" s="9">
        <f t="shared" si="166"/>
        <v>1.184709222681421E-2</v>
      </c>
      <c r="F3534" s="45">
        <f t="shared" si="164"/>
        <v>5.2828021698799847E-2</v>
      </c>
      <c r="G3534" s="9">
        <f t="shared" si="165"/>
        <v>1.2137403152343761E-2</v>
      </c>
    </row>
    <row r="3535" spans="1:7" x14ac:dyDescent="0.2">
      <c r="A3535" s="12">
        <v>42031</v>
      </c>
      <c r="B3535" s="9">
        <v>1554.66</v>
      </c>
      <c r="C3535" s="9">
        <v>1525.44</v>
      </c>
      <c r="D3535" s="9">
        <v>1533.37</v>
      </c>
      <c r="E3535" s="9">
        <f t="shared" si="166"/>
        <v>-1.3814673389052498E-2</v>
      </c>
      <c r="F3535" s="45">
        <f t="shared" si="164"/>
        <v>4.3648744602603644E-2</v>
      </c>
      <c r="G3535" s="9">
        <f t="shared" si="165"/>
        <v>1.2416698949058677E-2</v>
      </c>
    </row>
    <row r="3536" spans="1:7" x14ac:dyDescent="0.2">
      <c r="A3536" s="12">
        <v>42032</v>
      </c>
      <c r="B3536" s="9">
        <v>1562.54</v>
      </c>
      <c r="C3536" s="9">
        <v>1539.15</v>
      </c>
      <c r="D3536" s="9">
        <v>1562.54</v>
      </c>
      <c r="E3536" s="9">
        <f t="shared" si="166"/>
        <v>1.8844774716239562E-2</v>
      </c>
      <c r="F3536" s="45">
        <f t="shared" si="164"/>
        <v>7.3205510300706517E-2</v>
      </c>
      <c r="G3536" s="9">
        <f t="shared" si="165"/>
        <v>1.2589416682594865E-2</v>
      </c>
    </row>
    <row r="3537" spans="1:7" x14ac:dyDescent="0.2">
      <c r="A3537" s="12">
        <v>42033</v>
      </c>
      <c r="B3537" s="9">
        <v>1570.84</v>
      </c>
      <c r="C3537" s="9">
        <v>1550.11</v>
      </c>
      <c r="D3537" s="9">
        <v>1570.39</v>
      </c>
      <c r="E3537" s="9">
        <f t="shared" si="166"/>
        <v>5.0112938547137043E-3</v>
      </c>
      <c r="F3537" s="45">
        <f t="shared" si="164"/>
        <v>7.7831267290567011E-2</v>
      </c>
      <c r="G3537" s="9">
        <f t="shared" si="165"/>
        <v>1.2591711476890529E-2</v>
      </c>
    </row>
    <row r="3538" spans="1:7" x14ac:dyDescent="0.2">
      <c r="A3538" s="12">
        <v>42034</v>
      </c>
      <c r="B3538" s="9">
        <v>1582.1</v>
      </c>
      <c r="C3538" s="9">
        <v>1572.55</v>
      </c>
      <c r="D3538" s="9">
        <v>1573.62</v>
      </c>
      <c r="E3538" s="9">
        <f t="shared" si="166"/>
        <v>2.0547015667044095E-3</v>
      </c>
      <c r="F3538" s="45">
        <f t="shared" si="164"/>
        <v>7.8750875434166867E-2</v>
      </c>
      <c r="G3538" s="9">
        <f t="shared" si="165"/>
        <v>1.2589155560311246E-2</v>
      </c>
    </row>
    <row r="3539" spans="1:7" x14ac:dyDescent="0.2">
      <c r="A3539" s="12">
        <v>42037</v>
      </c>
      <c r="B3539" s="9">
        <v>1579.02</v>
      </c>
      <c r="C3539" s="9">
        <v>1567.63</v>
      </c>
      <c r="D3539" s="9">
        <v>1575.95</v>
      </c>
      <c r="E3539" s="9">
        <f t="shared" si="166"/>
        <v>1.4795673219227137E-3</v>
      </c>
      <c r="F3539" s="45">
        <f t="shared" si="164"/>
        <v>0.10008312458972382</v>
      </c>
      <c r="G3539" s="9">
        <f t="shared" si="165"/>
        <v>1.1856925890874774E-2</v>
      </c>
    </row>
    <row r="3540" spans="1:7" x14ac:dyDescent="0.2">
      <c r="A3540" s="12">
        <v>42038</v>
      </c>
      <c r="B3540" s="9">
        <v>1594.63</v>
      </c>
      <c r="C3540" s="9">
        <v>1581.16</v>
      </c>
      <c r="D3540" s="9">
        <v>1593.42</v>
      </c>
      <c r="E3540" s="9">
        <f t="shared" si="166"/>
        <v>1.1024384617346124E-2</v>
      </c>
      <c r="F3540" s="45">
        <f t="shared" si="164"/>
        <v>0.12317986328958309</v>
      </c>
      <c r="G3540" s="9">
        <f t="shared" si="165"/>
        <v>1.1568269845335117E-2</v>
      </c>
    </row>
    <row r="3541" spans="1:7" x14ac:dyDescent="0.2">
      <c r="A3541" s="12">
        <v>42039</v>
      </c>
      <c r="B3541" s="9">
        <v>1596.27</v>
      </c>
      <c r="C3541" s="9">
        <v>1574</v>
      </c>
      <c r="D3541" s="9">
        <v>1579.31</v>
      </c>
      <c r="E3541" s="9">
        <f t="shared" si="166"/>
        <v>-8.8946068684020371E-3</v>
      </c>
      <c r="F3541" s="45">
        <f t="shared" si="164"/>
        <v>0.11086254914367875</v>
      </c>
      <c r="G3541" s="9">
        <f t="shared" si="165"/>
        <v>1.1809424523001617E-2</v>
      </c>
    </row>
    <row r="3542" spans="1:7" x14ac:dyDescent="0.2">
      <c r="A3542" s="12">
        <v>42040</v>
      </c>
      <c r="B3542" s="9">
        <v>1588.32</v>
      </c>
      <c r="C3542" s="9">
        <v>1572.72</v>
      </c>
      <c r="D3542" s="9">
        <v>1586.13</v>
      </c>
      <c r="E3542" s="9">
        <f t="shared" si="166"/>
        <v>4.309044273612608E-3</v>
      </c>
      <c r="F3542" s="45">
        <f t="shared" si="164"/>
        <v>0.12101070498347272</v>
      </c>
      <c r="G3542" s="9">
        <f t="shared" si="165"/>
        <v>1.1671434567107539E-2</v>
      </c>
    </row>
    <row r="3543" spans="1:7" x14ac:dyDescent="0.2">
      <c r="A3543" s="12">
        <v>42041</v>
      </c>
      <c r="B3543" s="9">
        <v>1601.12</v>
      </c>
      <c r="C3543" s="9">
        <v>1580.99</v>
      </c>
      <c r="D3543" s="9">
        <v>1599.55</v>
      </c>
      <c r="E3543" s="9">
        <f t="shared" si="166"/>
        <v>8.4252526208943492E-3</v>
      </c>
      <c r="F3543" s="45">
        <f t="shared" si="164"/>
        <v>0.10379532842686381</v>
      </c>
      <c r="G3543" s="9">
        <f t="shared" si="165"/>
        <v>1.0974886999853089E-2</v>
      </c>
    </row>
    <row r="3544" spans="1:7" x14ac:dyDescent="0.2">
      <c r="A3544" s="12">
        <v>42044</v>
      </c>
      <c r="B3544" s="9">
        <v>1593.18</v>
      </c>
      <c r="C3544" s="9">
        <v>1582.56</v>
      </c>
      <c r="D3544" s="9">
        <v>1591.4</v>
      </c>
      <c r="E3544" s="9">
        <f t="shared" si="166"/>
        <v>-5.1082077262395069E-3</v>
      </c>
      <c r="F3544" s="45">
        <f t="shared" si="164"/>
        <v>9.1424312404921854E-2</v>
      </c>
      <c r="G3544" s="9">
        <f t="shared" si="165"/>
        <v>1.1059157188344226E-2</v>
      </c>
    </row>
    <row r="3545" spans="1:7" x14ac:dyDescent="0.2">
      <c r="A3545" s="12">
        <v>42045</v>
      </c>
      <c r="B3545" s="9">
        <v>1605.94</v>
      </c>
      <c r="C3545" s="9">
        <v>1583.04</v>
      </c>
      <c r="D3545" s="9">
        <v>1602.74</v>
      </c>
      <c r="E3545" s="9">
        <f t="shared" si="166"/>
        <v>7.1005326282239179E-3</v>
      </c>
      <c r="F3545" s="45">
        <f t="shared" si="164"/>
        <v>9.2080316515878419E-2</v>
      </c>
      <c r="G3545" s="9">
        <f t="shared" si="165"/>
        <v>1.1066751586863273E-2</v>
      </c>
    </row>
    <row r="3546" spans="1:7" x14ac:dyDescent="0.2">
      <c r="A3546" s="12">
        <v>42046</v>
      </c>
      <c r="B3546" s="9">
        <v>1604.97</v>
      </c>
      <c r="C3546" s="9">
        <v>1589.36</v>
      </c>
      <c r="D3546" s="9">
        <v>1593.03</v>
      </c>
      <c r="E3546" s="9">
        <f t="shared" si="166"/>
        <v>-6.0768014472233709E-3</v>
      </c>
      <c r="F3546" s="45">
        <f t="shared" si="164"/>
        <v>8.0042184561532684E-2</v>
      </c>
      <c r="G3546" s="9">
        <f t="shared" si="165"/>
        <v>1.1175981887946346E-2</v>
      </c>
    </row>
    <row r="3547" spans="1:7" x14ac:dyDescent="0.2">
      <c r="A3547" s="12">
        <v>42047</v>
      </c>
      <c r="B3547" s="9">
        <v>1631.27</v>
      </c>
      <c r="C3547" s="9">
        <v>1594.3</v>
      </c>
      <c r="D3547" s="9">
        <v>1624.35</v>
      </c>
      <c r="E3547" s="9">
        <f t="shared" si="166"/>
        <v>1.9469872618063152E-2</v>
      </c>
      <c r="F3547" s="45">
        <f t="shared" si="164"/>
        <v>9.3788882428301981E-2</v>
      </c>
      <c r="G3547" s="9">
        <f t="shared" si="165"/>
        <v>1.1580069584045819E-2</v>
      </c>
    </row>
    <row r="3548" spans="1:7" x14ac:dyDescent="0.2">
      <c r="A3548" s="12">
        <v>42048</v>
      </c>
      <c r="B3548" s="9">
        <v>1643.85</v>
      </c>
      <c r="C3548" s="9">
        <v>1628.48</v>
      </c>
      <c r="D3548" s="9">
        <v>1642.04</v>
      </c>
      <c r="E3548" s="9">
        <f t="shared" si="166"/>
        <v>1.0831635509094184E-2</v>
      </c>
      <c r="F3548" s="45">
        <f t="shared" si="164"/>
        <v>0.11439134322143758</v>
      </c>
      <c r="G3548" s="9">
        <f t="shared" si="165"/>
        <v>1.1398321320362066E-2</v>
      </c>
    </row>
    <row r="3549" spans="1:7" x14ac:dyDescent="0.2">
      <c r="A3549" s="12">
        <v>42051</v>
      </c>
      <c r="B3549" s="9">
        <v>1644.29</v>
      </c>
      <c r="C3549" s="9">
        <v>1637.17</v>
      </c>
      <c r="D3549" s="9">
        <v>1644.29</v>
      </c>
      <c r="E3549" s="9">
        <f t="shared" si="166"/>
        <v>1.369308834817936E-3</v>
      </c>
      <c r="F3549" s="45">
        <f t="shared" si="164"/>
        <v>0.1162865490813494</v>
      </c>
      <c r="G3549" s="9">
        <f t="shared" si="165"/>
        <v>1.1378679156888756E-2</v>
      </c>
    </row>
    <row r="3550" spans="1:7" x14ac:dyDescent="0.2">
      <c r="A3550" s="12">
        <v>42052</v>
      </c>
      <c r="B3550" s="9">
        <v>1639.08</v>
      </c>
      <c r="C3550" s="9">
        <v>1625.19</v>
      </c>
      <c r="D3550" s="9">
        <v>1630.99</v>
      </c>
      <c r="E3550" s="9">
        <f t="shared" si="166"/>
        <v>-8.1214876920402898E-3</v>
      </c>
      <c r="F3550" s="45">
        <f t="shared" si="164"/>
        <v>0.11431188450807507</v>
      </c>
      <c r="G3550" s="9">
        <f t="shared" si="165"/>
        <v>1.1444181557989088E-2</v>
      </c>
    </row>
    <row r="3551" spans="1:7" x14ac:dyDescent="0.2">
      <c r="A3551" s="12">
        <v>42053</v>
      </c>
      <c r="B3551" s="9">
        <v>1652.38</v>
      </c>
      <c r="C3551" s="9">
        <v>1634.67</v>
      </c>
      <c r="D3551" s="9">
        <v>1652.15</v>
      </c>
      <c r="E3551" s="9">
        <f t="shared" si="166"/>
        <v>1.2890277596047791E-2</v>
      </c>
      <c r="F3551" s="45">
        <f t="shared" si="164"/>
        <v>0.15047738139232741</v>
      </c>
      <c r="G3551" s="9">
        <f t="shared" si="165"/>
        <v>1.0344622178275238E-2</v>
      </c>
    </row>
    <row r="3552" spans="1:7" x14ac:dyDescent="0.2">
      <c r="A3552" s="12">
        <v>42054</v>
      </c>
      <c r="B3552" s="9">
        <v>1662.24</v>
      </c>
      <c r="C3552" s="9">
        <v>1642.6</v>
      </c>
      <c r="D3552" s="9">
        <v>1662.24</v>
      </c>
      <c r="E3552" s="9">
        <f t="shared" si="166"/>
        <v>6.0886203318036777E-3</v>
      </c>
      <c r="F3552" s="45">
        <f t="shared" si="164"/>
        <v>0.13197875729863362</v>
      </c>
      <c r="G3552" s="9">
        <f t="shared" si="165"/>
        <v>9.6669220443221186E-3</v>
      </c>
    </row>
    <row r="3553" spans="1:7" x14ac:dyDescent="0.2">
      <c r="A3553" s="12">
        <v>42055</v>
      </c>
      <c r="B3553" s="9">
        <v>1665.07</v>
      </c>
      <c r="C3553" s="9">
        <v>1652.85</v>
      </c>
      <c r="D3553" s="9">
        <v>1664.33</v>
      </c>
      <c r="E3553" s="9">
        <f t="shared" si="166"/>
        <v>1.2565497043469241E-3</v>
      </c>
      <c r="F3553" s="45">
        <f t="shared" ref="F3553:F3616" si="167">LN(D3553/D3523)</f>
        <v>0.14168709074633246</v>
      </c>
      <c r="G3553" s="9">
        <f t="shared" ref="G3553:G3616" si="168">STDEV(E3524:E3553)</f>
        <v>9.3801276203212096E-3</v>
      </c>
    </row>
    <row r="3554" spans="1:7" x14ac:dyDescent="0.2">
      <c r="A3554" s="12">
        <v>42058</v>
      </c>
      <c r="B3554" s="9">
        <v>1679.49</v>
      </c>
      <c r="C3554" s="9">
        <v>1667.68</v>
      </c>
      <c r="D3554" s="9">
        <v>1679.48</v>
      </c>
      <c r="E3554" s="9">
        <f t="shared" si="166"/>
        <v>9.0615816488310609E-3</v>
      </c>
      <c r="F3554" s="45">
        <f t="shared" si="167"/>
        <v>0.14441346608542185</v>
      </c>
      <c r="G3554" s="9">
        <f t="shared" si="168"/>
        <v>9.4094484257008192E-3</v>
      </c>
    </row>
    <row r="3555" spans="1:7" x14ac:dyDescent="0.2">
      <c r="A3555" s="12">
        <v>42059</v>
      </c>
      <c r="B3555" s="9">
        <v>1685.65</v>
      </c>
      <c r="C3555" s="9">
        <v>1666.93</v>
      </c>
      <c r="D3555" s="9">
        <v>1683.92</v>
      </c>
      <c r="E3555" s="9">
        <f t="shared" si="166"/>
        <v>2.6401870601875069E-3</v>
      </c>
      <c r="F3555" s="45">
        <f t="shared" si="167"/>
        <v>0.13881875578906466</v>
      </c>
      <c r="G3555" s="9">
        <f t="shared" si="168"/>
        <v>9.3947362336719402E-3</v>
      </c>
    </row>
    <row r="3556" spans="1:7" x14ac:dyDescent="0.2">
      <c r="A3556" s="12">
        <v>42060</v>
      </c>
      <c r="B3556" s="9">
        <v>1685.67</v>
      </c>
      <c r="C3556" s="9">
        <v>1675.38</v>
      </c>
      <c r="D3556" s="9">
        <v>1678.73</v>
      </c>
      <c r="E3556" s="9">
        <f t="shared" si="166"/>
        <v>-3.086853595317407E-3</v>
      </c>
      <c r="F3556" s="45">
        <f t="shared" si="167"/>
        <v>0.15701905811891942</v>
      </c>
      <c r="G3556" s="9">
        <f t="shared" si="168"/>
        <v>8.1716050296409808E-3</v>
      </c>
    </row>
    <row r="3557" spans="1:7" x14ac:dyDescent="0.2">
      <c r="A3557" s="12">
        <v>42061</v>
      </c>
      <c r="B3557" s="9">
        <v>1686.05</v>
      </c>
      <c r="C3557" s="9">
        <v>1678.2</v>
      </c>
      <c r="D3557" s="9">
        <v>1684.83</v>
      </c>
      <c r="E3557" s="9">
        <f t="shared" si="166"/>
        <v>3.6271133487180912E-3</v>
      </c>
      <c r="F3557" s="45">
        <f t="shared" si="167"/>
        <v>0.14503808876641422</v>
      </c>
      <c r="G3557" s="9">
        <f t="shared" si="168"/>
        <v>7.9365016331294468E-3</v>
      </c>
    </row>
    <row r="3558" spans="1:7" x14ac:dyDescent="0.2">
      <c r="A3558" s="12">
        <v>42062</v>
      </c>
      <c r="B3558" s="9">
        <v>1695.37</v>
      </c>
      <c r="C3558" s="9">
        <v>1679.21</v>
      </c>
      <c r="D3558" s="9">
        <v>1691.03</v>
      </c>
      <c r="E3558" s="9">
        <f t="shared" si="166"/>
        <v>3.6731422338910948E-3</v>
      </c>
      <c r="F3558" s="45">
        <f t="shared" si="167"/>
        <v>0.14082398938550933</v>
      </c>
      <c r="G3558" s="9">
        <f t="shared" si="168"/>
        <v>7.9178805088194783E-3</v>
      </c>
    </row>
    <row r="3559" spans="1:7" x14ac:dyDescent="0.2">
      <c r="A3559" s="12">
        <v>42065</v>
      </c>
      <c r="B3559" s="9">
        <v>1701.07</v>
      </c>
      <c r="C3559" s="9">
        <v>1675.98</v>
      </c>
      <c r="D3559" s="9">
        <v>1686.64</v>
      </c>
      <c r="E3559" s="9">
        <f t="shared" si="166"/>
        <v>-2.5994265111405563E-3</v>
      </c>
      <c r="F3559" s="45">
        <f t="shared" si="167"/>
        <v>0.13319265300365296</v>
      </c>
      <c r="G3559" s="9">
        <f t="shared" si="168"/>
        <v>8.0284683008097942E-3</v>
      </c>
    </row>
    <row r="3560" spans="1:7" x14ac:dyDescent="0.2">
      <c r="A3560" s="12">
        <v>42066</v>
      </c>
      <c r="B3560" s="9">
        <v>1694.29</v>
      </c>
      <c r="C3560" s="9">
        <v>1660.29</v>
      </c>
      <c r="D3560" s="9">
        <v>1661.87</v>
      </c>
      <c r="E3560" s="9">
        <f t="shared" si="166"/>
        <v>-1.4794909868848165E-2</v>
      </c>
      <c r="F3560" s="45">
        <f t="shared" si="167"/>
        <v>0.10810080927094157</v>
      </c>
      <c r="G3560" s="9">
        <f t="shared" si="168"/>
        <v>8.6779782733261979E-3</v>
      </c>
    </row>
    <row r="3561" spans="1:7" x14ac:dyDescent="0.2">
      <c r="A3561" s="12">
        <v>42067</v>
      </c>
      <c r="B3561" s="9">
        <v>1667.19</v>
      </c>
      <c r="C3561" s="9">
        <v>1643.62</v>
      </c>
      <c r="D3561" s="9">
        <v>1664.5</v>
      </c>
      <c r="E3561" s="9">
        <f t="shared" si="166"/>
        <v>1.5813036721898351E-3</v>
      </c>
      <c r="F3561" s="45">
        <f t="shared" si="167"/>
        <v>0.1032466671677668</v>
      </c>
      <c r="G3561" s="9">
        <f t="shared" si="168"/>
        <v>8.6686006551311059E-3</v>
      </c>
    </row>
    <row r="3562" spans="1:7" x14ac:dyDescent="0.2">
      <c r="A3562" s="12">
        <v>42068</v>
      </c>
      <c r="B3562" s="9">
        <v>1678.54</v>
      </c>
      <c r="C3562" s="9">
        <v>1669.11</v>
      </c>
      <c r="D3562" s="9">
        <v>1669.56</v>
      </c>
      <c r="E3562" s="9">
        <f t="shared" si="166"/>
        <v>3.0353406267061294E-3</v>
      </c>
      <c r="F3562" s="45">
        <f t="shared" si="167"/>
        <v>9.1352903602876359E-2</v>
      </c>
      <c r="G3562" s="9">
        <f t="shared" si="168"/>
        <v>8.3926904413150205E-3</v>
      </c>
    </row>
    <row r="3563" spans="1:7" x14ac:dyDescent="0.2">
      <c r="A3563" s="12">
        <v>42069</v>
      </c>
      <c r="B3563" s="9">
        <v>1675.29</v>
      </c>
      <c r="C3563" s="9">
        <v>1661.65</v>
      </c>
      <c r="D3563" s="9">
        <v>1662.55</v>
      </c>
      <c r="E3563" s="9">
        <f t="shared" si="166"/>
        <v>-4.2075503760560127E-3</v>
      </c>
      <c r="F3563" s="45">
        <f t="shared" si="167"/>
        <v>7.8917059536848827E-2</v>
      </c>
      <c r="G3563" s="9">
        <f t="shared" si="168"/>
        <v>8.4348633779686259E-3</v>
      </c>
    </row>
    <row r="3564" spans="1:7" x14ac:dyDescent="0.2">
      <c r="A3564" s="12">
        <v>42072</v>
      </c>
      <c r="B3564" s="9">
        <v>1666.05</v>
      </c>
      <c r="C3564" s="9">
        <v>1642.46</v>
      </c>
      <c r="D3564" s="9">
        <v>1660.36</v>
      </c>
      <c r="E3564" s="9">
        <f t="shared" si="166"/>
        <v>-1.318121957611785E-3</v>
      </c>
      <c r="F3564" s="45">
        <f t="shared" si="167"/>
        <v>6.5751845352422816E-2</v>
      </c>
      <c r="G3564" s="9">
        <f t="shared" si="168"/>
        <v>8.2798698720253309E-3</v>
      </c>
    </row>
    <row r="3565" spans="1:7" x14ac:dyDescent="0.2">
      <c r="A3565" s="12">
        <v>42073</v>
      </c>
      <c r="B3565" s="9">
        <v>1661.78</v>
      </c>
      <c r="C3565" s="9">
        <v>1640.25</v>
      </c>
      <c r="D3565" s="9">
        <v>1641.71</v>
      </c>
      <c r="E3565" s="9">
        <f t="shared" si="166"/>
        <v>-1.1296064779318771E-2</v>
      </c>
      <c r="F3565" s="45">
        <f t="shared" si="167"/>
        <v>6.8270453962156669E-2</v>
      </c>
      <c r="G3565" s="9">
        <f t="shared" si="168"/>
        <v>8.1232644390455844E-3</v>
      </c>
    </row>
    <row r="3566" spans="1:7" x14ac:dyDescent="0.2">
      <c r="A3566" s="12">
        <v>42074</v>
      </c>
      <c r="B3566" s="9">
        <v>1667.91</v>
      </c>
      <c r="C3566" s="9">
        <v>1634.8</v>
      </c>
      <c r="D3566" s="9">
        <v>1663.31</v>
      </c>
      <c r="E3566" s="9">
        <f t="shared" si="166"/>
        <v>1.307121139414906E-2</v>
      </c>
      <c r="F3566" s="45">
        <f t="shared" si="167"/>
        <v>6.2496890640066187E-2</v>
      </c>
      <c r="G3566" s="9">
        <f t="shared" si="168"/>
        <v>7.778247329266518E-3</v>
      </c>
    </row>
    <row r="3567" spans="1:7" x14ac:dyDescent="0.2">
      <c r="A3567" s="12">
        <v>42075</v>
      </c>
      <c r="B3567" s="9">
        <v>1666.78</v>
      </c>
      <c r="C3567" s="9">
        <v>1653.24</v>
      </c>
      <c r="D3567" s="9">
        <v>1661.69</v>
      </c>
      <c r="E3567" s="9">
        <f t="shared" si="166"/>
        <v>-9.7443616732981176E-4</v>
      </c>
      <c r="F3567" s="45">
        <f t="shared" si="167"/>
        <v>5.6511160618022714E-2</v>
      </c>
      <c r="G3567" s="9">
        <f t="shared" si="168"/>
        <v>7.7773195361719475E-3</v>
      </c>
    </row>
    <row r="3568" spans="1:7" x14ac:dyDescent="0.2">
      <c r="A3568" s="12">
        <v>42076</v>
      </c>
      <c r="B3568" s="9">
        <v>1669.74</v>
      </c>
      <c r="C3568" s="9">
        <v>1660.47</v>
      </c>
      <c r="D3568" s="9">
        <v>1665.13</v>
      </c>
      <c r="E3568" s="9">
        <f t="shared" si="166"/>
        <v>2.0680416890694791E-3</v>
      </c>
      <c r="F3568" s="45">
        <f t="shared" si="167"/>
        <v>5.6524500740387777E-2</v>
      </c>
      <c r="G3568" s="9">
        <f t="shared" si="168"/>
        <v>7.777330031420988E-3</v>
      </c>
    </row>
    <row r="3569" spans="1:7" x14ac:dyDescent="0.2">
      <c r="A3569" s="12">
        <v>42079</v>
      </c>
      <c r="B3569" s="9">
        <v>1690.27</v>
      </c>
      <c r="C3569" s="9">
        <v>1671.06</v>
      </c>
      <c r="D3569" s="9">
        <v>1689.67</v>
      </c>
      <c r="E3569" s="9">
        <f t="shared" si="166"/>
        <v>1.4630045133301302E-2</v>
      </c>
      <c r="F3569" s="45">
        <f t="shared" si="167"/>
        <v>6.9674978551766284E-2</v>
      </c>
      <c r="G3569" s="9">
        <f t="shared" si="168"/>
        <v>8.1169228559757958E-3</v>
      </c>
    </row>
    <row r="3570" spans="1:7" x14ac:dyDescent="0.2">
      <c r="A3570" s="12">
        <v>42080</v>
      </c>
      <c r="B3570" s="9">
        <v>1691.64</v>
      </c>
      <c r="C3570" s="9">
        <v>1666.74</v>
      </c>
      <c r="D3570" s="9">
        <v>1675.88</v>
      </c>
      <c r="E3570" s="9">
        <f t="shared" si="166"/>
        <v>-8.194843144640836E-3</v>
      </c>
      <c r="F3570" s="45">
        <f t="shared" si="167"/>
        <v>5.0455750789779166E-2</v>
      </c>
      <c r="G3570" s="9">
        <f t="shared" si="168"/>
        <v>8.1647427951853195E-3</v>
      </c>
    </row>
    <row r="3571" spans="1:7" x14ac:dyDescent="0.2">
      <c r="A3571" s="12">
        <v>42081</v>
      </c>
      <c r="B3571" s="9">
        <v>1710.17</v>
      </c>
      <c r="C3571" s="9">
        <v>1674.25</v>
      </c>
      <c r="D3571" s="9">
        <v>1703.96</v>
      </c>
      <c r="E3571" s="9">
        <f t="shared" si="166"/>
        <v>1.6616553501986212E-2</v>
      </c>
      <c r="F3571" s="45">
        <f t="shared" si="167"/>
        <v>7.5966911160167377E-2</v>
      </c>
      <c r="G3571" s="9">
        <f t="shared" si="168"/>
        <v>8.3515789296494669E-3</v>
      </c>
    </row>
    <row r="3572" spans="1:7" x14ac:dyDescent="0.2">
      <c r="A3572" s="12">
        <v>42082</v>
      </c>
      <c r="B3572" s="9">
        <v>1719.44</v>
      </c>
      <c r="C3572" s="9">
        <v>1699.31</v>
      </c>
      <c r="D3572" s="9">
        <v>1707.5</v>
      </c>
      <c r="E3572" s="9">
        <f t="shared" si="166"/>
        <v>2.0753585096106183E-3</v>
      </c>
      <c r="F3572" s="45">
        <f t="shared" si="167"/>
        <v>7.3733225396165503E-2</v>
      </c>
      <c r="G3572" s="9">
        <f t="shared" si="168"/>
        <v>8.3451464325659478E-3</v>
      </c>
    </row>
    <row r="3573" spans="1:7" x14ac:dyDescent="0.2">
      <c r="A3573" s="12">
        <v>42083</v>
      </c>
      <c r="B3573" s="9">
        <v>1710.92</v>
      </c>
      <c r="C3573" s="9">
        <v>1696.48</v>
      </c>
      <c r="D3573" s="9">
        <v>1710.87</v>
      </c>
      <c r="E3573" s="9">
        <f t="shared" si="166"/>
        <v>1.9717006010282869E-3</v>
      </c>
      <c r="F3573" s="45">
        <f t="shared" si="167"/>
        <v>6.7279673376299379E-2</v>
      </c>
      <c r="G3573" s="9">
        <f t="shared" si="168"/>
        <v>8.268844290757426E-3</v>
      </c>
    </row>
    <row r="3574" spans="1:7" x14ac:dyDescent="0.2">
      <c r="A3574" s="12">
        <v>42086</v>
      </c>
      <c r="B3574" s="9">
        <v>1708.57</v>
      </c>
      <c r="C3574" s="9">
        <v>1695.37</v>
      </c>
      <c r="D3574" s="9">
        <v>1698.38</v>
      </c>
      <c r="E3574" s="9">
        <f t="shared" si="166"/>
        <v>-7.3271575152399444E-3</v>
      </c>
      <c r="F3574" s="45">
        <f t="shared" si="167"/>
        <v>6.506072358729896E-2</v>
      </c>
      <c r="G3574" s="9">
        <f t="shared" si="168"/>
        <v>8.3464256211830887E-3</v>
      </c>
    </row>
    <row r="3575" spans="1:7" x14ac:dyDescent="0.2">
      <c r="A3575" s="12">
        <v>42087</v>
      </c>
      <c r="B3575" s="9">
        <v>1704.05</v>
      </c>
      <c r="C3575" s="9">
        <v>1691.96</v>
      </c>
      <c r="D3575" s="9">
        <v>1701.29</v>
      </c>
      <c r="E3575" s="9">
        <f t="shared" si="166"/>
        <v>1.7119312819753676E-3</v>
      </c>
      <c r="F3575" s="45">
        <f t="shared" si="167"/>
        <v>5.9672122241050493E-2</v>
      </c>
      <c r="G3575" s="9">
        <f t="shared" si="168"/>
        <v>8.2944507068511142E-3</v>
      </c>
    </row>
    <row r="3576" spans="1:7" x14ac:dyDescent="0.2">
      <c r="A3576" s="12">
        <v>42088</v>
      </c>
      <c r="B3576" s="9">
        <v>1705.56</v>
      </c>
      <c r="C3576" s="9">
        <v>1688.99</v>
      </c>
      <c r="D3576" s="9">
        <v>1694.39</v>
      </c>
      <c r="E3576" s="9">
        <f t="shared" si="166"/>
        <v>-4.0639927771277682E-3</v>
      </c>
      <c r="F3576" s="45">
        <f t="shared" si="167"/>
        <v>6.1684930911146039E-2</v>
      </c>
      <c r="G3576" s="9">
        <f t="shared" si="168"/>
        <v>8.2348831210318652E-3</v>
      </c>
    </row>
    <row r="3577" spans="1:7" x14ac:dyDescent="0.2">
      <c r="A3577" s="12">
        <v>42089</v>
      </c>
      <c r="B3577" s="9">
        <v>1675.94</v>
      </c>
      <c r="C3577" s="9">
        <v>1654.04</v>
      </c>
      <c r="D3577" s="9">
        <v>1675.61</v>
      </c>
      <c r="E3577" s="9">
        <f t="shared" si="166"/>
        <v>-1.1145515969051159E-2</v>
      </c>
      <c r="F3577" s="45">
        <f t="shared" si="167"/>
        <v>3.10695423240318E-2</v>
      </c>
      <c r="G3577" s="9">
        <f t="shared" si="168"/>
        <v>7.892356468878604E-3</v>
      </c>
    </row>
    <row r="3578" spans="1:7" x14ac:dyDescent="0.2">
      <c r="A3578" s="12">
        <v>42090</v>
      </c>
      <c r="B3578" s="9">
        <v>1681.62</v>
      </c>
      <c r="C3578" s="9">
        <v>1662.31</v>
      </c>
      <c r="D3578" s="9">
        <v>1662.56</v>
      </c>
      <c r="E3578" s="9">
        <f t="shared" si="166"/>
        <v>-7.8186949621932445E-3</v>
      </c>
      <c r="F3578" s="45">
        <f t="shared" si="167"/>
        <v>1.2419211852744224E-2</v>
      </c>
      <c r="G3578" s="9">
        <f t="shared" si="168"/>
        <v>7.8284033677100632E-3</v>
      </c>
    </row>
    <row r="3579" spans="1:7" x14ac:dyDescent="0.2">
      <c r="A3579" s="12">
        <v>42093</v>
      </c>
      <c r="B3579" s="9">
        <v>1687.17</v>
      </c>
      <c r="C3579" s="9">
        <v>1669.52</v>
      </c>
      <c r="D3579" s="9">
        <v>1687.17</v>
      </c>
      <c r="E3579" s="9">
        <f t="shared" si="166"/>
        <v>1.4693985963311935E-2</v>
      </c>
      <c r="F3579" s="45">
        <f t="shared" si="167"/>
        <v>2.5743888981238208E-2</v>
      </c>
      <c r="G3579" s="9">
        <f t="shared" si="168"/>
        <v>8.2510624803475759E-3</v>
      </c>
    </row>
    <row r="3580" spans="1:7" x14ac:dyDescent="0.2">
      <c r="A3580" s="12">
        <v>42094</v>
      </c>
      <c r="B3580" s="9">
        <v>1689.22</v>
      </c>
      <c r="C3580" s="9">
        <v>1666.74</v>
      </c>
      <c r="D3580" s="9">
        <v>1667.73</v>
      </c>
      <c r="E3580" s="9">
        <f t="shared" si="166"/>
        <v>-1.158914875499747E-2</v>
      </c>
      <c r="F3580" s="45">
        <f t="shared" si="167"/>
        <v>2.2276227918281124E-2</v>
      </c>
      <c r="G3580" s="9">
        <f t="shared" si="168"/>
        <v>8.4040657629751454E-3</v>
      </c>
    </row>
    <row r="3581" spans="1:7" x14ac:dyDescent="0.2">
      <c r="A3581" s="12">
        <v>42095</v>
      </c>
      <c r="B3581" s="9">
        <v>1677.66</v>
      </c>
      <c r="C3581" s="9">
        <v>1654.99</v>
      </c>
      <c r="D3581" s="9">
        <v>1669.49</v>
      </c>
      <c r="E3581" s="9">
        <f t="shared" si="166"/>
        <v>1.0547702358086816E-3</v>
      </c>
      <c r="F3581" s="45">
        <f t="shared" si="167"/>
        <v>1.0440720558041634E-2</v>
      </c>
      <c r="G3581" s="9">
        <f t="shared" si="168"/>
        <v>8.0859221902452125E-3</v>
      </c>
    </row>
    <row r="3582" spans="1:7" x14ac:dyDescent="0.2">
      <c r="A3582" s="12">
        <v>42096</v>
      </c>
      <c r="B3582" s="9">
        <v>1675.57</v>
      </c>
      <c r="C3582" s="9">
        <v>1668.86</v>
      </c>
      <c r="D3582" s="9">
        <v>1675.52</v>
      </c>
      <c r="E3582" s="9">
        <f t="shared" si="166"/>
        <v>3.6053742929660292E-3</v>
      </c>
      <c r="F3582" s="45">
        <f t="shared" si="167"/>
        <v>7.9574745192041822E-3</v>
      </c>
      <c r="G3582" s="9">
        <f t="shared" si="168"/>
        <v>8.0376963734257664E-3</v>
      </c>
    </row>
    <row r="3583" spans="1:7" x14ac:dyDescent="0.2">
      <c r="A3583" s="12">
        <v>42101</v>
      </c>
      <c r="B3583" s="9">
        <v>1700.63</v>
      </c>
      <c r="C3583" s="9">
        <v>1687.96</v>
      </c>
      <c r="D3583" s="9">
        <v>1697.43</v>
      </c>
      <c r="E3583" s="9">
        <f t="shared" ref="E3583:E3646" si="169">LN(D3583/D3582)</f>
        <v>1.2991777627750363E-2</v>
      </c>
      <c r="F3583" s="45">
        <f t="shared" si="167"/>
        <v>1.9692702442607676E-2</v>
      </c>
      <c r="G3583" s="9">
        <f t="shared" si="168"/>
        <v>8.3664429427075474E-3</v>
      </c>
    </row>
    <row r="3584" spans="1:7" x14ac:dyDescent="0.2">
      <c r="A3584" s="12">
        <v>42102</v>
      </c>
      <c r="B3584" s="9">
        <v>1701.58</v>
      </c>
      <c r="C3584" s="9">
        <v>1686.26</v>
      </c>
      <c r="D3584" s="9">
        <v>1686.77</v>
      </c>
      <c r="E3584" s="9">
        <f t="shared" si="169"/>
        <v>-6.2998849102526861E-3</v>
      </c>
      <c r="F3584" s="45">
        <f t="shared" si="167"/>
        <v>4.3312358835237074E-3</v>
      </c>
      <c r="G3584" s="9">
        <f t="shared" si="168"/>
        <v>8.3041356058257011E-3</v>
      </c>
    </row>
    <row r="3585" spans="1:7" x14ac:dyDescent="0.2">
      <c r="A3585" s="12">
        <v>42103</v>
      </c>
      <c r="B3585" s="9">
        <v>1695.94</v>
      </c>
      <c r="C3585" s="9">
        <v>1687.16</v>
      </c>
      <c r="D3585" s="9">
        <v>1695.94</v>
      </c>
      <c r="E3585" s="9">
        <f t="shared" si="169"/>
        <v>5.4217018086410163E-3</v>
      </c>
      <c r="F3585" s="45">
        <f t="shared" si="167"/>
        <v>7.1127506319772649E-3</v>
      </c>
      <c r="G3585" s="9">
        <f t="shared" si="168"/>
        <v>8.3483729274099524E-3</v>
      </c>
    </row>
    <row r="3586" spans="1:7" x14ac:dyDescent="0.2">
      <c r="A3586" s="12">
        <v>42104</v>
      </c>
      <c r="B3586" s="9">
        <v>1699.98</v>
      </c>
      <c r="C3586" s="9">
        <v>1692.54</v>
      </c>
      <c r="D3586" s="9">
        <v>1699.96</v>
      </c>
      <c r="E3586" s="9">
        <f t="shared" si="169"/>
        <v>2.3675619881575712E-3</v>
      </c>
      <c r="F3586" s="45">
        <f t="shared" si="167"/>
        <v>1.256716621545235E-2</v>
      </c>
      <c r="G3586" s="9">
        <f t="shared" si="168"/>
        <v>8.3328663542637516E-3</v>
      </c>
    </row>
    <row r="3587" spans="1:7" x14ac:dyDescent="0.2">
      <c r="A3587" s="12">
        <v>42107</v>
      </c>
      <c r="B3587" s="9">
        <v>1701.08</v>
      </c>
      <c r="C3587" s="9">
        <v>1688.61</v>
      </c>
      <c r="D3587" s="9">
        <v>1700.36</v>
      </c>
      <c r="E3587" s="9">
        <f t="shared" si="169"/>
        <v>2.3527197548766054E-4</v>
      </c>
      <c r="F3587" s="45">
        <f t="shared" si="167"/>
        <v>9.1753248422219002E-3</v>
      </c>
      <c r="G3587" s="9">
        <f t="shared" si="168"/>
        <v>8.3108172682993635E-3</v>
      </c>
    </row>
    <row r="3588" spans="1:7" x14ac:dyDescent="0.2">
      <c r="A3588" s="12">
        <v>42108</v>
      </c>
      <c r="B3588" s="9">
        <v>1709.01</v>
      </c>
      <c r="C3588" s="9">
        <v>1694.98</v>
      </c>
      <c r="D3588" s="9">
        <v>1701.39</v>
      </c>
      <c r="E3588" s="9">
        <f t="shared" si="169"/>
        <v>6.0557068066539475E-4</v>
      </c>
      <c r="F3588" s="45">
        <f t="shared" si="167"/>
        <v>6.1077532889961877E-3</v>
      </c>
      <c r="G3588" s="9">
        <f t="shared" si="168"/>
        <v>8.2867952699052817E-3</v>
      </c>
    </row>
    <row r="3589" spans="1:7" x14ac:dyDescent="0.2">
      <c r="A3589" s="12">
        <v>42109</v>
      </c>
      <c r="B3589" s="9">
        <v>1714.62</v>
      </c>
      <c r="C3589" s="9">
        <v>1699.48</v>
      </c>
      <c r="D3589" s="9">
        <v>1710.61</v>
      </c>
      <c r="E3589" s="9">
        <f t="shared" si="169"/>
        <v>5.4044680197421011E-3</v>
      </c>
      <c r="F3589" s="45">
        <f t="shared" si="167"/>
        <v>1.4111647819878647E-2</v>
      </c>
      <c r="G3589" s="9">
        <f t="shared" si="168"/>
        <v>8.3222077035550891E-3</v>
      </c>
    </row>
    <row r="3590" spans="1:7" x14ac:dyDescent="0.2">
      <c r="A3590" s="12">
        <v>42110</v>
      </c>
      <c r="B3590" s="9">
        <v>1710.83</v>
      </c>
      <c r="C3590" s="9">
        <v>1690.93</v>
      </c>
      <c r="D3590" s="9">
        <v>1690.93</v>
      </c>
      <c r="E3590" s="9">
        <f t="shared" si="169"/>
        <v>-1.1571358613750044E-2</v>
      </c>
      <c r="F3590" s="45">
        <f t="shared" si="167"/>
        <v>1.7335199074976739E-2</v>
      </c>
      <c r="G3590" s="9">
        <f t="shared" si="168"/>
        <v>8.1370651650058776E-3</v>
      </c>
    </row>
    <row r="3591" spans="1:7" x14ac:dyDescent="0.2">
      <c r="A3591" s="12">
        <v>42111</v>
      </c>
      <c r="B3591" s="9">
        <v>1690.08</v>
      </c>
      <c r="C3591" s="9">
        <v>1655.72</v>
      </c>
      <c r="D3591" s="9">
        <v>1655.72</v>
      </c>
      <c r="E3591" s="9">
        <f t="shared" si="169"/>
        <v>-2.1042713894259643E-2</v>
      </c>
      <c r="F3591" s="45">
        <f t="shared" si="167"/>
        <v>-5.2888184914725508E-3</v>
      </c>
      <c r="G3591" s="9">
        <f t="shared" si="168"/>
        <v>9.0392304494254314E-3</v>
      </c>
    </row>
    <row r="3592" spans="1:7" x14ac:dyDescent="0.2">
      <c r="A3592" s="12">
        <v>42114</v>
      </c>
      <c r="B3592" s="9">
        <v>1678.39</v>
      </c>
      <c r="C3592" s="9">
        <v>1658.88</v>
      </c>
      <c r="D3592" s="9">
        <v>1678.28</v>
      </c>
      <c r="E3592" s="9">
        <f t="shared" si="169"/>
        <v>1.3533499898928259E-2</v>
      </c>
      <c r="F3592" s="45">
        <f t="shared" si="167"/>
        <v>5.2093407807496557E-3</v>
      </c>
      <c r="G3592" s="9">
        <f t="shared" si="168"/>
        <v>9.3651832567321833E-3</v>
      </c>
    </row>
    <row r="3593" spans="1:7" x14ac:dyDescent="0.2">
      <c r="A3593" s="12">
        <v>42115</v>
      </c>
      <c r="B3593" s="9">
        <v>1697.5</v>
      </c>
      <c r="C3593" s="9">
        <v>1679.36</v>
      </c>
      <c r="D3593" s="9">
        <v>1694.73</v>
      </c>
      <c r="E3593" s="9">
        <f t="shared" si="169"/>
        <v>9.7539766682933609E-3</v>
      </c>
      <c r="F3593" s="45">
        <f t="shared" si="167"/>
        <v>1.9170867825099011E-2</v>
      </c>
      <c r="G3593" s="9">
        <f t="shared" si="168"/>
        <v>9.4860759691555267E-3</v>
      </c>
    </row>
    <row r="3594" spans="1:7" x14ac:dyDescent="0.2">
      <c r="A3594" s="12">
        <v>42116</v>
      </c>
      <c r="B3594" s="9">
        <v>1713.48</v>
      </c>
      <c r="C3594" s="9">
        <v>1685.6</v>
      </c>
      <c r="D3594" s="9">
        <v>1706.25</v>
      </c>
      <c r="E3594" s="9">
        <f t="shared" si="169"/>
        <v>6.7745438424412574E-3</v>
      </c>
      <c r="F3594" s="45">
        <f t="shared" si="167"/>
        <v>2.7263533625151864E-2</v>
      </c>
      <c r="G3594" s="9">
        <f t="shared" si="168"/>
        <v>9.5433937140223229E-3</v>
      </c>
    </row>
    <row r="3595" spans="1:7" x14ac:dyDescent="0.2">
      <c r="A3595" s="12">
        <v>42117</v>
      </c>
      <c r="B3595" s="9">
        <v>1716.89</v>
      </c>
      <c r="C3595" s="9">
        <v>1681.26</v>
      </c>
      <c r="D3595" s="9">
        <v>1689.77</v>
      </c>
      <c r="E3595" s="9">
        <f t="shared" si="169"/>
        <v>-9.7055549524274823E-3</v>
      </c>
      <c r="F3595" s="45">
        <f t="shared" si="167"/>
        <v>2.8854043452043166E-2</v>
      </c>
      <c r="G3595" s="9">
        <f t="shared" si="168"/>
        <v>9.4774434134883168E-3</v>
      </c>
    </row>
    <row r="3596" spans="1:7" x14ac:dyDescent="0.2">
      <c r="A3596" s="12">
        <v>42118</v>
      </c>
      <c r="B3596" s="9">
        <v>1700.23</v>
      </c>
      <c r="C3596" s="9">
        <v>1689.89</v>
      </c>
      <c r="D3596" s="9">
        <v>1698.51</v>
      </c>
      <c r="E3596" s="9">
        <f t="shared" si="169"/>
        <v>5.1589711503010989E-3</v>
      </c>
      <c r="F3596" s="45">
        <f t="shared" si="167"/>
        <v>2.0941803208194991E-2</v>
      </c>
      <c r="G3596" s="9">
        <f t="shared" si="168"/>
        <v>9.2358516502116742E-3</v>
      </c>
    </row>
    <row r="3597" spans="1:7" x14ac:dyDescent="0.2">
      <c r="A3597" s="12">
        <v>42121</v>
      </c>
      <c r="B3597" s="9">
        <v>1720.02</v>
      </c>
      <c r="C3597" s="9">
        <v>1697.81</v>
      </c>
      <c r="D3597" s="9">
        <v>1719.93</v>
      </c>
      <c r="E3597" s="9">
        <f t="shared" si="169"/>
        <v>1.2532196173763993E-2</v>
      </c>
      <c r="F3597" s="45">
        <f t="shared" si="167"/>
        <v>3.4448435549288871E-2</v>
      </c>
      <c r="G3597" s="9">
        <f t="shared" si="168"/>
        <v>9.4775529315219813E-3</v>
      </c>
    </row>
    <row r="3598" spans="1:7" x14ac:dyDescent="0.2">
      <c r="A3598" s="12">
        <v>42122</v>
      </c>
      <c r="B3598" s="9">
        <v>1715.9</v>
      </c>
      <c r="C3598" s="9">
        <v>1671.51</v>
      </c>
      <c r="D3598" s="9">
        <v>1679.52</v>
      </c>
      <c r="E3598" s="9">
        <f t="shared" si="169"/>
        <v>-2.3775554017419775E-2</v>
      </c>
      <c r="F3598" s="45">
        <f t="shared" si="167"/>
        <v>8.604839842799689E-3</v>
      </c>
      <c r="G3598" s="9">
        <f t="shared" si="168"/>
        <v>1.0509412581385153E-2</v>
      </c>
    </row>
    <row r="3599" spans="1:7" x14ac:dyDescent="0.2">
      <c r="A3599" s="12">
        <v>42123</v>
      </c>
      <c r="B3599" s="9">
        <v>1691.04</v>
      </c>
      <c r="C3599" s="9">
        <v>1632.68</v>
      </c>
      <c r="D3599" s="9">
        <v>1636.18</v>
      </c>
      <c r="E3599" s="9">
        <f t="shared" si="169"/>
        <v>-2.6143781727163237E-2</v>
      </c>
      <c r="F3599" s="45">
        <f t="shared" si="167"/>
        <v>-3.216898701766488E-2</v>
      </c>
      <c r="G3599" s="9">
        <f t="shared" si="168"/>
        <v>1.120408985034251E-2</v>
      </c>
    </row>
    <row r="3600" spans="1:7" x14ac:dyDescent="0.2">
      <c r="A3600" s="12">
        <v>42124</v>
      </c>
      <c r="B3600" s="9">
        <v>1642.97</v>
      </c>
      <c r="C3600" s="9">
        <v>1615.45</v>
      </c>
      <c r="D3600" s="9">
        <v>1628.04</v>
      </c>
      <c r="E3600" s="9">
        <f t="shared" si="169"/>
        <v>-4.9874192751067983E-3</v>
      </c>
      <c r="F3600" s="45">
        <f t="shared" si="167"/>
        <v>-2.896156314813083E-2</v>
      </c>
      <c r="G3600" s="9">
        <f t="shared" si="168"/>
        <v>1.1148947481245671E-2</v>
      </c>
    </row>
    <row r="3601" spans="1:7" x14ac:dyDescent="0.2">
      <c r="A3601" s="12">
        <v>42128</v>
      </c>
      <c r="B3601" s="9">
        <v>1644.3</v>
      </c>
      <c r="C3601" s="9">
        <v>1630.29</v>
      </c>
      <c r="D3601" s="9">
        <v>1634.1</v>
      </c>
      <c r="E3601" s="9">
        <f t="shared" si="169"/>
        <v>3.7153567725209551E-3</v>
      </c>
      <c r="F3601" s="45">
        <f t="shared" si="167"/>
        <v>-4.1862759877596106E-2</v>
      </c>
      <c r="G3601" s="9">
        <f t="shared" si="168"/>
        <v>1.0686615234210163E-2</v>
      </c>
    </row>
    <row r="3602" spans="1:7" x14ac:dyDescent="0.2">
      <c r="A3602" s="12">
        <v>42129</v>
      </c>
      <c r="B3602" s="9">
        <v>1640.68</v>
      </c>
      <c r="C3602" s="9">
        <v>1595.38</v>
      </c>
      <c r="D3602" s="9">
        <v>1595.48</v>
      </c>
      <c r="E3602" s="9">
        <f t="shared" si="169"/>
        <v>-2.3917562673413013E-2</v>
      </c>
      <c r="F3602" s="45">
        <f t="shared" si="167"/>
        <v>-6.7855681060619719E-2</v>
      </c>
      <c r="G3602" s="9">
        <f t="shared" si="168"/>
        <v>1.1423792284762204E-2</v>
      </c>
    </row>
    <row r="3603" spans="1:7" x14ac:dyDescent="0.2">
      <c r="A3603" s="12">
        <v>42130</v>
      </c>
      <c r="B3603" s="9">
        <v>1602.48</v>
      </c>
      <c r="C3603" s="9">
        <v>1573.9</v>
      </c>
      <c r="D3603" s="9">
        <v>1584.18</v>
      </c>
      <c r="E3603" s="9">
        <f t="shared" si="169"/>
        <v>-7.1077081024403131E-3</v>
      </c>
      <c r="F3603" s="45">
        <f t="shared" si="167"/>
        <v>-7.6935089764088221E-2</v>
      </c>
      <c r="G3603" s="9">
        <f t="shared" si="168"/>
        <v>1.1428034645412227E-2</v>
      </c>
    </row>
    <row r="3604" spans="1:7" x14ac:dyDescent="0.2">
      <c r="A3604" s="12">
        <v>42131</v>
      </c>
      <c r="B3604" s="9">
        <v>1594.42</v>
      </c>
      <c r="C3604" s="9">
        <v>1558.16</v>
      </c>
      <c r="D3604" s="9">
        <v>1587.65</v>
      </c>
      <c r="E3604" s="9">
        <f t="shared" si="169"/>
        <v>2.188012210210376E-3</v>
      </c>
      <c r="F3604" s="45">
        <f t="shared" si="167"/>
        <v>-6.7419920038638032E-2</v>
      </c>
      <c r="G3604" s="9">
        <f t="shared" si="168"/>
        <v>1.1423334971091069E-2</v>
      </c>
    </row>
    <row r="3605" spans="1:7" x14ac:dyDescent="0.2">
      <c r="A3605" s="12">
        <v>42132</v>
      </c>
      <c r="B3605" s="9">
        <v>1619.01</v>
      </c>
      <c r="C3605" s="9">
        <v>1580.13</v>
      </c>
      <c r="D3605" s="9">
        <v>1616.45</v>
      </c>
      <c r="E3605" s="9">
        <f t="shared" si="169"/>
        <v>1.7977451171201492E-2</v>
      </c>
      <c r="F3605" s="45">
        <f t="shared" si="167"/>
        <v>-5.1154400149411909E-2</v>
      </c>
      <c r="G3605" s="9">
        <f t="shared" si="168"/>
        <v>1.1989696747291771E-2</v>
      </c>
    </row>
    <row r="3606" spans="1:7" x14ac:dyDescent="0.2">
      <c r="A3606" s="12">
        <v>42135</v>
      </c>
      <c r="B3606" s="9">
        <v>1625.17</v>
      </c>
      <c r="C3606" s="9">
        <v>1607.64</v>
      </c>
      <c r="D3606" s="9">
        <v>1617.03</v>
      </c>
      <c r="E3606" s="9">
        <f t="shared" si="169"/>
        <v>3.5874661740310982E-4</v>
      </c>
      <c r="F3606" s="45">
        <f t="shared" si="167"/>
        <v>-4.673166075488093E-2</v>
      </c>
      <c r="G3606" s="9">
        <f t="shared" si="168"/>
        <v>1.1986882909126357E-2</v>
      </c>
    </row>
    <row r="3607" spans="1:7" x14ac:dyDescent="0.2">
      <c r="A3607" s="12">
        <v>42136</v>
      </c>
      <c r="B3607" s="9">
        <v>1609.89</v>
      </c>
      <c r="C3607" s="9">
        <v>1589.66</v>
      </c>
      <c r="D3607" s="9">
        <v>1600.1</v>
      </c>
      <c r="E3607" s="9">
        <f t="shared" si="169"/>
        <v>-1.0525006005871208E-2</v>
      </c>
      <c r="F3607" s="45">
        <f t="shared" si="167"/>
        <v>-4.6111150791700903E-2</v>
      </c>
      <c r="G3607" s="9">
        <f t="shared" si="168"/>
        <v>1.1970292321057948E-2</v>
      </c>
    </row>
    <row r="3608" spans="1:7" x14ac:dyDescent="0.2">
      <c r="A3608" s="12">
        <v>42137</v>
      </c>
      <c r="B3608" s="9">
        <v>1622.03</v>
      </c>
      <c r="C3608" s="9">
        <v>1603.95</v>
      </c>
      <c r="D3608" s="9">
        <v>1622.01</v>
      </c>
      <c r="E3608" s="9">
        <f t="shared" si="169"/>
        <v>1.3599993609637892E-2</v>
      </c>
      <c r="F3608" s="45">
        <f t="shared" si="167"/>
        <v>-2.4692462219869878E-2</v>
      </c>
      <c r="G3608" s="9">
        <f t="shared" si="168"/>
        <v>1.2218876816613957E-2</v>
      </c>
    </row>
    <row r="3609" spans="1:7" x14ac:dyDescent="0.2">
      <c r="A3609" s="12">
        <v>42139</v>
      </c>
      <c r="B3609" s="9">
        <v>1637.11</v>
      </c>
      <c r="C3609" s="9">
        <v>1615.02</v>
      </c>
      <c r="D3609" s="9">
        <v>1616.48</v>
      </c>
      <c r="E3609" s="9">
        <f t="shared" si="169"/>
        <v>-3.4151752050445654E-3</v>
      </c>
      <c r="F3609" s="45">
        <f t="shared" si="167"/>
        <v>-4.2801623388226462E-2</v>
      </c>
      <c r="G3609" s="9">
        <f t="shared" si="168"/>
        <v>1.1868148803801697E-2</v>
      </c>
    </row>
    <row r="3610" spans="1:7" x14ac:dyDescent="0.2">
      <c r="A3610" s="12">
        <v>42142</v>
      </c>
      <c r="B3610" s="9">
        <v>1626.79</v>
      </c>
      <c r="C3610" s="9">
        <v>1611.59</v>
      </c>
      <c r="D3610" s="9">
        <v>1622.57</v>
      </c>
      <c r="E3610" s="9">
        <f t="shared" si="169"/>
        <v>3.7603662655581664E-3</v>
      </c>
      <c r="F3610" s="45">
        <f t="shared" si="167"/>
        <v>-2.7452108367670668E-2</v>
      </c>
      <c r="G3610" s="9">
        <f t="shared" si="168"/>
        <v>1.1745157575108614E-2</v>
      </c>
    </row>
    <row r="3611" spans="1:7" x14ac:dyDescent="0.2">
      <c r="A3611" s="12">
        <v>42143</v>
      </c>
      <c r="B3611" s="9">
        <v>1637.05</v>
      </c>
      <c r="C3611" s="9">
        <v>1620.76</v>
      </c>
      <c r="D3611" s="9">
        <v>1633.26</v>
      </c>
      <c r="E3611" s="9">
        <f t="shared" si="169"/>
        <v>6.5667055185008498E-3</v>
      </c>
      <c r="F3611" s="45">
        <f t="shared" si="167"/>
        <v>-2.1940173084978556E-2</v>
      </c>
      <c r="G3611" s="9">
        <f t="shared" si="168"/>
        <v>1.1819908761152645E-2</v>
      </c>
    </row>
    <row r="3612" spans="1:7" x14ac:dyDescent="0.2">
      <c r="A3612" s="12">
        <v>42144</v>
      </c>
      <c r="B3612" s="9">
        <v>1637.7</v>
      </c>
      <c r="C3612" s="9">
        <v>1626.59</v>
      </c>
      <c r="D3612" s="9">
        <v>1637.48</v>
      </c>
      <c r="E3612" s="9">
        <f t="shared" si="169"/>
        <v>2.5804572308795039E-3</v>
      </c>
      <c r="F3612" s="45">
        <f t="shared" si="167"/>
        <v>-2.2965090147065062E-2</v>
      </c>
      <c r="G3612" s="9">
        <f t="shared" si="168"/>
        <v>1.1808417434989229E-2</v>
      </c>
    </row>
    <row r="3613" spans="1:7" x14ac:dyDescent="0.2">
      <c r="A3613" s="12">
        <v>42145</v>
      </c>
      <c r="B3613" s="9">
        <v>1642.19</v>
      </c>
      <c r="C3613" s="9">
        <v>1627.8</v>
      </c>
      <c r="D3613" s="9">
        <v>1642.19</v>
      </c>
      <c r="E3613" s="9">
        <f t="shared" si="169"/>
        <v>2.8722421695086564E-3</v>
      </c>
      <c r="F3613" s="45">
        <f t="shared" si="167"/>
        <v>-3.3084625605306728E-2</v>
      </c>
      <c r="G3613" s="9">
        <f t="shared" si="168"/>
        <v>1.1543440990104138E-2</v>
      </c>
    </row>
    <row r="3614" spans="1:7" x14ac:dyDescent="0.2">
      <c r="A3614" s="12">
        <v>42146</v>
      </c>
      <c r="B3614" s="9">
        <v>1653.71</v>
      </c>
      <c r="C3614" s="9">
        <v>1639.39</v>
      </c>
      <c r="D3614" s="9">
        <v>1648.46</v>
      </c>
      <c r="E3614" s="9">
        <f t="shared" si="169"/>
        <v>3.8108018706658614E-3</v>
      </c>
      <c r="F3614" s="45">
        <f t="shared" si="167"/>
        <v>-2.2973938824388123E-2</v>
      </c>
      <c r="G3614" s="9">
        <f t="shared" si="168"/>
        <v>1.1534067302214011E-2</v>
      </c>
    </row>
    <row r="3615" spans="1:7" x14ac:dyDescent="0.2">
      <c r="A3615" s="12">
        <v>42149</v>
      </c>
      <c r="B3615" s="9">
        <v>1650.69</v>
      </c>
      <c r="C3615" s="9">
        <v>1639.1</v>
      </c>
      <c r="D3615" s="9">
        <v>1650.69</v>
      </c>
      <c r="E3615" s="9">
        <f t="shared" si="169"/>
        <v>1.3518635646253734E-3</v>
      </c>
      <c r="F3615" s="45">
        <f t="shared" si="167"/>
        <v>-2.704377706840376E-2</v>
      </c>
      <c r="G3615" s="9">
        <f t="shared" si="168"/>
        <v>1.1482601178519198E-2</v>
      </c>
    </row>
    <row r="3616" spans="1:7" x14ac:dyDescent="0.2">
      <c r="A3616" s="12">
        <v>42150</v>
      </c>
      <c r="B3616" s="9">
        <v>1656.98</v>
      </c>
      <c r="C3616" s="9">
        <v>1636.16</v>
      </c>
      <c r="D3616" s="9">
        <v>1638.49</v>
      </c>
      <c r="E3616" s="9">
        <f t="shared" si="169"/>
        <v>-7.4182963220342721E-3</v>
      </c>
      <c r="F3616" s="45">
        <f t="shared" si="167"/>
        <v>-3.6829635378595536E-2</v>
      </c>
      <c r="G3616" s="9">
        <f t="shared" si="168"/>
        <v>1.1525450593346148E-2</v>
      </c>
    </row>
    <row r="3617" spans="1:7" x14ac:dyDescent="0.2">
      <c r="A3617" s="12">
        <v>42151</v>
      </c>
      <c r="B3617" s="9">
        <v>1664.16</v>
      </c>
      <c r="C3617" s="9">
        <v>1637.79</v>
      </c>
      <c r="D3617" s="9">
        <v>1664.08</v>
      </c>
      <c r="E3617" s="9">
        <f t="shared" si="169"/>
        <v>1.5497332171446124E-2</v>
      </c>
      <c r="F3617" s="45">
        <f t="shared" ref="F3617:F3680" si="170">LN(D3617/D3587)</f>
        <v>-2.1567575182636859E-2</v>
      </c>
      <c r="G3617" s="9">
        <f t="shared" ref="G3617:G3680" si="171">STDEV(E3588:E3617)</f>
        <v>1.192225535002092E-2</v>
      </c>
    </row>
    <row r="3618" spans="1:7" x14ac:dyDescent="0.2">
      <c r="A3618" s="12">
        <v>42152</v>
      </c>
      <c r="B3618" s="9">
        <v>1668.48</v>
      </c>
      <c r="C3618" s="9">
        <v>1657.99</v>
      </c>
      <c r="D3618" s="9">
        <v>1667.06</v>
      </c>
      <c r="E3618" s="9">
        <f t="shared" si="169"/>
        <v>1.7891777559356872E-3</v>
      </c>
      <c r="F3618" s="45">
        <f t="shared" si="170"/>
        <v>-2.0383968107366344E-2</v>
      </c>
      <c r="G3618" s="9">
        <f t="shared" si="171"/>
        <v>1.1928746191897035E-2</v>
      </c>
    </row>
    <row r="3619" spans="1:7" x14ac:dyDescent="0.2">
      <c r="A3619" s="12">
        <v>42153</v>
      </c>
      <c r="B3619" s="9">
        <v>1669.13</v>
      </c>
      <c r="C3619" s="9">
        <v>1644.99</v>
      </c>
      <c r="D3619" s="9">
        <v>1644.99</v>
      </c>
      <c r="E3619" s="9">
        <f t="shared" si="169"/>
        <v>-1.33272907508691E-2</v>
      </c>
      <c r="F3619" s="45">
        <f t="shared" si="170"/>
        <v>-3.9115726877977382E-2</v>
      </c>
      <c r="G3619" s="9">
        <f t="shared" si="171"/>
        <v>1.208848391663424E-2</v>
      </c>
    </row>
    <row r="3620" spans="1:7" x14ac:dyDescent="0.2">
      <c r="A3620" s="12">
        <v>42156</v>
      </c>
      <c r="B3620" s="9">
        <v>1656.85</v>
      </c>
      <c r="C3620" s="9">
        <v>1644.76</v>
      </c>
      <c r="D3620" s="9">
        <v>1649.59</v>
      </c>
      <c r="E3620" s="9">
        <f t="shared" si="169"/>
        <v>2.7924670150269448E-3</v>
      </c>
      <c r="F3620" s="45">
        <f t="shared" si="170"/>
        <v>-2.475190124920041E-2</v>
      </c>
      <c r="G3620" s="9">
        <f t="shared" si="171"/>
        <v>1.1951472048513764E-2</v>
      </c>
    </row>
    <row r="3621" spans="1:7" x14ac:dyDescent="0.2">
      <c r="A3621" s="12">
        <v>42157</v>
      </c>
      <c r="B3621" s="9">
        <v>1657.59</v>
      </c>
      <c r="C3621" s="9">
        <v>1629.94</v>
      </c>
      <c r="D3621" s="9">
        <v>1638.65</v>
      </c>
      <c r="E3621" s="9">
        <f t="shared" si="169"/>
        <v>-6.6540400732006313E-3</v>
      </c>
      <c r="F3621" s="45">
        <f t="shared" si="170"/>
        <v>-1.0363227428141449E-2</v>
      </c>
      <c r="G3621" s="9">
        <f t="shared" si="171"/>
        <v>1.1387554133790027E-2</v>
      </c>
    </row>
    <row r="3622" spans="1:7" x14ac:dyDescent="0.2">
      <c r="A3622" s="12">
        <v>42158</v>
      </c>
      <c r="B3622" s="9">
        <v>1650.28</v>
      </c>
      <c r="C3622" s="9">
        <v>1632.27</v>
      </c>
      <c r="D3622" s="9">
        <v>1641.69</v>
      </c>
      <c r="E3622" s="9">
        <f t="shared" si="169"/>
        <v>1.8534669395770173E-3</v>
      </c>
      <c r="F3622" s="45">
        <f t="shared" si="170"/>
        <v>-2.2043260387492832E-2</v>
      </c>
      <c r="G3622" s="9">
        <f t="shared" si="171"/>
        <v>1.109252317928403E-2</v>
      </c>
    </row>
    <row r="3623" spans="1:7" x14ac:dyDescent="0.2">
      <c r="A3623" s="12">
        <v>42159</v>
      </c>
      <c r="B3623" s="9">
        <v>1639.26</v>
      </c>
      <c r="C3623" s="9">
        <v>1618.84</v>
      </c>
      <c r="D3623" s="9">
        <v>1625.02</v>
      </c>
      <c r="E3623" s="9">
        <f t="shared" si="169"/>
        <v>-1.0206075654636089E-2</v>
      </c>
      <c r="F3623" s="45">
        <f t="shared" si="170"/>
        <v>-4.2003312710422187E-2</v>
      </c>
      <c r="G3623" s="9">
        <f t="shared" si="171"/>
        <v>1.1040192295546845E-2</v>
      </c>
    </row>
    <row r="3624" spans="1:7" x14ac:dyDescent="0.2">
      <c r="A3624" s="12">
        <v>42160</v>
      </c>
      <c r="B3624" s="9">
        <v>1616.95</v>
      </c>
      <c r="C3624" s="9">
        <v>1601.16</v>
      </c>
      <c r="D3624" s="9">
        <v>1606.45</v>
      </c>
      <c r="E3624" s="9">
        <f t="shared" si="169"/>
        <v>-1.1493347869376719E-2</v>
      </c>
      <c r="F3624" s="45">
        <f t="shared" si="170"/>
        <v>-6.0271204422240071E-2</v>
      </c>
      <c r="G3624" s="9">
        <f t="shared" si="171"/>
        <v>1.1077492152493849E-2</v>
      </c>
    </row>
    <row r="3625" spans="1:7" x14ac:dyDescent="0.2">
      <c r="A3625" s="12">
        <v>42163</v>
      </c>
      <c r="B3625" s="9">
        <v>1608.24</v>
      </c>
      <c r="C3625" s="9">
        <v>1589.57</v>
      </c>
      <c r="D3625" s="9">
        <v>1589.57</v>
      </c>
      <c r="E3625" s="9">
        <f t="shared" si="169"/>
        <v>-1.0563236123884222E-2</v>
      </c>
      <c r="F3625" s="45">
        <f t="shared" si="170"/>
        <v>-6.1128885593696877E-2</v>
      </c>
      <c r="G3625" s="9">
        <f t="shared" si="171"/>
        <v>1.1099126320636612E-2</v>
      </c>
    </row>
    <row r="3626" spans="1:7" x14ac:dyDescent="0.2">
      <c r="A3626" s="12">
        <v>42164</v>
      </c>
      <c r="B3626" s="9">
        <v>1594.46</v>
      </c>
      <c r="C3626" s="9">
        <v>1569.46</v>
      </c>
      <c r="D3626" s="9">
        <v>1587.84</v>
      </c>
      <c r="E3626" s="9">
        <f t="shared" si="169"/>
        <v>-1.088937323764025E-3</v>
      </c>
      <c r="F3626" s="45">
        <f t="shared" si="170"/>
        <v>-6.737679406776198E-2</v>
      </c>
      <c r="G3626" s="9">
        <f t="shared" si="171"/>
        <v>1.1017752588640033E-2</v>
      </c>
    </row>
    <row r="3627" spans="1:7" x14ac:dyDescent="0.2">
      <c r="A3627" s="12">
        <v>42165</v>
      </c>
      <c r="B3627" s="9">
        <v>1613.03</v>
      </c>
      <c r="C3627" s="9">
        <v>1578.85</v>
      </c>
      <c r="D3627" s="9">
        <v>1610.38</v>
      </c>
      <c r="E3627" s="9">
        <f t="shared" si="169"/>
        <v>1.4095573910366236E-2</v>
      </c>
      <c r="F3627" s="45">
        <f t="shared" si="170"/>
        <v>-6.5813416331159752E-2</v>
      </c>
      <c r="G3627" s="9">
        <f t="shared" si="171"/>
        <v>1.1093498314784962E-2</v>
      </c>
    </row>
    <row r="3628" spans="1:7" x14ac:dyDescent="0.2">
      <c r="A3628" s="12">
        <v>42166</v>
      </c>
      <c r="B3628" s="9">
        <v>1618.66</v>
      </c>
      <c r="C3628" s="9">
        <v>1596.48</v>
      </c>
      <c r="D3628" s="9">
        <v>1604.89</v>
      </c>
      <c r="E3628" s="9">
        <f t="shared" si="169"/>
        <v>-3.4149575838634768E-3</v>
      </c>
      <c r="F3628" s="45">
        <f t="shared" si="170"/>
        <v>-4.5452819897603448E-2</v>
      </c>
      <c r="G3628" s="9">
        <f t="shared" si="171"/>
        <v>1.0323734463911823E-2</v>
      </c>
    </row>
    <row r="3629" spans="1:7" x14ac:dyDescent="0.2">
      <c r="A3629" s="12">
        <v>42167</v>
      </c>
      <c r="B3629" s="9">
        <v>1611.4</v>
      </c>
      <c r="C3629" s="9">
        <v>1588.43</v>
      </c>
      <c r="D3629" s="9">
        <v>1597.33</v>
      </c>
      <c r="E3629" s="9">
        <f t="shared" si="169"/>
        <v>-4.721733076238183E-3</v>
      </c>
      <c r="F3629" s="45">
        <f t="shared" si="170"/>
        <v>-2.4030771246678399E-2</v>
      </c>
      <c r="G3629" s="9">
        <f t="shared" si="171"/>
        <v>9.2460966123883142E-3</v>
      </c>
    </row>
    <row r="3630" spans="1:7" x14ac:dyDescent="0.2">
      <c r="A3630" s="12">
        <v>42170</v>
      </c>
      <c r="B3630" s="9">
        <v>1586.38</v>
      </c>
      <c r="C3630" s="9">
        <v>1561.52</v>
      </c>
      <c r="D3630" s="9">
        <v>1566.99</v>
      </c>
      <c r="E3630" s="9">
        <f t="shared" si="169"/>
        <v>-1.9176903598919454E-2</v>
      </c>
      <c r="F3630" s="45">
        <f t="shared" si="170"/>
        <v>-3.8220255570491052E-2</v>
      </c>
      <c r="G3630" s="9">
        <f t="shared" si="171"/>
        <v>9.813176204472444E-3</v>
      </c>
    </row>
    <row r="3631" spans="1:7" x14ac:dyDescent="0.2">
      <c r="A3631" s="12">
        <v>42171</v>
      </c>
      <c r="B3631" s="9">
        <v>1585.8</v>
      </c>
      <c r="C3631" s="9">
        <v>1548.68</v>
      </c>
      <c r="D3631" s="9">
        <v>1582.23</v>
      </c>
      <c r="E3631" s="9">
        <f t="shared" si="169"/>
        <v>9.6786626332757437E-3</v>
      </c>
      <c r="F3631" s="45">
        <f t="shared" si="170"/>
        <v>-3.2256949709736138E-2</v>
      </c>
      <c r="G3631" s="9">
        <f t="shared" si="171"/>
        <v>9.9767596520912109E-3</v>
      </c>
    </row>
    <row r="3632" spans="1:7" x14ac:dyDescent="0.2">
      <c r="A3632" s="12">
        <v>42172</v>
      </c>
      <c r="B3632" s="9">
        <v>1584.27</v>
      </c>
      <c r="C3632" s="9">
        <v>1565.86</v>
      </c>
      <c r="D3632" s="9">
        <v>1567.46</v>
      </c>
      <c r="E3632" s="9">
        <f t="shared" si="169"/>
        <v>-9.3787695078326998E-3</v>
      </c>
      <c r="F3632" s="45">
        <f t="shared" si="170"/>
        <v>-1.7718156544155841E-2</v>
      </c>
      <c r="G3632" s="9">
        <f t="shared" si="171"/>
        <v>9.1475774681375969E-3</v>
      </c>
    </row>
    <row r="3633" spans="1:7" x14ac:dyDescent="0.2">
      <c r="A3633" s="12">
        <v>42173</v>
      </c>
      <c r="B3633" s="9">
        <v>1565.23</v>
      </c>
      <c r="C3633" s="9">
        <v>1538.47</v>
      </c>
      <c r="D3633" s="9">
        <v>1562.43</v>
      </c>
      <c r="E3633" s="9">
        <f t="shared" si="169"/>
        <v>-3.2141732331629458E-3</v>
      </c>
      <c r="F3633" s="45">
        <f t="shared" si="170"/>
        <v>-1.3824621674878438E-2</v>
      </c>
      <c r="G3633" s="9">
        <f t="shared" si="171"/>
        <v>9.0792909323576983E-3</v>
      </c>
    </row>
    <row r="3634" spans="1:7" x14ac:dyDescent="0.2">
      <c r="A3634" s="12">
        <v>42177</v>
      </c>
      <c r="B3634" s="9">
        <v>1606.62</v>
      </c>
      <c r="C3634" s="9">
        <v>1581.63</v>
      </c>
      <c r="D3634" s="9">
        <v>1606.62</v>
      </c>
      <c r="E3634" s="9">
        <f t="shared" si="169"/>
        <v>2.789029170454313E-2</v>
      </c>
      <c r="F3634" s="45">
        <f t="shared" si="170"/>
        <v>1.1877657819454379E-2</v>
      </c>
      <c r="G3634" s="9">
        <f t="shared" si="171"/>
        <v>1.0447440227820286E-2</v>
      </c>
    </row>
    <row r="3635" spans="1:7" x14ac:dyDescent="0.2">
      <c r="A3635" s="12">
        <v>42178</v>
      </c>
      <c r="B3635" s="9">
        <v>1628.24</v>
      </c>
      <c r="C3635" s="9">
        <v>1611.54</v>
      </c>
      <c r="D3635" s="9">
        <v>1620.95</v>
      </c>
      <c r="E3635" s="9">
        <f t="shared" si="169"/>
        <v>8.879803791094253E-3</v>
      </c>
      <c r="F3635" s="45">
        <f t="shared" si="170"/>
        <v>2.7800104393472282E-3</v>
      </c>
      <c r="G3635" s="9">
        <f t="shared" si="171"/>
        <v>1.0043746358951545E-2</v>
      </c>
    </row>
    <row r="3636" spans="1:7" x14ac:dyDescent="0.2">
      <c r="A3636" s="12">
        <v>42179</v>
      </c>
      <c r="B3636" s="9">
        <v>1627.57</v>
      </c>
      <c r="C3636" s="9">
        <v>1606.75</v>
      </c>
      <c r="D3636" s="9">
        <v>1611.5</v>
      </c>
      <c r="E3636" s="9">
        <f t="shared" si="169"/>
        <v>-5.84697484715168E-3</v>
      </c>
      <c r="F3636" s="45">
        <f t="shared" si="170"/>
        <v>-3.4257110252075289E-3</v>
      </c>
      <c r="G3636" s="9">
        <f t="shared" si="171"/>
        <v>1.0101814849852819E-2</v>
      </c>
    </row>
    <row r="3637" spans="1:7" x14ac:dyDescent="0.2">
      <c r="A3637" s="12">
        <v>42180</v>
      </c>
      <c r="B3637" s="9">
        <v>1613.17</v>
      </c>
      <c r="C3637" s="9">
        <v>1594.9</v>
      </c>
      <c r="D3637" s="9">
        <v>1601.12</v>
      </c>
      <c r="E3637" s="9">
        <f t="shared" si="169"/>
        <v>-6.4620379133466556E-3</v>
      </c>
      <c r="F3637" s="45">
        <f t="shared" si="170"/>
        <v>6.3725706731688656E-4</v>
      </c>
      <c r="G3637" s="9">
        <f t="shared" si="171"/>
        <v>9.983975201289623E-3</v>
      </c>
    </row>
    <row r="3638" spans="1:7" x14ac:dyDescent="0.2">
      <c r="A3638" s="12">
        <v>42181</v>
      </c>
      <c r="B3638" s="9">
        <v>1614.3</v>
      </c>
      <c r="C3638" s="9">
        <v>1584.03</v>
      </c>
      <c r="D3638" s="9">
        <v>1608.26</v>
      </c>
      <c r="E3638" s="9">
        <f t="shared" si="169"/>
        <v>4.4494648683858305E-3</v>
      </c>
      <c r="F3638" s="45">
        <f t="shared" si="170"/>
        <v>-8.5132716739350252E-3</v>
      </c>
      <c r="G3638" s="9">
        <f t="shared" si="171"/>
        <v>9.6902878003314926E-3</v>
      </c>
    </row>
    <row r="3639" spans="1:7" x14ac:dyDescent="0.2">
      <c r="A3639" s="12">
        <v>42184</v>
      </c>
      <c r="B3639" s="9">
        <v>1585.78</v>
      </c>
      <c r="C3639" s="9">
        <v>1545.58</v>
      </c>
      <c r="D3639" s="9">
        <v>1559.8</v>
      </c>
      <c r="E3639" s="9">
        <f t="shared" si="169"/>
        <v>-3.0595241314134148E-2</v>
      </c>
      <c r="F3639" s="45">
        <f t="shared" si="170"/>
        <v>-3.5693337783024526E-2</v>
      </c>
      <c r="G3639" s="9">
        <f t="shared" si="171"/>
        <v>1.1153324439840564E-2</v>
      </c>
    </row>
    <row r="3640" spans="1:7" x14ac:dyDescent="0.2">
      <c r="A3640" s="12">
        <v>42185</v>
      </c>
      <c r="B3640" s="9">
        <v>1561.34</v>
      </c>
      <c r="C3640" s="9">
        <v>1537.93</v>
      </c>
      <c r="D3640" s="9">
        <v>1541.66</v>
      </c>
      <c r="E3640" s="9">
        <f t="shared" si="169"/>
        <v>-1.1697849951655908E-2</v>
      </c>
      <c r="F3640" s="45">
        <f t="shared" si="170"/>
        <v>-5.1151554000238651E-2</v>
      </c>
      <c r="G3640" s="9">
        <f t="shared" si="171"/>
        <v>1.1273180212454968E-2</v>
      </c>
    </row>
    <row r="3641" spans="1:7" x14ac:dyDescent="0.2">
      <c r="A3641" s="12">
        <v>42186</v>
      </c>
      <c r="B3641" s="9">
        <v>1582.1</v>
      </c>
      <c r="C3641" s="9">
        <v>1546.42</v>
      </c>
      <c r="D3641" s="9">
        <v>1575.5</v>
      </c>
      <c r="E3641" s="9">
        <f t="shared" si="169"/>
        <v>2.1712924252587695E-2</v>
      </c>
      <c r="F3641" s="45">
        <f t="shared" si="170"/>
        <v>-3.6005335266151725E-2</v>
      </c>
      <c r="G3641" s="9">
        <f t="shared" si="171"/>
        <v>1.1973801679064854E-2</v>
      </c>
    </row>
    <row r="3642" spans="1:7" x14ac:dyDescent="0.2">
      <c r="A3642" s="12">
        <v>42187</v>
      </c>
      <c r="B3642" s="9">
        <v>1577.77</v>
      </c>
      <c r="C3642" s="9">
        <v>1560.63</v>
      </c>
      <c r="D3642" s="9">
        <v>1562.1</v>
      </c>
      <c r="E3642" s="9">
        <f t="shared" si="169"/>
        <v>-8.5416123603662443E-3</v>
      </c>
      <c r="F3642" s="45">
        <f t="shared" si="170"/>
        <v>-4.7127404857397602E-2</v>
      </c>
      <c r="G3642" s="9">
        <f t="shared" si="171"/>
        <v>1.2024781859564512E-2</v>
      </c>
    </row>
    <row r="3643" spans="1:7" x14ac:dyDescent="0.2">
      <c r="A3643" s="12">
        <v>42188</v>
      </c>
      <c r="B3643" s="9">
        <v>1564.29</v>
      </c>
      <c r="C3643" s="9">
        <v>1544.55</v>
      </c>
      <c r="D3643" s="9">
        <v>1553.6</v>
      </c>
      <c r="E3643" s="9">
        <f t="shared" si="169"/>
        <v>-5.4562512999026631E-3</v>
      </c>
      <c r="F3643" s="45">
        <f t="shared" si="170"/>
        <v>-5.5455898326808986E-2</v>
      </c>
      <c r="G3643" s="9">
        <f t="shared" si="171"/>
        <v>1.201480132449562E-2</v>
      </c>
    </row>
    <row r="3644" spans="1:7" x14ac:dyDescent="0.2">
      <c r="A3644" s="12">
        <v>42191</v>
      </c>
      <c r="B3644" s="9">
        <v>1539.46</v>
      </c>
      <c r="C3644" s="9">
        <v>1525.9</v>
      </c>
      <c r="D3644" s="9">
        <v>1526.94</v>
      </c>
      <c r="E3644" s="9">
        <f t="shared" si="169"/>
        <v>-1.7309085821252287E-2</v>
      </c>
      <c r="F3644" s="45">
        <f t="shared" si="170"/>
        <v>-7.6575786018727082E-2</v>
      </c>
      <c r="G3644" s="9">
        <f t="shared" si="171"/>
        <v>1.2287420683731618E-2</v>
      </c>
    </row>
    <row r="3645" spans="1:7" x14ac:dyDescent="0.2">
      <c r="A3645" s="12">
        <v>42192</v>
      </c>
      <c r="B3645" s="9">
        <v>1541.71</v>
      </c>
      <c r="C3645" s="9">
        <v>1516.09</v>
      </c>
      <c r="D3645" s="9">
        <v>1516.12</v>
      </c>
      <c r="E3645" s="9">
        <f t="shared" si="169"/>
        <v>-7.111292973312997E-3</v>
      </c>
      <c r="F3645" s="45">
        <f t="shared" si="170"/>
        <v>-8.5038942556665456E-2</v>
      </c>
      <c r="G3645" s="9">
        <f t="shared" si="171"/>
        <v>1.2291840718387608E-2</v>
      </c>
    </row>
    <row r="3646" spans="1:7" x14ac:dyDescent="0.2">
      <c r="A3646" s="12">
        <v>42193</v>
      </c>
      <c r="B3646" s="9">
        <v>1528.61</v>
      </c>
      <c r="C3646" s="9">
        <v>1507.01</v>
      </c>
      <c r="D3646" s="9">
        <v>1520.88</v>
      </c>
      <c r="E3646" s="9">
        <f t="shared" si="169"/>
        <v>3.1346749408761626E-3</v>
      </c>
      <c r="F3646" s="45">
        <f t="shared" si="170"/>
        <v>-7.4485971293755018E-2</v>
      </c>
      <c r="G3646" s="9">
        <f t="shared" si="171"/>
        <v>1.230713496476829E-2</v>
      </c>
    </row>
    <row r="3647" spans="1:7" x14ac:dyDescent="0.2">
      <c r="A3647" s="12">
        <v>42194</v>
      </c>
      <c r="B3647" s="9">
        <v>1552.04</v>
      </c>
      <c r="C3647" s="9">
        <v>1524.48</v>
      </c>
      <c r="D3647" s="9">
        <v>1549.59</v>
      </c>
      <c r="E3647" s="9">
        <f t="shared" ref="E3647:E3710" si="172">LN(D3647/D3646)</f>
        <v>1.8701265110326982E-2</v>
      </c>
      <c r="F3647" s="45">
        <f t="shared" si="170"/>
        <v>-7.1282038354874372E-2</v>
      </c>
      <c r="G3647" s="9">
        <f t="shared" si="171"/>
        <v>1.2481212460540212E-2</v>
      </c>
    </row>
    <row r="3648" spans="1:7" x14ac:dyDescent="0.2">
      <c r="A3648" s="12">
        <v>42195</v>
      </c>
      <c r="B3648" s="9">
        <v>1590.54</v>
      </c>
      <c r="C3648" s="9">
        <v>1570.63</v>
      </c>
      <c r="D3648" s="9">
        <v>1590.54</v>
      </c>
      <c r="E3648" s="9">
        <f t="shared" si="172"/>
        <v>2.6083201403373453E-2</v>
      </c>
      <c r="F3648" s="45">
        <f t="shared" si="170"/>
        <v>-4.6988014707436639E-2</v>
      </c>
      <c r="G3648" s="9">
        <f t="shared" si="171"/>
        <v>1.3506762917365626E-2</v>
      </c>
    </row>
    <row r="3649" spans="1:7" x14ac:dyDescent="0.2">
      <c r="A3649" s="12">
        <v>42198</v>
      </c>
      <c r="B3649" s="9">
        <v>1616.56</v>
      </c>
      <c r="C3649" s="9">
        <v>1601.14</v>
      </c>
      <c r="D3649" s="9">
        <v>1614.42</v>
      </c>
      <c r="E3649" s="9">
        <f t="shared" si="172"/>
        <v>1.4902177829004798E-2</v>
      </c>
      <c r="F3649" s="45">
        <f t="shared" si="170"/>
        <v>-1.8758546127562878E-2</v>
      </c>
      <c r="G3649" s="9">
        <f t="shared" si="171"/>
        <v>1.3641811065265661E-2</v>
      </c>
    </row>
    <row r="3650" spans="1:7" x14ac:dyDescent="0.2">
      <c r="A3650" s="12">
        <v>42199</v>
      </c>
      <c r="B3650" s="9">
        <v>1616.56</v>
      </c>
      <c r="C3650" s="9">
        <v>1607.14</v>
      </c>
      <c r="D3650" s="9">
        <v>1616.25</v>
      </c>
      <c r="E3650" s="9">
        <f t="shared" si="172"/>
        <v>1.1328920599908115E-3</v>
      </c>
      <c r="F3650" s="45">
        <f t="shared" si="170"/>
        <v>-2.0418121082599043E-2</v>
      </c>
      <c r="G3650" s="9">
        <f t="shared" si="171"/>
        <v>1.3630834235781434E-2</v>
      </c>
    </row>
    <row r="3651" spans="1:7" x14ac:dyDescent="0.2">
      <c r="A3651" s="12">
        <v>42200</v>
      </c>
      <c r="B3651" s="9">
        <v>1612.55</v>
      </c>
      <c r="C3651" s="9">
        <v>1600.4</v>
      </c>
      <c r="D3651" s="9">
        <v>1601.97</v>
      </c>
      <c r="E3651" s="9">
        <f t="shared" si="172"/>
        <v>-8.8745292248678265E-3</v>
      </c>
      <c r="F3651" s="45">
        <f t="shared" si="170"/>
        <v>-2.2638610234266134E-2</v>
      </c>
      <c r="G3651" s="9">
        <f t="shared" si="171"/>
        <v>1.3670360256137102E-2</v>
      </c>
    </row>
    <row r="3652" spans="1:7" x14ac:dyDescent="0.2">
      <c r="A3652" s="12">
        <v>42201</v>
      </c>
      <c r="B3652" s="9">
        <v>1639.18</v>
      </c>
      <c r="C3652" s="9">
        <v>1611.19</v>
      </c>
      <c r="D3652" s="9">
        <v>1636.12</v>
      </c>
      <c r="E3652" s="9">
        <f t="shared" si="172"/>
        <v>2.1093463244791874E-2</v>
      </c>
      <c r="F3652" s="45">
        <f t="shared" si="170"/>
        <v>-3.3986139290512578E-3</v>
      </c>
      <c r="G3652" s="9">
        <f t="shared" si="171"/>
        <v>1.4236525541069946E-2</v>
      </c>
    </row>
    <row r="3653" spans="1:7" x14ac:dyDescent="0.2">
      <c r="A3653" s="12">
        <v>42202</v>
      </c>
      <c r="B3653" s="9">
        <v>1648.81</v>
      </c>
      <c r="C3653" s="9">
        <v>1630.02</v>
      </c>
      <c r="D3653" s="9">
        <v>1635.47</v>
      </c>
      <c r="E3653" s="9">
        <f t="shared" si="172"/>
        <v>-3.9736031015652175E-4</v>
      </c>
      <c r="F3653" s="45">
        <f t="shared" si="170"/>
        <v>6.4101014154283502E-3</v>
      </c>
      <c r="G3653" s="9">
        <f t="shared" si="171"/>
        <v>1.4108801865675693E-2</v>
      </c>
    </row>
    <row r="3654" spans="1:7" x14ac:dyDescent="0.2">
      <c r="A3654" s="12">
        <v>42205</v>
      </c>
      <c r="B3654" s="9">
        <v>1655.82</v>
      </c>
      <c r="C3654" s="9">
        <v>1641.48</v>
      </c>
      <c r="D3654" s="9">
        <v>1653.44</v>
      </c>
      <c r="E3654" s="9">
        <f t="shared" si="172"/>
        <v>1.092774130298501E-2</v>
      </c>
      <c r="F3654" s="45">
        <f t="shared" si="170"/>
        <v>2.8831190587789945E-2</v>
      </c>
      <c r="G3654" s="9">
        <f t="shared" si="171"/>
        <v>1.4061037664062411E-2</v>
      </c>
    </row>
    <row r="3655" spans="1:7" x14ac:dyDescent="0.2">
      <c r="A3655" s="12">
        <v>42206</v>
      </c>
      <c r="B3655" s="9">
        <v>1658.93</v>
      </c>
      <c r="C3655" s="9">
        <v>1634.87</v>
      </c>
      <c r="D3655" s="9">
        <v>1636.42</v>
      </c>
      <c r="E3655" s="9">
        <f t="shared" si="172"/>
        <v>-1.0347037167640433E-2</v>
      </c>
      <c r="F3655" s="45">
        <f t="shared" si="170"/>
        <v>2.904738954403388E-2</v>
      </c>
      <c r="G3655" s="9">
        <f t="shared" si="171"/>
        <v>1.4054981613641753E-2</v>
      </c>
    </row>
    <row r="3656" spans="1:7" x14ac:dyDescent="0.2">
      <c r="A3656" s="12">
        <v>42207</v>
      </c>
      <c r="B3656" s="9">
        <v>1633.35</v>
      </c>
      <c r="C3656" s="9">
        <v>1621.27</v>
      </c>
      <c r="D3656" s="9">
        <v>1621.27</v>
      </c>
      <c r="E3656" s="9">
        <f t="shared" si="172"/>
        <v>-9.3011362162455299E-3</v>
      </c>
      <c r="F3656" s="45">
        <f t="shared" si="170"/>
        <v>2.0835190651552433E-2</v>
      </c>
      <c r="G3656" s="9">
        <f t="shared" si="171"/>
        <v>1.4175881585081951E-2</v>
      </c>
    </row>
    <row r="3657" spans="1:7" x14ac:dyDescent="0.2">
      <c r="A3657" s="12">
        <v>42208</v>
      </c>
      <c r="B3657" s="9">
        <v>1636.49</v>
      </c>
      <c r="C3657" s="9">
        <v>1617.4</v>
      </c>
      <c r="D3657" s="9">
        <v>1619.81</v>
      </c>
      <c r="E3657" s="9">
        <f t="shared" si="172"/>
        <v>-9.0093431742178692E-4</v>
      </c>
      <c r="F3657" s="45">
        <f t="shared" si="170"/>
        <v>5.8386824237645412E-3</v>
      </c>
      <c r="G3657" s="9">
        <f t="shared" si="171"/>
        <v>1.3949630143900342E-2</v>
      </c>
    </row>
    <row r="3658" spans="1:7" x14ac:dyDescent="0.2">
      <c r="A3658" s="12">
        <v>42209</v>
      </c>
      <c r="B3658" s="9">
        <v>1626.72</v>
      </c>
      <c r="C3658" s="9">
        <v>1611.19</v>
      </c>
      <c r="D3658" s="9">
        <v>1612.8</v>
      </c>
      <c r="E3658" s="9">
        <f t="shared" si="172"/>
        <v>-4.3370595204626668E-3</v>
      </c>
      <c r="F3658" s="45">
        <f t="shared" si="170"/>
        <v>4.9165804871653951E-3</v>
      </c>
      <c r="G3658" s="9">
        <f t="shared" si="171"/>
        <v>1.3958870600750647E-2</v>
      </c>
    </row>
    <row r="3659" spans="1:7" x14ac:dyDescent="0.2">
      <c r="A3659" s="12">
        <v>42212</v>
      </c>
      <c r="B3659" s="9">
        <v>1608.06</v>
      </c>
      <c r="C3659" s="9">
        <v>1581.07</v>
      </c>
      <c r="D3659" s="9">
        <v>1581.33</v>
      </c>
      <c r="E3659" s="9">
        <f t="shared" si="172"/>
        <v>-1.9705533795620529E-2</v>
      </c>
      <c r="F3659" s="45">
        <f t="shared" si="170"/>
        <v>-1.0067220232216949E-2</v>
      </c>
      <c r="G3659" s="9">
        <f t="shared" si="171"/>
        <v>1.4400781522474265E-2</v>
      </c>
    </row>
    <row r="3660" spans="1:7" x14ac:dyDescent="0.2">
      <c r="A3660" s="12">
        <v>42213</v>
      </c>
      <c r="B3660" s="9">
        <v>1594.86</v>
      </c>
      <c r="C3660" s="9">
        <v>1578.39</v>
      </c>
      <c r="D3660" s="9">
        <v>1588.22</v>
      </c>
      <c r="E3660" s="9">
        <f t="shared" si="172"/>
        <v>4.3476271728262574E-3</v>
      </c>
      <c r="F3660" s="45">
        <f t="shared" si="170"/>
        <v>1.3457310539528823E-2</v>
      </c>
      <c r="G3660" s="9">
        <f t="shared" si="171"/>
        <v>1.397359903888082E-2</v>
      </c>
    </row>
    <row r="3661" spans="1:7" x14ac:dyDescent="0.2">
      <c r="A3661" s="12">
        <v>42214</v>
      </c>
      <c r="B3661" s="9">
        <v>1603.32</v>
      </c>
      <c r="C3661" s="9">
        <v>1583.08</v>
      </c>
      <c r="D3661" s="9">
        <v>1597.86</v>
      </c>
      <c r="E3661" s="9">
        <f t="shared" si="172"/>
        <v>6.0513417221372693E-3</v>
      </c>
      <c r="F3661" s="45">
        <f t="shared" si="170"/>
        <v>9.8299896283903544E-3</v>
      </c>
      <c r="G3661" s="9">
        <f t="shared" si="171"/>
        <v>1.3906511180078331E-2</v>
      </c>
    </row>
    <row r="3662" spans="1:7" x14ac:dyDescent="0.2">
      <c r="A3662" s="12">
        <v>42215</v>
      </c>
      <c r="B3662" s="9">
        <v>1609.38</v>
      </c>
      <c r="C3662" s="9">
        <v>1592.19</v>
      </c>
      <c r="D3662" s="9">
        <v>1603.5</v>
      </c>
      <c r="E3662" s="9">
        <f t="shared" si="172"/>
        <v>3.5235061568171049E-3</v>
      </c>
      <c r="F3662" s="45">
        <f t="shared" si="170"/>
        <v>2.2732265293040142E-2</v>
      </c>
      <c r="G3662" s="9">
        <f t="shared" si="171"/>
        <v>1.3795039190007923E-2</v>
      </c>
    </row>
    <row r="3663" spans="1:7" x14ac:dyDescent="0.2">
      <c r="A3663" s="12">
        <v>42216</v>
      </c>
      <c r="B3663" s="9">
        <v>1615.64</v>
      </c>
      <c r="C3663" s="9">
        <v>1600.45</v>
      </c>
      <c r="D3663" s="9">
        <v>1615.64</v>
      </c>
      <c r="E3663" s="9">
        <f t="shared" si="172"/>
        <v>7.5424228531738319E-3</v>
      </c>
      <c r="F3663" s="45">
        <f t="shared" si="170"/>
        <v>3.3488861379376754E-2</v>
      </c>
      <c r="G3663" s="9">
        <f t="shared" si="171"/>
        <v>1.3827993906973108E-2</v>
      </c>
    </row>
    <row r="3664" spans="1:7" x14ac:dyDescent="0.2">
      <c r="A3664" s="12">
        <v>42219</v>
      </c>
      <c r="B3664" s="9">
        <v>1621.73</v>
      </c>
      <c r="C3664" s="9">
        <v>1610.49</v>
      </c>
      <c r="D3664" s="9">
        <v>1618.28</v>
      </c>
      <c r="E3664" s="9">
        <f t="shared" si="172"/>
        <v>1.6326938121237157E-3</v>
      </c>
      <c r="F3664" s="45">
        <f t="shared" si="170"/>
        <v>7.2312634869572522E-3</v>
      </c>
      <c r="G3664" s="9">
        <f t="shared" si="171"/>
        <v>1.287288889840439E-2</v>
      </c>
    </row>
    <row r="3665" spans="1:7" x14ac:dyDescent="0.2">
      <c r="A3665" s="12">
        <v>42220</v>
      </c>
      <c r="B3665" s="9">
        <v>1616.9</v>
      </c>
      <c r="C3665" s="9">
        <v>1606.54</v>
      </c>
      <c r="D3665" s="9">
        <v>1611.88</v>
      </c>
      <c r="E3665" s="9">
        <f t="shared" si="172"/>
        <v>-3.9626571901982353E-3</v>
      </c>
      <c r="F3665" s="45">
        <f t="shared" si="170"/>
        <v>-5.6111974943353774E-3</v>
      </c>
      <c r="G3665" s="9">
        <f t="shared" si="171"/>
        <v>1.2788966212717913E-2</v>
      </c>
    </row>
    <row r="3666" spans="1:7" x14ac:dyDescent="0.2">
      <c r="A3666" s="12">
        <v>42221</v>
      </c>
      <c r="B3666" s="9">
        <v>1630.01</v>
      </c>
      <c r="C3666" s="9">
        <v>1615.63</v>
      </c>
      <c r="D3666" s="9">
        <v>1627.42</v>
      </c>
      <c r="E3666" s="9">
        <f t="shared" si="172"/>
        <v>9.5947391203324052E-3</v>
      </c>
      <c r="F3666" s="45">
        <f t="shared" si="170"/>
        <v>9.8305164731487468E-3</v>
      </c>
      <c r="G3666" s="9">
        <f t="shared" si="171"/>
        <v>1.2863838874309334E-2</v>
      </c>
    </row>
    <row r="3667" spans="1:7" x14ac:dyDescent="0.2">
      <c r="A3667" s="12">
        <v>42222</v>
      </c>
      <c r="B3667" s="9">
        <v>1627.48</v>
      </c>
      <c r="C3667" s="9">
        <v>1619.42</v>
      </c>
      <c r="D3667" s="9">
        <v>1621.56</v>
      </c>
      <c r="E3667" s="9">
        <f t="shared" si="172"/>
        <v>-3.6072898906462755E-3</v>
      </c>
      <c r="F3667" s="45">
        <f t="shared" si="170"/>
        <v>1.2685264495849074E-2</v>
      </c>
      <c r="G3667" s="9">
        <f t="shared" si="171"/>
        <v>1.2822372972319076E-2</v>
      </c>
    </row>
    <row r="3668" spans="1:7" x14ac:dyDescent="0.2">
      <c r="A3668" s="12">
        <v>42223</v>
      </c>
      <c r="B3668" s="9">
        <v>1622.94</v>
      </c>
      <c r="C3668" s="9">
        <v>1612.28</v>
      </c>
      <c r="D3668" s="9">
        <v>1612.28</v>
      </c>
      <c r="E3668" s="9">
        <f t="shared" si="172"/>
        <v>-5.7393225845742187E-3</v>
      </c>
      <c r="F3668" s="45">
        <f t="shared" si="170"/>
        <v>2.4964770428891466E-3</v>
      </c>
      <c r="G3668" s="9">
        <f t="shared" si="171"/>
        <v>1.2846953771003559E-2</v>
      </c>
    </row>
    <row r="3669" spans="1:7" x14ac:dyDescent="0.2">
      <c r="A3669" s="12">
        <v>42226</v>
      </c>
      <c r="B3669" s="9">
        <v>1636.63</v>
      </c>
      <c r="C3669" s="9">
        <v>1608.27</v>
      </c>
      <c r="D3669" s="9">
        <v>1636.54</v>
      </c>
      <c r="E3669" s="9">
        <f t="shared" si="172"/>
        <v>1.4934930796680655E-2</v>
      </c>
      <c r="F3669" s="45">
        <f t="shared" si="170"/>
        <v>4.8026649153703874E-2</v>
      </c>
      <c r="G3669" s="9">
        <f t="shared" si="171"/>
        <v>1.1739394666719997E-2</v>
      </c>
    </row>
    <row r="3670" spans="1:7" x14ac:dyDescent="0.2">
      <c r="A3670" s="12">
        <v>42227</v>
      </c>
      <c r="B3670" s="9">
        <v>1638.12</v>
      </c>
      <c r="C3670" s="9">
        <v>1611.61</v>
      </c>
      <c r="D3670" s="9">
        <v>1614.72</v>
      </c>
      <c r="E3670" s="9">
        <f t="shared" si="172"/>
        <v>-1.3422690037463329E-2</v>
      </c>
      <c r="F3670" s="45">
        <f t="shared" si="170"/>
        <v>4.6301809067896535E-2</v>
      </c>
      <c r="G3670" s="9">
        <f t="shared" si="171"/>
        <v>1.1810779011610975E-2</v>
      </c>
    </row>
    <row r="3671" spans="1:7" x14ac:dyDescent="0.2">
      <c r="A3671" s="12">
        <v>42228</v>
      </c>
      <c r="B3671" s="9">
        <v>1604.03</v>
      </c>
      <c r="C3671" s="9">
        <v>1573.12</v>
      </c>
      <c r="D3671" s="9">
        <v>1575.04</v>
      </c>
      <c r="E3671" s="9">
        <f t="shared" si="172"/>
        <v>-2.4880898250001872E-2</v>
      </c>
      <c r="F3671" s="45">
        <f t="shared" si="170"/>
        <v>-2.9201343469299708E-4</v>
      </c>
      <c r="G3671" s="9">
        <f t="shared" si="171"/>
        <v>1.2126357184104019E-2</v>
      </c>
    </row>
    <row r="3672" spans="1:7" x14ac:dyDescent="0.2">
      <c r="A3672" s="12">
        <v>42229</v>
      </c>
      <c r="B3672" s="9">
        <v>1599.61</v>
      </c>
      <c r="C3672" s="9">
        <v>1586.29</v>
      </c>
      <c r="D3672" s="9">
        <v>1594.15</v>
      </c>
      <c r="E3672" s="9">
        <f t="shared" si="172"/>
        <v>1.206001004594701E-2</v>
      </c>
      <c r="F3672" s="45">
        <f t="shared" si="170"/>
        <v>2.0309608971620468E-2</v>
      </c>
      <c r="G3672" s="9">
        <f t="shared" si="171"/>
        <v>1.2209586144209694E-2</v>
      </c>
    </row>
    <row r="3673" spans="1:7" x14ac:dyDescent="0.2">
      <c r="A3673" s="12">
        <v>42230</v>
      </c>
      <c r="B3673" s="9">
        <v>1598.29</v>
      </c>
      <c r="C3673" s="9">
        <v>1583.34</v>
      </c>
      <c r="D3673" s="9">
        <v>1586.83</v>
      </c>
      <c r="E3673" s="9">
        <f t="shared" si="172"/>
        <v>-4.6023633728362384E-3</v>
      </c>
      <c r="F3673" s="45">
        <f t="shared" si="170"/>
        <v>2.1163496898686789E-2</v>
      </c>
      <c r="G3673" s="9">
        <f t="shared" si="171"/>
        <v>1.2195782827929656E-2</v>
      </c>
    </row>
    <row r="3674" spans="1:7" x14ac:dyDescent="0.2">
      <c r="A3674" s="12">
        <v>42233</v>
      </c>
      <c r="B3674" s="9">
        <v>1603.68</v>
      </c>
      <c r="C3674" s="9">
        <v>1578.41</v>
      </c>
      <c r="D3674" s="9">
        <v>1592.81</v>
      </c>
      <c r="E3674" s="9">
        <f t="shared" si="172"/>
        <v>3.7614365466657708E-3</v>
      </c>
      <c r="F3674" s="45">
        <f t="shared" si="170"/>
        <v>4.2234019266604882E-2</v>
      </c>
      <c r="G3674" s="9">
        <f t="shared" si="171"/>
        <v>1.1719999271763688E-2</v>
      </c>
    </row>
    <row r="3675" spans="1:7" x14ac:dyDescent="0.2">
      <c r="A3675" s="12">
        <v>42234</v>
      </c>
      <c r="B3675" s="9">
        <v>1592.84</v>
      </c>
      <c r="C3675" s="9">
        <v>1580.39</v>
      </c>
      <c r="D3675" s="9">
        <v>1583.53</v>
      </c>
      <c r="E3675" s="9">
        <f t="shared" si="172"/>
        <v>-5.8432198090087421E-3</v>
      </c>
      <c r="F3675" s="45">
        <f t="shared" si="170"/>
        <v>4.3502092430909071E-2</v>
      </c>
      <c r="G3675" s="9">
        <f t="shared" si="171"/>
        <v>1.1690464499502454E-2</v>
      </c>
    </row>
    <row r="3676" spans="1:7" x14ac:dyDescent="0.2">
      <c r="A3676" s="12">
        <v>42235</v>
      </c>
      <c r="B3676" s="9">
        <v>1576.86</v>
      </c>
      <c r="C3676" s="9">
        <v>1553.27</v>
      </c>
      <c r="D3676" s="9">
        <v>1553.51</v>
      </c>
      <c r="E3676" s="9">
        <f t="shared" si="172"/>
        <v>-1.9139645283453247E-2</v>
      </c>
      <c r="F3676" s="45">
        <f t="shared" si="170"/>
        <v>2.1227772206579697E-2</v>
      </c>
      <c r="G3676" s="9">
        <f t="shared" si="171"/>
        <v>1.2272624622428684E-2</v>
      </c>
    </row>
    <row r="3677" spans="1:7" x14ac:dyDescent="0.2">
      <c r="A3677" s="12">
        <v>42236</v>
      </c>
      <c r="B3677" s="9">
        <v>1553.54</v>
      </c>
      <c r="C3677" s="9">
        <v>1532.96</v>
      </c>
      <c r="D3677" s="9">
        <v>1534.39</v>
      </c>
      <c r="E3677" s="9">
        <f t="shared" si="172"/>
        <v>-1.2383978987436541E-2</v>
      </c>
      <c r="F3677" s="45">
        <f t="shared" si="170"/>
        <v>-9.8574718911838242E-3</v>
      </c>
      <c r="G3677" s="9">
        <f t="shared" si="171"/>
        <v>1.201049738568534E-2</v>
      </c>
    </row>
    <row r="3678" spans="1:7" x14ac:dyDescent="0.2">
      <c r="A3678" s="12">
        <v>42237</v>
      </c>
      <c r="B3678" s="9">
        <v>1530.71</v>
      </c>
      <c r="C3678" s="9">
        <v>1495.36</v>
      </c>
      <c r="D3678" s="9">
        <v>1495.36</v>
      </c>
      <c r="E3678" s="9">
        <f t="shared" si="172"/>
        <v>-2.5765927390453136E-2</v>
      </c>
      <c r="F3678" s="45">
        <f t="shared" si="170"/>
        <v>-6.1706600685010417E-2</v>
      </c>
      <c r="G3678" s="9">
        <f t="shared" si="171"/>
        <v>1.1807616625792581E-2</v>
      </c>
    </row>
    <row r="3679" spans="1:7" x14ac:dyDescent="0.2">
      <c r="A3679" s="12">
        <v>42240</v>
      </c>
      <c r="B3679" s="9">
        <v>1471.65</v>
      </c>
      <c r="C3679" s="9">
        <v>1405.01</v>
      </c>
      <c r="D3679" s="9">
        <v>1428.08</v>
      </c>
      <c r="E3679" s="9">
        <f t="shared" si="172"/>
        <v>-4.6036095772764581E-2</v>
      </c>
      <c r="F3679" s="45">
        <f t="shared" si="170"/>
        <v>-0.12264487428677977</v>
      </c>
      <c r="G3679" s="9">
        <f t="shared" si="171"/>
        <v>1.3853859195512651E-2</v>
      </c>
    </row>
    <row r="3680" spans="1:7" x14ac:dyDescent="0.2">
      <c r="A3680" s="12">
        <v>42241</v>
      </c>
      <c r="B3680" s="9">
        <v>1487.26</v>
      </c>
      <c r="C3680" s="9">
        <v>1440.98</v>
      </c>
      <c r="D3680" s="9">
        <v>1483.35</v>
      </c>
      <c r="E3680" s="9">
        <f t="shared" si="172"/>
        <v>3.7972158644812855E-2</v>
      </c>
      <c r="F3680" s="45">
        <f t="shared" si="170"/>
        <v>-8.5805607701957776E-2</v>
      </c>
      <c r="G3680" s="9">
        <f t="shared" si="171"/>
        <v>1.5825041817505492E-2</v>
      </c>
    </row>
    <row r="3681" spans="1:7" x14ac:dyDescent="0.2">
      <c r="A3681" s="12">
        <v>42242</v>
      </c>
      <c r="B3681" s="9">
        <v>1490.48</v>
      </c>
      <c r="C3681" s="9">
        <v>1444.63</v>
      </c>
      <c r="D3681" s="9">
        <v>1458.2</v>
      </c>
      <c r="E3681" s="9">
        <f t="shared" si="172"/>
        <v>-1.7100245011779525E-2</v>
      </c>
      <c r="F3681" s="45">
        <f t="shared" ref="F3681:F3744" si="173">LN(D3681/D3651)</f>
        <v>-9.4031323488869417E-2</v>
      </c>
      <c r="G3681" s="9">
        <f t="shared" ref="G3681:G3744" si="174">STDEV(E3652:E3681)</f>
        <v>1.6003101030251987E-2</v>
      </c>
    </row>
    <row r="3682" spans="1:7" x14ac:dyDescent="0.2">
      <c r="A3682" s="12">
        <v>42243</v>
      </c>
      <c r="B3682" s="9">
        <v>1505.88</v>
      </c>
      <c r="C3682" s="9">
        <v>1485.67</v>
      </c>
      <c r="D3682" s="9">
        <v>1502.86</v>
      </c>
      <c r="E3682" s="9">
        <f t="shared" si="172"/>
        <v>3.01671610029348E-2</v>
      </c>
      <c r="F3682" s="45">
        <f t="shared" si="173"/>
        <v>-8.4957625730726571E-2</v>
      </c>
      <c r="G3682" s="9">
        <f t="shared" si="174"/>
        <v>1.6553088922950675E-2</v>
      </c>
    </row>
    <row r="3683" spans="1:7" x14ac:dyDescent="0.2">
      <c r="A3683" s="12">
        <v>42244</v>
      </c>
      <c r="B3683" s="9">
        <v>1509.71</v>
      </c>
      <c r="C3683" s="9">
        <v>1490.46</v>
      </c>
      <c r="D3683" s="9">
        <v>1509.71</v>
      </c>
      <c r="E3683" s="9">
        <f t="shared" si="172"/>
        <v>4.5476200090376956E-3</v>
      </c>
      <c r="F3683" s="45">
        <f t="shared" si="173"/>
        <v>-8.0012645411532329E-2</v>
      </c>
      <c r="G3683" s="9">
        <f t="shared" si="174"/>
        <v>1.6602714025995998E-2</v>
      </c>
    </row>
    <row r="3684" spans="1:7" x14ac:dyDescent="0.2">
      <c r="A3684" s="12">
        <v>42247</v>
      </c>
      <c r="B3684" s="9">
        <v>1504.55</v>
      </c>
      <c r="C3684" s="9">
        <v>1486.61</v>
      </c>
      <c r="D3684" s="9">
        <v>1501.07</v>
      </c>
      <c r="E3684" s="9">
        <f t="shared" si="172"/>
        <v>-5.7393922619627521E-3</v>
      </c>
      <c r="F3684" s="45">
        <f t="shared" si="173"/>
        <v>-9.6679778976480113E-2</v>
      </c>
      <c r="G3684" s="9">
        <f t="shared" si="174"/>
        <v>1.6409851082018326E-2</v>
      </c>
    </row>
    <row r="3685" spans="1:7" x14ac:dyDescent="0.2">
      <c r="A3685" s="12">
        <v>42248</v>
      </c>
      <c r="B3685" s="9">
        <v>1489.07</v>
      </c>
      <c r="C3685" s="9">
        <v>1460.67</v>
      </c>
      <c r="D3685" s="9">
        <v>1469.86</v>
      </c>
      <c r="E3685" s="9">
        <f t="shared" si="172"/>
        <v>-2.1011028980231279E-2</v>
      </c>
      <c r="F3685" s="45">
        <f t="shared" si="173"/>
        <v>-0.10734377078907098</v>
      </c>
      <c r="G3685" s="9">
        <f t="shared" si="174"/>
        <v>1.6682730910849156E-2</v>
      </c>
    </row>
    <row r="3686" spans="1:7" x14ac:dyDescent="0.2">
      <c r="A3686" s="12">
        <v>42249</v>
      </c>
      <c r="B3686" s="9">
        <v>1486.13</v>
      </c>
      <c r="C3686" s="9">
        <v>1464.41</v>
      </c>
      <c r="D3686" s="9">
        <v>1471.51</v>
      </c>
      <c r="E3686" s="9">
        <f t="shared" si="172"/>
        <v>1.1219262949399924E-3</v>
      </c>
      <c r="F3686" s="45">
        <f t="shared" si="173"/>
        <v>-9.6920708277885459E-2</v>
      </c>
      <c r="G3686" s="9">
        <f t="shared" si="174"/>
        <v>1.6667962359009501E-2</v>
      </c>
    </row>
    <row r="3687" spans="1:7" x14ac:dyDescent="0.2">
      <c r="A3687" s="12">
        <v>42250</v>
      </c>
      <c r="B3687" s="9">
        <v>1506.53</v>
      </c>
      <c r="C3687" s="9">
        <v>1479.13</v>
      </c>
      <c r="D3687" s="9">
        <v>1500.21</v>
      </c>
      <c r="E3687" s="9">
        <f t="shared" si="172"/>
        <v>1.9316013854167421E-2</v>
      </c>
      <c r="F3687" s="45">
        <f t="shared" si="173"/>
        <v>-7.6703760106296065E-2</v>
      </c>
      <c r="G3687" s="9">
        <f t="shared" si="174"/>
        <v>1.7166637696915388E-2</v>
      </c>
    </row>
    <row r="3688" spans="1:7" x14ac:dyDescent="0.2">
      <c r="A3688" s="12">
        <v>42251</v>
      </c>
      <c r="B3688" s="9">
        <v>1486.05</v>
      </c>
      <c r="C3688" s="9">
        <v>1459.49</v>
      </c>
      <c r="D3688" s="9">
        <v>1461.46</v>
      </c>
      <c r="E3688" s="9">
        <f t="shared" si="172"/>
        <v>-2.6169162255750372E-2</v>
      </c>
      <c r="F3688" s="45">
        <f t="shared" si="173"/>
        <v>-9.8535862841583777E-2</v>
      </c>
      <c r="G3688" s="9">
        <f t="shared" si="174"/>
        <v>1.7699207753097201E-2</v>
      </c>
    </row>
    <row r="3689" spans="1:7" x14ac:dyDescent="0.2">
      <c r="A3689" s="12">
        <v>42254</v>
      </c>
      <c r="B3689" s="9">
        <v>1479.88</v>
      </c>
      <c r="C3689" s="9">
        <v>1466.2</v>
      </c>
      <c r="D3689" s="9">
        <v>1471.75</v>
      </c>
      <c r="E3689" s="9">
        <f t="shared" si="172"/>
        <v>7.01623287290513E-3</v>
      </c>
      <c r="F3689" s="45">
        <f t="shared" si="173"/>
        <v>-7.181409617305827E-2</v>
      </c>
      <c r="G3689" s="9">
        <f t="shared" si="174"/>
        <v>1.7515757655343311E-2</v>
      </c>
    </row>
    <row r="3690" spans="1:7" x14ac:dyDescent="0.2">
      <c r="A3690" s="12">
        <v>42255</v>
      </c>
      <c r="B3690" s="9">
        <v>1499.47</v>
      </c>
      <c r="C3690" s="9">
        <v>1480.67</v>
      </c>
      <c r="D3690" s="9">
        <v>1488.88</v>
      </c>
      <c r="E3690" s="9">
        <f t="shared" si="172"/>
        <v>1.1571990527337456E-2</v>
      </c>
      <c r="F3690" s="45">
        <f t="shared" si="173"/>
        <v>-6.4589732818546963E-2</v>
      </c>
      <c r="G3690" s="9">
        <f t="shared" si="174"/>
        <v>1.7660698640680522E-2</v>
      </c>
    </row>
    <row r="3691" spans="1:7" x14ac:dyDescent="0.2">
      <c r="A3691" s="12">
        <v>42256</v>
      </c>
      <c r="B3691" s="9">
        <v>1524.23</v>
      </c>
      <c r="C3691" s="9">
        <v>1505.99</v>
      </c>
      <c r="D3691" s="9">
        <v>1507.15</v>
      </c>
      <c r="E3691" s="9">
        <f t="shared" si="172"/>
        <v>1.2196290738453281E-2</v>
      </c>
      <c r="F3691" s="45">
        <f t="shared" si="173"/>
        <v>-5.8444783802230976E-2</v>
      </c>
      <c r="G3691" s="9">
        <f t="shared" si="174"/>
        <v>1.7794265009898686E-2</v>
      </c>
    </row>
    <row r="3692" spans="1:7" x14ac:dyDescent="0.2">
      <c r="A3692" s="12">
        <v>42257</v>
      </c>
      <c r="B3692" s="9">
        <v>1505.66</v>
      </c>
      <c r="C3692" s="9">
        <v>1487.91</v>
      </c>
      <c r="D3692" s="9">
        <v>1494.35</v>
      </c>
      <c r="E3692" s="9">
        <f t="shared" si="172"/>
        <v>-8.5291205034343735E-3</v>
      </c>
      <c r="F3692" s="45">
        <f t="shared" si="173"/>
        <v>-7.0497410462482327E-2</v>
      </c>
      <c r="G3692" s="9">
        <f t="shared" si="174"/>
        <v>1.7802525857223993E-2</v>
      </c>
    </row>
    <row r="3693" spans="1:7" x14ac:dyDescent="0.2">
      <c r="A3693" s="12">
        <v>42258</v>
      </c>
      <c r="B3693" s="9">
        <v>1499.12</v>
      </c>
      <c r="C3693" s="9">
        <v>1484.18</v>
      </c>
      <c r="D3693" s="9">
        <v>1488.41</v>
      </c>
      <c r="E3693" s="9">
        <f t="shared" si="172"/>
        <v>-3.9828935968038402E-3</v>
      </c>
      <c r="F3693" s="45">
        <f t="shared" si="173"/>
        <v>-8.2022726912459973E-2</v>
      </c>
      <c r="G3693" s="9">
        <f t="shared" si="174"/>
        <v>1.7705783603413329E-2</v>
      </c>
    </row>
    <row r="3694" spans="1:7" x14ac:dyDescent="0.2">
      <c r="A3694" s="12">
        <v>42261</v>
      </c>
      <c r="B3694" s="9">
        <v>1491.82</v>
      </c>
      <c r="C3694" s="9">
        <v>1462.76</v>
      </c>
      <c r="D3694" s="9">
        <v>1467.73</v>
      </c>
      <c r="E3694" s="9">
        <f t="shared" si="172"/>
        <v>-1.3991446521223522E-2</v>
      </c>
      <c r="F3694" s="45">
        <f t="shared" si="173"/>
        <v>-9.7646867245807234E-2</v>
      </c>
      <c r="G3694" s="9">
        <f t="shared" si="174"/>
        <v>1.7802431584105615E-2</v>
      </c>
    </row>
    <row r="3695" spans="1:7" x14ac:dyDescent="0.2">
      <c r="A3695" s="12">
        <v>42262</v>
      </c>
      <c r="B3695" s="9">
        <v>1475.11</v>
      </c>
      <c r="C3695" s="9">
        <v>1450.57</v>
      </c>
      <c r="D3695" s="9">
        <v>1469.08</v>
      </c>
      <c r="E3695" s="9">
        <f t="shared" si="172"/>
        <v>9.1936495387076654E-4</v>
      </c>
      <c r="F3695" s="45">
        <f t="shared" si="173"/>
        <v>-9.2764845101738297E-2</v>
      </c>
      <c r="G3695" s="9">
        <f t="shared" si="174"/>
        <v>1.7818045475084449E-2</v>
      </c>
    </row>
    <row r="3696" spans="1:7" x14ac:dyDescent="0.2">
      <c r="A3696" s="12">
        <v>42263</v>
      </c>
      <c r="B3696" s="9">
        <v>1490.56</v>
      </c>
      <c r="C3696" s="9">
        <v>1477.59</v>
      </c>
      <c r="D3696" s="9">
        <v>1483.66</v>
      </c>
      <c r="E3696" s="9">
        <f t="shared" si="172"/>
        <v>9.875653458803103E-3</v>
      </c>
      <c r="F3696" s="45">
        <f t="shared" si="173"/>
        <v>-9.2483930763267677E-2</v>
      </c>
      <c r="G3696" s="9">
        <f t="shared" si="174"/>
        <v>1.7825015102805195E-2</v>
      </c>
    </row>
    <row r="3697" spans="1:7" x14ac:dyDescent="0.2">
      <c r="A3697" s="12">
        <v>42264</v>
      </c>
      <c r="B3697" s="9">
        <v>1488.7</v>
      </c>
      <c r="C3697" s="9">
        <v>1480.37</v>
      </c>
      <c r="D3697" s="9">
        <v>1486.46</v>
      </c>
      <c r="E3697" s="9">
        <f t="shared" si="172"/>
        <v>1.8854462644460825E-3</v>
      </c>
      <c r="F3697" s="45">
        <f t="shared" si="173"/>
        <v>-8.699119460817531E-2</v>
      </c>
      <c r="G3697" s="9">
        <f t="shared" si="174"/>
        <v>1.7847637169321813E-2</v>
      </c>
    </row>
    <row r="3698" spans="1:7" x14ac:dyDescent="0.2">
      <c r="A3698" s="12">
        <v>42265</v>
      </c>
      <c r="B3698" s="9">
        <v>1478.69</v>
      </c>
      <c r="C3698" s="9">
        <v>1446.98</v>
      </c>
      <c r="D3698" s="9">
        <v>1453.11</v>
      </c>
      <c r="E3698" s="9">
        <f t="shared" si="172"/>
        <v>-2.2691367088021986E-2</v>
      </c>
      <c r="F3698" s="45">
        <f t="shared" si="173"/>
        <v>-0.10394323911162312</v>
      </c>
      <c r="G3698" s="9">
        <f t="shared" si="174"/>
        <v>1.8205412015191266E-2</v>
      </c>
    </row>
    <row r="3699" spans="1:7" x14ac:dyDescent="0.2">
      <c r="A3699" s="12">
        <v>42268</v>
      </c>
      <c r="B3699" s="9">
        <v>1467.57</v>
      </c>
      <c r="C3699" s="9">
        <v>1443.73</v>
      </c>
      <c r="D3699" s="9">
        <v>1462.66</v>
      </c>
      <c r="E3699" s="9">
        <f t="shared" si="172"/>
        <v>6.5506086896849709E-3</v>
      </c>
      <c r="F3699" s="45">
        <f t="shared" si="173"/>
        <v>-0.11232756121861881</v>
      </c>
      <c r="G3699" s="9">
        <f t="shared" si="174"/>
        <v>1.7976123328002806E-2</v>
      </c>
    </row>
    <row r="3700" spans="1:7" x14ac:dyDescent="0.2">
      <c r="A3700" s="12">
        <v>42269</v>
      </c>
      <c r="B3700" s="9">
        <v>0</v>
      </c>
      <c r="C3700" s="9">
        <v>0</v>
      </c>
      <c r="D3700" s="9">
        <v>1425.39</v>
      </c>
      <c r="E3700" s="9">
        <f t="shared" si="172"/>
        <v>-2.5811235362897169E-2</v>
      </c>
      <c r="F3700" s="45">
        <f t="shared" si="173"/>
        <v>-0.1247161065440527</v>
      </c>
      <c r="G3700" s="9">
        <f t="shared" si="174"/>
        <v>1.8344644064348055E-2</v>
      </c>
    </row>
    <row r="3701" spans="1:7" x14ac:dyDescent="0.2">
      <c r="A3701" s="12">
        <v>42270</v>
      </c>
      <c r="B3701" s="9">
        <v>1432.38</v>
      </c>
      <c r="C3701" s="9">
        <v>1416.92</v>
      </c>
      <c r="D3701" s="9">
        <v>1421.5</v>
      </c>
      <c r="E3701" s="9">
        <f t="shared" si="172"/>
        <v>-2.7328083775311602E-3</v>
      </c>
      <c r="F3701" s="45">
        <f t="shared" si="173"/>
        <v>-0.10256801667158187</v>
      </c>
      <c r="G3701" s="9">
        <f t="shared" si="174"/>
        <v>1.7922687535539782E-2</v>
      </c>
    </row>
    <row r="3702" spans="1:7" x14ac:dyDescent="0.2">
      <c r="A3702" s="12">
        <v>42271</v>
      </c>
      <c r="B3702" s="9">
        <v>1424.2</v>
      </c>
      <c r="C3702" s="9">
        <v>1378.94</v>
      </c>
      <c r="D3702" s="9">
        <v>1381.87</v>
      </c>
      <c r="E3702" s="9">
        <f t="shared" si="172"/>
        <v>-2.8274997758164781E-2</v>
      </c>
      <c r="F3702" s="45">
        <f t="shared" si="173"/>
        <v>-0.14290302447569372</v>
      </c>
      <c r="G3702" s="9">
        <f t="shared" si="174"/>
        <v>1.8231703065736564E-2</v>
      </c>
    </row>
    <row r="3703" spans="1:7" x14ac:dyDescent="0.2">
      <c r="A3703" s="12">
        <v>42272</v>
      </c>
      <c r="B3703" s="9">
        <v>1421.63</v>
      </c>
      <c r="C3703" s="9">
        <v>1401.05</v>
      </c>
      <c r="D3703" s="9">
        <v>1418.47</v>
      </c>
      <c r="E3703" s="9">
        <f t="shared" si="172"/>
        <v>2.6141171591207803E-2</v>
      </c>
      <c r="F3703" s="45">
        <f t="shared" si="173"/>
        <v>-0.11215948951164975</v>
      </c>
      <c r="G3703" s="9">
        <f t="shared" si="174"/>
        <v>1.9085125204203295E-2</v>
      </c>
    </row>
    <row r="3704" spans="1:7" x14ac:dyDescent="0.2">
      <c r="A3704" s="12">
        <v>42275</v>
      </c>
      <c r="B3704" s="9">
        <v>1416.08</v>
      </c>
      <c r="C3704" s="9">
        <v>1389.38</v>
      </c>
      <c r="D3704" s="9">
        <v>1389.38</v>
      </c>
      <c r="E3704" s="9">
        <f t="shared" si="172"/>
        <v>-2.0721221471671002E-2</v>
      </c>
      <c r="F3704" s="45">
        <f t="shared" si="173"/>
        <v>-0.13664214752998652</v>
      </c>
      <c r="G3704" s="9">
        <f t="shared" si="174"/>
        <v>1.9275851027613512E-2</v>
      </c>
    </row>
    <row r="3705" spans="1:7" x14ac:dyDescent="0.2">
      <c r="A3705" s="12">
        <v>42276</v>
      </c>
      <c r="B3705" s="9">
        <v>1403.3</v>
      </c>
      <c r="C3705" s="9">
        <v>1369.29</v>
      </c>
      <c r="D3705" s="9">
        <v>1391.88</v>
      </c>
      <c r="E3705" s="9">
        <f t="shared" si="172"/>
        <v>1.7977468293587622E-3</v>
      </c>
      <c r="F3705" s="45">
        <f t="shared" si="173"/>
        <v>-0.12900118089161905</v>
      </c>
      <c r="G3705" s="9">
        <f t="shared" si="174"/>
        <v>1.9308692243604673E-2</v>
      </c>
    </row>
    <row r="3706" spans="1:7" x14ac:dyDescent="0.2">
      <c r="A3706" s="12">
        <v>42277</v>
      </c>
      <c r="B3706" s="9">
        <v>1423.83</v>
      </c>
      <c r="C3706" s="9">
        <v>1407.34</v>
      </c>
      <c r="D3706" s="9">
        <v>1416.89</v>
      </c>
      <c r="E3706" s="9">
        <f t="shared" si="172"/>
        <v>1.780897760239946E-2</v>
      </c>
      <c r="F3706" s="45">
        <f t="shared" si="173"/>
        <v>-9.2052558005766352E-2</v>
      </c>
      <c r="G3706" s="9">
        <f t="shared" si="174"/>
        <v>1.9506877942451685E-2</v>
      </c>
    </row>
    <row r="3707" spans="1:7" x14ac:dyDescent="0.2">
      <c r="A3707" s="12">
        <v>42278</v>
      </c>
      <c r="B3707" s="9">
        <v>1435.97</v>
      </c>
      <c r="C3707" s="9">
        <v>1399.34</v>
      </c>
      <c r="D3707" s="9">
        <v>1404.45</v>
      </c>
      <c r="E3707" s="9">
        <f t="shared" si="172"/>
        <v>-8.81856183117684E-3</v>
      </c>
      <c r="F3707" s="45">
        <f t="shared" si="173"/>
        <v>-8.8487140849506568E-2</v>
      </c>
      <c r="G3707" s="9">
        <f t="shared" si="174"/>
        <v>1.9458967498085334E-2</v>
      </c>
    </row>
    <row r="3708" spans="1:7" x14ac:dyDescent="0.2">
      <c r="A3708" s="12">
        <v>42279</v>
      </c>
      <c r="B3708" s="9">
        <v>1429.38</v>
      </c>
      <c r="C3708" s="9">
        <v>1396.2</v>
      </c>
      <c r="D3708" s="9">
        <v>1412.86</v>
      </c>
      <c r="E3708" s="9">
        <f t="shared" si="172"/>
        <v>5.9702517510833658E-3</v>
      </c>
      <c r="F3708" s="45">
        <f t="shared" si="173"/>
        <v>-5.6750961707969935E-2</v>
      </c>
      <c r="G3708" s="9">
        <f t="shared" si="174"/>
        <v>1.903381326340043E-2</v>
      </c>
    </row>
    <row r="3709" spans="1:7" x14ac:dyDescent="0.2">
      <c r="A3709" s="12">
        <v>42282</v>
      </c>
      <c r="B3709" s="9">
        <v>1456.97</v>
      </c>
      <c r="C3709" s="9">
        <v>1429.65</v>
      </c>
      <c r="D3709" s="9">
        <v>1456.97</v>
      </c>
      <c r="E3709" s="9">
        <f t="shared" si="172"/>
        <v>3.0742917925184979E-2</v>
      </c>
      <c r="F3709" s="45">
        <f t="shared" si="173"/>
        <v>2.0028051989979506E-2</v>
      </c>
      <c r="G3709" s="9">
        <f t="shared" si="174"/>
        <v>1.8028794230913834E-2</v>
      </c>
    </row>
    <row r="3710" spans="1:7" x14ac:dyDescent="0.2">
      <c r="A3710" s="12">
        <v>42283</v>
      </c>
      <c r="B3710" s="9">
        <v>1464.58</v>
      </c>
      <c r="C3710" s="9">
        <v>1441.35</v>
      </c>
      <c r="D3710" s="9">
        <v>1457.15</v>
      </c>
      <c r="E3710" s="9">
        <f t="shared" si="172"/>
        <v>1.2353643654268838E-4</v>
      </c>
      <c r="F3710" s="45">
        <f t="shared" si="173"/>
        <v>-1.7820570218290466E-2</v>
      </c>
      <c r="G3710" s="9">
        <f t="shared" si="174"/>
        <v>1.6595596274094654E-2</v>
      </c>
    </row>
    <row r="3711" spans="1:7" x14ac:dyDescent="0.2">
      <c r="A3711" s="12">
        <v>42284</v>
      </c>
      <c r="B3711" s="9">
        <v>1471.64</v>
      </c>
      <c r="C3711" s="9">
        <v>1452.01</v>
      </c>
      <c r="D3711" s="9">
        <v>1452.01</v>
      </c>
      <c r="E3711" s="9">
        <f t="shared" ref="E3711:E3774" si="175">LN(D3711/D3710)</f>
        <v>-3.533669752451602E-3</v>
      </c>
      <c r="F3711" s="45">
        <f t="shared" si="173"/>
        <v>-4.2539949589626381E-3</v>
      </c>
      <c r="G3711" s="9">
        <f t="shared" si="174"/>
        <v>1.6312732111394897E-2</v>
      </c>
    </row>
    <row r="3712" spans="1:7" x14ac:dyDescent="0.2">
      <c r="A3712" s="12">
        <v>42285</v>
      </c>
      <c r="B3712" s="9">
        <v>1464.99</v>
      </c>
      <c r="C3712" s="9">
        <v>1447.36</v>
      </c>
      <c r="D3712" s="9">
        <v>1464.49</v>
      </c>
      <c r="E3712" s="9">
        <f t="shared" si="175"/>
        <v>8.5582555620743114E-3</v>
      </c>
      <c r="F3712" s="45">
        <f t="shared" si="173"/>
        <v>-2.5862900399823131E-2</v>
      </c>
      <c r="G3712" s="9">
        <f t="shared" si="174"/>
        <v>1.537860657973673E-2</v>
      </c>
    </row>
    <row r="3713" spans="1:7" x14ac:dyDescent="0.2">
      <c r="A3713" s="12">
        <v>42286</v>
      </c>
      <c r="B3713" s="9">
        <v>1490.2</v>
      </c>
      <c r="C3713" s="9">
        <v>1473.99</v>
      </c>
      <c r="D3713" s="9">
        <v>1483.74</v>
      </c>
      <c r="E3713" s="9">
        <f t="shared" si="175"/>
        <v>1.3058868245859136E-2</v>
      </c>
      <c r="F3713" s="45">
        <f t="shared" si="173"/>
        <v>-1.7351652163001552E-2</v>
      </c>
      <c r="G3713" s="9">
        <f t="shared" si="174"/>
        <v>1.5559295024313252E-2</v>
      </c>
    </row>
    <row r="3714" spans="1:7" x14ac:dyDescent="0.2">
      <c r="A3714" s="12">
        <v>42289</v>
      </c>
      <c r="B3714" s="9">
        <v>1504.6</v>
      </c>
      <c r="C3714" s="9">
        <v>1472.52</v>
      </c>
      <c r="D3714" s="9">
        <v>1481.43</v>
      </c>
      <c r="E3714" s="9">
        <f t="shared" si="175"/>
        <v>-1.5580897333517438E-3</v>
      </c>
      <c r="F3714" s="45">
        <f t="shared" si="173"/>
        <v>-1.3170349634390661E-2</v>
      </c>
      <c r="G3714" s="9">
        <f t="shared" si="174"/>
        <v>1.5530170043120158E-2</v>
      </c>
    </row>
    <row r="3715" spans="1:7" x14ac:dyDescent="0.2">
      <c r="A3715" s="12">
        <v>42290</v>
      </c>
      <c r="B3715" s="9">
        <v>1483.47</v>
      </c>
      <c r="C3715" s="9">
        <v>1452.78</v>
      </c>
      <c r="D3715" s="9">
        <v>1460.11</v>
      </c>
      <c r="E3715" s="9">
        <f t="shared" si="175"/>
        <v>-1.4496062157914633E-2</v>
      </c>
      <c r="F3715" s="45">
        <f t="shared" si="173"/>
        <v>-6.6553828120739945E-3</v>
      </c>
      <c r="G3715" s="9">
        <f t="shared" si="174"/>
        <v>1.5276054296321234E-2</v>
      </c>
    </row>
    <row r="3716" spans="1:7" x14ac:dyDescent="0.2">
      <c r="A3716" s="12">
        <v>42291</v>
      </c>
      <c r="B3716" s="9">
        <v>1455.06</v>
      </c>
      <c r="C3716" s="9">
        <v>1441.29</v>
      </c>
      <c r="D3716" s="9">
        <v>1442.75</v>
      </c>
      <c r="E3716" s="9">
        <f t="shared" si="175"/>
        <v>-1.1960760738958617E-2</v>
      </c>
      <c r="F3716" s="45">
        <f t="shared" si="173"/>
        <v>-1.9738069845972681E-2</v>
      </c>
      <c r="G3716" s="9">
        <f t="shared" si="174"/>
        <v>1.5422406874796684E-2</v>
      </c>
    </row>
    <row r="3717" spans="1:7" x14ac:dyDescent="0.2">
      <c r="A3717" s="12">
        <v>42292</v>
      </c>
      <c r="B3717" s="9">
        <v>1453.87</v>
      </c>
      <c r="C3717" s="9">
        <v>1441.76</v>
      </c>
      <c r="D3717" s="9">
        <v>1453.87</v>
      </c>
      <c r="E3717" s="9">
        <f t="shared" si="175"/>
        <v>7.6779519770101045E-3</v>
      </c>
      <c r="F3717" s="45">
        <f t="shared" si="173"/>
        <v>-3.1376131723130217E-2</v>
      </c>
      <c r="G3717" s="9">
        <f t="shared" si="174"/>
        <v>1.5044396285049015E-2</v>
      </c>
    </row>
    <row r="3718" spans="1:7" x14ac:dyDescent="0.2">
      <c r="A3718" s="12">
        <v>42293</v>
      </c>
      <c r="B3718" s="9">
        <v>1469.71</v>
      </c>
      <c r="C3718" s="9">
        <v>1444.88</v>
      </c>
      <c r="D3718" s="9">
        <v>1452.36</v>
      </c>
      <c r="E3718" s="9">
        <f t="shared" si="175"/>
        <v>-1.0391470295731211E-3</v>
      </c>
      <c r="F3718" s="45">
        <f t="shared" si="173"/>
        <v>-6.2461164969530442E-3</v>
      </c>
      <c r="G3718" s="9">
        <f t="shared" si="174"/>
        <v>1.4277365283361284E-2</v>
      </c>
    </row>
    <row r="3719" spans="1:7" x14ac:dyDescent="0.2">
      <c r="A3719" s="12">
        <v>42296</v>
      </c>
      <c r="B3719" s="9">
        <v>1466.74</v>
      </c>
      <c r="C3719" s="9">
        <v>1452.21</v>
      </c>
      <c r="D3719" s="9">
        <v>1458</v>
      </c>
      <c r="E3719" s="9">
        <f t="shared" si="175"/>
        <v>3.8758140300906938E-3</v>
      </c>
      <c r="F3719" s="45">
        <f t="shared" si="173"/>
        <v>-9.3865353397673337E-3</v>
      </c>
      <c r="G3719" s="9">
        <f t="shared" si="174"/>
        <v>1.4234016563606068E-2</v>
      </c>
    </row>
    <row r="3720" spans="1:7" x14ac:dyDescent="0.2">
      <c r="A3720" s="12">
        <v>42297</v>
      </c>
      <c r="B3720" s="9">
        <v>1471.82</v>
      </c>
      <c r="C3720" s="9">
        <v>1449.55</v>
      </c>
      <c r="D3720" s="9">
        <v>1466.67</v>
      </c>
      <c r="E3720" s="9">
        <f t="shared" si="175"/>
        <v>5.9288913943295668E-3</v>
      </c>
      <c r="F3720" s="45">
        <f t="shared" si="173"/>
        <v>-1.5029634472775253E-2</v>
      </c>
      <c r="G3720" s="9">
        <f t="shared" si="174"/>
        <v>1.4108272976049293E-2</v>
      </c>
    </row>
    <row r="3721" spans="1:7" x14ac:dyDescent="0.2">
      <c r="A3721" s="12">
        <v>42298</v>
      </c>
      <c r="B3721" s="9">
        <v>1463.14</v>
      </c>
      <c r="C3721" s="9">
        <v>1443.16</v>
      </c>
      <c r="D3721" s="9">
        <v>1452.09</v>
      </c>
      <c r="E3721" s="9">
        <f t="shared" si="175"/>
        <v>-9.9906270280131857E-3</v>
      </c>
      <c r="F3721" s="45">
        <f t="shared" si="173"/>
        <v>-3.7216552239241835E-2</v>
      </c>
      <c r="G3721" s="9">
        <f t="shared" si="174"/>
        <v>1.4000839076248557E-2</v>
      </c>
    </row>
    <row r="3722" spans="1:7" x14ac:dyDescent="0.2">
      <c r="A3722" s="12">
        <v>42299</v>
      </c>
      <c r="B3722" s="9">
        <v>1485.66</v>
      </c>
      <c r="C3722" s="9">
        <v>1434.72</v>
      </c>
      <c r="D3722" s="9">
        <v>1484.47</v>
      </c>
      <c r="E3722" s="9">
        <f t="shared" si="175"/>
        <v>2.2053908240173673E-2</v>
      </c>
      <c r="F3722" s="45">
        <f t="shared" si="173"/>
        <v>-6.6335234956337941E-3</v>
      </c>
      <c r="G3722" s="9">
        <f t="shared" si="174"/>
        <v>1.4554312778670905E-2</v>
      </c>
    </row>
    <row r="3723" spans="1:7" x14ac:dyDescent="0.2">
      <c r="A3723" s="12">
        <v>42300</v>
      </c>
      <c r="B3723" s="9">
        <v>1514.85</v>
      </c>
      <c r="C3723" s="9">
        <v>1486.1</v>
      </c>
      <c r="D3723" s="9">
        <v>1506.59</v>
      </c>
      <c r="E3723" s="9">
        <f t="shared" si="175"/>
        <v>1.4791012732638293E-2</v>
      </c>
      <c r="F3723" s="45">
        <f t="shared" si="173"/>
        <v>1.2140382833808224E-2</v>
      </c>
      <c r="G3723" s="9">
        <f t="shared" si="174"/>
        <v>1.4788715448863593E-2</v>
      </c>
    </row>
    <row r="3724" spans="1:7" x14ac:dyDescent="0.2">
      <c r="A3724" s="12">
        <v>42303</v>
      </c>
      <c r="B3724" s="9">
        <v>1515.23</v>
      </c>
      <c r="C3724" s="9">
        <v>1499.29</v>
      </c>
      <c r="D3724" s="9">
        <v>1506.16</v>
      </c>
      <c r="E3724" s="9">
        <f t="shared" si="175"/>
        <v>-2.8545349127522061E-4</v>
      </c>
      <c r="F3724" s="45">
        <f t="shared" si="173"/>
        <v>2.5846375863756602E-2</v>
      </c>
      <c r="G3724" s="9">
        <f t="shared" si="174"/>
        <v>1.453822911373214E-2</v>
      </c>
    </row>
    <row r="3725" spans="1:7" x14ac:dyDescent="0.2">
      <c r="A3725" s="12">
        <v>42304</v>
      </c>
      <c r="B3725" s="9">
        <v>1504.08</v>
      </c>
      <c r="C3725" s="9">
        <v>1485.72</v>
      </c>
      <c r="D3725" s="9">
        <v>1487.03</v>
      </c>
      <c r="E3725" s="9">
        <f t="shared" si="175"/>
        <v>-1.2782523311122236E-2</v>
      </c>
      <c r="F3725" s="45">
        <f t="shared" si="173"/>
        <v>1.2144487598763611E-2</v>
      </c>
      <c r="G3725" s="9">
        <f t="shared" si="174"/>
        <v>1.4750034821264732E-2</v>
      </c>
    </row>
    <row r="3726" spans="1:7" x14ac:dyDescent="0.2">
      <c r="A3726" s="12">
        <v>42305</v>
      </c>
      <c r="B3726" s="9">
        <v>1503.22</v>
      </c>
      <c r="C3726" s="9">
        <v>1482.03</v>
      </c>
      <c r="D3726" s="9">
        <v>1499.64</v>
      </c>
      <c r="E3726" s="9">
        <f t="shared" si="175"/>
        <v>8.4442371803584264E-3</v>
      </c>
      <c r="F3726" s="45">
        <f t="shared" si="173"/>
        <v>1.071307132031912E-2</v>
      </c>
      <c r="G3726" s="9">
        <f t="shared" si="174"/>
        <v>1.4720627707143918E-2</v>
      </c>
    </row>
    <row r="3727" spans="1:7" x14ac:dyDescent="0.2">
      <c r="A3727" s="12">
        <v>42306</v>
      </c>
      <c r="B3727" s="9">
        <v>1505.98</v>
      </c>
      <c r="C3727" s="9">
        <v>1484.17</v>
      </c>
      <c r="D3727" s="9">
        <v>1495.86</v>
      </c>
      <c r="E3727" s="9">
        <f t="shared" si="175"/>
        <v>-2.5237870181224102E-3</v>
      </c>
      <c r="F3727" s="45">
        <f t="shared" si="173"/>
        <v>6.3038380377505206E-3</v>
      </c>
      <c r="G3727" s="9">
        <f t="shared" si="174"/>
        <v>1.4726852282942508E-2</v>
      </c>
    </row>
    <row r="3728" spans="1:7" x14ac:dyDescent="0.2">
      <c r="A3728" s="12">
        <v>42307</v>
      </c>
      <c r="B3728" s="9">
        <v>1508.45</v>
      </c>
      <c r="C3728" s="9">
        <v>1496.51</v>
      </c>
      <c r="D3728" s="9">
        <v>1499.23</v>
      </c>
      <c r="E3728" s="9">
        <f t="shared" si="175"/>
        <v>2.2503506887350988E-3</v>
      </c>
      <c r="F3728" s="45">
        <f t="shared" si="173"/>
        <v>3.1245555814507744E-2</v>
      </c>
      <c r="G3728" s="9">
        <f t="shared" si="174"/>
        <v>1.407917622472445E-2</v>
      </c>
    </row>
    <row r="3729" spans="1:7" x14ac:dyDescent="0.2">
      <c r="A3729" s="12">
        <v>42310</v>
      </c>
      <c r="B3729" s="9">
        <v>1509.7</v>
      </c>
      <c r="C3729" s="9">
        <v>1480.29</v>
      </c>
      <c r="D3729" s="9">
        <v>1502.44</v>
      </c>
      <c r="E3729" s="9">
        <f t="shared" si="175"/>
        <v>2.1388102114364206E-3</v>
      </c>
      <c r="F3729" s="45">
        <f t="shared" si="173"/>
        <v>2.6833757336259239E-2</v>
      </c>
      <c r="G3729" s="9">
        <f t="shared" si="174"/>
        <v>1.4042642038963622E-2</v>
      </c>
    </row>
    <row r="3730" spans="1:7" x14ac:dyDescent="0.2">
      <c r="A3730" s="12">
        <v>42311</v>
      </c>
      <c r="B3730" s="9">
        <v>1508.68</v>
      </c>
      <c r="C3730" s="9">
        <v>1496.13</v>
      </c>
      <c r="D3730" s="9">
        <v>1507.45</v>
      </c>
      <c r="E3730" s="9">
        <f t="shared" si="175"/>
        <v>3.3290283876909145E-3</v>
      </c>
      <c r="F3730" s="45">
        <f t="shared" si="173"/>
        <v>5.5974021086847223E-2</v>
      </c>
      <c r="G3730" s="9">
        <f t="shared" si="174"/>
        <v>1.3108441532851121E-2</v>
      </c>
    </row>
    <row r="3731" spans="1:7" x14ac:dyDescent="0.2">
      <c r="A3731" s="12">
        <v>42312</v>
      </c>
      <c r="B3731" s="9">
        <v>1533.95</v>
      </c>
      <c r="C3731" s="9">
        <v>1512.89</v>
      </c>
      <c r="D3731" s="9">
        <v>1529.43</v>
      </c>
      <c r="E3731" s="9">
        <f t="shared" si="175"/>
        <v>1.4475635397813939E-2</v>
      </c>
      <c r="F3731" s="45">
        <f t="shared" si="173"/>
        <v>7.3182464862192279E-2</v>
      </c>
      <c r="G3731" s="9">
        <f t="shared" si="174"/>
        <v>1.3275717593226596E-2</v>
      </c>
    </row>
    <row r="3732" spans="1:7" x14ac:dyDescent="0.2">
      <c r="A3732" s="12">
        <v>42313</v>
      </c>
      <c r="B3732" s="9">
        <v>1535.05</v>
      </c>
      <c r="C3732" s="9">
        <v>1521.13</v>
      </c>
      <c r="D3732" s="9">
        <v>1523.25</v>
      </c>
      <c r="E3732" s="9">
        <f t="shared" si="175"/>
        <v>-4.0489068246430159E-3</v>
      </c>
      <c r="F3732" s="45">
        <f t="shared" si="173"/>
        <v>9.7408555795713989E-2</v>
      </c>
      <c r="G3732" s="9">
        <f t="shared" si="174"/>
        <v>1.2020464370022558E-2</v>
      </c>
    </row>
    <row r="3733" spans="1:7" x14ac:dyDescent="0.2">
      <c r="A3733" s="12">
        <v>42314</v>
      </c>
      <c r="B3733" s="9">
        <v>1536.58</v>
      </c>
      <c r="C3733" s="9">
        <v>1516.54</v>
      </c>
      <c r="D3733" s="9">
        <v>1526.49</v>
      </c>
      <c r="E3733" s="9">
        <f t="shared" si="175"/>
        <v>2.1247720913632395E-3</v>
      </c>
      <c r="F3733" s="45">
        <f t="shared" si="173"/>
        <v>7.3392156295869662E-2</v>
      </c>
      <c r="G3733" s="9">
        <f t="shared" si="174"/>
        <v>1.1215972429468583E-2</v>
      </c>
    </row>
    <row r="3734" spans="1:7" x14ac:dyDescent="0.2">
      <c r="A3734" s="12">
        <v>42317</v>
      </c>
      <c r="B3734" s="9">
        <v>1537.25</v>
      </c>
      <c r="C3734" s="9">
        <v>1511.55</v>
      </c>
      <c r="D3734" s="9">
        <v>1511.55</v>
      </c>
      <c r="E3734" s="9">
        <f t="shared" si="175"/>
        <v>-9.8353678254459002E-3</v>
      </c>
      <c r="F3734" s="45">
        <f t="shared" si="173"/>
        <v>8.4278009942094556E-2</v>
      </c>
      <c r="G3734" s="9">
        <f t="shared" si="174"/>
        <v>1.0599765858076166E-2</v>
      </c>
    </row>
    <row r="3735" spans="1:7" x14ac:dyDescent="0.2">
      <c r="A3735" s="12">
        <v>42318</v>
      </c>
      <c r="B3735" s="9">
        <v>1517.85</v>
      </c>
      <c r="C3735" s="9">
        <v>1488.19</v>
      </c>
      <c r="D3735" s="9">
        <v>1499.4</v>
      </c>
      <c r="E3735" s="9">
        <f t="shared" si="175"/>
        <v>-8.0705863255593566E-3</v>
      </c>
      <c r="F3735" s="45">
        <f t="shared" si="173"/>
        <v>7.4409676787176526E-2</v>
      </c>
      <c r="G3735" s="9">
        <f t="shared" si="174"/>
        <v>1.0783764861600669E-2</v>
      </c>
    </row>
    <row r="3736" spans="1:7" x14ac:dyDescent="0.2">
      <c r="A3736" s="12">
        <v>42319</v>
      </c>
      <c r="B3736" s="9">
        <v>1518.3</v>
      </c>
      <c r="C3736" s="9">
        <v>1503.16</v>
      </c>
      <c r="D3736" s="9">
        <v>1511.46</v>
      </c>
      <c r="E3736" s="9">
        <f t="shared" si="175"/>
        <v>8.0110430226747742E-3</v>
      </c>
      <c r="F3736" s="45">
        <f t="shared" si="173"/>
        <v>6.4611742207451944E-2</v>
      </c>
      <c r="G3736" s="9">
        <f t="shared" si="174"/>
        <v>1.0446611680464136E-2</v>
      </c>
    </row>
    <row r="3737" spans="1:7" x14ac:dyDescent="0.2">
      <c r="A3737" s="12">
        <v>42320</v>
      </c>
      <c r="B3737" s="9">
        <v>1512.61</v>
      </c>
      <c r="C3737" s="9">
        <v>1487.96</v>
      </c>
      <c r="D3737" s="9">
        <v>1488.4</v>
      </c>
      <c r="E3737" s="9">
        <f t="shared" si="175"/>
        <v>-1.5374353619169008E-2</v>
      </c>
      <c r="F3737" s="45">
        <f t="shared" si="173"/>
        <v>5.8055950419459726E-2</v>
      </c>
      <c r="G3737" s="9">
        <f t="shared" si="174"/>
        <v>1.074826211663049E-2</v>
      </c>
    </row>
    <row r="3738" spans="1:7" x14ac:dyDescent="0.2">
      <c r="A3738" s="12">
        <v>42321</v>
      </c>
      <c r="B3738" s="9">
        <v>1485.56</v>
      </c>
      <c r="C3738" s="9">
        <v>1469</v>
      </c>
      <c r="D3738" s="9">
        <v>1476.21</v>
      </c>
      <c r="E3738" s="9">
        <f t="shared" si="175"/>
        <v>-8.2237250096157417E-3</v>
      </c>
      <c r="F3738" s="45">
        <f t="shared" si="173"/>
        <v>4.3861973658760475E-2</v>
      </c>
      <c r="G3738" s="9">
        <f t="shared" si="174"/>
        <v>1.0876160980539984E-2</v>
      </c>
    </row>
    <row r="3739" spans="1:7" x14ac:dyDescent="0.2">
      <c r="A3739" s="12">
        <v>42324</v>
      </c>
      <c r="B3739" s="9">
        <v>1485.68</v>
      </c>
      <c r="C3739" s="9">
        <v>1458.52</v>
      </c>
      <c r="D3739" s="9">
        <v>1479.04</v>
      </c>
      <c r="E3739" s="9">
        <f t="shared" si="175"/>
        <v>1.9152361831094198E-3</v>
      </c>
      <c r="F3739" s="45">
        <f t="shared" si="173"/>
        <v>1.5034291916684995E-2</v>
      </c>
      <c r="G3739" s="9">
        <f t="shared" si="174"/>
        <v>9.3690085951796398E-3</v>
      </c>
    </row>
    <row r="3740" spans="1:7" x14ac:dyDescent="0.2">
      <c r="A3740" s="12">
        <v>42325</v>
      </c>
      <c r="B3740" s="9">
        <v>1514.33</v>
      </c>
      <c r="C3740" s="9">
        <v>1479.24</v>
      </c>
      <c r="D3740" s="9">
        <v>1513.93</v>
      </c>
      <c r="E3740" s="9">
        <f t="shared" si="175"/>
        <v>2.3315690143850598E-2</v>
      </c>
      <c r="F3740" s="45">
        <f t="shared" si="173"/>
        <v>3.8226445623992855E-2</v>
      </c>
      <c r="G3740" s="9">
        <f t="shared" si="174"/>
        <v>1.0252002515156667E-2</v>
      </c>
    </row>
    <row r="3741" spans="1:7" x14ac:dyDescent="0.2">
      <c r="A3741" s="12">
        <v>42326</v>
      </c>
      <c r="B3741" s="9">
        <v>1515.21</v>
      </c>
      <c r="C3741" s="9">
        <v>1504.38</v>
      </c>
      <c r="D3741" s="9">
        <v>1514.18</v>
      </c>
      <c r="E3741" s="9">
        <f t="shared" si="175"/>
        <v>1.6511949735507024E-4</v>
      </c>
      <c r="F3741" s="45">
        <f t="shared" si="173"/>
        <v>4.1925234873799559E-2</v>
      </c>
      <c r="G3741" s="9">
        <f t="shared" si="174"/>
        <v>1.0214360099359592E-2</v>
      </c>
    </row>
    <row r="3742" spans="1:7" x14ac:dyDescent="0.2">
      <c r="A3742" s="12">
        <v>42327</v>
      </c>
      <c r="B3742" s="9">
        <v>1530.91</v>
      </c>
      <c r="C3742" s="9">
        <v>1507.83</v>
      </c>
      <c r="D3742" s="9">
        <v>1512.77</v>
      </c>
      <c r="E3742" s="9">
        <f t="shared" si="175"/>
        <v>-9.3163091691806786E-4</v>
      </c>
      <c r="F3742" s="45">
        <f t="shared" si="173"/>
        <v>3.2435348394807183E-2</v>
      </c>
      <c r="G3742" s="9">
        <f t="shared" si="174"/>
        <v>1.0131562262745711E-2</v>
      </c>
    </row>
    <row r="3743" spans="1:7" x14ac:dyDescent="0.2">
      <c r="A3743" s="12">
        <v>42328</v>
      </c>
      <c r="B3743" s="9">
        <v>1525.48</v>
      </c>
      <c r="C3743" s="9">
        <v>1505.94</v>
      </c>
      <c r="D3743" s="9">
        <v>1521.87</v>
      </c>
      <c r="E3743" s="9">
        <f t="shared" si="175"/>
        <v>5.9974344743640839E-3</v>
      </c>
      <c r="F3743" s="45">
        <f t="shared" si="173"/>
        <v>2.5373914623312167E-2</v>
      </c>
      <c r="G3743" s="9">
        <f t="shared" si="174"/>
        <v>9.9235881519054801E-3</v>
      </c>
    </row>
    <row r="3744" spans="1:7" x14ac:dyDescent="0.2">
      <c r="A3744" s="12">
        <v>42331</v>
      </c>
      <c r="B3744" s="9">
        <v>1521.87</v>
      </c>
      <c r="C3744" s="9">
        <v>1509.27</v>
      </c>
      <c r="D3744" s="9">
        <v>1515.8</v>
      </c>
      <c r="E3744" s="9">
        <f t="shared" si="175"/>
        <v>-3.9964894666842275E-3</v>
      </c>
      <c r="F3744" s="45">
        <f t="shared" si="173"/>
        <v>2.2935514889979563E-2</v>
      </c>
      <c r="G3744" s="9">
        <f t="shared" si="174"/>
        <v>9.9538960088449598E-3</v>
      </c>
    </row>
    <row r="3745" spans="1:7" x14ac:dyDescent="0.2">
      <c r="A3745" s="12">
        <v>42332</v>
      </c>
      <c r="B3745" s="9">
        <v>1515.8</v>
      </c>
      <c r="C3745" s="9">
        <v>1486.74</v>
      </c>
      <c r="D3745" s="9">
        <v>1488.89</v>
      </c>
      <c r="E3745" s="9">
        <f t="shared" si="175"/>
        <v>-1.7912476506766986E-2</v>
      </c>
      <c r="F3745" s="45">
        <f t="shared" ref="F3745:F3808" si="176">LN(D3745/D3715)</f>
        <v>1.9519100541127193E-2</v>
      </c>
      <c r="G3745" s="9">
        <f t="shared" ref="G3745:G3808" si="177">STDEV(E3716:E3745)</f>
        <v>1.0152079921634832E-2</v>
      </c>
    </row>
    <row r="3746" spans="1:7" x14ac:dyDescent="0.2">
      <c r="A3746" s="12">
        <v>42333</v>
      </c>
      <c r="B3746" s="9">
        <v>1508.38</v>
      </c>
      <c r="C3746" s="9">
        <v>1487.95</v>
      </c>
      <c r="D3746" s="9">
        <v>1506.52</v>
      </c>
      <c r="E3746" s="9">
        <f t="shared" si="175"/>
        <v>1.1771479415917193E-2</v>
      </c>
      <c r="F3746" s="45">
        <f t="shared" si="176"/>
        <v>4.3251340696002998E-2</v>
      </c>
      <c r="G3746" s="9">
        <f t="shared" si="177"/>
        <v>1.0059699212794558E-2</v>
      </c>
    </row>
    <row r="3747" spans="1:7" x14ac:dyDescent="0.2">
      <c r="A3747" s="12">
        <v>42334</v>
      </c>
      <c r="B3747" s="9">
        <v>1524.62</v>
      </c>
      <c r="C3747" s="9">
        <v>1502.3</v>
      </c>
      <c r="D3747" s="9">
        <v>1522.28</v>
      </c>
      <c r="E3747" s="9">
        <f t="shared" si="175"/>
        <v>1.0406855676979111E-2</v>
      </c>
      <c r="F3747" s="45">
        <f t="shared" si="176"/>
        <v>4.5980244395972217E-2</v>
      </c>
      <c r="G3747" s="9">
        <f t="shared" si="177"/>
        <v>1.0130125410943007E-2</v>
      </c>
    </row>
    <row r="3748" spans="1:7" x14ac:dyDescent="0.2">
      <c r="A3748" s="12">
        <v>42335</v>
      </c>
      <c r="B3748" s="9">
        <v>1527.62</v>
      </c>
      <c r="C3748" s="9">
        <v>1511.62</v>
      </c>
      <c r="D3748" s="9">
        <v>1522</v>
      </c>
      <c r="E3748" s="9">
        <f t="shared" si="175"/>
        <v>-1.8395154242675389E-4</v>
      </c>
      <c r="F3748" s="45">
        <f t="shared" si="176"/>
        <v>4.683543988311855E-2</v>
      </c>
      <c r="G3748" s="9">
        <f t="shared" si="177"/>
        <v>1.0123839983291388E-2</v>
      </c>
    </row>
    <row r="3749" spans="1:7" x14ac:dyDescent="0.2">
      <c r="A3749" s="12">
        <v>42338</v>
      </c>
      <c r="B3749" s="9">
        <v>1542.12</v>
      </c>
      <c r="C3749" s="9">
        <v>1515.33</v>
      </c>
      <c r="D3749" s="9">
        <v>1536.05</v>
      </c>
      <c r="E3749" s="9">
        <f t="shared" si="175"/>
        <v>9.1889268395120988E-3</v>
      </c>
      <c r="F3749" s="45">
        <f t="shared" si="176"/>
        <v>5.2148552692539735E-2</v>
      </c>
      <c r="G3749" s="9">
        <f t="shared" si="177"/>
        <v>1.0211818624517787E-2</v>
      </c>
    </row>
    <row r="3750" spans="1:7" x14ac:dyDescent="0.2">
      <c r="A3750" s="12">
        <v>42339</v>
      </c>
      <c r="B3750" s="9">
        <v>1546.53</v>
      </c>
      <c r="C3750" s="9">
        <v>1527.45</v>
      </c>
      <c r="D3750" s="9">
        <v>1530.52</v>
      </c>
      <c r="E3750" s="9">
        <f t="shared" si="175"/>
        <v>-3.6066393360975543E-3</v>
      </c>
      <c r="F3750" s="45">
        <f t="shared" si="176"/>
        <v>4.2613021962112765E-2</v>
      </c>
      <c r="G3750" s="9">
        <f t="shared" si="177"/>
        <v>1.0225276501933996E-2</v>
      </c>
    </row>
    <row r="3751" spans="1:7" x14ac:dyDescent="0.2">
      <c r="A3751" s="12">
        <v>42340</v>
      </c>
      <c r="B3751" s="9">
        <v>1539.54</v>
      </c>
      <c r="C3751" s="9">
        <v>1521.64</v>
      </c>
      <c r="D3751" s="9">
        <v>1533.87</v>
      </c>
      <c r="E3751" s="9">
        <f t="shared" si="175"/>
        <v>2.1864066483188484E-3</v>
      </c>
      <c r="F3751" s="45">
        <f t="shared" si="176"/>
        <v>5.4790055638444669E-2</v>
      </c>
      <c r="G3751" s="9">
        <f t="shared" si="177"/>
        <v>9.995798830906677E-3</v>
      </c>
    </row>
    <row r="3752" spans="1:7" x14ac:dyDescent="0.2">
      <c r="A3752" s="12">
        <v>42341</v>
      </c>
      <c r="B3752" s="9">
        <v>1544.94</v>
      </c>
      <c r="C3752" s="9">
        <v>1502.41</v>
      </c>
      <c r="D3752" s="9">
        <v>1502.41</v>
      </c>
      <c r="E3752" s="9">
        <f t="shared" si="175"/>
        <v>-2.0723468124477829E-2</v>
      </c>
      <c r="F3752" s="45">
        <f t="shared" si="176"/>
        <v>1.2012679273793242E-2</v>
      </c>
      <c r="G3752" s="9">
        <f t="shared" si="177"/>
        <v>1.0061716371706352E-2</v>
      </c>
    </row>
    <row r="3753" spans="1:7" x14ac:dyDescent="0.2">
      <c r="A3753" s="12">
        <v>42342</v>
      </c>
      <c r="B3753" s="9">
        <v>1501.98</v>
      </c>
      <c r="C3753" s="9">
        <v>1475.79</v>
      </c>
      <c r="D3753" s="9">
        <v>1485.32</v>
      </c>
      <c r="E3753" s="9">
        <f t="shared" si="175"/>
        <v>-1.1440248210849151E-2</v>
      </c>
      <c r="F3753" s="45">
        <f t="shared" si="176"/>
        <v>-1.4218581669694075E-2</v>
      </c>
      <c r="G3753" s="9">
        <f t="shared" si="177"/>
        <v>9.9066024461430952E-3</v>
      </c>
    </row>
    <row r="3754" spans="1:7" x14ac:dyDescent="0.2">
      <c r="A3754" s="12">
        <v>42345</v>
      </c>
      <c r="B3754" s="9">
        <v>1504.61</v>
      </c>
      <c r="C3754" s="9">
        <v>1489.62</v>
      </c>
      <c r="D3754" s="9">
        <v>1494.52</v>
      </c>
      <c r="E3754" s="9">
        <f t="shared" si="175"/>
        <v>6.1748477985527324E-3</v>
      </c>
      <c r="F3754" s="45">
        <f t="shared" si="176"/>
        <v>-7.7582803798662437E-3</v>
      </c>
      <c r="G3754" s="9">
        <f t="shared" si="177"/>
        <v>9.9807784612195374E-3</v>
      </c>
    </row>
    <row r="3755" spans="1:7" x14ac:dyDescent="0.2">
      <c r="A3755" s="12">
        <v>42346</v>
      </c>
      <c r="B3755" s="9">
        <v>1494.06</v>
      </c>
      <c r="C3755" s="9">
        <v>1450.44</v>
      </c>
      <c r="D3755" s="9">
        <v>1454.99</v>
      </c>
      <c r="E3755" s="9">
        <f t="shared" si="175"/>
        <v>-2.6806057306849075E-2</v>
      </c>
      <c r="F3755" s="45">
        <f t="shared" si="176"/>
        <v>-2.178181437559313E-2</v>
      </c>
      <c r="G3755" s="9">
        <f t="shared" si="177"/>
        <v>1.0875828113435871E-2</v>
      </c>
    </row>
    <row r="3756" spans="1:7" x14ac:dyDescent="0.2">
      <c r="A3756" s="12">
        <v>42347</v>
      </c>
      <c r="B3756" s="9">
        <v>1460.85</v>
      </c>
      <c r="C3756" s="9">
        <v>1428.62</v>
      </c>
      <c r="D3756" s="9">
        <v>1440.94</v>
      </c>
      <c r="E3756" s="9">
        <f t="shared" si="175"/>
        <v>-9.7033493486555888E-3</v>
      </c>
      <c r="F3756" s="45">
        <f t="shared" si="176"/>
        <v>-3.9929400904607185E-2</v>
      </c>
      <c r="G3756" s="9">
        <f t="shared" si="177"/>
        <v>1.0852848035271236E-2</v>
      </c>
    </row>
    <row r="3757" spans="1:7" x14ac:dyDescent="0.2">
      <c r="A3757" s="12">
        <v>42348</v>
      </c>
      <c r="B3757" s="9">
        <v>1444.67</v>
      </c>
      <c r="C3757" s="9">
        <v>1427.59</v>
      </c>
      <c r="D3757" s="9">
        <v>1433.41</v>
      </c>
      <c r="E3757" s="9">
        <f t="shared" si="175"/>
        <v>-5.2394574259002182E-3</v>
      </c>
      <c r="F3757" s="45">
        <f t="shared" si="176"/>
        <v>-4.2645071312385048E-2</v>
      </c>
      <c r="G3757" s="9">
        <f t="shared" si="177"/>
        <v>1.0874444229964688E-2</v>
      </c>
    </row>
    <row r="3758" spans="1:7" x14ac:dyDescent="0.2">
      <c r="A3758" s="12">
        <v>42349</v>
      </c>
      <c r="B3758" s="9">
        <v>1433.38</v>
      </c>
      <c r="C3758" s="9">
        <v>1399.9</v>
      </c>
      <c r="D3758" s="9">
        <v>1401.14</v>
      </c>
      <c r="E3758" s="9">
        <f t="shared" si="175"/>
        <v>-2.2770029988297739E-2</v>
      </c>
      <c r="F3758" s="45">
        <f t="shared" si="176"/>
        <v>-6.7665451989418035E-2</v>
      </c>
      <c r="G3758" s="9">
        <f t="shared" si="177"/>
        <v>1.1523233492060277E-2</v>
      </c>
    </row>
    <row r="3759" spans="1:7" x14ac:dyDescent="0.2">
      <c r="A3759" s="12">
        <v>42352</v>
      </c>
      <c r="B3759" s="9">
        <v>1418.66</v>
      </c>
      <c r="C3759" s="9">
        <v>1388.78</v>
      </c>
      <c r="D3759" s="9">
        <v>1389.26</v>
      </c>
      <c r="E3759" s="9">
        <f t="shared" si="175"/>
        <v>-8.5149597042766256E-3</v>
      </c>
      <c r="F3759" s="45">
        <f t="shared" si="176"/>
        <v>-7.831922190513109E-2</v>
      </c>
      <c r="G3759" s="9">
        <f t="shared" si="177"/>
        <v>1.1547278405543485E-2</v>
      </c>
    </row>
    <row r="3760" spans="1:7" x14ac:dyDescent="0.2">
      <c r="A3760" s="12">
        <v>42353</v>
      </c>
      <c r="B3760" s="9">
        <v>1427.11</v>
      </c>
      <c r="C3760" s="9">
        <v>1389.26</v>
      </c>
      <c r="D3760" s="9">
        <v>1426.47</v>
      </c>
      <c r="E3760" s="9">
        <f t="shared" si="175"/>
        <v>2.6431629675583303E-2</v>
      </c>
      <c r="F3760" s="45">
        <f t="shared" si="176"/>
        <v>-5.5216620617238817E-2</v>
      </c>
      <c r="G3760" s="9">
        <f t="shared" si="177"/>
        <v>1.2672577390136759E-2</v>
      </c>
    </row>
    <row r="3761" spans="1:7" x14ac:dyDescent="0.2">
      <c r="A3761" s="12">
        <v>42354</v>
      </c>
      <c r="B3761" s="9">
        <v>1439.5</v>
      </c>
      <c r="C3761" s="9">
        <v>1418.87</v>
      </c>
      <c r="D3761" s="9">
        <v>1428.02</v>
      </c>
      <c r="E3761" s="9">
        <f t="shared" si="175"/>
        <v>1.0860084654988379E-3</v>
      </c>
      <c r="F3761" s="45">
        <f t="shared" si="176"/>
        <v>-6.8606247549553745E-2</v>
      </c>
      <c r="G3761" s="9">
        <f t="shared" si="177"/>
        <v>1.2308677866891771E-2</v>
      </c>
    </row>
    <row r="3762" spans="1:7" x14ac:dyDescent="0.2">
      <c r="A3762" s="12">
        <v>42355</v>
      </c>
      <c r="B3762" s="9">
        <v>1461.49</v>
      </c>
      <c r="C3762" s="9">
        <v>1429.72</v>
      </c>
      <c r="D3762" s="9">
        <v>1438.32</v>
      </c>
      <c r="E3762" s="9">
        <f t="shared" si="175"/>
        <v>7.186896414346315E-3</v>
      </c>
      <c r="F3762" s="45">
        <f t="shared" si="176"/>
        <v>-5.7370444310564317E-2</v>
      </c>
      <c r="G3762" s="9">
        <f t="shared" si="177"/>
        <v>1.2423618291000015E-2</v>
      </c>
    </row>
    <row r="3763" spans="1:7" x14ac:dyDescent="0.2">
      <c r="A3763" s="12">
        <v>42356</v>
      </c>
      <c r="B3763" s="9">
        <v>1435.79</v>
      </c>
      <c r="C3763" s="9">
        <v>1415.12</v>
      </c>
      <c r="D3763" s="9">
        <v>1422.63</v>
      </c>
      <c r="E3763" s="9">
        <f t="shared" si="175"/>
        <v>-1.0968494592515894E-2</v>
      </c>
      <c r="F3763" s="45">
        <f t="shared" si="176"/>
        <v>-7.0463710994443485E-2</v>
      </c>
      <c r="G3763" s="9">
        <f t="shared" si="177"/>
        <v>1.2506609902117946E-2</v>
      </c>
    </row>
    <row r="3764" spans="1:7" x14ac:dyDescent="0.2">
      <c r="A3764" s="12">
        <v>42359</v>
      </c>
      <c r="B3764" s="9">
        <v>1443.8</v>
      </c>
      <c r="C3764" s="9">
        <v>1419.13</v>
      </c>
      <c r="D3764" s="9">
        <v>1419.13</v>
      </c>
      <c r="E3764" s="9">
        <f t="shared" si="175"/>
        <v>-2.4632634492258525E-3</v>
      </c>
      <c r="F3764" s="45">
        <f t="shared" si="176"/>
        <v>-6.3091606618223398E-2</v>
      </c>
      <c r="G3764" s="9">
        <f t="shared" si="177"/>
        <v>1.2426606758907657E-2</v>
      </c>
    </row>
    <row r="3765" spans="1:7" x14ac:dyDescent="0.2">
      <c r="A3765" s="12">
        <v>42360</v>
      </c>
      <c r="B3765" s="9">
        <v>1428.45</v>
      </c>
      <c r="C3765" s="9">
        <v>1410.24</v>
      </c>
      <c r="D3765" s="9">
        <v>1413.74</v>
      </c>
      <c r="E3765" s="9">
        <f t="shared" si="175"/>
        <v>-3.805332757367753E-3</v>
      </c>
      <c r="F3765" s="45">
        <f t="shared" si="176"/>
        <v>-5.8826353050031789E-2</v>
      </c>
      <c r="G3765" s="9">
        <f t="shared" si="177"/>
        <v>1.2380290237876949E-2</v>
      </c>
    </row>
    <row r="3766" spans="1:7" x14ac:dyDescent="0.2">
      <c r="A3766" s="12">
        <v>42361</v>
      </c>
      <c r="B3766" s="9">
        <v>1446.69</v>
      </c>
      <c r="C3766" s="9">
        <v>1415.01</v>
      </c>
      <c r="D3766" s="9">
        <v>1446.69</v>
      </c>
      <c r="E3766" s="9">
        <f t="shared" si="175"/>
        <v>2.3039513309597477E-2</v>
      </c>
      <c r="F3766" s="45">
        <f t="shared" si="176"/>
        <v>-4.3797882763109044E-2</v>
      </c>
      <c r="G3766" s="9">
        <f t="shared" si="177"/>
        <v>1.3081874638107839E-2</v>
      </c>
    </row>
    <row r="3767" spans="1:7" x14ac:dyDescent="0.2">
      <c r="A3767" s="12">
        <v>42366</v>
      </c>
      <c r="B3767" s="9">
        <v>1451.71</v>
      </c>
      <c r="C3767" s="9">
        <v>1432.55</v>
      </c>
      <c r="D3767" s="9">
        <v>1434.06</v>
      </c>
      <c r="E3767" s="9">
        <f t="shared" si="175"/>
        <v>-8.7686060400881966E-3</v>
      </c>
      <c r="F3767" s="45">
        <f t="shared" si="176"/>
        <v>-3.7192135184028134E-2</v>
      </c>
      <c r="G3767" s="9">
        <f t="shared" si="177"/>
        <v>1.2893835603518649E-2</v>
      </c>
    </row>
    <row r="3768" spans="1:7" x14ac:dyDescent="0.2">
      <c r="A3768" s="12">
        <v>42367</v>
      </c>
      <c r="B3768" s="9">
        <v>1452.95</v>
      </c>
      <c r="C3768" s="9">
        <v>1435.12</v>
      </c>
      <c r="D3768" s="9">
        <v>1452.95</v>
      </c>
      <c r="E3768" s="9">
        <f t="shared" si="175"/>
        <v>1.3086390127467176E-2</v>
      </c>
      <c r="F3768" s="45">
        <f t="shared" si="176"/>
        <v>-1.5882020046945101E-2</v>
      </c>
      <c r="G3768" s="9">
        <f t="shared" si="177"/>
        <v>1.3081446982303093E-2</v>
      </c>
    </row>
    <row r="3769" spans="1:7" x14ac:dyDescent="0.2">
      <c r="A3769" s="12">
        <v>42368</v>
      </c>
      <c r="B3769" s="9">
        <v>1455.42</v>
      </c>
      <c r="C3769" s="9">
        <v>1442.17</v>
      </c>
      <c r="D3769" s="9">
        <v>1446.82</v>
      </c>
      <c r="E3769" s="9">
        <f t="shared" si="175"/>
        <v>-4.2279278227819244E-3</v>
      </c>
      <c r="F3769" s="45">
        <f t="shared" si="176"/>
        <v>-2.2025184052836461E-2</v>
      </c>
      <c r="G3769" s="9">
        <f t="shared" si="177"/>
        <v>1.308993862680391E-2</v>
      </c>
    </row>
    <row r="3770" spans="1:7" x14ac:dyDescent="0.2">
      <c r="A3770" s="12">
        <v>42373</v>
      </c>
      <c r="B3770" s="9">
        <v>1441.34</v>
      </c>
      <c r="C3770" s="9">
        <v>1394.27</v>
      </c>
      <c r="D3770" s="9">
        <v>1394.39</v>
      </c>
      <c r="E3770" s="9">
        <f t="shared" si="175"/>
        <v>-3.691100095634528E-2</v>
      </c>
      <c r="F3770" s="45">
        <f t="shared" si="176"/>
        <v>-8.2251875153032256E-2</v>
      </c>
      <c r="G3770" s="9">
        <f t="shared" si="177"/>
        <v>1.3869473816700745E-2</v>
      </c>
    </row>
    <row r="3771" spans="1:7" x14ac:dyDescent="0.2">
      <c r="A3771" s="12">
        <v>42374</v>
      </c>
      <c r="B3771" s="9">
        <v>1410.47</v>
      </c>
      <c r="C3771" s="9">
        <v>1384.05</v>
      </c>
      <c r="D3771" s="9">
        <v>1387.03</v>
      </c>
      <c r="E3771" s="9">
        <f t="shared" si="175"/>
        <v>-5.2922731398545864E-3</v>
      </c>
      <c r="F3771" s="45">
        <f t="shared" si="176"/>
        <v>-8.7709267790241977E-2</v>
      </c>
      <c r="G3771" s="9">
        <f t="shared" si="177"/>
        <v>1.3865821970752756E-2</v>
      </c>
    </row>
    <row r="3772" spans="1:7" x14ac:dyDescent="0.2">
      <c r="A3772" s="12">
        <v>42376</v>
      </c>
      <c r="B3772" s="9">
        <v>1379.66</v>
      </c>
      <c r="C3772" s="9">
        <v>1326.7</v>
      </c>
      <c r="D3772" s="9">
        <v>1357.12</v>
      </c>
      <c r="E3772" s="9">
        <f t="shared" si="175"/>
        <v>-2.1799963210699096E-2</v>
      </c>
      <c r="F3772" s="45">
        <f t="shared" si="176"/>
        <v>-0.10857760008402302</v>
      </c>
      <c r="G3772" s="9">
        <f t="shared" si="177"/>
        <v>1.427971878547998E-2</v>
      </c>
    </row>
    <row r="3773" spans="1:7" x14ac:dyDescent="0.2">
      <c r="A3773" s="12">
        <v>42377</v>
      </c>
      <c r="B3773" s="9">
        <v>1379.95</v>
      </c>
      <c r="C3773" s="9">
        <v>1348.76</v>
      </c>
      <c r="D3773" s="9">
        <v>1348.76</v>
      </c>
      <c r="E3773" s="9">
        <f t="shared" si="175"/>
        <v>-6.1791554688924574E-3</v>
      </c>
      <c r="F3773" s="45">
        <f t="shared" si="176"/>
        <v>-0.12075419002727968</v>
      </c>
      <c r="G3773" s="9">
        <f t="shared" si="177"/>
        <v>1.4169577406204829E-2</v>
      </c>
    </row>
    <row r="3774" spans="1:7" x14ac:dyDescent="0.2">
      <c r="A3774" s="12">
        <v>42380</v>
      </c>
      <c r="B3774" s="9">
        <v>1362.03</v>
      </c>
      <c r="C3774" s="9">
        <v>1342.68</v>
      </c>
      <c r="D3774" s="9">
        <v>1348.64</v>
      </c>
      <c r="E3774" s="9">
        <f t="shared" si="175"/>
        <v>-8.8974568161259094E-5</v>
      </c>
      <c r="F3774" s="45">
        <f t="shared" si="176"/>
        <v>-0.11684667512875664</v>
      </c>
      <c r="G3774" s="9">
        <f t="shared" si="177"/>
        <v>1.4187797587755192E-2</v>
      </c>
    </row>
    <row r="3775" spans="1:7" x14ac:dyDescent="0.2">
      <c r="A3775" s="12">
        <v>42381</v>
      </c>
      <c r="B3775" s="9">
        <v>1369.05</v>
      </c>
      <c r="C3775" s="9">
        <v>1345.67</v>
      </c>
      <c r="D3775" s="9">
        <v>1351.26</v>
      </c>
      <c r="E3775" s="9">
        <f t="shared" ref="E3775:E3838" si="178">LN(D3775/D3774)</f>
        <v>1.9408132319035714E-3</v>
      </c>
      <c r="F3775" s="45">
        <f t="shared" si="176"/>
        <v>-9.6993385390086034E-2</v>
      </c>
      <c r="G3775" s="9">
        <f t="shared" si="177"/>
        <v>1.3972804425697654E-2</v>
      </c>
    </row>
    <row r="3776" spans="1:7" x14ac:dyDescent="0.2">
      <c r="A3776" s="12">
        <v>42382</v>
      </c>
      <c r="B3776" s="9">
        <v>1377.87</v>
      </c>
      <c r="C3776" s="9">
        <v>1352.61</v>
      </c>
      <c r="D3776" s="9">
        <v>1360.98</v>
      </c>
      <c r="E3776" s="9">
        <f t="shared" si="178"/>
        <v>7.1675379852676087E-3</v>
      </c>
      <c r="F3776" s="45">
        <f t="shared" si="176"/>
        <v>-0.10159732682073559</v>
      </c>
      <c r="G3776" s="9">
        <f t="shared" si="177"/>
        <v>1.3826845263463325E-2</v>
      </c>
    </row>
    <row r="3777" spans="1:7" x14ac:dyDescent="0.2">
      <c r="A3777" s="12">
        <v>42383</v>
      </c>
      <c r="B3777" s="9">
        <v>1359.08</v>
      </c>
      <c r="C3777" s="9">
        <v>1326.71</v>
      </c>
      <c r="D3777" s="9">
        <v>1339.47</v>
      </c>
      <c r="E3777" s="9">
        <f t="shared" si="178"/>
        <v>-1.5931015149056597E-2</v>
      </c>
      <c r="F3777" s="45">
        <f t="shared" si="176"/>
        <v>-0.12793519764677133</v>
      </c>
      <c r="G3777" s="9">
        <f t="shared" si="177"/>
        <v>1.3756815465568811E-2</v>
      </c>
    </row>
    <row r="3778" spans="1:7" x14ac:dyDescent="0.2">
      <c r="A3778" s="12">
        <v>42384</v>
      </c>
      <c r="B3778" s="9">
        <v>1348.51</v>
      </c>
      <c r="C3778" s="9">
        <v>1296.92</v>
      </c>
      <c r="D3778" s="9">
        <v>1305.24</v>
      </c>
      <c r="E3778" s="9">
        <f t="shared" si="178"/>
        <v>-2.5887081423527414E-2</v>
      </c>
      <c r="F3778" s="45">
        <f t="shared" si="176"/>
        <v>-0.15363832752787188</v>
      </c>
      <c r="G3778" s="9">
        <f t="shared" si="177"/>
        <v>1.4284199490798141E-2</v>
      </c>
    </row>
    <row r="3779" spans="1:7" x14ac:dyDescent="0.2">
      <c r="A3779" s="12">
        <v>42387</v>
      </c>
      <c r="B3779" s="9">
        <v>1322.59</v>
      </c>
      <c r="C3779" s="9">
        <v>1300.54</v>
      </c>
      <c r="D3779" s="9">
        <v>1306.02</v>
      </c>
      <c r="E3779" s="9">
        <f t="shared" si="178"/>
        <v>5.9741276104148837E-4</v>
      </c>
      <c r="F3779" s="45">
        <f t="shared" si="176"/>
        <v>-0.16222984160634252</v>
      </c>
      <c r="G3779" s="9">
        <f t="shared" si="177"/>
        <v>1.4071949716439264E-2</v>
      </c>
    </row>
    <row r="3780" spans="1:7" x14ac:dyDescent="0.2">
      <c r="A3780" s="12">
        <v>42388</v>
      </c>
      <c r="B3780" s="9">
        <v>1341.73</v>
      </c>
      <c r="C3780" s="9">
        <v>1311.72</v>
      </c>
      <c r="D3780" s="9">
        <v>1332.17</v>
      </c>
      <c r="E3780" s="9">
        <f t="shared" si="178"/>
        <v>1.982484692944855E-2</v>
      </c>
      <c r="F3780" s="45">
        <f t="shared" si="176"/>
        <v>-0.13879835534079626</v>
      </c>
      <c r="G3780" s="9">
        <f t="shared" si="177"/>
        <v>1.4806461706509386E-2</v>
      </c>
    </row>
    <row r="3781" spans="1:7" x14ac:dyDescent="0.2">
      <c r="A3781" s="12">
        <v>42389</v>
      </c>
      <c r="B3781" s="9">
        <v>1332.17</v>
      </c>
      <c r="C3781" s="9">
        <v>1289.4000000000001</v>
      </c>
      <c r="D3781" s="9">
        <v>1290.95</v>
      </c>
      <c r="E3781" s="9">
        <f t="shared" si="178"/>
        <v>-3.1430810154544554E-2</v>
      </c>
      <c r="F3781" s="45">
        <f t="shared" si="176"/>
        <v>-0.17241557214365974</v>
      </c>
      <c r="G3781" s="9">
        <f t="shared" si="177"/>
        <v>1.5527600776384175E-2</v>
      </c>
    </row>
    <row r="3782" spans="1:7" x14ac:dyDescent="0.2">
      <c r="A3782" s="12">
        <v>42390</v>
      </c>
      <c r="B3782" s="9">
        <v>1319.81</v>
      </c>
      <c r="C3782" s="9">
        <v>1283.1300000000001</v>
      </c>
      <c r="D3782" s="9">
        <v>1312.6</v>
      </c>
      <c r="E3782" s="9">
        <f t="shared" si="178"/>
        <v>1.6631521609917481E-2</v>
      </c>
      <c r="F3782" s="45">
        <f t="shared" si="176"/>
        <v>-0.13506058240926447</v>
      </c>
      <c r="G3782" s="9">
        <f t="shared" si="177"/>
        <v>1.5780924236992247E-2</v>
      </c>
    </row>
    <row r="3783" spans="1:7" x14ac:dyDescent="0.2">
      <c r="A3783" s="12">
        <v>42391</v>
      </c>
      <c r="B3783" s="9">
        <v>1364.24</v>
      </c>
      <c r="C3783" s="9">
        <v>1320.14</v>
      </c>
      <c r="D3783" s="9">
        <v>1361.36</v>
      </c>
      <c r="E3783" s="9">
        <f t="shared" si="178"/>
        <v>3.6474297023558817E-2</v>
      </c>
      <c r="F3783" s="45">
        <f t="shared" si="176"/>
        <v>-8.7146037174856431E-2</v>
      </c>
      <c r="G3783" s="9">
        <f t="shared" si="177"/>
        <v>1.7396474301132447E-2</v>
      </c>
    </row>
    <row r="3784" spans="1:7" x14ac:dyDescent="0.2">
      <c r="A3784" s="12">
        <v>42394</v>
      </c>
      <c r="B3784" s="9">
        <v>1367.81</v>
      </c>
      <c r="C3784" s="9">
        <v>1345.55</v>
      </c>
      <c r="D3784" s="9">
        <v>1354.41</v>
      </c>
      <c r="E3784" s="9">
        <f t="shared" si="178"/>
        <v>-5.1182649283345299E-3</v>
      </c>
      <c r="F3784" s="45">
        <f t="shared" si="176"/>
        <v>-9.8439149901743517E-2</v>
      </c>
      <c r="G3784" s="9">
        <f t="shared" si="177"/>
        <v>1.7315220499849324E-2</v>
      </c>
    </row>
    <row r="3785" spans="1:7" x14ac:dyDescent="0.2">
      <c r="A3785" s="12">
        <v>42395</v>
      </c>
      <c r="B3785" s="9">
        <v>1376.12</v>
      </c>
      <c r="C3785" s="9">
        <v>1332.4</v>
      </c>
      <c r="D3785" s="9">
        <v>1375.74</v>
      </c>
      <c r="E3785" s="9">
        <f t="shared" si="178"/>
        <v>1.5625833016110792E-2</v>
      </c>
      <c r="F3785" s="45">
        <f t="shared" si="176"/>
        <v>-5.6007259578783636E-2</v>
      </c>
      <c r="G3785" s="9">
        <f t="shared" si="177"/>
        <v>1.7058458670146093E-2</v>
      </c>
    </row>
    <row r="3786" spans="1:7" x14ac:dyDescent="0.2">
      <c r="A3786" s="12">
        <v>42396</v>
      </c>
      <c r="B3786" s="9">
        <v>1377.47</v>
      </c>
      <c r="C3786" s="9">
        <v>1353.64</v>
      </c>
      <c r="D3786" s="9">
        <v>1365.59</v>
      </c>
      <c r="E3786" s="9">
        <f t="shared" si="178"/>
        <v>-7.4051984860562213E-3</v>
      </c>
      <c r="F3786" s="45">
        <f t="shared" si="176"/>
        <v>-5.3709108716184346E-2</v>
      </c>
      <c r="G3786" s="9">
        <f t="shared" si="177"/>
        <v>1.7027185317659007E-2</v>
      </c>
    </row>
    <row r="3787" spans="1:7" x14ac:dyDescent="0.2">
      <c r="A3787" s="12">
        <v>42397</v>
      </c>
      <c r="B3787" s="9">
        <v>1366.76</v>
      </c>
      <c r="C3787" s="9">
        <v>1328.28</v>
      </c>
      <c r="D3787" s="9">
        <v>1333.32</v>
      </c>
      <c r="E3787" s="9">
        <f t="shared" si="178"/>
        <v>-2.3914497280983601E-2</v>
      </c>
      <c r="F3787" s="45">
        <f t="shared" si="176"/>
        <v>-7.2384148571267556E-2</v>
      </c>
      <c r="G3787" s="9">
        <f t="shared" si="177"/>
        <v>1.7492642986876077E-2</v>
      </c>
    </row>
    <row r="3788" spans="1:7" x14ac:dyDescent="0.2">
      <c r="A3788" s="12">
        <v>42398</v>
      </c>
      <c r="B3788" s="9">
        <v>1359.92</v>
      </c>
      <c r="C3788" s="9">
        <v>1335.93</v>
      </c>
      <c r="D3788" s="9">
        <v>1356.32</v>
      </c>
      <c r="E3788" s="9">
        <f t="shared" si="178"/>
        <v>1.7103077476177876E-2</v>
      </c>
      <c r="F3788" s="45">
        <f t="shared" si="176"/>
        <v>-3.2511041106792114E-2</v>
      </c>
      <c r="G3788" s="9">
        <f t="shared" si="177"/>
        <v>1.7407134652167804E-2</v>
      </c>
    </row>
    <row r="3789" spans="1:7" x14ac:dyDescent="0.2">
      <c r="A3789" s="12">
        <v>42401</v>
      </c>
      <c r="B3789" s="9">
        <v>1365.9</v>
      </c>
      <c r="C3789" s="9">
        <v>1335.14</v>
      </c>
      <c r="D3789" s="9">
        <v>1342.43</v>
      </c>
      <c r="E3789" s="9">
        <f t="shared" si="178"/>
        <v>-1.0293745363494061E-2</v>
      </c>
      <c r="F3789" s="45">
        <f t="shared" si="176"/>
        <v>-3.4289826766009543E-2</v>
      </c>
      <c r="G3789" s="9">
        <f t="shared" si="177"/>
        <v>1.7436325150447934E-2</v>
      </c>
    </row>
    <row r="3790" spans="1:7" x14ac:dyDescent="0.2">
      <c r="A3790" s="12">
        <v>42402</v>
      </c>
      <c r="B3790" s="9">
        <v>1340.38</v>
      </c>
      <c r="C3790" s="9">
        <v>1314.19</v>
      </c>
      <c r="D3790" s="9">
        <v>1320.29</v>
      </c>
      <c r="E3790" s="9">
        <f t="shared" si="178"/>
        <v>-1.6629995076332966E-2</v>
      </c>
      <c r="F3790" s="45">
        <f t="shared" si="176"/>
        <v>-7.7351451517925815E-2</v>
      </c>
      <c r="G3790" s="9">
        <f t="shared" si="177"/>
        <v>1.6850677672174682E-2</v>
      </c>
    </row>
    <row r="3791" spans="1:7" x14ac:dyDescent="0.2">
      <c r="A3791" s="12">
        <v>42403</v>
      </c>
      <c r="B3791" s="9">
        <v>1331.62</v>
      </c>
      <c r="C3791" s="9">
        <v>1295.5</v>
      </c>
      <c r="D3791" s="9">
        <v>1305.49</v>
      </c>
      <c r="E3791" s="9">
        <f t="shared" si="178"/>
        <v>-1.1272960210843319E-2</v>
      </c>
      <c r="F3791" s="45">
        <f t="shared" si="176"/>
        <v>-8.9710420194267976E-2</v>
      </c>
      <c r="G3791" s="9">
        <f t="shared" si="177"/>
        <v>1.6908976673168544E-2</v>
      </c>
    </row>
    <row r="3792" spans="1:7" x14ac:dyDescent="0.2">
      <c r="A3792" s="12">
        <v>42404</v>
      </c>
      <c r="B3792" s="9">
        <v>1334.83</v>
      </c>
      <c r="C3792" s="9">
        <v>1304.83</v>
      </c>
      <c r="D3792" s="9">
        <v>1333.72</v>
      </c>
      <c r="E3792" s="9">
        <f t="shared" si="178"/>
        <v>2.1393581182620833E-2</v>
      </c>
      <c r="F3792" s="45">
        <f t="shared" si="176"/>
        <v>-7.5503735425993562E-2</v>
      </c>
      <c r="G3792" s="9">
        <f t="shared" si="177"/>
        <v>1.7395761759459456E-2</v>
      </c>
    </row>
    <row r="3793" spans="1:7" x14ac:dyDescent="0.2">
      <c r="A3793" s="12">
        <v>42405</v>
      </c>
      <c r="B3793" s="9">
        <v>1347.46</v>
      </c>
      <c r="C3793" s="9">
        <v>1322.68</v>
      </c>
      <c r="D3793" s="9">
        <v>1330.11</v>
      </c>
      <c r="E3793" s="9">
        <f t="shared" si="178"/>
        <v>-2.7103848293453434E-3</v>
      </c>
      <c r="F3793" s="45">
        <f t="shared" si="176"/>
        <v>-6.7245625662823022E-2</v>
      </c>
      <c r="G3793" s="9">
        <f t="shared" si="177"/>
        <v>1.7322594637166913E-2</v>
      </c>
    </row>
    <row r="3794" spans="1:7" x14ac:dyDescent="0.2">
      <c r="A3794" s="12">
        <v>42408</v>
      </c>
      <c r="B3794" s="9">
        <v>1339.6</v>
      </c>
      <c r="C3794" s="9">
        <v>1273.27</v>
      </c>
      <c r="D3794" s="9">
        <v>1273.95</v>
      </c>
      <c r="E3794" s="9">
        <f t="shared" si="178"/>
        <v>-4.3139335668572511E-2</v>
      </c>
      <c r="F3794" s="45">
        <f t="shared" si="176"/>
        <v>-0.10792169788216971</v>
      </c>
      <c r="G3794" s="9">
        <f t="shared" si="177"/>
        <v>1.8863874361880719E-2</v>
      </c>
    </row>
    <row r="3795" spans="1:7" x14ac:dyDescent="0.2">
      <c r="A3795" s="12">
        <v>42409</v>
      </c>
      <c r="B3795" s="9">
        <v>1288.52</v>
      </c>
      <c r="C3795" s="9">
        <v>1253.6300000000001</v>
      </c>
      <c r="D3795" s="9">
        <v>1271.45</v>
      </c>
      <c r="E3795" s="9">
        <f t="shared" si="178"/>
        <v>-1.9643284386517594E-3</v>
      </c>
      <c r="F3795" s="45">
        <f t="shared" si="176"/>
        <v>-0.10608069356345366</v>
      </c>
      <c r="G3795" s="9">
        <f t="shared" si="177"/>
        <v>1.8866168950625931E-2</v>
      </c>
    </row>
    <row r="3796" spans="1:7" x14ac:dyDescent="0.2">
      <c r="A3796" s="12">
        <v>42410</v>
      </c>
      <c r="B3796" s="9">
        <v>1306.17</v>
      </c>
      <c r="C3796" s="9">
        <v>1272.1099999999999</v>
      </c>
      <c r="D3796" s="9">
        <v>1297.82</v>
      </c>
      <c r="E3796" s="9">
        <f t="shared" si="178"/>
        <v>2.0527952307870488E-2</v>
      </c>
      <c r="F3796" s="45">
        <f t="shared" si="176"/>
        <v>-0.10859225456518069</v>
      </c>
      <c r="G3796" s="9">
        <f t="shared" si="177"/>
        <v>1.874938445664516E-2</v>
      </c>
    </row>
    <row r="3797" spans="1:7" x14ac:dyDescent="0.2">
      <c r="A3797" s="12">
        <v>42411</v>
      </c>
      <c r="B3797" s="9">
        <v>1296.3399999999999</v>
      </c>
      <c r="C3797" s="9">
        <v>1247.06</v>
      </c>
      <c r="D3797" s="9">
        <v>1247.06</v>
      </c>
      <c r="E3797" s="9">
        <f t="shared" si="178"/>
        <v>-3.9897152763677772E-2</v>
      </c>
      <c r="F3797" s="45">
        <f t="shared" si="176"/>
        <v>-0.13972080128877015</v>
      </c>
      <c r="G3797" s="9">
        <f t="shared" si="177"/>
        <v>1.9871902970422402E-2</v>
      </c>
    </row>
    <row r="3798" spans="1:7" x14ac:dyDescent="0.2">
      <c r="A3798" s="12">
        <v>42412</v>
      </c>
      <c r="B3798" s="9">
        <v>1286.67</v>
      </c>
      <c r="C3798" s="9">
        <v>1248.28</v>
      </c>
      <c r="D3798" s="9">
        <v>1286.67</v>
      </c>
      <c r="E3798" s="9">
        <f t="shared" si="178"/>
        <v>3.1268704461317097E-2</v>
      </c>
      <c r="F3798" s="45">
        <f t="shared" si="176"/>
        <v>-0.12153848695492037</v>
      </c>
      <c r="G3798" s="9">
        <f t="shared" si="177"/>
        <v>2.0692081492115686E-2</v>
      </c>
    </row>
    <row r="3799" spans="1:7" x14ac:dyDescent="0.2">
      <c r="A3799" s="12">
        <v>42415</v>
      </c>
      <c r="B3799" s="9">
        <v>1336.17</v>
      </c>
      <c r="C3799" s="9">
        <v>1290.6199999999999</v>
      </c>
      <c r="D3799" s="9">
        <v>1336.17</v>
      </c>
      <c r="E3799" s="9">
        <f t="shared" si="178"/>
        <v>3.7749827049563839E-2</v>
      </c>
      <c r="F3799" s="45">
        <f t="shared" si="176"/>
        <v>-7.9560732082574734E-2</v>
      </c>
      <c r="G3799" s="9">
        <f t="shared" si="177"/>
        <v>2.2054219017072871E-2</v>
      </c>
    </row>
    <row r="3800" spans="1:7" x14ac:dyDescent="0.2">
      <c r="A3800" s="12">
        <v>42416</v>
      </c>
      <c r="B3800" s="9">
        <v>1349.87</v>
      </c>
      <c r="C3800" s="9">
        <v>1323.59</v>
      </c>
      <c r="D3800" s="9">
        <v>1328.14</v>
      </c>
      <c r="E3800" s="9">
        <f t="shared" si="178"/>
        <v>-6.0278453438992749E-3</v>
      </c>
      <c r="F3800" s="45">
        <f t="shared" si="176"/>
        <v>-4.8677576470128811E-2</v>
      </c>
      <c r="G3800" s="9">
        <f t="shared" si="177"/>
        <v>2.1100085879581062E-2</v>
      </c>
    </row>
    <row r="3801" spans="1:7" x14ac:dyDescent="0.2">
      <c r="A3801" s="12">
        <v>42417</v>
      </c>
      <c r="B3801" s="9">
        <v>1374.25</v>
      </c>
      <c r="C3801" s="9">
        <v>1329.73</v>
      </c>
      <c r="D3801" s="9">
        <v>1374.25</v>
      </c>
      <c r="E3801" s="9">
        <f t="shared" si="178"/>
        <v>3.4128660574119042E-2</v>
      </c>
      <c r="F3801" s="45">
        <f t="shared" si="176"/>
        <v>-9.2566427561552068E-3</v>
      </c>
      <c r="G3801" s="9">
        <f t="shared" si="177"/>
        <v>2.2068920090166221E-2</v>
      </c>
    </row>
    <row r="3802" spans="1:7" x14ac:dyDescent="0.2">
      <c r="A3802" s="12">
        <v>42418</v>
      </c>
      <c r="B3802" s="9">
        <v>1381.53</v>
      </c>
      <c r="C3802" s="9">
        <v>1359.83</v>
      </c>
      <c r="D3802" s="9">
        <v>1362.98</v>
      </c>
      <c r="E3802" s="9">
        <f t="shared" si="178"/>
        <v>-8.2346486662008399E-3</v>
      </c>
      <c r="F3802" s="45">
        <f t="shared" si="176"/>
        <v>4.3086717883431061E-3</v>
      </c>
      <c r="G3802" s="9">
        <f t="shared" si="177"/>
        <v>2.1750059997161723E-2</v>
      </c>
    </row>
    <row r="3803" spans="1:7" x14ac:dyDescent="0.2">
      <c r="A3803" s="12">
        <v>42419</v>
      </c>
      <c r="B3803" s="9">
        <v>1370.44</v>
      </c>
      <c r="C3803" s="9">
        <v>1349.5</v>
      </c>
      <c r="D3803" s="9">
        <v>1355.95</v>
      </c>
      <c r="E3803" s="9">
        <f t="shared" si="178"/>
        <v>-5.1711634104017259E-3</v>
      </c>
      <c r="F3803" s="45">
        <f t="shared" si="176"/>
        <v>5.3166638468338063E-3</v>
      </c>
      <c r="G3803" s="9">
        <f t="shared" si="177"/>
        <v>2.1740732267671717E-2</v>
      </c>
    </row>
    <row r="3804" spans="1:7" x14ac:dyDescent="0.2">
      <c r="A3804" s="12">
        <v>42422</v>
      </c>
      <c r="B3804" s="9">
        <v>1385.74</v>
      </c>
      <c r="C3804" s="9">
        <v>1357.32</v>
      </c>
      <c r="D3804" s="9">
        <v>1385.74</v>
      </c>
      <c r="E3804" s="9">
        <f t="shared" si="178"/>
        <v>2.1731977300851215E-2</v>
      </c>
      <c r="F3804" s="45">
        <f t="shared" si="176"/>
        <v>2.7137615715846306E-2</v>
      </c>
      <c r="G3804" s="9">
        <f t="shared" si="177"/>
        <v>2.2093678732691219E-2</v>
      </c>
    </row>
    <row r="3805" spans="1:7" x14ac:dyDescent="0.2">
      <c r="A3805" s="12">
        <v>42423</v>
      </c>
      <c r="B3805" s="9">
        <v>1385.8</v>
      </c>
      <c r="C3805" s="9">
        <v>1366.51</v>
      </c>
      <c r="D3805" s="9">
        <v>1366.53</v>
      </c>
      <c r="E3805" s="9">
        <f t="shared" si="178"/>
        <v>-1.3959612941062273E-2</v>
      </c>
      <c r="F3805" s="45">
        <f t="shared" si="176"/>
        <v>1.1237189542880522E-2</v>
      </c>
      <c r="G3805" s="9">
        <f t="shared" si="177"/>
        <v>2.2258072373512853E-2</v>
      </c>
    </row>
    <row r="3806" spans="1:7" x14ac:dyDescent="0.2">
      <c r="A3806" s="12">
        <v>42424</v>
      </c>
      <c r="B3806" s="9">
        <v>1368.89</v>
      </c>
      <c r="C3806" s="9">
        <v>1324.46</v>
      </c>
      <c r="D3806" s="9">
        <v>1327.85</v>
      </c>
      <c r="E3806" s="9">
        <f t="shared" si="178"/>
        <v>-2.8713587174341648E-2</v>
      </c>
      <c r="F3806" s="45">
        <f t="shared" si="176"/>
        <v>-2.4643935616728861E-2</v>
      </c>
      <c r="G3806" s="9">
        <f t="shared" si="177"/>
        <v>2.2836973427310718E-2</v>
      </c>
    </row>
    <row r="3807" spans="1:7" x14ac:dyDescent="0.2">
      <c r="A3807" s="12">
        <v>42425</v>
      </c>
      <c r="B3807" s="9">
        <v>1360.97</v>
      </c>
      <c r="C3807" s="9">
        <v>1328.24</v>
      </c>
      <c r="D3807" s="9">
        <v>1360.97</v>
      </c>
      <c r="E3807" s="9">
        <f t="shared" si="178"/>
        <v>2.4636587943185913E-2</v>
      </c>
      <c r="F3807" s="45">
        <f t="shared" si="176"/>
        <v>1.5923667475513745E-2</v>
      </c>
      <c r="G3807" s="9">
        <f t="shared" si="177"/>
        <v>2.3110864394400278E-2</v>
      </c>
    </row>
    <row r="3808" spans="1:7" x14ac:dyDescent="0.2">
      <c r="A3808" s="12">
        <v>42426</v>
      </c>
      <c r="B3808" s="9">
        <v>1378.77</v>
      </c>
      <c r="C3808" s="9">
        <v>1363.46</v>
      </c>
      <c r="D3808" s="9">
        <v>1370.8</v>
      </c>
      <c r="E3808" s="9">
        <f t="shared" si="178"/>
        <v>7.1968302076534773E-3</v>
      </c>
      <c r="F3808" s="45">
        <f t="shared" si="176"/>
        <v>4.9007579106694607E-2</v>
      </c>
      <c r="G3808" s="9">
        <f t="shared" si="177"/>
        <v>2.2590276311888192E-2</v>
      </c>
    </row>
    <row r="3809" spans="1:7" x14ac:dyDescent="0.2">
      <c r="A3809" s="12">
        <v>42429</v>
      </c>
      <c r="B3809" s="9">
        <v>1374.57</v>
      </c>
      <c r="C3809" s="9">
        <v>1345.17</v>
      </c>
      <c r="D3809" s="9">
        <v>1372.54</v>
      </c>
      <c r="E3809" s="9">
        <f t="shared" si="178"/>
        <v>1.2685268565531082E-3</v>
      </c>
      <c r="F3809" s="45">
        <f t="shared" ref="F3809:F3872" si="179">LN(D3809/D3779)</f>
        <v>4.9678693202206275E-2</v>
      </c>
      <c r="G3809" s="9">
        <f t="shared" ref="G3809:G3872" si="180">STDEV(E3780:E3809)</f>
        <v>2.2589547118596658E-2</v>
      </c>
    </row>
    <row r="3810" spans="1:7" x14ac:dyDescent="0.2">
      <c r="A3810" s="12">
        <v>42430</v>
      </c>
      <c r="B3810" s="9">
        <v>1392.02</v>
      </c>
      <c r="C3810" s="9">
        <v>1356.57</v>
      </c>
      <c r="D3810" s="9">
        <v>1391.45</v>
      </c>
      <c r="E3810" s="9">
        <f t="shared" si="178"/>
        <v>1.3683331016353224E-2</v>
      </c>
      <c r="F3810" s="45">
        <f t="shared" si="179"/>
        <v>4.3537177289110565E-2</v>
      </c>
      <c r="G3810" s="9">
        <f t="shared" si="180"/>
        <v>2.244659056772335E-2</v>
      </c>
    </row>
    <row r="3811" spans="1:7" x14ac:dyDescent="0.2">
      <c r="A3811" s="12">
        <v>42431</v>
      </c>
      <c r="B3811" s="9">
        <v>1401.77</v>
      </c>
      <c r="C3811" s="9">
        <v>1373.34</v>
      </c>
      <c r="D3811" s="9">
        <v>1383.71</v>
      </c>
      <c r="E3811" s="9">
        <f t="shared" si="178"/>
        <v>-5.5780712240636439E-3</v>
      </c>
      <c r="F3811" s="45">
        <f t="shared" si="179"/>
        <v>6.9389916219591632E-2</v>
      </c>
      <c r="G3811" s="9">
        <f t="shared" si="180"/>
        <v>2.1621777531256221E-2</v>
      </c>
    </row>
    <row r="3812" spans="1:7" x14ac:dyDescent="0.2">
      <c r="A3812" s="12">
        <v>42432</v>
      </c>
      <c r="B3812" s="9">
        <v>1394.48</v>
      </c>
      <c r="C3812" s="9">
        <v>1384.17</v>
      </c>
      <c r="D3812" s="9">
        <v>1389.45</v>
      </c>
      <c r="E3812" s="9">
        <f t="shared" si="178"/>
        <v>4.1396877188498412E-3</v>
      </c>
      <c r="F3812" s="45">
        <f t="shared" si="179"/>
        <v>5.6898082328523926E-2</v>
      </c>
      <c r="G3812" s="9">
        <f t="shared" si="180"/>
        <v>2.1456171663709608E-2</v>
      </c>
    </row>
    <row r="3813" spans="1:7" x14ac:dyDescent="0.2">
      <c r="A3813" s="12">
        <v>42433</v>
      </c>
      <c r="B3813" s="9">
        <v>1409.29</v>
      </c>
      <c r="C3813" s="9">
        <v>1389.95</v>
      </c>
      <c r="D3813" s="9">
        <v>1403.77</v>
      </c>
      <c r="E3813" s="9">
        <f t="shared" si="178"/>
        <v>1.0253489134213426E-2</v>
      </c>
      <c r="F3813" s="45">
        <f t="shared" si="179"/>
        <v>3.0677274439178465E-2</v>
      </c>
      <c r="G3813" s="9">
        <f t="shared" si="180"/>
        <v>2.0512363544832268E-2</v>
      </c>
    </row>
    <row r="3814" spans="1:7" x14ac:dyDescent="0.2">
      <c r="A3814" s="12">
        <v>42436</v>
      </c>
      <c r="B3814" s="9">
        <v>1403.4</v>
      </c>
      <c r="C3814" s="9">
        <v>1387.82</v>
      </c>
      <c r="D3814" s="9">
        <v>1397.04</v>
      </c>
      <c r="E3814" s="9">
        <f t="shared" si="178"/>
        <v>-4.8057618707699609E-3</v>
      </c>
      <c r="F3814" s="45">
        <f t="shared" si="179"/>
        <v>3.0989777496743084E-2</v>
      </c>
      <c r="G3814" s="9">
        <f t="shared" si="180"/>
        <v>2.0509216622456142E-2</v>
      </c>
    </row>
    <row r="3815" spans="1:7" x14ac:dyDescent="0.2">
      <c r="A3815" s="12">
        <v>42437</v>
      </c>
      <c r="B3815" s="9">
        <v>1399.81</v>
      </c>
      <c r="C3815" s="9">
        <v>1385.51</v>
      </c>
      <c r="D3815" s="9">
        <v>1390.58</v>
      </c>
      <c r="E3815" s="9">
        <f t="shared" si="178"/>
        <v>-4.6347863511280989E-3</v>
      </c>
      <c r="F3815" s="45">
        <f t="shared" si="179"/>
        <v>1.0729158129504273E-2</v>
      </c>
      <c r="G3815" s="9">
        <f t="shared" si="180"/>
        <v>2.0345041473150607E-2</v>
      </c>
    </row>
    <row r="3816" spans="1:7" x14ac:dyDescent="0.2">
      <c r="A3816" s="12">
        <v>42438</v>
      </c>
      <c r="B3816" s="9">
        <v>1402.78</v>
      </c>
      <c r="C3816" s="9">
        <v>1385.18</v>
      </c>
      <c r="D3816" s="9">
        <v>1398.47</v>
      </c>
      <c r="E3816" s="9">
        <f t="shared" si="178"/>
        <v>5.657855576227144E-3</v>
      </c>
      <c r="F3816" s="45">
        <f t="shared" si="179"/>
        <v>2.3792212191787593E-2</v>
      </c>
      <c r="G3816" s="9">
        <f t="shared" si="180"/>
        <v>2.0312933888268225E-2</v>
      </c>
    </row>
    <row r="3817" spans="1:7" x14ac:dyDescent="0.2">
      <c r="A3817" s="12">
        <v>42439</v>
      </c>
      <c r="B3817" s="9">
        <v>1423.77</v>
      </c>
      <c r="C3817" s="9">
        <v>1385.06</v>
      </c>
      <c r="D3817" s="9">
        <v>1385.06</v>
      </c>
      <c r="E3817" s="9">
        <f t="shared" si="178"/>
        <v>-9.6353218739513875E-3</v>
      </c>
      <c r="F3817" s="45">
        <f t="shared" si="179"/>
        <v>3.8071387598819839E-2</v>
      </c>
      <c r="G3817" s="9">
        <f t="shared" si="180"/>
        <v>1.987663164904899E-2</v>
      </c>
    </row>
    <row r="3818" spans="1:7" x14ac:dyDescent="0.2">
      <c r="A3818" s="12">
        <v>42440</v>
      </c>
      <c r="B3818" s="9">
        <v>1419.19</v>
      </c>
      <c r="C3818" s="9">
        <v>1392.07</v>
      </c>
      <c r="D3818" s="9">
        <v>1418.39</v>
      </c>
      <c r="E3818" s="9">
        <f t="shared" si="178"/>
        <v>2.3778965555002512E-2</v>
      </c>
      <c r="F3818" s="45">
        <f t="shared" si="179"/>
        <v>4.4747275677644457E-2</v>
      </c>
      <c r="G3818" s="9">
        <f t="shared" si="180"/>
        <v>2.0096172585610032E-2</v>
      </c>
    </row>
    <row r="3819" spans="1:7" x14ac:dyDescent="0.2">
      <c r="A3819" s="12">
        <v>42443</v>
      </c>
      <c r="B3819" s="9">
        <v>1431.64</v>
      </c>
      <c r="C3819" s="9">
        <v>1415.12</v>
      </c>
      <c r="D3819" s="9">
        <v>1424.19</v>
      </c>
      <c r="E3819" s="9">
        <f t="shared" si="178"/>
        <v>4.0808054998872937E-3</v>
      </c>
      <c r="F3819" s="45">
        <f t="shared" si="179"/>
        <v>5.9121826541026122E-2</v>
      </c>
      <c r="G3819" s="9">
        <f t="shared" si="180"/>
        <v>1.9976495799689215E-2</v>
      </c>
    </row>
    <row r="3820" spans="1:7" x14ac:dyDescent="0.2">
      <c r="A3820" s="12">
        <v>42444</v>
      </c>
      <c r="B3820" s="9">
        <v>1424.19</v>
      </c>
      <c r="C3820" s="9">
        <v>1403.12</v>
      </c>
      <c r="D3820" s="9">
        <v>1403.95</v>
      </c>
      <c r="E3820" s="9">
        <f t="shared" si="178"/>
        <v>-1.4313538621624766E-2</v>
      </c>
      <c r="F3820" s="45">
        <f t="shared" si="179"/>
        <v>6.143828299573411E-2</v>
      </c>
      <c r="G3820" s="9">
        <f t="shared" si="180"/>
        <v>1.9906473323720329E-2</v>
      </c>
    </row>
    <row r="3821" spans="1:7" x14ac:dyDescent="0.2">
      <c r="A3821" s="12">
        <v>42445</v>
      </c>
      <c r="B3821" s="9">
        <v>1412.49</v>
      </c>
      <c r="C3821" s="9">
        <v>1386.88</v>
      </c>
      <c r="D3821" s="9">
        <v>1393.1</v>
      </c>
      <c r="E3821" s="9">
        <f t="shared" si="178"/>
        <v>-7.7582127038233672E-3</v>
      </c>
      <c r="F3821" s="45">
        <f t="shared" si="179"/>
        <v>6.4953030502754097E-2</v>
      </c>
      <c r="G3821" s="9">
        <f t="shared" si="180"/>
        <v>1.9835587291497533E-2</v>
      </c>
    </row>
    <row r="3822" spans="1:7" x14ac:dyDescent="0.2">
      <c r="A3822" s="12">
        <v>42446</v>
      </c>
      <c r="B3822" s="9">
        <v>1404.08</v>
      </c>
      <c r="C3822" s="9">
        <v>1362.29</v>
      </c>
      <c r="D3822" s="9">
        <v>1390.86</v>
      </c>
      <c r="E3822" s="9">
        <f t="shared" si="178"/>
        <v>-1.6092188705220459E-3</v>
      </c>
      <c r="F3822" s="45">
        <f t="shared" si="179"/>
        <v>4.1950230449611312E-2</v>
      </c>
      <c r="G3822" s="9">
        <f t="shared" si="180"/>
        <v>1.9508564509018007E-2</v>
      </c>
    </row>
    <row r="3823" spans="1:7" x14ac:dyDescent="0.2">
      <c r="A3823" s="12">
        <v>42447</v>
      </c>
      <c r="B3823" s="9">
        <v>1393.22</v>
      </c>
      <c r="C3823" s="9">
        <v>1371.66</v>
      </c>
      <c r="D3823" s="9">
        <v>1391.38</v>
      </c>
      <c r="E3823" s="9">
        <f t="shared" si="178"/>
        <v>3.7379953279010985E-4</v>
      </c>
      <c r="F3823" s="45">
        <f t="shared" si="179"/>
        <v>4.5034414811746762E-2</v>
      </c>
      <c r="G3823" s="9">
        <f t="shared" si="180"/>
        <v>1.9494287024268083E-2</v>
      </c>
    </row>
    <row r="3824" spans="1:7" x14ac:dyDescent="0.2">
      <c r="A3824" s="12">
        <v>42450</v>
      </c>
      <c r="B3824" s="9">
        <v>1391.77</v>
      </c>
      <c r="C3824" s="9">
        <v>1374.82</v>
      </c>
      <c r="D3824" s="9">
        <v>1377.56</v>
      </c>
      <c r="E3824" s="9">
        <f t="shared" si="178"/>
        <v>-9.9822421271796996E-3</v>
      </c>
      <c r="F3824" s="45">
        <f t="shared" si="179"/>
        <v>7.8191508353139497E-2</v>
      </c>
      <c r="G3824" s="9">
        <f t="shared" si="180"/>
        <v>1.7736810218295367E-2</v>
      </c>
    </row>
    <row r="3825" spans="1:7" x14ac:dyDescent="0.2">
      <c r="A3825" s="12">
        <v>42451</v>
      </c>
      <c r="B3825" s="9">
        <v>1382.44</v>
      </c>
      <c r="C3825" s="9">
        <v>1354.39</v>
      </c>
      <c r="D3825" s="9">
        <v>1382.44</v>
      </c>
      <c r="E3825" s="9">
        <f t="shared" si="178"/>
        <v>3.5362355690943268E-3</v>
      </c>
      <c r="F3825" s="45">
        <f t="shared" si="179"/>
        <v>8.36920723608858E-2</v>
      </c>
      <c r="G3825" s="9">
        <f t="shared" si="180"/>
        <v>1.7716350660202877E-2</v>
      </c>
    </row>
    <row r="3826" spans="1:7" x14ac:dyDescent="0.2">
      <c r="A3826" s="12">
        <v>42452</v>
      </c>
      <c r="B3826" s="9">
        <v>1382.63</v>
      </c>
      <c r="C3826" s="9">
        <v>1362.48</v>
      </c>
      <c r="D3826" s="9">
        <v>1368.21</v>
      </c>
      <c r="E3826" s="9">
        <f t="shared" si="178"/>
        <v>-1.0346737643202254E-2</v>
      </c>
      <c r="F3826" s="45">
        <f t="shared" si="179"/>
        <v>5.2817382409812916E-2</v>
      </c>
      <c r="G3826" s="9">
        <f t="shared" si="180"/>
        <v>1.7546343625756276E-2</v>
      </c>
    </row>
    <row r="3827" spans="1:7" x14ac:dyDescent="0.2">
      <c r="A3827" s="12">
        <v>42453</v>
      </c>
      <c r="B3827" s="9">
        <v>1365.17</v>
      </c>
      <c r="C3827" s="9">
        <v>1345.34</v>
      </c>
      <c r="D3827" s="9">
        <v>1345.34</v>
      </c>
      <c r="E3827" s="9">
        <f t="shared" si="178"/>
        <v>-1.6856546978660441E-2</v>
      </c>
      <c r="F3827" s="45">
        <f t="shared" si="179"/>
        <v>7.5857988194830334E-2</v>
      </c>
      <c r="G3827" s="9">
        <f t="shared" si="180"/>
        <v>1.6105135354494655E-2</v>
      </c>
    </row>
    <row r="3828" spans="1:7" x14ac:dyDescent="0.2">
      <c r="A3828" s="12">
        <v>42458</v>
      </c>
      <c r="B3828" s="9">
        <v>1358.13</v>
      </c>
      <c r="C3828" s="9">
        <v>1339.88</v>
      </c>
      <c r="D3828" s="9">
        <v>1348.7</v>
      </c>
      <c r="E3828" s="9">
        <f t="shared" si="178"/>
        <v>2.4943963283124977E-3</v>
      </c>
      <c r="F3828" s="45">
        <f t="shared" si="179"/>
        <v>4.7083680061825638E-2</v>
      </c>
      <c r="G3828" s="9">
        <f t="shared" si="180"/>
        <v>1.5163812422083041E-2</v>
      </c>
    </row>
    <row r="3829" spans="1:7" x14ac:dyDescent="0.2">
      <c r="A3829" s="12">
        <v>42459</v>
      </c>
      <c r="B3829" s="9">
        <v>1383.41</v>
      </c>
      <c r="C3829" s="9">
        <v>1348.7</v>
      </c>
      <c r="D3829" s="9">
        <v>1376.82</v>
      </c>
      <c r="E3829" s="9">
        <f t="shared" si="178"/>
        <v>2.0635326707127373E-2</v>
      </c>
      <c r="F3829" s="45">
        <f t="shared" si="179"/>
        <v>2.9969179719389338E-2</v>
      </c>
      <c r="G3829" s="9">
        <f t="shared" si="180"/>
        <v>1.4035692982166816E-2</v>
      </c>
    </row>
    <row r="3830" spans="1:7" x14ac:dyDescent="0.2">
      <c r="A3830" s="12">
        <v>42460</v>
      </c>
      <c r="B3830" s="9">
        <v>1375.54</v>
      </c>
      <c r="C3830" s="9">
        <v>1362.78</v>
      </c>
      <c r="D3830" s="9">
        <v>1365.7</v>
      </c>
      <c r="E3830" s="9">
        <f t="shared" si="178"/>
        <v>-8.1093745455604171E-3</v>
      </c>
      <c r="F3830" s="45">
        <f t="shared" si="179"/>
        <v>2.788765051772811E-2</v>
      </c>
      <c r="G3830" s="9">
        <f t="shared" si="180"/>
        <v>1.4076712291613615E-2</v>
      </c>
    </row>
    <row r="3831" spans="1:7" x14ac:dyDescent="0.2">
      <c r="A3831" s="12">
        <v>42461</v>
      </c>
      <c r="B3831" s="9">
        <v>1360.79</v>
      </c>
      <c r="C3831" s="9">
        <v>1343.27</v>
      </c>
      <c r="D3831" s="9">
        <v>1358.22</v>
      </c>
      <c r="E3831" s="9">
        <f t="shared" si="178"/>
        <v>-5.4920987412893979E-3</v>
      </c>
      <c r="F3831" s="45">
        <f t="shared" si="179"/>
        <v>-1.173310879768032E-2</v>
      </c>
      <c r="G3831" s="9">
        <f t="shared" si="180"/>
        <v>1.2639830161629662E-2</v>
      </c>
    </row>
    <row r="3832" spans="1:7" x14ac:dyDescent="0.2">
      <c r="A3832" s="12">
        <v>42464</v>
      </c>
      <c r="B3832" s="9">
        <v>1370.43</v>
      </c>
      <c r="C3832" s="9">
        <v>1351.07</v>
      </c>
      <c r="D3832" s="9">
        <v>1361.86</v>
      </c>
      <c r="E3832" s="9">
        <f t="shared" si="178"/>
        <v>2.6763934684282866E-3</v>
      </c>
      <c r="F3832" s="45">
        <f t="shared" si="179"/>
        <v>-8.2206666305118903E-4</v>
      </c>
      <c r="G3832" s="9">
        <f t="shared" si="180"/>
        <v>1.2563101235873229E-2</v>
      </c>
    </row>
    <row r="3833" spans="1:7" x14ac:dyDescent="0.2">
      <c r="A3833" s="12">
        <v>42465</v>
      </c>
      <c r="B3833" s="9">
        <v>1361.86</v>
      </c>
      <c r="C3833" s="9">
        <v>1327.44</v>
      </c>
      <c r="D3833" s="9">
        <v>1333.85</v>
      </c>
      <c r="E3833" s="9">
        <f t="shared" si="178"/>
        <v>-2.0781915036335193E-2</v>
      </c>
      <c r="F3833" s="45">
        <f t="shared" si="179"/>
        <v>-1.6432818288984758E-2</v>
      </c>
      <c r="G3833" s="9">
        <f t="shared" si="180"/>
        <v>1.3095514110421072E-2</v>
      </c>
    </row>
    <row r="3834" spans="1:7" x14ac:dyDescent="0.2">
      <c r="A3834" s="12">
        <v>42466</v>
      </c>
      <c r="B3834" s="9">
        <v>1349.02</v>
      </c>
      <c r="C3834" s="9">
        <v>1323.55</v>
      </c>
      <c r="D3834" s="9">
        <v>1349.02</v>
      </c>
      <c r="E3834" s="9">
        <f t="shared" si="178"/>
        <v>1.1308905519558935E-2</v>
      </c>
      <c r="F3834" s="45">
        <f t="shared" si="179"/>
        <v>-2.6855890070276965E-2</v>
      </c>
      <c r="G3834" s="9">
        <f t="shared" si="180"/>
        <v>1.2613422882401245E-2</v>
      </c>
    </row>
    <row r="3835" spans="1:7" x14ac:dyDescent="0.2">
      <c r="A3835" s="12">
        <v>42467</v>
      </c>
      <c r="B3835" s="9">
        <v>1349.04</v>
      </c>
      <c r="C3835" s="9">
        <v>1330.51</v>
      </c>
      <c r="D3835" s="9">
        <v>1330.84</v>
      </c>
      <c r="E3835" s="9">
        <f t="shared" si="178"/>
        <v>-1.3568081093619525E-2</v>
      </c>
      <c r="F3835" s="45">
        <f t="shared" si="179"/>
        <v>-2.646435822283414E-2</v>
      </c>
      <c r="G3835" s="9">
        <f t="shared" si="180"/>
        <v>1.2599634073012882E-2</v>
      </c>
    </row>
    <row r="3836" spans="1:7" x14ac:dyDescent="0.2">
      <c r="A3836" s="12">
        <v>42468</v>
      </c>
      <c r="B3836" s="9">
        <v>1365</v>
      </c>
      <c r="C3836" s="9">
        <v>1331.38</v>
      </c>
      <c r="D3836" s="9">
        <v>1364.94</v>
      </c>
      <c r="E3836" s="9">
        <f t="shared" si="178"/>
        <v>2.5300149807886873E-2</v>
      </c>
      <c r="F3836" s="45">
        <f t="shared" si="179"/>
        <v>2.7549378759394574E-2</v>
      </c>
      <c r="G3836" s="9">
        <f t="shared" si="180"/>
        <v>1.2342031552616871E-2</v>
      </c>
    </row>
    <row r="3837" spans="1:7" x14ac:dyDescent="0.2">
      <c r="A3837" s="12">
        <v>42471</v>
      </c>
      <c r="B3837" s="9">
        <v>1376.37</v>
      </c>
      <c r="C3837" s="9">
        <v>1353.57</v>
      </c>
      <c r="D3837" s="9">
        <v>1368.62</v>
      </c>
      <c r="E3837" s="9">
        <f t="shared" si="178"/>
        <v>2.6924612762353134E-3</v>
      </c>
      <c r="F3837" s="45">
        <f t="shared" si="179"/>
        <v>5.6052520924439195E-3</v>
      </c>
      <c r="G3837" s="9">
        <f t="shared" si="180"/>
        <v>1.1510094628074875E-2</v>
      </c>
    </row>
    <row r="3838" spans="1:7" x14ac:dyDescent="0.2">
      <c r="A3838" s="12">
        <v>42472</v>
      </c>
      <c r="B3838" s="9">
        <v>1368.64</v>
      </c>
      <c r="C3838" s="9">
        <v>1353.23</v>
      </c>
      <c r="D3838" s="9">
        <v>1366.6</v>
      </c>
      <c r="E3838" s="9">
        <f t="shared" si="178"/>
        <v>-1.4770295385663791E-3</v>
      </c>
      <c r="F3838" s="45">
        <f t="shared" si="179"/>
        <v>-3.0686076537758599E-3</v>
      </c>
      <c r="G3838" s="9">
        <f t="shared" si="180"/>
        <v>1.1436642170420253E-2</v>
      </c>
    </row>
    <row r="3839" spans="1:7" x14ac:dyDescent="0.2">
      <c r="A3839" s="12">
        <v>42473</v>
      </c>
      <c r="B3839" s="9">
        <v>1394.82</v>
      </c>
      <c r="C3839" s="9">
        <v>1368.65</v>
      </c>
      <c r="D3839" s="9">
        <v>1392.59</v>
      </c>
      <c r="E3839" s="9">
        <f t="shared" ref="E3839:E3902" si="181">LN(D3839/D3838)</f>
        <v>1.883941932311823E-2</v>
      </c>
      <c r="F3839" s="45">
        <f t="shared" si="179"/>
        <v>1.4502284812789199E-2</v>
      </c>
      <c r="G3839" s="9">
        <f t="shared" si="180"/>
        <v>1.1947766543859784E-2</v>
      </c>
    </row>
    <row r="3840" spans="1:7" x14ac:dyDescent="0.2">
      <c r="A3840" s="12">
        <v>42474</v>
      </c>
      <c r="B3840" s="9">
        <v>1396.47</v>
      </c>
      <c r="C3840" s="9">
        <v>1381.52</v>
      </c>
      <c r="D3840" s="9">
        <v>1384.11</v>
      </c>
      <c r="E3840" s="9">
        <f t="shared" si="181"/>
        <v>-6.1079888817446139E-3</v>
      </c>
      <c r="F3840" s="45">
        <f t="shared" si="179"/>
        <v>-5.2890350853085893E-3</v>
      </c>
      <c r="G3840" s="9">
        <f t="shared" si="180"/>
        <v>1.1738349610506243E-2</v>
      </c>
    </row>
    <row r="3841" spans="1:7" x14ac:dyDescent="0.2">
      <c r="A3841" s="12">
        <v>42475</v>
      </c>
      <c r="B3841" s="9">
        <v>1387.11</v>
      </c>
      <c r="C3841" s="9">
        <v>1379.03</v>
      </c>
      <c r="D3841" s="9">
        <v>1381.33</v>
      </c>
      <c r="E3841" s="9">
        <f t="shared" si="181"/>
        <v>-2.0105306471668964E-3</v>
      </c>
      <c r="F3841" s="45">
        <f t="shared" si="179"/>
        <v>-1.7214945084118689E-3</v>
      </c>
      <c r="G3841" s="9">
        <f t="shared" si="180"/>
        <v>1.1699746134839699E-2</v>
      </c>
    </row>
    <row r="3842" spans="1:7" x14ac:dyDescent="0.2">
      <c r="A3842" s="12">
        <v>42478</v>
      </c>
      <c r="B3842" s="9">
        <v>1386.45</v>
      </c>
      <c r="C3842" s="9">
        <v>1364.66</v>
      </c>
      <c r="D3842" s="9">
        <v>1381.89</v>
      </c>
      <c r="E3842" s="9">
        <f t="shared" si="181"/>
        <v>4.0532422873805246E-4</v>
      </c>
      <c r="F3842" s="45">
        <f t="shared" si="179"/>
        <v>-5.4558579985235708E-3</v>
      </c>
      <c r="G3842" s="9">
        <f t="shared" si="180"/>
        <v>1.1673387910833107E-2</v>
      </c>
    </row>
    <row r="3843" spans="1:7" x14ac:dyDescent="0.2">
      <c r="A3843" s="12">
        <v>42479</v>
      </c>
      <c r="B3843" s="9">
        <v>1413.83</v>
      </c>
      <c r="C3843" s="9">
        <v>1383.34</v>
      </c>
      <c r="D3843" s="9">
        <v>1410.87</v>
      </c>
      <c r="E3843" s="9">
        <f t="shared" si="181"/>
        <v>2.0754407999825981E-2</v>
      </c>
      <c r="F3843" s="45">
        <f t="shared" si="179"/>
        <v>5.0450608670890148E-3</v>
      </c>
      <c r="G3843" s="9">
        <f t="shared" si="180"/>
        <v>1.2144995816019504E-2</v>
      </c>
    </row>
    <row r="3844" spans="1:7" x14ac:dyDescent="0.2">
      <c r="A3844" s="12">
        <v>42480</v>
      </c>
      <c r="B3844" s="9">
        <v>1419.8</v>
      </c>
      <c r="C3844" s="9">
        <v>1404.13</v>
      </c>
      <c r="D3844" s="9">
        <v>1419.67</v>
      </c>
      <c r="E3844" s="9">
        <f t="shared" si="181"/>
        <v>6.2179148519054626E-3</v>
      </c>
      <c r="F3844" s="45">
        <f t="shared" si="179"/>
        <v>1.6068737589764407E-2</v>
      </c>
      <c r="G3844" s="9">
        <f t="shared" si="180"/>
        <v>1.2156076252853682E-2</v>
      </c>
    </row>
    <row r="3845" spans="1:7" x14ac:dyDescent="0.2">
      <c r="A3845" s="12">
        <v>42481</v>
      </c>
      <c r="B3845" s="9">
        <v>1422.79</v>
      </c>
      <c r="C3845" s="9">
        <v>1402</v>
      </c>
      <c r="D3845" s="9">
        <v>1409.49</v>
      </c>
      <c r="E3845" s="9">
        <f t="shared" si="181"/>
        <v>-7.1965134067923002E-3</v>
      </c>
      <c r="F3845" s="45">
        <f t="shared" si="179"/>
        <v>1.3507010534100338E-2</v>
      </c>
      <c r="G3845" s="9">
        <f t="shared" si="180"/>
        <v>1.2202557061858528E-2</v>
      </c>
    </row>
    <row r="3846" spans="1:7" x14ac:dyDescent="0.2">
      <c r="A3846" s="12">
        <v>42482</v>
      </c>
      <c r="B3846" s="9">
        <v>1408.93</v>
      </c>
      <c r="C3846" s="9">
        <v>1392.57</v>
      </c>
      <c r="D3846" s="9">
        <v>1396.37</v>
      </c>
      <c r="E3846" s="9">
        <f t="shared" si="181"/>
        <v>-9.3519246299870584E-3</v>
      </c>
      <c r="F3846" s="45">
        <f t="shared" si="179"/>
        <v>-1.502769672114005E-3</v>
      </c>
      <c r="G3846" s="9">
        <f t="shared" si="180"/>
        <v>1.2289079487775443E-2</v>
      </c>
    </row>
    <row r="3847" spans="1:7" x14ac:dyDescent="0.2">
      <c r="A3847" s="12">
        <v>42485</v>
      </c>
      <c r="B3847" s="9">
        <v>1401.34</v>
      </c>
      <c r="C3847" s="9">
        <v>1384.99</v>
      </c>
      <c r="D3847" s="9">
        <v>1389.57</v>
      </c>
      <c r="E3847" s="9">
        <f t="shared" si="181"/>
        <v>-4.8816654371836915E-3</v>
      </c>
      <c r="F3847" s="45">
        <f t="shared" si="179"/>
        <v>3.2508867646535849E-3</v>
      </c>
      <c r="G3847" s="9">
        <f t="shared" si="180"/>
        <v>1.2191485152670831E-2</v>
      </c>
    </row>
    <row r="3848" spans="1:7" x14ac:dyDescent="0.2">
      <c r="A3848" s="12">
        <v>42486</v>
      </c>
      <c r="B3848" s="9">
        <v>1399.95</v>
      </c>
      <c r="C3848" s="9">
        <v>1386.72</v>
      </c>
      <c r="D3848" s="9">
        <v>1389.8</v>
      </c>
      <c r="E3848" s="9">
        <f t="shared" si="181"/>
        <v>1.6550513283583365E-4</v>
      </c>
      <c r="F3848" s="45">
        <f t="shared" si="179"/>
        <v>-2.0362573657512983E-2</v>
      </c>
      <c r="G3848" s="9">
        <f t="shared" si="180"/>
        <v>1.1343319945685848E-2</v>
      </c>
    </row>
    <row r="3849" spans="1:7" x14ac:dyDescent="0.2">
      <c r="A3849" s="12">
        <v>42487</v>
      </c>
      <c r="B3849" s="9">
        <v>1395.75</v>
      </c>
      <c r="C3849" s="9">
        <v>1382.12</v>
      </c>
      <c r="D3849" s="9">
        <v>1386.78</v>
      </c>
      <c r="E3849" s="9">
        <f t="shared" si="181"/>
        <v>-2.1753388635742349E-3</v>
      </c>
      <c r="F3849" s="45">
        <f t="shared" si="179"/>
        <v>-2.6618718020974652E-2</v>
      </c>
      <c r="G3849" s="9">
        <f t="shared" si="180"/>
        <v>1.1310260902081861E-2</v>
      </c>
    </row>
    <row r="3850" spans="1:7" x14ac:dyDescent="0.2">
      <c r="A3850" s="12">
        <v>42488</v>
      </c>
      <c r="B3850" s="9">
        <v>1391.26</v>
      </c>
      <c r="C3850" s="9">
        <v>1364.41</v>
      </c>
      <c r="D3850" s="9">
        <v>1389.61</v>
      </c>
      <c r="E3850" s="9">
        <f t="shared" si="181"/>
        <v>2.03861919983545E-3</v>
      </c>
      <c r="F3850" s="45">
        <f t="shared" si="179"/>
        <v>-1.0266560199514245E-2</v>
      </c>
      <c r="G3850" s="9">
        <f t="shared" si="180"/>
        <v>1.1031493722258362E-2</v>
      </c>
    </row>
    <row r="3851" spans="1:7" x14ac:dyDescent="0.2">
      <c r="A3851" s="12">
        <v>42489</v>
      </c>
      <c r="B3851" s="9">
        <v>1389.61</v>
      </c>
      <c r="C3851" s="9">
        <v>1357.9</v>
      </c>
      <c r="D3851" s="9">
        <v>1360.71</v>
      </c>
      <c r="E3851" s="9">
        <f t="shared" si="181"/>
        <v>-2.1016509888159073E-2</v>
      </c>
      <c r="F3851" s="45">
        <f t="shared" si="179"/>
        <v>-2.3524857383849955E-2</v>
      </c>
      <c r="G3851" s="9">
        <f t="shared" si="180"/>
        <v>1.1590262996555705E-2</v>
      </c>
    </row>
    <row r="3852" spans="1:7" x14ac:dyDescent="0.2">
      <c r="A3852" s="12">
        <v>42492</v>
      </c>
      <c r="B3852" s="9">
        <v>1365.07</v>
      </c>
      <c r="C3852" s="9">
        <v>1350.62</v>
      </c>
      <c r="D3852" s="9">
        <v>1352.91</v>
      </c>
      <c r="E3852" s="9">
        <f t="shared" si="181"/>
        <v>-5.7487942170244052E-3</v>
      </c>
      <c r="F3852" s="45">
        <f t="shared" si="179"/>
        <v>-2.7664432730352264E-2</v>
      </c>
      <c r="G3852" s="9">
        <f t="shared" si="180"/>
        <v>1.1625013675455929E-2</v>
      </c>
    </row>
    <row r="3853" spans="1:7" x14ac:dyDescent="0.2">
      <c r="A3853" s="12">
        <v>42493</v>
      </c>
      <c r="B3853" s="9">
        <v>1353.48</v>
      </c>
      <c r="C3853" s="9">
        <v>1326.35</v>
      </c>
      <c r="D3853" s="9">
        <v>1335.39</v>
      </c>
      <c r="E3853" s="9">
        <f t="shared" si="181"/>
        <v>-1.3034444108565298E-2</v>
      </c>
      <c r="F3853" s="45">
        <f t="shared" si="179"/>
        <v>-4.1072676371707757E-2</v>
      </c>
      <c r="G3853" s="9">
        <f t="shared" si="180"/>
        <v>1.1829423994598385E-2</v>
      </c>
    </row>
    <row r="3854" spans="1:7" x14ac:dyDescent="0.2">
      <c r="A3854" s="12">
        <v>42494</v>
      </c>
      <c r="B3854" s="9">
        <v>1336</v>
      </c>
      <c r="C3854" s="9">
        <v>1318.02</v>
      </c>
      <c r="D3854" s="9">
        <v>1319.17</v>
      </c>
      <c r="E3854" s="9">
        <f t="shared" si="181"/>
        <v>-1.2220633071116975E-2</v>
      </c>
      <c r="F3854" s="45">
        <f t="shared" si="179"/>
        <v>-4.331106731564513E-2</v>
      </c>
      <c r="G3854" s="9">
        <f t="shared" si="180"/>
        <v>1.189251499912186E-2</v>
      </c>
    </row>
    <row r="3855" spans="1:7" x14ac:dyDescent="0.2">
      <c r="A3855" s="12">
        <v>42496</v>
      </c>
      <c r="B3855" s="9">
        <v>1317.69</v>
      </c>
      <c r="C3855" s="9">
        <v>1300.9000000000001</v>
      </c>
      <c r="D3855" s="9">
        <v>1309.17</v>
      </c>
      <c r="E3855" s="9">
        <f t="shared" si="181"/>
        <v>-7.6094023242476595E-3</v>
      </c>
      <c r="F3855" s="45">
        <f t="shared" si="179"/>
        <v>-5.4456705208987183E-2</v>
      </c>
      <c r="G3855" s="9">
        <f t="shared" si="180"/>
        <v>1.1905664708691973E-2</v>
      </c>
    </row>
    <row r="3856" spans="1:7" x14ac:dyDescent="0.2">
      <c r="A3856" s="12">
        <v>42499</v>
      </c>
      <c r="B3856" s="9">
        <v>1336.61</v>
      </c>
      <c r="C3856" s="9">
        <v>1309.52</v>
      </c>
      <c r="D3856" s="9">
        <v>1328.2</v>
      </c>
      <c r="E3856" s="9">
        <f t="shared" si="181"/>
        <v>1.4431293499238499E-2</v>
      </c>
      <c r="F3856" s="45">
        <f t="shared" si="179"/>
        <v>-2.9678674066546396E-2</v>
      </c>
      <c r="G3856" s="9">
        <f t="shared" si="180"/>
        <v>1.215034874810623E-2</v>
      </c>
    </row>
    <row r="3857" spans="1:7" x14ac:dyDescent="0.2">
      <c r="A3857" s="12">
        <v>42500</v>
      </c>
      <c r="B3857" s="9">
        <v>1342.26</v>
      </c>
      <c r="C3857" s="9">
        <v>1328.68</v>
      </c>
      <c r="D3857" s="9">
        <v>1332.58</v>
      </c>
      <c r="E3857" s="9">
        <f t="shared" si="181"/>
        <v>3.2922706546583743E-3</v>
      </c>
      <c r="F3857" s="45">
        <f t="shared" si="179"/>
        <v>-9.5298564332276896E-3</v>
      </c>
      <c r="G3857" s="9">
        <f t="shared" si="180"/>
        <v>1.1794691462289697E-2</v>
      </c>
    </row>
    <row r="3858" spans="1:7" x14ac:dyDescent="0.2">
      <c r="A3858" s="12">
        <v>42501</v>
      </c>
      <c r="B3858" s="9">
        <v>1338.52</v>
      </c>
      <c r="C3858" s="9">
        <v>1321.79</v>
      </c>
      <c r="D3858" s="9">
        <v>1326.13</v>
      </c>
      <c r="E3858" s="9">
        <f t="shared" si="181"/>
        <v>-4.85198660530743E-3</v>
      </c>
      <c r="F3858" s="45">
        <f t="shared" si="179"/>
        <v>-1.687623936684755E-2</v>
      </c>
      <c r="G3858" s="9">
        <f t="shared" si="180"/>
        <v>1.1810546288403924E-2</v>
      </c>
    </row>
    <row r="3859" spans="1:7" x14ac:dyDescent="0.2">
      <c r="A3859" s="12">
        <v>42502</v>
      </c>
      <c r="B3859" s="9">
        <v>1332.7</v>
      </c>
      <c r="C3859" s="9">
        <v>1311.3</v>
      </c>
      <c r="D3859" s="9">
        <v>1312.28</v>
      </c>
      <c r="E3859" s="9">
        <f t="shared" si="181"/>
        <v>-1.0498843787447198E-2</v>
      </c>
      <c r="F3859" s="45">
        <f t="shared" si="179"/>
        <v>-4.8010409861422194E-2</v>
      </c>
      <c r="G3859" s="9">
        <f t="shared" si="180"/>
        <v>1.1237637474927471E-2</v>
      </c>
    </row>
    <row r="3860" spans="1:7" x14ac:dyDescent="0.2">
      <c r="A3860" s="12">
        <v>42503</v>
      </c>
      <c r="B3860" s="9">
        <v>1325.85</v>
      </c>
      <c r="C3860" s="9">
        <v>1304.8599999999999</v>
      </c>
      <c r="D3860" s="9">
        <v>1323.18</v>
      </c>
      <c r="E3860" s="9">
        <f t="shared" si="181"/>
        <v>8.2718479136438209E-3</v>
      </c>
      <c r="F3860" s="45">
        <f t="shared" si="179"/>
        <v>-3.162918740221788E-2</v>
      </c>
      <c r="G3860" s="9">
        <f t="shared" si="180"/>
        <v>1.1308218497786042E-2</v>
      </c>
    </row>
    <row r="3861" spans="1:7" x14ac:dyDescent="0.2">
      <c r="A3861" s="12">
        <v>42506</v>
      </c>
      <c r="B3861" s="9">
        <v>1336.63</v>
      </c>
      <c r="C3861" s="9">
        <v>1311.61</v>
      </c>
      <c r="D3861" s="9">
        <v>1336.14</v>
      </c>
      <c r="E3861" s="9">
        <f t="shared" si="181"/>
        <v>9.7469297434592747E-3</v>
      </c>
      <c r="F3861" s="45">
        <f t="shared" si="179"/>
        <v>-1.639015891746912E-2</v>
      </c>
      <c r="G3861" s="9">
        <f t="shared" si="180"/>
        <v>1.144345939667298E-2</v>
      </c>
    </row>
    <row r="3862" spans="1:7" x14ac:dyDescent="0.2">
      <c r="A3862" s="12">
        <v>42507</v>
      </c>
      <c r="B3862" s="9">
        <v>1348.46</v>
      </c>
      <c r="C3862" s="9">
        <v>1327.55</v>
      </c>
      <c r="D3862" s="9">
        <v>1331.71</v>
      </c>
      <c r="E3862" s="9">
        <f t="shared" si="181"/>
        <v>-3.3210293469464638E-3</v>
      </c>
      <c r="F3862" s="45">
        <f t="shared" si="179"/>
        <v>-2.2387581732843838E-2</v>
      </c>
      <c r="G3862" s="9">
        <f t="shared" si="180"/>
        <v>1.1437602930349325E-2</v>
      </c>
    </row>
    <row r="3863" spans="1:7" x14ac:dyDescent="0.2">
      <c r="A3863" s="12">
        <v>42508</v>
      </c>
      <c r="B3863" s="9">
        <v>1340.96</v>
      </c>
      <c r="C3863" s="9">
        <v>1322.26</v>
      </c>
      <c r="D3863" s="9">
        <v>1340.93</v>
      </c>
      <c r="E3863" s="9">
        <f t="shared" si="181"/>
        <v>6.8995723896875466E-3</v>
      </c>
      <c r="F3863" s="45">
        <f t="shared" si="179"/>
        <v>5.293905693178837E-3</v>
      </c>
      <c r="G3863" s="9">
        <f t="shared" si="180"/>
        <v>1.0867910344097176E-2</v>
      </c>
    </row>
    <row r="3864" spans="1:7" x14ac:dyDescent="0.2">
      <c r="A3864" s="12">
        <v>42509</v>
      </c>
      <c r="B3864" s="9">
        <v>1340.75</v>
      </c>
      <c r="C3864" s="9">
        <v>1321.8</v>
      </c>
      <c r="D3864" s="9">
        <v>1321.8</v>
      </c>
      <c r="E3864" s="9">
        <f t="shared" si="181"/>
        <v>-1.4368959032008979E-2</v>
      </c>
      <c r="F3864" s="45">
        <f t="shared" si="179"/>
        <v>-2.0383958858388951E-2</v>
      </c>
      <c r="G3864" s="9">
        <f t="shared" si="180"/>
        <v>1.0971581488509088E-2</v>
      </c>
    </row>
    <row r="3865" spans="1:7" x14ac:dyDescent="0.2">
      <c r="A3865" s="12">
        <v>42510</v>
      </c>
      <c r="B3865" s="9">
        <v>1342.99</v>
      </c>
      <c r="C3865" s="9">
        <v>1322.23</v>
      </c>
      <c r="D3865" s="9">
        <v>1342.68</v>
      </c>
      <c r="E3865" s="9">
        <f t="shared" si="181"/>
        <v>1.567317257127784E-2</v>
      </c>
      <c r="F3865" s="45">
        <f t="shared" si="179"/>
        <v>8.8572948065083149E-3</v>
      </c>
      <c r="G3865" s="9">
        <f t="shared" si="180"/>
        <v>1.1085378784706055E-2</v>
      </c>
    </row>
    <row r="3866" spans="1:7" x14ac:dyDescent="0.2">
      <c r="A3866" s="12">
        <v>42513</v>
      </c>
      <c r="B3866" s="9">
        <v>1345.52</v>
      </c>
      <c r="C3866" s="9">
        <v>1332.03</v>
      </c>
      <c r="D3866" s="9">
        <v>1338.97</v>
      </c>
      <c r="E3866" s="9">
        <f t="shared" si="181"/>
        <v>-2.7669549471347767E-3</v>
      </c>
      <c r="F3866" s="45">
        <f t="shared" si="179"/>
        <v>-1.9209809948513516E-2</v>
      </c>
      <c r="G3866" s="9">
        <f t="shared" si="180"/>
        <v>1.0037096737049134E-2</v>
      </c>
    </row>
    <row r="3867" spans="1:7" x14ac:dyDescent="0.2">
      <c r="A3867" s="12">
        <v>42514</v>
      </c>
      <c r="B3867" s="9">
        <v>1358.68</v>
      </c>
      <c r="C3867" s="9">
        <v>1327.56</v>
      </c>
      <c r="D3867" s="9">
        <v>1357.1</v>
      </c>
      <c r="E3867" s="9">
        <f t="shared" si="181"/>
        <v>1.3449408426829583E-2</v>
      </c>
      <c r="F3867" s="45">
        <f t="shared" si="179"/>
        <v>-8.4528627979191875E-3</v>
      </c>
      <c r="G3867" s="9">
        <f t="shared" si="180"/>
        <v>1.0347600287008337E-2</v>
      </c>
    </row>
    <row r="3868" spans="1:7" x14ac:dyDescent="0.2">
      <c r="A3868" s="12">
        <v>42515</v>
      </c>
      <c r="B3868" s="9">
        <v>1370.45</v>
      </c>
      <c r="C3868" s="9">
        <v>1358.24</v>
      </c>
      <c r="D3868" s="9">
        <v>1367.07</v>
      </c>
      <c r="E3868" s="9">
        <f t="shared" si="181"/>
        <v>7.3196933482670831E-3</v>
      </c>
      <c r="F3868" s="45">
        <f t="shared" si="179"/>
        <v>3.4386008891414089E-4</v>
      </c>
      <c r="G3868" s="9">
        <f t="shared" si="180"/>
        <v>1.0436815092104588E-2</v>
      </c>
    </row>
    <row r="3869" spans="1:7" x14ac:dyDescent="0.2">
      <c r="A3869" s="12">
        <v>42516</v>
      </c>
      <c r="B3869" s="9">
        <v>1376.44</v>
      </c>
      <c r="C3869" s="9">
        <v>1364.17</v>
      </c>
      <c r="D3869" s="9">
        <v>1376.15</v>
      </c>
      <c r="E3869" s="9">
        <f t="shared" si="181"/>
        <v>6.6199817442681554E-3</v>
      </c>
      <c r="F3869" s="45">
        <f t="shared" si="179"/>
        <v>-1.1875577489935838E-2</v>
      </c>
      <c r="G3869" s="9">
        <f t="shared" si="180"/>
        <v>9.9013923958133077E-3</v>
      </c>
    </row>
    <row r="3870" spans="1:7" x14ac:dyDescent="0.2">
      <c r="A3870" s="12">
        <v>42517</v>
      </c>
      <c r="B3870" s="9">
        <v>1379.2</v>
      </c>
      <c r="C3870" s="9">
        <v>1370.39</v>
      </c>
      <c r="D3870" s="9">
        <v>1376.5</v>
      </c>
      <c r="E3870" s="9">
        <f t="shared" si="181"/>
        <v>2.5430040280179789E-4</v>
      </c>
      <c r="F3870" s="45">
        <f t="shared" si="179"/>
        <v>-5.5132882053894302E-3</v>
      </c>
      <c r="G3870" s="9">
        <f t="shared" si="180"/>
        <v>9.8427891983269688E-3</v>
      </c>
    </row>
    <row r="3871" spans="1:7" x14ac:dyDescent="0.2">
      <c r="A3871" s="12">
        <v>42520</v>
      </c>
      <c r="B3871" s="9">
        <v>1380.44</v>
      </c>
      <c r="C3871" s="9">
        <v>1371.69</v>
      </c>
      <c r="D3871" s="9">
        <v>1379.8</v>
      </c>
      <c r="E3871" s="9">
        <f t="shared" si="181"/>
        <v>2.3945155293463144E-3</v>
      </c>
      <c r="F3871" s="45">
        <f t="shared" si="179"/>
        <v>-1.1082420288762906E-3</v>
      </c>
      <c r="G3871" s="9">
        <f t="shared" si="180"/>
        <v>9.8474541074706576E-3</v>
      </c>
    </row>
    <row r="3872" spans="1:7" x14ac:dyDescent="0.2">
      <c r="A3872" s="12">
        <v>42521</v>
      </c>
      <c r="B3872" s="9">
        <v>1383.38</v>
      </c>
      <c r="C3872" s="9">
        <v>1368.53</v>
      </c>
      <c r="D3872" s="9">
        <v>1369.48</v>
      </c>
      <c r="E3872" s="9">
        <f t="shared" si="181"/>
        <v>-7.5074553855385279E-3</v>
      </c>
      <c r="F3872" s="45">
        <f t="shared" si="179"/>
        <v>-9.0210216431528684E-3</v>
      </c>
      <c r="G3872" s="9">
        <f t="shared" si="180"/>
        <v>9.9407280148576128E-3</v>
      </c>
    </row>
    <row r="3873" spans="1:7" x14ac:dyDescent="0.2">
      <c r="A3873" s="12">
        <v>42522</v>
      </c>
      <c r="B3873" s="9">
        <v>1369.58</v>
      </c>
      <c r="C3873" s="9">
        <v>1351.9</v>
      </c>
      <c r="D3873" s="9">
        <v>1356.75</v>
      </c>
      <c r="E3873" s="9">
        <f t="shared" si="181"/>
        <v>-9.3389717829554953E-3</v>
      </c>
      <c r="F3873" s="45">
        <f t="shared" ref="F3873:F3936" si="182">LN(D3873/D3843)</f>
        <v>-3.9114401425934468E-2</v>
      </c>
      <c r="G3873" s="9">
        <f t="shared" ref="G3873:G3936" si="183">STDEV(E3844:E3873)</f>
        <v>9.2361915960848095E-3</v>
      </c>
    </row>
    <row r="3874" spans="1:7" x14ac:dyDescent="0.2">
      <c r="A3874" s="12">
        <v>42523</v>
      </c>
      <c r="B3874" s="9">
        <v>1364.12</v>
      </c>
      <c r="C3874" s="9">
        <v>1354.94</v>
      </c>
      <c r="D3874" s="9">
        <v>1359.14</v>
      </c>
      <c r="E3874" s="9">
        <f t="shared" si="181"/>
        <v>1.7600128259597221E-3</v>
      </c>
      <c r="F3874" s="45">
        <f t="shared" si="182"/>
        <v>-4.3572303451880338E-2</v>
      </c>
      <c r="G3874" s="9">
        <f t="shared" si="183"/>
        <v>9.1464295399024155E-3</v>
      </c>
    </row>
    <row r="3875" spans="1:7" x14ac:dyDescent="0.2">
      <c r="A3875" s="12">
        <v>42524</v>
      </c>
      <c r="B3875" s="9">
        <v>1369.68</v>
      </c>
      <c r="C3875" s="9">
        <v>1338.94</v>
      </c>
      <c r="D3875" s="9">
        <v>1345.44</v>
      </c>
      <c r="E3875" s="9">
        <f t="shared" si="181"/>
        <v>-1.0131049684885934E-2</v>
      </c>
      <c r="F3875" s="45">
        <f t="shared" si="182"/>
        <v>-4.6506839729973985E-2</v>
      </c>
      <c r="G3875" s="9">
        <f t="shared" si="183"/>
        <v>9.2253306427519544E-3</v>
      </c>
    </row>
    <row r="3876" spans="1:7" x14ac:dyDescent="0.2">
      <c r="A3876" s="12">
        <v>42528</v>
      </c>
      <c r="B3876" s="9">
        <v>1369.03</v>
      </c>
      <c r="C3876" s="9">
        <v>1346.99</v>
      </c>
      <c r="D3876" s="9">
        <v>1367.15</v>
      </c>
      <c r="E3876" s="9">
        <f t="shared" si="181"/>
        <v>1.600718395384745E-2</v>
      </c>
      <c r="F3876" s="45">
        <f t="shared" si="182"/>
        <v>-2.1147731146139537E-2</v>
      </c>
      <c r="G3876" s="9">
        <f t="shared" si="183"/>
        <v>9.6383843546249109E-3</v>
      </c>
    </row>
    <row r="3877" spans="1:7" x14ac:dyDescent="0.2">
      <c r="A3877" s="12">
        <v>42529</v>
      </c>
      <c r="B3877" s="9">
        <v>1366.56</v>
      </c>
      <c r="C3877" s="9">
        <v>1359.11</v>
      </c>
      <c r="D3877" s="9">
        <v>1361.49</v>
      </c>
      <c r="E3877" s="9">
        <f t="shared" si="181"/>
        <v>-4.1485927918442312E-3</v>
      </c>
      <c r="F3877" s="45">
        <f t="shared" si="182"/>
        <v>-2.0414658500799973E-2</v>
      </c>
      <c r="G3877" s="9">
        <f t="shared" si="183"/>
        <v>9.6283541565111985E-3</v>
      </c>
    </row>
    <row r="3878" spans="1:7" x14ac:dyDescent="0.2">
      <c r="A3878" s="12">
        <v>42530</v>
      </c>
      <c r="B3878" s="9">
        <v>1362.45</v>
      </c>
      <c r="C3878" s="9">
        <v>1343.22</v>
      </c>
      <c r="D3878" s="9">
        <v>1344</v>
      </c>
      <c r="E3878" s="9">
        <f t="shared" si="181"/>
        <v>-1.2929446163496254E-2</v>
      </c>
      <c r="F3878" s="45">
        <f t="shared" si="182"/>
        <v>-3.3509609797132071E-2</v>
      </c>
      <c r="G3878" s="9">
        <f t="shared" si="183"/>
        <v>9.8821612876004994E-3</v>
      </c>
    </row>
    <row r="3879" spans="1:7" x14ac:dyDescent="0.2">
      <c r="A3879" s="12">
        <v>42531</v>
      </c>
      <c r="B3879" s="9">
        <v>1343.15</v>
      </c>
      <c r="C3879" s="9">
        <v>1313.36</v>
      </c>
      <c r="D3879" s="9">
        <v>1315.06</v>
      </c>
      <c r="E3879" s="9">
        <f t="shared" si="181"/>
        <v>-2.1767950135701201E-2</v>
      </c>
      <c r="F3879" s="45">
        <f t="shared" si="182"/>
        <v>-5.3102221069259062E-2</v>
      </c>
      <c r="G3879" s="9">
        <f t="shared" si="183"/>
        <v>1.0577469108002386E-2</v>
      </c>
    </row>
    <row r="3880" spans="1:7" x14ac:dyDescent="0.2">
      <c r="A3880" s="12">
        <v>42534</v>
      </c>
      <c r="B3880" s="9">
        <v>1312.79</v>
      </c>
      <c r="C3880" s="9">
        <v>1290.3699999999999</v>
      </c>
      <c r="D3880" s="9">
        <v>1294.51</v>
      </c>
      <c r="E3880" s="9">
        <f t="shared" si="181"/>
        <v>-1.5750046795295132E-2</v>
      </c>
      <c r="F3880" s="45">
        <f t="shared" si="182"/>
        <v>-7.0890887064389729E-2</v>
      </c>
      <c r="G3880" s="9">
        <f t="shared" si="183"/>
        <v>1.0851645887337232E-2</v>
      </c>
    </row>
    <row r="3881" spans="1:7" x14ac:dyDescent="0.2">
      <c r="A3881" s="12">
        <v>42535</v>
      </c>
      <c r="B3881" s="9">
        <v>1294.32</v>
      </c>
      <c r="C3881" s="9">
        <v>1270.1600000000001</v>
      </c>
      <c r="D3881" s="9">
        <v>1273.97</v>
      </c>
      <c r="E3881" s="9">
        <f t="shared" si="181"/>
        <v>-1.5994236177936254E-2</v>
      </c>
      <c r="F3881" s="45">
        <f t="shared" si="182"/>
        <v>-6.5868613354166911E-2</v>
      </c>
      <c r="G3881" s="9">
        <f t="shared" si="183"/>
        <v>1.0589528052093896E-2</v>
      </c>
    </row>
    <row r="3882" spans="1:7" x14ac:dyDescent="0.2">
      <c r="A3882" s="12">
        <v>42536</v>
      </c>
      <c r="B3882" s="9">
        <v>1306.8900000000001</v>
      </c>
      <c r="C3882" s="9">
        <v>1275.8900000000001</v>
      </c>
      <c r="D3882" s="9">
        <v>1304.0899999999999</v>
      </c>
      <c r="E3882" s="9">
        <f t="shared" si="181"/>
        <v>2.336747053568344E-2</v>
      </c>
      <c r="F3882" s="45">
        <f t="shared" si="182"/>
        <v>-3.6752348601459137E-2</v>
      </c>
      <c r="G3882" s="9">
        <f t="shared" si="183"/>
        <v>1.1543908739839711E-2</v>
      </c>
    </row>
    <row r="3883" spans="1:7" x14ac:dyDescent="0.2">
      <c r="A3883" s="12">
        <v>42537</v>
      </c>
      <c r="B3883" s="9">
        <v>1301.27</v>
      </c>
      <c r="C3883" s="9">
        <v>1270.71</v>
      </c>
      <c r="D3883" s="9">
        <v>1278.71</v>
      </c>
      <c r="E3883" s="9">
        <f t="shared" si="181"/>
        <v>-1.9653722280665486E-2</v>
      </c>
      <c r="F3883" s="45">
        <f t="shared" si="182"/>
        <v>-4.3371626773559338E-2</v>
      </c>
      <c r="G3883" s="9">
        <f t="shared" si="183"/>
        <v>1.1836947335350784E-2</v>
      </c>
    </row>
    <row r="3884" spans="1:7" x14ac:dyDescent="0.2">
      <c r="A3884" s="12">
        <v>42538</v>
      </c>
      <c r="B3884" s="9">
        <v>1300.27</v>
      </c>
      <c r="C3884" s="9">
        <v>1280.58</v>
      </c>
      <c r="D3884" s="9">
        <v>1298.3800000000001</v>
      </c>
      <c r="E3884" s="9">
        <f t="shared" si="181"/>
        <v>1.5265576278936027E-2</v>
      </c>
      <c r="F3884" s="45">
        <f t="shared" si="182"/>
        <v>-1.5885417423506337E-2</v>
      </c>
      <c r="G3884" s="9">
        <f t="shared" si="183"/>
        <v>1.2036255587203547E-2</v>
      </c>
    </row>
    <row r="3885" spans="1:7" x14ac:dyDescent="0.2">
      <c r="A3885" s="12">
        <v>42541</v>
      </c>
      <c r="B3885" s="9">
        <v>1340.36</v>
      </c>
      <c r="C3885" s="9">
        <v>1301.3900000000001</v>
      </c>
      <c r="D3885" s="9">
        <v>1340.29</v>
      </c>
      <c r="E3885" s="9">
        <f t="shared" si="181"/>
        <v>3.1768674932310725E-2</v>
      </c>
      <c r="F3885" s="45">
        <f t="shared" si="182"/>
        <v>2.349265983305205E-2</v>
      </c>
      <c r="G3885" s="9">
        <f t="shared" si="183"/>
        <v>1.3316611904063145E-2</v>
      </c>
    </row>
    <row r="3886" spans="1:7" x14ac:dyDescent="0.2">
      <c r="A3886" s="12">
        <v>42542</v>
      </c>
      <c r="B3886" s="9">
        <v>1346.92</v>
      </c>
      <c r="C3886" s="9">
        <v>1331.5</v>
      </c>
      <c r="D3886" s="9">
        <v>1344.59</v>
      </c>
      <c r="E3886" s="9">
        <f t="shared" si="181"/>
        <v>3.2031254108219258E-3</v>
      </c>
      <c r="F3886" s="45">
        <f t="shared" si="182"/>
        <v>1.2264491744635609E-2</v>
      </c>
      <c r="G3886" s="9">
        <f t="shared" si="183"/>
        <v>1.30753955779968E-2</v>
      </c>
    </row>
    <row r="3887" spans="1:7" x14ac:dyDescent="0.2">
      <c r="A3887" s="12">
        <v>42543</v>
      </c>
      <c r="B3887" s="9">
        <v>1357.91</v>
      </c>
      <c r="C3887" s="9">
        <v>1338.65</v>
      </c>
      <c r="D3887" s="9">
        <v>1354.6</v>
      </c>
      <c r="E3887" s="9">
        <f t="shared" si="181"/>
        <v>7.4170739295543534E-3</v>
      </c>
      <c r="F3887" s="45">
        <f t="shared" si="182"/>
        <v>1.6389295019531434E-2</v>
      </c>
      <c r="G3887" s="9">
        <f t="shared" si="183"/>
        <v>1.3128341739366297E-2</v>
      </c>
    </row>
    <row r="3888" spans="1:7" x14ac:dyDescent="0.2">
      <c r="A3888" s="12">
        <v>42544</v>
      </c>
      <c r="B3888" s="9">
        <v>1366.98</v>
      </c>
      <c r="C3888" s="9">
        <v>1347.43</v>
      </c>
      <c r="D3888" s="9">
        <v>1360.73</v>
      </c>
      <c r="E3888" s="9">
        <f t="shared" si="181"/>
        <v>4.51511264853154E-3</v>
      </c>
      <c r="F3888" s="45">
        <f t="shared" si="182"/>
        <v>2.5756394273370415E-2</v>
      </c>
      <c r="G3888" s="9">
        <f t="shared" si="183"/>
        <v>1.3106897878153429E-2</v>
      </c>
    </row>
    <row r="3889" spans="1:7" x14ac:dyDescent="0.2">
      <c r="A3889" s="12">
        <v>42548</v>
      </c>
      <c r="B3889" s="9">
        <v>1353.23</v>
      </c>
      <c r="C3889" s="9">
        <v>1240.68</v>
      </c>
      <c r="D3889" s="9">
        <v>1246.0999999999999</v>
      </c>
      <c r="E3889" s="9">
        <f t="shared" si="181"/>
        <v>-8.8002646480512939E-2</v>
      </c>
      <c r="F3889" s="45">
        <f t="shared" si="182"/>
        <v>-5.1747408419695405E-2</v>
      </c>
      <c r="G3889" s="9">
        <f t="shared" si="183"/>
        <v>2.0802043754552524E-2</v>
      </c>
    </row>
    <row r="3890" spans="1:7" x14ac:dyDescent="0.2">
      <c r="A3890" s="12">
        <v>42549</v>
      </c>
      <c r="B3890" s="9">
        <v>1290.3599999999999</v>
      </c>
      <c r="C3890" s="9">
        <v>1247</v>
      </c>
      <c r="D3890" s="9">
        <v>1278.52</v>
      </c>
      <c r="E3890" s="9">
        <f t="shared" si="181"/>
        <v>2.5684484992093613E-2</v>
      </c>
      <c r="F3890" s="45">
        <f t="shared" si="182"/>
        <v>-3.4334771341245601E-2</v>
      </c>
      <c r="G3890" s="9">
        <f t="shared" si="183"/>
        <v>2.13268965144436E-2</v>
      </c>
    </row>
    <row r="3891" spans="1:7" x14ac:dyDescent="0.2">
      <c r="A3891" s="12">
        <v>42550</v>
      </c>
      <c r="B3891" s="9">
        <v>1309.6199999999999</v>
      </c>
      <c r="C3891" s="9">
        <v>1280.69</v>
      </c>
      <c r="D3891" s="9">
        <v>1309.57</v>
      </c>
      <c r="E3891" s="9">
        <f t="shared" si="181"/>
        <v>2.3995680095528885E-2</v>
      </c>
      <c r="F3891" s="45">
        <f t="shared" si="182"/>
        <v>-2.0086020989176008E-2</v>
      </c>
      <c r="G3891" s="9">
        <f t="shared" si="183"/>
        <v>2.1732620140115008E-2</v>
      </c>
    </row>
    <row r="3892" spans="1:7" x14ac:dyDescent="0.2">
      <c r="A3892" s="12">
        <v>42551</v>
      </c>
      <c r="B3892" s="9">
        <v>1324.38</v>
      </c>
      <c r="C3892" s="9">
        <v>1300.69</v>
      </c>
      <c r="D3892" s="9">
        <v>1323.57</v>
      </c>
      <c r="E3892" s="9">
        <f t="shared" si="181"/>
        <v>1.0633792296305119E-2</v>
      </c>
      <c r="F3892" s="45">
        <f t="shared" si="182"/>
        <v>-6.1311993459244006E-3</v>
      </c>
      <c r="G3892" s="9">
        <f t="shared" si="183"/>
        <v>2.1823066008464682E-2</v>
      </c>
    </row>
    <row r="3893" spans="1:7" x14ac:dyDescent="0.2">
      <c r="A3893" s="12">
        <v>42552</v>
      </c>
      <c r="B3893" s="9">
        <v>1342.18</v>
      </c>
      <c r="C3893" s="9">
        <v>1325.17</v>
      </c>
      <c r="D3893" s="9">
        <v>1340.26</v>
      </c>
      <c r="E3893" s="9">
        <f t="shared" si="181"/>
        <v>1.2530993641597014E-2</v>
      </c>
      <c r="F3893" s="45">
        <f t="shared" si="182"/>
        <v>-4.9977809401503088E-4</v>
      </c>
      <c r="G3893" s="9">
        <f t="shared" si="183"/>
        <v>2.1910323909176153E-2</v>
      </c>
    </row>
    <row r="3894" spans="1:7" x14ac:dyDescent="0.2">
      <c r="A3894" s="12">
        <v>42555</v>
      </c>
      <c r="B3894" s="9">
        <v>1345.73</v>
      </c>
      <c r="C3894" s="9">
        <v>1324.86</v>
      </c>
      <c r="D3894" s="9">
        <v>1325.54</v>
      </c>
      <c r="E3894" s="9">
        <f t="shared" si="181"/>
        <v>-1.1043701409003431E-2</v>
      </c>
      <c r="F3894" s="45">
        <f t="shared" si="182"/>
        <v>2.8254795289906352E-3</v>
      </c>
      <c r="G3894" s="9">
        <f t="shared" si="183"/>
        <v>2.1843522745671171E-2</v>
      </c>
    </row>
    <row r="3895" spans="1:7" x14ac:dyDescent="0.2">
      <c r="A3895" s="12">
        <v>42556</v>
      </c>
      <c r="B3895" s="9">
        <v>1324.93</v>
      </c>
      <c r="C3895" s="9">
        <v>1300.46</v>
      </c>
      <c r="D3895" s="9">
        <v>1303.01</v>
      </c>
      <c r="E3895" s="9">
        <f t="shared" si="181"/>
        <v>-1.714295087286373E-2</v>
      </c>
      <c r="F3895" s="45">
        <f t="shared" si="182"/>
        <v>-2.9990643915150935E-2</v>
      </c>
      <c r="G3895" s="9">
        <f t="shared" si="183"/>
        <v>2.185813376491566E-2</v>
      </c>
    </row>
    <row r="3896" spans="1:7" x14ac:dyDescent="0.2">
      <c r="A3896" s="12">
        <v>42557</v>
      </c>
      <c r="B3896" s="9">
        <v>1303.68</v>
      </c>
      <c r="C3896" s="9">
        <v>1275.23</v>
      </c>
      <c r="D3896" s="9">
        <v>1284.58</v>
      </c>
      <c r="E3896" s="9">
        <f t="shared" si="181"/>
        <v>-1.4245156038717193E-2</v>
      </c>
      <c r="F3896" s="45">
        <f t="shared" si="182"/>
        <v>-4.1468845006733319E-2</v>
      </c>
      <c r="G3896" s="9">
        <f t="shared" si="183"/>
        <v>2.1990193653232331E-2</v>
      </c>
    </row>
    <row r="3897" spans="1:7" x14ac:dyDescent="0.2">
      <c r="A3897" s="12">
        <v>42558</v>
      </c>
      <c r="B3897" s="9">
        <v>1313.45</v>
      </c>
      <c r="C3897" s="9">
        <v>1285.06</v>
      </c>
      <c r="D3897" s="9">
        <v>1305.33</v>
      </c>
      <c r="E3897" s="9">
        <f t="shared" si="181"/>
        <v>1.6024065699119659E-2</v>
      </c>
      <c r="F3897" s="45">
        <f t="shared" si="182"/>
        <v>-3.8894187734443378E-2</v>
      </c>
      <c r="G3897" s="9">
        <f t="shared" si="183"/>
        <v>2.2055002477098781E-2</v>
      </c>
    </row>
    <row r="3898" spans="1:7" x14ac:dyDescent="0.2">
      <c r="A3898" s="12">
        <v>42559</v>
      </c>
      <c r="B3898" s="9">
        <v>1326.76</v>
      </c>
      <c r="C3898" s="9">
        <v>1300.27</v>
      </c>
      <c r="D3898" s="9">
        <v>1326.21</v>
      </c>
      <c r="E3898" s="9">
        <f t="shared" si="181"/>
        <v>1.5869367894280888E-2</v>
      </c>
      <c r="F3898" s="45">
        <f t="shared" si="182"/>
        <v>-3.0344513188429657E-2</v>
      </c>
      <c r="G3898" s="9">
        <f t="shared" si="183"/>
        <v>2.2224762594411671E-2</v>
      </c>
    </row>
    <row r="3899" spans="1:7" x14ac:dyDescent="0.2">
      <c r="A3899" s="12">
        <v>42562</v>
      </c>
      <c r="B3899" s="9">
        <v>1351.36</v>
      </c>
      <c r="C3899" s="9">
        <v>1328.73</v>
      </c>
      <c r="D3899" s="9">
        <v>1350.09</v>
      </c>
      <c r="E3899" s="9">
        <f t="shared" si="181"/>
        <v>1.7846006629855929E-2</v>
      </c>
      <c r="F3899" s="45">
        <f t="shared" si="182"/>
        <v>-1.9118488302841997E-2</v>
      </c>
      <c r="G3899" s="9">
        <f t="shared" si="183"/>
        <v>2.2451040210512807E-2</v>
      </c>
    </row>
    <row r="3900" spans="1:7" x14ac:dyDescent="0.2">
      <c r="A3900" s="12">
        <v>42563</v>
      </c>
      <c r="B3900" s="9">
        <v>1358.76</v>
      </c>
      <c r="C3900" s="9">
        <v>1346.39</v>
      </c>
      <c r="D3900" s="9">
        <v>1354.51</v>
      </c>
      <c r="E3900" s="9">
        <f t="shared" si="181"/>
        <v>3.2685084189591667E-3</v>
      </c>
      <c r="F3900" s="45">
        <f t="shared" si="182"/>
        <v>-1.6104280286684404E-2</v>
      </c>
      <c r="G3900" s="9">
        <f t="shared" si="183"/>
        <v>2.2461909847914175E-2</v>
      </c>
    </row>
    <row r="3901" spans="1:7" x14ac:dyDescent="0.2">
      <c r="A3901" s="12">
        <v>42564</v>
      </c>
      <c r="B3901" s="9">
        <v>1363.4</v>
      </c>
      <c r="C3901" s="9">
        <v>1351.76</v>
      </c>
      <c r="D3901" s="9">
        <v>1356.35</v>
      </c>
      <c r="E3901" s="9">
        <f t="shared" si="181"/>
        <v>1.3575029935626861E-3</v>
      </c>
      <c r="F3901" s="45">
        <f t="shared" si="182"/>
        <v>-1.7141292822467999E-2</v>
      </c>
      <c r="G3901" s="9">
        <f t="shared" si="183"/>
        <v>2.2458040825350637E-2</v>
      </c>
    </row>
    <row r="3902" spans="1:7" x14ac:dyDescent="0.2">
      <c r="A3902" s="12">
        <v>42565</v>
      </c>
      <c r="B3902" s="9">
        <v>1369.72</v>
      </c>
      <c r="C3902" s="9">
        <v>1356.79</v>
      </c>
      <c r="D3902" s="9">
        <v>1364.92</v>
      </c>
      <c r="E3902" s="9">
        <f t="shared" si="181"/>
        <v>6.2985505533923276E-3</v>
      </c>
      <c r="F3902" s="45">
        <f t="shared" si="182"/>
        <v>-3.3352868835370385E-3</v>
      </c>
      <c r="G3902" s="9">
        <f t="shared" si="183"/>
        <v>2.2452461283114171E-2</v>
      </c>
    </row>
    <row r="3903" spans="1:7" x14ac:dyDescent="0.2">
      <c r="A3903" s="12">
        <v>42566</v>
      </c>
      <c r="B3903" s="9">
        <v>1377.4</v>
      </c>
      <c r="C3903" s="9">
        <v>1361.11</v>
      </c>
      <c r="D3903" s="9">
        <v>1372.8</v>
      </c>
      <c r="E3903" s="9">
        <f t="shared" ref="E3903:E3966" si="184">LN(D3903/D3902)</f>
        <v>5.7566308907651218E-3</v>
      </c>
      <c r="F3903" s="45">
        <f t="shared" si="182"/>
        <v>1.1760315790183509E-2</v>
      </c>
      <c r="G3903" s="9">
        <f t="shared" si="183"/>
        <v>2.2407634593892767E-2</v>
      </c>
    </row>
    <row r="3904" spans="1:7" x14ac:dyDescent="0.2">
      <c r="A3904" s="12">
        <v>42569</v>
      </c>
      <c r="B3904" s="9">
        <v>1380.06</v>
      </c>
      <c r="C3904" s="9">
        <v>1360.12</v>
      </c>
      <c r="D3904" s="9">
        <v>1368.25</v>
      </c>
      <c r="E3904" s="9">
        <f t="shared" si="184"/>
        <v>-3.319898709670283E-3</v>
      </c>
      <c r="F3904" s="45">
        <f t="shared" si="182"/>
        <v>6.6804042545536057E-3</v>
      </c>
      <c r="G3904" s="9">
        <f t="shared" si="183"/>
        <v>2.2416132745936634E-2</v>
      </c>
    </row>
    <row r="3905" spans="1:7" x14ac:dyDescent="0.2">
      <c r="A3905" s="12">
        <v>42570</v>
      </c>
      <c r="B3905" s="9">
        <v>1378.72</v>
      </c>
      <c r="C3905" s="9">
        <v>1360.79</v>
      </c>
      <c r="D3905" s="9">
        <v>1371.9</v>
      </c>
      <c r="E3905" s="9">
        <f t="shared" si="184"/>
        <v>2.6640893080916404E-3</v>
      </c>
      <c r="F3905" s="45">
        <f t="shared" si="182"/>
        <v>1.9475543247531348E-2</v>
      </c>
      <c r="G3905" s="9">
        <f t="shared" si="183"/>
        <v>2.2333916362518552E-2</v>
      </c>
    </row>
    <row r="3906" spans="1:7" x14ac:dyDescent="0.2">
      <c r="A3906" s="12">
        <v>42571</v>
      </c>
      <c r="B3906" s="9">
        <v>1386.72</v>
      </c>
      <c r="C3906" s="9">
        <v>1373.65</v>
      </c>
      <c r="D3906" s="9">
        <v>1386.59</v>
      </c>
      <c r="E3906" s="9">
        <f t="shared" si="184"/>
        <v>1.0650855265078224E-2</v>
      </c>
      <c r="F3906" s="45">
        <f t="shared" si="182"/>
        <v>1.4119214558762068E-2</v>
      </c>
      <c r="G3906" s="9">
        <f t="shared" si="183"/>
        <v>2.2228065293805121E-2</v>
      </c>
    </row>
    <row r="3907" spans="1:7" x14ac:dyDescent="0.2">
      <c r="A3907" s="12">
        <v>42572</v>
      </c>
      <c r="B3907" s="9">
        <v>1390.46</v>
      </c>
      <c r="C3907" s="9">
        <v>1373.42</v>
      </c>
      <c r="D3907" s="9">
        <v>1381.7</v>
      </c>
      <c r="E3907" s="9">
        <f t="shared" si="184"/>
        <v>-3.5328705345735976E-3</v>
      </c>
      <c r="F3907" s="45">
        <f t="shared" si="182"/>
        <v>1.4734936816032832E-2</v>
      </c>
      <c r="G3907" s="9">
        <f t="shared" si="183"/>
        <v>2.2223936972174143E-2</v>
      </c>
    </row>
    <row r="3908" spans="1:7" x14ac:dyDescent="0.2">
      <c r="A3908" s="12">
        <v>42573</v>
      </c>
      <c r="B3908" s="9">
        <v>1382.08</v>
      </c>
      <c r="C3908" s="9">
        <v>1372.16</v>
      </c>
      <c r="D3908" s="9">
        <v>1377.47</v>
      </c>
      <c r="E3908" s="9">
        <f t="shared" si="184"/>
        <v>-3.0661418571030761E-3</v>
      </c>
      <c r="F3908" s="45">
        <f t="shared" si="182"/>
        <v>2.4598241122425903E-2</v>
      </c>
      <c r="G3908" s="9">
        <f t="shared" si="183"/>
        <v>2.2091109674417297E-2</v>
      </c>
    </row>
    <row r="3909" spans="1:7" x14ac:dyDescent="0.2">
      <c r="A3909" s="12">
        <v>42576</v>
      </c>
      <c r="B3909" s="9">
        <v>1397.03</v>
      </c>
      <c r="C3909" s="9">
        <v>1381.26</v>
      </c>
      <c r="D3909" s="9">
        <v>1385.97</v>
      </c>
      <c r="E3909" s="9">
        <f t="shared" si="184"/>
        <v>6.1517722884258707E-3</v>
      </c>
      <c r="F3909" s="45">
        <f t="shared" si="182"/>
        <v>5.2517963546553012E-2</v>
      </c>
      <c r="G3909" s="9">
        <f t="shared" si="183"/>
        <v>2.1691193632058188E-2</v>
      </c>
    </row>
    <row r="3910" spans="1:7" x14ac:dyDescent="0.2">
      <c r="A3910" s="12">
        <v>42577</v>
      </c>
      <c r="B3910" s="9">
        <v>1389.95</v>
      </c>
      <c r="C3910" s="9">
        <v>1375.75</v>
      </c>
      <c r="D3910" s="9">
        <v>1382.73</v>
      </c>
      <c r="E3910" s="9">
        <f t="shared" si="184"/>
        <v>-2.3404496543360806E-3</v>
      </c>
      <c r="F3910" s="45">
        <f t="shared" si="182"/>
        <v>6.5927560687512168E-2</v>
      </c>
      <c r="G3910" s="9">
        <f t="shared" si="183"/>
        <v>2.145500401889993E-2</v>
      </c>
    </row>
    <row r="3911" spans="1:7" x14ac:dyDescent="0.2">
      <c r="A3911" s="12">
        <v>42578</v>
      </c>
      <c r="B3911" s="9">
        <v>1395.87</v>
      </c>
      <c r="C3911" s="9">
        <v>1383.69</v>
      </c>
      <c r="D3911" s="9">
        <v>1387.51</v>
      </c>
      <c r="E3911" s="9">
        <f t="shared" si="184"/>
        <v>3.4509679622143422E-3</v>
      </c>
      <c r="F3911" s="45">
        <f t="shared" si="182"/>
        <v>8.5372764827662734E-2</v>
      </c>
      <c r="G3911" s="9">
        <f t="shared" si="183"/>
        <v>2.1178407561049942E-2</v>
      </c>
    </row>
    <row r="3912" spans="1:7" x14ac:dyDescent="0.2">
      <c r="A3912" s="12">
        <v>42579</v>
      </c>
      <c r="B3912" s="9">
        <v>1393.07</v>
      </c>
      <c r="C3912" s="9">
        <v>1379.78</v>
      </c>
      <c r="D3912" s="9">
        <v>1382.08</v>
      </c>
      <c r="E3912" s="9">
        <f t="shared" si="184"/>
        <v>-3.9211630294887006E-3</v>
      </c>
      <c r="F3912" s="45">
        <f t="shared" si="182"/>
        <v>5.8084131262490679E-2</v>
      </c>
      <c r="G3912" s="9">
        <f t="shared" si="183"/>
        <v>2.0850082047660184E-2</v>
      </c>
    </row>
    <row r="3913" spans="1:7" x14ac:dyDescent="0.2">
      <c r="A3913" s="12">
        <v>42580</v>
      </c>
      <c r="B3913" s="9">
        <v>1389.83</v>
      </c>
      <c r="C3913" s="9">
        <v>1382.09</v>
      </c>
      <c r="D3913" s="9">
        <v>1386.66</v>
      </c>
      <c r="E3913" s="9">
        <f t="shared" si="184"/>
        <v>3.3083671109984457E-3</v>
      </c>
      <c r="F3913" s="45">
        <f t="shared" si="182"/>
        <v>8.1046220654154497E-2</v>
      </c>
      <c r="G3913" s="9">
        <f t="shared" si="183"/>
        <v>2.044777825209574E-2</v>
      </c>
    </row>
    <row r="3914" spans="1:7" x14ac:dyDescent="0.2">
      <c r="A3914" s="12">
        <v>42583</v>
      </c>
      <c r="B3914" s="9">
        <v>1395.74</v>
      </c>
      <c r="C3914" s="9">
        <v>1374.81</v>
      </c>
      <c r="D3914" s="9">
        <v>1379.46</v>
      </c>
      <c r="E3914" s="9">
        <f t="shared" si="184"/>
        <v>-5.2058596594345766E-3</v>
      </c>
      <c r="F3914" s="45">
        <f t="shared" si="182"/>
        <v>6.0574784715783925E-2</v>
      </c>
      <c r="G3914" s="9">
        <f t="shared" si="183"/>
        <v>2.035541112072967E-2</v>
      </c>
    </row>
    <row r="3915" spans="1:7" x14ac:dyDescent="0.2">
      <c r="A3915" s="12">
        <v>42584</v>
      </c>
      <c r="B3915" s="9">
        <v>1380.37</v>
      </c>
      <c r="C3915" s="9">
        <v>1357.43</v>
      </c>
      <c r="D3915" s="9">
        <v>1358.62</v>
      </c>
      <c r="E3915" s="9">
        <f t="shared" si="184"/>
        <v>-1.5222639538691091E-2</v>
      </c>
      <c r="F3915" s="45">
        <f t="shared" si="182"/>
        <v>1.3583470244781924E-2</v>
      </c>
      <c r="G3915" s="9">
        <f t="shared" si="183"/>
        <v>1.9787299948649008E-2</v>
      </c>
    </row>
    <row r="3916" spans="1:7" x14ac:dyDescent="0.2">
      <c r="A3916" s="12">
        <v>42585</v>
      </c>
      <c r="B3916" s="9">
        <v>1362.28</v>
      </c>
      <c r="C3916" s="9">
        <v>1347.09</v>
      </c>
      <c r="D3916" s="9">
        <v>1352.34</v>
      </c>
      <c r="E3916" s="9">
        <f t="shared" si="184"/>
        <v>-4.633053407975222E-3</v>
      </c>
      <c r="F3916" s="45">
        <f t="shared" si="182"/>
        <v>5.7472914259848462E-3</v>
      </c>
      <c r="G3916" s="9">
        <f t="shared" si="183"/>
        <v>1.9801457992411516E-2</v>
      </c>
    </row>
    <row r="3917" spans="1:7" x14ac:dyDescent="0.2">
      <c r="A3917" s="12">
        <v>42586</v>
      </c>
      <c r="B3917" s="9">
        <v>1366.35</v>
      </c>
      <c r="C3917" s="9">
        <v>1354.03</v>
      </c>
      <c r="D3917" s="9">
        <v>1365.85</v>
      </c>
      <c r="E3917" s="9">
        <f t="shared" si="184"/>
        <v>9.9405201607286504E-3</v>
      </c>
      <c r="F3917" s="45">
        <f t="shared" si="182"/>
        <v>8.2707376571592387E-3</v>
      </c>
      <c r="G3917" s="9">
        <f t="shared" si="183"/>
        <v>1.9838534646565143E-2</v>
      </c>
    </row>
    <row r="3918" spans="1:7" x14ac:dyDescent="0.2">
      <c r="A3918" s="12">
        <v>42587</v>
      </c>
      <c r="B3918" s="9">
        <v>1381.16</v>
      </c>
      <c r="C3918" s="9">
        <v>1366.14</v>
      </c>
      <c r="D3918" s="9">
        <v>1378.83</v>
      </c>
      <c r="E3918" s="9">
        <f t="shared" si="184"/>
        <v>9.4583680185235611E-3</v>
      </c>
      <c r="F3918" s="45">
        <f t="shared" si="182"/>
        <v>1.3213993027151117E-2</v>
      </c>
      <c r="G3918" s="9">
        <f t="shared" si="183"/>
        <v>1.9895408050834101E-2</v>
      </c>
    </row>
    <row r="3919" spans="1:7" x14ac:dyDescent="0.2">
      <c r="A3919" s="12">
        <v>42590</v>
      </c>
      <c r="B3919" s="9">
        <v>1388.44</v>
      </c>
      <c r="C3919" s="9">
        <v>1379.79</v>
      </c>
      <c r="D3919" s="9">
        <v>1385.68</v>
      </c>
      <c r="E3919" s="9">
        <f t="shared" si="184"/>
        <v>4.9556804055387697E-3</v>
      </c>
      <c r="F3919" s="45">
        <f t="shared" si="182"/>
        <v>0.10617231991320292</v>
      </c>
      <c r="G3919" s="9">
        <f t="shared" si="183"/>
        <v>1.0810518240695691E-2</v>
      </c>
    </row>
    <row r="3920" spans="1:7" x14ac:dyDescent="0.2">
      <c r="A3920" s="12">
        <v>42591</v>
      </c>
      <c r="B3920" s="9">
        <v>1411.35</v>
      </c>
      <c r="C3920" s="9">
        <v>1382.87</v>
      </c>
      <c r="D3920" s="9">
        <v>1411.35</v>
      </c>
      <c r="E3920" s="9">
        <f t="shared" si="184"/>
        <v>1.8355699258859444E-2</v>
      </c>
      <c r="F3920" s="45">
        <f t="shared" si="182"/>
        <v>9.8843534179968828E-2</v>
      </c>
      <c r="G3920" s="9">
        <f t="shared" si="183"/>
        <v>1.0366515507413878E-2</v>
      </c>
    </row>
    <row r="3921" spans="1:7" x14ac:dyDescent="0.2">
      <c r="A3921" s="12">
        <v>42592</v>
      </c>
      <c r="B3921" s="9">
        <v>1410.43</v>
      </c>
      <c r="C3921" s="9">
        <v>1403.96</v>
      </c>
      <c r="D3921" s="9">
        <v>1405.99</v>
      </c>
      <c r="E3921" s="9">
        <f t="shared" si="184"/>
        <v>-3.8050121511005426E-3</v>
      </c>
      <c r="F3921" s="45">
        <f t="shared" si="182"/>
        <v>7.1042841933339429E-2</v>
      </c>
      <c r="G3921" s="9">
        <f t="shared" si="183"/>
        <v>9.6714868617538124E-3</v>
      </c>
    </row>
    <row r="3922" spans="1:7" x14ac:dyDescent="0.2">
      <c r="A3922" s="12">
        <v>42593</v>
      </c>
      <c r="B3922" s="9">
        <v>1416.9</v>
      </c>
      <c r="C3922" s="9">
        <v>1401.14</v>
      </c>
      <c r="D3922" s="9">
        <v>1416.9</v>
      </c>
      <c r="E3922" s="9">
        <f t="shared" si="184"/>
        <v>7.7297056003975137E-3</v>
      </c>
      <c r="F3922" s="45">
        <f t="shared" si="182"/>
        <v>6.8138755237431736E-2</v>
      </c>
      <c r="G3922" s="9">
        <f t="shared" si="183"/>
        <v>9.6001725492485934E-3</v>
      </c>
    </row>
    <row r="3923" spans="1:7" x14ac:dyDescent="0.2">
      <c r="A3923" s="12">
        <v>42594</v>
      </c>
      <c r="B3923" s="9">
        <v>1419.81</v>
      </c>
      <c r="C3923" s="9">
        <v>1410.84</v>
      </c>
      <c r="D3923" s="9">
        <v>1414.21</v>
      </c>
      <c r="E3923" s="9">
        <f t="shared" si="184"/>
        <v>-1.9003152894166762E-3</v>
      </c>
      <c r="F3923" s="45">
        <f t="shared" si="182"/>
        <v>5.3707446306418036E-2</v>
      </c>
      <c r="G3923" s="9">
        <f t="shared" si="183"/>
        <v>9.4283775838703079E-3</v>
      </c>
    </row>
    <row r="3924" spans="1:7" x14ac:dyDescent="0.2">
      <c r="A3924" s="12">
        <v>42597</v>
      </c>
      <c r="B3924" s="9">
        <v>1424.7</v>
      </c>
      <c r="C3924" s="9">
        <v>1413.82</v>
      </c>
      <c r="D3924" s="9">
        <v>1421.58</v>
      </c>
      <c r="E3924" s="9">
        <f t="shared" si="184"/>
        <v>5.1978578056759176E-3</v>
      </c>
      <c r="F3924" s="45">
        <f t="shared" si="182"/>
        <v>6.9949005521097535E-2</v>
      </c>
      <c r="G3924" s="9">
        <f t="shared" si="183"/>
        <v>9.127532073554389E-3</v>
      </c>
    </row>
    <row r="3925" spans="1:7" x14ac:dyDescent="0.2">
      <c r="A3925" s="12">
        <v>42598</v>
      </c>
      <c r="B3925" s="9">
        <v>1419.66</v>
      </c>
      <c r="C3925" s="9">
        <v>1405.13</v>
      </c>
      <c r="D3925" s="9">
        <v>1406.26</v>
      </c>
      <c r="E3925" s="9">
        <f t="shared" si="184"/>
        <v>-1.0835231047882993E-2</v>
      </c>
      <c r="F3925" s="45">
        <f t="shared" si="182"/>
        <v>7.6256725346078344E-2</v>
      </c>
      <c r="G3925" s="9">
        <f t="shared" si="183"/>
        <v>8.7273333049470939E-3</v>
      </c>
    </row>
    <row r="3926" spans="1:7" x14ac:dyDescent="0.2">
      <c r="A3926" s="12">
        <v>42599</v>
      </c>
      <c r="B3926" s="9">
        <v>1411.33</v>
      </c>
      <c r="C3926" s="9">
        <v>1389.75</v>
      </c>
      <c r="D3926" s="9">
        <v>1392.05</v>
      </c>
      <c r="E3926" s="9">
        <f t="shared" si="184"/>
        <v>-1.0156217249054009E-2</v>
      </c>
      <c r="F3926" s="45">
        <f t="shared" si="182"/>
        <v>8.034566413574154E-2</v>
      </c>
      <c r="G3926" s="9">
        <f t="shared" si="183"/>
        <v>8.4846793854297647E-3</v>
      </c>
    </row>
    <row r="3927" spans="1:7" x14ac:dyDescent="0.2">
      <c r="A3927" s="12">
        <v>42600</v>
      </c>
      <c r="B3927" s="9">
        <v>1405.31</v>
      </c>
      <c r="C3927" s="9">
        <v>1392.74</v>
      </c>
      <c r="D3927" s="9">
        <v>1403.02</v>
      </c>
      <c r="E3927" s="9">
        <f t="shared" si="184"/>
        <v>7.8495753788516438E-3</v>
      </c>
      <c r="F3927" s="45">
        <f t="shared" si="182"/>
        <v>7.2171173815473652E-2</v>
      </c>
      <c r="G3927" s="9">
        <f t="shared" si="183"/>
        <v>8.1665996452641061E-3</v>
      </c>
    </row>
    <row r="3928" spans="1:7" x14ac:dyDescent="0.2">
      <c r="A3928" s="12">
        <v>42601</v>
      </c>
      <c r="B3928" s="9">
        <v>1405.77</v>
      </c>
      <c r="C3928" s="9">
        <v>1386.7</v>
      </c>
      <c r="D3928" s="9">
        <v>1393.61</v>
      </c>
      <c r="E3928" s="9">
        <f t="shared" si="184"/>
        <v>-6.7295534357011298E-3</v>
      </c>
      <c r="F3928" s="45">
        <f t="shared" si="182"/>
        <v>4.95722524854917E-2</v>
      </c>
      <c r="G3928" s="9">
        <f t="shared" si="183"/>
        <v>7.9204366804800693E-3</v>
      </c>
    </row>
    <row r="3929" spans="1:7" x14ac:dyDescent="0.2">
      <c r="A3929" s="12">
        <v>42604</v>
      </c>
      <c r="B3929" s="9">
        <v>1403.66</v>
      </c>
      <c r="C3929" s="9">
        <v>1387.99</v>
      </c>
      <c r="D3929" s="9">
        <v>1391.47</v>
      </c>
      <c r="E3929" s="9">
        <f t="shared" si="184"/>
        <v>-1.5367604673170482E-3</v>
      </c>
      <c r="F3929" s="45">
        <f t="shared" si="182"/>
        <v>3.0189485388318754E-2</v>
      </c>
      <c r="G3929" s="9">
        <f t="shared" si="183"/>
        <v>7.3218645608892447E-3</v>
      </c>
    </row>
    <row r="3930" spans="1:7" x14ac:dyDescent="0.2">
      <c r="A3930" s="12">
        <v>42605</v>
      </c>
      <c r="B3930" s="9">
        <v>1408.92</v>
      </c>
      <c r="C3930" s="9">
        <v>1392.48</v>
      </c>
      <c r="D3930" s="9">
        <v>1406.55</v>
      </c>
      <c r="E3930" s="9">
        <f t="shared" si="184"/>
        <v>1.0779155268406745E-2</v>
      </c>
      <c r="F3930" s="45">
        <f t="shared" si="182"/>
        <v>3.7700132237766366E-2</v>
      </c>
      <c r="G3930" s="9">
        <f t="shared" si="183"/>
        <v>7.5274024958851132E-3</v>
      </c>
    </row>
    <row r="3931" spans="1:7" x14ac:dyDescent="0.2">
      <c r="A3931" s="12">
        <v>42606</v>
      </c>
      <c r="B3931" s="9">
        <v>1419.24</v>
      </c>
      <c r="C3931" s="9">
        <v>1396.53</v>
      </c>
      <c r="D3931" s="9">
        <v>1412.94</v>
      </c>
      <c r="E3931" s="9">
        <f t="shared" si="184"/>
        <v>4.5327424042008926E-3</v>
      </c>
      <c r="F3931" s="45">
        <f t="shared" si="182"/>
        <v>4.0875371648404484E-2</v>
      </c>
      <c r="G3931" s="9">
        <f t="shared" si="183"/>
        <v>7.5511548933715191E-3</v>
      </c>
    </row>
    <row r="3932" spans="1:7" x14ac:dyDescent="0.2">
      <c r="A3932" s="12">
        <v>42607</v>
      </c>
      <c r="B3932" s="9">
        <v>1411.91</v>
      </c>
      <c r="C3932" s="9">
        <v>1401.13</v>
      </c>
      <c r="D3932" s="9">
        <v>1405.08</v>
      </c>
      <c r="E3932" s="9">
        <f t="shared" si="184"/>
        <v>-5.5783992893111908E-3</v>
      </c>
      <c r="F3932" s="45">
        <f t="shared" si="182"/>
        <v>2.8998421805700857E-2</v>
      </c>
      <c r="G3932" s="9">
        <f t="shared" si="183"/>
        <v>7.594662336254855E-3</v>
      </c>
    </row>
    <row r="3933" spans="1:7" x14ac:dyDescent="0.2">
      <c r="A3933" s="12">
        <v>42608</v>
      </c>
      <c r="B3933" s="9">
        <v>1414.51</v>
      </c>
      <c r="C3933" s="9">
        <v>1397.97</v>
      </c>
      <c r="D3933" s="9">
        <v>1411.65</v>
      </c>
      <c r="E3933" s="9">
        <f t="shared" si="184"/>
        <v>4.6649923242729676E-3</v>
      </c>
      <c r="F3933" s="45">
        <f t="shared" si="182"/>
        <v>2.7906783239208737E-2</v>
      </c>
      <c r="G3933" s="9">
        <f t="shared" si="183"/>
        <v>7.5735064582128642E-3</v>
      </c>
    </row>
    <row r="3934" spans="1:7" x14ac:dyDescent="0.2">
      <c r="A3934" s="12">
        <v>42611</v>
      </c>
      <c r="B3934" s="9">
        <v>1411.98</v>
      </c>
      <c r="C3934" s="9">
        <v>1400.47</v>
      </c>
      <c r="D3934" s="9">
        <v>1411.98</v>
      </c>
      <c r="E3934" s="9">
        <f t="shared" si="184"/>
        <v>2.3374167401699102E-4</v>
      </c>
      <c r="F3934" s="45">
        <f t="shared" si="182"/>
        <v>3.1460423622896208E-2</v>
      </c>
      <c r="G3934" s="9">
        <f t="shared" si="183"/>
        <v>7.5324186397606706E-3</v>
      </c>
    </row>
    <row r="3935" spans="1:7" x14ac:dyDescent="0.2">
      <c r="A3935" s="12">
        <v>42612</v>
      </c>
      <c r="B3935" s="9">
        <v>1423.5</v>
      </c>
      <c r="C3935" s="9">
        <v>1411.98</v>
      </c>
      <c r="D3935" s="9">
        <v>1418.43</v>
      </c>
      <c r="E3935" s="9">
        <f t="shared" si="184"/>
        <v>4.5576514816204903E-3</v>
      </c>
      <c r="F3935" s="45">
        <f t="shared" si="182"/>
        <v>3.3353985796424866E-2</v>
      </c>
      <c r="G3935" s="9">
        <f t="shared" si="183"/>
        <v>7.5543237168753889E-3</v>
      </c>
    </row>
    <row r="3936" spans="1:7" x14ac:dyDescent="0.2">
      <c r="A3936" s="12">
        <v>42613</v>
      </c>
      <c r="B3936" s="9">
        <v>1429.11</v>
      </c>
      <c r="C3936" s="9">
        <v>1416</v>
      </c>
      <c r="D3936" s="9">
        <v>1418.14</v>
      </c>
      <c r="E3936" s="9">
        <f t="shared" si="184"/>
        <v>-2.044723035288119E-4</v>
      </c>
      <c r="F3936" s="45">
        <f t="shared" si="182"/>
        <v>2.249865822781787E-2</v>
      </c>
      <c r="G3936" s="9">
        <f t="shared" si="183"/>
        <v>7.3385553568041748E-3</v>
      </c>
    </row>
    <row r="3937" spans="1:7" x14ac:dyDescent="0.2">
      <c r="A3937" s="12">
        <v>42614</v>
      </c>
      <c r="B3937" s="9">
        <v>1430.6</v>
      </c>
      <c r="C3937" s="9">
        <v>1416.51</v>
      </c>
      <c r="D3937" s="9">
        <v>1417.59</v>
      </c>
      <c r="E3937" s="9">
        <f t="shared" si="184"/>
        <v>-3.8790717515193272E-4</v>
      </c>
      <c r="F3937" s="45">
        <f t="shared" ref="F3937:F4000" si="185">LN(D3937/D3907)</f>
        <v>2.5643621587239596E-2</v>
      </c>
      <c r="G3937" s="9">
        <f t="shared" ref="G3937:G4000" si="186">STDEV(E3908:E3937)</f>
        <v>7.2976138941990287E-3</v>
      </c>
    </row>
    <row r="3938" spans="1:7" x14ac:dyDescent="0.2">
      <c r="A3938" s="12">
        <v>42615</v>
      </c>
      <c r="B3938" s="9">
        <v>1437.24</v>
      </c>
      <c r="C3938" s="9">
        <v>1418.25</v>
      </c>
      <c r="D3938" s="9">
        <v>1437.24</v>
      </c>
      <c r="E3938" s="9">
        <f t="shared" si="184"/>
        <v>1.3766361097552367E-2</v>
      </c>
      <c r="F3938" s="45">
        <f t="shared" si="185"/>
        <v>4.2476124541894936E-2</v>
      </c>
      <c r="G3938" s="9">
        <f t="shared" si="186"/>
        <v>7.6254801973446151E-3</v>
      </c>
    </row>
    <row r="3939" spans="1:7" x14ac:dyDescent="0.2">
      <c r="A3939" s="12">
        <v>42618</v>
      </c>
      <c r="B3939" s="9">
        <v>1443.22</v>
      </c>
      <c r="C3939" s="9">
        <v>1437.47</v>
      </c>
      <c r="D3939" s="9">
        <v>1440.76</v>
      </c>
      <c r="E3939" s="9">
        <f t="shared" si="184"/>
        <v>2.4461443747015635E-3</v>
      </c>
      <c r="F3939" s="45">
        <f t="shared" si="185"/>
        <v>3.8770496628170725E-2</v>
      </c>
      <c r="G3939" s="9">
        <f t="shared" si="186"/>
        <v>7.5759726295327309E-3</v>
      </c>
    </row>
    <row r="3940" spans="1:7" x14ac:dyDescent="0.2">
      <c r="A3940" s="12">
        <v>42619</v>
      </c>
      <c r="B3940" s="9">
        <v>1444.72</v>
      </c>
      <c r="C3940" s="9">
        <v>1434.17</v>
      </c>
      <c r="D3940" s="9">
        <v>1435.19</v>
      </c>
      <c r="E3940" s="9">
        <f t="shared" si="184"/>
        <v>-3.8735075118711826E-3</v>
      </c>
      <c r="F3940" s="45">
        <f t="shared" si="185"/>
        <v>3.7237438770635602E-2</v>
      </c>
      <c r="G3940" s="9">
        <f t="shared" si="186"/>
        <v>7.606431002246331E-3</v>
      </c>
    </row>
    <row r="3941" spans="1:7" x14ac:dyDescent="0.2">
      <c r="A3941" s="12">
        <v>42620</v>
      </c>
      <c r="B3941" s="9">
        <v>1443.46</v>
      </c>
      <c r="C3941" s="9">
        <v>1435.74</v>
      </c>
      <c r="D3941" s="9">
        <v>1441.52</v>
      </c>
      <c r="E3941" s="9">
        <f t="shared" si="184"/>
        <v>4.4008678083124891E-3</v>
      </c>
      <c r="F3941" s="45">
        <f t="shared" si="185"/>
        <v>3.8187338616733894E-2</v>
      </c>
      <c r="G3941" s="9">
        <f t="shared" si="186"/>
        <v>7.6179150086128668E-3</v>
      </c>
    </row>
    <row r="3942" spans="1:7" x14ac:dyDescent="0.2">
      <c r="A3942" s="12">
        <v>42621</v>
      </c>
      <c r="B3942" s="9">
        <v>1443.21</v>
      </c>
      <c r="C3942" s="9">
        <v>1430.53</v>
      </c>
      <c r="D3942" s="9">
        <v>1440.03</v>
      </c>
      <c r="E3942" s="9">
        <f t="shared" si="184"/>
        <v>-1.0341657321900626E-3</v>
      </c>
      <c r="F3942" s="45">
        <f t="shared" si="185"/>
        <v>4.1074335914032478E-2</v>
      </c>
      <c r="G3942" s="9">
        <f t="shared" si="186"/>
        <v>7.5681105338574611E-3</v>
      </c>
    </row>
    <row r="3943" spans="1:7" x14ac:dyDescent="0.2">
      <c r="A3943" s="12">
        <v>42622</v>
      </c>
      <c r="B3943" s="9">
        <v>1440.88</v>
      </c>
      <c r="C3943" s="9">
        <v>1424.91</v>
      </c>
      <c r="D3943" s="9">
        <v>1426.56</v>
      </c>
      <c r="E3943" s="9">
        <f t="shared" si="184"/>
        <v>-9.3979949289194811E-3</v>
      </c>
      <c r="F3943" s="45">
        <f t="shared" si="185"/>
        <v>2.8367973874114744E-2</v>
      </c>
      <c r="G3943" s="9">
        <f t="shared" si="186"/>
        <v>7.8076037236018614E-3</v>
      </c>
    </row>
    <row r="3944" spans="1:7" x14ac:dyDescent="0.2">
      <c r="A3944" s="12">
        <v>42625</v>
      </c>
      <c r="B3944" s="9">
        <v>1426.5</v>
      </c>
      <c r="C3944" s="9">
        <v>1400.2</v>
      </c>
      <c r="D3944" s="9">
        <v>1417.36</v>
      </c>
      <c r="E3944" s="9">
        <f t="shared" si="184"/>
        <v>-6.4699654652674091E-3</v>
      </c>
      <c r="F3944" s="45">
        <f t="shared" si="185"/>
        <v>2.7103868068281741E-2</v>
      </c>
      <c r="G3944" s="9">
        <f t="shared" si="186"/>
        <v>7.8452676023366679E-3</v>
      </c>
    </row>
    <row r="3945" spans="1:7" x14ac:dyDescent="0.2">
      <c r="A3945" s="12">
        <v>42626</v>
      </c>
      <c r="B3945" s="9">
        <v>1427.12</v>
      </c>
      <c r="C3945" s="9">
        <v>1410.79</v>
      </c>
      <c r="D3945" s="9">
        <v>1410.79</v>
      </c>
      <c r="E3945" s="9">
        <f t="shared" si="184"/>
        <v>-4.6461551323270425E-3</v>
      </c>
      <c r="F3945" s="45">
        <f t="shared" si="185"/>
        <v>3.7680352474645629E-2</v>
      </c>
      <c r="G3945" s="9">
        <f t="shared" si="186"/>
        <v>7.3153519455398507E-3</v>
      </c>
    </row>
    <row r="3946" spans="1:7" x14ac:dyDescent="0.2">
      <c r="A3946" s="12">
        <v>42627</v>
      </c>
      <c r="B3946" s="9">
        <v>1418.13</v>
      </c>
      <c r="C3946" s="9">
        <v>1407.02</v>
      </c>
      <c r="D3946" s="9">
        <v>1409.89</v>
      </c>
      <c r="E3946" s="9">
        <f t="shared" si="184"/>
        <v>-6.3814401530270365E-4</v>
      </c>
      <c r="F3946" s="45">
        <f t="shared" si="185"/>
        <v>4.1675261867318313E-2</v>
      </c>
      <c r="G3946" s="9">
        <f t="shared" si="186"/>
        <v>7.2404315204311759E-3</v>
      </c>
    </row>
    <row r="3947" spans="1:7" x14ac:dyDescent="0.2">
      <c r="A3947" s="12">
        <v>42628</v>
      </c>
      <c r="B3947" s="9">
        <v>1417.64</v>
      </c>
      <c r="C3947" s="9">
        <v>1401.5</v>
      </c>
      <c r="D3947" s="9">
        <v>1416.83</v>
      </c>
      <c r="E3947" s="9">
        <f t="shared" si="184"/>
        <v>4.9102945775917096E-3</v>
      </c>
      <c r="F3947" s="45">
        <f t="shared" si="185"/>
        <v>3.6645036284181351E-2</v>
      </c>
      <c r="G3947" s="9">
        <f t="shared" si="186"/>
        <v>7.0923002286852081E-3</v>
      </c>
    </row>
    <row r="3948" spans="1:7" x14ac:dyDescent="0.2">
      <c r="A3948" s="12">
        <v>42629</v>
      </c>
      <c r="B3948" s="9">
        <v>1415.5</v>
      </c>
      <c r="C3948" s="9">
        <v>1404.02</v>
      </c>
      <c r="D3948" s="9">
        <v>1405.31</v>
      </c>
      <c r="E3948" s="9">
        <f t="shared" si="184"/>
        <v>-8.1640627224533243E-3</v>
      </c>
      <c r="F3948" s="45">
        <f t="shared" si="185"/>
        <v>1.90226055432045E-2</v>
      </c>
      <c r="G3948" s="9">
        <f t="shared" si="186"/>
        <v>7.116305027601153E-3</v>
      </c>
    </row>
    <row r="3949" spans="1:7" x14ac:dyDescent="0.2">
      <c r="A3949" s="12">
        <v>42632</v>
      </c>
      <c r="B3949" s="9">
        <v>1421.48</v>
      </c>
      <c r="C3949" s="9">
        <v>1407.02</v>
      </c>
      <c r="D3949" s="9">
        <v>1419.01</v>
      </c>
      <c r="E3949" s="9">
        <f t="shared" si="184"/>
        <v>9.7015263518700767E-3</v>
      </c>
      <c r="F3949" s="45">
        <f t="shared" si="185"/>
        <v>2.3768451489535953E-2</v>
      </c>
      <c r="G3949" s="9">
        <f t="shared" si="186"/>
        <v>7.2668440237952693E-3</v>
      </c>
    </row>
    <row r="3950" spans="1:7" x14ac:dyDescent="0.2">
      <c r="A3950" s="12">
        <v>42633</v>
      </c>
      <c r="B3950" s="9">
        <v>1424.9</v>
      </c>
      <c r="C3950" s="9">
        <v>1415.12</v>
      </c>
      <c r="D3950" s="9">
        <v>1418.44</v>
      </c>
      <c r="E3950" s="9">
        <f t="shared" si="184"/>
        <v>-4.017691995752063E-4</v>
      </c>
      <c r="F3950" s="45">
        <f t="shared" si="185"/>
        <v>5.0109830311012233E-3</v>
      </c>
      <c r="G3950" s="9">
        <f t="shared" si="186"/>
        <v>6.4664323540687945E-3</v>
      </c>
    </row>
    <row r="3951" spans="1:7" x14ac:dyDescent="0.2">
      <c r="A3951" s="12">
        <v>42634</v>
      </c>
      <c r="B3951" s="9">
        <v>1434.71</v>
      </c>
      <c r="C3951" s="9">
        <v>1420.14</v>
      </c>
      <c r="D3951" s="9">
        <v>1422.66</v>
      </c>
      <c r="E3951" s="9">
        <f t="shared" si="184"/>
        <v>2.9706825549555504E-3</v>
      </c>
      <c r="F3951" s="45">
        <f t="shared" si="185"/>
        <v>1.1786677737157263E-2</v>
      </c>
      <c r="G3951" s="9">
        <f t="shared" si="186"/>
        <v>6.4411946069414493E-3</v>
      </c>
    </row>
    <row r="3952" spans="1:7" x14ac:dyDescent="0.2">
      <c r="A3952" s="12">
        <v>42635</v>
      </c>
      <c r="B3952" s="9">
        <v>1448.05</v>
      </c>
      <c r="C3952" s="9">
        <v>1423.35</v>
      </c>
      <c r="D3952" s="9">
        <v>1446.01</v>
      </c>
      <c r="E3952" s="9">
        <f t="shared" si="184"/>
        <v>1.6279680617178372E-2</v>
      </c>
      <c r="F3952" s="45">
        <f t="shared" si="185"/>
        <v>2.033665275393812E-2</v>
      </c>
      <c r="G3952" s="9">
        <f t="shared" si="186"/>
        <v>6.946358959072421E-3</v>
      </c>
    </row>
    <row r="3953" spans="1:7" x14ac:dyDescent="0.2">
      <c r="A3953" s="12">
        <v>42636</v>
      </c>
      <c r="B3953" s="9">
        <v>1446.07</v>
      </c>
      <c r="C3953" s="9">
        <v>1432.31</v>
      </c>
      <c r="D3953" s="9">
        <v>1437.52</v>
      </c>
      <c r="E3953" s="9">
        <f t="shared" si="184"/>
        <v>-5.8886327059211535E-3</v>
      </c>
      <c r="F3953" s="45">
        <f t="shared" si="185"/>
        <v>1.6348335337433743E-2</v>
      </c>
      <c r="G3953" s="9">
        <f t="shared" si="186"/>
        <v>7.0350036730230199E-3</v>
      </c>
    </row>
    <row r="3954" spans="1:7" x14ac:dyDescent="0.2">
      <c r="A3954" s="12">
        <v>42639</v>
      </c>
      <c r="B3954" s="9">
        <v>1436.56</v>
      </c>
      <c r="C3954" s="9">
        <v>1415.2</v>
      </c>
      <c r="D3954" s="9">
        <v>1418.19</v>
      </c>
      <c r="E3954" s="9">
        <f t="shared" si="184"/>
        <v>-1.3537995964813025E-2</v>
      </c>
      <c r="F3954" s="45">
        <f t="shared" si="185"/>
        <v>-2.3875184330552669E-3</v>
      </c>
      <c r="G3954" s="9">
        <f t="shared" si="186"/>
        <v>7.4283370769783839E-3</v>
      </c>
    </row>
    <row r="3955" spans="1:7" x14ac:dyDescent="0.2">
      <c r="A3955" s="12">
        <v>42640</v>
      </c>
      <c r="B3955" s="9">
        <v>1428.7</v>
      </c>
      <c r="C3955" s="9">
        <v>1403.92</v>
      </c>
      <c r="D3955" s="9">
        <v>1421.2</v>
      </c>
      <c r="E3955" s="9">
        <f t="shared" si="184"/>
        <v>2.1201744934868133E-3</v>
      </c>
      <c r="F3955" s="45">
        <f t="shared" si="185"/>
        <v>1.0567887108314616E-2</v>
      </c>
      <c r="G3955" s="9">
        <f t="shared" si="186"/>
        <v>7.1529733429735983E-3</v>
      </c>
    </row>
    <row r="3956" spans="1:7" x14ac:dyDescent="0.2">
      <c r="A3956" s="12">
        <v>42641</v>
      </c>
      <c r="B3956" s="9">
        <v>1436.04</v>
      </c>
      <c r="C3956" s="9">
        <v>1422.59</v>
      </c>
      <c r="D3956" s="9">
        <v>1425.24</v>
      </c>
      <c r="E3956" s="9">
        <f t="shared" si="184"/>
        <v>2.8386354272772526E-3</v>
      </c>
      <c r="F3956" s="45">
        <f t="shared" si="185"/>
        <v>2.3562739784645778E-2</v>
      </c>
      <c r="G3956" s="9">
        <f t="shared" si="186"/>
        <v>6.8830396796520825E-3</v>
      </c>
    </row>
    <row r="3957" spans="1:7" x14ac:dyDescent="0.2">
      <c r="A3957" s="12">
        <v>42642</v>
      </c>
      <c r="B3957" s="9">
        <v>1442.89</v>
      </c>
      <c r="C3957" s="9">
        <v>1425.38</v>
      </c>
      <c r="D3957" s="9">
        <v>1434.81</v>
      </c>
      <c r="E3957" s="9">
        <f t="shared" si="184"/>
        <v>6.6922156721800751E-3</v>
      </c>
      <c r="F3957" s="45">
        <f t="shared" si="185"/>
        <v>2.2405380077974227E-2</v>
      </c>
      <c r="G3957" s="9">
        <f t="shared" si="186"/>
        <v>6.8452201471285914E-3</v>
      </c>
    </row>
    <row r="3958" spans="1:7" x14ac:dyDescent="0.2">
      <c r="A3958" s="12">
        <v>42643</v>
      </c>
      <c r="B3958" s="9">
        <v>1439.08</v>
      </c>
      <c r="C3958" s="9">
        <v>1407.99</v>
      </c>
      <c r="D3958" s="9">
        <v>1439.08</v>
      </c>
      <c r="E3958" s="9">
        <f t="shared" si="184"/>
        <v>2.9715842583531724E-3</v>
      </c>
      <c r="F3958" s="45">
        <f t="shared" si="185"/>
        <v>3.2106517772028519E-2</v>
      </c>
      <c r="G3958" s="9">
        <f t="shared" si="186"/>
        <v>6.7076126841005713E-3</v>
      </c>
    </row>
    <row r="3959" spans="1:7" x14ac:dyDescent="0.2">
      <c r="A3959" s="12">
        <v>42646</v>
      </c>
      <c r="B3959" s="9">
        <v>1450.7</v>
      </c>
      <c r="C3959" s="9">
        <v>1437.67</v>
      </c>
      <c r="D3959" s="9">
        <v>1443.46</v>
      </c>
      <c r="E3959" s="9">
        <f t="shared" si="184"/>
        <v>3.0389887883184694E-3</v>
      </c>
      <c r="F3959" s="45">
        <f t="shared" si="185"/>
        <v>3.6682267027664091E-2</v>
      </c>
      <c r="G3959" s="9">
        <f t="shared" si="186"/>
        <v>6.6983059672709238E-3</v>
      </c>
    </row>
    <row r="3960" spans="1:7" x14ac:dyDescent="0.2">
      <c r="A3960" s="12">
        <v>42647</v>
      </c>
      <c r="B3960" s="9">
        <v>1456.35</v>
      </c>
      <c r="C3960" s="9">
        <v>1442.63</v>
      </c>
      <c r="D3960" s="9">
        <v>1456.22</v>
      </c>
      <c r="E3960" s="9">
        <f t="shared" si="184"/>
        <v>8.8010279504398634E-3</v>
      </c>
      <c r="F3960" s="45">
        <f t="shared" si="185"/>
        <v>3.4704139709697171E-2</v>
      </c>
      <c r="G3960" s="9">
        <f t="shared" si="186"/>
        <v>6.6101456332699586E-3</v>
      </c>
    </row>
    <row r="3961" spans="1:7" x14ac:dyDescent="0.2">
      <c r="A3961" s="12">
        <v>42648</v>
      </c>
      <c r="B3961" s="9">
        <v>1455.22</v>
      </c>
      <c r="C3961" s="9">
        <v>1445.96</v>
      </c>
      <c r="D3961" s="9">
        <v>1452.5</v>
      </c>
      <c r="E3961" s="9">
        <f t="shared" si="184"/>
        <v>-2.5578275173746882E-3</v>
      </c>
      <c r="F3961" s="45">
        <f t="shared" si="185"/>
        <v>2.7613569788121527E-2</v>
      </c>
      <c r="G3961" s="9">
        <f t="shared" si="186"/>
        <v>6.6120381262037503E-3</v>
      </c>
    </row>
    <row r="3962" spans="1:7" x14ac:dyDescent="0.2">
      <c r="A3962" s="12">
        <v>42649</v>
      </c>
      <c r="B3962" s="9">
        <v>1461.51</v>
      </c>
      <c r="C3962" s="9">
        <v>1452.82</v>
      </c>
      <c r="D3962" s="9">
        <v>1458.38</v>
      </c>
      <c r="E3962" s="9">
        <f t="shared" si="184"/>
        <v>4.0400208855498826E-3</v>
      </c>
      <c r="F3962" s="45">
        <f t="shared" si="185"/>
        <v>3.7231989962982576E-2</v>
      </c>
      <c r="G3962" s="9">
        <f t="shared" si="186"/>
        <v>6.5185814850542605E-3</v>
      </c>
    </row>
    <row r="3963" spans="1:7" x14ac:dyDescent="0.2">
      <c r="A3963" s="12">
        <v>42650</v>
      </c>
      <c r="B3963" s="9">
        <v>1458.05</v>
      </c>
      <c r="C3963" s="9">
        <v>1444.9</v>
      </c>
      <c r="D3963" s="9">
        <v>1451.65</v>
      </c>
      <c r="E3963" s="9">
        <f t="shared" si="184"/>
        <v>-4.6253901152875608E-3</v>
      </c>
      <c r="F3963" s="45">
        <f t="shared" si="185"/>
        <v>2.7941607523421893E-2</v>
      </c>
      <c r="G3963" s="9">
        <f t="shared" si="186"/>
        <v>6.5707823357095425E-3</v>
      </c>
    </row>
    <row r="3964" spans="1:7" x14ac:dyDescent="0.2">
      <c r="A3964" s="12">
        <v>42653</v>
      </c>
      <c r="B3964" s="9">
        <v>1467.78</v>
      </c>
      <c r="C3964" s="9">
        <v>1449.09</v>
      </c>
      <c r="D3964" s="9">
        <v>1467.45</v>
      </c>
      <c r="E3964" s="9">
        <f t="shared" si="184"/>
        <v>1.0825360075218952E-2</v>
      </c>
      <c r="F3964" s="45">
        <f t="shared" si="185"/>
        <v>3.8533225924623903E-2</v>
      </c>
      <c r="G3964" s="9">
        <f t="shared" si="186"/>
        <v>6.8121210881713894E-3</v>
      </c>
    </row>
    <row r="3965" spans="1:7" x14ac:dyDescent="0.2">
      <c r="A3965" s="12">
        <v>42654</v>
      </c>
      <c r="B3965" s="9">
        <v>1468.16</v>
      </c>
      <c r="C3965" s="9">
        <v>1454.7</v>
      </c>
      <c r="D3965" s="9">
        <v>1455.41</v>
      </c>
      <c r="E3965" s="9">
        <f t="shared" si="184"/>
        <v>-8.2385527188573362E-3</v>
      </c>
      <c r="F3965" s="45">
        <f t="shared" si="185"/>
        <v>2.5737021724146044E-2</v>
      </c>
      <c r="G3965" s="9">
        <f t="shared" si="186"/>
        <v>6.9981776499359041E-3</v>
      </c>
    </row>
    <row r="3966" spans="1:7" x14ac:dyDescent="0.2">
      <c r="A3966" s="12">
        <v>42655</v>
      </c>
      <c r="B3966" s="9">
        <v>1459.7</v>
      </c>
      <c r="C3966" s="9">
        <v>1442.5</v>
      </c>
      <c r="D3966" s="9">
        <v>1442.5</v>
      </c>
      <c r="E3966" s="9">
        <f t="shared" si="184"/>
        <v>-8.9099284704355648E-3</v>
      </c>
      <c r="F3966" s="45">
        <f t="shared" si="185"/>
        <v>1.7031565557239239E-2</v>
      </c>
      <c r="G3966" s="9">
        <f t="shared" si="186"/>
        <v>7.2206979969632688E-3</v>
      </c>
    </row>
    <row r="3967" spans="1:7" x14ac:dyDescent="0.2">
      <c r="A3967" s="12">
        <v>42656</v>
      </c>
      <c r="B3967" s="9">
        <v>1442.5</v>
      </c>
      <c r="C3967" s="9">
        <v>1422.09</v>
      </c>
      <c r="D3967" s="9">
        <v>1426.69</v>
      </c>
      <c r="E3967" s="9">
        <f t="shared" ref="E3967:E4030" si="187">LN(D3967/D3966)</f>
        <v>-1.102064346807877E-2</v>
      </c>
      <c r="F3967" s="45">
        <f t="shared" si="185"/>
        <v>6.3988292643124799E-3</v>
      </c>
      <c r="G3967" s="9">
        <f t="shared" si="186"/>
        <v>7.5238112242132669E-3</v>
      </c>
    </row>
    <row r="3968" spans="1:7" x14ac:dyDescent="0.2">
      <c r="A3968" s="12">
        <v>42657</v>
      </c>
      <c r="B3968" s="9">
        <v>1447.58</v>
      </c>
      <c r="C3968" s="9">
        <v>1430.02</v>
      </c>
      <c r="D3968" s="9">
        <v>1446</v>
      </c>
      <c r="E3968" s="9">
        <f t="shared" si="187"/>
        <v>1.3444047804534041E-2</v>
      </c>
      <c r="F3968" s="45">
        <f t="shared" si="185"/>
        <v>6.076515971294251E-3</v>
      </c>
      <c r="G3968" s="9">
        <f t="shared" si="186"/>
        <v>7.5039945238677304E-3</v>
      </c>
    </row>
    <row r="3969" spans="1:7" x14ac:dyDescent="0.2">
      <c r="A3969" s="12">
        <v>42660</v>
      </c>
      <c r="B3969" s="9">
        <v>1447.24</v>
      </c>
      <c r="C3969" s="9">
        <v>1436.66</v>
      </c>
      <c r="D3969" s="9">
        <v>1438.28</v>
      </c>
      <c r="E3969" s="9">
        <f t="shared" si="187"/>
        <v>-5.3531685104199721E-3</v>
      </c>
      <c r="F3969" s="45">
        <f t="shared" si="185"/>
        <v>-1.7227969138273475E-3</v>
      </c>
      <c r="G3969" s="9">
        <f t="shared" si="186"/>
        <v>7.5584908607063033E-3</v>
      </c>
    </row>
    <row r="3970" spans="1:7" x14ac:dyDescent="0.2">
      <c r="A3970" s="12">
        <v>42661</v>
      </c>
      <c r="B3970" s="9">
        <v>1459.94</v>
      </c>
      <c r="C3970" s="9">
        <v>1441.43</v>
      </c>
      <c r="D3970" s="9">
        <v>1458.63</v>
      </c>
      <c r="E3970" s="9">
        <f t="shared" si="187"/>
        <v>1.4049683797957574E-2</v>
      </c>
      <c r="F3970" s="45">
        <f t="shared" si="185"/>
        <v>1.6200394396001374E-2</v>
      </c>
      <c r="G3970" s="9">
        <f t="shared" si="186"/>
        <v>7.9449242121819186E-3</v>
      </c>
    </row>
    <row r="3971" spans="1:7" x14ac:dyDescent="0.2">
      <c r="A3971" s="12">
        <v>42662</v>
      </c>
      <c r="B3971" s="9">
        <v>1462.67</v>
      </c>
      <c r="C3971" s="9">
        <v>1448.05</v>
      </c>
      <c r="D3971" s="9">
        <v>1455.27</v>
      </c>
      <c r="E3971" s="9">
        <f t="shared" si="187"/>
        <v>-2.3061886057734876E-3</v>
      </c>
      <c r="F3971" s="45">
        <f t="shared" si="185"/>
        <v>9.4933379819154805E-3</v>
      </c>
      <c r="G3971" s="9">
        <f t="shared" si="186"/>
        <v>7.9268813283520523E-3</v>
      </c>
    </row>
    <row r="3972" spans="1:7" x14ac:dyDescent="0.2">
      <c r="A3972" s="12">
        <v>42663</v>
      </c>
      <c r="B3972" s="9">
        <v>1467.85</v>
      </c>
      <c r="C3972" s="9">
        <v>1449.38</v>
      </c>
      <c r="D3972" s="9">
        <v>1465.84</v>
      </c>
      <c r="E3972" s="9">
        <f t="shared" si="187"/>
        <v>7.2370065714452113E-3</v>
      </c>
      <c r="F3972" s="45">
        <f t="shared" si="185"/>
        <v>1.7764510285550671E-2</v>
      </c>
      <c r="G3972" s="9">
        <f t="shared" si="186"/>
        <v>8.0215606019919811E-3</v>
      </c>
    </row>
    <row r="3973" spans="1:7" x14ac:dyDescent="0.2">
      <c r="A3973" s="12">
        <v>42664</v>
      </c>
      <c r="B3973" s="9">
        <v>1472.06</v>
      </c>
      <c r="C3973" s="9">
        <v>1458.63</v>
      </c>
      <c r="D3973" s="9">
        <v>1464.85</v>
      </c>
      <c r="E3973" s="9">
        <f t="shared" si="187"/>
        <v>-6.7560884136975074E-4</v>
      </c>
      <c r="F3973" s="45">
        <f t="shared" si="185"/>
        <v>2.6486896373100591E-2</v>
      </c>
      <c r="G3973" s="9">
        <f t="shared" si="186"/>
        <v>7.8020461737317208E-3</v>
      </c>
    </row>
    <row r="3974" spans="1:7" x14ac:dyDescent="0.2">
      <c r="A3974" s="12">
        <v>42667</v>
      </c>
      <c r="B3974" s="9">
        <v>1473.48</v>
      </c>
      <c r="C3974" s="9">
        <v>1454.99</v>
      </c>
      <c r="D3974" s="9">
        <v>1456.79</v>
      </c>
      <c r="E3974" s="9">
        <f t="shared" si="187"/>
        <v>-5.5174631009530534E-3</v>
      </c>
      <c r="F3974" s="45">
        <f t="shared" si="185"/>
        <v>2.7439398737414921E-2</v>
      </c>
      <c r="G3974" s="9">
        <f t="shared" si="186"/>
        <v>7.772976158024099E-3</v>
      </c>
    </row>
    <row r="3975" spans="1:7" x14ac:dyDescent="0.2">
      <c r="A3975" s="12">
        <v>42668</v>
      </c>
      <c r="B3975" s="9">
        <v>1461.1</v>
      </c>
      <c r="C3975" s="9">
        <v>1449.89</v>
      </c>
      <c r="D3975" s="9">
        <v>1451.27</v>
      </c>
      <c r="E3975" s="9">
        <f t="shared" si="187"/>
        <v>-3.7963498893720591E-3</v>
      </c>
      <c r="F3975" s="45">
        <f t="shared" si="185"/>
        <v>2.8289203980369874E-2</v>
      </c>
      <c r="G3975" s="9">
        <f t="shared" si="186"/>
        <v>7.753536438785371E-3</v>
      </c>
    </row>
    <row r="3976" spans="1:7" x14ac:dyDescent="0.2">
      <c r="A3976" s="12">
        <v>42669</v>
      </c>
      <c r="B3976" s="9">
        <v>1458.8</v>
      </c>
      <c r="C3976" s="9">
        <v>1440.69</v>
      </c>
      <c r="D3976" s="9">
        <v>1454.21</v>
      </c>
      <c r="E3976" s="9">
        <f t="shared" si="187"/>
        <v>2.0237626852884216E-3</v>
      </c>
      <c r="F3976" s="45">
        <f t="shared" si="185"/>
        <v>3.0951110680960736E-2</v>
      </c>
      <c r="G3976" s="9">
        <f t="shared" si="186"/>
        <v>7.7500488834727479E-3</v>
      </c>
    </row>
    <row r="3977" spans="1:7" x14ac:dyDescent="0.2">
      <c r="A3977" s="12">
        <v>42670</v>
      </c>
      <c r="B3977" s="9">
        <v>1459.61</v>
      </c>
      <c r="C3977" s="9">
        <v>1445.57</v>
      </c>
      <c r="D3977" s="9">
        <v>1456.55</v>
      </c>
      <c r="E3977" s="9">
        <f t="shared" si="187"/>
        <v>1.6078278553343338E-3</v>
      </c>
      <c r="F3977" s="45">
        <f t="shared" si="185"/>
        <v>2.7648643958703374E-2</v>
      </c>
      <c r="G3977" s="9">
        <f t="shared" si="186"/>
        <v>7.7164387490893009E-3</v>
      </c>
    </row>
    <row r="3978" spans="1:7" x14ac:dyDescent="0.2">
      <c r="A3978" s="12">
        <v>42671</v>
      </c>
      <c r="B3978" s="9">
        <v>1461.19</v>
      </c>
      <c r="C3978" s="9">
        <v>1443.07</v>
      </c>
      <c r="D3978" s="9">
        <v>1459.36</v>
      </c>
      <c r="E3978" s="9">
        <f t="shared" si="187"/>
        <v>1.9273577510010849E-3</v>
      </c>
      <c r="F3978" s="45">
        <f t="shared" si="185"/>
        <v>3.7740064432157799E-2</v>
      </c>
      <c r="G3978" s="9">
        <f t="shared" si="186"/>
        <v>7.5242749026211211E-3</v>
      </c>
    </row>
    <row r="3979" spans="1:7" x14ac:dyDescent="0.2">
      <c r="A3979" s="12">
        <v>42674</v>
      </c>
      <c r="B3979" s="9">
        <v>1458.96</v>
      </c>
      <c r="C3979" s="9">
        <v>1444.75</v>
      </c>
      <c r="D3979" s="9">
        <v>1446.35</v>
      </c>
      <c r="E3979" s="9">
        <f t="shared" si="187"/>
        <v>-8.9548419755142786E-3</v>
      </c>
      <c r="F3979" s="45">
        <f t="shared" si="185"/>
        <v>1.9083696104773343E-2</v>
      </c>
      <c r="G3979" s="9">
        <f t="shared" si="186"/>
        <v>7.5731689557948113E-3</v>
      </c>
    </row>
    <row r="3980" spans="1:7" x14ac:dyDescent="0.2">
      <c r="A3980" s="12">
        <v>42675</v>
      </c>
      <c r="B3980" s="9">
        <v>1457.01</v>
      </c>
      <c r="C3980" s="9">
        <v>1431.87</v>
      </c>
      <c r="D3980" s="9">
        <v>1431.87</v>
      </c>
      <c r="E3980" s="9">
        <f t="shared" si="187"/>
        <v>-1.0061859179594471E-2</v>
      </c>
      <c r="F3980" s="45">
        <f t="shared" si="185"/>
        <v>9.4236061247540519E-3</v>
      </c>
      <c r="G3980" s="9">
        <f t="shared" si="186"/>
        <v>7.8201613473047622E-3</v>
      </c>
    </row>
    <row r="3981" spans="1:7" x14ac:dyDescent="0.2">
      <c r="A3981" s="12">
        <v>42676</v>
      </c>
      <c r="B3981" s="9">
        <v>1431.37</v>
      </c>
      <c r="C3981" s="9">
        <v>1416.5</v>
      </c>
      <c r="D3981" s="9">
        <v>1417.37</v>
      </c>
      <c r="E3981" s="9">
        <f t="shared" si="187"/>
        <v>-1.0178240638898609E-2</v>
      </c>
      <c r="F3981" s="45">
        <f t="shared" si="185"/>
        <v>-3.7253170691001159E-3</v>
      </c>
      <c r="G3981" s="9">
        <f t="shared" si="186"/>
        <v>8.0317515472886156E-3</v>
      </c>
    </row>
    <row r="3982" spans="1:7" x14ac:dyDescent="0.2">
      <c r="A3982" s="12">
        <v>42677</v>
      </c>
      <c r="B3982" s="9">
        <v>1429.76</v>
      </c>
      <c r="C3982" s="9">
        <v>1413.91</v>
      </c>
      <c r="D3982" s="9">
        <v>1421.01</v>
      </c>
      <c r="E3982" s="9">
        <f t="shared" si="187"/>
        <v>2.5648447321757343E-3</v>
      </c>
      <c r="F3982" s="45">
        <f t="shared" si="185"/>
        <v>-1.7440152954102759E-2</v>
      </c>
      <c r="G3982" s="9">
        <f t="shared" si="186"/>
        <v>7.4339304833645784E-3</v>
      </c>
    </row>
    <row r="3983" spans="1:7" x14ac:dyDescent="0.2">
      <c r="A3983" s="12">
        <v>42678</v>
      </c>
      <c r="B3983" s="9">
        <v>1420.25</v>
      </c>
      <c r="C3983" s="9">
        <v>1404.58</v>
      </c>
      <c r="D3983" s="9">
        <v>1406.1</v>
      </c>
      <c r="E3983" s="9">
        <f t="shared" si="187"/>
        <v>-1.0547971773246555E-2</v>
      </c>
      <c r="F3983" s="45">
        <f t="shared" si="185"/>
        <v>-2.2099492021428229E-2</v>
      </c>
      <c r="G3983" s="9">
        <f t="shared" si="186"/>
        <v>7.5955502176261874E-3</v>
      </c>
    </row>
    <row r="3984" spans="1:7" x14ac:dyDescent="0.2">
      <c r="A3984" s="12">
        <v>42681</v>
      </c>
      <c r="B3984" s="9">
        <v>1434.17</v>
      </c>
      <c r="C3984" s="9">
        <v>1407.88</v>
      </c>
      <c r="D3984" s="9">
        <v>1431.77</v>
      </c>
      <c r="E3984" s="9">
        <f t="shared" si="187"/>
        <v>1.8091526498786939E-2</v>
      </c>
      <c r="F3984" s="45">
        <f t="shared" si="185"/>
        <v>9.5300304421719658E-3</v>
      </c>
      <c r="G3984" s="9">
        <f t="shared" si="186"/>
        <v>7.94454336420191E-3</v>
      </c>
    </row>
    <row r="3985" spans="1:7" x14ac:dyDescent="0.2">
      <c r="A3985" s="12">
        <v>42682</v>
      </c>
      <c r="B3985" s="9">
        <v>1441.37</v>
      </c>
      <c r="C3985" s="9">
        <v>1427.2</v>
      </c>
      <c r="D3985" s="9">
        <v>1439.43</v>
      </c>
      <c r="E3985" s="9">
        <f t="shared" si="187"/>
        <v>5.3357607784621994E-3</v>
      </c>
      <c r="F3985" s="45">
        <f t="shared" si="185"/>
        <v>1.2745616727147449E-2</v>
      </c>
      <c r="G3985" s="9">
        <f t="shared" si="186"/>
        <v>7.9912557161859778E-3</v>
      </c>
    </row>
    <row r="3986" spans="1:7" x14ac:dyDescent="0.2">
      <c r="A3986" s="12">
        <v>42683</v>
      </c>
      <c r="B3986" s="9">
        <v>1458.96</v>
      </c>
      <c r="C3986" s="9">
        <v>1391.81</v>
      </c>
      <c r="D3986" s="9">
        <v>1456.71</v>
      </c>
      <c r="E3986" s="9">
        <f t="shared" si="187"/>
        <v>1.1933266388788309E-2</v>
      </c>
      <c r="F3986" s="45">
        <f t="shared" si="185"/>
        <v>2.1840247688658335E-2</v>
      </c>
      <c r="G3986" s="9">
        <f t="shared" si="186"/>
        <v>8.2541630239687767E-3</v>
      </c>
    </row>
    <row r="3987" spans="1:7" x14ac:dyDescent="0.2">
      <c r="A3987" s="12">
        <v>42684</v>
      </c>
      <c r="B3987" s="9">
        <v>1479.31</v>
      </c>
      <c r="C3987" s="9">
        <v>1453.68</v>
      </c>
      <c r="D3987" s="9">
        <v>1460.52</v>
      </c>
      <c r="E3987" s="9">
        <f t="shared" si="187"/>
        <v>2.6120684116583055E-3</v>
      </c>
      <c r="F3987" s="45">
        <f t="shared" si="185"/>
        <v>1.7760100428136468E-2</v>
      </c>
      <c r="G3987" s="9">
        <f t="shared" si="186"/>
        <v>8.185833014453605E-3</v>
      </c>
    </row>
    <row r="3988" spans="1:7" x14ac:dyDescent="0.2">
      <c r="A3988" s="12">
        <v>42685</v>
      </c>
      <c r="B3988" s="9">
        <v>1470.52</v>
      </c>
      <c r="C3988" s="9">
        <v>1449.66</v>
      </c>
      <c r="D3988" s="9">
        <v>1451.53</v>
      </c>
      <c r="E3988" s="9">
        <f t="shared" si="187"/>
        <v>-6.174364149168006E-3</v>
      </c>
      <c r="F3988" s="45">
        <f t="shared" si="185"/>
        <v>8.6141520206153635E-3</v>
      </c>
      <c r="G3988" s="9">
        <f t="shared" si="186"/>
        <v>8.2640915114726866E-3</v>
      </c>
    </row>
    <row r="3989" spans="1:7" x14ac:dyDescent="0.2">
      <c r="A3989" s="12">
        <v>42688</v>
      </c>
      <c r="B3989" s="9">
        <v>1469.59</v>
      </c>
      <c r="C3989" s="9">
        <v>1438.41</v>
      </c>
      <c r="D3989" s="9">
        <v>1443.08</v>
      </c>
      <c r="E3989" s="9">
        <f t="shared" si="187"/>
        <v>-5.8384542327300478E-3</v>
      </c>
      <c r="F3989" s="45">
        <f t="shared" si="185"/>
        <v>-2.6329100043321436E-4</v>
      </c>
      <c r="G3989" s="9">
        <f t="shared" si="186"/>
        <v>8.3209007404870979E-3</v>
      </c>
    </row>
    <row r="3990" spans="1:7" x14ac:dyDescent="0.2">
      <c r="A3990" s="12">
        <v>42689</v>
      </c>
      <c r="B3990" s="9">
        <v>1467.28</v>
      </c>
      <c r="C3990" s="9">
        <v>1445.5</v>
      </c>
      <c r="D3990" s="9">
        <v>1466.46</v>
      </c>
      <c r="E3990" s="9">
        <f t="shared" si="187"/>
        <v>1.6071614926147431E-2</v>
      </c>
      <c r="F3990" s="45">
        <f t="shared" si="185"/>
        <v>7.0072959752740761E-3</v>
      </c>
      <c r="G3990" s="9">
        <f t="shared" si="186"/>
        <v>8.6842873748298761E-3</v>
      </c>
    </row>
    <row r="3991" spans="1:7" x14ac:dyDescent="0.2">
      <c r="A3991" s="12">
        <v>42690</v>
      </c>
      <c r="B3991" s="9">
        <v>1473.83</v>
      </c>
      <c r="C3991" s="9">
        <v>1454.46</v>
      </c>
      <c r="D3991" s="9">
        <v>1458.25</v>
      </c>
      <c r="E3991" s="9">
        <f t="shared" si="187"/>
        <v>-5.6142465849681475E-3</v>
      </c>
      <c r="F3991" s="45">
        <f t="shared" si="185"/>
        <v>3.9508769076808071E-3</v>
      </c>
      <c r="G3991" s="9">
        <f t="shared" si="186"/>
        <v>8.735939003230251E-3</v>
      </c>
    </row>
    <row r="3992" spans="1:7" x14ac:dyDescent="0.2">
      <c r="A3992" s="12">
        <v>42691</v>
      </c>
      <c r="B3992" s="9">
        <v>1472.62</v>
      </c>
      <c r="C3992" s="9">
        <v>1454.15</v>
      </c>
      <c r="D3992" s="9">
        <v>1472.05</v>
      </c>
      <c r="E3992" s="9">
        <f t="shared" si="187"/>
        <v>9.4189004695001809E-3</v>
      </c>
      <c r="F3992" s="45">
        <f t="shared" si="185"/>
        <v>9.3297564916310135E-3</v>
      </c>
      <c r="G3992" s="9">
        <f t="shared" si="186"/>
        <v>8.8730413687472757E-3</v>
      </c>
    </row>
    <row r="3993" spans="1:7" x14ac:dyDescent="0.2">
      <c r="A3993" s="12">
        <v>42692</v>
      </c>
      <c r="B3993" s="9">
        <v>1478.75</v>
      </c>
      <c r="C3993" s="9">
        <v>1467.7</v>
      </c>
      <c r="D3993" s="9">
        <v>1476.47</v>
      </c>
      <c r="E3993" s="9">
        <f t="shared" si="187"/>
        <v>2.9981165539583058E-3</v>
      </c>
      <c r="F3993" s="45">
        <f t="shared" si="185"/>
        <v>1.6953263160876739E-2</v>
      </c>
      <c r="G3993" s="9">
        <f t="shared" si="186"/>
        <v>8.8358801071678154E-3</v>
      </c>
    </row>
    <row r="3994" spans="1:7" x14ac:dyDescent="0.2">
      <c r="A3994" s="12">
        <v>42695</v>
      </c>
      <c r="B3994" s="9">
        <v>1482.12</v>
      </c>
      <c r="C3994" s="9">
        <v>1466.02</v>
      </c>
      <c r="D3994" s="9">
        <v>1478.58</v>
      </c>
      <c r="E3994" s="9">
        <f t="shared" si="187"/>
        <v>1.4280640656426521E-3</v>
      </c>
      <c r="F3994" s="45">
        <f t="shared" si="185"/>
        <v>7.55596715130037E-3</v>
      </c>
      <c r="G3994" s="9">
        <f t="shared" si="186"/>
        <v>8.6236220023376449E-3</v>
      </c>
    </row>
    <row r="3995" spans="1:7" x14ac:dyDescent="0.2">
      <c r="A3995" s="12">
        <v>42696</v>
      </c>
      <c r="B3995" s="9">
        <v>1490.29</v>
      </c>
      <c r="C3995" s="9">
        <v>1478.62</v>
      </c>
      <c r="D3995" s="9">
        <v>1485.05</v>
      </c>
      <c r="E3995" s="9">
        <f t="shared" si="187"/>
        <v>4.3662739807991888E-3</v>
      </c>
      <c r="F3995" s="45">
        <f t="shared" si="185"/>
        <v>2.0160793850956957E-2</v>
      </c>
      <c r="G3995" s="9">
        <f t="shared" si="186"/>
        <v>8.5018941811172803E-3</v>
      </c>
    </row>
    <row r="3996" spans="1:7" x14ac:dyDescent="0.2">
      <c r="A3996" s="12">
        <v>42697</v>
      </c>
      <c r="B3996" s="9">
        <v>1488.68</v>
      </c>
      <c r="C3996" s="9">
        <v>1476.36</v>
      </c>
      <c r="D3996" s="9">
        <v>1482.63</v>
      </c>
      <c r="E3996" s="9">
        <f t="shared" si="187"/>
        <v>-1.6309039629625619E-3</v>
      </c>
      <c r="F3996" s="45">
        <f t="shared" si="185"/>
        <v>2.7439818358429891E-2</v>
      </c>
      <c r="G3996" s="9">
        <f t="shared" si="186"/>
        <v>8.3209486852076891E-3</v>
      </c>
    </row>
    <row r="3997" spans="1:7" x14ac:dyDescent="0.2">
      <c r="A3997" s="12">
        <v>42698</v>
      </c>
      <c r="B3997" s="9">
        <v>1487.72</v>
      </c>
      <c r="C3997" s="9">
        <v>1479.18</v>
      </c>
      <c r="D3997" s="9">
        <v>1484.33</v>
      </c>
      <c r="E3997" s="9">
        <f t="shared" si="187"/>
        <v>1.1459542333148453E-3</v>
      </c>
      <c r="F3997" s="45">
        <f t="shared" si="185"/>
        <v>3.9606416059823679E-2</v>
      </c>
      <c r="G3997" s="9">
        <f t="shared" si="186"/>
        <v>8.0098543479150564E-3</v>
      </c>
    </row>
    <row r="3998" spans="1:7" x14ac:dyDescent="0.2">
      <c r="A3998" s="12">
        <v>42699</v>
      </c>
      <c r="B3998" s="9">
        <v>1491.23</v>
      </c>
      <c r="C3998" s="9">
        <v>1478.33</v>
      </c>
      <c r="D3998" s="9">
        <v>1491.23</v>
      </c>
      <c r="E3998" s="9">
        <f t="shared" si="187"/>
        <v>4.6377907807135764E-3</v>
      </c>
      <c r="F3998" s="45">
        <f t="shared" si="185"/>
        <v>3.0800159036003069E-2</v>
      </c>
      <c r="G3998" s="9">
        <f t="shared" si="186"/>
        <v>7.7058177650277462E-3</v>
      </c>
    </row>
    <row r="3999" spans="1:7" x14ac:dyDescent="0.2">
      <c r="A3999" s="12">
        <v>42702</v>
      </c>
      <c r="B3999" s="9">
        <v>1491.06</v>
      </c>
      <c r="C3999" s="9">
        <v>1469.88</v>
      </c>
      <c r="D3999" s="9">
        <v>1472.68</v>
      </c>
      <c r="E3999" s="9">
        <f t="shared" si="187"/>
        <v>-1.2517412613216618E-2</v>
      </c>
      <c r="F3999" s="45">
        <f t="shared" si="185"/>
        <v>2.3635914933206274E-2</v>
      </c>
      <c r="G3999" s="9">
        <f t="shared" si="186"/>
        <v>8.015154134582583E-3</v>
      </c>
    </row>
    <row r="4000" spans="1:7" x14ac:dyDescent="0.2">
      <c r="A4000" s="12">
        <v>42703</v>
      </c>
      <c r="B4000" s="9">
        <v>1479.07</v>
      </c>
      <c r="C4000" s="9">
        <v>1462.3</v>
      </c>
      <c r="D4000" s="9">
        <v>1467.18</v>
      </c>
      <c r="E4000" s="9">
        <f t="shared" si="187"/>
        <v>-3.7416791389656185E-3</v>
      </c>
      <c r="F4000" s="45">
        <f t="shared" si="185"/>
        <v>5.8445519962832251E-3</v>
      </c>
      <c r="G4000" s="9">
        <f t="shared" si="186"/>
        <v>7.6499447426713711E-3</v>
      </c>
    </row>
    <row r="4001" spans="1:7" x14ac:dyDescent="0.2">
      <c r="A4001" s="12">
        <v>42704</v>
      </c>
      <c r="B4001" s="9">
        <v>1484.02</v>
      </c>
      <c r="C4001" s="9">
        <v>1466.79</v>
      </c>
      <c r="D4001" s="9">
        <v>1481.14</v>
      </c>
      <c r="E4001" s="9">
        <f t="shared" si="187"/>
        <v>9.4698705200057607E-3</v>
      </c>
      <c r="F4001" s="45">
        <f t="shared" ref="F4001:F4064" si="188">LN(D4001/D3971)</f>
        <v>1.7620611122062358E-2</v>
      </c>
      <c r="G4001" s="9">
        <f t="shared" ref="G4001:G4064" si="189">STDEV(E3972:E4001)</f>
        <v>7.8174804549660717E-3</v>
      </c>
    </row>
    <row r="4002" spans="1:7" x14ac:dyDescent="0.2">
      <c r="A4002" s="12">
        <v>42705</v>
      </c>
      <c r="B4002" s="9">
        <v>1482.56</v>
      </c>
      <c r="C4002" s="9">
        <v>1473.35</v>
      </c>
      <c r="D4002" s="9">
        <v>1477.95</v>
      </c>
      <c r="E4002" s="9">
        <f t="shared" si="187"/>
        <v>-2.1560690859432075E-3</v>
      </c>
      <c r="F4002" s="45">
        <f t="shared" si="188"/>
        <v>8.2275354646737658E-3</v>
      </c>
      <c r="G4002" s="9">
        <f t="shared" si="189"/>
        <v>7.7295771149901889E-3</v>
      </c>
    </row>
    <row r="4003" spans="1:7" x14ac:dyDescent="0.2">
      <c r="A4003" s="12">
        <v>42706</v>
      </c>
      <c r="B4003" s="9">
        <v>1477.92</v>
      </c>
      <c r="C4003" s="9">
        <v>1461.66</v>
      </c>
      <c r="D4003" s="9">
        <v>1470.08</v>
      </c>
      <c r="E4003" s="9">
        <f t="shared" si="187"/>
        <v>-5.3391713759146052E-3</v>
      </c>
      <c r="F4003" s="45">
        <f t="shared" si="188"/>
        <v>3.5639729301287977E-3</v>
      </c>
      <c r="G4003" s="9">
        <f t="shared" si="189"/>
        <v>7.795949052298236E-3</v>
      </c>
    </row>
    <row r="4004" spans="1:7" x14ac:dyDescent="0.2">
      <c r="A4004" s="12">
        <v>42709</v>
      </c>
      <c r="B4004" s="9">
        <v>1490.63</v>
      </c>
      <c r="C4004" s="9">
        <v>1462.92</v>
      </c>
      <c r="D4004" s="9">
        <v>1483.29</v>
      </c>
      <c r="E4004" s="9">
        <f t="shared" si="187"/>
        <v>8.9457725216292167E-3</v>
      </c>
      <c r="F4004" s="45">
        <f t="shared" si="188"/>
        <v>1.8027208552711296E-2</v>
      </c>
      <c r="G4004" s="9">
        <f t="shared" si="189"/>
        <v>7.8821119958123638E-3</v>
      </c>
    </row>
    <row r="4005" spans="1:7" x14ac:dyDescent="0.2">
      <c r="A4005" s="12">
        <v>42710</v>
      </c>
      <c r="B4005" s="9">
        <v>1492.17</v>
      </c>
      <c r="C4005" s="9">
        <v>1479.69</v>
      </c>
      <c r="D4005" s="9">
        <v>1492.17</v>
      </c>
      <c r="E4005" s="9">
        <f t="shared" si="187"/>
        <v>5.9688427093801929E-3</v>
      </c>
      <c r="F4005" s="45">
        <f t="shared" si="188"/>
        <v>2.7792401151463461E-2</v>
      </c>
      <c r="G4005" s="9">
        <f t="shared" si="189"/>
        <v>7.8958811384195384E-3</v>
      </c>
    </row>
    <row r="4006" spans="1:7" x14ac:dyDescent="0.2">
      <c r="A4006" s="12">
        <v>42711</v>
      </c>
      <c r="B4006" s="9">
        <v>1503.98</v>
      </c>
      <c r="C4006" s="9">
        <v>1493.18</v>
      </c>
      <c r="D4006" s="9">
        <v>1503.95</v>
      </c>
      <c r="E4006" s="9">
        <f t="shared" si="187"/>
        <v>7.8635439846292329E-3</v>
      </c>
      <c r="F4006" s="45">
        <f t="shared" si="188"/>
        <v>3.3632182450804571E-2</v>
      </c>
      <c r="G4006" s="9">
        <f t="shared" si="189"/>
        <v>7.9952271690281029E-3</v>
      </c>
    </row>
    <row r="4007" spans="1:7" x14ac:dyDescent="0.2">
      <c r="A4007" s="12">
        <v>42712</v>
      </c>
      <c r="B4007" s="9">
        <v>1520.15</v>
      </c>
      <c r="C4007" s="9">
        <v>1503.38</v>
      </c>
      <c r="D4007" s="9">
        <v>1520.15</v>
      </c>
      <c r="E4007" s="9">
        <f t="shared" si="187"/>
        <v>1.0714033905564619E-2</v>
      </c>
      <c r="F4007" s="45">
        <f t="shared" si="188"/>
        <v>4.2738388501034758E-2</v>
      </c>
      <c r="G4007" s="9">
        <f t="shared" si="189"/>
        <v>8.1849524268309323E-3</v>
      </c>
    </row>
    <row r="4008" spans="1:7" x14ac:dyDescent="0.2">
      <c r="A4008" s="12">
        <v>42713</v>
      </c>
      <c r="B4008" s="9">
        <v>1538.38</v>
      </c>
      <c r="C4008" s="9">
        <v>1514.16</v>
      </c>
      <c r="D4008" s="9">
        <v>1534.27</v>
      </c>
      <c r="E4008" s="9">
        <f t="shared" si="187"/>
        <v>9.2456836875486493E-3</v>
      </c>
      <c r="F4008" s="45">
        <f t="shared" si="188"/>
        <v>5.0056714437582549E-2</v>
      </c>
      <c r="G4008" s="9">
        <f t="shared" si="189"/>
        <v>8.308576940792364E-3</v>
      </c>
    </row>
    <row r="4009" spans="1:7" x14ac:dyDescent="0.2">
      <c r="A4009" s="12">
        <v>42716</v>
      </c>
      <c r="B4009" s="9">
        <v>1541</v>
      </c>
      <c r="C4009" s="9">
        <v>1529.29</v>
      </c>
      <c r="D4009" s="9">
        <v>1537.93</v>
      </c>
      <c r="E4009" s="9">
        <f t="shared" si="187"/>
        <v>2.3826585062845865E-3</v>
      </c>
      <c r="F4009" s="45">
        <f t="shared" si="188"/>
        <v>6.1394214919381469E-2</v>
      </c>
      <c r="G4009" s="9">
        <f t="shared" si="189"/>
        <v>8.0629201818180288E-3</v>
      </c>
    </row>
    <row r="4010" spans="1:7" x14ac:dyDescent="0.2">
      <c r="A4010" s="12">
        <v>42717</v>
      </c>
      <c r="B4010" s="9">
        <v>1551.96</v>
      </c>
      <c r="C4010" s="9">
        <v>1535.48</v>
      </c>
      <c r="D4010" s="9">
        <v>1551</v>
      </c>
      <c r="E4010" s="9">
        <f t="shared" si="187"/>
        <v>8.4625278008235646E-3</v>
      </c>
      <c r="F4010" s="45">
        <f t="shared" si="188"/>
        <v>7.9918601899799296E-2</v>
      </c>
      <c r="G4010" s="9">
        <f t="shared" si="189"/>
        <v>7.8089810446617149E-3</v>
      </c>
    </row>
    <row r="4011" spans="1:7" x14ac:dyDescent="0.2">
      <c r="A4011" s="12">
        <v>42718</v>
      </c>
      <c r="B4011" s="9">
        <v>1551.09</v>
      </c>
      <c r="C4011" s="9">
        <v>1538.63</v>
      </c>
      <c r="D4011" s="9">
        <v>1541.39</v>
      </c>
      <c r="E4011" s="9">
        <f t="shared" si="187"/>
        <v>-6.2152774623579253E-3</v>
      </c>
      <c r="F4011" s="45">
        <f t="shared" si="188"/>
        <v>8.3881565076339995E-2</v>
      </c>
      <c r="G4011" s="9">
        <f t="shared" si="189"/>
        <v>7.6153670732507645E-3</v>
      </c>
    </row>
    <row r="4012" spans="1:7" x14ac:dyDescent="0.2">
      <c r="A4012" s="12">
        <v>42719</v>
      </c>
      <c r="B4012" s="9">
        <v>1551.14</v>
      </c>
      <c r="C4012" s="9">
        <v>1532.1</v>
      </c>
      <c r="D4012" s="9">
        <v>1550.52</v>
      </c>
      <c r="E4012" s="9">
        <f t="shared" si="187"/>
        <v>5.9057518079484086E-3</v>
      </c>
      <c r="F4012" s="45">
        <f t="shared" si="188"/>
        <v>8.7222472152112526E-2</v>
      </c>
      <c r="G4012" s="9">
        <f t="shared" si="189"/>
        <v>7.6362686631493999E-3</v>
      </c>
    </row>
    <row r="4013" spans="1:7" x14ac:dyDescent="0.2">
      <c r="A4013" s="12">
        <v>42720</v>
      </c>
      <c r="B4013" s="9">
        <v>1553.6</v>
      </c>
      <c r="C4013" s="9">
        <v>1544.38</v>
      </c>
      <c r="D4013" s="9">
        <v>1548.2</v>
      </c>
      <c r="E4013" s="9">
        <f t="shared" si="187"/>
        <v>-1.4973927515160856E-3</v>
      </c>
      <c r="F4013" s="45">
        <f t="shared" si="188"/>
        <v>9.6273051173843063E-2</v>
      </c>
      <c r="G4013" s="9">
        <f t="shared" si="189"/>
        <v>7.2556513665501315E-3</v>
      </c>
    </row>
    <row r="4014" spans="1:7" x14ac:dyDescent="0.2">
      <c r="A4014" s="12">
        <v>42723</v>
      </c>
      <c r="B4014" s="9">
        <v>1552.55</v>
      </c>
      <c r="C4014" s="9">
        <v>1542.03</v>
      </c>
      <c r="D4014" s="9">
        <v>1542.71</v>
      </c>
      <c r="E4014" s="9">
        <f t="shared" si="187"/>
        <v>-3.552355632028562E-3</v>
      </c>
      <c r="F4014" s="45">
        <f t="shared" si="188"/>
        <v>7.4629169043027327E-2</v>
      </c>
      <c r="G4014" s="9">
        <f t="shared" si="189"/>
        <v>6.7856474013053489E-3</v>
      </c>
    </row>
    <row r="4015" spans="1:7" x14ac:dyDescent="0.2">
      <c r="A4015" s="12">
        <v>42724</v>
      </c>
      <c r="B4015" s="9">
        <v>1547.86</v>
      </c>
      <c r="C4015" s="9">
        <v>1535.12</v>
      </c>
      <c r="D4015" s="9">
        <v>1536.72</v>
      </c>
      <c r="E4015" s="9">
        <f t="shared" si="187"/>
        <v>-3.8903352599280283E-3</v>
      </c>
      <c r="F4015" s="45">
        <f t="shared" si="188"/>
        <v>6.5403073004637005E-2</v>
      </c>
      <c r="G4015" s="9">
        <f t="shared" si="189"/>
        <v>6.8607697989554375E-3</v>
      </c>
    </row>
    <row r="4016" spans="1:7" x14ac:dyDescent="0.2">
      <c r="A4016" s="12">
        <v>42725</v>
      </c>
      <c r="B4016" s="9">
        <v>1537.35</v>
      </c>
      <c r="C4016" s="9">
        <v>1521.64</v>
      </c>
      <c r="D4016" s="9">
        <v>1525.47</v>
      </c>
      <c r="E4016" s="9">
        <f t="shared" si="187"/>
        <v>-7.3477155986867056E-3</v>
      </c>
      <c r="F4016" s="45">
        <f t="shared" si="188"/>
        <v>4.6122091017162192E-2</v>
      </c>
      <c r="G4016" s="9">
        <f t="shared" si="189"/>
        <v>6.8185799375096437E-3</v>
      </c>
    </row>
    <row r="4017" spans="1:7" x14ac:dyDescent="0.2">
      <c r="A4017" s="12">
        <v>42726</v>
      </c>
      <c r="B4017" s="9">
        <v>1525.27</v>
      </c>
      <c r="C4017" s="9">
        <v>1515.61</v>
      </c>
      <c r="D4017" s="9">
        <v>1519.54</v>
      </c>
      <c r="E4017" s="9">
        <f t="shared" si="187"/>
        <v>-3.8949018207724245E-3</v>
      </c>
      <c r="F4017" s="45">
        <f t="shared" si="188"/>
        <v>3.9615120784731596E-2</v>
      </c>
      <c r="G4017" s="9">
        <f t="shared" si="189"/>
        <v>6.8863723835313117E-3</v>
      </c>
    </row>
    <row r="4018" spans="1:7" x14ac:dyDescent="0.2">
      <c r="A4018" s="12">
        <v>42727</v>
      </c>
      <c r="B4018" s="9">
        <v>1528.42</v>
      </c>
      <c r="C4018" s="9">
        <v>1519.28</v>
      </c>
      <c r="D4018" s="9">
        <v>1525.8</v>
      </c>
      <c r="E4018" s="9">
        <f t="shared" si="187"/>
        <v>4.1112051969314934E-3</v>
      </c>
      <c r="F4018" s="45">
        <f t="shared" si="188"/>
        <v>4.9900690130831003E-2</v>
      </c>
      <c r="G4018" s="9">
        <f t="shared" si="189"/>
        <v>6.7551516646709286E-3</v>
      </c>
    </row>
    <row r="4019" spans="1:7" x14ac:dyDescent="0.2">
      <c r="A4019" s="12">
        <v>42731</v>
      </c>
      <c r="B4019" s="9">
        <v>1536.01</v>
      </c>
      <c r="C4019" s="9">
        <v>1525.48</v>
      </c>
      <c r="D4019" s="9">
        <v>1533.31</v>
      </c>
      <c r="E4019" s="9">
        <f t="shared" si="187"/>
        <v>4.9099346458575934E-3</v>
      </c>
      <c r="F4019" s="45">
        <f t="shared" si="188"/>
        <v>6.0649079009418849E-2</v>
      </c>
      <c r="G4019" s="9">
        <f t="shared" si="189"/>
        <v>6.6273787569709518E-3</v>
      </c>
    </row>
    <row r="4020" spans="1:7" x14ac:dyDescent="0.2">
      <c r="A4020" s="12">
        <v>42732</v>
      </c>
      <c r="B4020" s="9">
        <v>1532.86</v>
      </c>
      <c r="C4020" s="9">
        <v>1526.29</v>
      </c>
      <c r="D4020" s="9">
        <v>1527.3</v>
      </c>
      <c r="E4020" s="9">
        <f t="shared" si="187"/>
        <v>-3.9273267255866811E-3</v>
      </c>
      <c r="F4020" s="45">
        <f t="shared" si="188"/>
        <v>4.0650137357684843E-2</v>
      </c>
      <c r="G4020" s="9">
        <f t="shared" si="189"/>
        <v>6.1543330756832718E-3</v>
      </c>
    </row>
    <row r="4021" spans="1:7" x14ac:dyDescent="0.2">
      <c r="A4021" s="12">
        <v>42733</v>
      </c>
      <c r="B4021" s="9">
        <v>1526.7</v>
      </c>
      <c r="C4021" s="9">
        <v>1516.92</v>
      </c>
      <c r="D4021" s="9">
        <v>1518.37</v>
      </c>
      <c r="E4021" s="9">
        <f t="shared" si="187"/>
        <v>-5.8640795555420164E-3</v>
      </c>
      <c r="F4021" s="45">
        <f t="shared" si="188"/>
        <v>4.040030438711107E-2</v>
      </c>
      <c r="G4021" s="9">
        <f t="shared" si="189"/>
        <v>6.1642497823350259E-3</v>
      </c>
    </row>
    <row r="4022" spans="1:7" x14ac:dyDescent="0.2">
      <c r="A4022" s="12">
        <v>42734</v>
      </c>
      <c r="B4022" s="9">
        <v>1522.06</v>
      </c>
      <c r="C4022" s="9">
        <v>1511.28</v>
      </c>
      <c r="D4022" s="9">
        <v>1517.2</v>
      </c>
      <c r="E4022" s="9">
        <f t="shared" si="187"/>
        <v>-7.7086020611406869E-4</v>
      </c>
      <c r="F4022" s="45">
        <f t="shared" si="188"/>
        <v>3.0210543711496847E-2</v>
      </c>
      <c r="G4022" s="9">
        <f t="shared" si="189"/>
        <v>5.9821672162787571E-3</v>
      </c>
    </row>
    <row r="4023" spans="1:7" x14ac:dyDescent="0.2">
      <c r="A4023" s="12">
        <v>42737</v>
      </c>
      <c r="B4023" s="9">
        <v>1530.61</v>
      </c>
      <c r="C4023" s="9">
        <v>1510.67</v>
      </c>
      <c r="D4023" s="9">
        <v>1526.83</v>
      </c>
      <c r="E4023" s="9">
        <f t="shared" si="187"/>
        <v>6.3271598022500465E-3</v>
      </c>
      <c r="F4023" s="45">
        <f t="shared" si="188"/>
        <v>3.3539586959788731E-2</v>
      </c>
      <c r="G4023" s="9">
        <f t="shared" si="189"/>
        <v>6.0508575350971434E-3</v>
      </c>
    </row>
    <row r="4024" spans="1:7" x14ac:dyDescent="0.2">
      <c r="A4024" s="12">
        <v>42738</v>
      </c>
      <c r="B4024" s="9">
        <v>1541.2</v>
      </c>
      <c r="C4024" s="9">
        <v>1526.26</v>
      </c>
      <c r="D4024" s="9">
        <v>1534.7</v>
      </c>
      <c r="E4024" s="9">
        <f t="shared" si="187"/>
        <v>5.1412315640552361E-3</v>
      </c>
      <c r="F4024" s="45">
        <f t="shared" si="188"/>
        <v>3.7252754458201427E-2</v>
      </c>
      <c r="G4024" s="9">
        <f t="shared" si="189"/>
        <v>6.0952332931351336E-3</v>
      </c>
    </row>
    <row r="4025" spans="1:7" x14ac:dyDescent="0.2">
      <c r="A4025" s="12">
        <v>42739</v>
      </c>
      <c r="B4025" s="9">
        <v>1538.77</v>
      </c>
      <c r="C4025" s="9">
        <v>1527.59</v>
      </c>
      <c r="D4025" s="9">
        <v>1530.93</v>
      </c>
      <c r="E4025" s="9">
        <f t="shared" si="187"/>
        <v>-2.4595283191264383E-3</v>
      </c>
      <c r="F4025" s="45">
        <f t="shared" si="188"/>
        <v>3.0426952158275723E-2</v>
      </c>
      <c r="G4025" s="9">
        <f t="shared" si="189"/>
        <v>6.1019727515179588E-3</v>
      </c>
    </row>
    <row r="4026" spans="1:7" x14ac:dyDescent="0.2">
      <c r="A4026" s="12">
        <v>42740</v>
      </c>
      <c r="B4026" s="9">
        <v>1530.93</v>
      </c>
      <c r="C4026" s="9">
        <v>1521.88</v>
      </c>
      <c r="D4026" s="9">
        <v>1522.1</v>
      </c>
      <c r="E4026" s="9">
        <f t="shared" si="187"/>
        <v>-5.7844335763017497E-3</v>
      </c>
      <c r="F4026" s="45">
        <f t="shared" si="188"/>
        <v>2.627342254493658E-2</v>
      </c>
      <c r="G4026" s="9">
        <f t="shared" si="189"/>
        <v>6.2102199396257777E-3</v>
      </c>
    </row>
    <row r="4027" spans="1:7" x14ac:dyDescent="0.2">
      <c r="A4027" s="12">
        <v>42744</v>
      </c>
      <c r="B4027" s="9">
        <v>1525.38</v>
      </c>
      <c r="C4027" s="9">
        <v>1504.07</v>
      </c>
      <c r="D4027" s="9">
        <v>1509.82</v>
      </c>
      <c r="E4027" s="9">
        <f t="shared" si="187"/>
        <v>-8.1005218801805945E-3</v>
      </c>
      <c r="F4027" s="45">
        <f t="shared" si="188"/>
        <v>1.7026946431441117E-2</v>
      </c>
      <c r="G4027" s="9">
        <f t="shared" si="189"/>
        <v>6.4221846744743098E-3</v>
      </c>
    </row>
    <row r="4028" spans="1:7" x14ac:dyDescent="0.2">
      <c r="A4028" s="12">
        <v>42745</v>
      </c>
      <c r="B4028" s="9">
        <v>1516.57</v>
      </c>
      <c r="C4028" s="9">
        <v>1506.3</v>
      </c>
      <c r="D4028" s="9">
        <v>1510.09</v>
      </c>
      <c r="E4028" s="9">
        <f t="shared" si="187"/>
        <v>1.78813276368745E-4</v>
      </c>
      <c r="F4028" s="45">
        <f t="shared" si="188"/>
        <v>1.2567968927096268E-2</v>
      </c>
      <c r="G4028" s="9">
        <f t="shared" si="189"/>
        <v>6.3761702465811605E-3</v>
      </c>
    </row>
    <row r="4029" spans="1:7" x14ac:dyDescent="0.2">
      <c r="A4029" s="12">
        <v>42746</v>
      </c>
      <c r="B4029" s="9">
        <v>1517.75</v>
      </c>
      <c r="C4029" s="9">
        <v>1501.03</v>
      </c>
      <c r="D4029" s="9">
        <v>1511.88</v>
      </c>
      <c r="E4029" s="9">
        <f t="shared" si="187"/>
        <v>1.1846578287294594E-3</v>
      </c>
      <c r="F4029" s="45">
        <f t="shared" si="188"/>
        <v>2.6270039369042347E-2</v>
      </c>
      <c r="G4029" s="9">
        <f t="shared" si="189"/>
        <v>5.8897630502265028E-3</v>
      </c>
    </row>
    <row r="4030" spans="1:7" x14ac:dyDescent="0.2">
      <c r="A4030" s="12">
        <v>42747</v>
      </c>
      <c r="B4030" s="9">
        <v>1513.24</v>
      </c>
      <c r="C4030" s="9">
        <v>1499.58</v>
      </c>
      <c r="D4030" s="9">
        <v>1503.31</v>
      </c>
      <c r="E4030" s="9">
        <f t="shared" si="187"/>
        <v>-5.684565866678949E-3</v>
      </c>
      <c r="F4030" s="45">
        <f t="shared" si="188"/>
        <v>2.4327152641329002E-2</v>
      </c>
      <c r="G4030" s="9">
        <f t="shared" si="189"/>
        <v>5.9526317030932276E-3</v>
      </c>
    </row>
    <row r="4031" spans="1:7" x14ac:dyDescent="0.2">
      <c r="A4031" s="12">
        <v>42748</v>
      </c>
      <c r="B4031" s="9">
        <v>1522.49</v>
      </c>
      <c r="C4031" s="9">
        <v>1504.22</v>
      </c>
      <c r="D4031" s="9">
        <v>1522.49</v>
      </c>
      <c r="E4031" s="9">
        <f t="shared" ref="E4031:E4094" si="190">LN(D4031/D4030)</f>
        <v>1.2677808774122664E-2</v>
      </c>
      <c r="F4031" s="45">
        <f t="shared" si="188"/>
        <v>2.7535090895446035E-2</v>
      </c>
      <c r="G4031" s="9">
        <f t="shared" si="189"/>
        <v>6.1394248674873199E-3</v>
      </c>
    </row>
    <row r="4032" spans="1:7" x14ac:dyDescent="0.2">
      <c r="A4032" s="12">
        <v>42751</v>
      </c>
      <c r="B4032" s="9">
        <v>1518.27</v>
      </c>
      <c r="C4032" s="9">
        <v>1511.07</v>
      </c>
      <c r="D4032" s="9">
        <v>1512.97</v>
      </c>
      <c r="E4032" s="9">
        <f t="shared" si="190"/>
        <v>-6.2725459821886421E-3</v>
      </c>
      <c r="F4032" s="45">
        <f t="shared" si="188"/>
        <v>2.3418613999200658E-2</v>
      </c>
      <c r="G4032" s="9">
        <f t="shared" si="189"/>
        <v>6.2554016682319991E-3</v>
      </c>
    </row>
    <row r="4033" spans="1:7" x14ac:dyDescent="0.2">
      <c r="A4033" s="12">
        <v>42752</v>
      </c>
      <c r="B4033" s="9">
        <v>1514.58</v>
      </c>
      <c r="C4033" s="9">
        <v>1498.74</v>
      </c>
      <c r="D4033" s="9">
        <v>1507.32</v>
      </c>
      <c r="E4033" s="9">
        <f t="shared" si="190"/>
        <v>-3.7413669486319927E-3</v>
      </c>
      <c r="F4033" s="45">
        <f t="shared" si="188"/>
        <v>2.5016418426483195E-2</v>
      </c>
      <c r="G4033" s="9">
        <f t="shared" si="189"/>
        <v>6.208122792468824E-3</v>
      </c>
    </row>
    <row r="4034" spans="1:7" x14ac:dyDescent="0.2">
      <c r="A4034" s="12">
        <v>42753</v>
      </c>
      <c r="B4034" s="9">
        <v>1515.99</v>
      </c>
      <c r="C4034" s="9">
        <v>1503.11</v>
      </c>
      <c r="D4034" s="9">
        <v>1515.99</v>
      </c>
      <c r="E4034" s="9">
        <f t="shared" si="190"/>
        <v>5.7354513873307594E-3</v>
      </c>
      <c r="F4034" s="45">
        <f t="shared" si="188"/>
        <v>2.1806097292184693E-2</v>
      </c>
      <c r="G4034" s="9">
        <f t="shared" si="189"/>
        <v>6.0900199212201109E-3</v>
      </c>
    </row>
    <row r="4035" spans="1:7" x14ac:dyDescent="0.2">
      <c r="A4035" s="12">
        <v>42754</v>
      </c>
      <c r="B4035" s="9">
        <v>1521.92</v>
      </c>
      <c r="C4035" s="9">
        <v>1508.48</v>
      </c>
      <c r="D4035" s="9">
        <v>1513.92</v>
      </c>
      <c r="E4035" s="9">
        <f t="shared" si="190"/>
        <v>-1.3663774317093076E-3</v>
      </c>
      <c r="F4035" s="45">
        <f t="shared" si="188"/>
        <v>1.4470877151095161E-2</v>
      </c>
      <c r="G4035" s="9">
        <f t="shared" si="189"/>
        <v>6.0191413840507448E-3</v>
      </c>
    </row>
    <row r="4036" spans="1:7" x14ac:dyDescent="0.2">
      <c r="A4036" s="12">
        <v>42755</v>
      </c>
      <c r="B4036" s="9">
        <v>1527.38</v>
      </c>
      <c r="C4036" s="9">
        <v>1507.78</v>
      </c>
      <c r="D4036" s="9">
        <v>1525.49</v>
      </c>
      <c r="E4036" s="9">
        <f t="shared" si="190"/>
        <v>7.6133564646612721E-3</v>
      </c>
      <c r="F4036" s="45">
        <f t="shared" si="188"/>
        <v>1.4220689631127104E-2</v>
      </c>
      <c r="G4036" s="9">
        <f t="shared" si="189"/>
        <v>6.0087263422505654E-3</v>
      </c>
    </row>
    <row r="4037" spans="1:7" x14ac:dyDescent="0.2">
      <c r="A4037" s="12">
        <v>42758</v>
      </c>
      <c r="B4037" s="9">
        <v>1524.37</v>
      </c>
      <c r="C4037" s="9">
        <v>1503.05</v>
      </c>
      <c r="D4037" s="9">
        <v>1504.69</v>
      </c>
      <c r="E4037" s="9">
        <f t="shared" si="190"/>
        <v>-1.3728773007721049E-2</v>
      </c>
      <c r="F4037" s="45">
        <f t="shared" si="188"/>
        <v>-1.0222117282158494E-2</v>
      </c>
      <c r="G4037" s="9">
        <f t="shared" si="189"/>
        <v>6.2256021421059991E-3</v>
      </c>
    </row>
    <row r="4038" spans="1:7" x14ac:dyDescent="0.2">
      <c r="A4038" s="12">
        <v>42759</v>
      </c>
      <c r="B4038" s="9">
        <v>1522.87</v>
      </c>
      <c r="C4038" s="9">
        <v>1504.91</v>
      </c>
      <c r="D4038" s="9">
        <v>1522.85</v>
      </c>
      <c r="E4038" s="9">
        <f t="shared" si="190"/>
        <v>1.1996682322278749E-2</v>
      </c>
      <c r="F4038" s="45">
        <f t="shared" si="188"/>
        <v>-7.4711186474283858E-3</v>
      </c>
      <c r="G4038" s="9">
        <f t="shared" si="189"/>
        <v>6.389770185665747E-3</v>
      </c>
    </row>
    <row r="4039" spans="1:7" x14ac:dyDescent="0.2">
      <c r="A4039" s="12">
        <v>42760</v>
      </c>
      <c r="B4039" s="9">
        <v>1545.99</v>
      </c>
      <c r="C4039" s="9">
        <v>1523.99</v>
      </c>
      <c r="D4039" s="9">
        <v>1545.99</v>
      </c>
      <c r="E4039" s="9">
        <f t="shared" si="190"/>
        <v>1.5080902599141325E-2</v>
      </c>
      <c r="F4039" s="45">
        <f t="shared" si="188"/>
        <v>5.2271254454282715E-3</v>
      </c>
      <c r="G4039" s="9">
        <f t="shared" si="189"/>
        <v>6.9648182766376869E-3</v>
      </c>
    </row>
    <row r="4040" spans="1:7" x14ac:dyDescent="0.2">
      <c r="A4040" s="12">
        <v>42761</v>
      </c>
      <c r="B4040" s="9">
        <v>1563.52</v>
      </c>
      <c r="C4040" s="9">
        <v>1551.22</v>
      </c>
      <c r="D4040" s="9">
        <v>1553.89</v>
      </c>
      <c r="E4040" s="9">
        <f t="shared" si="190"/>
        <v>5.096982530282756E-3</v>
      </c>
      <c r="F4040" s="45">
        <f t="shared" si="188"/>
        <v>1.8615801748875531E-3</v>
      </c>
      <c r="G4040" s="9">
        <f t="shared" si="189"/>
        <v>6.8529183680807832E-3</v>
      </c>
    </row>
    <row r="4041" spans="1:7" x14ac:dyDescent="0.2">
      <c r="A4041" s="12">
        <v>42762</v>
      </c>
      <c r="B4041" s="9">
        <v>1553.79</v>
      </c>
      <c r="C4041" s="9">
        <v>1536.77</v>
      </c>
      <c r="D4041" s="9">
        <v>1538.76</v>
      </c>
      <c r="E4041" s="9">
        <f t="shared" si="190"/>
        <v>-9.7845670924016862E-3</v>
      </c>
      <c r="F4041" s="45">
        <f t="shared" si="188"/>
        <v>-1.7077094551561764E-3</v>
      </c>
      <c r="G4041" s="9">
        <f t="shared" si="189"/>
        <v>6.9951672994007204E-3</v>
      </c>
    </row>
    <row r="4042" spans="1:7" x14ac:dyDescent="0.2">
      <c r="A4042" s="12">
        <v>42765</v>
      </c>
      <c r="B4042" s="9">
        <v>1538.5</v>
      </c>
      <c r="C4042" s="9">
        <v>1526.47</v>
      </c>
      <c r="D4042" s="9">
        <v>1528.89</v>
      </c>
      <c r="E4042" s="9">
        <f t="shared" si="190"/>
        <v>-6.434915363987481E-3</v>
      </c>
      <c r="F4042" s="45">
        <f t="shared" si="188"/>
        <v>-1.4048376627091895E-2</v>
      </c>
      <c r="G4042" s="9">
        <f t="shared" si="189"/>
        <v>6.9952877695040917E-3</v>
      </c>
    </row>
    <row r="4043" spans="1:7" x14ac:dyDescent="0.2">
      <c r="A4043" s="12">
        <v>42766</v>
      </c>
      <c r="B4043" s="9">
        <v>1548.14</v>
      </c>
      <c r="C4043" s="9">
        <v>1528.63</v>
      </c>
      <c r="D4043" s="9">
        <v>1536.75</v>
      </c>
      <c r="E4043" s="9">
        <f t="shared" si="190"/>
        <v>5.127814892081542E-3</v>
      </c>
      <c r="F4043" s="45">
        <f t="shared" si="188"/>
        <v>-7.423168983494227E-3</v>
      </c>
      <c r="G4043" s="9">
        <f t="shared" si="189"/>
        <v>7.0659005343670705E-3</v>
      </c>
    </row>
    <row r="4044" spans="1:7" x14ac:dyDescent="0.2">
      <c r="A4044" s="12">
        <v>42767</v>
      </c>
      <c r="B4044" s="9">
        <v>1554.15</v>
      </c>
      <c r="C4044" s="9">
        <v>1537.47</v>
      </c>
      <c r="D4044" s="9">
        <v>1547.31</v>
      </c>
      <c r="E4044" s="9">
        <f t="shared" si="190"/>
        <v>6.8481425584309471E-3</v>
      </c>
      <c r="F4044" s="45">
        <f t="shared" si="188"/>
        <v>2.9773292069654863E-3</v>
      </c>
      <c r="G4044" s="9">
        <f t="shared" si="189"/>
        <v>7.1527681758224975E-3</v>
      </c>
    </row>
    <row r="4045" spans="1:7" x14ac:dyDescent="0.2">
      <c r="A4045" s="12">
        <v>42768</v>
      </c>
      <c r="B4045" s="9">
        <v>1554.58</v>
      </c>
      <c r="C4045" s="9">
        <v>1544.6</v>
      </c>
      <c r="D4045" s="9">
        <v>1551.85</v>
      </c>
      <c r="E4045" s="9">
        <f t="shared" si="190"/>
        <v>2.9298282422156366E-3</v>
      </c>
      <c r="F4045" s="45">
        <f t="shared" si="188"/>
        <v>9.7974927091090749E-3</v>
      </c>
      <c r="G4045" s="9">
        <f t="shared" si="189"/>
        <v>7.1299408938797545E-3</v>
      </c>
    </row>
    <row r="4046" spans="1:7" x14ac:dyDescent="0.2">
      <c r="A4046" s="12">
        <v>42769</v>
      </c>
      <c r="B4046" s="9">
        <v>1559.13</v>
      </c>
      <c r="C4046" s="9">
        <v>1550.11</v>
      </c>
      <c r="D4046" s="9">
        <v>1557.31</v>
      </c>
      <c r="E4046" s="9">
        <f t="shared" si="190"/>
        <v>3.5122062632308962E-3</v>
      </c>
      <c r="F4046" s="45">
        <f t="shared" si="188"/>
        <v>2.0657414571026666E-2</v>
      </c>
      <c r="G4046" s="9">
        <f t="shared" si="189"/>
        <v>7.0013982065657643E-3</v>
      </c>
    </row>
    <row r="4047" spans="1:7" x14ac:dyDescent="0.2">
      <c r="A4047" s="12">
        <v>42772</v>
      </c>
      <c r="B4047" s="9">
        <v>1558.92</v>
      </c>
      <c r="C4047" s="9">
        <v>1547.39</v>
      </c>
      <c r="D4047" s="9">
        <v>1548.9</v>
      </c>
      <c r="E4047" s="9">
        <f t="shared" si="190"/>
        <v>-5.4149722972833148E-3</v>
      </c>
      <c r="F4047" s="45">
        <f t="shared" si="188"/>
        <v>1.9137344094515917E-2</v>
      </c>
      <c r="G4047" s="9">
        <f t="shared" si="189"/>
        <v>7.0411004101924796E-3</v>
      </c>
    </row>
    <row r="4048" spans="1:7" x14ac:dyDescent="0.2">
      <c r="A4048" s="12">
        <v>42773</v>
      </c>
      <c r="B4048" s="9">
        <v>1560.71</v>
      </c>
      <c r="C4048" s="9">
        <v>1545.73</v>
      </c>
      <c r="D4048" s="9">
        <v>1550.94</v>
      </c>
      <c r="E4048" s="9">
        <f t="shared" si="190"/>
        <v>1.3161971550168287E-3</v>
      </c>
      <c r="F4048" s="45">
        <f t="shared" si="188"/>
        <v>1.6342336052601117E-2</v>
      </c>
      <c r="G4048" s="9">
        <f t="shared" si="189"/>
        <v>7.0119888821785969E-3</v>
      </c>
    </row>
    <row r="4049" spans="1:7" x14ac:dyDescent="0.2">
      <c r="A4049" s="12">
        <v>42774</v>
      </c>
      <c r="B4049" s="9">
        <v>1552.25</v>
      </c>
      <c r="C4049" s="9">
        <v>1540.03</v>
      </c>
      <c r="D4049" s="9">
        <v>1549.24</v>
      </c>
      <c r="E4049" s="9">
        <f t="shared" si="190"/>
        <v>-1.0967106235076718E-3</v>
      </c>
      <c r="F4049" s="45">
        <f t="shared" si="188"/>
        <v>1.0335690783235598E-2</v>
      </c>
      <c r="G4049" s="9">
        <f t="shared" si="189"/>
        <v>6.9686699992250085E-3</v>
      </c>
    </row>
    <row r="4050" spans="1:7" x14ac:dyDescent="0.2">
      <c r="A4050" s="12">
        <v>42775</v>
      </c>
      <c r="B4050" s="9">
        <v>1557.5</v>
      </c>
      <c r="C4050" s="9">
        <v>1545.69</v>
      </c>
      <c r="D4050" s="9">
        <v>1557.5</v>
      </c>
      <c r="E4050" s="9">
        <f t="shared" si="190"/>
        <v>5.3174835763858544E-3</v>
      </c>
      <c r="F4050" s="45">
        <f t="shared" si="188"/>
        <v>1.9580501085208257E-2</v>
      </c>
      <c r="G4050" s="9">
        <f t="shared" si="189"/>
        <v>6.9776521038811537E-3</v>
      </c>
    </row>
    <row r="4051" spans="1:7" x14ac:dyDescent="0.2">
      <c r="A4051" s="12">
        <v>42776</v>
      </c>
      <c r="B4051" s="9">
        <v>1568.21</v>
      </c>
      <c r="C4051" s="9">
        <v>1556.66</v>
      </c>
      <c r="D4051" s="9">
        <v>1562.73</v>
      </c>
      <c r="E4051" s="9">
        <f t="shared" si="190"/>
        <v>3.3523201160914145E-3</v>
      </c>
      <c r="F4051" s="45">
        <f t="shared" si="188"/>
        <v>2.8796900756841604E-2</v>
      </c>
      <c r="G4051" s="9">
        <f t="shared" si="189"/>
        <v>6.88308690867734E-3</v>
      </c>
    </row>
    <row r="4052" spans="1:7" x14ac:dyDescent="0.2">
      <c r="A4052" s="12">
        <v>42779</v>
      </c>
      <c r="B4052" s="9">
        <v>1572.53</v>
      </c>
      <c r="C4052" s="9">
        <v>1563.08</v>
      </c>
      <c r="D4052" s="9">
        <v>1572.18</v>
      </c>
      <c r="E4052" s="9">
        <f t="shared" si="190"/>
        <v>6.0288994731844551E-3</v>
      </c>
      <c r="F4052" s="45">
        <f t="shared" si="188"/>
        <v>3.5596660436140265E-2</v>
      </c>
      <c r="G4052" s="9">
        <f t="shared" si="189"/>
        <v>6.9358830125425186E-3</v>
      </c>
    </row>
    <row r="4053" spans="1:7" x14ac:dyDescent="0.2">
      <c r="A4053" s="12">
        <v>42780</v>
      </c>
      <c r="B4053" s="9">
        <v>1573.11</v>
      </c>
      <c r="C4053" s="9">
        <v>1563.74</v>
      </c>
      <c r="D4053" s="9">
        <v>1569.75</v>
      </c>
      <c r="E4053" s="9">
        <f t="shared" si="190"/>
        <v>-1.5468202566652994E-3</v>
      </c>
      <c r="F4053" s="45">
        <f t="shared" si="188"/>
        <v>2.7722680377224699E-2</v>
      </c>
      <c r="G4053" s="9">
        <f t="shared" si="189"/>
        <v>6.8834298731035391E-3</v>
      </c>
    </row>
    <row r="4054" spans="1:7" x14ac:dyDescent="0.2">
      <c r="A4054" s="12">
        <v>42781</v>
      </c>
      <c r="B4054" s="9">
        <v>1577.73</v>
      </c>
      <c r="C4054" s="9">
        <v>1568.17</v>
      </c>
      <c r="D4054" s="9">
        <v>1574.02</v>
      </c>
      <c r="E4054" s="9">
        <f t="shared" si="190"/>
        <v>2.7164853827080426E-3</v>
      </c>
      <c r="F4054" s="45">
        <f t="shared" si="188"/>
        <v>2.5297934195877593E-2</v>
      </c>
      <c r="G4054" s="9">
        <f t="shared" si="189"/>
        <v>6.8463406107236698E-3</v>
      </c>
    </row>
    <row r="4055" spans="1:7" x14ac:dyDescent="0.2">
      <c r="A4055" s="12">
        <v>42782</v>
      </c>
      <c r="B4055" s="9">
        <v>1580.99</v>
      </c>
      <c r="C4055" s="9">
        <v>1572.27</v>
      </c>
      <c r="D4055" s="9">
        <v>1576.33</v>
      </c>
      <c r="E4055" s="9">
        <f t="shared" si="190"/>
        <v>1.4665039846347067E-3</v>
      </c>
      <c r="F4055" s="45">
        <f t="shared" si="188"/>
        <v>2.9223966499638643E-2</v>
      </c>
      <c r="G4055" s="9">
        <f t="shared" si="189"/>
        <v>6.8184971780736294E-3</v>
      </c>
    </row>
    <row r="4056" spans="1:7" x14ac:dyDescent="0.2">
      <c r="A4056" s="12">
        <v>42783</v>
      </c>
      <c r="B4056" s="9">
        <v>1578.91</v>
      </c>
      <c r="C4056" s="9">
        <v>1566.47</v>
      </c>
      <c r="D4056" s="9">
        <v>1570.59</v>
      </c>
      <c r="E4056" s="9">
        <f t="shared" si="190"/>
        <v>-3.6480154345624434E-3</v>
      </c>
      <c r="F4056" s="45">
        <f t="shared" si="188"/>
        <v>3.1360384641378157E-2</v>
      </c>
      <c r="G4056" s="9">
        <f t="shared" si="189"/>
        <v>6.7563484930771318E-3</v>
      </c>
    </row>
    <row r="4057" spans="1:7" x14ac:dyDescent="0.2">
      <c r="A4057" s="12">
        <v>42786</v>
      </c>
      <c r="B4057" s="9">
        <v>1582.78</v>
      </c>
      <c r="C4057" s="9">
        <v>1572.58</v>
      </c>
      <c r="D4057" s="9">
        <v>1576.33</v>
      </c>
      <c r="E4057" s="9">
        <f t="shared" si="190"/>
        <v>3.6480154345624742E-3</v>
      </c>
      <c r="F4057" s="45">
        <f t="shared" si="188"/>
        <v>4.31089219561211E-2</v>
      </c>
      <c r="G4057" s="9">
        <f t="shared" si="189"/>
        <v>6.5451354704541796E-3</v>
      </c>
    </row>
    <row r="4058" spans="1:7" x14ac:dyDescent="0.2">
      <c r="A4058" s="12">
        <v>42787</v>
      </c>
      <c r="B4058" s="9">
        <v>1592.75</v>
      </c>
      <c r="C4058" s="9">
        <v>1570.01</v>
      </c>
      <c r="D4058" s="9">
        <v>1590.09</v>
      </c>
      <c r="E4058" s="9">
        <f t="shared" si="190"/>
        <v>8.6912580243674407E-3</v>
      </c>
      <c r="F4058" s="45">
        <f t="shared" si="188"/>
        <v>5.1621366704119563E-2</v>
      </c>
      <c r="G4058" s="9">
        <f t="shared" si="189"/>
        <v>6.6719991275692066E-3</v>
      </c>
    </row>
    <row r="4059" spans="1:7" x14ac:dyDescent="0.2">
      <c r="A4059" s="12">
        <v>42788</v>
      </c>
      <c r="B4059" s="9">
        <v>1593.88</v>
      </c>
      <c r="C4059" s="9">
        <v>1578.55</v>
      </c>
      <c r="D4059" s="9">
        <v>1582.13</v>
      </c>
      <c r="E4059" s="9">
        <f t="shared" si="190"/>
        <v>-5.0185779717604167E-3</v>
      </c>
      <c r="F4059" s="45">
        <f t="shared" si="188"/>
        <v>4.5418130903629762E-2</v>
      </c>
      <c r="G4059" s="9">
        <f t="shared" si="189"/>
        <v>6.7843623573146956E-3</v>
      </c>
    </row>
    <row r="4060" spans="1:7" x14ac:dyDescent="0.2">
      <c r="A4060" s="12">
        <v>42789</v>
      </c>
      <c r="B4060" s="9">
        <v>1593.61</v>
      </c>
      <c r="C4060" s="9">
        <v>1582.16</v>
      </c>
      <c r="D4060" s="9">
        <v>1588.3</v>
      </c>
      <c r="E4060" s="9">
        <f t="shared" si="190"/>
        <v>3.8922214269409045E-3</v>
      </c>
      <c r="F4060" s="45">
        <f t="shared" si="188"/>
        <v>5.499491819724963E-2</v>
      </c>
      <c r="G4060" s="9">
        <f t="shared" si="189"/>
        <v>6.6581042745277918E-3</v>
      </c>
    </row>
    <row r="4061" spans="1:7" x14ac:dyDescent="0.2">
      <c r="A4061" s="12">
        <v>42790</v>
      </c>
      <c r="B4061" s="9">
        <v>1589.51</v>
      </c>
      <c r="C4061" s="9">
        <v>1563.04</v>
      </c>
      <c r="D4061" s="9">
        <v>1569.86</v>
      </c>
      <c r="E4061" s="9">
        <f t="shared" si="190"/>
        <v>-1.1677818449334808E-2</v>
      </c>
      <c r="F4061" s="45">
        <f t="shared" si="188"/>
        <v>3.0639290973792029E-2</v>
      </c>
      <c r="G4061" s="9">
        <f t="shared" si="189"/>
        <v>6.7740563095864473E-3</v>
      </c>
    </row>
    <row r="4062" spans="1:7" x14ac:dyDescent="0.2">
      <c r="A4062" s="12">
        <v>42793</v>
      </c>
      <c r="B4062" s="9">
        <v>1577.06</v>
      </c>
      <c r="C4062" s="9">
        <v>1561.64</v>
      </c>
      <c r="D4062" s="9">
        <v>1564.63</v>
      </c>
      <c r="E4062" s="9">
        <f t="shared" si="190"/>
        <v>-3.337069094782247E-3</v>
      </c>
      <c r="F4062" s="45">
        <f t="shared" si="188"/>
        <v>3.3574767861198201E-2</v>
      </c>
      <c r="G4062" s="9">
        <f t="shared" si="189"/>
        <v>6.6856904023790799E-3</v>
      </c>
    </row>
    <row r="4063" spans="1:7" x14ac:dyDescent="0.2">
      <c r="A4063" s="12">
        <v>42794</v>
      </c>
      <c r="B4063" s="9">
        <v>1572.73</v>
      </c>
      <c r="C4063" s="9">
        <v>1561.59</v>
      </c>
      <c r="D4063" s="9">
        <v>1570.17</v>
      </c>
      <c r="E4063" s="9">
        <f t="shared" si="190"/>
        <v>3.5345194382550402E-3</v>
      </c>
      <c r="F4063" s="45">
        <f t="shared" si="188"/>
        <v>4.0850654248085254E-2</v>
      </c>
      <c r="G4063" s="9">
        <f t="shared" si="189"/>
        <v>6.6350684472742784E-3</v>
      </c>
    </row>
    <row r="4064" spans="1:7" x14ac:dyDescent="0.2">
      <c r="A4064" s="12">
        <v>42795</v>
      </c>
      <c r="B4064" s="9">
        <v>1594.56</v>
      </c>
      <c r="C4064" s="9">
        <v>1570.96</v>
      </c>
      <c r="D4064" s="9">
        <v>1591.37</v>
      </c>
      <c r="E4064" s="9">
        <f t="shared" si="190"/>
        <v>1.3411386704622125E-2</v>
      </c>
      <c r="F4064" s="45">
        <f t="shared" si="188"/>
        <v>4.8526589565376602E-2</v>
      </c>
      <c r="G4064" s="9">
        <f t="shared" si="189"/>
        <v>6.9500714252839621E-3</v>
      </c>
    </row>
    <row r="4065" spans="1:7" x14ac:dyDescent="0.2">
      <c r="A4065" s="12">
        <v>42796</v>
      </c>
      <c r="B4065" s="9">
        <v>1594.46</v>
      </c>
      <c r="C4065" s="9">
        <v>1578.27</v>
      </c>
      <c r="D4065" s="9">
        <v>1580.53</v>
      </c>
      <c r="E4065" s="9">
        <f t="shared" si="190"/>
        <v>-6.8350466293195956E-3</v>
      </c>
      <c r="F4065" s="45">
        <f t="shared" ref="F4065:F4114" si="191">LN(D4065/D4035)</f>
        <v>4.3057920367766414E-2</v>
      </c>
      <c r="G4065" s="9">
        <f t="shared" ref="G4065:G4114" si="192">STDEV(E4036:E4065)</f>
        <v>7.1011097071117212E-3</v>
      </c>
    </row>
    <row r="4066" spans="1:7" x14ac:dyDescent="0.2">
      <c r="A4066" s="12">
        <v>42797</v>
      </c>
      <c r="B4066" s="9">
        <v>1585.61</v>
      </c>
      <c r="C4066" s="9">
        <v>1573.99</v>
      </c>
      <c r="D4066" s="9">
        <v>1581.32</v>
      </c>
      <c r="E4066" s="9">
        <f t="shared" si="190"/>
        <v>4.9970746015092068E-4</v>
      </c>
      <c r="F4066" s="45">
        <f t="shared" si="191"/>
        <v>3.5944271363256064E-2</v>
      </c>
      <c r="G4066" s="9">
        <f t="shared" si="192"/>
        <v>7.0058267688537235E-3</v>
      </c>
    </row>
    <row r="4067" spans="1:7" x14ac:dyDescent="0.2">
      <c r="A4067" s="12">
        <v>42800</v>
      </c>
      <c r="B4067" s="9">
        <v>1581.29</v>
      </c>
      <c r="C4067" s="9">
        <v>1571.06</v>
      </c>
      <c r="D4067" s="9">
        <v>1575.52</v>
      </c>
      <c r="E4067" s="9">
        <f t="shared" si="190"/>
        <v>-3.6745647712086156E-3</v>
      </c>
      <c r="F4067" s="45">
        <f t="shared" si="191"/>
        <v>4.5998479599768299E-2</v>
      </c>
      <c r="G4067" s="9">
        <f t="shared" si="192"/>
        <v>6.4885244979264204E-3</v>
      </c>
    </row>
    <row r="4068" spans="1:7" x14ac:dyDescent="0.2">
      <c r="A4068" s="12">
        <v>42801</v>
      </c>
      <c r="B4068" s="9">
        <v>1578.25</v>
      </c>
      <c r="C4068" s="9">
        <v>1567.59</v>
      </c>
      <c r="D4068" s="9">
        <v>1575.77</v>
      </c>
      <c r="E4068" s="9">
        <f t="shared" si="190"/>
        <v>1.5866518189348969E-4</v>
      </c>
      <c r="F4068" s="45">
        <f t="shared" si="191"/>
        <v>3.4160462459383083E-2</v>
      </c>
      <c r="G4068" s="9">
        <f t="shared" si="192"/>
        <v>6.1830221013811464E-3</v>
      </c>
    </row>
    <row r="4069" spans="1:7" x14ac:dyDescent="0.2">
      <c r="A4069" s="12">
        <v>42802</v>
      </c>
      <c r="B4069" s="9">
        <v>1583.22</v>
      </c>
      <c r="C4069" s="9">
        <v>1574.21</v>
      </c>
      <c r="D4069" s="9">
        <v>1578.23</v>
      </c>
      <c r="E4069" s="9">
        <f t="shared" si="190"/>
        <v>1.5599242224727313E-3</v>
      </c>
      <c r="F4069" s="45">
        <f t="shared" si="191"/>
        <v>2.0639484082714422E-2</v>
      </c>
      <c r="G4069" s="9">
        <f t="shared" si="192"/>
        <v>5.5966774122961646E-3</v>
      </c>
    </row>
    <row r="4070" spans="1:7" x14ac:dyDescent="0.2">
      <c r="A4070" s="12">
        <v>42803</v>
      </c>
      <c r="B4070" s="9">
        <v>1585.44</v>
      </c>
      <c r="C4070" s="9">
        <v>1572.6</v>
      </c>
      <c r="D4070" s="9">
        <v>1583.73</v>
      </c>
      <c r="E4070" s="9">
        <f t="shared" si="190"/>
        <v>3.4788583960314329E-3</v>
      </c>
      <c r="F4070" s="45">
        <f t="shared" si="191"/>
        <v>1.9021359948463094E-2</v>
      </c>
      <c r="G4070" s="9">
        <f t="shared" si="192"/>
        <v>5.5604005503135665E-3</v>
      </c>
    </row>
    <row r="4071" spans="1:7" x14ac:dyDescent="0.2">
      <c r="A4071" s="12">
        <v>42804</v>
      </c>
      <c r="B4071" s="9">
        <v>1595</v>
      </c>
      <c r="C4071" s="9">
        <v>1584.09</v>
      </c>
      <c r="D4071" s="9">
        <v>1587.93</v>
      </c>
      <c r="E4071" s="9">
        <f t="shared" si="190"/>
        <v>2.648456931079163E-3</v>
      </c>
      <c r="F4071" s="45">
        <f t="shared" si="191"/>
        <v>3.1454383971944028E-2</v>
      </c>
      <c r="G4071" s="9">
        <f t="shared" si="192"/>
        <v>5.2093459574328923E-3</v>
      </c>
    </row>
    <row r="4072" spans="1:7" x14ac:dyDescent="0.2">
      <c r="A4072" s="12">
        <v>42807</v>
      </c>
      <c r="B4072" s="9">
        <v>1599.83</v>
      </c>
      <c r="C4072" s="9">
        <v>1586.01</v>
      </c>
      <c r="D4072" s="9">
        <v>1594.71</v>
      </c>
      <c r="E4072" s="9">
        <f t="shared" si="190"/>
        <v>4.2606202752286772E-3</v>
      </c>
      <c r="F4072" s="45">
        <f t="shared" si="191"/>
        <v>4.2149919611160144E-2</v>
      </c>
      <c r="G4072" s="9">
        <f t="shared" si="192"/>
        <v>5.0428671880215206E-3</v>
      </c>
    </row>
    <row r="4073" spans="1:7" x14ac:dyDescent="0.2">
      <c r="A4073" s="12">
        <v>42808</v>
      </c>
      <c r="B4073" s="9">
        <v>1595.16</v>
      </c>
      <c r="C4073" s="9">
        <v>1576.51</v>
      </c>
      <c r="D4073" s="9">
        <v>1586</v>
      </c>
      <c r="E4073" s="9">
        <f t="shared" si="190"/>
        <v>-5.476778311404148E-3</v>
      </c>
      <c r="F4073" s="45">
        <f t="shared" si="191"/>
        <v>3.1545326407674566E-2</v>
      </c>
      <c r="G4073" s="9">
        <f t="shared" si="192"/>
        <v>5.1435787222187963E-3</v>
      </c>
    </row>
    <row r="4074" spans="1:7" x14ac:dyDescent="0.2">
      <c r="A4074" s="12">
        <v>42809</v>
      </c>
      <c r="B4074" s="9">
        <v>1590.23</v>
      </c>
      <c r="C4074" s="9">
        <v>1581.22</v>
      </c>
      <c r="D4074" s="9">
        <v>1588.89</v>
      </c>
      <c r="E4074" s="9">
        <f t="shared" si="190"/>
        <v>1.8205360174407251E-3</v>
      </c>
      <c r="F4074" s="45">
        <f t="shared" si="191"/>
        <v>2.6517719866684272E-2</v>
      </c>
      <c r="G4074" s="9">
        <f t="shared" si="192"/>
        <v>5.0288257353179764E-3</v>
      </c>
    </row>
    <row r="4075" spans="1:7" x14ac:dyDescent="0.2">
      <c r="A4075" s="12">
        <v>42810</v>
      </c>
      <c r="B4075" s="9">
        <v>1603.06</v>
      </c>
      <c r="C4075" s="9">
        <v>1585.6</v>
      </c>
      <c r="D4075" s="9">
        <v>1593.25</v>
      </c>
      <c r="E4075" s="9">
        <f t="shared" si="190"/>
        <v>2.7402959821692914E-3</v>
      </c>
      <c r="F4075" s="45">
        <f t="shared" si="191"/>
        <v>2.6328187606637882E-2</v>
      </c>
      <c r="G4075" s="9">
        <f t="shared" si="192"/>
        <v>5.0262852374566257E-3</v>
      </c>
    </row>
    <row r="4076" spans="1:7" x14ac:dyDescent="0.2">
      <c r="A4076" s="12">
        <v>42811</v>
      </c>
      <c r="B4076" s="9">
        <v>1593.94</v>
      </c>
      <c r="C4076" s="9">
        <v>1578.47</v>
      </c>
      <c r="D4076" s="9">
        <v>1584.97</v>
      </c>
      <c r="E4076" s="9">
        <f t="shared" si="190"/>
        <v>-5.2104755069437899E-3</v>
      </c>
      <c r="F4076" s="45">
        <f t="shared" si="191"/>
        <v>1.7605505836463115E-2</v>
      </c>
      <c r="G4076" s="9">
        <f t="shared" si="192"/>
        <v>5.1200424469415966E-3</v>
      </c>
    </row>
    <row r="4077" spans="1:7" x14ac:dyDescent="0.2">
      <c r="A4077" s="12">
        <v>42814</v>
      </c>
      <c r="B4077" s="9">
        <v>1587.79</v>
      </c>
      <c r="C4077" s="9">
        <v>1581.4</v>
      </c>
      <c r="D4077" s="9">
        <v>1583.25</v>
      </c>
      <c r="E4077" s="9">
        <f t="shared" si="190"/>
        <v>-1.0857832909200366E-3</v>
      </c>
      <c r="F4077" s="45">
        <f t="shared" si="191"/>
        <v>2.1934694842826438E-2</v>
      </c>
      <c r="G4077" s="9">
        <f t="shared" si="192"/>
        <v>5.0047608554973887E-3</v>
      </c>
    </row>
    <row r="4078" spans="1:7" x14ac:dyDescent="0.2">
      <c r="A4078" s="12">
        <v>42815</v>
      </c>
      <c r="B4078" s="9">
        <v>1588.63</v>
      </c>
      <c r="C4078" s="9">
        <v>1569</v>
      </c>
      <c r="D4078" s="9">
        <v>1570.88</v>
      </c>
      <c r="E4078" s="9">
        <f t="shared" si="190"/>
        <v>-7.8437245268519178E-3</v>
      </c>
      <c r="F4078" s="45">
        <f t="shared" si="191"/>
        <v>1.2774773160957716E-2</v>
      </c>
      <c r="G4078" s="9">
        <f t="shared" si="192"/>
        <v>5.2416462663156622E-3</v>
      </c>
    </row>
    <row r="4079" spans="1:7" x14ac:dyDescent="0.2">
      <c r="A4079" s="12">
        <v>42816</v>
      </c>
      <c r="B4079" s="9">
        <v>1569.94</v>
      </c>
      <c r="C4079" s="9">
        <v>1551.24</v>
      </c>
      <c r="D4079" s="9">
        <v>1562.96</v>
      </c>
      <c r="E4079" s="9">
        <f t="shared" si="190"/>
        <v>-5.0545125863077078E-3</v>
      </c>
      <c r="F4079" s="45">
        <f t="shared" si="191"/>
        <v>8.8169711981576915E-3</v>
      </c>
      <c r="G4079" s="9">
        <f t="shared" si="192"/>
        <v>5.3303446981156797E-3</v>
      </c>
    </row>
    <row r="4080" spans="1:7" x14ac:dyDescent="0.2">
      <c r="A4080" s="12">
        <v>42817</v>
      </c>
      <c r="B4080" s="9">
        <v>1581.57</v>
      </c>
      <c r="C4080" s="9">
        <v>1560.84</v>
      </c>
      <c r="D4080" s="9">
        <v>1581.28</v>
      </c>
      <c r="E4080" s="9">
        <f t="shared" si="190"/>
        <v>1.1653186344493631E-2</v>
      </c>
      <c r="F4080" s="45">
        <f t="shared" si="191"/>
        <v>1.5152673966265637E-2</v>
      </c>
      <c r="G4080" s="9">
        <f t="shared" si="192"/>
        <v>5.6520476370151493E-3</v>
      </c>
    </row>
    <row r="4081" spans="1:7" x14ac:dyDescent="0.2">
      <c r="A4081" s="12">
        <v>42818</v>
      </c>
      <c r="B4081" s="9">
        <v>1582.04</v>
      </c>
      <c r="C4081" s="9">
        <v>1573.07</v>
      </c>
      <c r="D4081" s="9">
        <v>1579.7</v>
      </c>
      <c r="E4081" s="9">
        <f t="shared" si="190"/>
        <v>-9.9969005282222849E-4</v>
      </c>
      <c r="F4081" s="45">
        <f t="shared" si="191"/>
        <v>1.0800663797351985E-2</v>
      </c>
      <c r="G4081" s="9">
        <f t="shared" si="192"/>
        <v>5.6322652246951904E-3</v>
      </c>
    </row>
    <row r="4082" spans="1:7" x14ac:dyDescent="0.2">
      <c r="A4082" s="12">
        <v>42821</v>
      </c>
      <c r="B4082" s="9">
        <v>1578.31</v>
      </c>
      <c r="C4082" s="9">
        <v>1556.45</v>
      </c>
      <c r="D4082" s="9">
        <v>1574.51</v>
      </c>
      <c r="E4082" s="9">
        <f t="shared" si="190"/>
        <v>-3.2908428315308116E-3</v>
      </c>
      <c r="F4082" s="45">
        <f t="shared" si="191"/>
        <v>1.4809214926366058E-3</v>
      </c>
      <c r="G4082" s="9">
        <f t="shared" si="192"/>
        <v>5.5654331139467078E-3</v>
      </c>
    </row>
    <row r="4083" spans="1:7" x14ac:dyDescent="0.2">
      <c r="A4083" s="12">
        <v>42822</v>
      </c>
      <c r="B4083" s="9">
        <v>1581.3</v>
      </c>
      <c r="C4083" s="9">
        <v>1567.85</v>
      </c>
      <c r="D4083" s="9">
        <v>1580.09</v>
      </c>
      <c r="E4083" s="9">
        <f t="shared" si="190"/>
        <v>3.5376946805334704E-3</v>
      </c>
      <c r="F4083" s="45">
        <f t="shared" si="191"/>
        <v>6.5654364298355699E-3</v>
      </c>
      <c r="G4083" s="9">
        <f t="shared" si="192"/>
        <v>5.5925018453178953E-3</v>
      </c>
    </row>
    <row r="4084" spans="1:7" x14ac:dyDescent="0.2">
      <c r="A4084" s="12">
        <v>42823</v>
      </c>
      <c r="B4084" s="9">
        <v>1587.08</v>
      </c>
      <c r="C4084" s="9">
        <v>1576.39</v>
      </c>
      <c r="D4084" s="9">
        <v>1584.43</v>
      </c>
      <c r="E4084" s="9">
        <f t="shared" si="190"/>
        <v>2.7429137569214409E-3</v>
      </c>
      <c r="F4084" s="45">
        <f t="shared" si="191"/>
        <v>6.5918648040487818E-3</v>
      </c>
      <c r="G4084" s="9">
        <f t="shared" si="192"/>
        <v>5.5929109131197478E-3</v>
      </c>
    </row>
    <row r="4085" spans="1:7" x14ac:dyDescent="0.2">
      <c r="A4085" s="12">
        <v>42824</v>
      </c>
      <c r="B4085" s="9">
        <v>1585.17</v>
      </c>
      <c r="C4085" s="9">
        <v>1572.16</v>
      </c>
      <c r="D4085" s="9">
        <v>1583.88</v>
      </c>
      <c r="E4085" s="9">
        <f t="shared" si="190"/>
        <v>-3.4718825211211353E-4</v>
      </c>
      <c r="F4085" s="45">
        <f t="shared" si="191"/>
        <v>4.7781725673020246E-3</v>
      </c>
      <c r="G4085" s="9">
        <f t="shared" si="192"/>
        <v>5.5887702038235915E-3</v>
      </c>
    </row>
    <row r="4086" spans="1:7" x14ac:dyDescent="0.2">
      <c r="A4086" s="12">
        <v>42825</v>
      </c>
      <c r="B4086" s="9">
        <v>1590.52</v>
      </c>
      <c r="C4086" s="9">
        <v>1570.22</v>
      </c>
      <c r="D4086" s="9">
        <v>1587.63</v>
      </c>
      <c r="E4086" s="9">
        <f t="shared" si="190"/>
        <v>2.3648052489790628E-3</v>
      </c>
      <c r="F4086" s="45">
        <f t="shared" si="191"/>
        <v>1.0790993250843475E-2</v>
      </c>
      <c r="G4086" s="9">
        <f t="shared" si="192"/>
        <v>5.555239899398318E-3</v>
      </c>
    </row>
    <row r="4087" spans="1:7" x14ac:dyDescent="0.2">
      <c r="A4087" s="12">
        <v>42828</v>
      </c>
      <c r="B4087" s="9">
        <v>1591.13</v>
      </c>
      <c r="C4087" s="9">
        <v>1570.57</v>
      </c>
      <c r="D4087" s="9">
        <v>1571.41</v>
      </c>
      <c r="E4087" s="9">
        <f t="shared" si="190"/>
        <v>-1.0269032704301762E-2</v>
      </c>
      <c r="F4087" s="45">
        <f t="shared" si="191"/>
        <v>-3.1260548880206944E-3</v>
      </c>
      <c r="G4087" s="9">
        <f t="shared" si="192"/>
        <v>5.8447170756376274E-3</v>
      </c>
    </row>
    <row r="4088" spans="1:7" x14ac:dyDescent="0.2">
      <c r="A4088" s="12">
        <v>42829</v>
      </c>
      <c r="B4088" s="9">
        <v>1578.62</v>
      </c>
      <c r="C4088" s="9">
        <v>1564.28</v>
      </c>
      <c r="D4088" s="9">
        <v>1567.3</v>
      </c>
      <c r="E4088" s="9">
        <f t="shared" si="190"/>
        <v>-2.6189118135185058E-3</v>
      </c>
      <c r="F4088" s="45">
        <f t="shared" si="191"/>
        <v>-1.4436224725906466E-2</v>
      </c>
      <c r="G4088" s="9">
        <f t="shared" si="192"/>
        <v>5.6181984697973803E-3</v>
      </c>
    </row>
    <row r="4089" spans="1:7" x14ac:dyDescent="0.2">
      <c r="A4089" s="12">
        <v>42830</v>
      </c>
      <c r="B4089" s="9">
        <v>1568.42</v>
      </c>
      <c r="C4089" s="9">
        <v>1557.09</v>
      </c>
      <c r="D4089" s="9">
        <v>1558.56</v>
      </c>
      <c r="E4089" s="9">
        <f t="shared" si="190"/>
        <v>-5.5920756373769422E-3</v>
      </c>
      <c r="F4089" s="45">
        <f t="shared" si="191"/>
        <v>-1.500972239152302E-2</v>
      </c>
      <c r="G4089" s="9">
        <f t="shared" si="192"/>
        <v>5.6351200040644844E-3</v>
      </c>
    </row>
    <row r="4090" spans="1:7" x14ac:dyDescent="0.2">
      <c r="A4090" s="12">
        <v>42831</v>
      </c>
      <c r="B4090" s="9">
        <v>1564.07</v>
      </c>
      <c r="C4090" s="9">
        <v>1543.7</v>
      </c>
      <c r="D4090" s="9">
        <v>1564.05</v>
      </c>
      <c r="E4090" s="9">
        <f t="shared" si="190"/>
        <v>3.5162928810662255E-3</v>
      </c>
      <c r="F4090" s="45">
        <f t="shared" si="191"/>
        <v>-1.5385650937397469E-2</v>
      </c>
      <c r="G4090" s="9">
        <f t="shared" si="192"/>
        <v>5.6254250150091422E-3</v>
      </c>
    </row>
    <row r="4091" spans="1:7" x14ac:dyDescent="0.2">
      <c r="A4091" s="12">
        <v>42832</v>
      </c>
      <c r="B4091" s="9">
        <v>1569.73</v>
      </c>
      <c r="C4091" s="9">
        <v>1553.43</v>
      </c>
      <c r="D4091" s="9">
        <v>1569.67</v>
      </c>
      <c r="E4091" s="9">
        <f t="shared" si="190"/>
        <v>3.5867952625979207E-3</v>
      </c>
      <c r="F4091" s="45">
        <f t="shared" si="191"/>
        <v>-1.210372254648042E-4</v>
      </c>
      <c r="G4091" s="9">
        <f t="shared" si="192"/>
        <v>5.2591482464433648E-3</v>
      </c>
    </row>
    <row r="4092" spans="1:7" x14ac:dyDescent="0.2">
      <c r="A4092" s="12">
        <v>42835</v>
      </c>
      <c r="B4092" s="9">
        <v>1572.61</v>
      </c>
      <c r="C4092" s="9">
        <v>1566.05</v>
      </c>
      <c r="D4092" s="9">
        <v>1572.47</v>
      </c>
      <c r="E4092" s="9">
        <f t="shared" si="190"/>
        <v>1.7822253248695097E-3</v>
      </c>
      <c r="F4092" s="45">
        <f t="shared" si="191"/>
        <v>4.9982571941871601E-3</v>
      </c>
      <c r="G4092" s="9">
        <f t="shared" si="192"/>
        <v>5.2302455960782888E-3</v>
      </c>
    </row>
    <row r="4093" spans="1:7" x14ac:dyDescent="0.2">
      <c r="A4093" s="12">
        <v>42836</v>
      </c>
      <c r="B4093" s="9">
        <v>1577.63</v>
      </c>
      <c r="C4093" s="9">
        <v>1564.88</v>
      </c>
      <c r="D4093" s="9">
        <v>1570.91</v>
      </c>
      <c r="E4093" s="9">
        <f t="shared" si="190"/>
        <v>-9.9256222796688235E-4</v>
      </c>
      <c r="F4093" s="45">
        <f t="shared" si="191"/>
        <v>4.7117552796517364E-4</v>
      </c>
      <c r="G4093" s="9">
        <f t="shared" si="192"/>
        <v>5.1949123163662547E-3</v>
      </c>
    </row>
    <row r="4094" spans="1:7" x14ac:dyDescent="0.2">
      <c r="A4094" s="12">
        <v>42837</v>
      </c>
      <c r="B4094" s="9">
        <v>1585.45</v>
      </c>
      <c r="C4094" s="9">
        <v>1571.02</v>
      </c>
      <c r="D4094" s="9">
        <v>1575.02</v>
      </c>
      <c r="E4094" s="9">
        <f t="shared" si="190"/>
        <v>2.6129013285953332E-3</v>
      </c>
      <c r="F4094" s="45">
        <f t="shared" si="191"/>
        <v>-1.0327309848061607E-2</v>
      </c>
      <c r="G4094" s="9">
        <f t="shared" si="192"/>
        <v>4.5714275840694849E-3</v>
      </c>
    </row>
    <row r="4095" spans="1:7" x14ac:dyDescent="0.2">
      <c r="A4095" s="12">
        <v>42838</v>
      </c>
      <c r="B4095" s="9">
        <v>1575.85</v>
      </c>
      <c r="C4095" s="9">
        <v>1567.41</v>
      </c>
      <c r="D4095" s="9">
        <v>1572.81</v>
      </c>
      <c r="E4095" s="9">
        <f t="shared" ref="E4095:E4114" si="193">LN(D4095/D4094)</f>
        <v>-1.4041421316308565E-3</v>
      </c>
      <c r="F4095" s="45">
        <f t="shared" si="191"/>
        <v>-4.8964053503729272E-3</v>
      </c>
      <c r="G4095" s="9">
        <f t="shared" si="192"/>
        <v>4.4102164255320746E-3</v>
      </c>
    </row>
    <row r="4096" spans="1:7" x14ac:dyDescent="0.2">
      <c r="A4096" s="12">
        <v>42843</v>
      </c>
      <c r="B4096" s="9">
        <v>1576.71</v>
      </c>
      <c r="C4096" s="9">
        <v>1553.07</v>
      </c>
      <c r="D4096" s="9">
        <v>1557.21</v>
      </c>
      <c r="E4096" s="9">
        <f t="shared" si="193"/>
        <v>-9.9680699618087884E-3</v>
      </c>
      <c r="F4096" s="45">
        <f t="shared" si="191"/>
        <v>-1.5364182772332613E-2</v>
      </c>
      <c r="G4096" s="9">
        <f t="shared" si="192"/>
        <v>4.7564603097497733E-3</v>
      </c>
    </row>
    <row r="4097" spans="1:7" x14ac:dyDescent="0.2">
      <c r="A4097" s="12">
        <v>42844</v>
      </c>
      <c r="B4097" s="9">
        <v>1571.22</v>
      </c>
      <c r="C4097" s="9">
        <v>1552.46</v>
      </c>
      <c r="D4097" s="9">
        <v>1565.73</v>
      </c>
      <c r="E4097" s="9">
        <f t="shared" si="193"/>
        <v>5.4564103943102954E-3</v>
      </c>
      <c r="F4097" s="45">
        <f t="shared" si="191"/>
        <v>-6.2332076068135883E-3</v>
      </c>
      <c r="G4097" s="9">
        <f t="shared" si="192"/>
        <v>4.8385557179717129E-3</v>
      </c>
    </row>
    <row r="4098" spans="1:7" x14ac:dyDescent="0.2">
      <c r="A4098" s="12">
        <v>42845</v>
      </c>
      <c r="B4098" s="9">
        <v>1571.67</v>
      </c>
      <c r="C4098" s="9">
        <v>1560.93</v>
      </c>
      <c r="D4098" s="9">
        <v>1568.74</v>
      </c>
      <c r="E4098" s="9">
        <f t="shared" si="193"/>
        <v>1.920580465106453E-3</v>
      </c>
      <c r="F4098" s="45">
        <f t="shared" si="191"/>
        <v>-4.4712923236005959E-3</v>
      </c>
      <c r="G4098" s="9">
        <f t="shared" si="192"/>
        <v>4.85382592451317E-3</v>
      </c>
    </row>
    <row r="4099" spans="1:7" x14ac:dyDescent="0.2">
      <c r="A4099" s="12">
        <v>42846</v>
      </c>
      <c r="B4099" s="9">
        <v>1578.26</v>
      </c>
      <c r="C4099" s="9">
        <v>1567.48</v>
      </c>
      <c r="D4099" s="9">
        <v>1573.25</v>
      </c>
      <c r="E4099" s="9">
        <f t="shared" si="193"/>
        <v>2.8707940492582527E-3</v>
      </c>
      <c r="F4099" s="45">
        <f t="shared" si="191"/>
        <v>-3.1604224968151658E-3</v>
      </c>
      <c r="G4099" s="9">
        <f t="shared" si="192"/>
        <v>4.8755927129516541E-3</v>
      </c>
    </row>
    <row r="4100" spans="1:7" x14ac:dyDescent="0.2">
      <c r="A4100" s="12">
        <v>42849</v>
      </c>
      <c r="B4100" s="9">
        <v>1609.27</v>
      </c>
      <c r="C4100" s="9">
        <v>1574.1</v>
      </c>
      <c r="D4100" s="9">
        <v>1609.27</v>
      </c>
      <c r="E4100" s="9">
        <f t="shared" si="193"/>
        <v>2.2637116598212711E-2</v>
      </c>
      <c r="F4100" s="45">
        <f t="shared" si="191"/>
        <v>1.5997835705366094E-2</v>
      </c>
      <c r="G4100" s="9">
        <f t="shared" si="192"/>
        <v>6.3829223507980998E-3</v>
      </c>
    </row>
    <row r="4101" spans="1:7" x14ac:dyDescent="0.2">
      <c r="A4101" s="12">
        <v>42850</v>
      </c>
      <c r="B4101" s="9">
        <v>1620.64</v>
      </c>
      <c r="C4101" s="9">
        <v>1606.89</v>
      </c>
      <c r="D4101" s="9">
        <v>1617.05</v>
      </c>
      <c r="E4101" s="9">
        <f t="shared" si="193"/>
        <v>4.8228415532856773E-3</v>
      </c>
      <c r="F4101" s="45">
        <f t="shared" si="191"/>
        <v>1.8172220327572628E-2</v>
      </c>
      <c r="G4101" s="9">
        <f t="shared" si="192"/>
        <v>6.4200066675752405E-3</v>
      </c>
    </row>
    <row r="4102" spans="1:7" x14ac:dyDescent="0.2">
      <c r="A4102" s="12">
        <v>42851</v>
      </c>
      <c r="B4102" s="9">
        <v>1621.94</v>
      </c>
      <c r="C4102" s="9">
        <v>1608.99</v>
      </c>
      <c r="D4102" s="9">
        <v>1620.28</v>
      </c>
      <c r="E4102" s="9">
        <f t="shared" si="193"/>
        <v>1.9954722390348131E-3</v>
      </c>
      <c r="F4102" s="45">
        <f t="shared" si="191"/>
        <v>1.590707229137862E-2</v>
      </c>
      <c r="G4102" s="9">
        <f t="shared" si="192"/>
        <v>6.3887839807421319E-3</v>
      </c>
    </row>
    <row r="4103" spans="1:7" x14ac:dyDescent="0.2">
      <c r="A4103" s="12">
        <v>42852</v>
      </c>
      <c r="B4103" s="9">
        <v>1620.74</v>
      </c>
      <c r="C4103" s="9">
        <v>1614.57</v>
      </c>
      <c r="D4103" s="9">
        <v>1616.58</v>
      </c>
      <c r="E4103" s="9">
        <f t="shared" si="193"/>
        <v>-2.286167218553009E-3</v>
      </c>
      <c r="F4103" s="45">
        <f t="shared" si="191"/>
        <v>1.9097683384229819E-2</v>
      </c>
      <c r="G4103" s="9">
        <f t="shared" si="192"/>
        <v>6.311425972302857E-3</v>
      </c>
    </row>
    <row r="4104" spans="1:7" x14ac:dyDescent="0.2">
      <c r="A4104" s="12">
        <v>42853</v>
      </c>
      <c r="B4104" s="9">
        <v>1627.73</v>
      </c>
      <c r="C4104" s="9">
        <v>1616.33</v>
      </c>
      <c r="D4104" s="9">
        <v>1626.99</v>
      </c>
      <c r="E4104" s="9">
        <f t="shared" si="193"/>
        <v>6.4188753396265692E-3</v>
      </c>
      <c r="F4104" s="45">
        <f t="shared" si="191"/>
        <v>2.3696022706415618E-2</v>
      </c>
      <c r="G4104" s="9">
        <f t="shared" si="192"/>
        <v>6.3964351947851305E-3</v>
      </c>
    </row>
    <row r="4105" spans="1:7" x14ac:dyDescent="0.2">
      <c r="A4105" s="12">
        <v>42857</v>
      </c>
      <c r="B4105" s="9">
        <v>1636.51</v>
      </c>
      <c r="C4105" s="9">
        <v>1626.03</v>
      </c>
      <c r="D4105" s="9">
        <v>1636.51</v>
      </c>
      <c r="E4105" s="9">
        <f t="shared" si="193"/>
        <v>5.8342436058101245E-3</v>
      </c>
      <c r="F4105" s="45">
        <f t="shared" si="191"/>
        <v>2.6789970330056416E-2</v>
      </c>
      <c r="G4105" s="9">
        <f t="shared" si="192"/>
        <v>6.4536533054126797E-3</v>
      </c>
    </row>
    <row r="4106" spans="1:7" x14ac:dyDescent="0.2">
      <c r="A4106" s="12">
        <v>42858</v>
      </c>
      <c r="B4106" s="9">
        <v>1636.5</v>
      </c>
      <c r="C4106" s="9">
        <v>1626.43</v>
      </c>
      <c r="D4106" s="9">
        <v>1633.99</v>
      </c>
      <c r="E4106" s="9">
        <f t="shared" si="193"/>
        <v>-1.5410490742790294E-3</v>
      </c>
      <c r="F4106" s="45">
        <f t="shared" si="191"/>
        <v>3.045939676272116E-2</v>
      </c>
      <c r="G4106" s="9">
        <f t="shared" si="192"/>
        <v>6.3681940126132444E-3</v>
      </c>
    </row>
    <row r="4107" spans="1:7" x14ac:dyDescent="0.2">
      <c r="A4107" s="12">
        <v>42859</v>
      </c>
      <c r="B4107" s="9">
        <v>1640.71</v>
      </c>
      <c r="C4107" s="9">
        <v>1632.91</v>
      </c>
      <c r="D4107" s="9">
        <v>1638.33</v>
      </c>
      <c r="E4107" s="9">
        <f t="shared" si="193"/>
        <v>2.652553872910655E-3</v>
      </c>
      <c r="F4107" s="45">
        <f t="shared" si="191"/>
        <v>3.4197733926551829E-2</v>
      </c>
      <c r="G4107" s="9">
        <f t="shared" si="192"/>
        <v>6.3622352015298604E-3</v>
      </c>
    </row>
    <row r="4108" spans="1:7" x14ac:dyDescent="0.2">
      <c r="A4108" s="12">
        <v>42860</v>
      </c>
      <c r="B4108" s="9">
        <v>1642.04</v>
      </c>
      <c r="C4108" s="9">
        <v>1632.33</v>
      </c>
      <c r="D4108" s="9">
        <v>1642.04</v>
      </c>
      <c r="E4108" s="9">
        <f t="shared" si="193"/>
        <v>2.2619409285007546E-3</v>
      </c>
      <c r="F4108" s="45">
        <f t="shared" si="191"/>
        <v>4.4303399381904494E-2</v>
      </c>
      <c r="G4108" s="9">
        <f t="shared" si="192"/>
        <v>6.133604128743848E-3</v>
      </c>
    </row>
    <row r="4109" spans="1:7" x14ac:dyDescent="0.2">
      <c r="A4109" s="12">
        <v>42863</v>
      </c>
      <c r="B4109" s="9">
        <v>1645.8</v>
      </c>
      <c r="C4109" s="9">
        <v>1629.69</v>
      </c>
      <c r="D4109" s="9">
        <v>1639.49</v>
      </c>
      <c r="E4109" s="9">
        <f t="shared" si="193"/>
        <v>-1.5541534060459379E-3</v>
      </c>
      <c r="F4109" s="45">
        <f t="shared" si="191"/>
        <v>4.7803758562166267E-2</v>
      </c>
      <c r="G4109" s="9">
        <f t="shared" si="192"/>
        <v>6.0376184106271311E-3</v>
      </c>
    </row>
    <row r="4110" spans="1:7" x14ac:dyDescent="0.2">
      <c r="A4110" s="12">
        <v>42864</v>
      </c>
      <c r="B4110" s="9">
        <v>1654.54</v>
      </c>
      <c r="C4110" s="9">
        <v>1640.07</v>
      </c>
      <c r="D4110" s="9">
        <v>1653.11</v>
      </c>
      <c r="E4110" s="9">
        <f t="shared" si="193"/>
        <v>8.2731444359437946E-3</v>
      </c>
      <c r="F4110" s="45">
        <f t="shared" si="191"/>
        <v>4.4423716653616344E-2</v>
      </c>
      <c r="G4110" s="9">
        <f t="shared" si="192"/>
        <v>5.872705726704102E-3</v>
      </c>
    </row>
    <row r="4111" spans="1:7" x14ac:dyDescent="0.2">
      <c r="A4111" s="12">
        <v>42865</v>
      </c>
      <c r="B4111" s="9">
        <v>1652.14</v>
      </c>
      <c r="C4111" s="9">
        <v>1642.08</v>
      </c>
      <c r="D4111" s="9">
        <v>1649.65</v>
      </c>
      <c r="E4111" s="9">
        <f t="shared" si="193"/>
        <v>-2.0952180998712825E-3</v>
      </c>
      <c r="F4111" s="45">
        <f t="shared" si="191"/>
        <v>4.3328188606567286E-2</v>
      </c>
      <c r="G4111" s="9">
        <f t="shared" si="192"/>
        <v>5.8920359803513699E-3</v>
      </c>
    </row>
    <row r="4112" spans="1:7" x14ac:dyDescent="0.2">
      <c r="A4112" s="12">
        <v>42866</v>
      </c>
      <c r="B4112" s="9">
        <v>1649.17</v>
      </c>
      <c r="C4112" s="9">
        <v>1637.88</v>
      </c>
      <c r="D4112" s="9">
        <v>1642.02</v>
      </c>
      <c r="E4112" s="9">
        <f t="shared" si="193"/>
        <v>-4.6359529754582485E-3</v>
      </c>
      <c r="F4112" s="45">
        <f t="shared" si="191"/>
        <v>4.1983078462639857E-2</v>
      </c>
      <c r="G4112" s="9">
        <f t="shared" si="192"/>
        <v>5.9342781769420559E-3</v>
      </c>
    </row>
    <row r="4113" spans="1:7" x14ac:dyDescent="0.2">
      <c r="A4113" s="12">
        <v>42867</v>
      </c>
      <c r="B4113" s="9">
        <v>1647.28</v>
      </c>
      <c r="C4113" s="9">
        <v>1640.79</v>
      </c>
      <c r="D4113" s="9">
        <v>1646.45</v>
      </c>
      <c r="E4113" s="9">
        <f t="shared" si="193"/>
        <v>2.6942637030603449E-3</v>
      </c>
      <c r="F4113" s="45">
        <f t="shared" si="191"/>
        <v>4.1139647485166596E-2</v>
      </c>
      <c r="G4113" s="9">
        <f t="shared" si="192"/>
        <v>5.925790454884357E-3</v>
      </c>
    </row>
    <row r="4114" spans="1:7" x14ac:dyDescent="0.2">
      <c r="A4114" s="12">
        <v>42870</v>
      </c>
      <c r="B4114" s="9">
        <v>1650.73</v>
      </c>
      <c r="C4114" s="9">
        <v>1644.74</v>
      </c>
      <c r="D4114" s="9">
        <v>1649.84</v>
      </c>
      <c r="E4114" s="9">
        <f t="shared" si="193"/>
        <v>2.0568585865705174E-3</v>
      </c>
      <c r="F4114" s="45">
        <f t="shared" si="191"/>
        <v>4.0453592314815899E-2</v>
      </c>
      <c r="G4114" s="9">
        <f t="shared" si="192"/>
        <v>5.9216370924207937E-3</v>
      </c>
    </row>
  </sheetData>
  <sortState ref="A2:D4118">
    <sortCondition ref="A2:A4118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44"/>
  <sheetViews>
    <sheetView workbookViewId="0">
      <selection activeCell="M24" sqref="M23:M24"/>
    </sheetView>
  </sheetViews>
  <sheetFormatPr baseColWidth="10" defaultColWidth="8.83203125" defaultRowHeight="15" x14ac:dyDescent="0.2"/>
  <cols>
    <col min="1" max="1" width="10.1640625" style="9" bestFit="1" customWidth="1"/>
    <col min="2" max="2" width="9.83203125" style="9" bestFit="1" customWidth="1"/>
    <col min="3" max="3" width="9.5" style="9" bestFit="1" customWidth="1"/>
    <col min="4" max="4" width="12.33203125" style="9" bestFit="1" customWidth="1"/>
    <col min="5" max="5" width="8.83203125" style="9"/>
    <col min="6" max="6" width="12.5" style="9" customWidth="1"/>
    <col min="7" max="16384" width="8.83203125" style="9"/>
  </cols>
  <sheetData>
    <row r="1" spans="1:7" x14ac:dyDescent="0.2">
      <c r="A1" s="17" t="s">
        <v>834</v>
      </c>
      <c r="B1" s="17" t="s">
        <v>793</v>
      </c>
      <c r="C1" s="17" t="s">
        <v>794</v>
      </c>
      <c r="D1" s="17" t="s">
        <v>817</v>
      </c>
      <c r="E1" s="17" t="s">
        <v>835</v>
      </c>
      <c r="F1" s="17" t="s">
        <v>843</v>
      </c>
      <c r="G1" s="17" t="s">
        <v>848</v>
      </c>
    </row>
    <row r="2" spans="1:7" x14ac:dyDescent="0.2">
      <c r="A2" s="12">
        <v>37137</v>
      </c>
      <c r="B2" s="9">
        <v>1421.99</v>
      </c>
      <c r="C2" s="9">
        <v>1382.4</v>
      </c>
      <c r="D2" s="9">
        <v>1388.83</v>
      </c>
      <c r="E2" s="9" t="s">
        <v>836</v>
      </c>
    </row>
    <row r="3" spans="1:7" x14ac:dyDescent="0.2">
      <c r="A3" s="12">
        <v>37138</v>
      </c>
      <c r="B3" s="9">
        <v>1407.37</v>
      </c>
      <c r="C3" s="9">
        <v>1378.23</v>
      </c>
      <c r="D3" s="9">
        <v>1395.14</v>
      </c>
      <c r="E3" s="9">
        <f>LN(D3/D2)</f>
        <v>4.5331025875679724E-3</v>
      </c>
    </row>
    <row r="4" spans="1:7" x14ac:dyDescent="0.2">
      <c r="A4" s="12">
        <v>37139</v>
      </c>
      <c r="B4" s="9">
        <v>1396.71</v>
      </c>
      <c r="C4" s="9">
        <v>1383.18</v>
      </c>
      <c r="D4" s="9">
        <v>1395.79</v>
      </c>
      <c r="E4" s="9">
        <f t="shared" ref="E4:E67" si="0">LN(D4/D3)</f>
        <v>4.6579456435816053E-4</v>
      </c>
    </row>
    <row r="5" spans="1:7" x14ac:dyDescent="0.2">
      <c r="A5" s="12">
        <v>37140</v>
      </c>
      <c r="B5" s="9">
        <v>1395.79</v>
      </c>
      <c r="C5" s="9">
        <v>1361.66</v>
      </c>
      <c r="D5" s="9">
        <v>1372.45</v>
      </c>
      <c r="E5" s="9">
        <f t="shared" si="0"/>
        <v>-1.6863099359587339E-2</v>
      </c>
    </row>
    <row r="6" spans="1:7" x14ac:dyDescent="0.2">
      <c r="A6" s="12">
        <v>37141</v>
      </c>
      <c r="B6" s="9">
        <v>1372.45</v>
      </c>
      <c r="C6" s="9">
        <v>1338.09</v>
      </c>
      <c r="D6" s="9">
        <v>1348.21</v>
      </c>
      <c r="E6" s="9">
        <f t="shared" si="0"/>
        <v>-1.7819677158638903E-2</v>
      </c>
    </row>
    <row r="7" spans="1:7" x14ac:dyDescent="0.2">
      <c r="A7" s="12">
        <v>37144</v>
      </c>
      <c r="B7" s="9">
        <v>1352.69</v>
      </c>
      <c r="C7" s="9">
        <v>1309.49</v>
      </c>
      <c r="D7" s="9">
        <v>1326.33</v>
      </c>
      <c r="E7" s="9">
        <f t="shared" si="0"/>
        <v>-1.6362057127576525E-2</v>
      </c>
    </row>
    <row r="8" spans="1:7" x14ac:dyDescent="0.2">
      <c r="A8" s="12">
        <v>37145</v>
      </c>
      <c r="B8" s="9">
        <v>1370.42</v>
      </c>
      <c r="C8" s="9">
        <v>1241.71</v>
      </c>
      <c r="D8" s="9">
        <v>1261.29</v>
      </c>
      <c r="E8" s="9">
        <f t="shared" si="0"/>
        <v>-5.028072282758847E-2</v>
      </c>
    </row>
    <row r="9" spans="1:7" x14ac:dyDescent="0.2">
      <c r="A9" s="12">
        <v>37146</v>
      </c>
      <c r="B9" s="9">
        <v>1299.6600000000001</v>
      </c>
      <c r="C9" s="9">
        <v>1229.6600000000001</v>
      </c>
      <c r="D9" s="9">
        <v>1293.97</v>
      </c>
      <c r="E9" s="9">
        <f t="shared" si="0"/>
        <v>2.5580005132480599E-2</v>
      </c>
    </row>
    <row r="10" spans="1:7" x14ac:dyDescent="0.2">
      <c r="A10" s="12">
        <v>37147</v>
      </c>
      <c r="B10" s="9">
        <v>1316.57</v>
      </c>
      <c r="C10" s="9">
        <v>1280.7</v>
      </c>
      <c r="D10" s="9">
        <v>1302.78</v>
      </c>
      <c r="E10" s="9">
        <f t="shared" si="0"/>
        <v>6.7854308674525268E-3</v>
      </c>
    </row>
    <row r="11" spans="1:7" x14ac:dyDescent="0.2">
      <c r="A11" s="12">
        <v>37148</v>
      </c>
      <c r="B11" s="9">
        <v>1314.44</v>
      </c>
      <c r="C11" s="9">
        <v>1256.27</v>
      </c>
      <c r="D11" s="9">
        <v>1264.6199999999999</v>
      </c>
      <c r="E11" s="9">
        <f t="shared" si="0"/>
        <v>-2.9728760956724807E-2</v>
      </c>
    </row>
    <row r="12" spans="1:7" x14ac:dyDescent="0.2">
      <c r="A12" s="12">
        <v>37151</v>
      </c>
      <c r="B12" s="9">
        <v>1265.73</v>
      </c>
      <c r="C12" s="9">
        <v>1220.5</v>
      </c>
      <c r="D12" s="9">
        <v>1247.6400000000001</v>
      </c>
      <c r="E12" s="9">
        <f t="shared" si="0"/>
        <v>-1.3517914999131422E-2</v>
      </c>
    </row>
    <row r="13" spans="1:7" x14ac:dyDescent="0.2">
      <c r="A13" s="12">
        <v>37152</v>
      </c>
      <c r="B13" s="9">
        <v>1251.21</v>
      </c>
      <c r="C13" s="9">
        <v>1230.43</v>
      </c>
      <c r="D13" s="9">
        <v>1248.21</v>
      </c>
      <c r="E13" s="9">
        <f t="shared" si="0"/>
        <v>4.5675822658398815E-4</v>
      </c>
    </row>
    <row r="14" spans="1:7" x14ac:dyDescent="0.2">
      <c r="A14" s="12">
        <v>37153</v>
      </c>
      <c r="B14" s="9">
        <v>1268.1300000000001</v>
      </c>
      <c r="C14" s="9">
        <v>1242.4100000000001</v>
      </c>
      <c r="D14" s="9">
        <v>1258.4100000000001</v>
      </c>
      <c r="E14" s="9">
        <f t="shared" si="0"/>
        <v>8.1384943068865054E-3</v>
      </c>
    </row>
    <row r="15" spans="1:7" x14ac:dyDescent="0.2">
      <c r="A15" s="12">
        <v>37154</v>
      </c>
      <c r="B15" s="9">
        <v>1262.8800000000001</v>
      </c>
      <c r="C15" s="9">
        <v>1211.73</v>
      </c>
      <c r="D15" s="9">
        <v>1215.25</v>
      </c>
      <c r="E15" s="9">
        <f t="shared" si="0"/>
        <v>-3.4899202385784922E-2</v>
      </c>
    </row>
    <row r="16" spans="1:7" x14ac:dyDescent="0.2">
      <c r="A16" s="12">
        <v>37155</v>
      </c>
      <c r="B16" s="9">
        <v>1215.25</v>
      </c>
      <c r="C16" s="9">
        <v>1143.3</v>
      </c>
      <c r="D16" s="9">
        <v>1192.22</v>
      </c>
      <c r="E16" s="9">
        <f t="shared" si="0"/>
        <v>-1.9132701571675622E-2</v>
      </c>
    </row>
    <row r="17" spans="1:7" x14ac:dyDescent="0.2">
      <c r="A17" s="12">
        <v>37158</v>
      </c>
      <c r="B17" s="9">
        <v>1220.94</v>
      </c>
      <c r="C17" s="9">
        <v>1192.1099999999999</v>
      </c>
      <c r="D17" s="9">
        <v>1216.08</v>
      </c>
      <c r="E17" s="9">
        <f t="shared" si="0"/>
        <v>1.981545548187463E-2</v>
      </c>
    </row>
    <row r="18" spans="1:7" x14ac:dyDescent="0.2">
      <c r="A18" s="12">
        <v>37159</v>
      </c>
      <c r="B18" s="9">
        <v>1238.97</v>
      </c>
      <c r="C18" s="9">
        <v>1216.08</v>
      </c>
      <c r="D18" s="9">
        <v>1227.3900000000001</v>
      </c>
      <c r="E18" s="9">
        <f t="shared" si="0"/>
        <v>9.2573927828006053E-3</v>
      </c>
    </row>
    <row r="19" spans="1:7" x14ac:dyDescent="0.2">
      <c r="A19" s="12">
        <v>37160</v>
      </c>
      <c r="B19" s="9">
        <v>1227.77</v>
      </c>
      <c r="C19" s="9">
        <v>1209.5999999999999</v>
      </c>
      <c r="D19" s="9">
        <v>1221.3599999999999</v>
      </c>
      <c r="E19" s="9">
        <f t="shared" si="0"/>
        <v>-4.924971669877827E-3</v>
      </c>
    </row>
    <row r="20" spans="1:7" x14ac:dyDescent="0.2">
      <c r="A20" s="12">
        <v>37161</v>
      </c>
      <c r="B20" s="9">
        <v>1222.6500000000001</v>
      </c>
      <c r="C20" s="9">
        <v>1200.5</v>
      </c>
      <c r="D20" s="9">
        <v>1214.7</v>
      </c>
      <c r="E20" s="9">
        <f t="shared" si="0"/>
        <v>-5.4678592424616639E-3</v>
      </c>
    </row>
    <row r="21" spans="1:7" x14ac:dyDescent="0.2">
      <c r="A21" s="12">
        <v>37162</v>
      </c>
      <c r="B21" s="9">
        <v>1258.2</v>
      </c>
      <c r="C21" s="9">
        <v>1213.58</v>
      </c>
      <c r="D21" s="9">
        <v>1250.21</v>
      </c>
      <c r="E21" s="9">
        <f t="shared" si="0"/>
        <v>2.8814404479702065E-2</v>
      </c>
    </row>
    <row r="22" spans="1:7" x14ac:dyDescent="0.2">
      <c r="A22" s="12">
        <v>37165</v>
      </c>
      <c r="B22" s="9">
        <v>1262.33</v>
      </c>
      <c r="C22" s="9">
        <v>1234.24</v>
      </c>
      <c r="D22" s="9">
        <v>1239.5999999999999</v>
      </c>
      <c r="E22" s="9">
        <f t="shared" si="0"/>
        <v>-8.5227902723340344E-3</v>
      </c>
    </row>
    <row r="23" spans="1:7" x14ac:dyDescent="0.2">
      <c r="A23" s="12">
        <v>37166</v>
      </c>
      <c r="B23" s="9">
        <v>1261.01</v>
      </c>
      <c r="C23" s="9">
        <v>1236</v>
      </c>
      <c r="D23" s="9">
        <v>1256.4000000000001</v>
      </c>
      <c r="E23" s="9">
        <f t="shared" si="0"/>
        <v>1.3461741750898551E-2</v>
      </c>
    </row>
    <row r="24" spans="1:7" x14ac:dyDescent="0.2">
      <c r="A24" s="12">
        <v>37167</v>
      </c>
      <c r="B24" s="9">
        <v>1262.8</v>
      </c>
      <c r="C24" s="9">
        <v>1233.95</v>
      </c>
      <c r="D24" s="9">
        <v>1246.5999999999999</v>
      </c>
      <c r="E24" s="9">
        <f t="shared" si="0"/>
        <v>-7.8306432897414235E-3</v>
      </c>
    </row>
    <row r="25" spans="1:7" x14ac:dyDescent="0.2">
      <c r="A25" s="12">
        <v>37168</v>
      </c>
      <c r="B25" s="9">
        <v>1311.63</v>
      </c>
      <c r="C25" s="9">
        <v>1246.5999999999999</v>
      </c>
      <c r="D25" s="9">
        <v>1307.75</v>
      </c>
      <c r="E25" s="9">
        <f t="shared" si="0"/>
        <v>4.7888257875970328E-2</v>
      </c>
    </row>
    <row r="26" spans="1:7" x14ac:dyDescent="0.2">
      <c r="A26" s="12">
        <v>37169</v>
      </c>
      <c r="B26" s="9">
        <v>1325.54</v>
      </c>
      <c r="C26" s="9">
        <v>1292.01</v>
      </c>
      <c r="D26" s="9">
        <v>1309.53</v>
      </c>
      <c r="E26" s="9">
        <f t="shared" si="0"/>
        <v>1.3601909420729117E-3</v>
      </c>
    </row>
    <row r="27" spans="1:7" x14ac:dyDescent="0.2">
      <c r="A27" s="12">
        <v>37172</v>
      </c>
      <c r="B27" s="9">
        <v>1322.4</v>
      </c>
      <c r="C27" s="9">
        <v>1293.57</v>
      </c>
      <c r="D27" s="9">
        <v>1319.36</v>
      </c>
      <c r="E27" s="9">
        <f t="shared" si="0"/>
        <v>7.4784763257416996E-3</v>
      </c>
    </row>
    <row r="28" spans="1:7" x14ac:dyDescent="0.2">
      <c r="A28" s="12">
        <v>37173</v>
      </c>
      <c r="B28" s="9">
        <v>1341.14</v>
      </c>
      <c r="C28" s="9">
        <v>1312.5</v>
      </c>
      <c r="D28" s="9">
        <v>1335.37</v>
      </c>
      <c r="E28" s="9">
        <f t="shared" si="0"/>
        <v>1.2061636473914674E-2</v>
      </c>
    </row>
    <row r="29" spans="1:7" x14ac:dyDescent="0.2">
      <c r="A29" s="12">
        <v>37174</v>
      </c>
      <c r="B29" s="9">
        <v>1364.5</v>
      </c>
      <c r="C29" s="9">
        <v>1328.75</v>
      </c>
      <c r="D29" s="9">
        <v>1352.41</v>
      </c>
      <c r="E29" s="9">
        <f t="shared" si="0"/>
        <v>1.267977907599646E-2</v>
      </c>
    </row>
    <row r="30" spans="1:7" x14ac:dyDescent="0.2">
      <c r="A30" s="12">
        <v>37175</v>
      </c>
      <c r="B30" s="9">
        <v>1411.77</v>
      </c>
      <c r="C30" s="9">
        <v>1352.41</v>
      </c>
      <c r="D30" s="9">
        <v>1408.56</v>
      </c>
      <c r="E30" s="9">
        <f t="shared" si="0"/>
        <v>4.0679719849742564E-2</v>
      </c>
    </row>
    <row r="31" spans="1:7" x14ac:dyDescent="0.2">
      <c r="A31" s="12">
        <v>37176</v>
      </c>
      <c r="B31" s="9">
        <v>1422.82</v>
      </c>
      <c r="C31" s="9">
        <v>1385.3</v>
      </c>
      <c r="D31" s="9">
        <v>1401.83</v>
      </c>
      <c r="E31" s="9">
        <f t="shared" si="0"/>
        <v>-4.789380025178337E-3</v>
      </c>
    </row>
    <row r="32" spans="1:7" x14ac:dyDescent="0.2">
      <c r="A32" s="12">
        <v>37179</v>
      </c>
      <c r="B32" s="9">
        <v>1403.63</v>
      </c>
      <c r="C32" s="9">
        <v>1361.83</v>
      </c>
      <c r="D32" s="9">
        <v>1367.76</v>
      </c>
      <c r="E32" s="9">
        <f t="shared" si="0"/>
        <v>-2.4604160698156644E-2</v>
      </c>
      <c r="F32" s="9">
        <f>LN(D32/D2)</f>
        <v>-1.5287300860413832E-2</v>
      </c>
      <c r="G32" s="9">
        <f>STDEV(E3:E32)</f>
        <v>2.1533081474552157E-2</v>
      </c>
    </row>
    <row r="33" spans="1:7" x14ac:dyDescent="0.2">
      <c r="A33" s="12">
        <v>37180</v>
      </c>
      <c r="B33" s="9">
        <v>1384.16</v>
      </c>
      <c r="C33" s="9">
        <v>1366.17</v>
      </c>
      <c r="D33" s="9">
        <v>1380.15</v>
      </c>
      <c r="E33" s="9">
        <f t="shared" si="0"/>
        <v>9.0178237016262236E-3</v>
      </c>
      <c r="F33" s="9">
        <f t="shared" ref="F33:F96" si="1">LN(D33/D3)</f>
        <v>-1.0802579746355586E-2</v>
      </c>
      <c r="G33" s="9">
        <f t="shared" ref="G33:G96" si="2">STDEV(E4:E33)</f>
        <v>2.1584802009395686E-2</v>
      </c>
    </row>
    <row r="34" spans="1:7" x14ac:dyDescent="0.2">
      <c r="A34" s="12">
        <v>37181</v>
      </c>
      <c r="B34" s="9">
        <v>1423.42</v>
      </c>
      <c r="C34" s="9">
        <v>1380.15</v>
      </c>
      <c r="D34" s="9">
        <v>1413.26</v>
      </c>
      <c r="E34" s="9">
        <f t="shared" si="0"/>
        <v>2.370690352279485E-2</v>
      </c>
      <c r="F34" s="9">
        <f t="shared" si="1"/>
        <v>1.2438529212081115E-2</v>
      </c>
      <c r="G34" s="9">
        <f t="shared" si="2"/>
        <v>2.2027991275858531E-2</v>
      </c>
    </row>
    <row r="35" spans="1:7" x14ac:dyDescent="0.2">
      <c r="A35" s="12">
        <v>37182</v>
      </c>
      <c r="B35" s="9">
        <v>1413.26</v>
      </c>
      <c r="C35" s="9">
        <v>1375.7</v>
      </c>
      <c r="D35" s="9">
        <v>1385.65</v>
      </c>
      <c r="E35" s="9">
        <f t="shared" si="0"/>
        <v>-1.972974881182173E-2</v>
      </c>
      <c r="F35" s="9">
        <f t="shared" si="1"/>
        <v>9.5718797598465452E-3</v>
      </c>
      <c r="G35" s="9">
        <f t="shared" si="2"/>
        <v>2.2111583531795383E-2</v>
      </c>
    </row>
    <row r="36" spans="1:7" x14ac:dyDescent="0.2">
      <c r="A36" s="12">
        <v>37183</v>
      </c>
      <c r="B36" s="9">
        <v>1395.73</v>
      </c>
      <c r="C36" s="9">
        <v>1379.23</v>
      </c>
      <c r="D36" s="9">
        <v>1389.18</v>
      </c>
      <c r="E36" s="9">
        <f t="shared" si="0"/>
        <v>2.5443013837091752E-3</v>
      </c>
      <c r="F36" s="9">
        <f t="shared" si="1"/>
        <v>2.9935858302194734E-2</v>
      </c>
      <c r="G36" s="9">
        <f t="shared" si="2"/>
        <v>2.1846530864330336E-2</v>
      </c>
    </row>
    <row r="37" spans="1:7" x14ac:dyDescent="0.2">
      <c r="A37" s="12">
        <v>37186</v>
      </c>
      <c r="B37" s="9">
        <v>1394.97</v>
      </c>
      <c r="C37" s="9">
        <v>1375.09</v>
      </c>
      <c r="D37" s="9">
        <v>1391.16</v>
      </c>
      <c r="E37" s="9">
        <f t="shared" si="0"/>
        <v>1.4242864791483706E-3</v>
      </c>
      <c r="F37" s="9">
        <f t="shared" si="1"/>
        <v>4.772220190891955E-2</v>
      </c>
      <c r="G37" s="9">
        <f t="shared" si="2"/>
        <v>2.1599111034667041E-2</v>
      </c>
    </row>
    <row r="38" spans="1:7" x14ac:dyDescent="0.2">
      <c r="A38" s="12">
        <v>37187</v>
      </c>
      <c r="B38" s="9">
        <v>1449.77</v>
      </c>
      <c r="C38" s="9">
        <v>1391.16</v>
      </c>
      <c r="D38" s="9">
        <v>1446.22</v>
      </c>
      <c r="E38" s="9">
        <f t="shared" si="0"/>
        <v>3.8815324520788383E-2</v>
      </c>
      <c r="F38" s="9">
        <f t="shared" si="1"/>
        <v>0.13681824925729641</v>
      </c>
      <c r="G38" s="9">
        <f t="shared" si="2"/>
        <v>2.0307586344390335E-2</v>
      </c>
    </row>
    <row r="39" spans="1:7" x14ac:dyDescent="0.2">
      <c r="A39" s="12">
        <v>37188</v>
      </c>
      <c r="B39" s="9">
        <v>1494.08</v>
      </c>
      <c r="C39" s="9">
        <v>1430.3</v>
      </c>
      <c r="D39" s="9">
        <v>1493.66</v>
      </c>
      <c r="E39" s="9">
        <f t="shared" si="0"/>
        <v>3.227622782752964E-2</v>
      </c>
      <c r="F39" s="9">
        <f t="shared" si="1"/>
        <v>0.14351447195234546</v>
      </c>
      <c r="G39" s="9">
        <f t="shared" si="2"/>
        <v>2.0581536508756562E-2</v>
      </c>
    </row>
    <row r="40" spans="1:7" x14ac:dyDescent="0.2">
      <c r="A40" s="12">
        <v>37189</v>
      </c>
      <c r="B40" s="9">
        <v>1520.37</v>
      </c>
      <c r="C40" s="9">
        <v>1460.66</v>
      </c>
      <c r="D40" s="9">
        <v>1471.59</v>
      </c>
      <c r="E40" s="9">
        <f t="shared" si="0"/>
        <v>-1.4886034935914175E-2</v>
      </c>
      <c r="F40" s="9">
        <f t="shared" si="1"/>
        <v>0.12184300614897892</v>
      </c>
      <c r="G40" s="9">
        <f t="shared" si="2"/>
        <v>2.088691323318833E-2</v>
      </c>
    </row>
    <row r="41" spans="1:7" x14ac:dyDescent="0.2">
      <c r="A41" s="12">
        <v>37190</v>
      </c>
      <c r="B41" s="9">
        <v>1494.96</v>
      </c>
      <c r="C41" s="9">
        <v>1466.04</v>
      </c>
      <c r="D41" s="9">
        <v>1479.83</v>
      </c>
      <c r="E41" s="9">
        <f t="shared" si="0"/>
        <v>5.5837674131076123E-3</v>
      </c>
      <c r="F41" s="9">
        <f t="shared" si="1"/>
        <v>0.15715553451881129</v>
      </c>
      <c r="G41" s="9">
        <f t="shared" si="2"/>
        <v>1.9888140307931006E-2</v>
      </c>
    </row>
    <row r="42" spans="1:7" x14ac:dyDescent="0.2">
      <c r="A42" s="12">
        <v>37193</v>
      </c>
      <c r="B42" s="9">
        <v>1482.08</v>
      </c>
      <c r="C42" s="9">
        <v>1449.44</v>
      </c>
      <c r="D42" s="9">
        <v>1464.05</v>
      </c>
      <c r="E42" s="9">
        <f t="shared" si="0"/>
        <v>-1.0720648352301351E-2</v>
      </c>
      <c r="F42" s="9">
        <f t="shared" si="1"/>
        <v>0.1599528011656414</v>
      </c>
      <c r="G42" s="9">
        <f t="shared" si="2"/>
        <v>1.9803548978181509E-2</v>
      </c>
    </row>
    <row r="43" spans="1:7" x14ac:dyDescent="0.2">
      <c r="A43" s="12">
        <v>37194</v>
      </c>
      <c r="B43" s="9">
        <v>1464.05</v>
      </c>
      <c r="C43" s="9">
        <v>1408.26</v>
      </c>
      <c r="D43" s="9">
        <v>1412.64</v>
      </c>
      <c r="E43" s="9">
        <f t="shared" si="0"/>
        <v>-3.5746273790248306E-2</v>
      </c>
      <c r="F43" s="9">
        <f t="shared" si="1"/>
        <v>0.12374976914880925</v>
      </c>
      <c r="G43" s="9">
        <f t="shared" si="2"/>
        <v>2.11669770303471E-2</v>
      </c>
    </row>
    <row r="44" spans="1:7" x14ac:dyDescent="0.2">
      <c r="A44" s="12">
        <v>37195</v>
      </c>
      <c r="B44" s="9">
        <v>1469.02</v>
      </c>
      <c r="C44" s="9">
        <v>1412.64</v>
      </c>
      <c r="D44" s="9">
        <v>1469.02</v>
      </c>
      <c r="E44" s="9">
        <f t="shared" si="0"/>
        <v>3.9135217631805858E-2</v>
      </c>
      <c r="F44" s="9">
        <f t="shared" si="1"/>
        <v>0.15474649247372854</v>
      </c>
      <c r="G44" s="9">
        <f t="shared" si="2"/>
        <v>2.2105365005460891E-2</v>
      </c>
    </row>
    <row r="45" spans="1:7" x14ac:dyDescent="0.2">
      <c r="A45" s="12">
        <v>37196</v>
      </c>
      <c r="B45" s="9">
        <v>1469.02</v>
      </c>
      <c r="C45" s="9">
        <v>1433.86</v>
      </c>
      <c r="D45" s="9">
        <v>1438.81</v>
      </c>
      <c r="E45" s="9">
        <f t="shared" si="0"/>
        <v>-2.0779128751454164E-2</v>
      </c>
      <c r="F45" s="9">
        <f t="shared" si="1"/>
        <v>0.1688665661080592</v>
      </c>
      <c r="G45" s="9">
        <f t="shared" si="2"/>
        <v>2.1360833389194599E-2</v>
      </c>
    </row>
    <row r="46" spans="1:7" x14ac:dyDescent="0.2">
      <c r="A46" s="12">
        <v>37197</v>
      </c>
      <c r="B46" s="9">
        <v>1466.74</v>
      </c>
      <c r="C46" s="9">
        <v>1438.81</v>
      </c>
      <c r="D46" s="9">
        <v>1454.17</v>
      </c>
      <c r="E46" s="9">
        <f t="shared" si="0"/>
        <v>1.0618908069931918E-2</v>
      </c>
      <c r="F46" s="9">
        <f t="shared" si="1"/>
        <v>0.19861817574966678</v>
      </c>
      <c r="G46" s="9">
        <f t="shared" si="2"/>
        <v>2.0856264867283245E-2</v>
      </c>
    </row>
    <row r="47" spans="1:7" x14ac:dyDescent="0.2">
      <c r="A47" s="12">
        <v>37200</v>
      </c>
      <c r="B47" s="9">
        <v>1491.77</v>
      </c>
      <c r="C47" s="9">
        <v>1454.17</v>
      </c>
      <c r="D47" s="9">
        <v>1484.41</v>
      </c>
      <c r="E47" s="9">
        <f t="shared" si="0"/>
        <v>2.0582095788839416E-2</v>
      </c>
      <c r="F47" s="9">
        <f t="shared" si="1"/>
        <v>0.1993848160566315</v>
      </c>
      <c r="G47" s="9">
        <f t="shared" si="2"/>
        <v>2.0873452282463678E-2</v>
      </c>
    </row>
    <row r="48" spans="1:7" x14ac:dyDescent="0.2">
      <c r="A48" s="12">
        <v>37201</v>
      </c>
      <c r="B48" s="9">
        <v>1504.49</v>
      </c>
      <c r="C48" s="9">
        <v>1476.73</v>
      </c>
      <c r="D48" s="9">
        <v>1485.18</v>
      </c>
      <c r="E48" s="9">
        <f t="shared" si="0"/>
        <v>5.1859012002102598E-4</v>
      </c>
      <c r="F48" s="9">
        <f t="shared" si="1"/>
        <v>0.19064601339385193</v>
      </c>
      <c r="G48" s="9">
        <f t="shared" si="2"/>
        <v>2.0896718373838576E-2</v>
      </c>
    </row>
    <row r="49" spans="1:7" x14ac:dyDescent="0.2">
      <c r="A49" s="12">
        <v>37202</v>
      </c>
      <c r="B49" s="9">
        <v>1498.92</v>
      </c>
      <c r="C49" s="9">
        <v>1476.74</v>
      </c>
      <c r="D49" s="9">
        <v>1490</v>
      </c>
      <c r="E49" s="9">
        <f t="shared" si="0"/>
        <v>3.2401429270882999E-3</v>
      </c>
      <c r="F49" s="9">
        <f t="shared" si="1"/>
        <v>0.19881112799081796</v>
      </c>
      <c r="G49" s="9">
        <f t="shared" si="2"/>
        <v>2.0797676234288135E-2</v>
      </c>
    </row>
    <row r="50" spans="1:7" x14ac:dyDescent="0.2">
      <c r="A50" s="12">
        <v>37203</v>
      </c>
      <c r="B50" s="9">
        <v>1538.52</v>
      </c>
      <c r="C50" s="9">
        <v>1483.46</v>
      </c>
      <c r="D50" s="9">
        <v>1535.29</v>
      </c>
      <c r="E50" s="9">
        <f t="shared" si="0"/>
        <v>2.9943168319130121E-2</v>
      </c>
      <c r="F50" s="9">
        <f t="shared" si="1"/>
        <v>0.2342221555524098</v>
      </c>
      <c r="G50" s="9">
        <f t="shared" si="2"/>
        <v>2.1090375447228294E-2</v>
      </c>
    </row>
    <row r="51" spans="1:7" x14ac:dyDescent="0.2">
      <c r="A51" s="12">
        <v>37204</v>
      </c>
      <c r="B51" s="9">
        <v>1535.29</v>
      </c>
      <c r="C51" s="9">
        <v>1500.53</v>
      </c>
      <c r="D51" s="9">
        <v>1508.24</v>
      </c>
      <c r="E51" s="9">
        <f t="shared" si="0"/>
        <v>-1.7775880160307251E-2</v>
      </c>
      <c r="F51" s="9">
        <f t="shared" si="1"/>
        <v>0.18763187091240044</v>
      </c>
      <c r="G51" s="9">
        <f t="shared" si="2"/>
        <v>2.1205212009161537E-2</v>
      </c>
    </row>
    <row r="52" spans="1:7" x14ac:dyDescent="0.2">
      <c r="A52" s="12">
        <v>37207</v>
      </c>
      <c r="B52" s="9">
        <v>1515.9</v>
      </c>
      <c r="C52" s="9">
        <v>1479.67</v>
      </c>
      <c r="D52" s="9">
        <v>1498.37</v>
      </c>
      <c r="E52" s="9">
        <f t="shared" si="0"/>
        <v>-6.5655575249922082E-3</v>
      </c>
      <c r="F52" s="9">
        <f t="shared" si="1"/>
        <v>0.18958910365974238</v>
      </c>
      <c r="G52" s="9">
        <f t="shared" si="2"/>
        <v>2.1161145068499008E-2</v>
      </c>
    </row>
    <row r="53" spans="1:7" x14ac:dyDescent="0.2">
      <c r="A53" s="12">
        <v>37208</v>
      </c>
      <c r="B53" s="9">
        <v>1551.12</v>
      </c>
      <c r="C53" s="9">
        <v>1498.37</v>
      </c>
      <c r="D53" s="9">
        <v>1545.38</v>
      </c>
      <c r="E53" s="9">
        <f t="shared" si="0"/>
        <v>3.0891984209170383E-2</v>
      </c>
      <c r="F53" s="9">
        <f t="shared" si="1"/>
        <v>0.20701934611801417</v>
      </c>
      <c r="G53" s="9">
        <f t="shared" si="2"/>
        <v>2.1598763726127984E-2</v>
      </c>
    </row>
    <row r="54" spans="1:7" x14ac:dyDescent="0.2">
      <c r="A54" s="12">
        <v>37209</v>
      </c>
      <c r="B54" s="9">
        <v>1578.3</v>
      </c>
      <c r="C54" s="9">
        <v>1545.38</v>
      </c>
      <c r="D54" s="9">
        <v>1560.16</v>
      </c>
      <c r="E54" s="9">
        <f t="shared" si="0"/>
        <v>9.5185453043031068E-3</v>
      </c>
      <c r="F54" s="9">
        <f t="shared" si="1"/>
        <v>0.22436853471205878</v>
      </c>
      <c r="G54" s="9">
        <f t="shared" si="2"/>
        <v>2.1422273815534767E-2</v>
      </c>
    </row>
    <row r="55" spans="1:7" x14ac:dyDescent="0.2">
      <c r="A55" s="12">
        <v>37210</v>
      </c>
      <c r="B55" s="9">
        <v>1590.24</v>
      </c>
      <c r="C55" s="9">
        <v>1558.69</v>
      </c>
      <c r="D55" s="9">
        <v>1575.13</v>
      </c>
      <c r="E55" s="9">
        <f t="shared" si="0"/>
        <v>9.5494284492521654E-3</v>
      </c>
      <c r="F55" s="9">
        <f t="shared" si="1"/>
        <v>0.18602970528534063</v>
      </c>
      <c r="G55" s="9">
        <f t="shared" si="2"/>
        <v>2.0026602933012207E-2</v>
      </c>
    </row>
    <row r="56" spans="1:7" x14ac:dyDescent="0.2">
      <c r="A56" s="12">
        <v>37211</v>
      </c>
      <c r="B56" s="9">
        <v>1587.76</v>
      </c>
      <c r="C56" s="9">
        <v>1561.1</v>
      </c>
      <c r="D56" s="9">
        <v>1584.02</v>
      </c>
      <c r="E56" s="9">
        <f t="shared" si="0"/>
        <v>5.6281110212257936E-3</v>
      </c>
      <c r="F56" s="9">
        <f t="shared" si="1"/>
        <v>0.19029762536449346</v>
      </c>
      <c r="G56" s="9">
        <f t="shared" si="2"/>
        <v>2.0006178018187906E-2</v>
      </c>
    </row>
    <row r="57" spans="1:7" x14ac:dyDescent="0.2">
      <c r="A57" s="12">
        <v>37214</v>
      </c>
      <c r="B57" s="9">
        <v>1604.19</v>
      </c>
      <c r="C57" s="9">
        <v>1573.2</v>
      </c>
      <c r="D57" s="9">
        <v>1579.19</v>
      </c>
      <c r="E57" s="9">
        <f t="shared" si="0"/>
        <v>-3.0538622182809958E-3</v>
      </c>
      <c r="F57" s="9">
        <f t="shared" si="1"/>
        <v>0.17976528682047069</v>
      </c>
      <c r="G57" s="9">
        <f t="shared" si="2"/>
        <v>2.0077854504304726E-2</v>
      </c>
    </row>
    <row r="58" spans="1:7" x14ac:dyDescent="0.2">
      <c r="A58" s="12">
        <v>37215</v>
      </c>
      <c r="B58" s="9">
        <v>1586.17</v>
      </c>
      <c r="C58" s="9">
        <v>1555.66</v>
      </c>
      <c r="D58" s="9">
        <v>1559.65</v>
      </c>
      <c r="E58" s="9">
        <f t="shared" si="0"/>
        <v>-1.2450620242021841E-2</v>
      </c>
      <c r="F58" s="9">
        <f t="shared" si="1"/>
        <v>0.1552530301045342</v>
      </c>
      <c r="G58" s="9">
        <f t="shared" si="2"/>
        <v>2.0319649942398849E-2</v>
      </c>
    </row>
    <row r="59" spans="1:7" x14ac:dyDescent="0.2">
      <c r="A59" s="12">
        <v>37216</v>
      </c>
      <c r="B59" s="9">
        <v>1562.82</v>
      </c>
      <c r="C59" s="9">
        <v>1538.45</v>
      </c>
      <c r="D59" s="9">
        <v>1553.76</v>
      </c>
      <c r="E59" s="9">
        <f t="shared" si="0"/>
        <v>-3.783637250940042E-3</v>
      </c>
      <c r="F59" s="9">
        <f t="shared" si="1"/>
        <v>0.13878961377759777</v>
      </c>
      <c r="G59" s="9">
        <f t="shared" si="2"/>
        <v>2.0332292164516659E-2</v>
      </c>
    </row>
    <row r="60" spans="1:7" x14ac:dyDescent="0.2">
      <c r="A60" s="12">
        <v>37217</v>
      </c>
      <c r="B60" s="9">
        <v>1589.52</v>
      </c>
      <c r="C60" s="9">
        <v>1552.35</v>
      </c>
      <c r="D60" s="9">
        <v>1586.83</v>
      </c>
      <c r="E60" s="9">
        <f t="shared" si="0"/>
        <v>2.1060515589703392E-2</v>
      </c>
      <c r="F60" s="9">
        <f t="shared" si="1"/>
        <v>0.1191704095175585</v>
      </c>
      <c r="G60" s="9">
        <f t="shared" si="2"/>
        <v>1.9428086456980215E-2</v>
      </c>
    </row>
    <row r="61" spans="1:7" x14ac:dyDescent="0.2">
      <c r="A61" s="12">
        <v>37218</v>
      </c>
      <c r="B61" s="9">
        <v>1600.27</v>
      </c>
      <c r="C61" s="9">
        <v>1571.56</v>
      </c>
      <c r="D61" s="9">
        <v>1585.84</v>
      </c>
      <c r="E61" s="9">
        <f t="shared" si="0"/>
        <v>-6.2408005379179171E-4</v>
      </c>
      <c r="F61" s="9">
        <f t="shared" si="1"/>
        <v>0.12333570948894511</v>
      </c>
      <c r="G61" s="9">
        <f t="shared" si="2"/>
        <v>1.9378130861804791E-2</v>
      </c>
    </row>
    <row r="62" spans="1:7" x14ac:dyDescent="0.2">
      <c r="A62" s="12">
        <v>37221</v>
      </c>
      <c r="B62" s="9">
        <v>1612.65</v>
      </c>
      <c r="C62" s="9">
        <v>1585.77</v>
      </c>
      <c r="D62" s="9">
        <v>1596.2</v>
      </c>
      <c r="E62" s="9">
        <f t="shared" si="0"/>
        <v>6.5115690599530191E-3</v>
      </c>
      <c r="F62" s="9">
        <f t="shared" si="1"/>
        <v>0.15445143924705479</v>
      </c>
      <c r="G62" s="9">
        <f t="shared" si="2"/>
        <v>1.8605490656808155E-2</v>
      </c>
    </row>
    <row r="63" spans="1:7" x14ac:dyDescent="0.2">
      <c r="A63" s="12">
        <v>37222</v>
      </c>
      <c r="B63" s="9">
        <v>1602.65</v>
      </c>
      <c r="C63" s="9">
        <v>1560.91</v>
      </c>
      <c r="D63" s="9">
        <v>1565.16</v>
      </c>
      <c r="E63" s="9">
        <f t="shared" si="0"/>
        <v>-1.9637749271716416E-2</v>
      </c>
      <c r="F63" s="9">
        <f t="shared" si="1"/>
        <v>0.12579586627371203</v>
      </c>
      <c r="G63" s="9">
        <f t="shared" si="2"/>
        <v>1.912821754238286E-2</v>
      </c>
    </row>
    <row r="64" spans="1:7" x14ac:dyDescent="0.2">
      <c r="A64" s="12">
        <v>37223</v>
      </c>
      <c r="B64" s="9">
        <v>1572.73</v>
      </c>
      <c r="C64" s="9">
        <v>1545.27</v>
      </c>
      <c r="D64" s="9">
        <v>1553.05</v>
      </c>
      <c r="E64" s="9">
        <f t="shared" si="0"/>
        <v>-7.767315789616102E-3</v>
      </c>
      <c r="F64" s="9">
        <f t="shared" si="1"/>
        <v>9.4321646961301242E-2</v>
      </c>
      <c r="G64" s="9">
        <f t="shared" si="2"/>
        <v>1.8882596104372346E-2</v>
      </c>
    </row>
    <row r="65" spans="1:7" x14ac:dyDescent="0.2">
      <c r="A65" s="12">
        <v>37224</v>
      </c>
      <c r="B65" s="9">
        <v>1553.05</v>
      </c>
      <c r="C65" s="9">
        <v>1527.31</v>
      </c>
      <c r="D65" s="9">
        <v>1540.48</v>
      </c>
      <c r="E65" s="9">
        <f t="shared" si="0"/>
        <v>-8.1266832259235498E-3</v>
      </c>
      <c r="F65" s="9">
        <f t="shared" si="1"/>
        <v>0.10592471254719947</v>
      </c>
      <c r="G65" s="9">
        <f t="shared" si="2"/>
        <v>1.8513137526245452E-2</v>
      </c>
    </row>
    <row r="66" spans="1:7" x14ac:dyDescent="0.2">
      <c r="A66" s="12">
        <v>37225</v>
      </c>
      <c r="B66" s="9">
        <v>1567.02</v>
      </c>
      <c r="C66" s="9">
        <v>1540.48</v>
      </c>
      <c r="D66" s="9">
        <v>1559.67</v>
      </c>
      <c r="E66" s="9">
        <f t="shared" si="0"/>
        <v>1.2380204249975674E-2</v>
      </c>
      <c r="F66" s="9">
        <f t="shared" si="1"/>
        <v>0.11576061541346612</v>
      </c>
      <c r="G66" s="9">
        <f t="shared" si="2"/>
        <v>1.8582031594218996E-2</v>
      </c>
    </row>
    <row r="67" spans="1:7" x14ac:dyDescent="0.2">
      <c r="A67" s="12">
        <v>37228</v>
      </c>
      <c r="B67" s="9">
        <v>1561.45</v>
      </c>
      <c r="C67" s="9">
        <v>1534.3</v>
      </c>
      <c r="D67" s="9">
        <v>1542.83</v>
      </c>
      <c r="E67" s="9">
        <f t="shared" si="0"/>
        <v>-1.0855868094974474E-2</v>
      </c>
      <c r="F67" s="9">
        <f t="shared" si="1"/>
        <v>0.10348046083934329</v>
      </c>
      <c r="G67" s="9">
        <f t="shared" si="2"/>
        <v>1.877179665237759E-2</v>
      </c>
    </row>
    <row r="68" spans="1:7" x14ac:dyDescent="0.2">
      <c r="A68" s="12">
        <v>37229</v>
      </c>
      <c r="B68" s="9">
        <v>1556.72</v>
      </c>
      <c r="C68" s="9">
        <v>1542.83</v>
      </c>
      <c r="D68" s="9">
        <v>1549.08</v>
      </c>
      <c r="E68" s="9">
        <f t="shared" ref="E68:E131" si="3">LN(D68/D67)</f>
        <v>4.0428139969646759E-3</v>
      </c>
      <c r="F68" s="9">
        <f t="shared" si="1"/>
        <v>6.8707950315519323E-2</v>
      </c>
      <c r="G68" s="9">
        <f t="shared" si="2"/>
        <v>1.7546318842260381E-2</v>
      </c>
    </row>
    <row r="69" spans="1:7" x14ac:dyDescent="0.2">
      <c r="A69" s="12">
        <v>37230</v>
      </c>
      <c r="B69" s="9">
        <v>1605.91</v>
      </c>
      <c r="C69" s="9">
        <v>1549.08</v>
      </c>
      <c r="D69" s="9">
        <v>1594.85</v>
      </c>
      <c r="E69" s="9">
        <f t="shared" si="3"/>
        <v>2.9118481602775803E-2</v>
      </c>
      <c r="F69" s="9">
        <f t="shared" si="1"/>
        <v>6.5550204090765465E-2</v>
      </c>
      <c r="G69" s="9">
        <f t="shared" si="2"/>
        <v>1.7368807458382103E-2</v>
      </c>
    </row>
    <row r="70" spans="1:7" x14ac:dyDescent="0.2">
      <c r="A70" s="12">
        <v>37232</v>
      </c>
      <c r="B70" s="9">
        <v>1619</v>
      </c>
      <c r="C70" s="9">
        <v>1593.45</v>
      </c>
      <c r="D70" s="9">
        <v>1614.61</v>
      </c>
      <c r="E70" s="9">
        <f t="shared" si="3"/>
        <v>1.2313753516795914E-2</v>
      </c>
      <c r="F70" s="9">
        <f t="shared" si="1"/>
        <v>9.2749992543475379E-2</v>
      </c>
      <c r="G70" s="9">
        <f t="shared" si="2"/>
        <v>1.7155574943354131E-2</v>
      </c>
    </row>
    <row r="71" spans="1:7" x14ac:dyDescent="0.2">
      <c r="A71" s="12">
        <v>37235</v>
      </c>
      <c r="B71" s="9">
        <v>1614.67</v>
      </c>
      <c r="C71" s="9">
        <v>1576.27</v>
      </c>
      <c r="D71" s="9">
        <v>1589.24</v>
      </c>
      <c r="E71" s="9">
        <f t="shared" si="3"/>
        <v>-1.5837526905699135E-2</v>
      </c>
      <c r="F71" s="9">
        <f t="shared" si="1"/>
        <v>7.1328698224668682E-2</v>
      </c>
      <c r="G71" s="9">
        <f t="shared" si="2"/>
        <v>1.7490792515366272E-2</v>
      </c>
    </row>
    <row r="72" spans="1:7" x14ac:dyDescent="0.2">
      <c r="A72" s="12">
        <v>37236</v>
      </c>
      <c r="B72" s="9">
        <v>1607.41</v>
      </c>
      <c r="C72" s="9">
        <v>1572.83</v>
      </c>
      <c r="D72" s="9">
        <v>1604.28</v>
      </c>
      <c r="E72" s="9">
        <f t="shared" si="3"/>
        <v>9.4191432625407735E-3</v>
      </c>
      <c r="F72" s="9">
        <f t="shared" si="1"/>
        <v>9.1468489839510725E-2</v>
      </c>
      <c r="G72" s="9">
        <f t="shared" si="2"/>
        <v>1.7356708702237614E-2</v>
      </c>
    </row>
    <row r="73" spans="1:7" x14ac:dyDescent="0.2">
      <c r="A73" s="12">
        <v>37237</v>
      </c>
      <c r="B73" s="9">
        <v>1616.43</v>
      </c>
      <c r="C73" s="9">
        <v>1581.78</v>
      </c>
      <c r="D73" s="9">
        <v>1586.35</v>
      </c>
      <c r="E73" s="9">
        <f t="shared" si="3"/>
        <v>-1.1239277976313302E-2</v>
      </c>
      <c r="F73" s="9">
        <f t="shared" si="1"/>
        <v>0.11597548565344584</v>
      </c>
      <c r="G73" s="9">
        <f t="shared" si="2"/>
        <v>1.5990804574399716E-2</v>
      </c>
    </row>
    <row r="74" spans="1:7" x14ac:dyDescent="0.2">
      <c r="A74" s="12">
        <v>37238</v>
      </c>
      <c r="B74" s="9">
        <v>1590.44</v>
      </c>
      <c r="C74" s="9">
        <v>1556.32</v>
      </c>
      <c r="D74" s="9">
        <v>1559.53</v>
      </c>
      <c r="E74" s="9">
        <f t="shared" si="3"/>
        <v>-1.7051286008972693E-2</v>
      </c>
      <c r="F74" s="9">
        <f t="shared" si="1"/>
        <v>5.9788982012667254E-2</v>
      </c>
      <c r="G74" s="9">
        <f t="shared" si="2"/>
        <v>1.4975654445486935E-2</v>
      </c>
    </row>
    <row r="75" spans="1:7" x14ac:dyDescent="0.2">
      <c r="A75" s="12">
        <v>37239</v>
      </c>
      <c r="B75" s="9">
        <v>1559.55</v>
      </c>
      <c r="C75" s="9">
        <v>1543.05</v>
      </c>
      <c r="D75" s="9">
        <v>1552.7</v>
      </c>
      <c r="E75" s="9">
        <f t="shared" si="3"/>
        <v>-4.389142810621369E-3</v>
      </c>
      <c r="F75" s="9">
        <f t="shared" si="1"/>
        <v>7.6178967953499974E-2</v>
      </c>
      <c r="G75" s="9">
        <f t="shared" si="2"/>
        <v>1.4404315899421184E-2</v>
      </c>
    </row>
    <row r="76" spans="1:7" x14ac:dyDescent="0.2">
      <c r="A76" s="12">
        <v>37242</v>
      </c>
      <c r="B76" s="9">
        <v>1566.89</v>
      </c>
      <c r="C76" s="9">
        <v>1550.31</v>
      </c>
      <c r="D76" s="9">
        <v>1561.64</v>
      </c>
      <c r="E76" s="9">
        <f t="shared" si="3"/>
        <v>5.741200097750125E-3</v>
      </c>
      <c r="F76" s="9">
        <f t="shared" si="1"/>
        <v>7.130125998131813E-2</v>
      </c>
      <c r="G76" s="9">
        <f t="shared" si="2"/>
        <v>1.433734477268607E-2</v>
      </c>
    </row>
    <row r="77" spans="1:7" x14ac:dyDescent="0.2">
      <c r="A77" s="12">
        <v>37243</v>
      </c>
      <c r="B77" s="9">
        <v>1590.37</v>
      </c>
      <c r="C77" s="9">
        <v>1560.31</v>
      </c>
      <c r="D77" s="9">
        <v>1586.81</v>
      </c>
      <c r="E77" s="9">
        <f t="shared" si="3"/>
        <v>1.5989160526872707E-2</v>
      </c>
      <c r="F77" s="9">
        <f t="shared" si="1"/>
        <v>6.6708324719351397E-2</v>
      </c>
      <c r="G77" s="9">
        <f t="shared" si="2"/>
        <v>1.4159660715410164E-2</v>
      </c>
    </row>
    <row r="78" spans="1:7" x14ac:dyDescent="0.2">
      <c r="A78" s="12">
        <v>37244</v>
      </c>
      <c r="B78" s="9">
        <v>1587.04</v>
      </c>
      <c r="C78" s="9">
        <v>1561.92</v>
      </c>
      <c r="D78" s="9">
        <v>1567.12</v>
      </c>
      <c r="E78" s="9">
        <f t="shared" si="3"/>
        <v>-1.2486171736601968E-2</v>
      </c>
      <c r="F78" s="9">
        <f t="shared" si="1"/>
        <v>5.3703562862728239E-2</v>
      </c>
      <c r="G78" s="9">
        <f t="shared" si="2"/>
        <v>1.4410504911154002E-2</v>
      </c>
    </row>
    <row r="79" spans="1:7" x14ac:dyDescent="0.2">
      <c r="A79" s="12">
        <v>37245</v>
      </c>
      <c r="B79" s="9">
        <v>1571.95</v>
      </c>
      <c r="C79" s="9">
        <v>1543.16</v>
      </c>
      <c r="D79" s="9">
        <v>1551.35</v>
      </c>
      <c r="E79" s="9">
        <f t="shared" si="3"/>
        <v>-1.0114020292230371E-2</v>
      </c>
      <c r="F79" s="9">
        <f t="shared" si="1"/>
        <v>4.0349399643409743E-2</v>
      </c>
      <c r="G79" s="9">
        <f t="shared" si="2"/>
        <v>1.456954594556744E-2</v>
      </c>
    </row>
    <row r="80" spans="1:7" x14ac:dyDescent="0.2">
      <c r="A80" s="12">
        <v>37246</v>
      </c>
      <c r="B80" s="9">
        <v>1567.13</v>
      </c>
      <c r="C80" s="9">
        <v>1537.19</v>
      </c>
      <c r="D80" s="9">
        <v>1564.05</v>
      </c>
      <c r="E80" s="9">
        <f t="shared" si="3"/>
        <v>8.1530913207972858E-3</v>
      </c>
      <c r="F80" s="9">
        <f t="shared" si="1"/>
        <v>1.8559322645076811E-2</v>
      </c>
      <c r="G80" s="9">
        <f t="shared" si="2"/>
        <v>1.3605964072161461E-2</v>
      </c>
    </row>
    <row r="81" spans="1:7" x14ac:dyDescent="0.2">
      <c r="A81" s="12">
        <v>37252</v>
      </c>
      <c r="B81" s="9">
        <v>1586.19</v>
      </c>
      <c r="C81" s="9">
        <v>1564.05</v>
      </c>
      <c r="D81" s="9">
        <v>1578.65</v>
      </c>
      <c r="E81" s="9">
        <f t="shared" si="3"/>
        <v>9.2914405038575665E-3</v>
      </c>
      <c r="F81" s="9">
        <f t="shared" si="1"/>
        <v>4.5626643309241849E-2</v>
      </c>
      <c r="G81" s="9">
        <f t="shared" si="2"/>
        <v>1.3236552106964408E-2</v>
      </c>
    </row>
    <row r="82" spans="1:7" x14ac:dyDescent="0.2">
      <c r="A82" s="12">
        <v>37253</v>
      </c>
      <c r="B82" s="9">
        <v>1602.06</v>
      </c>
      <c r="C82" s="9">
        <v>1577.65</v>
      </c>
      <c r="D82" s="9">
        <v>1600.99</v>
      </c>
      <c r="E82" s="9">
        <f t="shared" si="3"/>
        <v>1.4052136473448313E-2</v>
      </c>
      <c r="F82" s="9">
        <f t="shared" si="1"/>
        <v>6.6244337307682338E-2</v>
      </c>
      <c r="G82" s="9">
        <f t="shared" si="2"/>
        <v>1.3337082059159747E-2</v>
      </c>
    </row>
    <row r="83" spans="1:7" x14ac:dyDescent="0.2">
      <c r="A83" s="12">
        <v>37258</v>
      </c>
      <c r="B83" s="9">
        <v>1606.58</v>
      </c>
      <c r="C83" s="9">
        <v>1586.26</v>
      </c>
      <c r="D83" s="9">
        <v>1603.27</v>
      </c>
      <c r="E83" s="9">
        <f t="shared" si="3"/>
        <v>1.4231057309916286E-3</v>
      </c>
      <c r="F83" s="9">
        <f t="shared" si="1"/>
        <v>3.6775458829503664E-2</v>
      </c>
      <c r="G83" s="9">
        <f t="shared" si="2"/>
        <v>1.2187276360759738E-2</v>
      </c>
    </row>
    <row r="84" spans="1:7" x14ac:dyDescent="0.2">
      <c r="A84" s="12">
        <v>37259</v>
      </c>
      <c r="B84" s="9">
        <v>1659.09</v>
      </c>
      <c r="C84" s="9">
        <v>1602.07</v>
      </c>
      <c r="D84" s="9">
        <v>1651.73</v>
      </c>
      <c r="E84" s="9">
        <f t="shared" si="3"/>
        <v>2.9777929854767952E-2</v>
      </c>
      <c r="F84" s="9">
        <f t="shared" si="1"/>
        <v>5.7034843379968538E-2</v>
      </c>
      <c r="G84" s="9">
        <f t="shared" si="2"/>
        <v>1.3183234585381327E-2</v>
      </c>
    </row>
    <row r="85" spans="1:7" x14ac:dyDescent="0.2">
      <c r="A85" s="12">
        <v>37260</v>
      </c>
      <c r="B85" s="9">
        <v>1696.31</v>
      </c>
      <c r="C85" s="9">
        <v>1651.73</v>
      </c>
      <c r="D85" s="9">
        <v>1678.28</v>
      </c>
      <c r="E85" s="9">
        <f t="shared" si="3"/>
        <v>1.5946235955757986E-2</v>
      </c>
      <c r="F85" s="9">
        <f t="shared" si="1"/>
        <v>6.3431650886474414E-2</v>
      </c>
      <c r="G85" s="9">
        <f t="shared" si="2"/>
        <v>1.3361727005030343E-2</v>
      </c>
    </row>
    <row r="86" spans="1:7" x14ac:dyDescent="0.2">
      <c r="A86" s="12">
        <v>37263</v>
      </c>
      <c r="B86" s="9">
        <v>1705.72</v>
      </c>
      <c r="C86" s="9">
        <v>1678.03</v>
      </c>
      <c r="D86" s="9">
        <v>1695.88</v>
      </c>
      <c r="E86" s="9">
        <f t="shared" si="3"/>
        <v>1.0432320709098906E-2</v>
      </c>
      <c r="F86" s="9">
        <f t="shared" si="1"/>
        <v>6.8235860574347454E-2</v>
      </c>
      <c r="G86" s="9">
        <f t="shared" si="2"/>
        <v>1.3433885503684974E-2</v>
      </c>
    </row>
    <row r="87" spans="1:7" x14ac:dyDescent="0.2">
      <c r="A87" s="12">
        <v>37264</v>
      </c>
      <c r="B87" s="9">
        <v>1695.88</v>
      </c>
      <c r="C87" s="9">
        <v>1658.11</v>
      </c>
      <c r="D87" s="9">
        <v>1665.47</v>
      </c>
      <c r="E87" s="9">
        <f t="shared" si="3"/>
        <v>-1.8094414268955045E-2</v>
      </c>
      <c r="F87" s="9">
        <f t="shared" si="1"/>
        <v>5.3195308523673338E-2</v>
      </c>
      <c r="G87" s="9">
        <f t="shared" si="2"/>
        <v>1.3911754633698627E-2</v>
      </c>
    </row>
    <row r="88" spans="1:7" x14ac:dyDescent="0.2">
      <c r="A88" s="12">
        <v>37265</v>
      </c>
      <c r="B88" s="9">
        <v>1665.82</v>
      </c>
      <c r="C88" s="9">
        <v>1649.13</v>
      </c>
      <c r="D88" s="9">
        <v>1656.06</v>
      </c>
      <c r="E88" s="9">
        <f t="shared" si="3"/>
        <v>-5.6660786897751404E-3</v>
      </c>
      <c r="F88" s="9">
        <f t="shared" si="1"/>
        <v>5.9979850075920167E-2</v>
      </c>
      <c r="G88" s="9">
        <f t="shared" si="2"/>
        <v>1.3726468738816049E-2</v>
      </c>
    </row>
    <row r="89" spans="1:7" x14ac:dyDescent="0.2">
      <c r="A89" s="12">
        <v>37266</v>
      </c>
      <c r="B89" s="9">
        <v>1656.93</v>
      </c>
      <c r="C89" s="9">
        <v>1630.78</v>
      </c>
      <c r="D89" s="9">
        <v>1633.72</v>
      </c>
      <c r="E89" s="9">
        <f t="shared" si="3"/>
        <v>-1.3581664065654211E-2</v>
      </c>
      <c r="F89" s="9">
        <f t="shared" si="1"/>
        <v>5.0181823261206085E-2</v>
      </c>
      <c r="G89" s="9">
        <f t="shared" si="2"/>
        <v>1.398297852688409E-2</v>
      </c>
    </row>
    <row r="90" spans="1:7" x14ac:dyDescent="0.2">
      <c r="A90" s="12">
        <v>37267</v>
      </c>
      <c r="B90" s="9">
        <v>1652.32</v>
      </c>
      <c r="C90" s="9">
        <v>1631.89</v>
      </c>
      <c r="D90" s="9">
        <v>1648.14</v>
      </c>
      <c r="E90" s="9">
        <f t="shared" si="3"/>
        <v>8.78775621030717E-3</v>
      </c>
      <c r="F90" s="9">
        <f t="shared" si="1"/>
        <v>3.7909063881809958E-2</v>
      </c>
      <c r="G90" s="9">
        <f t="shared" si="2"/>
        <v>1.3569620714471988E-2</v>
      </c>
    </row>
    <row r="91" spans="1:7" x14ac:dyDescent="0.2">
      <c r="A91" s="12">
        <v>37270</v>
      </c>
      <c r="B91" s="9">
        <v>1648.77</v>
      </c>
      <c r="C91" s="9">
        <v>1589.42</v>
      </c>
      <c r="D91" s="9">
        <v>1598.18</v>
      </c>
      <c r="E91" s="9">
        <f t="shared" si="3"/>
        <v>-3.0781897533834479E-2</v>
      </c>
      <c r="F91" s="9">
        <f t="shared" si="1"/>
        <v>7.7512464017671064E-3</v>
      </c>
      <c r="G91" s="9">
        <f t="shared" si="2"/>
        <v>1.477759234938634E-2</v>
      </c>
    </row>
    <row r="92" spans="1:7" x14ac:dyDescent="0.2">
      <c r="A92" s="12">
        <v>37271</v>
      </c>
      <c r="B92" s="9">
        <v>1598.37</v>
      </c>
      <c r="C92" s="9">
        <v>1575.36</v>
      </c>
      <c r="D92" s="9">
        <v>1584.92</v>
      </c>
      <c r="E92" s="9">
        <f t="shared" si="3"/>
        <v>-8.3315489322755183E-3</v>
      </c>
      <c r="F92" s="9">
        <f t="shared" si="1"/>
        <v>-7.0918715904614744E-3</v>
      </c>
      <c r="G92" s="9">
        <f t="shared" si="2"/>
        <v>1.4809456728206284E-2</v>
      </c>
    </row>
    <row r="93" spans="1:7" x14ac:dyDescent="0.2">
      <c r="A93" s="12">
        <v>37272</v>
      </c>
      <c r="B93" s="9">
        <v>1584.92</v>
      </c>
      <c r="C93" s="9">
        <v>1556.07</v>
      </c>
      <c r="D93" s="9">
        <v>1558.67</v>
      </c>
      <c r="E93" s="9">
        <f t="shared" si="3"/>
        <v>-1.6701039349901487E-2</v>
      </c>
      <c r="F93" s="9">
        <f t="shared" si="1"/>
        <v>-4.1551616686465349E-3</v>
      </c>
      <c r="G93" s="9">
        <f t="shared" si="2"/>
        <v>1.4685982929624461E-2</v>
      </c>
    </row>
    <row r="94" spans="1:7" x14ac:dyDescent="0.2">
      <c r="A94" s="12">
        <v>37273</v>
      </c>
      <c r="B94" s="9">
        <v>1591.77</v>
      </c>
      <c r="C94" s="9">
        <v>1557.36</v>
      </c>
      <c r="D94" s="9">
        <v>1587.63</v>
      </c>
      <c r="E94" s="9">
        <f t="shared" si="3"/>
        <v>1.840944467629704E-2</v>
      </c>
      <c r="F94" s="9">
        <f t="shared" si="1"/>
        <v>2.2021598797266652E-2</v>
      </c>
      <c r="G94" s="9">
        <f t="shared" si="2"/>
        <v>1.4991551284484948E-2</v>
      </c>
    </row>
    <row r="95" spans="1:7" x14ac:dyDescent="0.2">
      <c r="A95" s="12">
        <v>37274</v>
      </c>
      <c r="B95" s="9">
        <v>1594.11</v>
      </c>
      <c r="C95" s="9">
        <v>1575.63</v>
      </c>
      <c r="D95" s="9">
        <v>1592.28</v>
      </c>
      <c r="E95" s="9">
        <f t="shared" si="3"/>
        <v>2.9246131585026992E-3</v>
      </c>
      <c r="F95" s="9">
        <f t="shared" si="1"/>
        <v>3.3072895181693027E-2</v>
      </c>
      <c r="G95" s="9">
        <f t="shared" si="2"/>
        <v>1.490182417670978E-2</v>
      </c>
    </row>
    <row r="96" spans="1:7" x14ac:dyDescent="0.2">
      <c r="A96" s="12">
        <v>37277</v>
      </c>
      <c r="B96" s="9">
        <v>1592.49</v>
      </c>
      <c r="C96" s="9">
        <v>1564.01</v>
      </c>
      <c r="D96" s="9">
        <v>1565.17</v>
      </c>
      <c r="E96" s="9">
        <f t="shared" si="3"/>
        <v>-1.7172507063406929E-2</v>
      </c>
      <c r="F96" s="9">
        <f t="shared" si="1"/>
        <v>3.520183868310268E-3</v>
      </c>
      <c r="G96" s="9">
        <f t="shared" si="2"/>
        <v>1.5105992852377497E-2</v>
      </c>
    </row>
    <row r="97" spans="1:7" x14ac:dyDescent="0.2">
      <c r="A97" s="12">
        <v>37278</v>
      </c>
      <c r="B97" s="9">
        <v>1585.77</v>
      </c>
      <c r="C97" s="9">
        <v>1563.46</v>
      </c>
      <c r="D97" s="9">
        <v>1576.69</v>
      </c>
      <c r="E97" s="9">
        <f t="shared" si="3"/>
        <v>7.3332685897582687E-3</v>
      </c>
      <c r="F97" s="9">
        <f t="shared" ref="F97:F160" si="4">LN(D97/D67)</f>
        <v>2.1709320553042945E-2</v>
      </c>
      <c r="G97" s="9">
        <f t="shared" ref="G97:G160" si="5">STDEV(E68:E97)</f>
        <v>1.5015130040958688E-2</v>
      </c>
    </row>
    <row r="98" spans="1:7" x14ac:dyDescent="0.2">
      <c r="A98" s="12">
        <v>37279</v>
      </c>
      <c r="B98" s="9">
        <v>1579.67</v>
      </c>
      <c r="C98" s="9">
        <v>1562.9</v>
      </c>
      <c r="D98" s="9">
        <v>1566.33</v>
      </c>
      <c r="E98" s="9">
        <f t="shared" si="3"/>
        <v>-6.5924095426194039E-3</v>
      </c>
      <c r="F98" s="9">
        <f t="shared" si="4"/>
        <v>1.107409701345898E-2</v>
      </c>
      <c r="G98" s="9">
        <f t="shared" si="5"/>
        <v>1.5059545327466711E-2</v>
      </c>
    </row>
    <row r="99" spans="1:7" x14ac:dyDescent="0.2">
      <c r="A99" s="12">
        <v>37280</v>
      </c>
      <c r="B99" s="9">
        <v>1604.08</v>
      </c>
      <c r="C99" s="9">
        <v>1566.33</v>
      </c>
      <c r="D99" s="9">
        <v>1599.9</v>
      </c>
      <c r="E99" s="9">
        <f t="shared" si="3"/>
        <v>2.1205823954589014E-2</v>
      </c>
      <c r="F99" s="9">
        <f t="shared" si="4"/>
        <v>3.161439365272389E-3</v>
      </c>
      <c r="G99" s="9">
        <f t="shared" si="5"/>
        <v>1.4600971808586877E-2</v>
      </c>
    </row>
    <row r="100" spans="1:7" x14ac:dyDescent="0.2">
      <c r="A100" s="12">
        <v>37281</v>
      </c>
      <c r="B100" s="9">
        <v>1599.93</v>
      </c>
      <c r="C100" s="9">
        <v>1584.85</v>
      </c>
      <c r="D100" s="9">
        <v>1596.16</v>
      </c>
      <c r="E100" s="9">
        <f t="shared" si="3"/>
        <v>-2.3403826631039951E-3</v>
      </c>
      <c r="F100" s="9">
        <f t="shared" si="4"/>
        <v>-1.14926968146276E-2</v>
      </c>
      <c r="G100" s="9">
        <f t="shared" si="5"/>
        <v>1.4422494691737758E-2</v>
      </c>
    </row>
    <row r="101" spans="1:7" x14ac:dyDescent="0.2">
      <c r="A101" s="12">
        <v>37284</v>
      </c>
      <c r="B101" s="9">
        <v>1611.75</v>
      </c>
      <c r="C101" s="9">
        <v>1595.47</v>
      </c>
      <c r="D101" s="9">
        <v>1603.66</v>
      </c>
      <c r="E101" s="9">
        <f t="shared" si="3"/>
        <v>4.6877722712529895E-3</v>
      </c>
      <c r="F101" s="9">
        <f t="shared" si="4"/>
        <v>9.0326023623245807E-3</v>
      </c>
      <c r="G101" s="9">
        <f t="shared" si="5"/>
        <v>1.4148319420604117E-2</v>
      </c>
    </row>
    <row r="102" spans="1:7" x14ac:dyDescent="0.2">
      <c r="A102" s="12">
        <v>37285</v>
      </c>
      <c r="B102" s="9">
        <v>1615.77</v>
      </c>
      <c r="C102" s="9">
        <v>1595.04</v>
      </c>
      <c r="D102" s="9">
        <v>1608.48</v>
      </c>
      <c r="E102" s="9">
        <f t="shared" si="3"/>
        <v>3.0011167742946157E-3</v>
      </c>
      <c r="F102" s="9">
        <f t="shared" si="4"/>
        <v>2.6145758740783965E-3</v>
      </c>
      <c r="G102" s="9">
        <f t="shared" si="5"/>
        <v>1.4053900553713472E-2</v>
      </c>
    </row>
    <row r="103" spans="1:7" x14ac:dyDescent="0.2">
      <c r="A103" s="12">
        <v>37286</v>
      </c>
      <c r="B103" s="9">
        <v>1608.79</v>
      </c>
      <c r="C103" s="9">
        <v>1568.44</v>
      </c>
      <c r="D103" s="9">
        <v>1574.08</v>
      </c>
      <c r="E103" s="9">
        <f t="shared" si="3"/>
        <v>-2.161865905013502E-2</v>
      </c>
      <c r="F103" s="9">
        <f t="shared" si="4"/>
        <v>-7.7648051997432979E-3</v>
      </c>
      <c r="G103" s="9">
        <f t="shared" si="5"/>
        <v>1.4464122890842654E-2</v>
      </c>
    </row>
    <row r="104" spans="1:7" x14ac:dyDescent="0.2">
      <c r="A104" s="12">
        <v>37287</v>
      </c>
      <c r="B104" s="9">
        <v>1610.41</v>
      </c>
      <c r="C104" s="9">
        <v>1573.57</v>
      </c>
      <c r="D104" s="9">
        <v>1591.13</v>
      </c>
      <c r="E104" s="9">
        <f t="shared" si="3"/>
        <v>1.0773481009356416E-2</v>
      </c>
      <c r="F104" s="9">
        <f t="shared" si="4"/>
        <v>2.0059961818585961E-2</v>
      </c>
      <c r="G104" s="9">
        <f t="shared" si="5"/>
        <v>1.4240583767650465E-2</v>
      </c>
    </row>
    <row r="105" spans="1:7" x14ac:dyDescent="0.2">
      <c r="A105" s="12">
        <v>37288</v>
      </c>
      <c r="B105" s="9">
        <v>1622.08</v>
      </c>
      <c r="C105" s="9">
        <v>1591.13</v>
      </c>
      <c r="D105" s="9">
        <v>1618.27</v>
      </c>
      <c r="E105" s="9">
        <f t="shared" si="3"/>
        <v>1.6913221762732213E-2</v>
      </c>
      <c r="F105" s="9">
        <f t="shared" si="4"/>
        <v>4.1362326391939513E-2</v>
      </c>
      <c r="G105" s="9">
        <f t="shared" si="5"/>
        <v>1.4508273959418018E-2</v>
      </c>
    </row>
    <row r="106" spans="1:7" x14ac:dyDescent="0.2">
      <c r="A106" s="12">
        <v>37291</v>
      </c>
      <c r="B106" s="9">
        <v>1625.21</v>
      </c>
      <c r="C106" s="9">
        <v>1609.8</v>
      </c>
      <c r="D106" s="9">
        <v>1615.47</v>
      </c>
      <c r="E106" s="9">
        <f t="shared" si="3"/>
        <v>-1.7317413890726701E-3</v>
      </c>
      <c r="F106" s="9">
        <f t="shared" si="4"/>
        <v>3.3889384905116705E-2</v>
      </c>
      <c r="G106" s="9">
        <f t="shared" si="5"/>
        <v>1.4494937272349085E-2</v>
      </c>
    </row>
    <row r="107" spans="1:7" x14ac:dyDescent="0.2">
      <c r="A107" s="12">
        <v>37292</v>
      </c>
      <c r="B107" s="9">
        <v>1615.47</v>
      </c>
      <c r="C107" s="9">
        <v>1584.27</v>
      </c>
      <c r="D107" s="9">
        <v>1593.01</v>
      </c>
      <c r="E107" s="9">
        <f t="shared" si="3"/>
        <v>-1.4000627635741034E-2</v>
      </c>
      <c r="F107" s="9">
        <f t="shared" si="4"/>
        <v>3.8995967425029831E-3</v>
      </c>
      <c r="G107" s="9">
        <f t="shared" si="5"/>
        <v>1.4468912486448174E-2</v>
      </c>
    </row>
    <row r="108" spans="1:7" x14ac:dyDescent="0.2">
      <c r="A108" s="12">
        <v>37293</v>
      </c>
      <c r="B108" s="9">
        <v>1597.04</v>
      </c>
      <c r="C108" s="9">
        <v>1568.63</v>
      </c>
      <c r="D108" s="9">
        <v>1571.05</v>
      </c>
      <c r="E108" s="9">
        <f t="shared" si="3"/>
        <v>-1.3881122743221131E-2</v>
      </c>
      <c r="F108" s="9">
        <f t="shared" si="4"/>
        <v>2.5046457358837712E-3</v>
      </c>
      <c r="G108" s="9">
        <f t="shared" si="5"/>
        <v>1.4513028984053378E-2</v>
      </c>
    </row>
    <row r="109" spans="1:7" x14ac:dyDescent="0.2">
      <c r="A109" s="12">
        <v>37294</v>
      </c>
      <c r="B109" s="9">
        <v>1587.21</v>
      </c>
      <c r="C109" s="9">
        <v>1566.93</v>
      </c>
      <c r="D109" s="9">
        <v>1582.4</v>
      </c>
      <c r="E109" s="9">
        <f t="shared" si="3"/>
        <v>7.1984962574189416E-3</v>
      </c>
      <c r="F109" s="9">
        <f t="shared" si="4"/>
        <v>1.9817162285533131E-2</v>
      </c>
      <c r="G109" s="9">
        <f t="shared" si="5"/>
        <v>1.4437565565960323E-2</v>
      </c>
    </row>
    <row r="110" spans="1:7" x14ac:dyDescent="0.2">
      <c r="A110" s="12">
        <v>37295</v>
      </c>
      <c r="B110" s="9">
        <v>1582.76</v>
      </c>
      <c r="C110" s="9">
        <v>1562.32</v>
      </c>
      <c r="D110" s="9">
        <v>1566.61</v>
      </c>
      <c r="E110" s="9">
        <f t="shared" si="3"/>
        <v>-1.0028632705331402E-2</v>
      </c>
      <c r="F110" s="9">
        <f t="shared" si="4"/>
        <v>1.6354382594045206E-3</v>
      </c>
      <c r="G110" s="9">
        <f t="shared" si="5"/>
        <v>1.4493705850664776E-2</v>
      </c>
    </row>
    <row r="111" spans="1:7" x14ac:dyDescent="0.2">
      <c r="A111" s="12">
        <v>37298</v>
      </c>
      <c r="B111" s="9">
        <v>1592.01</v>
      </c>
      <c r="C111" s="9">
        <v>1566.61</v>
      </c>
      <c r="D111" s="9">
        <v>1589.05</v>
      </c>
      <c r="E111" s="9">
        <f t="shared" si="3"/>
        <v>1.4222304209570736E-2</v>
      </c>
      <c r="F111" s="9">
        <f t="shared" si="4"/>
        <v>6.5663019651177879E-3</v>
      </c>
      <c r="G111" s="9">
        <f t="shared" si="5"/>
        <v>1.4629390333344431E-2</v>
      </c>
    </row>
    <row r="112" spans="1:7" x14ac:dyDescent="0.2">
      <c r="A112" s="12">
        <v>37299</v>
      </c>
      <c r="B112" s="9">
        <v>1612.12</v>
      </c>
      <c r="C112" s="9">
        <v>1589.05</v>
      </c>
      <c r="D112" s="9">
        <v>1606.61</v>
      </c>
      <c r="E112" s="9">
        <f t="shared" si="3"/>
        <v>1.0990015672314599E-2</v>
      </c>
      <c r="F112" s="9">
        <f t="shared" si="4"/>
        <v>3.504181163983894E-3</v>
      </c>
      <c r="G112" s="9">
        <f t="shared" si="5"/>
        <v>1.453995516575176E-2</v>
      </c>
    </row>
    <row r="113" spans="1:7" x14ac:dyDescent="0.2">
      <c r="A113" s="12">
        <v>37300</v>
      </c>
      <c r="B113" s="9">
        <v>1627.69</v>
      </c>
      <c r="C113" s="9">
        <v>1604.87</v>
      </c>
      <c r="D113" s="9">
        <v>1627.26</v>
      </c>
      <c r="E113" s="9">
        <f t="shared" si="3"/>
        <v>1.2771249725837808E-2</v>
      </c>
      <c r="F113" s="9">
        <f t="shared" si="4"/>
        <v>1.485232515882995E-2</v>
      </c>
      <c r="G113" s="9">
        <f t="shared" si="5"/>
        <v>1.4721593848202695E-2</v>
      </c>
    </row>
    <row r="114" spans="1:7" x14ac:dyDescent="0.2">
      <c r="A114" s="12">
        <v>37301</v>
      </c>
      <c r="B114" s="9">
        <v>1658.7</v>
      </c>
      <c r="C114" s="9">
        <v>1627.26</v>
      </c>
      <c r="D114" s="9">
        <v>1652.13</v>
      </c>
      <c r="E114" s="9">
        <f t="shared" si="3"/>
        <v>1.5167745707938654E-2</v>
      </c>
      <c r="F114" s="9">
        <f t="shared" si="4"/>
        <v>2.4214101200079817E-4</v>
      </c>
      <c r="G114" s="9">
        <f t="shared" si="5"/>
        <v>1.3940416234095813E-2</v>
      </c>
    </row>
    <row r="115" spans="1:7" x14ac:dyDescent="0.2">
      <c r="A115" s="12">
        <v>37302</v>
      </c>
      <c r="B115" s="9">
        <v>1655.57</v>
      </c>
      <c r="C115" s="9">
        <v>1640.71</v>
      </c>
      <c r="D115" s="9">
        <v>1655.46</v>
      </c>
      <c r="E115" s="9">
        <f t="shared" si="3"/>
        <v>2.0135513319926961E-3</v>
      </c>
      <c r="F115" s="9">
        <f t="shared" si="4"/>
        <v>-1.3690543611764493E-2</v>
      </c>
      <c r="G115" s="9">
        <f t="shared" si="5"/>
        <v>1.3619518373876907E-2</v>
      </c>
    </row>
    <row r="116" spans="1:7" x14ac:dyDescent="0.2">
      <c r="A116" s="12">
        <v>37305</v>
      </c>
      <c r="B116" s="9">
        <v>1655.46</v>
      </c>
      <c r="C116" s="9">
        <v>1633.57</v>
      </c>
      <c r="D116" s="9">
        <v>1637.38</v>
      </c>
      <c r="E116" s="9">
        <f t="shared" si="3"/>
        <v>-1.0981512429401354E-2</v>
      </c>
      <c r="F116" s="9">
        <f t="shared" si="4"/>
        <v>-3.5104376750264697E-2</v>
      </c>
      <c r="G116" s="9">
        <f t="shared" si="5"/>
        <v>1.3590282911038289E-2</v>
      </c>
    </row>
    <row r="117" spans="1:7" x14ac:dyDescent="0.2">
      <c r="A117" s="12">
        <v>37306</v>
      </c>
      <c r="B117" s="9">
        <v>1648.3</v>
      </c>
      <c r="C117" s="9">
        <v>1617.02</v>
      </c>
      <c r="D117" s="9">
        <v>1621.88</v>
      </c>
      <c r="E117" s="9">
        <f t="shared" si="3"/>
        <v>-9.5114331802302124E-3</v>
      </c>
      <c r="F117" s="9">
        <f t="shared" si="4"/>
        <v>-2.6521395661539826E-2</v>
      </c>
      <c r="G117" s="9">
        <f t="shared" si="5"/>
        <v>1.3309147135172913E-2</v>
      </c>
    </row>
    <row r="118" spans="1:7" x14ac:dyDescent="0.2">
      <c r="A118" s="12">
        <v>37307</v>
      </c>
      <c r="B118" s="9">
        <v>1622.28</v>
      </c>
      <c r="C118" s="9">
        <v>1599.05</v>
      </c>
      <c r="D118" s="9">
        <v>1607.03</v>
      </c>
      <c r="E118" s="9">
        <f t="shared" si="3"/>
        <v>-9.1982153118043315E-3</v>
      </c>
      <c r="F118" s="9">
        <f t="shared" si="4"/>
        <v>-3.00535322835691E-2</v>
      </c>
      <c r="G118" s="9">
        <f t="shared" si="5"/>
        <v>1.3368401022705369E-2</v>
      </c>
    </row>
    <row r="119" spans="1:7" x14ac:dyDescent="0.2">
      <c r="A119" s="12">
        <v>37308</v>
      </c>
      <c r="B119" s="9">
        <v>1625.55</v>
      </c>
      <c r="C119" s="9">
        <v>1607.03</v>
      </c>
      <c r="D119" s="9">
        <v>1619.08</v>
      </c>
      <c r="E119" s="9">
        <f t="shared" si="3"/>
        <v>7.4703317855431871E-3</v>
      </c>
      <c r="F119" s="9">
        <f t="shared" si="4"/>
        <v>-9.0015364323718754E-3</v>
      </c>
      <c r="G119" s="9">
        <f t="shared" si="5"/>
        <v>1.3237174309833524E-2</v>
      </c>
    </row>
    <row r="120" spans="1:7" x14ac:dyDescent="0.2">
      <c r="A120" s="12">
        <v>37309</v>
      </c>
      <c r="B120" s="9">
        <v>1621.33</v>
      </c>
      <c r="C120" s="9">
        <v>1601.91</v>
      </c>
      <c r="D120" s="9">
        <v>1604.2</v>
      </c>
      <c r="E120" s="9">
        <f t="shared" si="3"/>
        <v>-9.2328967420538966E-3</v>
      </c>
      <c r="F120" s="9">
        <f t="shared" si="4"/>
        <v>-2.7022189384732932E-2</v>
      </c>
      <c r="G120" s="9">
        <f t="shared" si="5"/>
        <v>1.3219425903374583E-2</v>
      </c>
    </row>
    <row r="121" spans="1:7" x14ac:dyDescent="0.2">
      <c r="A121" s="12">
        <v>37312</v>
      </c>
      <c r="B121" s="9">
        <v>1621.98</v>
      </c>
      <c r="C121" s="9">
        <v>1602.04</v>
      </c>
      <c r="D121" s="9">
        <v>1615.35</v>
      </c>
      <c r="E121" s="9">
        <f t="shared" si="3"/>
        <v>6.9264615101752858E-3</v>
      </c>
      <c r="F121" s="9">
        <f t="shared" si="4"/>
        <v>1.0686169659276996E-2</v>
      </c>
      <c r="G121" s="9">
        <f t="shared" si="5"/>
        <v>1.2018416258818221E-2</v>
      </c>
    </row>
    <row r="122" spans="1:7" x14ac:dyDescent="0.2">
      <c r="A122" s="12">
        <v>37313</v>
      </c>
      <c r="B122" s="9">
        <v>1636.44</v>
      </c>
      <c r="C122" s="9">
        <v>1615.35</v>
      </c>
      <c r="D122" s="9">
        <v>1628.99</v>
      </c>
      <c r="E122" s="9">
        <f t="shared" si="3"/>
        <v>8.4085394047828926E-3</v>
      </c>
      <c r="F122" s="9">
        <f t="shared" si="4"/>
        <v>2.7426257996335482E-2</v>
      </c>
      <c r="G122" s="9">
        <f t="shared" si="5"/>
        <v>1.1989721937748001E-2</v>
      </c>
    </row>
    <row r="123" spans="1:7" x14ac:dyDescent="0.2">
      <c r="A123" s="12">
        <v>37314</v>
      </c>
      <c r="B123" s="9">
        <v>1648.03</v>
      </c>
      <c r="C123" s="9">
        <v>1627.84</v>
      </c>
      <c r="D123" s="9">
        <v>1645.17</v>
      </c>
      <c r="E123" s="9">
        <f t="shared" si="3"/>
        <v>9.8835314771673118E-3</v>
      </c>
      <c r="F123" s="9">
        <f t="shared" si="4"/>
        <v>5.4010828823404432E-2</v>
      </c>
      <c r="G123" s="9">
        <f t="shared" si="5"/>
        <v>1.1619607899690337E-2</v>
      </c>
    </row>
    <row r="124" spans="1:7" x14ac:dyDescent="0.2">
      <c r="A124" s="12">
        <v>37315</v>
      </c>
      <c r="B124" s="9">
        <v>1645.87</v>
      </c>
      <c r="C124" s="9">
        <v>1626.53</v>
      </c>
      <c r="D124" s="9">
        <v>1642.58</v>
      </c>
      <c r="E124" s="9">
        <f t="shared" si="3"/>
        <v>-1.5755459118076637E-3</v>
      </c>
      <c r="F124" s="9">
        <f t="shared" si="4"/>
        <v>3.402583823529956E-2</v>
      </c>
      <c r="G124" s="9">
        <f t="shared" si="5"/>
        <v>1.1199853911583599E-2</v>
      </c>
    </row>
    <row r="125" spans="1:7" x14ac:dyDescent="0.2">
      <c r="A125" s="12">
        <v>37316</v>
      </c>
      <c r="B125" s="9">
        <v>1659.94</v>
      </c>
      <c r="C125" s="9">
        <v>1636.7</v>
      </c>
      <c r="D125" s="9">
        <v>1652.88</v>
      </c>
      <c r="E125" s="9">
        <f t="shared" si="3"/>
        <v>6.2510444914102969E-3</v>
      </c>
      <c r="F125" s="9">
        <f t="shared" si="4"/>
        <v>3.7352269568207114E-2</v>
      </c>
      <c r="G125" s="9">
        <f t="shared" si="5"/>
        <v>1.1234602977113433E-2</v>
      </c>
    </row>
    <row r="126" spans="1:7" x14ac:dyDescent="0.2">
      <c r="A126" s="12">
        <v>37319</v>
      </c>
      <c r="B126" s="9">
        <v>1692.04</v>
      </c>
      <c r="C126" s="9">
        <v>1652.88</v>
      </c>
      <c r="D126" s="9">
        <v>1690.53</v>
      </c>
      <c r="E126" s="9">
        <f t="shared" si="3"/>
        <v>2.2522868314851927E-2</v>
      </c>
      <c r="F126" s="9">
        <f t="shared" si="4"/>
        <v>7.7047644946466098E-2</v>
      </c>
      <c r="G126" s="9">
        <f t="shared" si="5"/>
        <v>1.1327850681542441E-2</v>
      </c>
    </row>
    <row r="127" spans="1:7" x14ac:dyDescent="0.2">
      <c r="A127" s="12">
        <v>37320</v>
      </c>
      <c r="B127" s="9">
        <v>1701.64</v>
      </c>
      <c r="C127" s="9">
        <v>1687.3</v>
      </c>
      <c r="D127" s="9">
        <v>1690.46</v>
      </c>
      <c r="E127" s="9">
        <f t="shared" si="3"/>
        <v>-4.1407989973293051E-5</v>
      </c>
      <c r="F127" s="9">
        <f t="shared" si="4"/>
        <v>6.9672968366734644E-2</v>
      </c>
      <c r="G127" s="9">
        <f t="shared" si="5"/>
        <v>1.1300866541294873E-2</v>
      </c>
    </row>
    <row r="128" spans="1:7" x14ac:dyDescent="0.2">
      <c r="A128" s="12">
        <v>37321</v>
      </c>
      <c r="B128" s="9">
        <v>1703.16</v>
      </c>
      <c r="C128" s="9">
        <v>1681.24</v>
      </c>
      <c r="D128" s="9">
        <v>1695.39</v>
      </c>
      <c r="E128" s="9">
        <f t="shared" si="3"/>
        <v>2.9121216143963183E-3</v>
      </c>
      <c r="F128" s="9">
        <f t="shared" si="4"/>
        <v>7.9177499523750347E-2</v>
      </c>
      <c r="G128" s="9">
        <f t="shared" si="5"/>
        <v>1.1174848726893966E-2</v>
      </c>
    </row>
    <row r="129" spans="1:7" x14ac:dyDescent="0.2">
      <c r="A129" s="12">
        <v>37322</v>
      </c>
      <c r="B129" s="9">
        <v>1721.9</v>
      </c>
      <c r="C129" s="9">
        <v>1695.39</v>
      </c>
      <c r="D129" s="9">
        <v>1713.79</v>
      </c>
      <c r="E129" s="9">
        <f t="shared" si="3"/>
        <v>1.0794489387587522E-2</v>
      </c>
      <c r="F129" s="9">
        <f t="shared" si="4"/>
        <v>6.8766164956749046E-2</v>
      </c>
      <c r="G129" s="9">
        <f t="shared" si="5"/>
        <v>1.0731226016145198E-2</v>
      </c>
    </row>
    <row r="130" spans="1:7" x14ac:dyDescent="0.2">
      <c r="A130" s="12">
        <v>37323</v>
      </c>
      <c r="B130" s="9">
        <v>1728.51</v>
      </c>
      <c r="C130" s="9">
        <v>1708.72</v>
      </c>
      <c r="D130" s="9">
        <v>1726.67</v>
      </c>
      <c r="E130" s="9">
        <f t="shared" si="3"/>
        <v>7.4874058540709294E-3</v>
      </c>
      <c r="F130" s="9">
        <f t="shared" si="4"/>
        <v>7.8593953473923922E-2</v>
      </c>
      <c r="G130" s="9">
        <f t="shared" si="5"/>
        <v>1.0734936297288717E-2</v>
      </c>
    </row>
    <row r="131" spans="1:7" x14ac:dyDescent="0.2">
      <c r="A131" s="12">
        <v>37326</v>
      </c>
      <c r="B131" s="9">
        <v>1731.81</v>
      </c>
      <c r="C131" s="9">
        <v>1714.12</v>
      </c>
      <c r="D131" s="9">
        <v>1721.15</v>
      </c>
      <c r="E131" s="9">
        <f t="shared" si="3"/>
        <v>-3.2020260433351091E-3</v>
      </c>
      <c r="F131" s="9">
        <f t="shared" si="4"/>
        <v>7.0704155159335827E-2</v>
      </c>
      <c r="G131" s="9">
        <f t="shared" si="5"/>
        <v>1.0779080989992671E-2</v>
      </c>
    </row>
    <row r="132" spans="1:7" x14ac:dyDescent="0.2">
      <c r="A132" s="12">
        <v>37327</v>
      </c>
      <c r="B132" s="9">
        <v>1721.67</v>
      </c>
      <c r="C132" s="9">
        <v>1698.82</v>
      </c>
      <c r="D132" s="9">
        <v>1700.71</v>
      </c>
      <c r="E132" s="9">
        <f t="shared" ref="E132:E195" si="6">LN(D132/D131)</f>
        <v>-1.1946861129277342E-2</v>
      </c>
      <c r="F132" s="9">
        <f t="shared" si="4"/>
        <v>5.5756177255763761E-2</v>
      </c>
      <c r="G132" s="9">
        <f t="shared" si="5"/>
        <v>1.1089293822202598E-2</v>
      </c>
    </row>
    <row r="133" spans="1:7" x14ac:dyDescent="0.2">
      <c r="A133" s="12">
        <v>37328</v>
      </c>
      <c r="B133" s="9">
        <v>1710.33</v>
      </c>
      <c r="C133" s="9">
        <v>1697.73</v>
      </c>
      <c r="D133" s="9">
        <v>1702.53</v>
      </c>
      <c r="E133" s="9">
        <f t="shared" si="6"/>
        <v>1.0695691009176144E-3</v>
      </c>
      <c r="F133" s="9">
        <f t="shared" si="4"/>
        <v>7.8444405406816381E-2</v>
      </c>
      <c r="G133" s="9">
        <f t="shared" si="5"/>
        <v>1.0168385417217969E-2</v>
      </c>
    </row>
    <row r="134" spans="1:7" x14ac:dyDescent="0.2">
      <c r="A134" s="12">
        <v>37329</v>
      </c>
      <c r="B134" s="9">
        <v>1702.55</v>
      </c>
      <c r="C134" s="9">
        <v>1677.59</v>
      </c>
      <c r="D134" s="9">
        <v>1686.89</v>
      </c>
      <c r="E134" s="9">
        <f t="shared" si="6"/>
        <v>-9.2287830987675887E-3</v>
      </c>
      <c r="F134" s="9">
        <f t="shared" si="4"/>
        <v>5.8442141298692248E-2</v>
      </c>
      <c r="G134" s="9">
        <f t="shared" si="5"/>
        <v>1.0270238843029349E-2</v>
      </c>
    </row>
    <row r="135" spans="1:7" x14ac:dyDescent="0.2">
      <c r="A135" s="12">
        <v>37330</v>
      </c>
      <c r="B135" s="9">
        <v>1689.19</v>
      </c>
      <c r="C135" s="9">
        <v>1678.13</v>
      </c>
      <c r="D135" s="9">
        <v>1679.13</v>
      </c>
      <c r="E135" s="9">
        <f t="shared" si="6"/>
        <v>-4.6107947948966777E-3</v>
      </c>
      <c r="F135" s="9">
        <f t="shared" si="4"/>
        <v>3.6918124741063554E-2</v>
      </c>
      <c r="G135" s="9">
        <f t="shared" si="5"/>
        <v>9.9350938318422764E-3</v>
      </c>
    </row>
    <row r="136" spans="1:7" x14ac:dyDescent="0.2">
      <c r="A136" s="12">
        <v>37333</v>
      </c>
      <c r="B136" s="9">
        <v>1700.14</v>
      </c>
      <c r="C136" s="9">
        <v>1679.13</v>
      </c>
      <c r="D136" s="9">
        <v>1695.08</v>
      </c>
      <c r="E136" s="9">
        <f t="shared" si="6"/>
        <v>9.4541352207680347E-3</v>
      </c>
      <c r="F136" s="9">
        <f t="shared" si="4"/>
        <v>4.8104001350904188E-2</v>
      </c>
      <c r="G136" s="9">
        <f t="shared" si="5"/>
        <v>1.002953701867359E-2</v>
      </c>
    </row>
    <row r="137" spans="1:7" x14ac:dyDescent="0.2">
      <c r="A137" s="12">
        <v>37334</v>
      </c>
      <c r="B137" s="9">
        <v>1696.4</v>
      </c>
      <c r="C137" s="9">
        <v>1680.79</v>
      </c>
      <c r="D137" s="9">
        <v>1684.84</v>
      </c>
      <c r="E137" s="9">
        <f t="shared" si="6"/>
        <v>-6.0593335526051067E-3</v>
      </c>
      <c r="F137" s="9">
        <f t="shared" si="4"/>
        <v>5.6045295434039896E-2</v>
      </c>
      <c r="G137" s="9">
        <f t="shared" si="5"/>
        <v>9.7029774679373952E-3</v>
      </c>
    </row>
    <row r="138" spans="1:7" x14ac:dyDescent="0.2">
      <c r="A138" s="12">
        <v>37335</v>
      </c>
      <c r="B138" s="9">
        <v>1685.24</v>
      </c>
      <c r="C138" s="9">
        <v>1671.96</v>
      </c>
      <c r="D138" s="9">
        <v>1672.35</v>
      </c>
      <c r="E138" s="9">
        <f t="shared" si="6"/>
        <v>-7.4407809065997633E-3</v>
      </c>
      <c r="F138" s="9">
        <f t="shared" si="4"/>
        <v>6.2485637270661372E-2</v>
      </c>
      <c r="G138" s="9">
        <f t="shared" si="5"/>
        <v>9.4093113119960419E-3</v>
      </c>
    </row>
    <row r="139" spans="1:7" x14ac:dyDescent="0.2">
      <c r="A139" s="12">
        <v>37336</v>
      </c>
      <c r="B139" s="9">
        <v>1686.21</v>
      </c>
      <c r="C139" s="9">
        <v>1666.38</v>
      </c>
      <c r="D139" s="9">
        <v>1684.63</v>
      </c>
      <c r="E139" s="9">
        <f t="shared" si="6"/>
        <v>7.316132222817546E-3</v>
      </c>
      <c r="F139" s="9">
        <f t="shared" si="4"/>
        <v>6.2603273236059992E-2</v>
      </c>
      <c r="G139" s="9">
        <f t="shared" si="5"/>
        <v>9.4115409443309411E-3</v>
      </c>
    </row>
    <row r="140" spans="1:7" x14ac:dyDescent="0.2">
      <c r="A140" s="12">
        <v>37337</v>
      </c>
      <c r="B140" s="9">
        <v>1692.5</v>
      </c>
      <c r="C140" s="9">
        <v>1680.09</v>
      </c>
      <c r="D140" s="9">
        <v>1686.32</v>
      </c>
      <c r="E140" s="9">
        <f t="shared" si="6"/>
        <v>1.0026847871314657E-3</v>
      </c>
      <c r="F140" s="9">
        <f t="shared" si="4"/>
        <v>7.3634590728522881E-2</v>
      </c>
      <c r="G140" s="9">
        <f t="shared" si="5"/>
        <v>9.1332507033656442E-3</v>
      </c>
    </row>
    <row r="141" spans="1:7" x14ac:dyDescent="0.2">
      <c r="A141" s="12">
        <v>37340</v>
      </c>
      <c r="B141" s="9">
        <v>1703.74</v>
      </c>
      <c r="C141" s="9">
        <v>1680.4</v>
      </c>
      <c r="D141" s="9">
        <v>1685.39</v>
      </c>
      <c r="E141" s="9">
        <f t="shared" si="6"/>
        <v>-5.5164888058845671E-4</v>
      </c>
      <c r="F141" s="9">
        <f t="shared" si="4"/>
        <v>5.8860637638363571E-2</v>
      </c>
      <c r="G141" s="9">
        <f t="shared" si="5"/>
        <v>8.8714020189024981E-3</v>
      </c>
    </row>
    <row r="142" spans="1:7" x14ac:dyDescent="0.2">
      <c r="A142" s="12">
        <v>37341</v>
      </c>
      <c r="B142" s="9">
        <v>1687.71</v>
      </c>
      <c r="C142" s="9">
        <v>1666.46</v>
      </c>
      <c r="D142" s="9">
        <v>1676.04</v>
      </c>
      <c r="E142" s="9">
        <f t="shared" si="6"/>
        <v>-5.5631229053704932E-3</v>
      </c>
      <c r="F142" s="9">
        <f t="shared" si="4"/>
        <v>4.2307499060678481E-2</v>
      </c>
      <c r="G142" s="9">
        <f t="shared" si="5"/>
        <v>8.8050553749301763E-3</v>
      </c>
    </row>
    <row r="143" spans="1:7" x14ac:dyDescent="0.2">
      <c r="A143" s="12">
        <v>37342</v>
      </c>
      <c r="B143" s="9">
        <v>1679.11</v>
      </c>
      <c r="C143" s="9">
        <v>1666.36</v>
      </c>
      <c r="D143" s="9">
        <v>1678.08</v>
      </c>
      <c r="E143" s="9">
        <f t="shared" si="6"/>
        <v>1.2164145895452675E-3</v>
      </c>
      <c r="F143" s="9">
        <f t="shared" si="4"/>
        <v>3.0752663924386053E-2</v>
      </c>
      <c r="G143" s="9">
        <f t="shared" si="5"/>
        <v>8.5396757334667509E-3</v>
      </c>
    </row>
    <row r="144" spans="1:7" x14ac:dyDescent="0.2">
      <c r="A144" s="12">
        <v>37348</v>
      </c>
      <c r="B144" s="9">
        <v>1690.51</v>
      </c>
      <c r="C144" s="9">
        <v>1676.86</v>
      </c>
      <c r="D144" s="9">
        <v>1683.77</v>
      </c>
      <c r="E144" s="9">
        <f t="shared" si="6"/>
        <v>3.3850442067606687E-3</v>
      </c>
      <c r="F144" s="9">
        <f t="shared" si="4"/>
        <v>1.8969962423207937E-2</v>
      </c>
      <c r="G144" s="9">
        <f t="shared" si="5"/>
        <v>8.1278208837712515E-3</v>
      </c>
    </row>
    <row r="145" spans="1:7" x14ac:dyDescent="0.2">
      <c r="A145" s="12">
        <v>37349</v>
      </c>
      <c r="B145" s="9">
        <v>1688.43</v>
      </c>
      <c r="C145" s="9">
        <v>1671.3</v>
      </c>
      <c r="D145" s="9">
        <v>1687.42</v>
      </c>
      <c r="E145" s="9">
        <f t="shared" si="6"/>
        <v>2.1654083135244336E-3</v>
      </c>
      <c r="F145" s="9">
        <f t="shared" si="4"/>
        <v>1.9121819404739827E-2</v>
      </c>
      <c r="G145" s="9">
        <f t="shared" si="5"/>
        <v>8.1287579843419781E-3</v>
      </c>
    </row>
    <row r="146" spans="1:7" x14ac:dyDescent="0.2">
      <c r="A146" s="12">
        <v>37350</v>
      </c>
      <c r="B146" s="9">
        <v>1687.42</v>
      </c>
      <c r="C146" s="9">
        <v>1664.86</v>
      </c>
      <c r="D146" s="9">
        <v>1673.01</v>
      </c>
      <c r="E146" s="9">
        <f t="shared" si="6"/>
        <v>-8.5763359602387974E-3</v>
      </c>
      <c r="F146" s="9">
        <f t="shared" si="4"/>
        <v>2.1526995873902433E-2</v>
      </c>
      <c r="G146" s="9">
        <f t="shared" si="5"/>
        <v>8.0213626170764288E-3</v>
      </c>
    </row>
    <row r="147" spans="1:7" x14ac:dyDescent="0.2">
      <c r="A147" s="12">
        <v>37351</v>
      </c>
      <c r="B147" s="9">
        <v>1681.19</v>
      </c>
      <c r="C147" s="9">
        <v>1664.39</v>
      </c>
      <c r="D147" s="9">
        <v>1678.57</v>
      </c>
      <c r="E147" s="9">
        <f t="shared" si="6"/>
        <v>3.317841197527714E-3</v>
      </c>
      <c r="F147" s="9">
        <f t="shared" si="4"/>
        <v>3.435627025166052E-2</v>
      </c>
      <c r="G147" s="9">
        <f t="shared" si="5"/>
        <v>7.7960382056160528E-3</v>
      </c>
    </row>
    <row r="148" spans="1:7" x14ac:dyDescent="0.2">
      <c r="A148" s="12">
        <v>37354</v>
      </c>
      <c r="B148" s="9">
        <v>1684.12</v>
      </c>
      <c r="C148" s="9">
        <v>1659.86</v>
      </c>
      <c r="D148" s="9">
        <v>1662.36</v>
      </c>
      <c r="E148" s="9">
        <f t="shared" si="6"/>
        <v>-9.7039609950118517E-3</v>
      </c>
      <c r="F148" s="9">
        <f t="shared" si="4"/>
        <v>3.385052456845284E-2</v>
      </c>
      <c r="G148" s="9">
        <f t="shared" si="5"/>
        <v>7.819687083733878E-3</v>
      </c>
    </row>
    <row r="149" spans="1:7" x14ac:dyDescent="0.2">
      <c r="A149" s="12">
        <v>37355</v>
      </c>
      <c r="B149" s="9">
        <v>1670.58</v>
      </c>
      <c r="C149" s="9">
        <v>1659.99</v>
      </c>
      <c r="D149" s="9">
        <v>1669.37</v>
      </c>
      <c r="E149" s="9">
        <f t="shared" si="6"/>
        <v>4.2080302690429526E-3</v>
      </c>
      <c r="F149" s="9">
        <f t="shared" si="4"/>
        <v>3.0588223051952759E-2</v>
      </c>
      <c r="G149" s="9">
        <f t="shared" si="5"/>
        <v>7.7508322706983102E-3</v>
      </c>
    </row>
    <row r="150" spans="1:7" x14ac:dyDescent="0.2">
      <c r="A150" s="12">
        <v>37356</v>
      </c>
      <c r="B150" s="9">
        <v>1669.37</v>
      </c>
      <c r="C150" s="9">
        <v>1654.38</v>
      </c>
      <c r="D150" s="9">
        <v>1664.94</v>
      </c>
      <c r="E150" s="9">
        <f t="shared" si="6"/>
        <v>-2.6572229976361862E-3</v>
      </c>
      <c r="F150" s="9">
        <f t="shared" si="4"/>
        <v>3.7163896796370416E-2</v>
      </c>
      <c r="G150" s="9">
        <f t="shared" si="5"/>
        <v>7.5410384122648073E-3</v>
      </c>
    </row>
    <row r="151" spans="1:7" x14ac:dyDescent="0.2">
      <c r="A151" s="12">
        <v>37357</v>
      </c>
      <c r="B151" s="9">
        <v>1668.15</v>
      </c>
      <c r="C151" s="9">
        <v>1638.91</v>
      </c>
      <c r="D151" s="9">
        <v>1644.83</v>
      </c>
      <c r="E151" s="9">
        <f t="shared" si="6"/>
        <v>-1.2152051335071834E-2</v>
      </c>
      <c r="F151" s="9">
        <f t="shared" si="4"/>
        <v>1.8085383951123291E-2</v>
      </c>
      <c r="G151" s="9">
        <f t="shared" si="5"/>
        <v>7.8432550334410472E-3</v>
      </c>
    </row>
    <row r="152" spans="1:7" x14ac:dyDescent="0.2">
      <c r="A152" s="12">
        <v>37358</v>
      </c>
      <c r="B152" s="9">
        <v>1645.75</v>
      </c>
      <c r="C152" s="9">
        <v>1632.47</v>
      </c>
      <c r="D152" s="9">
        <v>1642</v>
      </c>
      <c r="E152" s="9">
        <f t="shared" si="6"/>
        <v>-1.7220243817492606E-3</v>
      </c>
      <c r="F152" s="9">
        <f t="shared" si="4"/>
        <v>7.9548201645910192E-3</v>
      </c>
      <c r="G152" s="9">
        <f t="shared" si="5"/>
        <v>7.7125917362487481E-3</v>
      </c>
    </row>
    <row r="153" spans="1:7" x14ac:dyDescent="0.2">
      <c r="A153" s="12">
        <v>37361</v>
      </c>
      <c r="B153" s="9">
        <v>1655.64</v>
      </c>
      <c r="C153" s="9">
        <v>1640.36</v>
      </c>
      <c r="D153" s="9">
        <v>1648.18</v>
      </c>
      <c r="E153" s="9">
        <f t="shared" si="6"/>
        <v>3.7566377935839353E-3</v>
      </c>
      <c r="F153" s="9">
        <f t="shared" si="4"/>
        <v>1.827926481007556E-3</v>
      </c>
      <c r="G153" s="9">
        <f t="shared" si="5"/>
        <v>7.5280260927743413E-3</v>
      </c>
    </row>
    <row r="154" spans="1:7" x14ac:dyDescent="0.2">
      <c r="A154" s="12">
        <v>37362</v>
      </c>
      <c r="B154" s="9">
        <v>1678.56</v>
      </c>
      <c r="C154" s="9">
        <v>1647.42</v>
      </c>
      <c r="D154" s="9">
        <v>1676.58</v>
      </c>
      <c r="E154" s="9">
        <f t="shared" si="6"/>
        <v>1.7084355422915684E-2</v>
      </c>
      <c r="F154" s="9">
        <f t="shared" si="4"/>
        <v>2.0487827815731108E-2</v>
      </c>
      <c r="G154" s="9">
        <f t="shared" si="5"/>
        <v>8.1345933460617581E-3</v>
      </c>
    </row>
    <row r="155" spans="1:7" x14ac:dyDescent="0.2">
      <c r="A155" s="12">
        <v>37363</v>
      </c>
      <c r="B155" s="9">
        <v>1695.97</v>
      </c>
      <c r="C155" s="9">
        <v>1676.58</v>
      </c>
      <c r="D155" s="9">
        <v>1689.08</v>
      </c>
      <c r="E155" s="9">
        <f t="shared" si="6"/>
        <v>7.4279977621402905E-3</v>
      </c>
      <c r="F155" s="9">
        <f t="shared" si="4"/>
        <v>2.1664781086460947E-2</v>
      </c>
      <c r="G155" s="9">
        <f t="shared" si="5"/>
        <v>8.1651541575740276E-3</v>
      </c>
    </row>
    <row r="156" spans="1:7" x14ac:dyDescent="0.2">
      <c r="A156" s="12">
        <v>37364</v>
      </c>
      <c r="B156" s="9">
        <v>1694.78</v>
      </c>
      <c r="C156" s="9">
        <v>1653.57</v>
      </c>
      <c r="D156" s="9">
        <v>1659.74</v>
      </c>
      <c r="E156" s="9">
        <f t="shared" si="6"/>
        <v>-1.7523038413660839E-2</v>
      </c>
      <c r="F156" s="9">
        <f t="shared" si="4"/>
        <v>-1.8381125642051865E-2</v>
      </c>
      <c r="G156" s="9">
        <f t="shared" si="5"/>
        <v>7.740585026893545E-3</v>
      </c>
    </row>
    <row r="157" spans="1:7" x14ac:dyDescent="0.2">
      <c r="A157" s="12">
        <v>37365</v>
      </c>
      <c r="B157" s="9">
        <v>1659.89</v>
      </c>
      <c r="C157" s="9">
        <v>1633.81</v>
      </c>
      <c r="D157" s="9">
        <v>1643.51</v>
      </c>
      <c r="E157" s="9">
        <f t="shared" si="6"/>
        <v>-9.8267649159886564E-3</v>
      </c>
      <c r="F157" s="9">
        <f t="shared" si="4"/>
        <v>-2.816648256806726E-2</v>
      </c>
      <c r="G157" s="9">
        <f t="shared" si="5"/>
        <v>7.9197783891801331E-3</v>
      </c>
    </row>
    <row r="158" spans="1:7" x14ac:dyDescent="0.2">
      <c r="A158" s="12">
        <v>37368</v>
      </c>
      <c r="B158" s="9">
        <v>1643.63</v>
      </c>
      <c r="C158" s="9">
        <v>1618.64</v>
      </c>
      <c r="D158" s="9">
        <v>1620.37</v>
      </c>
      <c r="E158" s="9">
        <f t="shared" si="6"/>
        <v>-1.4179680451387377E-2</v>
      </c>
      <c r="F158" s="9">
        <f t="shared" si="4"/>
        <v>-4.5258284633851051E-2</v>
      </c>
      <c r="G158" s="9">
        <f t="shared" si="5"/>
        <v>8.2414315687299993E-3</v>
      </c>
    </row>
    <row r="159" spans="1:7" x14ac:dyDescent="0.2">
      <c r="A159" s="12">
        <v>37369</v>
      </c>
      <c r="B159" s="9">
        <v>1629.23</v>
      </c>
      <c r="C159" s="9">
        <v>1584.86</v>
      </c>
      <c r="D159" s="9">
        <v>1602.39</v>
      </c>
      <c r="E159" s="9">
        <f t="shared" si="6"/>
        <v>-1.1158253516882414E-2</v>
      </c>
      <c r="F159" s="9">
        <f t="shared" si="4"/>
        <v>-6.7211027538321061E-2</v>
      </c>
      <c r="G159" s="9">
        <f t="shared" si="5"/>
        <v>8.084467707602426E-3</v>
      </c>
    </row>
    <row r="160" spans="1:7" x14ac:dyDescent="0.2">
      <c r="A160" s="12">
        <v>37370</v>
      </c>
      <c r="B160" s="9">
        <v>1605.49</v>
      </c>
      <c r="C160" s="9">
        <v>1579.57</v>
      </c>
      <c r="D160" s="9">
        <v>1582.86</v>
      </c>
      <c r="E160" s="9">
        <f t="shared" si="6"/>
        <v>-1.2262927394610282E-2</v>
      </c>
      <c r="F160" s="9">
        <f t="shared" si="4"/>
        <v>-8.6961360787002284E-2</v>
      </c>
      <c r="G160" s="9">
        <f t="shared" si="5"/>
        <v>8.069139877033768E-3</v>
      </c>
    </row>
    <row r="161" spans="1:7" x14ac:dyDescent="0.2">
      <c r="A161" s="12">
        <v>37371</v>
      </c>
      <c r="B161" s="9">
        <v>1594.49</v>
      </c>
      <c r="C161" s="9">
        <v>1537.86</v>
      </c>
      <c r="D161" s="9">
        <v>1560.99</v>
      </c>
      <c r="E161" s="9">
        <f t="shared" si="6"/>
        <v>-1.3913101953475207E-2</v>
      </c>
      <c r="F161" s="9">
        <f t="shared" ref="F161:F224" si="7">LN(D161/D131)</f>
        <v>-9.7672436697142484E-2</v>
      </c>
      <c r="G161" s="9">
        <f t="shared" ref="G161:G224" si="8">STDEV(E132:E161)</f>
        <v>8.3162078562388376E-3</v>
      </c>
    </row>
    <row r="162" spans="1:7" x14ac:dyDescent="0.2">
      <c r="A162" s="12">
        <v>37372</v>
      </c>
      <c r="B162" s="9">
        <v>1591.82</v>
      </c>
      <c r="C162" s="9">
        <v>1560.99</v>
      </c>
      <c r="D162" s="9">
        <v>1587.38</v>
      </c>
      <c r="E162" s="9">
        <f t="shared" si="6"/>
        <v>1.676462301354735E-2</v>
      </c>
      <c r="F162" s="9">
        <f t="shared" si="7"/>
        <v>-6.8960952554317792E-2</v>
      </c>
      <c r="G162" s="9">
        <f t="shared" si="8"/>
        <v>8.9122572921177864E-3</v>
      </c>
    </row>
    <row r="163" spans="1:7" x14ac:dyDescent="0.2">
      <c r="A163" s="12">
        <v>37375</v>
      </c>
      <c r="B163" s="9">
        <v>1587.74</v>
      </c>
      <c r="C163" s="9">
        <v>1565.19</v>
      </c>
      <c r="D163" s="9">
        <v>1584.58</v>
      </c>
      <c r="E163" s="9">
        <f t="shared" si="6"/>
        <v>-1.7654703888280486E-3</v>
      </c>
      <c r="F163" s="9">
        <f t="shared" si="7"/>
        <v>-7.1795992044063298E-2</v>
      </c>
      <c r="G163" s="9">
        <f t="shared" si="8"/>
        <v>8.890313912211293E-3</v>
      </c>
    </row>
    <row r="164" spans="1:7" x14ac:dyDescent="0.2">
      <c r="A164" s="12">
        <v>37376</v>
      </c>
      <c r="B164" s="9">
        <v>1586.83</v>
      </c>
      <c r="C164" s="9">
        <v>1571.51</v>
      </c>
      <c r="D164" s="9">
        <v>1576.74</v>
      </c>
      <c r="E164" s="9">
        <f t="shared" si="6"/>
        <v>-4.9599636055841943E-3</v>
      </c>
      <c r="F164" s="9">
        <f t="shared" si="7"/>
        <v>-6.7527172550879921E-2</v>
      </c>
      <c r="G164" s="9">
        <f t="shared" si="8"/>
        <v>8.8109422796137267E-3</v>
      </c>
    </row>
    <row r="165" spans="1:7" x14ac:dyDescent="0.2">
      <c r="A165" s="12">
        <v>37378</v>
      </c>
      <c r="B165" s="9">
        <v>1600.03</v>
      </c>
      <c r="C165" s="9">
        <v>1576.74</v>
      </c>
      <c r="D165" s="9">
        <v>1598.45</v>
      </c>
      <c r="E165" s="9">
        <f t="shared" si="6"/>
        <v>1.3674985322177535E-2</v>
      </c>
      <c r="F165" s="9">
        <f t="shared" si="7"/>
        <v>-4.9241392433805799E-2</v>
      </c>
      <c r="G165" s="9">
        <f t="shared" si="8"/>
        <v>9.2629549234525942E-3</v>
      </c>
    </row>
    <row r="166" spans="1:7" x14ac:dyDescent="0.2">
      <c r="A166" s="12">
        <v>37379</v>
      </c>
      <c r="B166" s="9">
        <v>1598.89</v>
      </c>
      <c r="C166" s="9">
        <v>1565.89</v>
      </c>
      <c r="D166" s="9">
        <v>1570.93</v>
      </c>
      <c r="E166" s="9">
        <f t="shared" si="6"/>
        <v>-1.7366609030039701E-2</v>
      </c>
      <c r="F166" s="9">
        <f t="shared" si="7"/>
        <v>-7.6062136684613452E-2</v>
      </c>
      <c r="G166" s="9">
        <f t="shared" si="8"/>
        <v>9.4476080832139112E-3</v>
      </c>
    </row>
    <row r="167" spans="1:7" x14ac:dyDescent="0.2">
      <c r="A167" s="12">
        <v>37382</v>
      </c>
      <c r="B167" s="9">
        <v>1572.29</v>
      </c>
      <c r="C167" s="9">
        <v>1553.82</v>
      </c>
      <c r="D167" s="9">
        <v>1557.93</v>
      </c>
      <c r="E167" s="9">
        <f t="shared" si="6"/>
        <v>-8.309783631605918E-3</v>
      </c>
      <c r="F167" s="9">
        <f t="shared" si="7"/>
        <v>-7.8312586763614203E-2</v>
      </c>
      <c r="G167" s="9">
        <f t="shared" si="8"/>
        <v>9.4854120608194644E-3</v>
      </c>
    </row>
    <row r="168" spans="1:7" x14ac:dyDescent="0.2">
      <c r="A168" s="12">
        <v>37383</v>
      </c>
      <c r="B168" s="9">
        <v>1561.09</v>
      </c>
      <c r="C168" s="9">
        <v>1531.53</v>
      </c>
      <c r="D168" s="9">
        <v>1557.47</v>
      </c>
      <c r="E168" s="9">
        <f t="shared" si="6"/>
        <v>-2.9530718581430261E-4</v>
      </c>
      <c r="F168" s="9">
        <f t="shared" si="7"/>
        <v>-7.11671130428288E-2</v>
      </c>
      <c r="G168" s="9">
        <f t="shared" si="8"/>
        <v>9.4495824483593234E-3</v>
      </c>
    </row>
    <row r="169" spans="1:7" x14ac:dyDescent="0.2">
      <c r="A169" s="12">
        <v>37384</v>
      </c>
      <c r="B169" s="9">
        <v>1598.17</v>
      </c>
      <c r="C169" s="9">
        <v>1557.05</v>
      </c>
      <c r="D169" s="9">
        <v>1595.53</v>
      </c>
      <c r="E169" s="9">
        <f t="shared" si="6"/>
        <v>2.4143259585773489E-2</v>
      </c>
      <c r="F169" s="9">
        <f t="shared" si="7"/>
        <v>-5.4339985679872811E-2</v>
      </c>
      <c r="G169" s="9">
        <f t="shared" si="8"/>
        <v>1.0486957913706305E-2</v>
      </c>
    </row>
    <row r="170" spans="1:7" x14ac:dyDescent="0.2">
      <c r="A170" s="12">
        <v>37386</v>
      </c>
      <c r="B170" s="9">
        <v>1595.76</v>
      </c>
      <c r="C170" s="9">
        <v>1571.52</v>
      </c>
      <c r="D170" s="9">
        <v>1578.7</v>
      </c>
      <c r="E170" s="9">
        <f t="shared" si="6"/>
        <v>-1.0604245886953759E-2</v>
      </c>
      <c r="F170" s="9">
        <f t="shared" si="7"/>
        <v>-6.5946916353958038E-2</v>
      </c>
      <c r="G170" s="9">
        <f t="shared" si="8"/>
        <v>1.0593130877504053E-2</v>
      </c>
    </row>
    <row r="171" spans="1:7" x14ac:dyDescent="0.2">
      <c r="A171" s="12">
        <v>37389</v>
      </c>
      <c r="B171" s="9">
        <v>1588.76</v>
      </c>
      <c r="C171" s="9">
        <v>1568.79</v>
      </c>
      <c r="D171" s="9">
        <v>1586.39</v>
      </c>
      <c r="E171" s="9">
        <f t="shared" si="6"/>
        <v>4.8592710676037803E-3</v>
      </c>
      <c r="F171" s="9">
        <f t="shared" si="7"/>
        <v>-6.0535996405765895E-2</v>
      </c>
      <c r="G171" s="9">
        <f t="shared" si="8"/>
        <v>1.0667933572530097E-2</v>
      </c>
    </row>
    <row r="172" spans="1:7" x14ac:dyDescent="0.2">
      <c r="A172" s="12">
        <v>37390</v>
      </c>
      <c r="B172" s="9">
        <v>1612.5</v>
      </c>
      <c r="C172" s="9">
        <v>1585.69</v>
      </c>
      <c r="D172" s="9">
        <v>1610.59</v>
      </c>
      <c r="E172" s="9">
        <f t="shared" si="6"/>
        <v>1.5139576870623304E-2</v>
      </c>
      <c r="F172" s="9">
        <f t="shared" si="7"/>
        <v>-3.9833296629771933E-2</v>
      </c>
      <c r="G172" s="9">
        <f t="shared" si="8"/>
        <v>1.1091876012109404E-2</v>
      </c>
    </row>
    <row r="173" spans="1:7" x14ac:dyDescent="0.2">
      <c r="A173" s="12">
        <v>37391</v>
      </c>
      <c r="B173" s="9">
        <v>1628.45</v>
      </c>
      <c r="C173" s="9">
        <v>1609.89</v>
      </c>
      <c r="D173" s="9">
        <v>1616.01</v>
      </c>
      <c r="E173" s="9">
        <f t="shared" si="6"/>
        <v>3.3595767047978576E-3</v>
      </c>
      <c r="F173" s="9">
        <f t="shared" si="7"/>
        <v>-3.7690134514519386E-2</v>
      </c>
      <c r="G173" s="9">
        <f t="shared" si="8"/>
        <v>1.1115703334156598E-2</v>
      </c>
    </row>
    <row r="174" spans="1:7" x14ac:dyDescent="0.2">
      <c r="A174" s="12">
        <v>37392</v>
      </c>
      <c r="B174" s="9">
        <v>1616.93</v>
      </c>
      <c r="C174" s="9">
        <v>1598.84</v>
      </c>
      <c r="D174" s="9">
        <v>1605.5</v>
      </c>
      <c r="E174" s="9">
        <f t="shared" si="6"/>
        <v>-6.5249136511376267E-3</v>
      </c>
      <c r="F174" s="9">
        <f t="shared" si="7"/>
        <v>-4.7600092372417649E-2</v>
      </c>
      <c r="G174" s="9">
        <f t="shared" si="8"/>
        <v>1.1120265511763672E-2</v>
      </c>
    </row>
    <row r="175" spans="1:7" x14ac:dyDescent="0.2">
      <c r="A175" s="12">
        <v>37393</v>
      </c>
      <c r="B175" s="9">
        <v>1620.89</v>
      </c>
      <c r="C175" s="9">
        <v>1602.01</v>
      </c>
      <c r="D175" s="9">
        <v>1603.37</v>
      </c>
      <c r="E175" s="9">
        <f t="shared" si="6"/>
        <v>-1.3275703364945589E-3</v>
      </c>
      <c r="F175" s="9">
        <f t="shared" si="7"/>
        <v>-5.1093071022436917E-2</v>
      </c>
      <c r="G175" s="9">
        <f t="shared" si="8"/>
        <v>1.1097889194441364E-2</v>
      </c>
    </row>
    <row r="176" spans="1:7" x14ac:dyDescent="0.2">
      <c r="A176" s="12">
        <v>37396</v>
      </c>
      <c r="B176" s="9">
        <v>1608.07</v>
      </c>
      <c r="C176" s="9">
        <v>1591.3</v>
      </c>
      <c r="D176" s="9">
        <v>1592.07</v>
      </c>
      <c r="E176" s="9">
        <f t="shared" si="6"/>
        <v>-7.0726079061449324E-3</v>
      </c>
      <c r="F176" s="9">
        <f t="shared" si="7"/>
        <v>-4.9589342968343018E-2</v>
      </c>
      <c r="G176" s="9">
        <f t="shared" si="8"/>
        <v>1.1069133955206863E-2</v>
      </c>
    </row>
    <row r="177" spans="1:7" x14ac:dyDescent="0.2">
      <c r="A177" s="12">
        <v>37397</v>
      </c>
      <c r="B177" s="9">
        <v>1600.08</v>
      </c>
      <c r="C177" s="9">
        <v>1571.31</v>
      </c>
      <c r="D177" s="9">
        <v>1578.41</v>
      </c>
      <c r="E177" s="9">
        <f t="shared" si="6"/>
        <v>-8.6170450689425273E-3</v>
      </c>
      <c r="F177" s="9">
        <f t="shared" si="7"/>
        <v>-6.1524229234813162E-2</v>
      </c>
      <c r="G177" s="9">
        <f t="shared" si="8"/>
        <v>1.109875296346355E-2</v>
      </c>
    </row>
    <row r="178" spans="1:7" x14ac:dyDescent="0.2">
      <c r="A178" s="12">
        <v>37398</v>
      </c>
      <c r="B178" s="9">
        <v>1578.41</v>
      </c>
      <c r="C178" s="9">
        <v>1547.77</v>
      </c>
      <c r="D178" s="9">
        <v>1552.45</v>
      </c>
      <c r="E178" s="9">
        <f t="shared" si="6"/>
        <v>-1.6583683048143508E-2</v>
      </c>
      <c r="F178" s="9">
        <f t="shared" si="7"/>
        <v>-6.8403951287944922E-2</v>
      </c>
      <c r="G178" s="9">
        <f t="shared" si="8"/>
        <v>1.1330981678964914E-2</v>
      </c>
    </row>
    <row r="179" spans="1:7" x14ac:dyDescent="0.2">
      <c r="A179" s="12">
        <v>37399</v>
      </c>
      <c r="B179" s="9">
        <v>1558.98</v>
      </c>
      <c r="C179" s="9">
        <v>1539.38</v>
      </c>
      <c r="D179" s="9">
        <v>1558.67</v>
      </c>
      <c r="E179" s="9">
        <f t="shared" si="6"/>
        <v>3.998565331702412E-3</v>
      </c>
      <c r="F179" s="9">
        <f t="shared" si="7"/>
        <v>-6.8613416225285315E-2</v>
      </c>
      <c r="G179" s="9">
        <f t="shared" si="8"/>
        <v>1.1326909607775522E-2</v>
      </c>
    </row>
    <row r="180" spans="1:7" x14ac:dyDescent="0.2">
      <c r="A180" s="12">
        <v>37400</v>
      </c>
      <c r="B180" s="9">
        <v>1563.05</v>
      </c>
      <c r="C180" s="9">
        <v>1552.58</v>
      </c>
      <c r="D180" s="9">
        <v>1561.39</v>
      </c>
      <c r="E180" s="9">
        <f t="shared" si="6"/>
        <v>1.7435566553620043E-3</v>
      </c>
      <c r="F180" s="9">
        <f t="shared" si="7"/>
        <v>-6.4212636572287096E-2</v>
      </c>
      <c r="G180" s="9">
        <f t="shared" si="8"/>
        <v>1.1350423535651414E-2</v>
      </c>
    </row>
    <row r="181" spans="1:7" x14ac:dyDescent="0.2">
      <c r="A181" s="12">
        <v>37403</v>
      </c>
      <c r="B181" s="9">
        <v>1564.63</v>
      </c>
      <c r="C181" s="9">
        <v>1551.12</v>
      </c>
      <c r="D181" s="9">
        <v>1552.59</v>
      </c>
      <c r="E181" s="9">
        <f t="shared" si="6"/>
        <v>-5.6519460150353225E-3</v>
      </c>
      <c r="F181" s="9">
        <f t="shared" si="7"/>
        <v>-5.7712531252250565E-2</v>
      </c>
      <c r="G181" s="9">
        <f t="shared" si="8"/>
        <v>1.1213939921861043E-2</v>
      </c>
    </row>
    <row r="182" spans="1:7" x14ac:dyDescent="0.2">
      <c r="A182" s="12">
        <v>37404</v>
      </c>
      <c r="B182" s="9">
        <v>1567.77</v>
      </c>
      <c r="C182" s="9">
        <v>1548.52</v>
      </c>
      <c r="D182" s="9">
        <v>1554.25</v>
      </c>
      <c r="E182" s="9">
        <f t="shared" si="6"/>
        <v>1.0686100075746996E-3</v>
      </c>
      <c r="F182" s="9">
        <f t="shared" si="7"/>
        <v>-5.4921896862926617E-2</v>
      </c>
      <c r="G182" s="9">
        <f t="shared" si="8"/>
        <v>1.1227237433959343E-2</v>
      </c>
    </row>
    <row r="183" spans="1:7" x14ac:dyDescent="0.2">
      <c r="A183" s="12">
        <v>37405</v>
      </c>
      <c r="B183" s="9">
        <v>1558.56</v>
      </c>
      <c r="C183" s="9">
        <v>1538.91</v>
      </c>
      <c r="D183" s="9">
        <v>1540.07</v>
      </c>
      <c r="E183" s="9">
        <f t="shared" si="6"/>
        <v>-9.1652442293440866E-3</v>
      </c>
      <c r="F183" s="9">
        <f t="shared" si="7"/>
        <v>-6.7843778885854647E-2</v>
      </c>
      <c r="G183" s="9">
        <f t="shared" si="8"/>
        <v>1.125332983652347E-2</v>
      </c>
    </row>
    <row r="184" spans="1:7" x14ac:dyDescent="0.2">
      <c r="A184" s="12">
        <v>37406</v>
      </c>
      <c r="B184" s="9">
        <v>1540.07</v>
      </c>
      <c r="C184" s="9">
        <v>1517.36</v>
      </c>
      <c r="D184" s="9">
        <v>1525.85</v>
      </c>
      <c r="E184" s="9">
        <f t="shared" si="6"/>
        <v>-9.2762381063021988E-3</v>
      </c>
      <c r="F184" s="9">
        <f t="shared" si="7"/>
        <v>-9.4204372415072679E-2</v>
      </c>
      <c r="G184" s="9">
        <f t="shared" si="8"/>
        <v>1.0706539120319295E-2</v>
      </c>
    </row>
    <row r="185" spans="1:7" x14ac:dyDescent="0.2">
      <c r="A185" s="12">
        <v>37407</v>
      </c>
      <c r="B185" s="9">
        <v>1538.57</v>
      </c>
      <c r="C185" s="9">
        <v>1521.02</v>
      </c>
      <c r="D185" s="9">
        <v>1538.57</v>
      </c>
      <c r="E185" s="9">
        <f t="shared" si="6"/>
        <v>8.301781775782462E-3</v>
      </c>
      <c r="F185" s="9">
        <f t="shared" si="7"/>
        <v>-9.3330588401430423E-2</v>
      </c>
      <c r="G185" s="9">
        <f t="shared" si="8"/>
        <v>1.0737424105741068E-2</v>
      </c>
    </row>
    <row r="186" spans="1:7" x14ac:dyDescent="0.2">
      <c r="A186" s="12">
        <v>37410</v>
      </c>
      <c r="B186" s="9">
        <v>1540.21</v>
      </c>
      <c r="C186" s="9">
        <v>1519.38</v>
      </c>
      <c r="D186" s="9">
        <v>1529.13</v>
      </c>
      <c r="E186" s="9">
        <f t="shared" si="6"/>
        <v>-6.1544673839835449E-3</v>
      </c>
      <c r="F186" s="9">
        <f t="shared" si="7"/>
        <v>-8.1962017371753182E-2</v>
      </c>
      <c r="G186" s="9">
        <f t="shared" si="8"/>
        <v>1.0406768616185925E-2</v>
      </c>
    </row>
    <row r="187" spans="1:7" x14ac:dyDescent="0.2">
      <c r="A187" s="12">
        <v>37411</v>
      </c>
      <c r="B187" s="9">
        <v>1529.13</v>
      </c>
      <c r="C187" s="9">
        <v>1497.4</v>
      </c>
      <c r="D187" s="9">
        <v>1502.8</v>
      </c>
      <c r="E187" s="9">
        <f t="shared" si="6"/>
        <v>-1.7368911505785786E-2</v>
      </c>
      <c r="F187" s="9">
        <f t="shared" si="7"/>
        <v>-8.9504163961550226E-2</v>
      </c>
      <c r="G187" s="9">
        <f t="shared" si="8"/>
        <v>1.0671797347648258E-2</v>
      </c>
    </row>
    <row r="188" spans="1:7" x14ac:dyDescent="0.2">
      <c r="A188" s="12">
        <v>37412</v>
      </c>
      <c r="B188" s="9">
        <v>1519.58</v>
      </c>
      <c r="C188" s="9">
        <v>1501.2</v>
      </c>
      <c r="D188" s="9">
        <v>1518.95</v>
      </c>
      <c r="E188" s="9">
        <f t="shared" si="6"/>
        <v>1.0689271961839258E-2</v>
      </c>
      <c r="F188" s="9">
        <f t="shared" si="7"/>
        <v>-6.463521154832344E-2</v>
      </c>
      <c r="G188" s="9">
        <f t="shared" si="8"/>
        <v>1.0737789950223104E-2</v>
      </c>
    </row>
    <row r="189" spans="1:7" x14ac:dyDescent="0.2">
      <c r="A189" s="12">
        <v>37413</v>
      </c>
      <c r="B189" s="9">
        <v>1526.53</v>
      </c>
      <c r="C189" s="9">
        <v>1510.13</v>
      </c>
      <c r="D189" s="9">
        <v>1512.65</v>
      </c>
      <c r="E189" s="9">
        <f t="shared" si="6"/>
        <v>-4.1562271203093694E-3</v>
      </c>
      <c r="F189" s="9">
        <f t="shared" si="7"/>
        <v>-5.7633185151750428E-2</v>
      </c>
      <c r="G189" s="9">
        <f t="shared" si="8"/>
        <v>1.0610679413943185E-2</v>
      </c>
    </row>
    <row r="190" spans="1:7" x14ac:dyDescent="0.2">
      <c r="A190" s="12">
        <v>37414</v>
      </c>
      <c r="B190" s="9">
        <v>1512.65</v>
      </c>
      <c r="C190" s="9">
        <v>1471.03</v>
      </c>
      <c r="D190" s="9">
        <v>1477.99</v>
      </c>
      <c r="E190" s="9">
        <f t="shared" si="6"/>
        <v>-2.3180022955950258E-2</v>
      </c>
      <c r="F190" s="9">
        <f t="shared" si="7"/>
        <v>-6.8550280713090397E-2</v>
      </c>
      <c r="G190" s="9">
        <f t="shared" si="8"/>
        <v>1.1151039107173234E-2</v>
      </c>
    </row>
    <row r="191" spans="1:7" x14ac:dyDescent="0.2">
      <c r="A191" s="12">
        <v>37417</v>
      </c>
      <c r="B191" s="9">
        <v>1491.87</v>
      </c>
      <c r="C191" s="9">
        <v>1475.08</v>
      </c>
      <c r="D191" s="9">
        <v>1487.72</v>
      </c>
      <c r="E191" s="9">
        <f t="shared" si="6"/>
        <v>6.5616900580526844E-3</v>
      </c>
      <c r="F191" s="9">
        <f t="shared" si="7"/>
        <v>-4.8075488701562384E-2</v>
      </c>
      <c r="G191" s="9">
        <f t="shared" si="8"/>
        <v>1.10408366928021E-2</v>
      </c>
    </row>
    <row r="192" spans="1:7" x14ac:dyDescent="0.2">
      <c r="A192" s="12">
        <v>37418</v>
      </c>
      <c r="B192" s="9">
        <v>1510.21</v>
      </c>
      <c r="C192" s="9">
        <v>1473.19</v>
      </c>
      <c r="D192" s="9">
        <v>1508.68</v>
      </c>
      <c r="E192" s="9">
        <f t="shared" si="6"/>
        <v>1.3990349668768205E-2</v>
      </c>
      <c r="F192" s="9">
        <f t="shared" si="7"/>
        <v>-5.0849762046341437E-2</v>
      </c>
      <c r="G192" s="9">
        <f t="shared" si="8"/>
        <v>1.0892311874171261E-2</v>
      </c>
    </row>
    <row r="193" spans="1:7" x14ac:dyDescent="0.2">
      <c r="A193" s="12">
        <v>37419</v>
      </c>
      <c r="B193" s="9">
        <v>1508.68</v>
      </c>
      <c r="C193" s="9">
        <v>1476.11</v>
      </c>
      <c r="D193" s="9">
        <v>1481.47</v>
      </c>
      <c r="E193" s="9">
        <f t="shared" si="6"/>
        <v>-1.8200258250501637E-2</v>
      </c>
      <c r="F193" s="9">
        <f t="shared" si="7"/>
        <v>-6.7284549908015093E-2</v>
      </c>
      <c r="G193" s="9">
        <f t="shared" si="8"/>
        <v>1.130158169753364E-2</v>
      </c>
    </row>
    <row r="194" spans="1:7" x14ac:dyDescent="0.2">
      <c r="A194" s="12">
        <v>37420</v>
      </c>
      <c r="B194" s="9">
        <v>1497.76</v>
      </c>
      <c r="C194" s="9">
        <v>1473.57</v>
      </c>
      <c r="D194" s="9">
        <v>1476.34</v>
      </c>
      <c r="E194" s="9">
        <f t="shared" si="6"/>
        <v>-3.4687861247903132E-3</v>
      </c>
      <c r="F194" s="9">
        <f t="shared" si="7"/>
        <v>-6.579337242722115E-2</v>
      </c>
      <c r="G194" s="9">
        <f t="shared" si="8"/>
        <v>1.12924947846181E-2</v>
      </c>
    </row>
    <row r="195" spans="1:7" x14ac:dyDescent="0.2">
      <c r="A195" s="12">
        <v>37421</v>
      </c>
      <c r="B195" s="9">
        <v>1477.25</v>
      </c>
      <c r="C195" s="9">
        <v>1435.7</v>
      </c>
      <c r="D195" s="9">
        <v>1455.09</v>
      </c>
      <c r="E195" s="9">
        <f t="shared" si="6"/>
        <v>-1.4498297574209678E-2</v>
      </c>
      <c r="F195" s="9">
        <f t="shared" si="7"/>
        <v>-9.3966655323608428E-2</v>
      </c>
      <c r="G195" s="9">
        <f t="shared" si="8"/>
        <v>1.1097150885930473E-2</v>
      </c>
    </row>
    <row r="196" spans="1:7" x14ac:dyDescent="0.2">
      <c r="A196" s="12">
        <v>37424</v>
      </c>
      <c r="B196" s="9">
        <v>1481.26</v>
      </c>
      <c r="C196" s="9">
        <v>1455.09</v>
      </c>
      <c r="D196" s="9">
        <v>1479.81</v>
      </c>
      <c r="E196" s="9">
        <f t="shared" ref="E196:E259" si="9">LN(D196/D195)</f>
        <v>1.6845946775860158E-2</v>
      </c>
      <c r="F196" s="9">
        <f t="shared" si="7"/>
        <v>-5.9754099517708617E-2</v>
      </c>
      <c r="G196" s="9">
        <f t="shared" si="8"/>
        <v>1.1339203867518775E-2</v>
      </c>
    </row>
    <row r="197" spans="1:7" x14ac:dyDescent="0.2">
      <c r="A197" s="12">
        <v>37425</v>
      </c>
      <c r="B197" s="9">
        <v>1491.2</v>
      </c>
      <c r="C197" s="9">
        <v>1479.81</v>
      </c>
      <c r="D197" s="9">
        <v>1490.55</v>
      </c>
      <c r="E197" s="9">
        <f t="shared" si="9"/>
        <v>7.2314782069089981E-3</v>
      </c>
      <c r="F197" s="9">
        <f t="shared" si="7"/>
        <v>-4.4212837679193623E-2</v>
      </c>
      <c r="G197" s="9">
        <f t="shared" si="8"/>
        <v>1.1395476727600377E-2</v>
      </c>
    </row>
    <row r="198" spans="1:7" x14ac:dyDescent="0.2">
      <c r="A198" s="12">
        <v>37426</v>
      </c>
      <c r="B198" s="9">
        <v>1490.8</v>
      </c>
      <c r="C198" s="9">
        <v>1455.26</v>
      </c>
      <c r="D198" s="9">
        <v>1458.61</v>
      </c>
      <c r="E198" s="9">
        <f t="shared" si="9"/>
        <v>-2.1661251929642054E-2</v>
      </c>
      <c r="F198" s="9">
        <f t="shared" si="7"/>
        <v>-6.5578782423021439E-2</v>
      </c>
      <c r="G198" s="9">
        <f t="shared" si="8"/>
        <v>1.1972351834236963E-2</v>
      </c>
    </row>
    <row r="199" spans="1:7" x14ac:dyDescent="0.2">
      <c r="A199" s="12">
        <v>37427</v>
      </c>
      <c r="B199" s="9">
        <v>1466.4</v>
      </c>
      <c r="C199" s="9">
        <v>1424.42</v>
      </c>
      <c r="D199" s="9">
        <v>1425.76</v>
      </c>
      <c r="E199" s="9">
        <f t="shared" si="9"/>
        <v>-2.2778922551430301E-2</v>
      </c>
      <c r="F199" s="9">
        <f t="shared" si="7"/>
        <v>-0.11250096456022524</v>
      </c>
      <c r="G199" s="9">
        <f t="shared" si="8"/>
        <v>1.1468445008667581E-2</v>
      </c>
    </row>
    <row r="200" spans="1:7" x14ac:dyDescent="0.2">
      <c r="A200" s="12">
        <v>37431</v>
      </c>
      <c r="B200" s="9">
        <v>1432.87</v>
      </c>
      <c r="C200" s="9">
        <v>1389</v>
      </c>
      <c r="D200" s="9">
        <v>1394.14</v>
      </c>
      <c r="E200" s="9">
        <f t="shared" si="9"/>
        <v>-2.2427267170668206E-2</v>
      </c>
      <c r="F200" s="9">
        <f t="shared" si="7"/>
        <v>-0.12432398584393969</v>
      </c>
      <c r="G200" s="9">
        <f t="shared" si="8"/>
        <v>1.1906867183341429E-2</v>
      </c>
    </row>
    <row r="201" spans="1:7" x14ac:dyDescent="0.2">
      <c r="A201" s="12">
        <v>37432</v>
      </c>
      <c r="B201" s="9">
        <v>1416.68</v>
      </c>
      <c r="C201" s="9">
        <v>1393.21</v>
      </c>
      <c r="D201" s="9">
        <v>1406.69</v>
      </c>
      <c r="E201" s="9">
        <f t="shared" si="9"/>
        <v>8.9616892083574477E-3</v>
      </c>
      <c r="F201" s="9">
        <f t="shared" si="7"/>
        <v>-0.12022156770318596</v>
      </c>
      <c r="G201" s="9">
        <f t="shared" si="8"/>
        <v>1.2036684434160673E-2</v>
      </c>
    </row>
    <row r="202" spans="1:7" x14ac:dyDescent="0.2">
      <c r="A202" s="12">
        <v>37433</v>
      </c>
      <c r="B202" s="9">
        <v>1406.69</v>
      </c>
      <c r="C202" s="9">
        <v>1358.3</v>
      </c>
      <c r="D202" s="9">
        <v>1385.23</v>
      </c>
      <c r="E202" s="9">
        <f t="shared" si="9"/>
        <v>-1.5373236085973387E-2</v>
      </c>
      <c r="F202" s="9">
        <f t="shared" si="7"/>
        <v>-0.15073438065978273</v>
      </c>
      <c r="G202" s="9">
        <f t="shared" si="8"/>
        <v>1.1645797506135962E-2</v>
      </c>
    </row>
    <row r="203" spans="1:7" x14ac:dyDescent="0.2">
      <c r="A203" s="12">
        <v>37434</v>
      </c>
      <c r="B203" s="9">
        <v>1427.01</v>
      </c>
      <c r="C203" s="9">
        <v>1385.23</v>
      </c>
      <c r="D203" s="9">
        <v>1412.99</v>
      </c>
      <c r="E203" s="9">
        <f t="shared" si="9"/>
        <v>1.9841835702523628E-2</v>
      </c>
      <c r="F203" s="9">
        <f t="shared" si="7"/>
        <v>-0.13425212166205694</v>
      </c>
      <c r="G203" s="9">
        <f t="shared" si="8"/>
        <v>1.2418144567126792E-2</v>
      </c>
    </row>
    <row r="204" spans="1:7" x14ac:dyDescent="0.2">
      <c r="A204" s="12">
        <v>37435</v>
      </c>
      <c r="B204" s="9">
        <v>1446.89</v>
      </c>
      <c r="C204" s="9">
        <v>1412.99</v>
      </c>
      <c r="D204" s="9">
        <v>1444.91</v>
      </c>
      <c r="E204" s="9">
        <f t="shared" si="9"/>
        <v>2.2339009351146653E-2</v>
      </c>
      <c r="F204" s="9">
        <f t="shared" si="7"/>
        <v>-0.10538819865977271</v>
      </c>
      <c r="G204" s="9">
        <f t="shared" si="8"/>
        <v>1.3337943394667541E-2</v>
      </c>
    </row>
    <row r="205" spans="1:7" x14ac:dyDescent="0.2">
      <c r="A205" s="12">
        <v>37438</v>
      </c>
      <c r="B205" s="9">
        <v>1469.38</v>
      </c>
      <c r="C205" s="9">
        <v>1435.15</v>
      </c>
      <c r="D205" s="9">
        <v>1457.81</v>
      </c>
      <c r="E205" s="9">
        <f t="shared" si="9"/>
        <v>8.8882737063189863E-3</v>
      </c>
      <c r="F205" s="9">
        <f t="shared" si="7"/>
        <v>-9.5172354616959026E-2</v>
      </c>
      <c r="G205" s="9">
        <f t="shared" si="8"/>
        <v>1.3524762428374647E-2</v>
      </c>
    </row>
    <row r="206" spans="1:7" x14ac:dyDescent="0.2">
      <c r="A206" s="12">
        <v>37439</v>
      </c>
      <c r="B206" s="9">
        <v>1457.81</v>
      </c>
      <c r="C206" s="9">
        <v>1428.25</v>
      </c>
      <c r="D206" s="9">
        <v>1439.53</v>
      </c>
      <c r="E206" s="9">
        <f t="shared" si="9"/>
        <v>-1.2618638171403768E-2</v>
      </c>
      <c r="F206" s="9">
        <f t="shared" si="7"/>
        <v>-0.10071838488221785</v>
      </c>
      <c r="G206" s="9">
        <f t="shared" si="8"/>
        <v>1.3617497801215456E-2</v>
      </c>
    </row>
    <row r="207" spans="1:7" x14ac:dyDescent="0.2">
      <c r="A207" s="12">
        <v>37440</v>
      </c>
      <c r="B207" s="9">
        <v>1439.53</v>
      </c>
      <c r="C207" s="9">
        <v>1405.96</v>
      </c>
      <c r="D207" s="9">
        <v>1412.52</v>
      </c>
      <c r="E207" s="9">
        <f t="shared" si="9"/>
        <v>-1.8941328192321524E-2</v>
      </c>
      <c r="F207" s="9">
        <f t="shared" si="7"/>
        <v>-0.11104266800559699</v>
      </c>
      <c r="G207" s="9">
        <f t="shared" si="8"/>
        <v>1.3882879008161415E-2</v>
      </c>
    </row>
    <row r="208" spans="1:7" x14ac:dyDescent="0.2">
      <c r="A208" s="12">
        <v>37441</v>
      </c>
      <c r="B208" s="9">
        <v>1434.7</v>
      </c>
      <c r="C208" s="9">
        <v>1411.96</v>
      </c>
      <c r="D208" s="9">
        <v>1428.31</v>
      </c>
      <c r="E208" s="9">
        <f t="shared" si="9"/>
        <v>1.1116583961936755E-2</v>
      </c>
      <c r="F208" s="9">
        <f t="shared" si="7"/>
        <v>-8.3342400995516694E-2</v>
      </c>
      <c r="G208" s="9">
        <f t="shared" si="8"/>
        <v>1.3917663543072837E-2</v>
      </c>
    </row>
    <row r="209" spans="1:7" x14ac:dyDescent="0.2">
      <c r="A209" s="12">
        <v>37442</v>
      </c>
      <c r="B209" s="9">
        <v>1459.31</v>
      </c>
      <c r="C209" s="9">
        <v>1428.31</v>
      </c>
      <c r="D209" s="9">
        <v>1452.49</v>
      </c>
      <c r="E209" s="9">
        <f t="shared" si="9"/>
        <v>1.6787397846456983E-2</v>
      </c>
      <c r="F209" s="9">
        <f t="shared" si="7"/>
        <v>-7.0553568480762233E-2</v>
      </c>
      <c r="G209" s="9">
        <f t="shared" si="8"/>
        <v>1.4322363259531613E-2</v>
      </c>
    </row>
    <row r="210" spans="1:7" x14ac:dyDescent="0.2">
      <c r="A210" s="12">
        <v>37445</v>
      </c>
      <c r="B210" s="9">
        <v>1463.43</v>
      </c>
      <c r="C210" s="9">
        <v>1445.67</v>
      </c>
      <c r="D210" s="9">
        <v>1453.28</v>
      </c>
      <c r="E210" s="9">
        <f t="shared" si="9"/>
        <v>5.4374573312020798E-4</v>
      </c>
      <c r="F210" s="9">
        <f t="shared" si="7"/>
        <v>-7.1753379403004053E-2</v>
      </c>
      <c r="G210" s="9">
        <f t="shared" si="8"/>
        <v>1.4312204677754927E-2</v>
      </c>
    </row>
    <row r="211" spans="1:7" x14ac:dyDescent="0.2">
      <c r="A211" s="12">
        <v>37446</v>
      </c>
      <c r="B211" s="9">
        <v>1457.46</v>
      </c>
      <c r="C211" s="9">
        <v>1439.28</v>
      </c>
      <c r="D211" s="9">
        <v>1444.39</v>
      </c>
      <c r="E211" s="9">
        <f t="shared" si="9"/>
        <v>-6.1359836645140872E-3</v>
      </c>
      <c r="F211" s="9">
        <f t="shared" si="7"/>
        <v>-7.2237417052482863E-2</v>
      </c>
      <c r="G211" s="9">
        <f t="shared" si="8"/>
        <v>1.4316278953252369E-2</v>
      </c>
    </row>
    <row r="212" spans="1:7" x14ac:dyDescent="0.2">
      <c r="A212" s="12">
        <v>37447</v>
      </c>
      <c r="B212" s="9">
        <v>1450.7</v>
      </c>
      <c r="C212" s="9">
        <v>1422.53</v>
      </c>
      <c r="D212" s="9">
        <v>1425.93</v>
      </c>
      <c r="E212" s="9">
        <f t="shared" si="9"/>
        <v>-1.2862854679067184E-2</v>
      </c>
      <c r="F212" s="9">
        <f t="shared" si="7"/>
        <v>-8.6168881739124806E-2</v>
      </c>
      <c r="G212" s="9">
        <f t="shared" si="8"/>
        <v>1.4425157016425516E-2</v>
      </c>
    </row>
    <row r="213" spans="1:7" x14ac:dyDescent="0.2">
      <c r="A213" s="12">
        <v>37448</v>
      </c>
      <c r="B213" s="9">
        <v>1426.7</v>
      </c>
      <c r="C213" s="9">
        <v>1390.99</v>
      </c>
      <c r="D213" s="9">
        <v>1405.01</v>
      </c>
      <c r="E213" s="9">
        <f t="shared" si="9"/>
        <v>-1.4779812230082411E-2</v>
      </c>
      <c r="F213" s="9">
        <f t="shared" si="7"/>
        <v>-9.1783449739863132E-2</v>
      </c>
      <c r="G213" s="9">
        <f t="shared" si="8"/>
        <v>1.4545536652871784E-2</v>
      </c>
    </row>
    <row r="214" spans="1:7" x14ac:dyDescent="0.2">
      <c r="A214" s="12">
        <v>37449</v>
      </c>
      <c r="B214" s="9">
        <v>1420.4</v>
      </c>
      <c r="C214" s="9">
        <v>1386.7</v>
      </c>
      <c r="D214" s="9">
        <v>1398.65</v>
      </c>
      <c r="E214" s="9">
        <f t="shared" si="9"/>
        <v>-4.5369345137404715E-3</v>
      </c>
      <c r="F214" s="9">
        <f t="shared" si="7"/>
        <v>-8.7044146147301382E-2</v>
      </c>
      <c r="G214" s="9">
        <f t="shared" si="8"/>
        <v>1.4501358140175575E-2</v>
      </c>
    </row>
    <row r="215" spans="1:7" x14ac:dyDescent="0.2">
      <c r="A215" s="12">
        <v>37452</v>
      </c>
      <c r="B215" s="9">
        <v>1401.22</v>
      </c>
      <c r="C215" s="9">
        <v>1358.94</v>
      </c>
      <c r="D215" s="9">
        <v>1370.76</v>
      </c>
      <c r="E215" s="9">
        <f t="shared" si="9"/>
        <v>-2.0142155132643252E-2</v>
      </c>
      <c r="F215" s="9">
        <f t="shared" si="7"/>
        <v>-0.11548808305572703</v>
      </c>
      <c r="G215" s="9">
        <f t="shared" si="8"/>
        <v>1.4672460657309334E-2</v>
      </c>
    </row>
    <row r="216" spans="1:7" x14ac:dyDescent="0.2">
      <c r="A216" s="12">
        <v>37453</v>
      </c>
      <c r="B216" s="9">
        <v>1389.43</v>
      </c>
      <c r="C216" s="9">
        <v>1335.7</v>
      </c>
      <c r="D216" s="9">
        <v>1341.3</v>
      </c>
      <c r="E216" s="9">
        <f t="shared" si="9"/>
        <v>-2.172603762581141E-2</v>
      </c>
      <c r="F216" s="9">
        <f t="shared" si="7"/>
        <v>-0.13105965329755495</v>
      </c>
      <c r="G216" s="9">
        <f t="shared" si="8"/>
        <v>1.5027932627663781E-2</v>
      </c>
    </row>
    <row r="217" spans="1:7" x14ac:dyDescent="0.2">
      <c r="A217" s="12">
        <v>37454</v>
      </c>
      <c r="B217" s="9">
        <v>1374.12</v>
      </c>
      <c r="C217" s="9">
        <v>1340.55</v>
      </c>
      <c r="D217" s="9">
        <v>1367.41</v>
      </c>
      <c r="E217" s="9">
        <f t="shared" si="9"/>
        <v>1.9279146693950058E-2</v>
      </c>
      <c r="F217" s="9">
        <f t="shared" si="7"/>
        <v>-9.441159509781917E-2</v>
      </c>
      <c r="G217" s="9">
        <f t="shared" si="8"/>
        <v>1.5419162437101014E-2</v>
      </c>
    </row>
    <row r="218" spans="1:7" x14ac:dyDescent="0.2">
      <c r="A218" s="12">
        <v>37455</v>
      </c>
      <c r="B218" s="9">
        <v>1390.13</v>
      </c>
      <c r="C218" s="9">
        <v>1354.07</v>
      </c>
      <c r="D218" s="9">
        <v>1359.65</v>
      </c>
      <c r="E218" s="9">
        <f t="shared" si="9"/>
        <v>-5.691125934024226E-3</v>
      </c>
      <c r="F218" s="9">
        <f t="shared" si="7"/>
        <v>-0.11079199299368268</v>
      </c>
      <c r="G218" s="9">
        <f t="shared" si="8"/>
        <v>1.5200783822983245E-2</v>
      </c>
    </row>
    <row r="219" spans="1:7" x14ac:dyDescent="0.2">
      <c r="A219" s="12">
        <v>37456</v>
      </c>
      <c r="B219" s="9">
        <v>1359.83</v>
      </c>
      <c r="C219" s="9">
        <v>1312.77</v>
      </c>
      <c r="D219" s="9">
        <v>1322.31</v>
      </c>
      <c r="E219" s="9">
        <f t="shared" si="9"/>
        <v>-2.7847106553437098E-2</v>
      </c>
      <c r="F219" s="9">
        <f t="shared" si="7"/>
        <v>-0.13448287242681048</v>
      </c>
      <c r="G219" s="9">
        <f t="shared" si="8"/>
        <v>1.5828112898817241E-2</v>
      </c>
    </row>
    <row r="220" spans="1:7" x14ac:dyDescent="0.2">
      <c r="A220" s="12">
        <v>37459</v>
      </c>
      <c r="B220" s="9">
        <v>1323.38</v>
      </c>
      <c r="C220" s="9">
        <v>1281.5</v>
      </c>
      <c r="D220" s="9">
        <v>1295.6199999999999</v>
      </c>
      <c r="E220" s="9">
        <f t="shared" si="9"/>
        <v>-2.0390862073276977E-2</v>
      </c>
      <c r="F220" s="9">
        <f t="shared" si="7"/>
        <v>-0.1316937115441372</v>
      </c>
      <c r="G220" s="9">
        <f t="shared" si="8"/>
        <v>1.5722338982395209E-2</v>
      </c>
    </row>
    <row r="221" spans="1:7" x14ac:dyDescent="0.2">
      <c r="A221" s="12">
        <v>37460</v>
      </c>
      <c r="B221" s="9">
        <v>1295.6199999999999</v>
      </c>
      <c r="C221" s="9">
        <v>1239.8499999999999</v>
      </c>
      <c r="D221" s="9">
        <v>1251.27</v>
      </c>
      <c r="E221" s="9">
        <f t="shared" si="9"/>
        <v>-3.4830309523585061E-2</v>
      </c>
      <c r="F221" s="9">
        <f t="shared" si="7"/>
        <v>-0.17308571112577492</v>
      </c>
      <c r="G221" s="9">
        <f t="shared" si="8"/>
        <v>1.6523908185343585E-2</v>
      </c>
    </row>
    <row r="222" spans="1:7" x14ac:dyDescent="0.2">
      <c r="A222" s="12">
        <v>37461</v>
      </c>
      <c r="B222" s="9">
        <v>1253.3800000000001</v>
      </c>
      <c r="C222" s="9">
        <v>1145.1199999999999</v>
      </c>
      <c r="D222" s="9">
        <v>1186.67</v>
      </c>
      <c r="E222" s="9">
        <f t="shared" si="9"/>
        <v>-5.3007970354885997E-2</v>
      </c>
      <c r="F222" s="9">
        <f t="shared" si="7"/>
        <v>-0.24008403114942922</v>
      </c>
      <c r="G222" s="9">
        <f t="shared" si="8"/>
        <v>1.8203390292919369E-2</v>
      </c>
    </row>
    <row r="223" spans="1:7" x14ac:dyDescent="0.2">
      <c r="A223" s="12">
        <v>37462</v>
      </c>
      <c r="B223" s="9">
        <v>1233.5899999999999</v>
      </c>
      <c r="C223" s="9">
        <v>1186.67</v>
      </c>
      <c r="D223" s="9">
        <v>1207.4000000000001</v>
      </c>
      <c r="E223" s="9">
        <f t="shared" si="9"/>
        <v>1.7318222199540496E-2</v>
      </c>
      <c r="F223" s="9">
        <f t="shared" si="7"/>
        <v>-0.20456555069938698</v>
      </c>
      <c r="G223" s="9">
        <f t="shared" si="8"/>
        <v>1.8666448906849913E-2</v>
      </c>
    </row>
    <row r="224" spans="1:7" x14ac:dyDescent="0.2">
      <c r="A224" s="12">
        <v>37463</v>
      </c>
      <c r="B224" s="9">
        <v>1213.8800000000001</v>
      </c>
      <c r="C224" s="9">
        <v>1172.6500000000001</v>
      </c>
      <c r="D224" s="9">
        <v>1203.52</v>
      </c>
      <c r="E224" s="9">
        <f t="shared" si="9"/>
        <v>-3.2186910803543036E-3</v>
      </c>
      <c r="F224" s="9">
        <f t="shared" si="7"/>
        <v>-0.20431545565495096</v>
      </c>
      <c r="G224" s="9">
        <f t="shared" si="8"/>
        <v>1.866805242707022E-2</v>
      </c>
    </row>
    <row r="225" spans="1:7" x14ac:dyDescent="0.2">
      <c r="A225" s="12">
        <v>37466</v>
      </c>
      <c r="B225" s="9">
        <v>1258.68</v>
      </c>
      <c r="C225" s="9">
        <v>1202.79</v>
      </c>
      <c r="D225" s="9">
        <v>1252.03</v>
      </c>
      <c r="E225" s="9">
        <f t="shared" si="9"/>
        <v>3.9515637752338087E-2</v>
      </c>
      <c r="F225" s="9">
        <f t="shared" ref="F225:F288" si="10">LN(D225/D195)</f>
        <v>-0.15030152032840322</v>
      </c>
      <c r="G225" s="9">
        <f t="shared" ref="G225:G288" si="11">STDEV(E196:E225)</f>
        <v>2.0423236880652819E-2</v>
      </c>
    </row>
    <row r="226" spans="1:7" x14ac:dyDescent="0.2">
      <c r="A226" s="12">
        <v>37467</v>
      </c>
      <c r="B226" s="9">
        <v>1272.82</v>
      </c>
      <c r="C226" s="9">
        <v>1252.03</v>
      </c>
      <c r="D226" s="9">
        <v>1266.3800000000001</v>
      </c>
      <c r="E226" s="9">
        <f t="shared" si="9"/>
        <v>1.1396202609301291E-2</v>
      </c>
      <c r="F226" s="9">
        <f t="shared" si="10"/>
        <v>-0.15575126449496193</v>
      </c>
      <c r="G226" s="9">
        <f t="shared" si="11"/>
        <v>2.0245595576918334E-2</v>
      </c>
    </row>
    <row r="227" spans="1:7" x14ac:dyDescent="0.2">
      <c r="A227" s="12">
        <v>37468</v>
      </c>
      <c r="B227" s="9">
        <v>1291.94</v>
      </c>
      <c r="C227" s="9">
        <v>1255.25</v>
      </c>
      <c r="D227" s="9">
        <v>1262.04</v>
      </c>
      <c r="E227" s="9">
        <f t="shared" si="9"/>
        <v>-3.4329773236737443E-3</v>
      </c>
      <c r="F227" s="9">
        <f t="shared" si="10"/>
        <v>-0.16641572002554475</v>
      </c>
      <c r="G227" s="9">
        <f t="shared" si="11"/>
        <v>2.0113133989847393E-2</v>
      </c>
    </row>
    <row r="228" spans="1:7" x14ac:dyDescent="0.2">
      <c r="A228" s="12">
        <v>37469</v>
      </c>
      <c r="B228" s="9">
        <v>1283.0999999999999</v>
      </c>
      <c r="C228" s="9">
        <v>1232.8499999999999</v>
      </c>
      <c r="D228" s="9">
        <v>1245.44</v>
      </c>
      <c r="E228" s="9">
        <f t="shared" si="9"/>
        <v>-1.3240578202406405E-2</v>
      </c>
      <c r="F228" s="9">
        <f t="shared" si="10"/>
        <v>-0.15799504629830904</v>
      </c>
      <c r="G228" s="9">
        <f t="shared" si="11"/>
        <v>1.9938498765628022E-2</v>
      </c>
    </row>
    <row r="229" spans="1:7" x14ac:dyDescent="0.2">
      <c r="A229" s="12">
        <v>37470</v>
      </c>
      <c r="B229" s="9">
        <v>1245.49</v>
      </c>
      <c r="C229" s="9">
        <v>1201.6199999999999</v>
      </c>
      <c r="D229" s="9">
        <v>1207.31</v>
      </c>
      <c r="E229" s="9">
        <f t="shared" si="9"/>
        <v>-3.1094136868077236E-2</v>
      </c>
      <c r="F229" s="9">
        <f t="shared" si="10"/>
        <v>-0.16631026061495605</v>
      </c>
      <c r="G229" s="9">
        <f t="shared" si="11"/>
        <v>2.024577040123646E-2</v>
      </c>
    </row>
    <row r="230" spans="1:7" x14ac:dyDescent="0.2">
      <c r="A230" s="12">
        <v>37473</v>
      </c>
      <c r="B230" s="9">
        <v>1209</v>
      </c>
      <c r="C230" s="9">
        <v>1161.0999999999999</v>
      </c>
      <c r="D230" s="9">
        <v>1162.5999999999999</v>
      </c>
      <c r="E230" s="9">
        <f t="shared" si="9"/>
        <v>-3.7735867982203554E-2</v>
      </c>
      <c r="F230" s="9">
        <f t="shared" si="10"/>
        <v>-0.18161886142649145</v>
      </c>
      <c r="G230" s="9">
        <f t="shared" si="11"/>
        <v>2.0869310228790069E-2</v>
      </c>
    </row>
    <row r="231" spans="1:7" x14ac:dyDescent="0.2">
      <c r="A231" s="12">
        <v>37474</v>
      </c>
      <c r="B231" s="9">
        <v>1192.68</v>
      </c>
      <c r="C231" s="9">
        <v>1145.22</v>
      </c>
      <c r="D231" s="9">
        <v>1186.45</v>
      </c>
      <c r="E231" s="9">
        <f t="shared" si="9"/>
        <v>2.030677897051639E-2</v>
      </c>
      <c r="F231" s="9">
        <f t="shared" si="10"/>
        <v>-0.17027377166433241</v>
      </c>
      <c r="G231" s="9">
        <f t="shared" si="11"/>
        <v>2.125010644111093E-2</v>
      </c>
    </row>
    <row r="232" spans="1:7" x14ac:dyDescent="0.2">
      <c r="A232" s="12">
        <v>37475</v>
      </c>
      <c r="B232" s="9">
        <v>1220.21</v>
      </c>
      <c r="C232" s="9">
        <v>1185.77</v>
      </c>
      <c r="D232" s="9">
        <v>1191.6099999999999</v>
      </c>
      <c r="E232" s="9">
        <f t="shared" si="9"/>
        <v>4.3396786440257282E-3</v>
      </c>
      <c r="F232" s="9">
        <f t="shared" si="10"/>
        <v>-0.15056085693433321</v>
      </c>
      <c r="G232" s="9">
        <f t="shared" si="11"/>
        <v>2.1244682608149542E-2</v>
      </c>
    </row>
    <row r="233" spans="1:7" x14ac:dyDescent="0.2">
      <c r="A233" s="12">
        <v>37476</v>
      </c>
      <c r="B233" s="9">
        <v>1210.01</v>
      </c>
      <c r="C233" s="9">
        <v>1191.6099999999999</v>
      </c>
      <c r="D233" s="9">
        <v>1203.22</v>
      </c>
      <c r="E233" s="9">
        <f t="shared" si="9"/>
        <v>9.6959625160589896E-3</v>
      </c>
      <c r="F233" s="9">
        <f t="shared" si="10"/>
        <v>-0.16070673012079789</v>
      </c>
      <c r="G233" s="9">
        <f t="shared" si="11"/>
        <v>2.0913453430580684E-2</v>
      </c>
    </row>
    <row r="234" spans="1:7" x14ac:dyDescent="0.2">
      <c r="A234" s="12">
        <v>37477</v>
      </c>
      <c r="B234" s="9">
        <v>1226.01</v>
      </c>
      <c r="C234" s="9">
        <v>1203.22</v>
      </c>
      <c r="D234" s="9">
        <v>1214.97</v>
      </c>
      <c r="E234" s="9">
        <f t="shared" si="9"/>
        <v>9.7180887139363004E-3</v>
      </c>
      <c r="F234" s="9">
        <f t="shared" si="10"/>
        <v>-0.17332765075800832</v>
      </c>
      <c r="G234" s="9">
        <f t="shared" si="11"/>
        <v>2.0459114844580163E-2</v>
      </c>
    </row>
    <row r="235" spans="1:7" x14ac:dyDescent="0.2">
      <c r="A235" s="12">
        <v>37480</v>
      </c>
      <c r="B235" s="9">
        <v>1231.1199999999999</v>
      </c>
      <c r="C235" s="9">
        <v>1206.96</v>
      </c>
      <c r="D235" s="9">
        <v>1212.3</v>
      </c>
      <c r="E235" s="9">
        <f t="shared" si="9"/>
        <v>-2.2000033592498793E-3</v>
      </c>
      <c r="F235" s="9">
        <f t="shared" si="10"/>
        <v>-0.18441592782357724</v>
      </c>
      <c r="G235" s="9">
        <f t="shared" si="11"/>
        <v>2.0284442230267562E-2</v>
      </c>
    </row>
    <row r="236" spans="1:7" x14ac:dyDescent="0.2">
      <c r="A236" s="12">
        <v>37481</v>
      </c>
      <c r="B236" s="9">
        <v>1214.6300000000001</v>
      </c>
      <c r="C236" s="9">
        <v>1195.46</v>
      </c>
      <c r="D236" s="9">
        <v>1204.42</v>
      </c>
      <c r="E236" s="9">
        <f t="shared" si="9"/>
        <v>-6.5212585040222426E-3</v>
      </c>
      <c r="F236" s="9">
        <f t="shared" si="10"/>
        <v>-0.17831854815619574</v>
      </c>
      <c r="G236" s="9">
        <f t="shared" si="11"/>
        <v>2.0247878059668989E-2</v>
      </c>
    </row>
    <row r="237" spans="1:7" x14ac:dyDescent="0.2">
      <c r="A237" s="12">
        <v>37482</v>
      </c>
      <c r="B237" s="9">
        <v>1204.42</v>
      </c>
      <c r="C237" s="9">
        <v>1190.3</v>
      </c>
      <c r="D237" s="9">
        <v>1196.54</v>
      </c>
      <c r="E237" s="9">
        <f t="shared" si="9"/>
        <v>-6.5640646189357192E-3</v>
      </c>
      <c r="F237" s="9">
        <f t="shared" si="10"/>
        <v>-0.16594128458280974</v>
      </c>
      <c r="G237" s="9">
        <f t="shared" si="11"/>
        <v>2.0099465251542693E-2</v>
      </c>
    </row>
    <row r="238" spans="1:7" x14ac:dyDescent="0.2">
      <c r="A238" s="12">
        <v>37483</v>
      </c>
      <c r="B238" s="9">
        <v>1223.9000000000001</v>
      </c>
      <c r="C238" s="9">
        <v>1196.54</v>
      </c>
      <c r="D238" s="9">
        <v>1218.6099999999999</v>
      </c>
      <c r="E238" s="9">
        <f t="shared" si="9"/>
        <v>1.8276806289335455E-2</v>
      </c>
      <c r="F238" s="9">
        <f t="shared" si="10"/>
        <v>-0.15878106225541122</v>
      </c>
      <c r="G238" s="9">
        <f t="shared" si="11"/>
        <v>2.0344983804620218E-2</v>
      </c>
    </row>
    <row r="239" spans="1:7" x14ac:dyDescent="0.2">
      <c r="A239" s="12">
        <v>37484</v>
      </c>
      <c r="B239" s="9">
        <v>1227.1300000000001</v>
      </c>
      <c r="C239" s="9">
        <v>1212.29</v>
      </c>
      <c r="D239" s="9">
        <v>1220.4000000000001</v>
      </c>
      <c r="E239" s="9">
        <f t="shared" si="9"/>
        <v>1.467808923599537E-3</v>
      </c>
      <c r="F239" s="9">
        <f t="shared" si="10"/>
        <v>-0.1741006511782687</v>
      </c>
      <c r="G239" s="9">
        <f t="shared" si="11"/>
        <v>1.9960291025813936E-2</v>
      </c>
    </row>
    <row r="240" spans="1:7" x14ac:dyDescent="0.2">
      <c r="A240" s="12">
        <v>37487</v>
      </c>
      <c r="B240" s="9">
        <v>1245.0899999999999</v>
      </c>
      <c r="C240" s="9">
        <v>1217.6199999999999</v>
      </c>
      <c r="D240" s="9">
        <v>1240.8399999999999</v>
      </c>
      <c r="E240" s="9">
        <f t="shared" si="9"/>
        <v>1.6609895766484712E-2</v>
      </c>
      <c r="F240" s="9">
        <f t="shared" si="10"/>
        <v>-0.15803450114490405</v>
      </c>
      <c r="G240" s="9">
        <f t="shared" si="11"/>
        <v>2.0348216393460388E-2</v>
      </c>
    </row>
    <row r="241" spans="1:7" x14ac:dyDescent="0.2">
      <c r="A241" s="12">
        <v>37488</v>
      </c>
      <c r="B241" s="9">
        <v>1258.82</v>
      </c>
      <c r="C241" s="9">
        <v>1240.42</v>
      </c>
      <c r="D241" s="9">
        <v>1252.4100000000001</v>
      </c>
      <c r="E241" s="9">
        <f t="shared" si="9"/>
        <v>9.2811254808087169E-3</v>
      </c>
      <c r="F241" s="9">
        <f t="shared" si="10"/>
        <v>-0.14261739199958115</v>
      </c>
      <c r="G241" s="9">
        <f t="shared" si="11"/>
        <v>2.051949661430422E-2</v>
      </c>
    </row>
    <row r="242" spans="1:7" x14ac:dyDescent="0.2">
      <c r="A242" s="12">
        <v>37489</v>
      </c>
      <c r="B242" s="9">
        <v>1288.05</v>
      </c>
      <c r="C242" s="9">
        <v>1248.45</v>
      </c>
      <c r="D242" s="9">
        <v>1277.5899999999999</v>
      </c>
      <c r="E242" s="9">
        <f t="shared" si="9"/>
        <v>1.9905795604407178E-2</v>
      </c>
      <c r="F242" s="9">
        <f t="shared" si="10"/>
        <v>-0.10984874171610684</v>
      </c>
      <c r="G242" s="9">
        <f t="shared" si="11"/>
        <v>2.0940799955723684E-2</v>
      </c>
    </row>
    <row r="243" spans="1:7" x14ac:dyDescent="0.2">
      <c r="A243" s="12">
        <v>37490</v>
      </c>
      <c r="B243" s="9">
        <v>1321.08</v>
      </c>
      <c r="C243" s="9">
        <v>1277.5899999999999</v>
      </c>
      <c r="D243" s="9">
        <v>1316.93</v>
      </c>
      <c r="E243" s="9">
        <f t="shared" si="9"/>
        <v>3.0327779535508973E-2</v>
      </c>
      <c r="F243" s="9">
        <f t="shared" si="10"/>
        <v>-6.4741149950515553E-2</v>
      </c>
      <c r="G243" s="9">
        <f t="shared" si="11"/>
        <v>2.171987674451013E-2</v>
      </c>
    </row>
    <row r="244" spans="1:7" x14ac:dyDescent="0.2">
      <c r="A244" s="12">
        <v>37491</v>
      </c>
      <c r="B244" s="9">
        <v>1326.58</v>
      </c>
      <c r="C244" s="9">
        <v>1306.93</v>
      </c>
      <c r="D244" s="9">
        <v>1311.16</v>
      </c>
      <c r="E244" s="9">
        <f t="shared" si="9"/>
        <v>-4.3910286717793465E-3</v>
      </c>
      <c r="F244" s="9">
        <f t="shared" si="10"/>
        <v>-6.4595244108554523E-2</v>
      </c>
      <c r="G244" s="9">
        <f t="shared" si="11"/>
        <v>2.1719342021294771E-2</v>
      </c>
    </row>
    <row r="245" spans="1:7" x14ac:dyDescent="0.2">
      <c r="A245" s="12">
        <v>37494</v>
      </c>
      <c r="B245" s="9">
        <v>1324.08</v>
      </c>
      <c r="C245" s="9">
        <v>1293.67</v>
      </c>
      <c r="D245" s="9">
        <v>1296.1400000000001</v>
      </c>
      <c r="E245" s="9">
        <f t="shared" si="9"/>
        <v>-1.1521624788613538E-2</v>
      </c>
      <c r="F245" s="9">
        <f t="shared" si="10"/>
        <v>-5.5974713764524738E-2</v>
      </c>
      <c r="G245" s="9">
        <f t="shared" si="11"/>
        <v>2.1529332069200314E-2</v>
      </c>
    </row>
    <row r="246" spans="1:7" x14ac:dyDescent="0.2">
      <c r="A246" s="12">
        <v>37495</v>
      </c>
      <c r="B246" s="9">
        <v>1323.7</v>
      </c>
      <c r="C246" s="9">
        <v>1291.73</v>
      </c>
      <c r="D246" s="9">
        <v>1313.75</v>
      </c>
      <c r="E246" s="9">
        <f t="shared" si="9"/>
        <v>1.3495026421829589E-2</v>
      </c>
      <c r="F246" s="9">
        <f t="shared" si="10"/>
        <v>-2.0753649716883763E-2</v>
      </c>
      <c r="G246" s="9">
        <f t="shared" si="11"/>
        <v>2.1368708098676657E-2</v>
      </c>
    </row>
    <row r="247" spans="1:7" x14ac:dyDescent="0.2">
      <c r="A247" s="12">
        <v>37496</v>
      </c>
      <c r="B247" s="9">
        <v>1314.02</v>
      </c>
      <c r="C247" s="9">
        <v>1288.95</v>
      </c>
      <c r="D247" s="9">
        <v>1293.6400000000001</v>
      </c>
      <c r="E247" s="9">
        <f t="shared" si="9"/>
        <v>-1.5425692946829331E-2</v>
      </c>
      <c r="F247" s="9">
        <f t="shared" si="10"/>
        <v>-5.5458489357663079E-2</v>
      </c>
      <c r="G247" s="9">
        <f t="shared" si="11"/>
        <v>2.1188913056141737E-2</v>
      </c>
    </row>
    <row r="248" spans="1:7" x14ac:dyDescent="0.2">
      <c r="A248" s="12">
        <v>37497</v>
      </c>
      <c r="B248" s="9">
        <v>1295.71</v>
      </c>
      <c r="C248" s="9">
        <v>1262.74</v>
      </c>
      <c r="D248" s="9">
        <v>1271.75</v>
      </c>
      <c r="E248" s="9">
        <f t="shared" si="9"/>
        <v>-1.7066045541457159E-2</v>
      </c>
      <c r="F248" s="9">
        <f t="shared" si="10"/>
        <v>-6.6833408965096056E-2</v>
      </c>
      <c r="G248" s="9">
        <f t="shared" si="11"/>
        <v>2.1361117892428026E-2</v>
      </c>
    </row>
    <row r="249" spans="1:7" x14ac:dyDescent="0.2">
      <c r="A249" s="12">
        <v>37498</v>
      </c>
      <c r="B249" s="9">
        <v>1282.93</v>
      </c>
      <c r="C249" s="9">
        <v>1263.71</v>
      </c>
      <c r="D249" s="9">
        <v>1270.4100000000001</v>
      </c>
      <c r="E249" s="9">
        <f t="shared" si="9"/>
        <v>-1.0542217044595327E-3</v>
      </c>
      <c r="F249" s="9">
        <f t="shared" si="10"/>
        <v>-4.0040524116118484E-2</v>
      </c>
      <c r="G249" s="9">
        <f t="shared" si="11"/>
        <v>2.0805935915460431E-2</v>
      </c>
    </row>
    <row r="250" spans="1:7" x14ac:dyDescent="0.2">
      <c r="A250" s="12">
        <v>37501</v>
      </c>
      <c r="B250" s="9">
        <v>1274.71</v>
      </c>
      <c r="C250" s="9">
        <v>1262.24</v>
      </c>
      <c r="D250" s="9">
        <v>1266.55</v>
      </c>
      <c r="E250" s="9">
        <f t="shared" si="9"/>
        <v>-3.0430144571556368E-3</v>
      </c>
      <c r="F250" s="9">
        <f t="shared" si="10"/>
        <v>-2.2692676499997091E-2</v>
      </c>
      <c r="G250" s="9">
        <f t="shared" si="11"/>
        <v>2.0496821445155376E-2</v>
      </c>
    </row>
    <row r="251" spans="1:7" x14ac:dyDescent="0.2">
      <c r="A251" s="12">
        <v>37502</v>
      </c>
      <c r="B251" s="9">
        <v>1267.69</v>
      </c>
      <c r="C251" s="9">
        <v>1217.6400000000001</v>
      </c>
      <c r="D251" s="9">
        <v>1218.3499999999999</v>
      </c>
      <c r="E251" s="9">
        <f t="shared" si="9"/>
        <v>-3.87991842284982E-2</v>
      </c>
      <c r="F251" s="9">
        <f t="shared" si="10"/>
        <v>-2.6661551204910157E-2</v>
      </c>
      <c r="G251" s="9">
        <f t="shared" si="11"/>
        <v>2.0735749463330046E-2</v>
      </c>
    </row>
    <row r="252" spans="1:7" x14ac:dyDescent="0.2">
      <c r="A252" s="12">
        <v>37503</v>
      </c>
      <c r="B252" s="9">
        <v>1224.54</v>
      </c>
      <c r="C252" s="9">
        <v>1211.25</v>
      </c>
      <c r="D252" s="9">
        <v>1217.0899999999999</v>
      </c>
      <c r="E252" s="9">
        <f t="shared" si="9"/>
        <v>-1.0347207177494506E-3</v>
      </c>
      <c r="F252" s="9">
        <f t="shared" si="10"/>
        <v>2.5311698432226238E-2</v>
      </c>
      <c r="G252" s="9">
        <f t="shared" si="11"/>
        <v>1.8253702633716191E-2</v>
      </c>
    </row>
    <row r="253" spans="1:7" x14ac:dyDescent="0.2">
      <c r="A253" s="12">
        <v>37504</v>
      </c>
      <c r="B253" s="9">
        <v>1236.82</v>
      </c>
      <c r="C253" s="9">
        <v>1208.28</v>
      </c>
      <c r="D253" s="9">
        <v>1226.76</v>
      </c>
      <c r="E253" s="9">
        <f t="shared" si="9"/>
        <v>7.913783961911355E-3</v>
      </c>
      <c r="F253" s="9">
        <f t="shared" si="10"/>
        <v>1.5907260194597244E-2</v>
      </c>
      <c r="G253" s="9">
        <f t="shared" si="11"/>
        <v>1.8040529718783151E-2</v>
      </c>
    </row>
    <row r="254" spans="1:7" x14ac:dyDescent="0.2">
      <c r="A254" s="12">
        <v>37505</v>
      </c>
      <c r="B254" s="9">
        <v>1252.0999999999999</v>
      </c>
      <c r="C254" s="9">
        <v>1226.49</v>
      </c>
      <c r="D254" s="9">
        <v>1249.3499999999999</v>
      </c>
      <c r="E254" s="9">
        <f t="shared" si="9"/>
        <v>1.8246868492536171E-2</v>
      </c>
      <c r="F254" s="9">
        <f t="shared" si="10"/>
        <v>3.7372819767487617E-2</v>
      </c>
      <c r="G254" s="9">
        <f t="shared" si="11"/>
        <v>1.8310375813006041E-2</v>
      </c>
    </row>
    <row r="255" spans="1:7" x14ac:dyDescent="0.2">
      <c r="A255" s="12">
        <v>37508</v>
      </c>
      <c r="B255" s="9">
        <v>1260.82</v>
      </c>
      <c r="C255" s="9">
        <v>1246.8399999999999</v>
      </c>
      <c r="D255" s="9">
        <v>1248.1199999999999</v>
      </c>
      <c r="E255" s="9">
        <f t="shared" si="9"/>
        <v>-9.8499689641716568E-4</v>
      </c>
      <c r="F255" s="9">
        <f t="shared" si="10"/>
        <v>-3.127814881267647E-3</v>
      </c>
      <c r="G255" s="9">
        <f t="shared" si="11"/>
        <v>1.6824184238001146E-2</v>
      </c>
    </row>
    <row r="256" spans="1:7" x14ac:dyDescent="0.2">
      <c r="A256" s="12">
        <v>37509</v>
      </c>
      <c r="B256" s="9">
        <v>1266.18</v>
      </c>
      <c r="C256" s="9">
        <v>1248.1199999999999</v>
      </c>
      <c r="D256" s="9">
        <v>1262.6500000000001</v>
      </c>
      <c r="E256" s="9">
        <f t="shared" si="9"/>
        <v>1.157426782008855E-2</v>
      </c>
      <c r="F256" s="9">
        <f t="shared" si="10"/>
        <v>-2.9497496704805242E-3</v>
      </c>
      <c r="G256" s="9">
        <f t="shared" si="11"/>
        <v>1.6828412343453836E-2</v>
      </c>
    </row>
    <row r="257" spans="1:7" x14ac:dyDescent="0.2">
      <c r="A257" s="12">
        <v>37510</v>
      </c>
      <c r="B257" s="9">
        <v>1292.42</v>
      </c>
      <c r="C257" s="9">
        <v>1261.68</v>
      </c>
      <c r="D257" s="9">
        <v>1289.98</v>
      </c>
      <c r="E257" s="9">
        <f t="shared" si="9"/>
        <v>2.1414027386431948E-2</v>
      </c>
      <c r="F257" s="9">
        <f t="shared" si="10"/>
        <v>2.1897255039625071E-2</v>
      </c>
      <c r="G257" s="9">
        <f t="shared" si="11"/>
        <v>1.7264424928392499E-2</v>
      </c>
    </row>
    <row r="258" spans="1:7" x14ac:dyDescent="0.2">
      <c r="A258" s="12">
        <v>37511</v>
      </c>
      <c r="B258" s="9">
        <v>1293.8699999999999</v>
      </c>
      <c r="C258" s="9">
        <v>1268.5999999999999</v>
      </c>
      <c r="D258" s="9">
        <v>1270.6600000000001</v>
      </c>
      <c r="E258" s="9">
        <f t="shared" si="9"/>
        <v>-1.5090263857059435E-2</v>
      </c>
      <c r="F258" s="9">
        <f t="shared" si="10"/>
        <v>2.0047569384972128E-2</v>
      </c>
      <c r="G258" s="9">
        <f t="shared" si="11"/>
        <v>1.7319253771928552E-2</v>
      </c>
    </row>
    <row r="259" spans="1:7" x14ac:dyDescent="0.2">
      <c r="A259" s="12">
        <v>37512</v>
      </c>
      <c r="B259" s="9">
        <v>1270.6600000000001</v>
      </c>
      <c r="C259" s="9">
        <v>1251.99</v>
      </c>
      <c r="D259" s="9">
        <v>1262.27</v>
      </c>
      <c r="E259" s="9">
        <f t="shared" si="9"/>
        <v>-6.6247631672771657E-3</v>
      </c>
      <c r="F259" s="9">
        <f t="shared" si="10"/>
        <v>4.4516943085772122E-2</v>
      </c>
      <c r="G259" s="9">
        <f t="shared" si="11"/>
        <v>1.6319145041782487E-2</v>
      </c>
    </row>
    <row r="260" spans="1:7" x14ac:dyDescent="0.2">
      <c r="A260" s="12">
        <v>37515</v>
      </c>
      <c r="B260" s="9">
        <v>1269.76</v>
      </c>
      <c r="C260" s="9">
        <v>1255.04</v>
      </c>
      <c r="D260" s="9">
        <v>1257.47</v>
      </c>
      <c r="E260" s="9">
        <f t="shared" ref="E260:E323" si="12">LN(D260/D259)</f>
        <v>-3.8099215047578271E-3</v>
      </c>
      <c r="F260" s="9">
        <f t="shared" si="10"/>
        <v>7.8442889563217807E-2</v>
      </c>
      <c r="G260" s="9">
        <f t="shared" si="11"/>
        <v>1.4591671177408215E-2</v>
      </c>
    </row>
    <row r="261" spans="1:7" x14ac:dyDescent="0.2">
      <c r="A261" s="12">
        <v>37516</v>
      </c>
      <c r="B261" s="9">
        <v>1283.3399999999999</v>
      </c>
      <c r="C261" s="9">
        <v>1253.92</v>
      </c>
      <c r="D261" s="9">
        <v>1256.3499999999999</v>
      </c>
      <c r="E261" s="9">
        <f t="shared" si="12"/>
        <v>-8.9107420110276481E-4</v>
      </c>
      <c r="F261" s="9">
        <f t="shared" si="10"/>
        <v>5.7245036391598697E-2</v>
      </c>
      <c r="G261" s="9">
        <f t="shared" si="11"/>
        <v>1.4213755273408494E-2</v>
      </c>
    </row>
    <row r="262" spans="1:7" x14ac:dyDescent="0.2">
      <c r="A262" s="12">
        <v>37517</v>
      </c>
      <c r="B262" s="9">
        <v>1256.3800000000001</v>
      </c>
      <c r="C262" s="9">
        <v>1211.0999999999999</v>
      </c>
      <c r="D262" s="9">
        <v>1213.3499999999999</v>
      </c>
      <c r="E262" s="9">
        <f t="shared" si="12"/>
        <v>-3.4825562497294058E-2</v>
      </c>
      <c r="F262" s="9">
        <f t="shared" si="10"/>
        <v>1.8079795250278936E-2</v>
      </c>
      <c r="G262" s="9">
        <f t="shared" si="11"/>
        <v>1.570330351351586E-2</v>
      </c>
    </row>
    <row r="263" spans="1:7" x14ac:dyDescent="0.2">
      <c r="A263" s="12">
        <v>37518</v>
      </c>
      <c r="B263" s="9">
        <v>1219.9100000000001</v>
      </c>
      <c r="C263" s="9">
        <v>1197.1300000000001</v>
      </c>
      <c r="D263" s="9">
        <v>1203.9100000000001</v>
      </c>
      <c r="E263" s="9">
        <f t="shared" si="12"/>
        <v>-7.8105358878521915E-3</v>
      </c>
      <c r="F263" s="9">
        <f t="shared" si="10"/>
        <v>5.7329684636760105E-4</v>
      </c>
      <c r="G263" s="9">
        <f t="shared" si="11"/>
        <v>1.5678995710859747E-2</v>
      </c>
    </row>
    <row r="264" spans="1:7" x14ac:dyDescent="0.2">
      <c r="A264" s="12">
        <v>37519</v>
      </c>
      <c r="B264" s="9">
        <v>1209.95</v>
      </c>
      <c r="C264" s="9">
        <v>1190.55</v>
      </c>
      <c r="D264" s="9">
        <v>1191.3499999999999</v>
      </c>
      <c r="E264" s="9">
        <f t="shared" si="12"/>
        <v>-1.0487475363561198E-2</v>
      </c>
      <c r="F264" s="9">
        <f t="shared" si="10"/>
        <v>-1.9632267231129773E-2</v>
      </c>
      <c r="G264" s="9">
        <f t="shared" si="11"/>
        <v>1.568197472266954E-2</v>
      </c>
    </row>
    <row r="265" spans="1:7" x14ac:dyDescent="0.2">
      <c r="A265" s="12">
        <v>37522</v>
      </c>
      <c r="B265" s="9">
        <v>1204.06</v>
      </c>
      <c r="C265" s="9">
        <v>1168.42</v>
      </c>
      <c r="D265" s="9">
        <v>1170.76</v>
      </c>
      <c r="E265" s="9">
        <f t="shared" si="12"/>
        <v>-1.7434007320280158E-2</v>
      </c>
      <c r="F265" s="9">
        <f t="shared" si="10"/>
        <v>-3.4866271192160049E-2</v>
      </c>
      <c r="G265" s="9">
        <f t="shared" si="11"/>
        <v>1.597760915644441E-2</v>
      </c>
    </row>
    <row r="266" spans="1:7" x14ac:dyDescent="0.2">
      <c r="A266" s="12">
        <v>37523</v>
      </c>
      <c r="B266" s="9">
        <v>1175.4000000000001</v>
      </c>
      <c r="C266" s="9">
        <v>1121.4100000000001</v>
      </c>
      <c r="D266" s="9">
        <v>1131.9000000000001</v>
      </c>
      <c r="E266" s="9">
        <f t="shared" si="12"/>
        <v>-3.37554739220031E-2</v>
      </c>
      <c r="F266" s="9">
        <f t="shared" si="10"/>
        <v>-6.2100486610140844E-2</v>
      </c>
      <c r="G266" s="9">
        <f t="shared" si="11"/>
        <v>1.7031526471504476E-2</v>
      </c>
    </row>
    <row r="267" spans="1:7" x14ac:dyDescent="0.2">
      <c r="A267" s="12">
        <v>37524</v>
      </c>
      <c r="B267" s="9">
        <v>1157.54</v>
      </c>
      <c r="C267" s="9">
        <v>1128.78</v>
      </c>
      <c r="D267" s="9">
        <v>1142.17</v>
      </c>
      <c r="E267" s="9">
        <f t="shared" si="12"/>
        <v>9.0323251450202084E-3</v>
      </c>
      <c r="F267" s="9">
        <f t="shared" si="10"/>
        <v>-4.6504096846184943E-2</v>
      </c>
      <c r="G267" s="9">
        <f t="shared" si="11"/>
        <v>1.7127383993670132E-2</v>
      </c>
    </row>
    <row r="268" spans="1:7" x14ac:dyDescent="0.2">
      <c r="A268" s="12">
        <v>37525</v>
      </c>
      <c r="B268" s="9">
        <v>1182.67</v>
      </c>
      <c r="C268" s="9">
        <v>1142.17</v>
      </c>
      <c r="D268" s="9">
        <v>1174.73</v>
      </c>
      <c r="E268" s="9">
        <f t="shared" si="12"/>
        <v>2.8108372155690346E-2</v>
      </c>
      <c r="F268" s="9">
        <f t="shared" si="10"/>
        <v>-3.6672530979829865E-2</v>
      </c>
      <c r="G268" s="9">
        <f t="shared" si="11"/>
        <v>1.7607177884337948E-2</v>
      </c>
    </row>
    <row r="269" spans="1:7" x14ac:dyDescent="0.2">
      <c r="A269" s="12">
        <v>37526</v>
      </c>
      <c r="B269" s="9">
        <v>1183.3699999999999</v>
      </c>
      <c r="C269" s="9">
        <v>1165.6300000000001</v>
      </c>
      <c r="D269" s="9">
        <v>1181.67</v>
      </c>
      <c r="E269" s="9">
        <f t="shared" si="12"/>
        <v>5.8903582295254707E-3</v>
      </c>
      <c r="F269" s="9">
        <f t="shared" si="10"/>
        <v>-3.2249981673903944E-2</v>
      </c>
      <c r="G269" s="9">
        <f t="shared" si="11"/>
        <v>1.7648943482940473E-2</v>
      </c>
    </row>
    <row r="270" spans="1:7" x14ac:dyDescent="0.2">
      <c r="A270" s="12">
        <v>37529</v>
      </c>
      <c r="B270" s="9">
        <v>1181.67</v>
      </c>
      <c r="C270" s="9">
        <v>1119.82</v>
      </c>
      <c r="D270" s="9">
        <v>1135.92</v>
      </c>
      <c r="E270" s="9">
        <f t="shared" si="12"/>
        <v>-3.9485796902508342E-2</v>
      </c>
      <c r="F270" s="9">
        <f t="shared" si="10"/>
        <v>-8.8345674342897043E-2</v>
      </c>
      <c r="G270" s="9">
        <f t="shared" si="11"/>
        <v>1.8653661869959794E-2</v>
      </c>
    </row>
    <row r="271" spans="1:7" x14ac:dyDescent="0.2">
      <c r="A271" s="12">
        <v>37530</v>
      </c>
      <c r="B271" s="9">
        <v>1151.8900000000001</v>
      </c>
      <c r="C271" s="9">
        <v>1131.42</v>
      </c>
      <c r="D271" s="9">
        <v>1141.1600000000001</v>
      </c>
      <c r="E271" s="9">
        <f t="shared" si="12"/>
        <v>4.6023936352538163E-3</v>
      </c>
      <c r="F271" s="9">
        <f t="shared" si="10"/>
        <v>-9.3024406188451939E-2</v>
      </c>
      <c r="G271" s="9">
        <f t="shared" si="11"/>
        <v>1.856727804393956E-2</v>
      </c>
    </row>
    <row r="272" spans="1:7" x14ac:dyDescent="0.2">
      <c r="A272" s="12">
        <v>37531</v>
      </c>
      <c r="B272" s="9">
        <v>1170.1500000000001</v>
      </c>
      <c r="C272" s="9">
        <v>1134.81</v>
      </c>
      <c r="D272" s="9">
        <v>1154.03</v>
      </c>
      <c r="E272" s="9">
        <f t="shared" si="12"/>
        <v>1.1214875362580225E-2</v>
      </c>
      <c r="F272" s="9">
        <f t="shared" si="10"/>
        <v>-0.10171532643027884</v>
      </c>
      <c r="G272" s="9">
        <f t="shared" si="11"/>
        <v>1.8261215498331092E-2</v>
      </c>
    </row>
    <row r="273" spans="1:7" x14ac:dyDescent="0.2">
      <c r="A273" s="12">
        <v>37532</v>
      </c>
      <c r="B273" s="9">
        <v>1159.28</v>
      </c>
      <c r="C273" s="9">
        <v>1131.49</v>
      </c>
      <c r="D273" s="9">
        <v>1136.8800000000001</v>
      </c>
      <c r="E273" s="9">
        <f t="shared" si="12"/>
        <v>-1.4972495980330208E-2</v>
      </c>
      <c r="F273" s="9">
        <f t="shared" si="10"/>
        <v>-0.14701560194611801</v>
      </c>
      <c r="G273" s="9">
        <f t="shared" si="11"/>
        <v>1.7220179813016497E-2</v>
      </c>
    </row>
    <row r="274" spans="1:7" x14ac:dyDescent="0.2">
      <c r="A274" s="12">
        <v>37533</v>
      </c>
      <c r="B274" s="9">
        <v>1144.02</v>
      </c>
      <c r="C274" s="9">
        <v>1126.06</v>
      </c>
      <c r="D274" s="9">
        <v>1131.1400000000001</v>
      </c>
      <c r="E274" s="9">
        <f t="shared" si="12"/>
        <v>-5.0616945664098429E-3</v>
      </c>
      <c r="F274" s="9">
        <f t="shared" si="10"/>
        <v>-0.14768626784074845</v>
      </c>
      <c r="G274" s="9">
        <f t="shared" si="11"/>
        <v>1.7219930907822169E-2</v>
      </c>
    </row>
    <row r="275" spans="1:7" x14ac:dyDescent="0.2">
      <c r="A275" s="12">
        <v>37536</v>
      </c>
      <c r="B275" s="9">
        <v>1132.54</v>
      </c>
      <c r="C275" s="9">
        <v>1102.78</v>
      </c>
      <c r="D275" s="9">
        <v>1106.47</v>
      </c>
      <c r="E275" s="9">
        <f t="shared" si="12"/>
        <v>-2.2051206110588136E-2</v>
      </c>
      <c r="F275" s="9">
        <f t="shared" si="10"/>
        <v>-0.15821584916272316</v>
      </c>
      <c r="G275" s="9">
        <f t="shared" si="11"/>
        <v>1.7464639223376717E-2</v>
      </c>
    </row>
    <row r="276" spans="1:7" x14ac:dyDescent="0.2">
      <c r="A276" s="12">
        <v>37537</v>
      </c>
      <c r="B276" s="9">
        <v>1118.4100000000001</v>
      </c>
      <c r="C276" s="9">
        <v>1088.97</v>
      </c>
      <c r="D276" s="9">
        <v>1093.3699999999999</v>
      </c>
      <c r="E276" s="9">
        <f t="shared" si="12"/>
        <v>-1.1910097873501302E-2</v>
      </c>
      <c r="F276" s="9">
        <f t="shared" si="10"/>
        <v>-0.18362097345805412</v>
      </c>
      <c r="G276" s="9">
        <f t="shared" si="11"/>
        <v>1.713601725531819E-2</v>
      </c>
    </row>
    <row r="277" spans="1:7" x14ac:dyDescent="0.2">
      <c r="A277" s="12">
        <v>37538</v>
      </c>
      <c r="B277" s="9">
        <v>1104.73</v>
      </c>
      <c r="C277" s="9">
        <v>1085.51</v>
      </c>
      <c r="D277" s="9">
        <v>1097.8699999999999</v>
      </c>
      <c r="E277" s="9">
        <f t="shared" si="12"/>
        <v>4.1072692412706235E-3</v>
      </c>
      <c r="F277" s="9">
        <f t="shared" si="10"/>
        <v>-0.1640880112699542</v>
      </c>
      <c r="G277" s="9">
        <f t="shared" si="11"/>
        <v>1.7141359614221561E-2</v>
      </c>
    </row>
    <row r="278" spans="1:7" x14ac:dyDescent="0.2">
      <c r="A278" s="12">
        <v>37539</v>
      </c>
      <c r="B278" s="9">
        <v>1109.58</v>
      </c>
      <c r="C278" s="9">
        <v>1087.6300000000001</v>
      </c>
      <c r="D278" s="9">
        <v>1105.74</v>
      </c>
      <c r="E278" s="9">
        <f t="shared" si="12"/>
        <v>7.1428550976234042E-3</v>
      </c>
      <c r="F278" s="9">
        <f t="shared" si="10"/>
        <v>-0.13987911063087369</v>
      </c>
      <c r="G278" s="9">
        <f t="shared" si="11"/>
        <v>1.714644918525016E-2</v>
      </c>
    </row>
    <row r="279" spans="1:7" x14ac:dyDescent="0.2">
      <c r="A279" s="12">
        <v>37540</v>
      </c>
      <c r="B279" s="9">
        <v>1153.31</v>
      </c>
      <c r="C279" s="9">
        <v>1105.74</v>
      </c>
      <c r="D279" s="9">
        <v>1149.3900000000001</v>
      </c>
      <c r="E279" s="9">
        <f t="shared" si="12"/>
        <v>3.8716572772389407E-2</v>
      </c>
      <c r="F279" s="9">
        <f t="shared" si="10"/>
        <v>-0.10010831615402475</v>
      </c>
      <c r="G279" s="9">
        <f t="shared" si="11"/>
        <v>1.8884432725574617E-2</v>
      </c>
    </row>
    <row r="280" spans="1:7" x14ac:dyDescent="0.2">
      <c r="A280" s="12">
        <v>37543</v>
      </c>
      <c r="B280" s="9">
        <v>1160.8499999999999</v>
      </c>
      <c r="C280" s="9">
        <v>1136.94</v>
      </c>
      <c r="D280" s="9">
        <v>1143.58</v>
      </c>
      <c r="E280" s="9">
        <f t="shared" si="12"/>
        <v>-5.0676741815503818E-3</v>
      </c>
      <c r="F280" s="9">
        <f t="shared" si="10"/>
        <v>-0.10213297587841944</v>
      </c>
      <c r="G280" s="9">
        <f t="shared" si="11"/>
        <v>1.8886963733434004E-2</v>
      </c>
    </row>
    <row r="281" spans="1:7" x14ac:dyDescent="0.2">
      <c r="A281" s="12">
        <v>37544</v>
      </c>
      <c r="B281" s="9">
        <v>1204.81</v>
      </c>
      <c r="C281" s="9">
        <v>1143.58</v>
      </c>
      <c r="D281" s="9">
        <v>1199.26</v>
      </c>
      <c r="E281" s="9">
        <f t="shared" si="12"/>
        <v>4.7541007229491831E-2</v>
      </c>
      <c r="F281" s="9">
        <f t="shared" si="10"/>
        <v>-1.5792784420429366E-2</v>
      </c>
      <c r="G281" s="9">
        <f t="shared" si="11"/>
        <v>1.9860692712252902E-2</v>
      </c>
    </row>
    <row r="282" spans="1:7" x14ac:dyDescent="0.2">
      <c r="A282" s="12">
        <v>37545</v>
      </c>
      <c r="B282" s="9">
        <v>1211.21</v>
      </c>
      <c r="C282" s="9">
        <v>1184.3</v>
      </c>
      <c r="D282" s="9">
        <v>1191.17</v>
      </c>
      <c r="E282" s="9">
        <f t="shared" si="12"/>
        <v>-6.7686825273818958E-3</v>
      </c>
      <c r="F282" s="9">
        <f t="shared" si="10"/>
        <v>-2.1526746230061785E-2</v>
      </c>
      <c r="G282" s="9">
        <f t="shared" si="11"/>
        <v>1.9893317013956038E-2</v>
      </c>
    </row>
    <row r="283" spans="1:7" x14ac:dyDescent="0.2">
      <c r="A283" s="12">
        <v>37546</v>
      </c>
      <c r="B283" s="9">
        <v>1231.51</v>
      </c>
      <c r="C283" s="9">
        <v>1190.83</v>
      </c>
      <c r="D283" s="9">
        <v>1229.94</v>
      </c>
      <c r="E283" s="9">
        <f t="shared" si="12"/>
        <v>3.2029370323901733E-2</v>
      </c>
      <c r="F283" s="9">
        <f t="shared" si="10"/>
        <v>2.5888401319286956E-3</v>
      </c>
      <c r="G283" s="9">
        <f t="shared" si="11"/>
        <v>2.0724010454142499E-2</v>
      </c>
    </row>
    <row r="284" spans="1:7" x14ac:dyDescent="0.2">
      <c r="A284" s="12">
        <v>37547</v>
      </c>
      <c r="B284" s="9">
        <v>1244.5</v>
      </c>
      <c r="C284" s="9">
        <v>1213.46</v>
      </c>
      <c r="D284" s="9">
        <v>1237.46</v>
      </c>
      <c r="E284" s="9">
        <f t="shared" si="12"/>
        <v>6.0955039992636774E-3</v>
      </c>
      <c r="F284" s="9">
        <f t="shared" si="10"/>
        <v>-9.5625243613438552E-3</v>
      </c>
      <c r="G284" s="9">
        <f t="shared" si="11"/>
        <v>2.0474067676741717E-2</v>
      </c>
    </row>
    <row r="285" spans="1:7" x14ac:dyDescent="0.2">
      <c r="A285" s="12">
        <v>37550</v>
      </c>
      <c r="B285" s="9">
        <v>1248.6099999999999</v>
      </c>
      <c r="C285" s="9">
        <v>1223.8499999999999</v>
      </c>
      <c r="D285" s="9">
        <v>1230.48</v>
      </c>
      <c r="E285" s="9">
        <f t="shared" si="12"/>
        <v>-5.6565545445604118E-3</v>
      </c>
      <c r="F285" s="9">
        <f t="shared" si="10"/>
        <v>-1.4234082009487146E-2</v>
      </c>
      <c r="G285" s="9">
        <f t="shared" si="11"/>
        <v>2.0497061846806167E-2</v>
      </c>
    </row>
    <row r="286" spans="1:7" x14ac:dyDescent="0.2">
      <c r="A286" s="12">
        <v>37551</v>
      </c>
      <c r="B286" s="9">
        <v>1254.77</v>
      </c>
      <c r="C286" s="9">
        <v>1229.19</v>
      </c>
      <c r="D286" s="9">
        <v>1244.78</v>
      </c>
      <c r="E286" s="9">
        <f t="shared" si="12"/>
        <v>1.1554470313452903E-2</v>
      </c>
      <c r="F286" s="9">
        <f t="shared" si="10"/>
        <v>-1.4253879516122754E-2</v>
      </c>
      <c r="G286" s="9">
        <f t="shared" si="11"/>
        <v>2.0496660867808429E-2</v>
      </c>
    </row>
    <row r="287" spans="1:7" x14ac:dyDescent="0.2">
      <c r="A287" s="12">
        <v>37552</v>
      </c>
      <c r="B287" s="9">
        <v>1256.05</v>
      </c>
      <c r="C287" s="9">
        <v>1222.05</v>
      </c>
      <c r="D287" s="9">
        <v>1224.22</v>
      </c>
      <c r="E287" s="9">
        <f t="shared" si="12"/>
        <v>-1.6654900973684938E-2</v>
      </c>
      <c r="F287" s="9">
        <f t="shared" si="10"/>
        <v>-5.2322807876239705E-2</v>
      </c>
      <c r="G287" s="9">
        <f t="shared" si="11"/>
        <v>2.0271962814831821E-2</v>
      </c>
    </row>
    <row r="288" spans="1:7" x14ac:dyDescent="0.2">
      <c r="A288" s="12">
        <v>37553</v>
      </c>
      <c r="B288" s="9">
        <v>1258.06</v>
      </c>
      <c r="C288" s="9">
        <v>1219.8399999999999</v>
      </c>
      <c r="D288" s="9">
        <v>1252.95</v>
      </c>
      <c r="E288" s="9">
        <f t="shared" si="12"/>
        <v>2.3196864386702144E-2</v>
      </c>
      <c r="F288" s="9">
        <f t="shared" si="10"/>
        <v>-1.4035679632477959E-2</v>
      </c>
      <c r="G288" s="9">
        <f t="shared" si="11"/>
        <v>2.0605229890263897E-2</v>
      </c>
    </row>
    <row r="289" spans="1:7" x14ac:dyDescent="0.2">
      <c r="A289" s="12">
        <v>37554</v>
      </c>
      <c r="B289" s="9">
        <v>1253.54</v>
      </c>
      <c r="C289" s="9">
        <v>1225.3900000000001</v>
      </c>
      <c r="D289" s="9">
        <v>1236.74</v>
      </c>
      <c r="E289" s="9">
        <f t="shared" si="12"/>
        <v>-1.3021885503406792E-2</v>
      </c>
      <c r="F289" s="9">
        <f t="shared" ref="F289:F352" si="13">LN(D289/D259)</f>
        <v>-2.0432801968607649E-2</v>
      </c>
      <c r="G289" s="9">
        <f t="shared" ref="G289:G352" si="14">STDEV(E260:E289)</f>
        <v>2.0704007201126536E-2</v>
      </c>
    </row>
    <row r="290" spans="1:7" x14ac:dyDescent="0.2">
      <c r="A290" s="12">
        <v>37557</v>
      </c>
      <c r="B290" s="9">
        <v>1258.79</v>
      </c>
      <c r="C290" s="9">
        <v>1236.74</v>
      </c>
      <c r="D290" s="9">
        <v>1249.21</v>
      </c>
      <c r="E290" s="9">
        <f t="shared" si="12"/>
        <v>1.0032466133543451E-2</v>
      </c>
      <c r="F290" s="9">
        <f t="shared" si="13"/>
        <v>-6.5904143303064195E-3</v>
      </c>
      <c r="G290" s="9">
        <f t="shared" si="14"/>
        <v>2.0785957832457003E-2</v>
      </c>
    </row>
    <row r="291" spans="1:7" x14ac:dyDescent="0.2">
      <c r="A291" s="12">
        <v>37558</v>
      </c>
      <c r="B291" s="9">
        <v>1251.3399999999999</v>
      </c>
      <c r="C291" s="9">
        <v>1197.26</v>
      </c>
      <c r="D291" s="9">
        <v>1199.82</v>
      </c>
      <c r="E291" s="9">
        <f t="shared" si="12"/>
        <v>-4.0339805975195125E-2</v>
      </c>
      <c r="F291" s="9">
        <f t="shared" si="13"/>
        <v>-4.6039146104398826E-2</v>
      </c>
      <c r="G291" s="9">
        <f t="shared" si="14"/>
        <v>2.2039874157248392E-2</v>
      </c>
    </row>
    <row r="292" spans="1:7" x14ac:dyDescent="0.2">
      <c r="A292" s="12">
        <v>37559</v>
      </c>
      <c r="B292" s="9">
        <v>1223.43</v>
      </c>
      <c r="C292" s="9">
        <v>1199.82</v>
      </c>
      <c r="D292" s="9">
        <v>1213.1400000000001</v>
      </c>
      <c r="E292" s="9">
        <f t="shared" si="12"/>
        <v>1.1040494082297935E-2</v>
      </c>
      <c r="F292" s="9">
        <f t="shared" si="13"/>
        <v>-1.7308952480670688E-4</v>
      </c>
      <c r="G292" s="9">
        <f t="shared" si="14"/>
        <v>2.122673222961266E-2</v>
      </c>
    </row>
    <row r="293" spans="1:7" x14ac:dyDescent="0.2">
      <c r="A293" s="12">
        <v>37560</v>
      </c>
      <c r="B293" s="9">
        <v>1242.5899999999999</v>
      </c>
      <c r="C293" s="9">
        <v>1213.1400000000001</v>
      </c>
      <c r="D293" s="9">
        <v>1242.03</v>
      </c>
      <c r="E293" s="9">
        <f t="shared" si="12"/>
        <v>2.3535098183814118E-2</v>
      </c>
      <c r="F293" s="9">
        <f t="shared" si="13"/>
        <v>3.1172544546859651E-2</v>
      </c>
      <c r="G293" s="9">
        <f t="shared" si="14"/>
        <v>2.1597539075832225E-2</v>
      </c>
    </row>
    <row r="294" spans="1:7" x14ac:dyDescent="0.2">
      <c r="A294" s="12">
        <v>37561</v>
      </c>
      <c r="B294" s="9">
        <v>1243.04</v>
      </c>
      <c r="C294" s="9">
        <v>1216.42</v>
      </c>
      <c r="D294" s="9">
        <v>1224.25</v>
      </c>
      <c r="E294" s="9">
        <f t="shared" si="12"/>
        <v>-1.4418726208651879E-2</v>
      </c>
      <c r="F294" s="9">
        <f t="shared" si="13"/>
        <v>2.7241293701768993E-2</v>
      </c>
      <c r="G294" s="9">
        <f t="shared" si="14"/>
        <v>2.1681649880101336E-2</v>
      </c>
    </row>
    <row r="295" spans="1:7" x14ac:dyDescent="0.2">
      <c r="A295" s="12">
        <v>37564</v>
      </c>
      <c r="B295" s="9">
        <v>1266.72</v>
      </c>
      <c r="C295" s="9">
        <v>1223.95</v>
      </c>
      <c r="D295" s="9">
        <v>1264.3</v>
      </c>
      <c r="E295" s="9">
        <f t="shared" si="12"/>
        <v>3.2190197735425259E-2</v>
      </c>
      <c r="F295" s="9">
        <f t="shared" si="13"/>
        <v>7.6865498757474351E-2</v>
      </c>
      <c r="G295" s="9">
        <f t="shared" si="14"/>
        <v>2.2122528146318422E-2</v>
      </c>
    </row>
    <row r="296" spans="1:7" x14ac:dyDescent="0.2">
      <c r="A296" s="12">
        <v>37565</v>
      </c>
      <c r="B296" s="9">
        <v>1269.8699999999999</v>
      </c>
      <c r="C296" s="9">
        <v>1253.77</v>
      </c>
      <c r="D296" s="9">
        <v>1265.47</v>
      </c>
      <c r="E296" s="9">
        <f t="shared" si="12"/>
        <v>9.2498534129265919E-4</v>
      </c>
      <c r="F296" s="9">
        <f t="shared" si="13"/>
        <v>0.11154595802077</v>
      </c>
      <c r="G296" s="9">
        <f t="shared" si="14"/>
        <v>2.1038878908240754E-2</v>
      </c>
    </row>
    <row r="297" spans="1:7" x14ac:dyDescent="0.2">
      <c r="A297" s="12">
        <v>37566</v>
      </c>
      <c r="B297" s="9">
        <v>1275.74</v>
      </c>
      <c r="C297" s="9">
        <v>1262.6500000000001</v>
      </c>
      <c r="D297" s="9">
        <v>1267.19</v>
      </c>
      <c r="E297" s="9">
        <f t="shared" si="12"/>
        <v>1.3582559557380682E-3</v>
      </c>
      <c r="F297" s="9">
        <f t="shared" si="13"/>
        <v>0.10387188883148775</v>
      </c>
      <c r="G297" s="9">
        <f t="shared" si="14"/>
        <v>2.1018681911423021E-2</v>
      </c>
    </row>
    <row r="298" spans="1:7" x14ac:dyDescent="0.2">
      <c r="A298" s="12">
        <v>37567</v>
      </c>
      <c r="B298" s="9">
        <v>1283.1500000000001</v>
      </c>
      <c r="C298" s="9">
        <v>1253.97</v>
      </c>
      <c r="D298" s="9">
        <v>1257.3800000000001</v>
      </c>
      <c r="E298" s="9">
        <f t="shared" si="12"/>
        <v>-7.7716596298634298E-3</v>
      </c>
      <c r="F298" s="9">
        <f t="shared" si="13"/>
        <v>6.7991857045934176E-2</v>
      </c>
      <c r="G298" s="9">
        <f t="shared" si="14"/>
        <v>2.0584252450838548E-2</v>
      </c>
    </row>
    <row r="299" spans="1:7" x14ac:dyDescent="0.2">
      <c r="A299" s="12">
        <v>37568</v>
      </c>
      <c r="B299" s="9">
        <v>1261.26</v>
      </c>
      <c r="C299" s="9">
        <v>1246.5999999999999</v>
      </c>
      <c r="D299" s="9">
        <v>1249.3699999999999</v>
      </c>
      <c r="E299" s="9">
        <f t="shared" si="12"/>
        <v>-6.390766739363357E-3</v>
      </c>
      <c r="F299" s="9">
        <f t="shared" si="13"/>
        <v>5.5710732077045189E-2</v>
      </c>
      <c r="G299" s="9">
        <f t="shared" si="14"/>
        <v>2.0631761446478103E-2</v>
      </c>
    </row>
    <row r="300" spans="1:7" x14ac:dyDescent="0.2">
      <c r="A300" s="12">
        <v>37571</v>
      </c>
      <c r="B300" s="9">
        <v>1254.79</v>
      </c>
      <c r="C300" s="9">
        <v>1228.0899999999999</v>
      </c>
      <c r="D300" s="9">
        <v>1229.5</v>
      </c>
      <c r="E300" s="9">
        <f t="shared" si="12"/>
        <v>-1.6031841589408628E-2</v>
      </c>
      <c r="F300" s="9">
        <f t="shared" si="13"/>
        <v>7.9164687390145025E-2</v>
      </c>
      <c r="G300" s="9">
        <f t="shared" si="14"/>
        <v>1.9419918868429205E-2</v>
      </c>
    </row>
    <row r="301" spans="1:7" x14ac:dyDescent="0.2">
      <c r="A301" s="12">
        <v>37572</v>
      </c>
      <c r="B301" s="9">
        <v>1242.32</v>
      </c>
      <c r="C301" s="9">
        <v>1227.27</v>
      </c>
      <c r="D301" s="9">
        <v>1239.68</v>
      </c>
      <c r="E301" s="9">
        <f t="shared" si="12"/>
        <v>8.2456991223292444E-3</v>
      </c>
      <c r="F301" s="9">
        <f t="shared" si="13"/>
        <v>8.2807992877220321E-2</v>
      </c>
      <c r="G301" s="9">
        <f t="shared" si="14"/>
        <v>1.9443998464069301E-2</v>
      </c>
    </row>
    <row r="302" spans="1:7" x14ac:dyDescent="0.2">
      <c r="A302" s="12">
        <v>37573</v>
      </c>
      <c r="B302" s="9">
        <v>1251</v>
      </c>
      <c r="C302" s="9">
        <v>1234.3900000000001</v>
      </c>
      <c r="D302" s="9">
        <v>1242.77</v>
      </c>
      <c r="E302" s="9">
        <f t="shared" si="12"/>
        <v>2.489477408089111E-3</v>
      </c>
      <c r="F302" s="9">
        <f t="shared" si="13"/>
        <v>7.4082594922729311E-2</v>
      </c>
      <c r="G302" s="9">
        <f t="shared" si="14"/>
        <v>1.9378319180887262E-2</v>
      </c>
    </row>
    <row r="303" spans="1:7" x14ac:dyDescent="0.2">
      <c r="A303" s="12">
        <v>37574</v>
      </c>
      <c r="B303" s="9">
        <v>1274.2</v>
      </c>
      <c r="C303" s="9">
        <v>1241.08</v>
      </c>
      <c r="D303" s="9">
        <v>1269.73</v>
      </c>
      <c r="E303" s="9">
        <f t="shared" si="12"/>
        <v>2.1461520238525759E-2</v>
      </c>
      <c r="F303" s="9">
        <f t="shared" si="13"/>
        <v>0.11051661114158534</v>
      </c>
      <c r="G303" s="9">
        <f t="shared" si="14"/>
        <v>1.9389198830013187E-2</v>
      </c>
    </row>
    <row r="304" spans="1:7" x14ac:dyDescent="0.2">
      <c r="A304" s="12">
        <v>37575</v>
      </c>
      <c r="B304" s="9">
        <v>1282.56</v>
      </c>
      <c r="C304" s="9">
        <v>1264.25</v>
      </c>
      <c r="D304" s="9">
        <v>1273.6300000000001</v>
      </c>
      <c r="E304" s="9">
        <f t="shared" si="12"/>
        <v>3.0668116638879975E-3</v>
      </c>
      <c r="F304" s="9">
        <f t="shared" si="13"/>
        <v>0.11864511737188316</v>
      </c>
      <c r="G304" s="9">
        <f t="shared" si="14"/>
        <v>1.9319440870389348E-2</v>
      </c>
    </row>
    <row r="305" spans="1:7" x14ac:dyDescent="0.2">
      <c r="A305" s="12">
        <v>37578</v>
      </c>
      <c r="B305" s="9">
        <v>1291.25</v>
      </c>
      <c r="C305" s="9">
        <v>1273.06</v>
      </c>
      <c r="D305" s="9">
        <v>1287.8</v>
      </c>
      <c r="E305" s="9">
        <f t="shared" si="12"/>
        <v>1.1064245015003762E-2</v>
      </c>
      <c r="F305" s="9">
        <f t="shared" si="13"/>
        <v>0.15176056849747491</v>
      </c>
      <c r="G305" s="9">
        <f t="shared" si="14"/>
        <v>1.8719027772603692E-2</v>
      </c>
    </row>
    <row r="306" spans="1:7" x14ac:dyDescent="0.2">
      <c r="A306" s="12">
        <v>37579</v>
      </c>
      <c r="B306" s="9">
        <v>1290</v>
      </c>
      <c r="C306" s="9">
        <v>1271.6600000000001</v>
      </c>
      <c r="D306" s="9">
        <v>1274.1300000000001</v>
      </c>
      <c r="E306" s="9">
        <f t="shared" si="12"/>
        <v>-1.0671743361457773E-2</v>
      </c>
      <c r="F306" s="9">
        <f t="shared" si="13"/>
        <v>0.15299892300951851</v>
      </c>
      <c r="G306" s="9">
        <f t="shared" si="14"/>
        <v>1.8681646614919244E-2</v>
      </c>
    </row>
    <row r="307" spans="1:7" x14ac:dyDescent="0.2">
      <c r="A307" s="12">
        <v>37580</v>
      </c>
      <c r="B307" s="9">
        <v>1282.79</v>
      </c>
      <c r="C307" s="9">
        <v>1266.9100000000001</v>
      </c>
      <c r="D307" s="9">
        <v>1281.01</v>
      </c>
      <c r="E307" s="9">
        <f t="shared" si="12"/>
        <v>5.3852365248881779E-3</v>
      </c>
      <c r="F307" s="9">
        <f t="shared" si="13"/>
        <v>0.15427689029313602</v>
      </c>
      <c r="G307" s="9">
        <f t="shared" si="14"/>
        <v>1.868076198729908E-2</v>
      </c>
    </row>
    <row r="308" spans="1:7" x14ac:dyDescent="0.2">
      <c r="A308" s="12">
        <v>37581</v>
      </c>
      <c r="B308" s="9">
        <v>1323.85</v>
      </c>
      <c r="C308" s="9">
        <v>1281.01</v>
      </c>
      <c r="D308" s="9">
        <v>1322.28</v>
      </c>
      <c r="E308" s="9">
        <f t="shared" si="12"/>
        <v>3.1708690020172382E-2</v>
      </c>
      <c r="F308" s="9">
        <f t="shared" si="13"/>
        <v>0.17884272521568512</v>
      </c>
      <c r="G308" s="9">
        <f t="shared" si="14"/>
        <v>1.9299631148942821E-2</v>
      </c>
    </row>
    <row r="309" spans="1:7" x14ac:dyDescent="0.2">
      <c r="A309" s="12">
        <v>37582</v>
      </c>
      <c r="B309" s="9">
        <v>1333.94</v>
      </c>
      <c r="C309" s="9">
        <v>1319.08</v>
      </c>
      <c r="D309" s="9">
        <v>1327.58</v>
      </c>
      <c r="E309" s="9">
        <f t="shared" si="12"/>
        <v>4.0002166661109945E-3</v>
      </c>
      <c r="F309" s="9">
        <f t="shared" si="13"/>
        <v>0.14412636910940677</v>
      </c>
      <c r="G309" s="9">
        <f t="shared" si="14"/>
        <v>1.8281863547084144E-2</v>
      </c>
    </row>
    <row r="310" spans="1:7" x14ac:dyDescent="0.2">
      <c r="A310" s="12">
        <v>37585</v>
      </c>
      <c r="B310" s="9">
        <v>1347.88</v>
      </c>
      <c r="C310" s="9">
        <v>1327.58</v>
      </c>
      <c r="D310" s="9">
        <v>1347.82</v>
      </c>
      <c r="E310" s="9">
        <f t="shared" si="12"/>
        <v>1.5130736445106679E-2</v>
      </c>
      <c r="F310" s="9">
        <f t="shared" si="13"/>
        <v>0.16432477973606371</v>
      </c>
      <c r="G310" s="9">
        <f t="shared" si="14"/>
        <v>1.8277698180813061E-2</v>
      </c>
    </row>
    <row r="311" spans="1:7" x14ac:dyDescent="0.2">
      <c r="A311" s="12">
        <v>37586</v>
      </c>
      <c r="B311" s="9">
        <v>1353.05</v>
      </c>
      <c r="C311" s="9">
        <v>1324.43</v>
      </c>
      <c r="D311" s="9">
        <v>1326.74</v>
      </c>
      <c r="E311" s="9">
        <f t="shared" si="12"/>
        <v>-1.576366693430321E-2</v>
      </c>
      <c r="F311" s="9">
        <f t="shared" si="13"/>
        <v>0.10102010557226852</v>
      </c>
      <c r="G311" s="9">
        <f t="shared" si="14"/>
        <v>1.6852727344896779E-2</v>
      </c>
    </row>
    <row r="312" spans="1:7" x14ac:dyDescent="0.2">
      <c r="A312" s="12">
        <v>37587</v>
      </c>
      <c r="B312" s="9">
        <v>1369.19</v>
      </c>
      <c r="C312" s="9">
        <v>1323.5</v>
      </c>
      <c r="D312" s="9">
        <v>1362.47</v>
      </c>
      <c r="E312" s="9">
        <f t="shared" si="12"/>
        <v>2.6574423481767605E-2</v>
      </c>
      <c r="F312" s="9">
        <f t="shared" si="13"/>
        <v>0.13436321158141798</v>
      </c>
      <c r="G312" s="9">
        <f t="shared" si="14"/>
        <v>1.7255872936840017E-2</v>
      </c>
    </row>
    <row r="313" spans="1:7" x14ac:dyDescent="0.2">
      <c r="A313" s="12">
        <v>37588</v>
      </c>
      <c r="B313" s="9">
        <v>1388.77</v>
      </c>
      <c r="C313" s="9">
        <v>1362.47</v>
      </c>
      <c r="D313" s="9">
        <v>1386.11</v>
      </c>
      <c r="E313" s="9">
        <f t="shared" si="12"/>
        <v>1.7202033733604256E-2</v>
      </c>
      <c r="F313" s="9">
        <f t="shared" si="13"/>
        <v>0.11953587499112055</v>
      </c>
      <c r="G313" s="9">
        <f t="shared" si="14"/>
        <v>1.6640941426595158E-2</v>
      </c>
    </row>
    <row r="314" spans="1:7" x14ac:dyDescent="0.2">
      <c r="A314" s="12">
        <v>37589</v>
      </c>
      <c r="B314" s="9">
        <v>1393.57</v>
      </c>
      <c r="C314" s="9">
        <v>1377.42</v>
      </c>
      <c r="D314" s="9">
        <v>1388.09</v>
      </c>
      <c r="E314" s="9">
        <f t="shared" si="12"/>
        <v>1.4274387832173814E-3</v>
      </c>
      <c r="F314" s="9">
        <f t="shared" si="13"/>
        <v>0.11486780977507458</v>
      </c>
      <c r="G314" s="9">
        <f t="shared" si="14"/>
        <v>1.6642346434700316E-2</v>
      </c>
    </row>
    <row r="315" spans="1:7" x14ac:dyDescent="0.2">
      <c r="A315" s="12">
        <v>37592</v>
      </c>
      <c r="B315" s="9">
        <v>1419.53</v>
      </c>
      <c r="C315" s="9">
        <v>1388.09</v>
      </c>
      <c r="D315" s="9">
        <v>1399.6</v>
      </c>
      <c r="E315" s="9">
        <f t="shared" si="12"/>
        <v>8.2577800303431093E-3</v>
      </c>
      <c r="F315" s="9">
        <f t="shared" si="13"/>
        <v>0.12878214434997803</v>
      </c>
      <c r="G315" s="9">
        <f t="shared" si="14"/>
        <v>1.6562577163292267E-2</v>
      </c>
    </row>
    <row r="316" spans="1:7" x14ac:dyDescent="0.2">
      <c r="A316" s="12">
        <v>37593</v>
      </c>
      <c r="B316" s="9">
        <v>1406.67</v>
      </c>
      <c r="C316" s="9">
        <v>1350.99</v>
      </c>
      <c r="D316" s="9">
        <v>1356.07</v>
      </c>
      <c r="E316" s="9">
        <f t="shared" si="12"/>
        <v>-3.1595670906704176E-2</v>
      </c>
      <c r="F316" s="9">
        <f t="shared" si="13"/>
        <v>8.5632003129820819E-2</v>
      </c>
      <c r="G316" s="9">
        <f t="shared" si="14"/>
        <v>1.7741856380545339E-2</v>
      </c>
    </row>
    <row r="317" spans="1:7" x14ac:dyDescent="0.2">
      <c r="A317" s="12">
        <v>37594</v>
      </c>
      <c r="B317" s="9">
        <v>1364.63</v>
      </c>
      <c r="C317" s="9">
        <v>1343.38</v>
      </c>
      <c r="D317" s="9">
        <v>1348.31</v>
      </c>
      <c r="E317" s="9">
        <f t="shared" si="12"/>
        <v>-5.7388542272889739E-3</v>
      </c>
      <c r="F317" s="9">
        <f t="shared" si="13"/>
        <v>9.6548049876216804E-2</v>
      </c>
      <c r="G317" s="9">
        <f t="shared" si="14"/>
        <v>1.7437266627692599E-2</v>
      </c>
    </row>
    <row r="318" spans="1:7" x14ac:dyDescent="0.2">
      <c r="A318" s="12">
        <v>37595</v>
      </c>
      <c r="B318" s="9">
        <v>1374.08</v>
      </c>
      <c r="C318" s="9">
        <v>1346.06</v>
      </c>
      <c r="D318" s="9">
        <v>1356.14</v>
      </c>
      <c r="E318" s="9">
        <f t="shared" si="12"/>
        <v>5.7904726491780113E-3</v>
      </c>
      <c r="F318" s="9">
        <f t="shared" si="13"/>
        <v>7.9141658138692617E-2</v>
      </c>
      <c r="G318" s="9">
        <f t="shared" si="14"/>
        <v>1.7034510888163438E-2</v>
      </c>
    </row>
    <row r="319" spans="1:7" x14ac:dyDescent="0.2">
      <c r="A319" s="12">
        <v>37599</v>
      </c>
      <c r="B319" s="9">
        <v>1368.52</v>
      </c>
      <c r="C319" s="9">
        <v>1324.51</v>
      </c>
      <c r="D319" s="9">
        <v>1328.26</v>
      </c>
      <c r="E319" s="9">
        <f t="shared" si="12"/>
        <v>-2.0772614002824631E-2</v>
      </c>
      <c r="F319" s="9">
        <f t="shared" si="13"/>
        <v>7.1390929639274722E-2</v>
      </c>
      <c r="G319" s="9">
        <f t="shared" si="14"/>
        <v>1.7336313796849679E-2</v>
      </c>
    </row>
    <row r="320" spans="1:7" x14ac:dyDescent="0.2">
      <c r="A320" s="12">
        <v>37600</v>
      </c>
      <c r="B320" s="9">
        <v>1332.66</v>
      </c>
      <c r="C320" s="9">
        <v>1306.8499999999999</v>
      </c>
      <c r="D320" s="9">
        <v>1313.69</v>
      </c>
      <c r="E320" s="9">
        <f t="shared" si="12"/>
        <v>-1.102984364739841E-2</v>
      </c>
      <c r="F320" s="9">
        <f t="shared" si="13"/>
        <v>5.0328619858332882E-2</v>
      </c>
      <c r="G320" s="9">
        <f t="shared" si="14"/>
        <v>1.7441872996595425E-2</v>
      </c>
    </row>
    <row r="321" spans="1:7" x14ac:dyDescent="0.2">
      <c r="A321" s="12">
        <v>37601</v>
      </c>
      <c r="B321" s="9">
        <v>1330.55</v>
      </c>
      <c r="C321" s="9">
        <v>1313.48</v>
      </c>
      <c r="D321" s="9">
        <v>1322.8</v>
      </c>
      <c r="E321" s="9">
        <f t="shared" si="12"/>
        <v>6.9107307491431177E-3</v>
      </c>
      <c r="F321" s="9">
        <f t="shared" si="13"/>
        <v>9.7579156582671203E-2</v>
      </c>
      <c r="G321" s="9">
        <f t="shared" si="14"/>
        <v>1.5547313699154552E-2</v>
      </c>
    </row>
    <row r="322" spans="1:7" x14ac:dyDescent="0.2">
      <c r="A322" s="12">
        <v>37602</v>
      </c>
      <c r="B322" s="9">
        <v>1331.99</v>
      </c>
      <c r="C322" s="9">
        <v>1308.06</v>
      </c>
      <c r="D322" s="9">
        <v>1311.66</v>
      </c>
      <c r="E322" s="9">
        <f t="shared" si="12"/>
        <v>-8.4571915292820724E-3</v>
      </c>
      <c r="F322" s="9">
        <f t="shared" si="13"/>
        <v>7.8081470971091013E-2</v>
      </c>
      <c r="G322" s="9">
        <f t="shared" si="14"/>
        <v>1.5617902382296369E-2</v>
      </c>
    </row>
    <row r="323" spans="1:7" x14ac:dyDescent="0.2">
      <c r="A323" s="12">
        <v>37603</v>
      </c>
      <c r="B323" s="9">
        <v>1313.35</v>
      </c>
      <c r="C323" s="9">
        <v>1286.0899999999999</v>
      </c>
      <c r="D323" s="9">
        <v>1293.71</v>
      </c>
      <c r="E323" s="9">
        <f t="shared" si="12"/>
        <v>-1.3779450917039774E-2</v>
      </c>
      <c r="F323" s="9">
        <f t="shared" si="13"/>
        <v>4.0766921870237047E-2</v>
      </c>
      <c r="G323" s="9">
        <f t="shared" si="14"/>
        <v>1.5377374329995952E-2</v>
      </c>
    </row>
    <row r="324" spans="1:7" x14ac:dyDescent="0.2">
      <c r="A324" s="12">
        <v>37606</v>
      </c>
      <c r="B324" s="9">
        <v>1307.99</v>
      </c>
      <c r="C324" s="9">
        <v>1293.71</v>
      </c>
      <c r="D324" s="9">
        <v>1304.46</v>
      </c>
      <c r="E324" s="9">
        <f t="shared" ref="E324:E387" si="15">LN(D324/D323)</f>
        <v>8.2751023560389755E-3</v>
      </c>
      <c r="F324" s="9">
        <f t="shared" si="13"/>
        <v>6.3460750434927979E-2</v>
      </c>
      <c r="G324" s="9">
        <f t="shared" si="14"/>
        <v>1.5130671164261689E-2</v>
      </c>
    </row>
    <row r="325" spans="1:7" x14ac:dyDescent="0.2">
      <c r="A325" s="12">
        <v>37607</v>
      </c>
      <c r="B325" s="9">
        <v>1314.49</v>
      </c>
      <c r="C325" s="9">
        <v>1297.67</v>
      </c>
      <c r="D325" s="9">
        <v>1300.96</v>
      </c>
      <c r="E325" s="9">
        <f t="shared" si="15"/>
        <v>-2.6867085578273888E-3</v>
      </c>
      <c r="F325" s="9">
        <f t="shared" si="13"/>
        <v>2.8583844141675464E-2</v>
      </c>
      <c r="G325" s="9">
        <f t="shared" si="14"/>
        <v>1.4040822685855582E-2</v>
      </c>
    </row>
    <row r="326" spans="1:7" x14ac:dyDescent="0.2">
      <c r="A326" s="12">
        <v>37608</v>
      </c>
      <c r="B326" s="9">
        <v>1330.21</v>
      </c>
      <c r="C326" s="9">
        <v>1300.96</v>
      </c>
      <c r="D326" s="9">
        <v>1317.19</v>
      </c>
      <c r="E326" s="9">
        <f t="shared" si="15"/>
        <v>1.2398226152339122E-2</v>
      </c>
      <c r="F326" s="9">
        <f t="shared" si="13"/>
        <v>4.0057084952721908E-2</v>
      </c>
      <c r="G326" s="9">
        <f t="shared" si="14"/>
        <v>1.4195440784251587E-2</v>
      </c>
    </row>
    <row r="327" spans="1:7" x14ac:dyDescent="0.2">
      <c r="A327" s="12">
        <v>37609</v>
      </c>
      <c r="B327" s="9">
        <v>1328.74</v>
      </c>
      <c r="C327" s="9">
        <v>1301.6099999999999</v>
      </c>
      <c r="D327" s="9">
        <v>1302.94</v>
      </c>
      <c r="E327" s="9">
        <f t="shared" si="15"/>
        <v>-1.0877430129745685E-2</v>
      </c>
      <c r="F327" s="9">
        <f t="shared" si="13"/>
        <v>2.7821398867238119E-2</v>
      </c>
      <c r="G327" s="9">
        <f t="shared" si="14"/>
        <v>1.4369464655841416E-2</v>
      </c>
    </row>
    <row r="328" spans="1:7" x14ac:dyDescent="0.2">
      <c r="A328" s="12">
        <v>37610</v>
      </c>
      <c r="B328" s="9">
        <v>1312.13</v>
      </c>
      <c r="C328" s="9">
        <v>1294.71</v>
      </c>
      <c r="D328" s="9">
        <v>1294.96</v>
      </c>
      <c r="E328" s="9">
        <f t="shared" si="15"/>
        <v>-6.1434428564157212E-3</v>
      </c>
      <c r="F328" s="9">
        <f t="shared" si="13"/>
        <v>2.9449615640685801E-2</v>
      </c>
      <c r="G328" s="9">
        <f t="shared" si="14"/>
        <v>1.4338516727278103E-2</v>
      </c>
    </row>
    <row r="329" spans="1:7" x14ac:dyDescent="0.2">
      <c r="A329" s="12">
        <v>37613</v>
      </c>
      <c r="B329" s="9">
        <v>1305.3499999999999</v>
      </c>
      <c r="C329" s="9">
        <v>1291.79</v>
      </c>
      <c r="D329" s="9">
        <v>1296.19</v>
      </c>
      <c r="E329" s="9">
        <f t="shared" si="15"/>
        <v>9.4938547933277352E-4</v>
      </c>
      <c r="F329" s="9">
        <f t="shared" si="13"/>
        <v>3.6789767859382018E-2</v>
      </c>
      <c r="G329" s="9">
        <f t="shared" si="14"/>
        <v>1.4270842379296747E-2</v>
      </c>
    </row>
    <row r="330" spans="1:7" x14ac:dyDescent="0.2">
      <c r="A330" s="12">
        <v>37617</v>
      </c>
      <c r="B330" s="9">
        <v>1297.1400000000001</v>
      </c>
      <c r="C330" s="9">
        <v>1276.1199999999999</v>
      </c>
      <c r="D330" s="9">
        <v>1278.3</v>
      </c>
      <c r="E330" s="9">
        <f t="shared" si="15"/>
        <v>-1.3898121931061913E-2</v>
      </c>
      <c r="F330" s="9">
        <f t="shared" si="13"/>
        <v>3.8923487517728679E-2</v>
      </c>
      <c r="G330" s="9">
        <f t="shared" si="14"/>
        <v>1.4186934426189251E-2</v>
      </c>
    </row>
    <row r="331" spans="1:7" x14ac:dyDescent="0.2">
      <c r="A331" s="12">
        <v>37620</v>
      </c>
      <c r="B331" s="9">
        <v>1297.1400000000001</v>
      </c>
      <c r="C331" s="9">
        <v>1273.48</v>
      </c>
      <c r="D331" s="9">
        <v>1293.1600000000001</v>
      </c>
      <c r="E331" s="9">
        <f t="shared" si="15"/>
        <v>1.1557765175111236E-2</v>
      </c>
      <c r="F331" s="9">
        <f t="shared" si="13"/>
        <v>4.2235553570510793E-2</v>
      </c>
      <c r="G331" s="9">
        <f t="shared" si="14"/>
        <v>1.4255591025345019E-2</v>
      </c>
    </row>
    <row r="332" spans="1:7" x14ac:dyDescent="0.2">
      <c r="A332" s="12">
        <v>37623</v>
      </c>
      <c r="B332" s="9">
        <v>1339.7</v>
      </c>
      <c r="C332" s="9">
        <v>1292.48</v>
      </c>
      <c r="D332" s="9">
        <v>1337.1</v>
      </c>
      <c r="E332" s="9">
        <f t="shared" si="15"/>
        <v>3.3414254271532585E-2</v>
      </c>
      <c r="F332" s="9">
        <f t="shared" si="13"/>
        <v>7.3160330433954243E-2</v>
      </c>
      <c r="G332" s="9">
        <f t="shared" si="14"/>
        <v>1.5408009800405475E-2</v>
      </c>
    </row>
    <row r="333" spans="1:7" x14ac:dyDescent="0.2">
      <c r="A333" s="12">
        <v>37624</v>
      </c>
      <c r="B333" s="9">
        <v>1358.29</v>
      </c>
      <c r="C333" s="9">
        <v>1337.1</v>
      </c>
      <c r="D333" s="9">
        <v>1348.32</v>
      </c>
      <c r="E333" s="9">
        <f t="shared" si="15"/>
        <v>8.3562834034233147E-3</v>
      </c>
      <c r="F333" s="9">
        <f t="shared" si="13"/>
        <v>6.0055093598851715E-2</v>
      </c>
      <c r="G333" s="9">
        <f t="shared" si="14"/>
        <v>1.5031255740603456E-2</v>
      </c>
    </row>
    <row r="334" spans="1:7" x14ac:dyDescent="0.2">
      <c r="A334" s="12">
        <v>37628</v>
      </c>
      <c r="B334" s="9">
        <v>1370.24</v>
      </c>
      <c r="C334" s="9">
        <v>1338.64</v>
      </c>
      <c r="D334" s="9">
        <v>1340.09</v>
      </c>
      <c r="E334" s="9">
        <f t="shared" si="15"/>
        <v>-6.1225971553941676E-3</v>
      </c>
      <c r="F334" s="9">
        <f t="shared" si="13"/>
        <v>5.0865684779569667E-2</v>
      </c>
      <c r="G334" s="9">
        <f t="shared" si="14"/>
        <v>1.5102270020234185E-2</v>
      </c>
    </row>
    <row r="335" spans="1:7" x14ac:dyDescent="0.2">
      <c r="A335" s="12">
        <v>37629</v>
      </c>
      <c r="B335" s="9">
        <v>1345.65</v>
      </c>
      <c r="C335" s="9">
        <v>1312.34</v>
      </c>
      <c r="D335" s="9">
        <v>1313.97</v>
      </c>
      <c r="E335" s="9">
        <f t="shared" si="15"/>
        <v>-1.968368713495379E-2</v>
      </c>
      <c r="F335" s="9">
        <f t="shared" si="13"/>
        <v>2.0117752629612014E-2</v>
      </c>
      <c r="G335" s="9">
        <f t="shared" si="14"/>
        <v>1.5483095771269554E-2</v>
      </c>
    </row>
    <row r="336" spans="1:7" x14ac:dyDescent="0.2">
      <c r="A336" s="12">
        <v>37630</v>
      </c>
      <c r="B336" s="9">
        <v>1322.76</v>
      </c>
      <c r="C336" s="9">
        <v>1301.5</v>
      </c>
      <c r="D336" s="9">
        <v>1320.6</v>
      </c>
      <c r="E336" s="9">
        <f t="shared" si="15"/>
        <v>5.0330900267756794E-3</v>
      </c>
      <c r="F336" s="9">
        <f t="shared" si="13"/>
        <v>3.5822586017845715E-2</v>
      </c>
      <c r="G336" s="9">
        <f t="shared" si="14"/>
        <v>1.5351314464046219E-2</v>
      </c>
    </row>
    <row r="337" spans="1:7" x14ac:dyDescent="0.2">
      <c r="A337" s="12">
        <v>37631</v>
      </c>
      <c r="B337" s="9">
        <v>1328.5</v>
      </c>
      <c r="C337" s="9">
        <v>1316.37</v>
      </c>
      <c r="D337" s="9">
        <v>1325.86</v>
      </c>
      <c r="E337" s="9">
        <f t="shared" si="15"/>
        <v>3.9751267174870193E-3</v>
      </c>
      <c r="F337" s="9">
        <f t="shared" si="13"/>
        <v>3.4412476210444409E-2</v>
      </c>
      <c r="G337" s="9">
        <f t="shared" si="14"/>
        <v>1.5340193972653579E-2</v>
      </c>
    </row>
    <row r="338" spans="1:7" x14ac:dyDescent="0.2">
      <c r="A338" s="12">
        <v>37634</v>
      </c>
      <c r="B338" s="9">
        <v>1351.68</v>
      </c>
      <c r="C338" s="9">
        <v>1325.86</v>
      </c>
      <c r="D338" s="9">
        <v>1344.8</v>
      </c>
      <c r="E338" s="9">
        <f t="shared" si="15"/>
        <v>1.4183997616447766E-2</v>
      </c>
      <c r="F338" s="9">
        <f t="shared" si="13"/>
        <v>1.6887783806719816E-2</v>
      </c>
      <c r="G338" s="9">
        <f t="shared" si="14"/>
        <v>1.4443751929144811E-2</v>
      </c>
    </row>
    <row r="339" spans="1:7" x14ac:dyDescent="0.2">
      <c r="A339" s="12">
        <v>37635</v>
      </c>
      <c r="B339" s="9">
        <v>1361.74</v>
      </c>
      <c r="C339" s="9">
        <v>1343.71</v>
      </c>
      <c r="D339" s="9">
        <v>1358.43</v>
      </c>
      <c r="E339" s="9">
        <f t="shared" si="15"/>
        <v>1.0084318024465057E-2</v>
      </c>
      <c r="F339" s="9">
        <f t="shared" si="13"/>
        <v>2.297188516507415E-2</v>
      </c>
      <c r="G339" s="9">
        <f t="shared" si="14"/>
        <v>1.4536096787954259E-2</v>
      </c>
    </row>
    <row r="340" spans="1:7" x14ac:dyDescent="0.2">
      <c r="A340" s="12">
        <v>37636</v>
      </c>
      <c r="B340" s="9">
        <v>1365.64</v>
      </c>
      <c r="C340" s="9">
        <v>1343.62</v>
      </c>
      <c r="D340" s="9">
        <v>1345.31</v>
      </c>
      <c r="E340" s="9">
        <f t="shared" si="15"/>
        <v>-9.7051513687446602E-3</v>
      </c>
      <c r="F340" s="9">
        <f t="shared" si="13"/>
        <v>-1.864002648777303E-3</v>
      </c>
      <c r="G340" s="9">
        <f t="shared" si="14"/>
        <v>1.4396324238905016E-2</v>
      </c>
    </row>
    <row r="341" spans="1:7" x14ac:dyDescent="0.2">
      <c r="A341" s="12">
        <v>37637</v>
      </c>
      <c r="B341" s="9">
        <v>1348.12</v>
      </c>
      <c r="C341" s="9">
        <v>1333.51</v>
      </c>
      <c r="D341" s="9">
        <v>1343.36</v>
      </c>
      <c r="E341" s="9">
        <f t="shared" si="15"/>
        <v>-1.4505315579128747E-3</v>
      </c>
      <c r="F341" s="9">
        <f t="shared" si="13"/>
        <v>1.2449132727613039E-2</v>
      </c>
      <c r="G341" s="9">
        <f t="shared" si="14"/>
        <v>1.4091977455296785E-2</v>
      </c>
    </row>
    <row r="342" spans="1:7" x14ac:dyDescent="0.2">
      <c r="A342" s="12">
        <v>37638</v>
      </c>
      <c r="B342" s="9">
        <v>1343.36</v>
      </c>
      <c r="C342" s="9">
        <v>1320.27</v>
      </c>
      <c r="D342" s="9">
        <v>1327.83</v>
      </c>
      <c r="E342" s="9">
        <f t="shared" si="15"/>
        <v>-1.1627907398268647E-2</v>
      </c>
      <c r="F342" s="9">
        <f t="shared" si="13"/>
        <v>-2.5753198152423096E-2</v>
      </c>
      <c r="G342" s="9">
        <f t="shared" si="14"/>
        <v>1.3353286735849536E-2</v>
      </c>
    </row>
    <row r="343" spans="1:7" x14ac:dyDescent="0.2">
      <c r="A343" s="12">
        <v>37641</v>
      </c>
      <c r="B343" s="9">
        <v>1337.05</v>
      </c>
      <c r="C343" s="9">
        <v>1320.82</v>
      </c>
      <c r="D343" s="9">
        <v>1335.37</v>
      </c>
      <c r="E343" s="9">
        <f t="shared" si="15"/>
        <v>5.6623761985050954E-3</v>
      </c>
      <c r="F343" s="9">
        <f t="shared" si="13"/>
        <v>-3.7292855687522469E-2</v>
      </c>
      <c r="G343" s="9">
        <f t="shared" si="14"/>
        <v>1.2975971529385007E-2</v>
      </c>
    </row>
    <row r="344" spans="1:7" x14ac:dyDescent="0.2">
      <c r="A344" s="12">
        <v>37642</v>
      </c>
      <c r="B344" s="9">
        <v>1345.74</v>
      </c>
      <c r="C344" s="9">
        <v>1322.84</v>
      </c>
      <c r="D344" s="9">
        <v>1327.04</v>
      </c>
      <c r="E344" s="9">
        <f t="shared" si="15"/>
        <v>-6.2575089344333416E-3</v>
      </c>
      <c r="F344" s="9">
        <f t="shared" si="13"/>
        <v>-4.4977803405173246E-2</v>
      </c>
      <c r="G344" s="9">
        <f t="shared" si="14"/>
        <v>1.2997271936923864E-2</v>
      </c>
    </row>
    <row r="345" spans="1:7" x14ac:dyDescent="0.2">
      <c r="A345" s="12">
        <v>37643</v>
      </c>
      <c r="B345" s="9">
        <v>1328.58</v>
      </c>
      <c r="C345" s="9">
        <v>1306.08</v>
      </c>
      <c r="D345" s="9">
        <v>1317.83</v>
      </c>
      <c r="E345" s="9">
        <f t="shared" si="15"/>
        <v>-6.9644536226687115E-3</v>
      </c>
      <c r="F345" s="9">
        <f t="shared" si="13"/>
        <v>-6.0200037058185184E-2</v>
      </c>
      <c r="G345" s="9">
        <f t="shared" si="14"/>
        <v>1.289999717198463E-2</v>
      </c>
    </row>
    <row r="346" spans="1:7" x14ac:dyDescent="0.2">
      <c r="A346" s="12">
        <v>37644</v>
      </c>
      <c r="B346" s="9">
        <v>1326.6</v>
      </c>
      <c r="C346" s="9">
        <v>1299.8499999999999</v>
      </c>
      <c r="D346" s="9">
        <v>1305</v>
      </c>
      <c r="E346" s="9">
        <f t="shared" si="15"/>
        <v>-9.7834036785539539E-3</v>
      </c>
      <c r="F346" s="9">
        <f t="shared" si="13"/>
        <v>-3.8387769830034939E-2</v>
      </c>
      <c r="G346" s="9">
        <f t="shared" si="14"/>
        <v>1.1737057784819193E-2</v>
      </c>
    </row>
    <row r="347" spans="1:7" x14ac:dyDescent="0.2">
      <c r="A347" s="12">
        <v>37645</v>
      </c>
      <c r="B347" s="9">
        <v>1309.1199999999999</v>
      </c>
      <c r="C347" s="9">
        <v>1294.9000000000001</v>
      </c>
      <c r="D347" s="9">
        <v>1302.72</v>
      </c>
      <c r="E347" s="9">
        <f t="shared" si="15"/>
        <v>-1.7486544421797066E-3</v>
      </c>
      <c r="F347" s="9">
        <f t="shared" si="13"/>
        <v>-3.4397570044925607E-2</v>
      </c>
      <c r="G347" s="9">
        <f t="shared" si="14"/>
        <v>1.1707353299816564E-2</v>
      </c>
    </row>
    <row r="348" spans="1:7" x14ac:dyDescent="0.2">
      <c r="A348" s="12">
        <v>37648</v>
      </c>
      <c r="B348" s="9">
        <v>1303.0999999999999</v>
      </c>
      <c r="C348" s="9">
        <v>1261.4000000000001</v>
      </c>
      <c r="D348" s="9">
        <v>1268.8</v>
      </c>
      <c r="E348" s="9">
        <f t="shared" si="15"/>
        <v>-2.638281443403049E-2</v>
      </c>
      <c r="F348" s="9">
        <f t="shared" si="13"/>
        <v>-6.6570857128134112E-2</v>
      </c>
      <c r="G348" s="9">
        <f t="shared" si="14"/>
        <v>1.2496954067717645E-2</v>
      </c>
    </row>
    <row r="349" spans="1:7" x14ac:dyDescent="0.2">
      <c r="A349" s="12">
        <v>37649</v>
      </c>
      <c r="B349" s="9">
        <v>1272.6400000000001</v>
      </c>
      <c r="C349" s="9">
        <v>1247.6099999999999</v>
      </c>
      <c r="D349" s="9">
        <v>1250.45</v>
      </c>
      <c r="E349" s="9">
        <f t="shared" si="15"/>
        <v>-1.4568085368688829E-2</v>
      </c>
      <c r="F349" s="9">
        <f t="shared" si="13"/>
        <v>-6.0366328493998291E-2</v>
      </c>
      <c r="G349" s="9">
        <f t="shared" si="14"/>
        <v>1.2227755924763472E-2</v>
      </c>
    </row>
    <row r="350" spans="1:7" x14ac:dyDescent="0.2">
      <c r="A350" s="12">
        <v>37650</v>
      </c>
      <c r="B350" s="9">
        <v>1256.04</v>
      </c>
      <c r="C350" s="9">
        <v>1232.52</v>
      </c>
      <c r="D350" s="9">
        <v>1236.5899999999999</v>
      </c>
      <c r="E350" s="9">
        <f t="shared" si="15"/>
        <v>-1.1145895109433155E-2</v>
      </c>
      <c r="F350" s="9">
        <f t="shared" si="13"/>
        <v>-6.0482379956033089E-2</v>
      </c>
      <c r="G350" s="9">
        <f t="shared" si="14"/>
        <v>1.2230725119676943E-2</v>
      </c>
    </row>
    <row r="351" spans="1:7" x14ac:dyDescent="0.2">
      <c r="A351" s="12">
        <v>37651</v>
      </c>
      <c r="B351" s="9">
        <v>1254.74</v>
      </c>
      <c r="C351" s="9">
        <v>1222.05</v>
      </c>
      <c r="D351" s="9">
        <v>1225.95</v>
      </c>
      <c r="E351" s="9">
        <f t="shared" si="15"/>
        <v>-8.6415377722129736E-3</v>
      </c>
      <c r="F351" s="9">
        <f t="shared" si="13"/>
        <v>-7.6034648477389236E-2</v>
      </c>
      <c r="G351" s="9">
        <f t="shared" si="14"/>
        <v>1.2168748551184596E-2</v>
      </c>
    </row>
    <row r="352" spans="1:7" x14ac:dyDescent="0.2">
      <c r="A352" s="12">
        <v>37652</v>
      </c>
      <c r="B352" s="9">
        <v>1225.95</v>
      </c>
      <c r="C352" s="9">
        <v>1203.81</v>
      </c>
      <c r="D352" s="9">
        <v>1214.23</v>
      </c>
      <c r="E352" s="9">
        <f t="shared" si="15"/>
        <v>-9.6059226127224503E-3</v>
      </c>
      <c r="F352" s="9">
        <f t="shared" si="13"/>
        <v>-7.7183379560829629E-2</v>
      </c>
      <c r="G352" s="9">
        <f t="shared" si="14"/>
        <v>1.2189817092048564E-2</v>
      </c>
    </row>
    <row r="353" spans="1:7" x14ac:dyDescent="0.2">
      <c r="A353" s="12">
        <v>37655</v>
      </c>
      <c r="B353" s="9">
        <v>1236.2</v>
      </c>
      <c r="C353" s="9">
        <v>1214.1099999999999</v>
      </c>
      <c r="D353" s="9">
        <v>1235.55</v>
      </c>
      <c r="E353" s="9">
        <f t="shared" si="15"/>
        <v>1.7406084037841427E-2</v>
      </c>
      <c r="F353" s="9">
        <f t="shared" ref="F353:F416" si="16">LN(D353/D323)</f>
        <v>-4.5997844605948399E-2</v>
      </c>
      <c r="G353" s="9">
        <f t="shared" ref="G353:G416" si="17">STDEV(E324:E353)</f>
        <v>1.2526255397771248E-2</v>
      </c>
    </row>
    <row r="354" spans="1:7" x14ac:dyDescent="0.2">
      <c r="A354" s="12">
        <v>37656</v>
      </c>
      <c r="B354" s="9">
        <v>1239.06</v>
      </c>
      <c r="C354" s="9">
        <v>1213.71</v>
      </c>
      <c r="D354" s="9">
        <v>1220.58</v>
      </c>
      <c r="E354" s="9">
        <f t="shared" si="15"/>
        <v>-1.2190059463452035E-2</v>
      </c>
      <c r="F354" s="9">
        <f t="shared" si="16"/>
        <v>-6.6463006425439397E-2</v>
      </c>
      <c r="G354" s="9">
        <f t="shared" si="17"/>
        <v>1.2530937899571604E-2</v>
      </c>
    </row>
    <row r="355" spans="1:7" x14ac:dyDescent="0.2">
      <c r="A355" s="12">
        <v>37657</v>
      </c>
      <c r="B355" s="9">
        <v>1227.3499999999999</v>
      </c>
      <c r="C355" s="9">
        <v>1205.28</v>
      </c>
      <c r="D355" s="9">
        <v>1218.8599999999999</v>
      </c>
      <c r="E355" s="9">
        <f t="shared" si="15"/>
        <v>-1.4101599424668776E-3</v>
      </c>
      <c r="F355" s="9">
        <f t="shared" si="16"/>
        <v>-6.518645781007891E-2</v>
      </c>
      <c r="G355" s="9">
        <f t="shared" si="17"/>
        <v>1.253144978936248E-2</v>
      </c>
    </row>
    <row r="356" spans="1:7" x14ac:dyDescent="0.2">
      <c r="A356" s="12">
        <v>37658</v>
      </c>
      <c r="B356" s="9">
        <v>1224.95</v>
      </c>
      <c r="C356" s="9">
        <v>1202.6600000000001</v>
      </c>
      <c r="D356" s="9">
        <v>1211.3399999999999</v>
      </c>
      <c r="E356" s="9">
        <f t="shared" si="15"/>
        <v>-6.188810799261194E-3</v>
      </c>
      <c r="F356" s="9">
        <f t="shared" si="16"/>
        <v>-8.3773494761679126E-2</v>
      </c>
      <c r="G356" s="9">
        <f t="shared" si="17"/>
        <v>1.2242343622122976E-2</v>
      </c>
    </row>
    <row r="357" spans="1:7" x14ac:dyDescent="0.2">
      <c r="A357" s="12">
        <v>37659</v>
      </c>
      <c r="B357" s="9">
        <v>1222.3699999999999</v>
      </c>
      <c r="C357" s="9">
        <v>1204.56</v>
      </c>
      <c r="D357" s="9">
        <v>1205.5</v>
      </c>
      <c r="E357" s="9">
        <f t="shared" si="15"/>
        <v>-4.8327662289616158E-3</v>
      </c>
      <c r="F357" s="9">
        <f t="shared" si="16"/>
        <v>-7.7728830860895062E-2</v>
      </c>
      <c r="G357" s="9">
        <f t="shared" si="17"/>
        <v>1.215411438205611E-2</v>
      </c>
    </row>
    <row r="358" spans="1:7" x14ac:dyDescent="0.2">
      <c r="A358" s="12">
        <v>37662</v>
      </c>
      <c r="B358" s="9">
        <v>1216.07</v>
      </c>
      <c r="C358" s="9">
        <v>1201.2</v>
      </c>
      <c r="D358" s="9">
        <v>1204.71</v>
      </c>
      <c r="E358" s="9">
        <f t="shared" si="15"/>
        <v>-6.5554456108897984E-4</v>
      </c>
      <c r="F358" s="9">
        <f t="shared" si="16"/>
        <v>-7.2240932565568294E-2</v>
      </c>
      <c r="G358" s="9">
        <f t="shared" si="17"/>
        <v>1.2140093456429565E-2</v>
      </c>
    </row>
    <row r="359" spans="1:7" x14ac:dyDescent="0.2">
      <c r="A359" s="12">
        <v>37663</v>
      </c>
      <c r="B359" s="9">
        <v>1225.57</v>
      </c>
      <c r="C359" s="9">
        <v>1204.71</v>
      </c>
      <c r="D359" s="9">
        <v>1219.47</v>
      </c>
      <c r="E359" s="9">
        <f t="shared" si="15"/>
        <v>1.2177464047244633E-2</v>
      </c>
      <c r="F359" s="9">
        <f t="shared" si="16"/>
        <v>-6.1012853997656415E-2</v>
      </c>
      <c r="G359" s="9">
        <f t="shared" si="17"/>
        <v>1.2417085423649646E-2</v>
      </c>
    </row>
    <row r="360" spans="1:7" x14ac:dyDescent="0.2">
      <c r="A360" s="12">
        <v>37664</v>
      </c>
      <c r="B360" s="9">
        <v>1220.29</v>
      </c>
      <c r="C360" s="9">
        <v>1208.3800000000001</v>
      </c>
      <c r="D360" s="9">
        <v>1210.97</v>
      </c>
      <c r="E360" s="9">
        <f t="shared" si="15"/>
        <v>-6.9946467760893085E-3</v>
      </c>
      <c r="F360" s="9">
        <f t="shared" si="16"/>
        <v>-5.4109378842683749E-2</v>
      </c>
      <c r="G360" s="9">
        <f t="shared" si="17"/>
        <v>1.225250859828403E-2</v>
      </c>
    </row>
    <row r="361" spans="1:7" x14ac:dyDescent="0.2">
      <c r="A361" s="12">
        <v>37665</v>
      </c>
      <c r="B361" s="9">
        <v>1212.99</v>
      </c>
      <c r="C361" s="9">
        <v>1192.31</v>
      </c>
      <c r="D361" s="9">
        <v>1194.6099999999999</v>
      </c>
      <c r="E361" s="9">
        <f t="shared" si="15"/>
        <v>-1.3601919065277223E-2</v>
      </c>
      <c r="F361" s="9">
        <f t="shared" si="16"/>
        <v>-7.926906308307223E-2</v>
      </c>
      <c r="G361" s="9">
        <f t="shared" si="17"/>
        <v>1.2167178374841065E-2</v>
      </c>
    </row>
    <row r="362" spans="1:7" x14ac:dyDescent="0.2">
      <c r="A362" s="12">
        <v>37666</v>
      </c>
      <c r="B362" s="9">
        <v>1211.6600000000001</v>
      </c>
      <c r="C362" s="9">
        <v>1194.6099999999999</v>
      </c>
      <c r="D362" s="9">
        <v>1206.49</v>
      </c>
      <c r="E362" s="9">
        <f t="shared" si="15"/>
        <v>9.8955453270925427E-3</v>
      </c>
      <c r="F362" s="9">
        <f t="shared" si="16"/>
        <v>-0.10278777202751214</v>
      </c>
      <c r="G362" s="9">
        <f t="shared" si="17"/>
        <v>1.0392058246683902E-2</v>
      </c>
    </row>
    <row r="363" spans="1:7" x14ac:dyDescent="0.2">
      <c r="A363" s="12">
        <v>37669</v>
      </c>
      <c r="B363" s="9">
        <v>1236.3399999999999</v>
      </c>
      <c r="C363" s="9">
        <v>1206.49</v>
      </c>
      <c r="D363" s="9">
        <v>1232.6099999999999</v>
      </c>
      <c r="E363" s="9">
        <f t="shared" si="15"/>
        <v>2.1418554834138952E-2</v>
      </c>
      <c r="F363" s="9">
        <f t="shared" si="16"/>
        <v>-8.9725500596796487E-2</v>
      </c>
      <c r="G363" s="9">
        <f t="shared" si="17"/>
        <v>1.1148836962750064E-2</v>
      </c>
    </row>
    <row r="364" spans="1:7" x14ac:dyDescent="0.2">
      <c r="A364" s="12">
        <v>37670</v>
      </c>
      <c r="B364" s="9">
        <v>1239.81</v>
      </c>
      <c r="C364" s="9">
        <v>1221.42</v>
      </c>
      <c r="D364" s="9">
        <v>1238.8599999999999</v>
      </c>
      <c r="E364" s="9">
        <f t="shared" si="15"/>
        <v>5.0577294672707902E-3</v>
      </c>
      <c r="F364" s="9">
        <f t="shared" si="16"/>
        <v>-7.8545173974131605E-2</v>
      </c>
      <c r="G364" s="9">
        <f t="shared" si="17"/>
        <v>1.1227130836686623E-2</v>
      </c>
    </row>
    <row r="365" spans="1:7" x14ac:dyDescent="0.2">
      <c r="A365" s="12">
        <v>37671</v>
      </c>
      <c r="B365" s="9">
        <v>1239.49</v>
      </c>
      <c r="C365" s="9">
        <v>1213.95</v>
      </c>
      <c r="D365" s="9">
        <v>1219.5899999999999</v>
      </c>
      <c r="E365" s="9">
        <f t="shared" si="15"/>
        <v>-1.5676865223675566E-2</v>
      </c>
      <c r="F365" s="9">
        <f t="shared" si="16"/>
        <v>-7.453835206285328E-2</v>
      </c>
      <c r="G365" s="9">
        <f t="shared" si="17"/>
        <v>1.1039377870806128E-2</v>
      </c>
    </row>
    <row r="366" spans="1:7" x14ac:dyDescent="0.2">
      <c r="A366" s="12">
        <v>37672</v>
      </c>
      <c r="B366" s="9">
        <v>1222.8599999999999</v>
      </c>
      <c r="C366" s="9">
        <v>1192.8900000000001</v>
      </c>
      <c r="D366" s="9">
        <v>1194.27</v>
      </c>
      <c r="E366" s="9">
        <f t="shared" si="15"/>
        <v>-2.0979616628710531E-2</v>
      </c>
      <c r="F366" s="9">
        <f t="shared" si="16"/>
        <v>-0.10055105871833964</v>
      </c>
      <c r="G366" s="9">
        <f t="shared" si="17"/>
        <v>1.1442754147752261E-2</v>
      </c>
    </row>
    <row r="367" spans="1:7" x14ac:dyDescent="0.2">
      <c r="A367" s="12">
        <v>37673</v>
      </c>
      <c r="B367" s="9">
        <v>1198.29</v>
      </c>
      <c r="C367" s="9">
        <v>1182.3499999999999</v>
      </c>
      <c r="D367" s="9">
        <v>1184.6500000000001</v>
      </c>
      <c r="E367" s="9">
        <f t="shared" si="15"/>
        <v>-8.087747749645241E-3</v>
      </c>
      <c r="F367" s="9">
        <f t="shared" si="16"/>
        <v>-0.11261393318547196</v>
      </c>
      <c r="G367" s="9">
        <f t="shared" si="17"/>
        <v>1.1388226424935222E-2</v>
      </c>
    </row>
    <row r="368" spans="1:7" x14ac:dyDescent="0.2">
      <c r="A368" s="12">
        <v>37676</v>
      </c>
      <c r="B368" s="9">
        <v>1194.71</v>
      </c>
      <c r="C368" s="9">
        <v>1182.48</v>
      </c>
      <c r="D368" s="9">
        <v>1194.1600000000001</v>
      </c>
      <c r="E368" s="9">
        <f t="shared" si="15"/>
        <v>7.9956370324983546E-3</v>
      </c>
      <c r="F368" s="9">
        <f t="shared" si="16"/>
        <v>-0.1188022937694215</v>
      </c>
      <c r="G368" s="9">
        <f t="shared" si="17"/>
        <v>1.1104623951446993E-2</v>
      </c>
    </row>
    <row r="369" spans="1:7" x14ac:dyDescent="0.2">
      <c r="A369" s="12">
        <v>37677</v>
      </c>
      <c r="B369" s="9">
        <v>1194.1600000000001</v>
      </c>
      <c r="C369" s="9">
        <v>1154.3599999999999</v>
      </c>
      <c r="D369" s="9">
        <v>1160.6600000000001</v>
      </c>
      <c r="E369" s="9">
        <f t="shared" si="15"/>
        <v>-2.845420050684308E-2</v>
      </c>
      <c r="F369" s="9">
        <f t="shared" si="16"/>
        <v>-0.15734081230072969</v>
      </c>
      <c r="G369" s="9">
        <f t="shared" si="17"/>
        <v>1.1640116970371941E-2</v>
      </c>
    </row>
    <row r="370" spans="1:7" x14ac:dyDescent="0.2">
      <c r="A370" s="12">
        <v>37678</v>
      </c>
      <c r="B370" s="9">
        <v>1168.4100000000001</v>
      </c>
      <c r="C370" s="9">
        <v>1148.04</v>
      </c>
      <c r="D370" s="9">
        <v>1153.33</v>
      </c>
      <c r="E370" s="9">
        <f t="shared" si="15"/>
        <v>-6.3353986120679969E-3</v>
      </c>
      <c r="F370" s="9">
        <f t="shared" si="16"/>
        <v>-0.15397105954405302</v>
      </c>
      <c r="G370" s="9">
        <f t="shared" si="17"/>
        <v>1.1611814459968098E-2</v>
      </c>
    </row>
    <row r="371" spans="1:7" x14ac:dyDescent="0.2">
      <c r="A371" s="12">
        <v>37679</v>
      </c>
      <c r="B371" s="9">
        <v>1157.68</v>
      </c>
      <c r="C371" s="9">
        <v>1136.43</v>
      </c>
      <c r="D371" s="9">
        <v>1152.78</v>
      </c>
      <c r="E371" s="9">
        <f t="shared" si="15"/>
        <v>-4.7699373440820579E-4</v>
      </c>
      <c r="F371" s="9">
        <f t="shared" si="16"/>
        <v>-0.15299752172054848</v>
      </c>
      <c r="G371" s="9">
        <f t="shared" si="17"/>
        <v>1.1623812976451464E-2</v>
      </c>
    </row>
    <row r="372" spans="1:7" x14ac:dyDescent="0.2">
      <c r="A372" s="12">
        <v>37680</v>
      </c>
      <c r="B372" s="9">
        <v>1176.82</v>
      </c>
      <c r="C372" s="9">
        <v>1152.69</v>
      </c>
      <c r="D372" s="9">
        <v>1168.0899999999999</v>
      </c>
      <c r="E372" s="9">
        <f t="shared" si="15"/>
        <v>1.3193519742459702E-2</v>
      </c>
      <c r="F372" s="9">
        <f t="shared" si="16"/>
        <v>-0.1281760945798201</v>
      </c>
      <c r="G372" s="9">
        <f t="shared" si="17"/>
        <v>1.201977713517057E-2</v>
      </c>
    </row>
    <row r="373" spans="1:7" x14ac:dyDescent="0.2">
      <c r="A373" s="12">
        <v>37683</v>
      </c>
      <c r="B373" s="9">
        <v>1185.27</v>
      </c>
      <c r="C373" s="9">
        <v>1163.98</v>
      </c>
      <c r="D373" s="9">
        <v>1164.99</v>
      </c>
      <c r="E373" s="9">
        <f t="shared" si="15"/>
        <v>-2.6574329421509154E-3</v>
      </c>
      <c r="F373" s="9">
        <f t="shared" si="16"/>
        <v>-0.1364959037204761</v>
      </c>
      <c r="G373" s="9">
        <f t="shared" si="17"/>
        <v>1.1877790040200341E-2</v>
      </c>
    </row>
    <row r="374" spans="1:7" x14ac:dyDescent="0.2">
      <c r="A374" s="12">
        <v>37684</v>
      </c>
      <c r="B374" s="9">
        <v>1169.0999999999999</v>
      </c>
      <c r="C374" s="9">
        <v>1147.28</v>
      </c>
      <c r="D374" s="9">
        <v>1149.8</v>
      </c>
      <c r="E374" s="9">
        <f t="shared" si="15"/>
        <v>-1.3124489082783257E-2</v>
      </c>
      <c r="F374" s="9">
        <f t="shared" si="16"/>
        <v>-0.14336288386882601</v>
      </c>
      <c r="G374" s="9">
        <f t="shared" si="17"/>
        <v>1.1977581494497307E-2</v>
      </c>
    </row>
    <row r="375" spans="1:7" x14ac:dyDescent="0.2">
      <c r="A375" s="12">
        <v>37685</v>
      </c>
      <c r="B375" s="9">
        <v>1151.2</v>
      </c>
      <c r="C375" s="9">
        <v>1134.99</v>
      </c>
      <c r="D375" s="9">
        <v>1139.1500000000001</v>
      </c>
      <c r="E375" s="9">
        <f t="shared" si="15"/>
        <v>-9.3056439441312356E-3</v>
      </c>
      <c r="F375" s="9">
        <f t="shared" si="16"/>
        <v>-0.14570407419028858</v>
      </c>
      <c r="G375" s="9">
        <f t="shared" si="17"/>
        <v>1.1999919537181812E-2</v>
      </c>
    </row>
    <row r="376" spans="1:7" x14ac:dyDescent="0.2">
      <c r="A376" s="12">
        <v>37686</v>
      </c>
      <c r="B376" s="9">
        <v>1144.71</v>
      </c>
      <c r="C376" s="9">
        <v>1129.95</v>
      </c>
      <c r="D376" s="9">
        <v>1133.1300000000001</v>
      </c>
      <c r="E376" s="9">
        <f t="shared" si="15"/>
        <v>-5.2986551698378497E-3</v>
      </c>
      <c r="F376" s="9">
        <f t="shared" si="16"/>
        <v>-0.14121932568157247</v>
      </c>
      <c r="G376" s="9">
        <f t="shared" si="17"/>
        <v>1.1964311009641312E-2</v>
      </c>
    </row>
    <row r="377" spans="1:7" x14ac:dyDescent="0.2">
      <c r="A377" s="12">
        <v>37687</v>
      </c>
      <c r="B377" s="9">
        <v>1134.45</v>
      </c>
      <c r="C377" s="9">
        <v>1104.49</v>
      </c>
      <c r="D377" s="9">
        <v>1106.08</v>
      </c>
      <c r="E377" s="9">
        <f t="shared" si="15"/>
        <v>-2.4161481878266517E-2</v>
      </c>
      <c r="F377" s="9">
        <f t="shared" si="16"/>
        <v>-0.16363215311765922</v>
      </c>
      <c r="G377" s="9">
        <f t="shared" si="17"/>
        <v>1.2462584040539128E-2</v>
      </c>
    </row>
    <row r="378" spans="1:7" x14ac:dyDescent="0.2">
      <c r="A378" s="12">
        <v>37690</v>
      </c>
      <c r="B378" s="9">
        <v>1120.5</v>
      </c>
      <c r="C378" s="9">
        <v>1097.54</v>
      </c>
      <c r="D378" s="9">
        <v>1100.3800000000001</v>
      </c>
      <c r="E378" s="9">
        <f t="shared" si="15"/>
        <v>-5.1666585207212476E-3</v>
      </c>
      <c r="F378" s="9">
        <f t="shared" si="16"/>
        <v>-0.14241599720435</v>
      </c>
      <c r="G378" s="9">
        <f t="shared" si="17"/>
        <v>1.181939425097653E-2</v>
      </c>
    </row>
    <row r="379" spans="1:7" x14ac:dyDescent="0.2">
      <c r="A379" s="12">
        <v>37691</v>
      </c>
      <c r="B379" s="9">
        <v>1107.1500000000001</v>
      </c>
      <c r="C379" s="9">
        <v>1088.04</v>
      </c>
      <c r="D379" s="9">
        <v>1103.72</v>
      </c>
      <c r="E379" s="9">
        <f t="shared" si="15"/>
        <v>3.0307178046013301E-3</v>
      </c>
      <c r="F379" s="9">
        <f t="shared" si="16"/>
        <v>-0.12481719403105977</v>
      </c>
      <c r="G379" s="9">
        <f t="shared" si="17"/>
        <v>1.1751693373071798E-2</v>
      </c>
    </row>
    <row r="380" spans="1:7" x14ac:dyDescent="0.2">
      <c r="A380" s="12">
        <v>37692</v>
      </c>
      <c r="B380" s="9">
        <v>1117.8499999999999</v>
      </c>
      <c r="C380" s="9">
        <v>1099.51</v>
      </c>
      <c r="D380" s="9">
        <v>1104.96</v>
      </c>
      <c r="E380" s="9">
        <f t="shared" si="15"/>
        <v>1.1228427207927701E-3</v>
      </c>
      <c r="F380" s="9">
        <f t="shared" si="16"/>
        <v>-0.11254845620083388</v>
      </c>
      <c r="G380" s="9">
        <f t="shared" si="17"/>
        <v>1.1713636290608734E-2</v>
      </c>
    </row>
    <row r="381" spans="1:7" x14ac:dyDescent="0.2">
      <c r="A381" s="12">
        <v>37693</v>
      </c>
      <c r="B381" s="9">
        <v>1128.1600000000001</v>
      </c>
      <c r="C381" s="9">
        <v>1104.78</v>
      </c>
      <c r="D381" s="9">
        <v>1121.45</v>
      </c>
      <c r="E381" s="9">
        <f t="shared" si="15"/>
        <v>1.4813355617207152E-2</v>
      </c>
      <c r="F381" s="9">
        <f t="shared" si="16"/>
        <v>-8.909356281141366E-2</v>
      </c>
      <c r="G381" s="9">
        <f t="shared" si="17"/>
        <v>1.2150603850719635E-2</v>
      </c>
    </row>
    <row r="382" spans="1:7" x14ac:dyDescent="0.2">
      <c r="A382" s="12">
        <v>37694</v>
      </c>
      <c r="B382" s="9">
        <v>1164.82</v>
      </c>
      <c r="C382" s="9">
        <v>1121.31</v>
      </c>
      <c r="D382" s="9">
        <v>1160.51</v>
      </c>
      <c r="E382" s="9">
        <f t="shared" si="15"/>
        <v>3.4237072833972731E-2</v>
      </c>
      <c r="F382" s="9">
        <f t="shared" si="16"/>
        <v>-4.5250567364718622E-2</v>
      </c>
      <c r="G382" s="9">
        <f t="shared" si="17"/>
        <v>1.3843604798582118E-2</v>
      </c>
    </row>
    <row r="383" spans="1:7" x14ac:dyDescent="0.2">
      <c r="A383" s="12">
        <v>37697</v>
      </c>
      <c r="B383" s="9">
        <v>1190.96</v>
      </c>
      <c r="C383" s="9">
        <v>1139.7</v>
      </c>
      <c r="D383" s="9">
        <v>1181.02</v>
      </c>
      <c r="E383" s="9">
        <f t="shared" si="15"/>
        <v>1.7518908202178874E-2</v>
      </c>
      <c r="F383" s="9">
        <f t="shared" si="16"/>
        <v>-4.5137743200381164E-2</v>
      </c>
      <c r="G383" s="9">
        <f t="shared" si="17"/>
        <v>1.3848934649276411E-2</v>
      </c>
    </row>
    <row r="384" spans="1:7" x14ac:dyDescent="0.2">
      <c r="A384" s="12">
        <v>37698</v>
      </c>
      <c r="B384" s="9">
        <v>1226.3699999999999</v>
      </c>
      <c r="C384" s="9">
        <v>1181.02</v>
      </c>
      <c r="D384" s="9">
        <v>1206.08</v>
      </c>
      <c r="E384" s="9">
        <f t="shared" si="15"/>
        <v>2.0996959223784206E-2</v>
      </c>
      <c r="F384" s="9">
        <f t="shared" si="16"/>
        <v>-1.195072451314484E-2</v>
      </c>
      <c r="G384" s="9">
        <f t="shared" si="17"/>
        <v>1.4284576545079922E-2</v>
      </c>
    </row>
    <row r="385" spans="1:7" x14ac:dyDescent="0.2">
      <c r="A385" s="12">
        <v>37699</v>
      </c>
      <c r="B385" s="9">
        <v>1217.0899999999999</v>
      </c>
      <c r="C385" s="9">
        <v>1194.99</v>
      </c>
      <c r="D385" s="9">
        <v>1213.27</v>
      </c>
      <c r="E385" s="9">
        <f t="shared" si="15"/>
        <v>5.943762719355648E-3</v>
      </c>
      <c r="F385" s="9">
        <f t="shared" si="16"/>
        <v>-4.5968018513224077E-3</v>
      </c>
      <c r="G385" s="9">
        <f t="shared" si="17"/>
        <v>1.432964224224768E-2</v>
      </c>
    </row>
    <row r="386" spans="1:7" x14ac:dyDescent="0.2">
      <c r="A386" s="12">
        <v>37700</v>
      </c>
      <c r="B386" s="9">
        <v>1215.2</v>
      </c>
      <c r="C386" s="9">
        <v>1191.0899999999999</v>
      </c>
      <c r="D386" s="9">
        <v>1196.33</v>
      </c>
      <c r="E386" s="9">
        <f t="shared" si="15"/>
        <v>-1.4060656613956396E-2</v>
      </c>
      <c r="F386" s="9">
        <f t="shared" si="16"/>
        <v>-1.2468647666017687E-2</v>
      </c>
      <c r="G386" s="9">
        <f t="shared" si="17"/>
        <v>1.4514847993543701E-2</v>
      </c>
    </row>
    <row r="387" spans="1:7" x14ac:dyDescent="0.2">
      <c r="A387" s="12">
        <v>37701</v>
      </c>
      <c r="B387" s="9">
        <v>1228.05</v>
      </c>
      <c r="C387" s="9">
        <v>1191.54</v>
      </c>
      <c r="D387" s="9">
        <v>1223.8399999999999</v>
      </c>
      <c r="E387" s="9">
        <f t="shared" si="15"/>
        <v>2.2734919389386068E-2</v>
      </c>
      <c r="F387" s="9">
        <f t="shared" si="16"/>
        <v>1.5099037952329994E-2</v>
      </c>
      <c r="G387" s="9">
        <f t="shared" si="17"/>
        <v>1.508692898581065E-2</v>
      </c>
    </row>
    <row r="388" spans="1:7" x14ac:dyDescent="0.2">
      <c r="A388" s="12">
        <v>37704</v>
      </c>
      <c r="B388" s="9">
        <v>1225.01</v>
      </c>
      <c r="C388" s="9">
        <v>1187.42</v>
      </c>
      <c r="D388" s="9">
        <v>1191.23</v>
      </c>
      <c r="E388" s="9">
        <f t="shared" ref="E388:E451" si="18">LN(D388/D387)</f>
        <v>-2.7007069833175593E-2</v>
      </c>
      <c r="F388" s="9">
        <f t="shared" si="16"/>
        <v>-1.1252487319756616E-2</v>
      </c>
      <c r="G388" s="9">
        <f t="shared" si="17"/>
        <v>1.5901830508350812E-2</v>
      </c>
    </row>
    <row r="389" spans="1:7" x14ac:dyDescent="0.2">
      <c r="A389" s="12">
        <v>37705</v>
      </c>
      <c r="B389" s="9">
        <v>1192.55</v>
      </c>
      <c r="C389" s="9">
        <v>1168.94</v>
      </c>
      <c r="D389" s="9">
        <v>1181.57</v>
      </c>
      <c r="E389" s="9">
        <f t="shared" si="18"/>
        <v>-8.1423241481645096E-3</v>
      </c>
      <c r="F389" s="9">
        <f t="shared" si="16"/>
        <v>-3.1572275515165851E-2</v>
      </c>
      <c r="G389" s="9">
        <f t="shared" si="17"/>
        <v>1.5781021629961669E-2</v>
      </c>
    </row>
    <row r="390" spans="1:7" x14ac:dyDescent="0.2">
      <c r="A390" s="12">
        <v>37706</v>
      </c>
      <c r="B390" s="9">
        <v>1195.8900000000001</v>
      </c>
      <c r="C390" s="9">
        <v>1177.8599999999999</v>
      </c>
      <c r="D390" s="9">
        <v>1181.67</v>
      </c>
      <c r="E390" s="9">
        <f t="shared" si="18"/>
        <v>8.4629576394937577E-5</v>
      </c>
      <c r="F390" s="9">
        <f t="shared" si="16"/>
        <v>-2.4492999162681561E-2</v>
      </c>
      <c r="G390" s="9">
        <f t="shared" si="17"/>
        <v>1.5741982960090835E-2</v>
      </c>
    </row>
    <row r="391" spans="1:7" x14ac:dyDescent="0.2">
      <c r="A391" s="12">
        <v>37707</v>
      </c>
      <c r="B391" s="9">
        <v>1184.81</v>
      </c>
      <c r="C391" s="9">
        <v>1163.03</v>
      </c>
      <c r="D391" s="9">
        <v>1169.03</v>
      </c>
      <c r="E391" s="9">
        <f t="shared" si="18"/>
        <v>-1.0754347066035667E-2</v>
      </c>
      <c r="F391" s="9">
        <f t="shared" si="16"/>
        <v>-2.164542716344001E-2</v>
      </c>
      <c r="G391" s="9">
        <f t="shared" si="17"/>
        <v>1.5670655634986281E-2</v>
      </c>
    </row>
    <row r="392" spans="1:7" x14ac:dyDescent="0.2">
      <c r="A392" s="12">
        <v>37708</v>
      </c>
      <c r="B392" s="9">
        <v>1171.01</v>
      </c>
      <c r="C392" s="9">
        <v>1151</v>
      </c>
      <c r="D392" s="9">
        <v>1153.44</v>
      </c>
      <c r="E392" s="9">
        <f t="shared" si="18"/>
        <v>-1.3425563446306462E-2</v>
      </c>
      <c r="F392" s="9">
        <f t="shared" si="16"/>
        <v>-4.496653593683915E-2</v>
      </c>
      <c r="G392" s="9">
        <f t="shared" si="17"/>
        <v>1.5704222766366262E-2</v>
      </c>
    </row>
    <row r="393" spans="1:7" x14ac:dyDescent="0.2">
      <c r="A393" s="12">
        <v>37711</v>
      </c>
      <c r="B393" s="9">
        <v>1153.44</v>
      </c>
      <c r="C393" s="9">
        <v>1106.8</v>
      </c>
      <c r="D393" s="9">
        <v>1107.3800000000001</v>
      </c>
      <c r="E393" s="9">
        <f t="shared" si="18"/>
        <v>-4.0751916751964892E-2</v>
      </c>
      <c r="F393" s="9">
        <f t="shared" si="16"/>
        <v>-0.10713700752294307</v>
      </c>
      <c r="G393" s="9">
        <f t="shared" si="17"/>
        <v>1.6649332969680103E-2</v>
      </c>
    </row>
    <row r="394" spans="1:7" x14ac:dyDescent="0.2">
      <c r="A394" s="12">
        <v>37712</v>
      </c>
      <c r="B394" s="9">
        <v>1131.6600000000001</v>
      </c>
      <c r="C394" s="9">
        <v>1104.8399999999999</v>
      </c>
      <c r="D394" s="9">
        <v>1127.57</v>
      </c>
      <c r="E394" s="9">
        <f t="shared" si="18"/>
        <v>1.8068009802588273E-2</v>
      </c>
      <c r="F394" s="9">
        <f t="shared" si="16"/>
        <v>-9.4126727187625561E-2</v>
      </c>
      <c r="G394" s="9">
        <f t="shared" si="17"/>
        <v>1.7046552858376474E-2</v>
      </c>
    </row>
    <row r="395" spans="1:7" x14ac:dyDescent="0.2">
      <c r="A395" s="12">
        <v>37713</v>
      </c>
      <c r="B395" s="9">
        <v>1174.06</v>
      </c>
      <c r="C395" s="9">
        <v>1127.57</v>
      </c>
      <c r="D395" s="9">
        <v>1167.95</v>
      </c>
      <c r="E395" s="9">
        <f t="shared" si="18"/>
        <v>3.5185200545804464E-2</v>
      </c>
      <c r="F395" s="9">
        <f t="shared" si="16"/>
        <v>-4.3264661418145438E-2</v>
      </c>
      <c r="G395" s="9">
        <f t="shared" si="17"/>
        <v>1.8243687488254789E-2</v>
      </c>
    </row>
    <row r="396" spans="1:7" x14ac:dyDescent="0.2">
      <c r="A396" s="12">
        <v>37714</v>
      </c>
      <c r="B396" s="9">
        <v>1188.4100000000001</v>
      </c>
      <c r="C396" s="9">
        <v>1166.3599999999999</v>
      </c>
      <c r="D396" s="9">
        <v>1181.32</v>
      </c>
      <c r="E396" s="9">
        <f t="shared" si="18"/>
        <v>1.1382382058754744E-2</v>
      </c>
      <c r="F396" s="9">
        <f t="shared" si="16"/>
        <v>-1.0902662730680144E-2</v>
      </c>
      <c r="G396" s="9">
        <f t="shared" si="17"/>
        <v>1.8003810195502533E-2</v>
      </c>
    </row>
    <row r="397" spans="1:7" x14ac:dyDescent="0.2">
      <c r="A397" s="12">
        <v>37715</v>
      </c>
      <c r="B397" s="9">
        <v>1181.32</v>
      </c>
      <c r="C397" s="9">
        <v>1148.2</v>
      </c>
      <c r="D397" s="9">
        <v>1165.05</v>
      </c>
      <c r="E397" s="9">
        <f t="shared" si="18"/>
        <v>-1.3868452777685149E-2</v>
      </c>
      <c r="F397" s="9">
        <f t="shared" si="16"/>
        <v>-1.6683367758720015E-2</v>
      </c>
      <c r="G397" s="9">
        <f t="shared" si="17"/>
        <v>1.8119892885293969E-2</v>
      </c>
    </row>
    <row r="398" spans="1:7" x14ac:dyDescent="0.2">
      <c r="A398" s="12">
        <v>37718</v>
      </c>
      <c r="B398" s="9">
        <v>1199.92</v>
      </c>
      <c r="C398" s="9">
        <v>1163.6199999999999</v>
      </c>
      <c r="D398" s="9">
        <v>1195.76</v>
      </c>
      <c r="E398" s="9">
        <f t="shared" si="18"/>
        <v>2.6017961943792994E-2</v>
      </c>
      <c r="F398" s="9">
        <f t="shared" si="16"/>
        <v>1.3389571525746562E-3</v>
      </c>
      <c r="G398" s="9">
        <f t="shared" si="17"/>
        <v>1.8702578859917624E-2</v>
      </c>
    </row>
    <row r="399" spans="1:7" x14ac:dyDescent="0.2">
      <c r="A399" s="12">
        <v>37719</v>
      </c>
      <c r="B399" s="9">
        <v>1196.8900000000001</v>
      </c>
      <c r="C399" s="9">
        <v>1175.08</v>
      </c>
      <c r="D399" s="9">
        <v>1176.1500000000001</v>
      </c>
      <c r="E399" s="9">
        <f t="shared" si="18"/>
        <v>-1.6535574132518341E-2</v>
      </c>
      <c r="F399" s="9">
        <f t="shared" si="16"/>
        <v>1.3257583526899423E-2</v>
      </c>
      <c r="G399" s="9">
        <f t="shared" si="17"/>
        <v>1.8196050998173882E-2</v>
      </c>
    </row>
    <row r="400" spans="1:7" x14ac:dyDescent="0.2">
      <c r="A400" s="12">
        <v>37720</v>
      </c>
      <c r="B400" s="9">
        <v>1180.33</v>
      </c>
      <c r="C400" s="9">
        <v>1162.3399999999999</v>
      </c>
      <c r="D400" s="9">
        <v>1177.69</v>
      </c>
      <c r="E400" s="9">
        <f t="shared" si="18"/>
        <v>1.3085003396398694E-3</v>
      </c>
      <c r="F400" s="9">
        <f t="shared" si="16"/>
        <v>2.090148247860725E-2</v>
      </c>
      <c r="G400" s="9">
        <f t="shared" si="17"/>
        <v>1.8151339998525626E-2</v>
      </c>
    </row>
    <row r="401" spans="1:7" x14ac:dyDescent="0.2">
      <c r="A401" s="12">
        <v>37721</v>
      </c>
      <c r="B401" s="9">
        <v>1177.7</v>
      </c>
      <c r="C401" s="9">
        <v>1157.17</v>
      </c>
      <c r="D401" s="9">
        <v>1163.3599999999999</v>
      </c>
      <c r="E401" s="9">
        <f t="shared" si="18"/>
        <v>-1.2242522782933895E-2</v>
      </c>
      <c r="F401" s="9">
        <f t="shared" si="16"/>
        <v>9.1359534300815438E-3</v>
      </c>
      <c r="G401" s="9">
        <f t="shared" si="17"/>
        <v>1.830403688318832E-2</v>
      </c>
    </row>
    <row r="402" spans="1:7" x14ac:dyDescent="0.2">
      <c r="A402" s="12">
        <v>37722</v>
      </c>
      <c r="B402" s="9">
        <v>1181.73</v>
      </c>
      <c r="C402" s="9">
        <v>1163.3599999999999</v>
      </c>
      <c r="D402" s="9">
        <v>1173.05</v>
      </c>
      <c r="E402" s="9">
        <f t="shared" si="18"/>
        <v>8.2948245892279886E-3</v>
      </c>
      <c r="F402" s="9">
        <f t="shared" si="16"/>
        <v>4.2372582768499473E-3</v>
      </c>
      <c r="G402" s="9">
        <f t="shared" si="17"/>
        <v>1.8206681306562167E-2</v>
      </c>
    </row>
    <row r="403" spans="1:7" x14ac:dyDescent="0.2">
      <c r="A403" s="12">
        <v>37725</v>
      </c>
      <c r="B403" s="9">
        <v>1177.79</v>
      </c>
      <c r="C403" s="9">
        <v>1163.58</v>
      </c>
      <c r="D403" s="9">
        <v>1170.55</v>
      </c>
      <c r="E403" s="9">
        <f t="shared" si="18"/>
        <v>-2.1334706846476829E-3</v>
      </c>
      <c r="F403" s="9">
        <f t="shared" si="16"/>
        <v>4.7612205343531607E-3</v>
      </c>
      <c r="G403" s="9">
        <f t="shared" si="17"/>
        <v>1.8204155140473157E-2</v>
      </c>
    </row>
    <row r="404" spans="1:7" x14ac:dyDescent="0.2">
      <c r="A404" s="12">
        <v>37726</v>
      </c>
      <c r="B404" s="9">
        <v>1193.5999999999999</v>
      </c>
      <c r="C404" s="9">
        <v>1169.8499999999999</v>
      </c>
      <c r="D404" s="9">
        <v>1190.1300000000001</v>
      </c>
      <c r="E404" s="9">
        <f t="shared" si="18"/>
        <v>1.6588821030068937E-2</v>
      </c>
      <c r="F404" s="9">
        <f t="shared" si="16"/>
        <v>3.4474530647205404E-2</v>
      </c>
      <c r="G404" s="9">
        <f t="shared" si="17"/>
        <v>1.8264741457759651E-2</v>
      </c>
    </row>
    <row r="405" spans="1:7" x14ac:dyDescent="0.2">
      <c r="A405" s="12">
        <v>37727</v>
      </c>
      <c r="B405" s="9">
        <v>1202.45</v>
      </c>
      <c r="C405" s="9">
        <v>1186.1500000000001</v>
      </c>
      <c r="D405" s="9">
        <v>1191.01</v>
      </c>
      <c r="E405" s="9">
        <f t="shared" si="18"/>
        <v>7.3914178928083786E-4</v>
      </c>
      <c r="F405" s="9">
        <f t="shared" si="16"/>
        <v>4.4519316380617666E-2</v>
      </c>
      <c r="G405" s="9">
        <f t="shared" si="17"/>
        <v>1.8158236230895609E-2</v>
      </c>
    </row>
    <row r="406" spans="1:7" x14ac:dyDescent="0.2">
      <c r="A406" s="12">
        <v>37728</v>
      </c>
      <c r="B406" s="9">
        <v>1206.5999999999999</v>
      </c>
      <c r="C406" s="9">
        <v>1178.44</v>
      </c>
      <c r="D406" s="9">
        <v>1202.58</v>
      </c>
      <c r="E406" s="9">
        <f t="shared" si="18"/>
        <v>9.6675622078738251E-3</v>
      </c>
      <c r="F406" s="9">
        <f t="shared" si="16"/>
        <v>5.9485533758329254E-2</v>
      </c>
      <c r="G406" s="9">
        <f t="shared" si="17"/>
        <v>1.8171050729122881E-2</v>
      </c>
    </row>
    <row r="407" spans="1:7" x14ac:dyDescent="0.2">
      <c r="A407" s="12">
        <v>37733</v>
      </c>
      <c r="B407" s="9">
        <v>1209.3499999999999</v>
      </c>
      <c r="C407" s="9">
        <v>1198.3399999999999</v>
      </c>
      <c r="D407" s="9">
        <v>1205.78</v>
      </c>
      <c r="E407" s="9">
        <f t="shared" si="18"/>
        <v>2.657411585606847E-3</v>
      </c>
      <c r="F407" s="9">
        <f t="shared" si="16"/>
        <v>8.6304427222202634E-2</v>
      </c>
      <c r="G407" s="9">
        <f t="shared" si="17"/>
        <v>1.7487314846295524E-2</v>
      </c>
    </row>
    <row r="408" spans="1:7" x14ac:dyDescent="0.2">
      <c r="A408" s="12">
        <v>37734</v>
      </c>
      <c r="B408" s="9">
        <v>1234.92</v>
      </c>
      <c r="C408" s="9">
        <v>1205.02</v>
      </c>
      <c r="D408" s="9">
        <v>1229.29</v>
      </c>
      <c r="E408" s="9">
        <f t="shared" si="18"/>
        <v>1.9310106510239747E-2</v>
      </c>
      <c r="F408" s="9">
        <f t="shared" si="16"/>
        <v>0.11078119225316385</v>
      </c>
      <c r="G408" s="9">
        <f t="shared" si="17"/>
        <v>1.7669147546267774E-2</v>
      </c>
    </row>
    <row r="409" spans="1:7" x14ac:dyDescent="0.2">
      <c r="A409" s="12">
        <v>37735</v>
      </c>
      <c r="B409" s="9">
        <v>1243.8900000000001</v>
      </c>
      <c r="C409" s="9">
        <v>1223.8900000000001</v>
      </c>
      <c r="D409" s="9">
        <v>1228.98</v>
      </c>
      <c r="E409" s="9">
        <f t="shared" si="18"/>
        <v>-2.5220988877798706E-4</v>
      </c>
      <c r="F409" s="9">
        <f t="shared" si="16"/>
        <v>0.10749826455978431</v>
      </c>
      <c r="G409" s="9">
        <f t="shared" si="17"/>
        <v>1.7683549102752272E-2</v>
      </c>
    </row>
    <row r="410" spans="1:7" x14ac:dyDescent="0.2">
      <c r="A410" s="12">
        <v>37736</v>
      </c>
      <c r="B410" s="9">
        <v>1230.22</v>
      </c>
      <c r="C410" s="9">
        <v>1205.83</v>
      </c>
      <c r="D410" s="9">
        <v>1209.54</v>
      </c>
      <c r="E410" s="9">
        <f t="shared" si="18"/>
        <v>-1.5944435020232076E-2</v>
      </c>
      <c r="F410" s="9">
        <f t="shared" si="16"/>
        <v>9.0430986818759565E-2</v>
      </c>
      <c r="G410" s="9">
        <f t="shared" si="17"/>
        <v>1.8036454821295005E-2</v>
      </c>
    </row>
    <row r="411" spans="1:7" x14ac:dyDescent="0.2">
      <c r="A411" s="12">
        <v>37739</v>
      </c>
      <c r="B411" s="9">
        <v>1230.18</v>
      </c>
      <c r="C411" s="9">
        <v>1200.79</v>
      </c>
      <c r="D411" s="9">
        <v>1225.28</v>
      </c>
      <c r="E411" s="9">
        <f t="shared" si="18"/>
        <v>1.29292672685425E-2</v>
      </c>
      <c r="F411" s="9">
        <f t="shared" si="16"/>
        <v>8.8546898470094948E-2</v>
      </c>
      <c r="G411" s="9">
        <f t="shared" si="17"/>
        <v>1.7997191503921085E-2</v>
      </c>
    </row>
    <row r="412" spans="1:7" x14ac:dyDescent="0.2">
      <c r="A412" s="12">
        <v>37740</v>
      </c>
      <c r="B412" s="9">
        <v>1241.0999999999999</v>
      </c>
      <c r="C412" s="9">
        <v>1225.0999999999999</v>
      </c>
      <c r="D412" s="9">
        <v>1232.8900000000001</v>
      </c>
      <c r="E412" s="9">
        <f t="shared" si="18"/>
        <v>6.191617594779323E-3</v>
      </c>
      <c r="F412" s="9">
        <f t="shared" si="16"/>
        <v>6.0501443230901612E-2</v>
      </c>
      <c r="G412" s="9">
        <f t="shared" si="17"/>
        <v>1.7017804825101041E-2</v>
      </c>
    </row>
    <row r="413" spans="1:7" x14ac:dyDescent="0.2">
      <c r="A413" s="12">
        <v>37741</v>
      </c>
      <c r="B413" s="9">
        <v>1245.27</v>
      </c>
      <c r="C413" s="9">
        <v>1229.8599999999999</v>
      </c>
      <c r="D413" s="9">
        <v>1241.74</v>
      </c>
      <c r="E413" s="9">
        <f t="shared" si="18"/>
        <v>7.1526149205288483E-3</v>
      </c>
      <c r="F413" s="9">
        <f t="shared" si="16"/>
        <v>5.0135149949251563E-2</v>
      </c>
      <c r="G413" s="9">
        <f t="shared" si="17"/>
        <v>1.6795978807457559E-2</v>
      </c>
    </row>
    <row r="414" spans="1:7" x14ac:dyDescent="0.2">
      <c r="A414" s="12">
        <v>37743</v>
      </c>
      <c r="B414" s="9">
        <v>1241.81</v>
      </c>
      <c r="C414" s="9">
        <v>1224.6199999999999</v>
      </c>
      <c r="D414" s="9">
        <v>1234.74</v>
      </c>
      <c r="E414" s="9">
        <f t="shared" si="18"/>
        <v>-5.6532002217252811E-3</v>
      </c>
      <c r="F414" s="9">
        <f t="shared" si="16"/>
        <v>2.3484990503742059E-2</v>
      </c>
      <c r="G414" s="9">
        <f t="shared" si="17"/>
        <v>1.6439574005583976E-2</v>
      </c>
    </row>
    <row r="415" spans="1:7" x14ac:dyDescent="0.2">
      <c r="A415" s="12">
        <v>37746</v>
      </c>
      <c r="B415" s="9">
        <v>1254.1099999999999</v>
      </c>
      <c r="C415" s="9">
        <v>1233.51</v>
      </c>
      <c r="D415" s="9">
        <v>1247.1099999999999</v>
      </c>
      <c r="E415" s="9">
        <f t="shared" si="18"/>
        <v>9.9684529151994553E-3</v>
      </c>
      <c r="F415" s="9">
        <f t="shared" si="16"/>
        <v>2.7509680699585717E-2</v>
      </c>
      <c r="G415" s="9">
        <f t="shared" si="17"/>
        <v>1.6499455258389771E-2</v>
      </c>
    </row>
    <row r="416" spans="1:7" x14ac:dyDescent="0.2">
      <c r="A416" s="12">
        <v>37747</v>
      </c>
      <c r="B416" s="9">
        <v>1257.97</v>
      </c>
      <c r="C416" s="9">
        <v>1242.6199999999999</v>
      </c>
      <c r="D416" s="9">
        <v>1254.68</v>
      </c>
      <c r="E416" s="9">
        <f t="shared" si="18"/>
        <v>6.0516854755436706E-3</v>
      </c>
      <c r="F416" s="9">
        <f t="shared" si="16"/>
        <v>4.7622022789085824E-2</v>
      </c>
      <c r="G416" s="9">
        <f t="shared" si="17"/>
        <v>1.6276999186306353E-2</v>
      </c>
    </row>
    <row r="417" spans="1:7" x14ac:dyDescent="0.2">
      <c r="A417" s="12">
        <v>37748</v>
      </c>
      <c r="B417" s="9">
        <v>1260.54</v>
      </c>
      <c r="C417" s="9">
        <v>1242.06</v>
      </c>
      <c r="D417" s="9">
        <v>1245.9000000000001</v>
      </c>
      <c r="E417" s="9">
        <f t="shared" si="18"/>
        <v>-7.0223996684379815E-3</v>
      </c>
      <c r="F417" s="9">
        <f t="shared" ref="F417:F480" si="19">LN(D417/D387)</f>
        <v>1.7864703731261884E-2</v>
      </c>
      <c r="G417" s="9">
        <f t="shared" ref="G417:G480" si="20">STDEV(E388:E417)</f>
        <v>1.5844802139965336E-2</v>
      </c>
    </row>
    <row r="418" spans="1:7" x14ac:dyDescent="0.2">
      <c r="A418" s="12">
        <v>37749</v>
      </c>
      <c r="B418" s="9">
        <v>1259.22</v>
      </c>
      <c r="C418" s="9">
        <v>1227.29</v>
      </c>
      <c r="D418" s="9">
        <v>1233.32</v>
      </c>
      <c r="E418" s="9">
        <f t="shared" si="18"/>
        <v>-1.01484402098596E-2</v>
      </c>
      <c r="F418" s="9">
        <f t="shared" si="19"/>
        <v>3.4723333354577932E-2</v>
      </c>
      <c r="G418" s="9">
        <f t="shared" si="20"/>
        <v>1.5114199573685152E-2</v>
      </c>
    </row>
    <row r="419" spans="1:7" x14ac:dyDescent="0.2">
      <c r="A419" s="12">
        <v>37750</v>
      </c>
      <c r="B419" s="9">
        <v>1234.99</v>
      </c>
      <c r="C419" s="9">
        <v>1219.58</v>
      </c>
      <c r="D419" s="9">
        <v>1224.4000000000001</v>
      </c>
      <c r="E419" s="9">
        <f t="shared" si="18"/>
        <v>-7.2587920237005355E-3</v>
      </c>
      <c r="F419" s="9">
        <f t="shared" si="19"/>
        <v>3.5606865479041766E-2</v>
      </c>
      <c r="G419" s="9">
        <f t="shared" si="20"/>
        <v>1.5096303673285549E-2</v>
      </c>
    </row>
    <row r="420" spans="1:7" x14ac:dyDescent="0.2">
      <c r="A420" s="12">
        <v>37753</v>
      </c>
      <c r="B420" s="9">
        <v>1240.6600000000001</v>
      </c>
      <c r="C420" s="9">
        <v>1222.5999999999999</v>
      </c>
      <c r="D420" s="9">
        <v>1225.96</v>
      </c>
      <c r="E420" s="9">
        <f t="shared" si="18"/>
        <v>1.2732824652396267E-3</v>
      </c>
      <c r="F420" s="9">
        <f t="shared" si="19"/>
        <v>3.6795518367886484E-2</v>
      </c>
      <c r="G420" s="9">
        <f t="shared" si="20"/>
        <v>1.5094870708251499E-2</v>
      </c>
    </row>
    <row r="421" spans="1:7" x14ac:dyDescent="0.2">
      <c r="A421" s="12">
        <v>37754</v>
      </c>
      <c r="B421" s="9">
        <v>1237.49</v>
      </c>
      <c r="C421" s="9">
        <v>1225.6600000000001</v>
      </c>
      <c r="D421" s="9">
        <v>1234.3699999999999</v>
      </c>
      <c r="E421" s="9">
        <f t="shared" si="18"/>
        <v>6.8365079118743698E-3</v>
      </c>
      <c r="F421" s="9">
        <f t="shared" si="19"/>
        <v>5.4386373345796331E-2</v>
      </c>
      <c r="G421" s="9">
        <f t="shared" si="20"/>
        <v>1.4954430559897994E-2</v>
      </c>
    </row>
    <row r="422" spans="1:7" x14ac:dyDescent="0.2">
      <c r="A422" s="12">
        <v>37755</v>
      </c>
      <c r="B422" s="9">
        <v>1239.02</v>
      </c>
      <c r="C422" s="9">
        <v>1227.83</v>
      </c>
      <c r="D422" s="9">
        <v>1229.93</v>
      </c>
      <c r="E422" s="9">
        <f t="shared" si="18"/>
        <v>-3.6034612704816983E-3</v>
      </c>
      <c r="F422" s="9">
        <f t="shared" si="19"/>
        <v>6.4208475521621136E-2</v>
      </c>
      <c r="G422" s="9">
        <f t="shared" si="20"/>
        <v>1.4714906387265752E-2</v>
      </c>
    </row>
    <row r="423" spans="1:7" x14ac:dyDescent="0.2">
      <c r="A423" s="12">
        <v>37756</v>
      </c>
      <c r="B423" s="9">
        <v>1241.3900000000001</v>
      </c>
      <c r="C423" s="9">
        <v>1229.46</v>
      </c>
      <c r="D423" s="9">
        <v>1237.72</v>
      </c>
      <c r="E423" s="9">
        <f t="shared" si="18"/>
        <v>6.3137202421369087E-3</v>
      </c>
      <c r="F423" s="9">
        <f t="shared" si="19"/>
        <v>0.11127411251572315</v>
      </c>
      <c r="G423" s="9">
        <f t="shared" si="20"/>
        <v>1.2294045817544135E-2</v>
      </c>
    </row>
    <row r="424" spans="1:7" x14ac:dyDescent="0.2">
      <c r="A424" s="12">
        <v>37757</v>
      </c>
      <c r="B424" s="9">
        <v>1248.6600000000001</v>
      </c>
      <c r="C424" s="9">
        <v>1231.79</v>
      </c>
      <c r="D424" s="9">
        <v>1235.42</v>
      </c>
      <c r="E424" s="9">
        <f t="shared" si="18"/>
        <v>-1.8599842007153812E-3</v>
      </c>
      <c r="F424" s="9">
        <f t="shared" si="19"/>
        <v>9.1346118512419361E-2</v>
      </c>
      <c r="G424" s="9">
        <f t="shared" si="20"/>
        <v>1.2026929126662906E-2</v>
      </c>
    </row>
    <row r="425" spans="1:7" x14ac:dyDescent="0.2">
      <c r="A425" s="12">
        <v>37760</v>
      </c>
      <c r="B425" s="9">
        <v>1235.57</v>
      </c>
      <c r="C425" s="9">
        <v>1209.57</v>
      </c>
      <c r="D425" s="9">
        <v>1220.83</v>
      </c>
      <c r="E425" s="9">
        <f t="shared" si="18"/>
        <v>-1.1880037941252317E-2</v>
      </c>
      <c r="F425" s="9">
        <f t="shared" si="19"/>
        <v>4.4280880025362436E-2</v>
      </c>
      <c r="G425" s="9">
        <f t="shared" si="20"/>
        <v>1.0684629470500374E-2</v>
      </c>
    </row>
    <row r="426" spans="1:7" x14ac:dyDescent="0.2">
      <c r="A426" s="12">
        <v>37761</v>
      </c>
      <c r="B426" s="9">
        <v>1222.92</v>
      </c>
      <c r="C426" s="9">
        <v>1205.53</v>
      </c>
      <c r="D426" s="9">
        <v>1211.3399999999999</v>
      </c>
      <c r="E426" s="9">
        <f t="shared" si="18"/>
        <v>-7.8037704278714872E-3</v>
      </c>
      <c r="F426" s="9">
        <f t="shared" si="19"/>
        <v>2.5094727538736122E-2</v>
      </c>
      <c r="G426" s="9">
        <f t="shared" si="20"/>
        <v>1.064535916123666E-2</v>
      </c>
    </row>
    <row r="427" spans="1:7" x14ac:dyDescent="0.2">
      <c r="A427" s="12">
        <v>37762</v>
      </c>
      <c r="B427" s="9">
        <v>1214.82</v>
      </c>
      <c r="C427" s="9">
        <v>1190.92</v>
      </c>
      <c r="D427" s="9">
        <v>1194.1600000000001</v>
      </c>
      <c r="E427" s="9">
        <f t="shared" si="18"/>
        <v>-1.4284175525203101E-2</v>
      </c>
      <c r="F427" s="9">
        <f t="shared" si="19"/>
        <v>2.4679004791218328E-2</v>
      </c>
      <c r="G427" s="9">
        <f t="shared" si="20"/>
        <v>1.0665412842982742E-2</v>
      </c>
    </row>
    <row r="428" spans="1:7" x14ac:dyDescent="0.2">
      <c r="A428" s="12">
        <v>37763</v>
      </c>
      <c r="B428" s="9">
        <v>1204.5</v>
      </c>
      <c r="C428" s="9">
        <v>1191.8399999999999</v>
      </c>
      <c r="D428" s="9">
        <v>1201.7</v>
      </c>
      <c r="E428" s="9">
        <f t="shared" si="18"/>
        <v>6.2942115922696908E-3</v>
      </c>
      <c r="F428" s="9">
        <f t="shared" si="19"/>
        <v>4.9552544396950912E-3</v>
      </c>
      <c r="G428" s="9">
        <f t="shared" si="20"/>
        <v>9.6149057217694602E-3</v>
      </c>
    </row>
    <row r="429" spans="1:7" x14ac:dyDescent="0.2">
      <c r="A429" s="12">
        <v>37764</v>
      </c>
      <c r="B429" s="9">
        <v>1206.25</v>
      </c>
      <c r="C429" s="9">
        <v>1192.18</v>
      </c>
      <c r="D429" s="9">
        <v>1193.76</v>
      </c>
      <c r="E429" s="9">
        <f t="shared" si="18"/>
        <v>-6.6292311940499161E-3</v>
      </c>
      <c r="F429" s="9">
        <f t="shared" si="19"/>
        <v>1.4861597378163508E-2</v>
      </c>
      <c r="G429" s="9">
        <f t="shared" si="20"/>
        <v>9.1819231935716256E-3</v>
      </c>
    </row>
    <row r="430" spans="1:7" x14ac:dyDescent="0.2">
      <c r="A430" s="12">
        <v>37767</v>
      </c>
      <c r="B430" s="9">
        <v>1198.8900000000001</v>
      </c>
      <c r="C430" s="9">
        <v>1188.8499999999999</v>
      </c>
      <c r="D430" s="9">
        <v>1190.83</v>
      </c>
      <c r="E430" s="9">
        <f t="shared" si="18"/>
        <v>-2.4574467514611137E-3</v>
      </c>
      <c r="F430" s="9">
        <f t="shared" si="19"/>
        <v>1.1095650287062549E-2</v>
      </c>
      <c r="G430" s="9">
        <f t="shared" si="20"/>
        <v>9.1961555271170385E-3</v>
      </c>
    </row>
    <row r="431" spans="1:7" x14ac:dyDescent="0.2">
      <c r="A431" s="12">
        <v>37768</v>
      </c>
      <c r="B431" s="9">
        <v>1198.8800000000001</v>
      </c>
      <c r="C431" s="9">
        <v>1181.53</v>
      </c>
      <c r="D431" s="9">
        <v>1192.1199999999999</v>
      </c>
      <c r="E431" s="9">
        <f t="shared" si="18"/>
        <v>1.0826917274922151E-3</v>
      </c>
      <c r="F431" s="9">
        <f t="shared" si="19"/>
        <v>2.4420864797488662E-2</v>
      </c>
      <c r="G431" s="9">
        <f t="shared" si="20"/>
        <v>8.8824242751371178E-3</v>
      </c>
    </row>
    <row r="432" spans="1:7" x14ac:dyDescent="0.2">
      <c r="A432" s="12">
        <v>37769</v>
      </c>
      <c r="B432" s="9">
        <v>1220.8800000000001</v>
      </c>
      <c r="C432" s="9">
        <v>1191.93</v>
      </c>
      <c r="D432" s="9">
        <v>1217.79</v>
      </c>
      <c r="E432" s="9">
        <f t="shared" si="18"/>
        <v>2.1304505912536919E-2</v>
      </c>
      <c r="F432" s="9">
        <f t="shared" si="19"/>
        <v>3.7430546120797589E-2</v>
      </c>
      <c r="G432" s="9">
        <f t="shared" si="20"/>
        <v>9.5525443227998351E-3</v>
      </c>
    </row>
    <row r="433" spans="1:7" x14ac:dyDescent="0.2">
      <c r="A433" s="12">
        <v>37771</v>
      </c>
      <c r="B433" s="9">
        <v>1224.6300000000001</v>
      </c>
      <c r="C433" s="9">
        <v>1214.1500000000001</v>
      </c>
      <c r="D433" s="9">
        <v>1219.67</v>
      </c>
      <c r="E433" s="9">
        <f t="shared" si="18"/>
        <v>1.5425897227454315E-3</v>
      </c>
      <c r="F433" s="9">
        <f t="shared" si="19"/>
        <v>4.1106606528190488E-2</v>
      </c>
      <c r="G433" s="9">
        <f t="shared" si="20"/>
        <v>9.5312305113924665E-3</v>
      </c>
    </row>
    <row r="434" spans="1:7" x14ac:dyDescent="0.2">
      <c r="A434" s="12">
        <v>37774</v>
      </c>
      <c r="B434" s="9">
        <v>1242.48</v>
      </c>
      <c r="C434" s="9">
        <v>1219.6500000000001</v>
      </c>
      <c r="D434" s="9">
        <v>1234.52</v>
      </c>
      <c r="E434" s="9">
        <f t="shared" si="18"/>
        <v>1.2101900210532604E-2</v>
      </c>
      <c r="F434" s="9">
        <f t="shared" si="19"/>
        <v>3.6619685708654176E-2</v>
      </c>
      <c r="G434" s="9">
        <f t="shared" si="20"/>
        <v>9.3169818252166851E-3</v>
      </c>
    </row>
    <row r="435" spans="1:7" x14ac:dyDescent="0.2">
      <c r="A435" s="12">
        <v>37775</v>
      </c>
      <c r="B435" s="9">
        <v>1235.04</v>
      </c>
      <c r="C435" s="9">
        <v>1225.8800000000001</v>
      </c>
      <c r="D435" s="9">
        <v>1229.53</v>
      </c>
      <c r="E435" s="9">
        <f t="shared" si="18"/>
        <v>-4.0502480238142589E-3</v>
      </c>
      <c r="F435" s="9">
        <f t="shared" si="19"/>
        <v>3.1830295895558969E-2</v>
      </c>
      <c r="G435" s="9">
        <f t="shared" si="20"/>
        <v>9.3664189716724557E-3</v>
      </c>
    </row>
    <row r="436" spans="1:7" x14ac:dyDescent="0.2">
      <c r="A436" s="12">
        <v>37776</v>
      </c>
      <c r="B436" s="9">
        <v>1243.81</v>
      </c>
      <c r="C436" s="9">
        <v>1229.53</v>
      </c>
      <c r="D436" s="9">
        <v>1241.6500000000001</v>
      </c>
      <c r="E436" s="9">
        <f t="shared" si="18"/>
        <v>9.809157715435543E-3</v>
      </c>
      <c r="F436" s="9">
        <f t="shared" si="19"/>
        <v>3.1971891403120886E-2</v>
      </c>
      <c r="G436" s="9">
        <f t="shared" si="20"/>
        <v>9.3709400505657871E-3</v>
      </c>
    </row>
    <row r="437" spans="1:7" x14ac:dyDescent="0.2">
      <c r="A437" s="12">
        <v>37777</v>
      </c>
      <c r="B437" s="9">
        <v>1249.1400000000001</v>
      </c>
      <c r="C437" s="9">
        <v>1237.33</v>
      </c>
      <c r="D437" s="9">
        <v>1240.3599999999999</v>
      </c>
      <c r="E437" s="9">
        <f t="shared" si="18"/>
        <v>-1.0394801923891786E-3</v>
      </c>
      <c r="F437" s="9">
        <f t="shared" si="19"/>
        <v>2.8274999625124728E-2</v>
      </c>
      <c r="G437" s="9">
        <f t="shared" si="20"/>
        <v>9.3735944162172367E-3</v>
      </c>
    </row>
    <row r="438" spans="1:7" x14ac:dyDescent="0.2">
      <c r="A438" s="12">
        <v>37778</v>
      </c>
      <c r="B438" s="9">
        <v>1275.53</v>
      </c>
      <c r="C438" s="9">
        <v>1239.95</v>
      </c>
      <c r="D438" s="9">
        <v>1264.1500000000001</v>
      </c>
      <c r="E438" s="9">
        <f t="shared" si="18"/>
        <v>1.8998299507763893E-2</v>
      </c>
      <c r="F438" s="9">
        <f t="shared" si="19"/>
        <v>2.7963192622648861E-2</v>
      </c>
      <c r="G438" s="9">
        <f t="shared" si="20"/>
        <v>9.3526754097189978E-3</v>
      </c>
    </row>
    <row r="439" spans="1:7" x14ac:dyDescent="0.2">
      <c r="A439" s="12">
        <v>37781</v>
      </c>
      <c r="B439" s="9">
        <v>1264.1500000000001</v>
      </c>
      <c r="C439" s="9">
        <v>1249.73</v>
      </c>
      <c r="D439" s="9">
        <v>1254.18</v>
      </c>
      <c r="E439" s="9">
        <f t="shared" si="18"/>
        <v>-7.9179869902999186E-3</v>
      </c>
      <c r="F439" s="9">
        <f t="shared" si="19"/>
        <v>2.029741552112696E-2</v>
      </c>
      <c r="G439" s="9">
        <f t="shared" si="20"/>
        <v>9.4898608796017483E-3</v>
      </c>
    </row>
    <row r="440" spans="1:7" x14ac:dyDescent="0.2">
      <c r="A440" s="12">
        <v>37782</v>
      </c>
      <c r="B440" s="9">
        <v>1260.8499999999999</v>
      </c>
      <c r="C440" s="9">
        <v>1252.6300000000001</v>
      </c>
      <c r="D440" s="9">
        <v>1256.06</v>
      </c>
      <c r="E440" s="9">
        <f t="shared" si="18"/>
        <v>1.4978650260510879E-3</v>
      </c>
      <c r="F440" s="9">
        <f t="shared" si="19"/>
        <v>3.7739715567410008E-2</v>
      </c>
      <c r="G440" s="9">
        <f t="shared" si="20"/>
        <v>8.9557177824306933E-3</v>
      </c>
    </row>
    <row r="441" spans="1:7" x14ac:dyDescent="0.2">
      <c r="A441" s="12">
        <v>37783</v>
      </c>
      <c r="B441" s="9">
        <v>1269.79</v>
      </c>
      <c r="C441" s="9">
        <v>1255.33</v>
      </c>
      <c r="D441" s="9">
        <v>1267.99</v>
      </c>
      <c r="E441" s="9">
        <f t="shared" si="18"/>
        <v>9.4531319429446998E-3</v>
      </c>
      <c r="F441" s="9">
        <f t="shared" si="19"/>
        <v>3.4263580241812273E-2</v>
      </c>
      <c r="G441" s="9">
        <f t="shared" si="20"/>
        <v>8.8209789257707553E-3</v>
      </c>
    </row>
    <row r="442" spans="1:7" x14ac:dyDescent="0.2">
      <c r="A442" s="12">
        <v>37784</v>
      </c>
      <c r="B442" s="9">
        <v>1275.3399999999999</v>
      </c>
      <c r="C442" s="9">
        <v>1261.17</v>
      </c>
      <c r="D442" s="9">
        <v>1264.55</v>
      </c>
      <c r="E442" s="9">
        <f t="shared" si="18"/>
        <v>-2.716641881779361E-3</v>
      </c>
      <c r="F442" s="9">
        <f t="shared" si="19"/>
        <v>2.5355320765253455E-2</v>
      </c>
      <c r="G442" s="9">
        <f t="shared" si="20"/>
        <v>8.7950373475404811E-3</v>
      </c>
    </row>
    <row r="443" spans="1:7" x14ac:dyDescent="0.2">
      <c r="A443" s="12">
        <v>37785</v>
      </c>
      <c r="B443" s="9">
        <v>1271.8699999999999</v>
      </c>
      <c r="C443" s="9">
        <v>1253.5899999999999</v>
      </c>
      <c r="D443" s="9">
        <v>1259.5</v>
      </c>
      <c r="E443" s="9">
        <f t="shared" si="18"/>
        <v>-4.0015108562976671E-3</v>
      </c>
      <c r="F443" s="9">
        <f t="shared" si="19"/>
        <v>1.4201194988427025E-2</v>
      </c>
      <c r="G443" s="9">
        <f t="shared" si="20"/>
        <v>8.7548749842909519E-3</v>
      </c>
    </row>
    <row r="444" spans="1:7" x14ac:dyDescent="0.2">
      <c r="A444" s="12">
        <v>37788</v>
      </c>
      <c r="B444" s="9">
        <v>1261.68</v>
      </c>
      <c r="C444" s="9">
        <v>1246.28</v>
      </c>
      <c r="D444" s="9">
        <v>1257.3699999999999</v>
      </c>
      <c r="E444" s="9">
        <f t="shared" si="18"/>
        <v>-1.6925788844923944E-3</v>
      </c>
      <c r="F444" s="9">
        <f t="shared" si="19"/>
        <v>1.8161816325659847E-2</v>
      </c>
      <c r="G444" s="9">
        <f t="shared" si="20"/>
        <v>8.6889164565694659E-3</v>
      </c>
    </row>
    <row r="445" spans="1:7" x14ac:dyDescent="0.2">
      <c r="A445" s="12">
        <v>37789</v>
      </c>
      <c r="B445" s="9">
        <v>1279.04</v>
      </c>
      <c r="C445" s="9">
        <v>1257.3699999999999</v>
      </c>
      <c r="D445" s="9">
        <v>1274.27</v>
      </c>
      <c r="E445" s="9">
        <f t="shared" si="18"/>
        <v>1.3351227695966564E-2</v>
      </c>
      <c r="F445" s="9">
        <f t="shared" si="19"/>
        <v>2.1544591106427081E-2</v>
      </c>
      <c r="G445" s="9">
        <f t="shared" si="20"/>
        <v>8.8353302786105883E-3</v>
      </c>
    </row>
    <row r="446" spans="1:7" x14ac:dyDescent="0.2">
      <c r="A446" s="12">
        <v>37790</v>
      </c>
      <c r="B446" s="9">
        <v>1279.72</v>
      </c>
      <c r="C446" s="9">
        <v>1269.8800000000001</v>
      </c>
      <c r="D446" s="9">
        <v>1276.48</v>
      </c>
      <c r="E446" s="9">
        <f t="shared" si="18"/>
        <v>1.7328241129028696E-3</v>
      </c>
      <c r="F446" s="9">
        <f t="shared" si="19"/>
        <v>1.7225729743786208E-2</v>
      </c>
      <c r="G446" s="9">
        <f t="shared" si="20"/>
        <v>8.7804445921417125E-3</v>
      </c>
    </row>
    <row r="447" spans="1:7" x14ac:dyDescent="0.2">
      <c r="A447" s="12">
        <v>37791</v>
      </c>
      <c r="B447" s="9">
        <v>1278.76</v>
      </c>
      <c r="C447" s="9">
        <v>1270.27</v>
      </c>
      <c r="D447" s="9">
        <v>1274.52</v>
      </c>
      <c r="E447" s="9">
        <f t="shared" si="18"/>
        <v>-1.5366525955932276E-3</v>
      </c>
      <c r="F447" s="9">
        <f t="shared" si="19"/>
        <v>2.2711476816630837E-2</v>
      </c>
      <c r="G447" s="9">
        <f t="shared" si="20"/>
        <v>8.6732533107841802E-3</v>
      </c>
    </row>
    <row r="448" spans="1:7" x14ac:dyDescent="0.2">
      <c r="A448" s="12">
        <v>37795</v>
      </c>
      <c r="B448" s="9">
        <v>1274.52</v>
      </c>
      <c r="C448" s="9">
        <v>1261.23</v>
      </c>
      <c r="D448" s="9">
        <v>1264.81</v>
      </c>
      <c r="E448" s="9">
        <f t="shared" si="18"/>
        <v>-7.6477238690798015E-3</v>
      </c>
      <c r="F448" s="9">
        <f t="shared" si="19"/>
        <v>2.5212193157410741E-2</v>
      </c>
      <c r="G448" s="9">
        <f t="shared" si="20"/>
        <v>8.5763034095262397E-3</v>
      </c>
    </row>
    <row r="449" spans="1:7" x14ac:dyDescent="0.2">
      <c r="A449" s="12">
        <v>37796</v>
      </c>
      <c r="B449" s="9">
        <v>1264.97</v>
      </c>
      <c r="C449" s="9">
        <v>1227.68</v>
      </c>
      <c r="D449" s="9">
        <v>1229.3399999999999</v>
      </c>
      <c r="E449" s="9">
        <f t="shared" si="18"/>
        <v>-2.8444473265205928E-2</v>
      </c>
      <c r="F449" s="9">
        <f t="shared" si="19"/>
        <v>4.02651191590529E-3</v>
      </c>
      <c r="G449" s="9">
        <f t="shared" si="20"/>
        <v>1.0017368512497685E-2</v>
      </c>
    </row>
    <row r="450" spans="1:7" x14ac:dyDescent="0.2">
      <c r="A450" s="12">
        <v>37797</v>
      </c>
      <c r="B450" s="9">
        <v>1241.83</v>
      </c>
      <c r="C450" s="9">
        <v>1228.3599999999999</v>
      </c>
      <c r="D450" s="9">
        <v>1236.71</v>
      </c>
      <c r="E450" s="9">
        <f t="shared" si="18"/>
        <v>5.977187763573655E-3</v>
      </c>
      <c r="F450" s="9">
        <f t="shared" si="19"/>
        <v>8.7304172142394307E-3</v>
      </c>
      <c r="G450" s="9">
        <f t="shared" si="20"/>
        <v>1.0072474894735832E-2</v>
      </c>
    </row>
    <row r="451" spans="1:7" x14ac:dyDescent="0.2">
      <c r="A451" s="12">
        <v>37798</v>
      </c>
      <c r="B451" s="9">
        <v>1244.21</v>
      </c>
      <c r="C451" s="9">
        <v>1235.1600000000001</v>
      </c>
      <c r="D451" s="9">
        <v>1239.44</v>
      </c>
      <c r="E451" s="9">
        <f t="shared" si="18"/>
        <v>2.2050369372999083E-3</v>
      </c>
      <c r="F451" s="9">
        <f t="shared" si="19"/>
        <v>4.0989462396650907E-3</v>
      </c>
      <c r="G451" s="9">
        <f t="shared" si="20"/>
        <v>1.0003952218300471E-2</v>
      </c>
    </row>
    <row r="452" spans="1:7" x14ac:dyDescent="0.2">
      <c r="A452" s="12">
        <v>37799</v>
      </c>
      <c r="B452" s="9">
        <v>1266.3399999999999</v>
      </c>
      <c r="C452" s="9">
        <v>1238.28</v>
      </c>
      <c r="D452" s="9">
        <v>1265.54</v>
      </c>
      <c r="E452" s="9">
        <f t="shared" ref="E452:E515" si="21">LN(D452/D451)</f>
        <v>2.0839243857673512E-2</v>
      </c>
      <c r="F452" s="9">
        <f t="shared" si="19"/>
        <v>2.8541651367820071E-2</v>
      </c>
      <c r="G452" s="9">
        <f t="shared" si="20"/>
        <v>1.0662515296415646E-2</v>
      </c>
    </row>
    <row r="453" spans="1:7" x14ac:dyDescent="0.2">
      <c r="A453" s="12">
        <v>37802</v>
      </c>
      <c r="B453" s="9">
        <v>1265.54</v>
      </c>
      <c r="C453" s="9">
        <v>1252.01</v>
      </c>
      <c r="D453" s="9">
        <v>1255.3</v>
      </c>
      <c r="E453" s="9">
        <f t="shared" si="21"/>
        <v>-8.124320721547177E-3</v>
      </c>
      <c r="F453" s="9">
        <f t="shared" si="19"/>
        <v>1.4103610404136088E-2</v>
      </c>
      <c r="G453" s="9">
        <f t="shared" si="20"/>
        <v>1.0737708395545971E-2</v>
      </c>
    </row>
    <row r="454" spans="1:7" x14ac:dyDescent="0.2">
      <c r="A454" s="12">
        <v>37803</v>
      </c>
      <c r="B454" s="9">
        <v>1255.3</v>
      </c>
      <c r="C454" s="9">
        <v>1231.79</v>
      </c>
      <c r="D454" s="9">
        <v>1235.0899999999999</v>
      </c>
      <c r="E454" s="9">
        <f t="shared" si="21"/>
        <v>-1.6230745923374978E-2</v>
      </c>
      <c r="F454" s="9">
        <f t="shared" si="19"/>
        <v>-2.6715131852355652E-4</v>
      </c>
      <c r="G454" s="9">
        <f t="shared" si="20"/>
        <v>1.115758386474848E-2</v>
      </c>
    </row>
    <row r="455" spans="1:7" x14ac:dyDescent="0.2">
      <c r="A455" s="12">
        <v>37804</v>
      </c>
      <c r="B455" s="9">
        <v>1254.6400000000001</v>
      </c>
      <c r="C455" s="9">
        <v>1235.0899999999999</v>
      </c>
      <c r="D455" s="9">
        <v>1252.77</v>
      </c>
      <c r="E455" s="9">
        <f t="shared" si="21"/>
        <v>1.42132576888791E-2</v>
      </c>
      <c r="F455" s="9">
        <f t="shared" si="19"/>
        <v>2.5826144311607738E-2</v>
      </c>
      <c r="G455" s="9">
        <f t="shared" si="20"/>
        <v>1.1217150406327401E-2</v>
      </c>
    </row>
    <row r="456" spans="1:7" x14ac:dyDescent="0.2">
      <c r="A456" s="12">
        <v>37805</v>
      </c>
      <c r="B456" s="9">
        <v>1260.6300000000001</v>
      </c>
      <c r="C456" s="9">
        <v>1251.24</v>
      </c>
      <c r="D456" s="9">
        <v>1258.8900000000001</v>
      </c>
      <c r="E456" s="9">
        <f t="shared" si="21"/>
        <v>4.8732807083095324E-3</v>
      </c>
      <c r="F456" s="9">
        <f t="shared" si="19"/>
        <v>3.8503195447788949E-2</v>
      </c>
      <c r="G456" s="9">
        <f t="shared" si="20"/>
        <v>1.1117826507934083E-2</v>
      </c>
    </row>
    <row r="457" spans="1:7" x14ac:dyDescent="0.2">
      <c r="A457" s="12">
        <v>37806</v>
      </c>
      <c r="B457" s="9">
        <v>1276.69</v>
      </c>
      <c r="C457" s="9">
        <v>1253.5899999999999</v>
      </c>
      <c r="D457" s="9">
        <v>1272.8399999999999</v>
      </c>
      <c r="E457" s="9">
        <f t="shared" si="21"/>
        <v>1.102024400740274E-2</v>
      </c>
      <c r="F457" s="9">
        <f t="shared" si="19"/>
        <v>6.3807614980394695E-2</v>
      </c>
      <c r="G457" s="9">
        <f t="shared" si="20"/>
        <v>1.085275563308109E-2</v>
      </c>
    </row>
    <row r="458" spans="1:7" x14ac:dyDescent="0.2">
      <c r="A458" s="12">
        <v>37809</v>
      </c>
      <c r="B458" s="9">
        <v>1322.86</v>
      </c>
      <c r="C458" s="9">
        <v>1272.6099999999999</v>
      </c>
      <c r="D458" s="9">
        <v>1314.55</v>
      </c>
      <c r="E458" s="9">
        <f t="shared" si="21"/>
        <v>3.2243777417688975E-2</v>
      </c>
      <c r="F458" s="9">
        <f t="shared" si="19"/>
        <v>8.975718080581388E-2</v>
      </c>
      <c r="G458" s="9">
        <f t="shared" si="20"/>
        <v>1.2152620828180577E-2</v>
      </c>
    </row>
    <row r="459" spans="1:7" x14ac:dyDescent="0.2">
      <c r="A459" s="12">
        <v>37810</v>
      </c>
      <c r="B459" s="9">
        <v>1325.65</v>
      </c>
      <c r="C459" s="9">
        <v>1308.53</v>
      </c>
      <c r="D459" s="9">
        <v>1321.88</v>
      </c>
      <c r="E459" s="9">
        <f t="shared" si="21"/>
        <v>5.5605640103313257E-3</v>
      </c>
      <c r="F459" s="9">
        <f t="shared" si="19"/>
        <v>0.10194697601019506</v>
      </c>
      <c r="G459" s="9">
        <f t="shared" si="20"/>
        <v>1.2022935384191141E-2</v>
      </c>
    </row>
    <row r="460" spans="1:7" x14ac:dyDescent="0.2">
      <c r="A460" s="12">
        <v>37811</v>
      </c>
      <c r="B460" s="9">
        <v>1329.36</v>
      </c>
      <c r="C460" s="9">
        <v>1315.78</v>
      </c>
      <c r="D460" s="9">
        <v>1316.67</v>
      </c>
      <c r="E460" s="9">
        <f t="shared" si="21"/>
        <v>-3.9491438639764004E-3</v>
      </c>
      <c r="F460" s="9">
        <f t="shared" si="19"/>
        <v>0.10045527889767986</v>
      </c>
      <c r="G460" s="9">
        <f t="shared" si="20"/>
        <v>1.2051039546445532E-2</v>
      </c>
    </row>
    <row r="461" spans="1:7" x14ac:dyDescent="0.2">
      <c r="A461" s="12">
        <v>37812</v>
      </c>
      <c r="B461" s="9">
        <v>1326.39</v>
      </c>
      <c r="C461" s="9">
        <v>1305.51</v>
      </c>
      <c r="D461" s="9">
        <v>1309.79</v>
      </c>
      <c r="E461" s="9">
        <f t="shared" si="21"/>
        <v>-5.2390028680120463E-3</v>
      </c>
      <c r="F461" s="9">
        <f t="shared" si="19"/>
        <v>9.4133584302175541E-2</v>
      </c>
      <c r="G461" s="9">
        <f t="shared" si="20"/>
        <v>1.2146914435577442E-2</v>
      </c>
    </row>
    <row r="462" spans="1:7" x14ac:dyDescent="0.2">
      <c r="A462" s="12">
        <v>37813</v>
      </c>
      <c r="B462" s="9">
        <v>1317.01</v>
      </c>
      <c r="C462" s="9">
        <v>1303.49</v>
      </c>
      <c r="D462" s="9">
        <v>1312.32</v>
      </c>
      <c r="E462" s="9">
        <f t="shared" si="21"/>
        <v>1.9297442022834729E-3</v>
      </c>
      <c r="F462" s="9">
        <f t="shared" si="19"/>
        <v>7.4758822591922167E-2</v>
      </c>
      <c r="G462" s="9">
        <f t="shared" si="20"/>
        <v>1.1652726962136551E-2</v>
      </c>
    </row>
    <row r="463" spans="1:7" x14ac:dyDescent="0.2">
      <c r="A463" s="12">
        <v>37816</v>
      </c>
      <c r="B463" s="9">
        <v>1340.45</v>
      </c>
      <c r="C463" s="9">
        <v>1311.96</v>
      </c>
      <c r="D463" s="9">
        <v>1337.37</v>
      </c>
      <c r="E463" s="9">
        <f t="shared" si="21"/>
        <v>1.8908435580922117E-2</v>
      </c>
      <c r="F463" s="9">
        <f t="shared" si="19"/>
        <v>9.2124668450098993E-2</v>
      </c>
      <c r="G463" s="9">
        <f t="shared" si="20"/>
        <v>1.2029191855663555E-2</v>
      </c>
    </row>
    <row r="464" spans="1:7" x14ac:dyDescent="0.2">
      <c r="A464" s="12">
        <v>37817</v>
      </c>
      <c r="B464" s="9">
        <v>1339.2</v>
      </c>
      <c r="C464" s="9">
        <v>1332.1</v>
      </c>
      <c r="D464" s="9">
        <v>1334.96</v>
      </c>
      <c r="E464" s="9">
        <f t="shared" si="21"/>
        <v>-1.8036699459692224E-3</v>
      </c>
      <c r="F464" s="9">
        <f t="shared" si="19"/>
        <v>7.8219098293597314E-2</v>
      </c>
      <c r="G464" s="9">
        <f t="shared" si="20"/>
        <v>1.1936754387885955E-2</v>
      </c>
    </row>
    <row r="465" spans="1:7" x14ac:dyDescent="0.2">
      <c r="A465" s="12">
        <v>37818</v>
      </c>
      <c r="B465" s="9">
        <v>1341.47</v>
      </c>
      <c r="C465" s="9">
        <v>1331.94</v>
      </c>
      <c r="D465" s="9">
        <v>1335.23</v>
      </c>
      <c r="E465" s="9">
        <f t="shared" si="21"/>
        <v>2.0223280060235576E-4</v>
      </c>
      <c r="F465" s="9">
        <f t="shared" si="19"/>
        <v>8.2471579118013852E-2</v>
      </c>
      <c r="G465" s="9">
        <f t="shared" si="20"/>
        <v>1.1880084236355405E-2</v>
      </c>
    </row>
    <row r="466" spans="1:7" x14ac:dyDescent="0.2">
      <c r="A466" s="12">
        <v>37819</v>
      </c>
      <c r="B466" s="9">
        <v>1337.31</v>
      </c>
      <c r="C466" s="9">
        <v>1299.93</v>
      </c>
      <c r="D466" s="9">
        <v>1303.55</v>
      </c>
      <c r="E466" s="9">
        <f t="shared" si="21"/>
        <v>-2.4012249735146499E-2</v>
      </c>
      <c r="F466" s="9">
        <f t="shared" si="19"/>
        <v>4.8650171667431782E-2</v>
      </c>
      <c r="G466" s="9">
        <f t="shared" si="20"/>
        <v>1.275924043335112E-2</v>
      </c>
    </row>
    <row r="467" spans="1:7" x14ac:dyDescent="0.2">
      <c r="A467" s="12">
        <v>37820</v>
      </c>
      <c r="B467" s="9">
        <v>1318.62</v>
      </c>
      <c r="C467" s="9">
        <v>1295.76</v>
      </c>
      <c r="D467" s="9">
        <v>1313.21</v>
      </c>
      <c r="E467" s="9">
        <f t="shared" si="21"/>
        <v>7.3832096806335425E-3</v>
      </c>
      <c r="F467" s="9">
        <f t="shared" si="19"/>
        <v>5.7072861540454538E-2</v>
      </c>
      <c r="G467" s="9">
        <f t="shared" si="20"/>
        <v>1.2791291666004095E-2</v>
      </c>
    </row>
    <row r="468" spans="1:7" x14ac:dyDescent="0.2">
      <c r="A468" s="12">
        <v>37823</v>
      </c>
      <c r="B468" s="9">
        <v>1319.86</v>
      </c>
      <c r="C468" s="9">
        <v>1299.49</v>
      </c>
      <c r="D468" s="9">
        <v>1303.3499999999999</v>
      </c>
      <c r="E468" s="9">
        <f t="shared" si="21"/>
        <v>-7.5366486314122167E-3</v>
      </c>
      <c r="F468" s="9">
        <f t="shared" si="19"/>
        <v>3.0537913401278375E-2</v>
      </c>
      <c r="G468" s="9">
        <f t="shared" si="20"/>
        <v>1.2482062163083283E-2</v>
      </c>
    </row>
    <row r="469" spans="1:7" x14ac:dyDescent="0.2">
      <c r="A469" s="12">
        <v>37824</v>
      </c>
      <c r="B469" s="9">
        <v>1304.6600000000001</v>
      </c>
      <c r="C469" s="9">
        <v>1283.6400000000001</v>
      </c>
      <c r="D469" s="9">
        <v>1289.1300000000001</v>
      </c>
      <c r="E469" s="9">
        <f t="shared" si="21"/>
        <v>-1.0970300724787743E-2</v>
      </c>
      <c r="F469" s="9">
        <f t="shared" si="19"/>
        <v>2.7485599666790567E-2</v>
      </c>
      <c r="G469" s="9">
        <f t="shared" si="20"/>
        <v>1.2569545724184072E-2</v>
      </c>
    </row>
    <row r="470" spans="1:7" x14ac:dyDescent="0.2">
      <c r="A470" s="12">
        <v>37825</v>
      </c>
      <c r="B470" s="9">
        <v>1302.9100000000001</v>
      </c>
      <c r="C470" s="9">
        <v>1288.69</v>
      </c>
      <c r="D470" s="9">
        <v>1290.02</v>
      </c>
      <c r="E470" s="9">
        <f t="shared" si="21"/>
        <v>6.9014988296614078E-4</v>
      </c>
      <c r="F470" s="9">
        <f t="shared" si="19"/>
        <v>2.6677884523705637E-2</v>
      </c>
      <c r="G470" s="9">
        <f t="shared" si="20"/>
        <v>1.2569121862946498E-2</v>
      </c>
    </row>
    <row r="471" spans="1:7" x14ac:dyDescent="0.2">
      <c r="A471" s="12">
        <v>37826</v>
      </c>
      <c r="B471" s="9">
        <v>1311.45</v>
      </c>
      <c r="C471" s="9">
        <v>1290.02</v>
      </c>
      <c r="D471" s="9">
        <v>1307.27</v>
      </c>
      <c r="E471" s="9">
        <f t="shared" si="21"/>
        <v>1.3283271132111725E-2</v>
      </c>
      <c r="F471" s="9">
        <f t="shared" si="19"/>
        <v>3.0508023712872756E-2</v>
      </c>
      <c r="G471" s="9">
        <f t="shared" si="20"/>
        <v>1.2678089294464474E-2</v>
      </c>
    </row>
    <row r="472" spans="1:7" x14ac:dyDescent="0.2">
      <c r="A472" s="12">
        <v>37827</v>
      </c>
      <c r="B472" s="9">
        <v>1313.11</v>
      </c>
      <c r="C472" s="9">
        <v>1298.57</v>
      </c>
      <c r="D472" s="9">
        <v>1309.55</v>
      </c>
      <c r="E472" s="9">
        <f t="shared" si="21"/>
        <v>1.7425734876274749E-3</v>
      </c>
      <c r="F472" s="9">
        <f t="shared" si="19"/>
        <v>3.4967239082279833E-2</v>
      </c>
      <c r="G472" s="9">
        <f t="shared" si="20"/>
        <v>1.265893256821829E-2</v>
      </c>
    </row>
    <row r="473" spans="1:7" x14ac:dyDescent="0.2">
      <c r="A473" s="12">
        <v>37830</v>
      </c>
      <c r="B473" s="9">
        <v>1323.55</v>
      </c>
      <c r="C473" s="9">
        <v>1309.55</v>
      </c>
      <c r="D473" s="9">
        <v>1317.16</v>
      </c>
      <c r="E473" s="9">
        <f t="shared" si="21"/>
        <v>5.7943368637689988E-3</v>
      </c>
      <c r="F473" s="9">
        <f t="shared" si="19"/>
        <v>4.4763086802346391E-2</v>
      </c>
      <c r="G473" s="9">
        <f t="shared" si="20"/>
        <v>1.2647388561612911E-2</v>
      </c>
    </row>
    <row r="474" spans="1:7" x14ac:dyDescent="0.2">
      <c r="A474" s="12">
        <v>37831</v>
      </c>
      <c r="B474" s="9">
        <v>1326.06</v>
      </c>
      <c r="C474" s="9">
        <v>1312.61</v>
      </c>
      <c r="D474" s="9">
        <v>1314.42</v>
      </c>
      <c r="E474" s="9">
        <f t="shared" si="21"/>
        <v>-2.0823999195480713E-3</v>
      </c>
      <c r="F474" s="9">
        <f t="shared" si="19"/>
        <v>4.4373265767290657E-2</v>
      </c>
      <c r="G474" s="9">
        <f t="shared" si="20"/>
        <v>1.2650973102015212E-2</v>
      </c>
    </row>
    <row r="475" spans="1:7" x14ac:dyDescent="0.2">
      <c r="A475" s="12">
        <v>37832</v>
      </c>
      <c r="B475" s="9">
        <v>1321.79</v>
      </c>
      <c r="C475" s="9">
        <v>1314.12</v>
      </c>
      <c r="D475" s="9">
        <v>1317.06</v>
      </c>
      <c r="E475" s="9">
        <f t="shared" si="21"/>
        <v>2.0064761166399873E-3</v>
      </c>
      <c r="F475" s="9">
        <f t="shared" si="19"/>
        <v>3.3028514187964382E-2</v>
      </c>
      <c r="G475" s="9">
        <f t="shared" si="20"/>
        <v>1.2451848346393967E-2</v>
      </c>
    </row>
    <row r="476" spans="1:7" x14ac:dyDescent="0.2">
      <c r="A476" s="12">
        <v>37833</v>
      </c>
      <c r="B476" s="9">
        <v>1329.23</v>
      </c>
      <c r="C476" s="9">
        <v>1314.35</v>
      </c>
      <c r="D476" s="9">
        <v>1322.97</v>
      </c>
      <c r="E476" s="9">
        <f t="shared" si="21"/>
        <v>4.4772293287925749E-3</v>
      </c>
      <c r="F476" s="9">
        <f t="shared" si="19"/>
        <v>3.5772919403854068E-2</v>
      </c>
      <c r="G476" s="9">
        <f t="shared" si="20"/>
        <v>1.2466722913635505E-2</v>
      </c>
    </row>
    <row r="477" spans="1:7" x14ac:dyDescent="0.2">
      <c r="A477" s="12">
        <v>37834</v>
      </c>
      <c r="B477" s="9">
        <v>1328.44</v>
      </c>
      <c r="C477" s="9">
        <v>1316.64</v>
      </c>
      <c r="D477" s="9">
        <v>1318.06</v>
      </c>
      <c r="E477" s="9">
        <f t="shared" si="21"/>
        <v>-3.7182505741217599E-3</v>
      </c>
      <c r="F477" s="9">
        <f t="shared" si="19"/>
        <v>3.3591321425325567E-2</v>
      </c>
      <c r="G477" s="9">
        <f t="shared" si="20"/>
        <v>1.2489532824435847E-2</v>
      </c>
    </row>
    <row r="478" spans="1:7" x14ac:dyDescent="0.2">
      <c r="A478" s="12">
        <v>37837</v>
      </c>
      <c r="B478" s="9">
        <v>1323.7</v>
      </c>
      <c r="C478" s="9">
        <v>1310.8</v>
      </c>
      <c r="D478" s="9">
        <v>1311.91</v>
      </c>
      <c r="E478" s="9">
        <f t="shared" si="21"/>
        <v>-4.6768679566355888E-3</v>
      </c>
      <c r="F478" s="9">
        <f t="shared" si="19"/>
        <v>3.6562177337769765E-2</v>
      </c>
      <c r="G478" s="9">
        <f t="shared" si="20"/>
        <v>1.2429251774616342E-2</v>
      </c>
    </row>
    <row r="479" spans="1:7" x14ac:dyDescent="0.2">
      <c r="A479" s="12">
        <v>37838</v>
      </c>
      <c r="B479" s="9">
        <v>1321.3</v>
      </c>
      <c r="C479" s="9">
        <v>1311.91</v>
      </c>
      <c r="D479" s="9">
        <v>1315.54</v>
      </c>
      <c r="E479" s="9">
        <f t="shared" si="21"/>
        <v>2.7631371174065386E-3</v>
      </c>
      <c r="F479" s="9">
        <f t="shared" si="19"/>
        <v>6.7769787720382349E-2</v>
      </c>
      <c r="G479" s="9">
        <f t="shared" si="20"/>
        <v>1.1095382462194726E-2</v>
      </c>
    </row>
    <row r="480" spans="1:7" x14ac:dyDescent="0.2">
      <c r="A480" s="12">
        <v>37839</v>
      </c>
      <c r="B480" s="9">
        <v>1315.54</v>
      </c>
      <c r="C480" s="9">
        <v>1291.3699999999999</v>
      </c>
      <c r="D480" s="9">
        <v>1293.81</v>
      </c>
      <c r="E480" s="9">
        <f t="shared" si="21"/>
        <v>-1.6655873957642779E-2</v>
      </c>
      <c r="F480" s="9">
        <f t="shared" si="19"/>
        <v>4.5136725999165919E-2</v>
      </c>
      <c r="G480" s="9">
        <f t="shared" si="20"/>
        <v>1.1592193986222582E-2</v>
      </c>
    </row>
    <row r="481" spans="1:7" x14ac:dyDescent="0.2">
      <c r="A481" s="12">
        <v>37840</v>
      </c>
      <c r="B481" s="9">
        <v>1298.28</v>
      </c>
      <c r="C481" s="9">
        <v>1282.8499999999999</v>
      </c>
      <c r="D481" s="9">
        <v>1285.3599999999999</v>
      </c>
      <c r="E481" s="9">
        <f t="shared" si="21"/>
        <v>-6.5525190148226879E-3</v>
      </c>
      <c r="F481" s="9">
        <f t="shared" ref="F481:F544" si="22">LN(D481/D451)</f>
        <v>3.6379170047043052E-2</v>
      </c>
      <c r="G481" s="9">
        <f t="shared" ref="G481:G544" si="23">STDEV(E452:E481)</f>
        <v>1.1683851513128266E-2</v>
      </c>
    </row>
    <row r="482" spans="1:7" x14ac:dyDescent="0.2">
      <c r="A482" s="12">
        <v>37841</v>
      </c>
      <c r="B482" s="9">
        <v>1300.24</v>
      </c>
      <c r="C482" s="9">
        <v>1285.26</v>
      </c>
      <c r="D482" s="9">
        <v>1295.6600000000001</v>
      </c>
      <c r="E482" s="9">
        <f t="shared" si="21"/>
        <v>7.981383079480639E-3</v>
      </c>
      <c r="F482" s="9">
        <f t="shared" si="22"/>
        <v>2.352130926885047E-2</v>
      </c>
      <c r="G482" s="9">
        <f t="shared" si="23"/>
        <v>1.1163302962584398E-2</v>
      </c>
    </row>
    <row r="483" spans="1:7" x14ac:dyDescent="0.2">
      <c r="A483" s="12">
        <v>37844</v>
      </c>
      <c r="B483" s="9">
        <v>1307.17</v>
      </c>
      <c r="C483" s="9">
        <v>1295.51</v>
      </c>
      <c r="D483" s="9">
        <v>1303.5</v>
      </c>
      <c r="E483" s="9">
        <f t="shared" si="21"/>
        <v>6.0327365589961978E-3</v>
      </c>
      <c r="F483" s="9">
        <f t="shared" si="22"/>
        <v>3.7678366549393792E-2</v>
      </c>
      <c r="G483" s="9">
        <f t="shared" si="23"/>
        <v>1.1072597018567788E-2</v>
      </c>
    </row>
    <row r="484" spans="1:7" x14ac:dyDescent="0.2">
      <c r="A484" s="12">
        <v>37845</v>
      </c>
      <c r="B484" s="9">
        <v>1319.56</v>
      </c>
      <c r="C484" s="9">
        <v>1303.5</v>
      </c>
      <c r="D484" s="9">
        <v>1318.48</v>
      </c>
      <c r="E484" s="9">
        <f t="shared" si="21"/>
        <v>1.142660355236815E-2</v>
      </c>
      <c r="F484" s="9">
        <f t="shared" si="22"/>
        <v>6.5335716025136978E-2</v>
      </c>
      <c r="G484" s="9">
        <f t="shared" si="23"/>
        <v>1.071194951523266E-2</v>
      </c>
    </row>
    <row r="485" spans="1:7" x14ac:dyDescent="0.2">
      <c r="A485" s="12">
        <v>37846</v>
      </c>
      <c r="B485" s="9">
        <v>1327.36</v>
      </c>
      <c r="C485" s="9">
        <v>1316.02</v>
      </c>
      <c r="D485" s="9">
        <v>1322.82</v>
      </c>
      <c r="E485" s="9">
        <f t="shared" si="21"/>
        <v>3.286263511019944E-3</v>
      </c>
      <c r="F485" s="9">
        <f t="shared" si="22"/>
        <v>5.4408721847277686E-2</v>
      </c>
      <c r="G485" s="9">
        <f t="shared" si="23"/>
        <v>1.0471682235403536E-2</v>
      </c>
    </row>
    <row r="486" spans="1:7" x14ac:dyDescent="0.2">
      <c r="A486" s="12">
        <v>37847</v>
      </c>
      <c r="B486" s="9">
        <v>1338.22</v>
      </c>
      <c r="C486" s="9">
        <v>1322.82</v>
      </c>
      <c r="D486" s="9">
        <v>1337.8</v>
      </c>
      <c r="E486" s="9">
        <f t="shared" si="21"/>
        <v>1.1260652247363169E-2</v>
      </c>
      <c r="F486" s="9">
        <f t="shared" si="22"/>
        <v>6.0796093386331351E-2</v>
      </c>
      <c r="G486" s="9">
        <f t="shared" si="23"/>
        <v>1.0600183193895088E-2</v>
      </c>
    </row>
    <row r="487" spans="1:7" x14ac:dyDescent="0.2">
      <c r="A487" s="12">
        <v>37848</v>
      </c>
      <c r="B487" s="9">
        <v>1341.33</v>
      </c>
      <c r="C487" s="9">
        <v>1335</v>
      </c>
      <c r="D487" s="9">
        <v>1340.25</v>
      </c>
      <c r="E487" s="9">
        <f t="shared" si="21"/>
        <v>1.8296900233395756E-3</v>
      </c>
      <c r="F487" s="9">
        <f t="shared" si="22"/>
        <v>5.1605539402267933E-2</v>
      </c>
      <c r="G487" s="9">
        <f t="shared" si="23"/>
        <v>1.0463218102323257E-2</v>
      </c>
    </row>
    <row r="488" spans="1:7" x14ac:dyDescent="0.2">
      <c r="A488" s="12">
        <v>37851</v>
      </c>
      <c r="B488" s="9">
        <v>1355.77</v>
      </c>
      <c r="C488" s="9">
        <v>1339.82</v>
      </c>
      <c r="D488" s="9">
        <v>1352.28</v>
      </c>
      <c r="E488" s="9">
        <f t="shared" si="21"/>
        <v>8.9358930446111588E-3</v>
      </c>
      <c r="F488" s="9">
        <f t="shared" si="22"/>
        <v>2.8297655029190166E-2</v>
      </c>
      <c r="G488" s="9">
        <f t="shared" si="23"/>
        <v>8.8613013915764659E-3</v>
      </c>
    </row>
    <row r="489" spans="1:7" x14ac:dyDescent="0.2">
      <c r="A489" s="12">
        <v>37852</v>
      </c>
      <c r="B489" s="9">
        <v>1381.21</v>
      </c>
      <c r="C489" s="9">
        <v>1351.98</v>
      </c>
      <c r="D489" s="9">
        <v>1377.44</v>
      </c>
      <c r="E489" s="9">
        <f t="shared" si="21"/>
        <v>1.8434647157386401E-2</v>
      </c>
      <c r="F489" s="9">
        <f t="shared" si="22"/>
        <v>4.1171738176245129E-2</v>
      </c>
      <c r="G489" s="9">
        <f t="shared" si="23"/>
        <v>9.3886610391114757E-3</v>
      </c>
    </row>
    <row r="490" spans="1:7" x14ac:dyDescent="0.2">
      <c r="A490" s="12">
        <v>37853</v>
      </c>
      <c r="B490" s="9">
        <v>1386.92</v>
      </c>
      <c r="C490" s="9">
        <v>1372.57</v>
      </c>
      <c r="D490" s="9">
        <v>1385.1</v>
      </c>
      <c r="E490" s="9">
        <f t="shared" si="21"/>
        <v>5.5456352714083907E-3</v>
      </c>
      <c r="F490" s="9">
        <f t="shared" si="22"/>
        <v>5.0666517311629938E-2</v>
      </c>
      <c r="G490" s="9">
        <f t="shared" si="23"/>
        <v>9.363085861570539E-3</v>
      </c>
    </row>
    <row r="491" spans="1:7" x14ac:dyDescent="0.2">
      <c r="A491" s="12">
        <v>37854</v>
      </c>
      <c r="B491" s="9">
        <v>1416.85</v>
      </c>
      <c r="C491" s="9">
        <v>1385.1</v>
      </c>
      <c r="D491" s="9">
        <v>1414.57</v>
      </c>
      <c r="E491" s="9">
        <f t="shared" si="21"/>
        <v>2.1053258787501774E-2</v>
      </c>
      <c r="F491" s="9">
        <f t="shared" si="22"/>
        <v>7.695877896714369E-2</v>
      </c>
      <c r="G491" s="9">
        <f t="shared" si="23"/>
        <v>9.9069717012960443E-3</v>
      </c>
    </row>
    <row r="492" spans="1:7" x14ac:dyDescent="0.2">
      <c r="A492" s="12">
        <v>37855</v>
      </c>
      <c r="B492" s="9">
        <v>1424.19</v>
      </c>
      <c r="C492" s="9">
        <v>1406.06</v>
      </c>
      <c r="D492" s="9">
        <v>1420.81</v>
      </c>
      <c r="E492" s="9">
        <f t="shared" si="21"/>
        <v>4.401533532870705E-3</v>
      </c>
      <c r="F492" s="9">
        <f t="shared" si="22"/>
        <v>7.9430568297730805E-2</v>
      </c>
      <c r="G492" s="9">
        <f t="shared" si="23"/>
        <v>9.9117811496067937E-3</v>
      </c>
    </row>
    <row r="493" spans="1:7" x14ac:dyDescent="0.2">
      <c r="A493" s="12">
        <v>37858</v>
      </c>
      <c r="B493" s="9">
        <v>1422.04</v>
      </c>
      <c r="C493" s="9">
        <v>1405.83</v>
      </c>
      <c r="D493" s="9">
        <v>1409.52</v>
      </c>
      <c r="E493" s="9">
        <f t="shared" si="21"/>
        <v>-7.9779106190515179E-3</v>
      </c>
      <c r="F493" s="9">
        <f t="shared" si="22"/>
        <v>5.254422209775711E-2</v>
      </c>
      <c r="G493" s="9">
        <f t="shared" si="23"/>
        <v>9.6014621965514867E-3</v>
      </c>
    </row>
    <row r="494" spans="1:7" x14ac:dyDescent="0.2">
      <c r="A494" s="12">
        <v>37859</v>
      </c>
      <c r="B494" s="9">
        <v>1412.2</v>
      </c>
      <c r="C494" s="9">
        <v>1380.62</v>
      </c>
      <c r="D494" s="9">
        <v>1380.74</v>
      </c>
      <c r="E494" s="9">
        <f t="shared" si="21"/>
        <v>-2.0629633568005935E-2</v>
      </c>
      <c r="F494" s="9">
        <f t="shared" si="22"/>
        <v>3.3718258475720533E-2</v>
      </c>
      <c r="G494" s="9">
        <f t="shared" si="23"/>
        <v>1.0421984797222738E-2</v>
      </c>
    </row>
    <row r="495" spans="1:7" x14ac:dyDescent="0.2">
      <c r="A495" s="12">
        <v>37860</v>
      </c>
      <c r="B495" s="9">
        <v>1402.88</v>
      </c>
      <c r="C495" s="9">
        <v>1380.3</v>
      </c>
      <c r="D495" s="9">
        <v>1401.26</v>
      </c>
      <c r="E495" s="9">
        <f t="shared" si="21"/>
        <v>1.4752244531818282E-2</v>
      </c>
      <c r="F495" s="9">
        <f t="shared" si="22"/>
        <v>4.8268270206936366E-2</v>
      </c>
      <c r="G495" s="9">
        <f t="shared" si="23"/>
        <v>1.0712125853028448E-2</v>
      </c>
    </row>
    <row r="496" spans="1:7" x14ac:dyDescent="0.2">
      <c r="A496" s="12">
        <v>37861</v>
      </c>
      <c r="B496" s="9">
        <v>1412.87</v>
      </c>
      <c r="C496" s="9">
        <v>1401.06</v>
      </c>
      <c r="D496" s="9">
        <v>1404.76</v>
      </c>
      <c r="E496" s="9">
        <f t="shared" si="21"/>
        <v>2.4946378251793498E-3</v>
      </c>
      <c r="F496" s="9">
        <f t="shared" si="22"/>
        <v>7.477515776726236E-2</v>
      </c>
      <c r="G496" s="9">
        <f t="shared" si="23"/>
        <v>9.556831892156583E-3</v>
      </c>
    </row>
    <row r="497" spans="1:7" x14ac:dyDescent="0.2">
      <c r="A497" s="12">
        <v>37862</v>
      </c>
      <c r="B497" s="9">
        <v>1418.43</v>
      </c>
      <c r="C497" s="9">
        <v>1404.59</v>
      </c>
      <c r="D497" s="9">
        <v>1413.19</v>
      </c>
      <c r="E497" s="9">
        <f t="shared" si="21"/>
        <v>5.9830906493302588E-3</v>
      </c>
      <c r="F497" s="9">
        <f t="shared" si="22"/>
        <v>7.3375038735958964E-2</v>
      </c>
      <c r="G497" s="9">
        <f t="shared" si="23"/>
        <v>9.5355196065083428E-3</v>
      </c>
    </row>
    <row r="498" spans="1:7" x14ac:dyDescent="0.2">
      <c r="A498" s="12">
        <v>37865</v>
      </c>
      <c r="B498" s="9">
        <v>1432.79</v>
      </c>
      <c r="C498" s="9">
        <v>1413.11</v>
      </c>
      <c r="D498" s="9">
        <v>1432.62</v>
      </c>
      <c r="E498" s="9">
        <f t="shared" si="21"/>
        <v>1.3655375393226832E-2</v>
      </c>
      <c r="F498" s="9">
        <f t="shared" si="22"/>
        <v>9.4567062760598022E-2</v>
      </c>
      <c r="G498" s="9">
        <f t="shared" si="23"/>
        <v>9.5554491772023992E-3</v>
      </c>
    </row>
    <row r="499" spans="1:7" x14ac:dyDescent="0.2">
      <c r="A499" s="12">
        <v>37866</v>
      </c>
      <c r="B499" s="9">
        <v>1445.43</v>
      </c>
      <c r="C499" s="9">
        <v>1432.06</v>
      </c>
      <c r="D499" s="9">
        <v>1440.49</v>
      </c>
      <c r="E499" s="9">
        <f t="shared" si="21"/>
        <v>5.4783977525485082E-3</v>
      </c>
      <c r="F499" s="9">
        <f t="shared" si="22"/>
        <v>0.11101576123793423</v>
      </c>
      <c r="G499" s="9">
        <f t="shared" si="23"/>
        <v>9.1817622982999468E-3</v>
      </c>
    </row>
    <row r="500" spans="1:7" x14ac:dyDescent="0.2">
      <c r="A500" s="12">
        <v>37867</v>
      </c>
      <c r="B500" s="9">
        <v>1474.4</v>
      </c>
      <c r="C500" s="9">
        <v>1440.49</v>
      </c>
      <c r="D500" s="9">
        <v>1472.43</v>
      </c>
      <c r="E500" s="9">
        <f t="shared" si="21"/>
        <v>2.1930763728955079E-2</v>
      </c>
      <c r="F500" s="9">
        <f t="shared" si="22"/>
        <v>0.13225637508392321</v>
      </c>
      <c r="G500" s="9">
        <f t="shared" si="23"/>
        <v>9.7433946658299266E-3</v>
      </c>
    </row>
    <row r="501" spans="1:7" x14ac:dyDescent="0.2">
      <c r="A501" s="12">
        <v>37868</v>
      </c>
      <c r="B501" s="9">
        <v>1478.56</v>
      </c>
      <c r="C501" s="9">
        <v>1463.15</v>
      </c>
      <c r="D501" s="9">
        <v>1465.69</v>
      </c>
      <c r="E501" s="9">
        <f t="shared" si="21"/>
        <v>-4.5879758640294012E-3</v>
      </c>
      <c r="F501" s="9">
        <f t="shared" si="22"/>
        <v>0.1143851280877821</v>
      </c>
      <c r="G501" s="9">
        <f t="shared" si="23"/>
        <v>9.7283961421487427E-3</v>
      </c>
    </row>
    <row r="502" spans="1:7" x14ac:dyDescent="0.2">
      <c r="A502" s="12">
        <v>37869</v>
      </c>
      <c r="B502" s="9">
        <v>1472.38</v>
      </c>
      <c r="C502" s="9">
        <v>1446.78</v>
      </c>
      <c r="D502" s="9">
        <v>1453.73</v>
      </c>
      <c r="E502" s="9">
        <f t="shared" si="21"/>
        <v>-8.1934541168039859E-3</v>
      </c>
      <c r="F502" s="9">
        <f t="shared" si="22"/>
        <v>0.10444910048335058</v>
      </c>
      <c r="G502" s="9">
        <f t="shared" si="23"/>
        <v>9.9675045805333162E-3</v>
      </c>
    </row>
    <row r="503" spans="1:7" x14ac:dyDescent="0.2">
      <c r="A503" s="12">
        <v>37872</v>
      </c>
      <c r="B503" s="9">
        <v>1474.87</v>
      </c>
      <c r="C503" s="9">
        <v>1453.73</v>
      </c>
      <c r="D503" s="9">
        <v>1471.13</v>
      </c>
      <c r="E503" s="9">
        <f t="shared" si="21"/>
        <v>1.189814573691063E-2</v>
      </c>
      <c r="F503" s="9">
        <f t="shared" si="22"/>
        <v>0.11055290935649222</v>
      </c>
      <c r="G503" s="9">
        <f t="shared" si="23"/>
        <v>1.0078023956384095E-2</v>
      </c>
    </row>
    <row r="504" spans="1:7" x14ac:dyDescent="0.2">
      <c r="A504" s="12">
        <v>37873</v>
      </c>
      <c r="B504" s="9">
        <v>1482.94</v>
      </c>
      <c r="C504" s="9">
        <v>1451.05</v>
      </c>
      <c r="D504" s="9">
        <v>1451.77</v>
      </c>
      <c r="E504" s="9">
        <f t="shared" si="21"/>
        <v>-1.3247311317572836E-2</v>
      </c>
      <c r="F504" s="9">
        <f t="shared" si="22"/>
        <v>9.9387997958467436E-2</v>
      </c>
      <c r="G504" s="9">
        <f t="shared" si="23"/>
        <v>1.0495841039144886E-2</v>
      </c>
    </row>
    <row r="505" spans="1:7" x14ac:dyDescent="0.2">
      <c r="A505" s="12">
        <v>37874</v>
      </c>
      <c r="B505" s="9">
        <v>1457.96</v>
      </c>
      <c r="C505" s="9">
        <v>1413.71</v>
      </c>
      <c r="D505" s="9">
        <v>1415.4</v>
      </c>
      <c r="E505" s="9">
        <f t="shared" si="21"/>
        <v>-2.5371324992246175E-2</v>
      </c>
      <c r="F505" s="9">
        <f t="shared" si="22"/>
        <v>7.201019684958114E-2</v>
      </c>
      <c r="G505" s="9">
        <f t="shared" si="23"/>
        <v>1.1730909269178193E-2</v>
      </c>
    </row>
    <row r="506" spans="1:7" x14ac:dyDescent="0.2">
      <c r="A506" s="12">
        <v>37875</v>
      </c>
      <c r="B506" s="9">
        <v>1431.24</v>
      </c>
      <c r="C506" s="9">
        <v>1405.9</v>
      </c>
      <c r="D506" s="9">
        <v>1428.83</v>
      </c>
      <c r="E506" s="9">
        <f t="shared" si="21"/>
        <v>9.4437509006613709E-3</v>
      </c>
      <c r="F506" s="9">
        <f t="shared" si="22"/>
        <v>7.6976718421449833E-2</v>
      </c>
      <c r="G506" s="9">
        <f t="shared" si="23"/>
        <v>1.1796093295175702E-2</v>
      </c>
    </row>
    <row r="507" spans="1:7" x14ac:dyDescent="0.2">
      <c r="A507" s="12">
        <v>37876</v>
      </c>
      <c r="B507" s="9">
        <v>1446.98</v>
      </c>
      <c r="C507" s="9">
        <v>1428.83</v>
      </c>
      <c r="D507" s="9">
        <v>1433.12</v>
      </c>
      <c r="E507" s="9">
        <f t="shared" si="21"/>
        <v>2.9979581845394178E-3</v>
      </c>
      <c r="F507" s="9">
        <f t="shared" si="22"/>
        <v>8.369292718011094E-2</v>
      </c>
      <c r="G507" s="9">
        <f t="shared" si="23"/>
        <v>1.1736297018865346E-2</v>
      </c>
    </row>
    <row r="508" spans="1:7" x14ac:dyDescent="0.2">
      <c r="A508" s="12">
        <v>37879</v>
      </c>
      <c r="B508" s="9">
        <v>1442.47</v>
      </c>
      <c r="C508" s="9">
        <v>1427.14</v>
      </c>
      <c r="D508" s="9">
        <v>1430.24</v>
      </c>
      <c r="E508" s="9">
        <f t="shared" si="21"/>
        <v>-2.0116233873426282E-3</v>
      </c>
      <c r="F508" s="9">
        <f t="shared" si="22"/>
        <v>8.6358171749403953E-2</v>
      </c>
      <c r="G508" s="9">
        <f t="shared" si="23"/>
        <v>1.1687814618653586E-2</v>
      </c>
    </row>
    <row r="509" spans="1:7" x14ac:dyDescent="0.2">
      <c r="A509" s="12">
        <v>37880</v>
      </c>
      <c r="B509" s="9">
        <v>1441.27</v>
      </c>
      <c r="C509" s="9">
        <v>1422.64</v>
      </c>
      <c r="D509" s="9">
        <v>1437.47</v>
      </c>
      <c r="E509" s="9">
        <f t="shared" si="21"/>
        <v>5.0423615489733169E-3</v>
      </c>
      <c r="F509" s="9">
        <f t="shared" si="22"/>
        <v>8.8637396180970676E-2</v>
      </c>
      <c r="G509" s="9">
        <f t="shared" si="23"/>
        <v>1.1694444083694766E-2</v>
      </c>
    </row>
    <row r="510" spans="1:7" x14ac:dyDescent="0.2">
      <c r="A510" s="12">
        <v>37881</v>
      </c>
      <c r="B510" s="9">
        <v>1455.71</v>
      </c>
      <c r="C510" s="9">
        <v>1435.18</v>
      </c>
      <c r="D510" s="9">
        <v>1439.7</v>
      </c>
      <c r="E510" s="9">
        <f t="shared" si="21"/>
        <v>1.5501346437939321E-3</v>
      </c>
      <c r="F510" s="9">
        <f t="shared" si="22"/>
        <v>0.10684340478240727</v>
      </c>
      <c r="G510" s="9">
        <f t="shared" si="23"/>
        <v>1.1098919786471118E-2</v>
      </c>
    </row>
    <row r="511" spans="1:7" x14ac:dyDescent="0.2">
      <c r="A511" s="12">
        <v>37882</v>
      </c>
      <c r="B511" s="9">
        <v>1445.82</v>
      </c>
      <c r="C511" s="9">
        <v>1424.85</v>
      </c>
      <c r="D511" s="9">
        <v>1430.72</v>
      </c>
      <c r="E511" s="9">
        <f t="shared" si="21"/>
        <v>-6.2569444866936875E-3</v>
      </c>
      <c r="F511" s="9">
        <f t="shared" si="22"/>
        <v>0.10713897931053624</v>
      </c>
      <c r="G511" s="9">
        <f t="shared" si="23"/>
        <v>1.1089759462528537E-2</v>
      </c>
    </row>
    <row r="512" spans="1:7" x14ac:dyDescent="0.2">
      <c r="A512" s="12">
        <v>37883</v>
      </c>
      <c r="B512" s="9">
        <v>1442.66</v>
      </c>
      <c r="C512" s="9">
        <v>1426.17</v>
      </c>
      <c r="D512" s="9">
        <v>1431.04</v>
      </c>
      <c r="E512" s="9">
        <f t="shared" si="21"/>
        <v>2.2363860095443876E-4</v>
      </c>
      <c r="F512" s="9">
        <f t="shared" si="22"/>
        <v>9.9381234832009988E-2</v>
      </c>
      <c r="G512" s="9">
        <f t="shared" si="23"/>
        <v>1.107381516958458E-2</v>
      </c>
    </row>
    <row r="513" spans="1:7" x14ac:dyDescent="0.2">
      <c r="A513" s="12">
        <v>37886</v>
      </c>
      <c r="B513" s="9">
        <v>1431.65</v>
      </c>
      <c r="C513" s="9">
        <v>1395.92</v>
      </c>
      <c r="D513" s="9">
        <v>1401.9</v>
      </c>
      <c r="E513" s="9">
        <f t="shared" si="21"/>
        <v>-2.0572993272079964E-2</v>
      </c>
      <c r="F513" s="9">
        <f t="shared" si="22"/>
        <v>7.277550500093391E-2</v>
      </c>
      <c r="G513" s="9">
        <f t="shared" si="23"/>
        <v>1.1884189374087611E-2</v>
      </c>
    </row>
    <row r="514" spans="1:7" x14ac:dyDescent="0.2">
      <c r="A514" s="12">
        <v>37887</v>
      </c>
      <c r="B514" s="9">
        <v>1414.96</v>
      </c>
      <c r="C514" s="9">
        <v>1394.04</v>
      </c>
      <c r="D514" s="9">
        <v>1411.68</v>
      </c>
      <c r="E514" s="9">
        <f t="shared" si="21"/>
        <v>6.9520250993043535E-3</v>
      </c>
      <c r="F514" s="9">
        <f t="shared" si="22"/>
        <v>6.8300926547870108E-2</v>
      </c>
      <c r="G514" s="9">
        <f t="shared" si="23"/>
        <v>1.1795075036274858E-2</v>
      </c>
    </row>
    <row r="515" spans="1:7" x14ac:dyDescent="0.2">
      <c r="A515" s="12">
        <v>37888</v>
      </c>
      <c r="B515" s="9">
        <v>1421.86</v>
      </c>
      <c r="C515" s="9">
        <v>1407.93</v>
      </c>
      <c r="D515" s="9">
        <v>1417.68</v>
      </c>
      <c r="E515" s="9">
        <f t="shared" si="21"/>
        <v>4.2412481932949404E-3</v>
      </c>
      <c r="F515" s="9">
        <f t="shared" si="22"/>
        <v>6.9255911230144976E-2</v>
      </c>
      <c r="G515" s="9">
        <f t="shared" si="23"/>
        <v>1.1799181582034052E-2</v>
      </c>
    </row>
    <row r="516" spans="1:7" x14ac:dyDescent="0.2">
      <c r="A516" s="12">
        <v>37889</v>
      </c>
      <c r="B516" s="9">
        <v>1417.68</v>
      </c>
      <c r="C516" s="9">
        <v>1384.49</v>
      </c>
      <c r="D516" s="9">
        <v>1385.11</v>
      </c>
      <c r="E516" s="9">
        <f t="shared" ref="E516:E579" si="24">LN(D516/D515)</f>
        <v>-2.3242173816769698E-2</v>
      </c>
      <c r="F516" s="9">
        <f t="shared" si="22"/>
        <v>3.4753085166012186E-2</v>
      </c>
      <c r="G516" s="9">
        <f t="shared" si="23"/>
        <v>1.2553906374575777E-2</v>
      </c>
    </row>
    <row r="517" spans="1:7" x14ac:dyDescent="0.2">
      <c r="A517" s="12">
        <v>37890</v>
      </c>
      <c r="B517" s="9">
        <v>1392.38</v>
      </c>
      <c r="C517" s="9">
        <v>1372.92</v>
      </c>
      <c r="D517" s="9">
        <v>1387.69</v>
      </c>
      <c r="E517" s="9">
        <f t="shared" si="24"/>
        <v>1.8609353322002666E-3</v>
      </c>
      <c r="F517" s="9">
        <f t="shared" si="22"/>
        <v>3.47843304748729E-2</v>
      </c>
      <c r="G517" s="9">
        <f t="shared" si="23"/>
        <v>1.2553965280123213E-2</v>
      </c>
    </row>
    <row r="518" spans="1:7" x14ac:dyDescent="0.2">
      <c r="A518" s="12">
        <v>37893</v>
      </c>
      <c r="B518" s="9">
        <v>1408.68</v>
      </c>
      <c r="C518" s="9">
        <v>1387</v>
      </c>
      <c r="D518" s="9">
        <v>1397.62</v>
      </c>
      <c r="E518" s="9">
        <f t="shared" si="24"/>
        <v>7.1302957810722755E-3</v>
      </c>
      <c r="F518" s="9">
        <f t="shared" si="22"/>
        <v>3.2978733211334092E-2</v>
      </c>
      <c r="G518" s="9">
        <f t="shared" si="23"/>
        <v>1.2519679189934985E-2</v>
      </c>
    </row>
    <row r="519" spans="1:7" x14ac:dyDescent="0.2">
      <c r="A519" s="12">
        <v>37894</v>
      </c>
      <c r="B519" s="9">
        <v>1408.6</v>
      </c>
      <c r="C519" s="9">
        <v>1374.01</v>
      </c>
      <c r="D519" s="9">
        <v>1376.44</v>
      </c>
      <c r="E519" s="9">
        <f t="shared" si="24"/>
        <v>-1.527033414315512E-2</v>
      </c>
      <c r="F519" s="9">
        <f t="shared" si="22"/>
        <v>-7.262480892072183E-4</v>
      </c>
      <c r="G519" s="9">
        <f t="shared" si="23"/>
        <v>1.2422325812972108E-2</v>
      </c>
    </row>
    <row r="520" spans="1:7" x14ac:dyDescent="0.2">
      <c r="A520" s="12">
        <v>37895</v>
      </c>
      <c r="B520" s="9">
        <v>1383.41</v>
      </c>
      <c r="C520" s="9">
        <v>1362.44</v>
      </c>
      <c r="D520" s="9">
        <v>1375.33</v>
      </c>
      <c r="E520" s="9">
        <f t="shared" si="24"/>
        <v>-8.0675351515847101E-4</v>
      </c>
      <c r="F520" s="9">
        <f t="shared" si="22"/>
        <v>-7.0786368757740298E-3</v>
      </c>
      <c r="G520" s="9">
        <f t="shared" si="23"/>
        <v>1.2378172257589736E-2</v>
      </c>
    </row>
    <row r="521" spans="1:7" x14ac:dyDescent="0.2">
      <c r="A521" s="12">
        <v>37896</v>
      </c>
      <c r="B521" s="9">
        <v>1392.67</v>
      </c>
      <c r="C521" s="9">
        <v>1375.33</v>
      </c>
      <c r="D521" s="9">
        <v>1379.42</v>
      </c>
      <c r="E521" s="9">
        <f t="shared" si="24"/>
        <v>2.9694186443631602E-3</v>
      </c>
      <c r="F521" s="9">
        <f t="shared" si="22"/>
        <v>-2.5162477018912666E-2</v>
      </c>
      <c r="G521" s="9">
        <f t="shared" si="23"/>
        <v>1.172897719410231E-2</v>
      </c>
    </row>
    <row r="522" spans="1:7" x14ac:dyDescent="0.2">
      <c r="A522" s="12">
        <v>37897</v>
      </c>
      <c r="B522" s="9">
        <v>1412.3</v>
      </c>
      <c r="C522" s="9">
        <v>1379.42</v>
      </c>
      <c r="D522" s="9">
        <v>1408.98</v>
      </c>
      <c r="E522" s="9">
        <f t="shared" si="24"/>
        <v>2.1202917384136946E-2</v>
      </c>
      <c r="F522" s="9">
        <f t="shared" si="22"/>
        <v>-8.3610931676463465E-3</v>
      </c>
      <c r="G522" s="9">
        <f t="shared" si="23"/>
        <v>1.2371356277810686E-2</v>
      </c>
    </row>
    <row r="523" spans="1:7" x14ac:dyDescent="0.2">
      <c r="A523" s="12">
        <v>37900</v>
      </c>
      <c r="B523" s="9">
        <v>1416.09</v>
      </c>
      <c r="C523" s="9">
        <v>1402.01</v>
      </c>
      <c r="D523" s="9">
        <v>1407.95</v>
      </c>
      <c r="E523" s="9">
        <f t="shared" si="24"/>
        <v>-7.3129260997088102E-4</v>
      </c>
      <c r="F523" s="9">
        <f t="shared" si="22"/>
        <v>-1.1144751585657172E-3</v>
      </c>
      <c r="G523" s="9">
        <f t="shared" si="23"/>
        <v>1.228629713340857E-2</v>
      </c>
    </row>
    <row r="524" spans="1:7" x14ac:dyDescent="0.2">
      <c r="A524" s="12">
        <v>37901</v>
      </c>
      <c r="B524" s="9">
        <v>1410.72</v>
      </c>
      <c r="C524" s="9">
        <v>1391.96</v>
      </c>
      <c r="D524" s="9">
        <v>1402.39</v>
      </c>
      <c r="E524" s="9">
        <f t="shared" si="24"/>
        <v>-3.956821775406464E-3</v>
      </c>
      <c r="F524" s="9">
        <f t="shared" si="22"/>
        <v>1.5558336634033674E-2</v>
      </c>
      <c r="G524" s="9">
        <f t="shared" si="23"/>
        <v>1.1685073224421307E-2</v>
      </c>
    </row>
    <row r="525" spans="1:7" x14ac:dyDescent="0.2">
      <c r="A525" s="12">
        <v>37902</v>
      </c>
      <c r="B525" s="9">
        <v>1417.78</v>
      </c>
      <c r="C525" s="9">
        <v>1393.93</v>
      </c>
      <c r="D525" s="9">
        <v>1411.75</v>
      </c>
      <c r="E525" s="9">
        <f t="shared" si="24"/>
        <v>6.6521456045446027E-3</v>
      </c>
      <c r="F525" s="9">
        <f t="shared" si="22"/>
        <v>7.4582377067599426E-3</v>
      </c>
      <c r="G525" s="9">
        <f t="shared" si="23"/>
        <v>1.143576366120167E-2</v>
      </c>
    </row>
    <row r="526" spans="1:7" x14ac:dyDescent="0.2">
      <c r="A526" s="12">
        <v>37903</v>
      </c>
      <c r="B526" s="9">
        <v>1440.44</v>
      </c>
      <c r="C526" s="9">
        <v>1411.04</v>
      </c>
      <c r="D526" s="9">
        <v>1436.82</v>
      </c>
      <c r="E526" s="9">
        <f t="shared" si="24"/>
        <v>1.7602268719935563E-2</v>
      </c>
      <c r="F526" s="9">
        <f t="shared" si="22"/>
        <v>2.2565868601516038E-2</v>
      </c>
      <c r="G526" s="9">
        <f t="shared" si="23"/>
        <v>1.1862750888456883E-2</v>
      </c>
    </row>
    <row r="527" spans="1:7" x14ac:dyDescent="0.2">
      <c r="A527" s="12">
        <v>37904</v>
      </c>
      <c r="B527" s="9">
        <v>1440.63</v>
      </c>
      <c r="C527" s="9">
        <v>1427.83</v>
      </c>
      <c r="D527" s="9">
        <v>1428.34</v>
      </c>
      <c r="E527" s="9">
        <f t="shared" si="24"/>
        <v>-5.9194074754295375E-3</v>
      </c>
      <c r="F527" s="9">
        <f t="shared" si="22"/>
        <v>1.0663370476756296E-2</v>
      </c>
      <c r="G527" s="9">
        <f t="shared" si="23"/>
        <v>1.1880796748905397E-2</v>
      </c>
    </row>
    <row r="528" spans="1:7" x14ac:dyDescent="0.2">
      <c r="A528" s="12">
        <v>37907</v>
      </c>
      <c r="B528" s="9">
        <v>1442.13</v>
      </c>
      <c r="C528" s="9">
        <v>1428.08</v>
      </c>
      <c r="D528" s="9">
        <v>1442.13</v>
      </c>
      <c r="E528" s="9">
        <f t="shared" si="24"/>
        <v>9.6082565498248878E-3</v>
      </c>
      <c r="F528" s="9">
        <f t="shared" si="22"/>
        <v>6.6162516333542927E-3</v>
      </c>
      <c r="G528" s="9">
        <f t="shared" si="23"/>
        <v>1.1746792689991502E-2</v>
      </c>
    </row>
    <row r="529" spans="1:7" x14ac:dyDescent="0.2">
      <c r="A529" s="12">
        <v>37908</v>
      </c>
      <c r="B529" s="9">
        <v>1446</v>
      </c>
      <c r="C529" s="9">
        <v>1436.47</v>
      </c>
      <c r="D529" s="9">
        <v>1441.49</v>
      </c>
      <c r="E529" s="9">
        <f t="shared" si="24"/>
        <v>-4.4388651105811949E-4</v>
      </c>
      <c r="F529" s="9">
        <f t="shared" si="22"/>
        <v>6.9396736974749931E-4</v>
      </c>
      <c r="G529" s="9">
        <f t="shared" si="23"/>
        <v>1.1705074520444954E-2</v>
      </c>
    </row>
    <row r="530" spans="1:7" x14ac:dyDescent="0.2">
      <c r="A530" s="12">
        <v>37909</v>
      </c>
      <c r="B530" s="9">
        <v>1471.95</v>
      </c>
      <c r="C530" s="9">
        <v>1441.31</v>
      </c>
      <c r="D530" s="9">
        <v>1466.77</v>
      </c>
      <c r="E530" s="9">
        <f t="shared" si="24"/>
        <v>1.7385403465673625E-2</v>
      </c>
      <c r="F530" s="9">
        <f t="shared" si="22"/>
        <v>-3.8513928935337487E-3</v>
      </c>
      <c r="G530" s="9">
        <f t="shared" si="23"/>
        <v>1.1438093921856723E-2</v>
      </c>
    </row>
    <row r="531" spans="1:7" x14ac:dyDescent="0.2">
      <c r="A531" s="12">
        <v>37910</v>
      </c>
      <c r="B531" s="9">
        <v>1470.52</v>
      </c>
      <c r="C531" s="9">
        <v>1451.22</v>
      </c>
      <c r="D531" s="9">
        <v>1453.09</v>
      </c>
      <c r="E531" s="9">
        <f t="shared" si="24"/>
        <v>-9.3703808377496312E-3</v>
      </c>
      <c r="F531" s="9">
        <f t="shared" si="22"/>
        <v>-8.6337978672540346E-3</v>
      </c>
      <c r="G531" s="9">
        <f t="shared" si="23"/>
        <v>1.153530411682327E-2</v>
      </c>
    </row>
    <row r="532" spans="1:7" x14ac:dyDescent="0.2">
      <c r="A532" s="12">
        <v>37911</v>
      </c>
      <c r="B532" s="9">
        <v>1471.57</v>
      </c>
      <c r="C532" s="9">
        <v>1453.09</v>
      </c>
      <c r="D532" s="9">
        <v>1465.8</v>
      </c>
      <c r="E532" s="9">
        <f t="shared" si="24"/>
        <v>8.7088450276070085E-3</v>
      </c>
      <c r="F532" s="9">
        <f t="shared" si="22"/>
        <v>8.2685012771568974E-3</v>
      </c>
      <c r="G532" s="9">
        <f t="shared" si="23"/>
        <v>1.1548624480046139E-2</v>
      </c>
    </row>
    <row r="533" spans="1:7" x14ac:dyDescent="0.2">
      <c r="A533" s="12">
        <v>37914</v>
      </c>
      <c r="B533" s="9">
        <v>1470.81</v>
      </c>
      <c r="C533" s="9">
        <v>1455.49</v>
      </c>
      <c r="D533" s="9">
        <v>1458.4</v>
      </c>
      <c r="E533" s="9">
        <f t="shared" si="24"/>
        <v>-5.0612241272964186E-3</v>
      </c>
      <c r="F533" s="9">
        <f t="shared" si="22"/>
        <v>-8.6908685870500796E-3</v>
      </c>
      <c r="G533" s="9">
        <f t="shared" si="23"/>
        <v>1.1373839375870406E-2</v>
      </c>
    </row>
    <row r="534" spans="1:7" x14ac:dyDescent="0.2">
      <c r="A534" s="12">
        <v>37915</v>
      </c>
      <c r="B534" s="9">
        <v>1472.81</v>
      </c>
      <c r="C534" s="9">
        <v>1458.15</v>
      </c>
      <c r="D534" s="9">
        <v>1466.08</v>
      </c>
      <c r="E534" s="9">
        <f t="shared" si="24"/>
        <v>5.2522278524497991E-3</v>
      </c>
      <c r="F534" s="9">
        <f t="shared" si="22"/>
        <v>9.8086705829723998E-3</v>
      </c>
      <c r="G534" s="9">
        <f t="shared" si="23"/>
        <v>1.1146311881923242E-2</v>
      </c>
    </row>
    <row r="535" spans="1:7" x14ac:dyDescent="0.2">
      <c r="A535" s="12">
        <v>37916</v>
      </c>
      <c r="B535" s="9">
        <v>1472.09</v>
      </c>
      <c r="C535" s="9">
        <v>1445.27</v>
      </c>
      <c r="D535" s="9">
        <v>1452.27</v>
      </c>
      <c r="E535" s="9">
        <f t="shared" si="24"/>
        <v>-9.4643227055737165E-3</v>
      </c>
      <c r="F535" s="9">
        <f t="shared" si="22"/>
        <v>2.5715672869644983E-2</v>
      </c>
      <c r="G535" s="9">
        <f t="shared" si="23"/>
        <v>1.0221682274604493E-2</v>
      </c>
    </row>
    <row r="536" spans="1:7" x14ac:dyDescent="0.2">
      <c r="A536" s="12">
        <v>37917</v>
      </c>
      <c r="B536" s="9">
        <v>1463.27</v>
      </c>
      <c r="C536" s="9">
        <v>1433.7</v>
      </c>
      <c r="D536" s="9">
        <v>1458.79</v>
      </c>
      <c r="E536" s="9">
        <f t="shared" si="24"/>
        <v>4.4794754504271341E-3</v>
      </c>
      <c r="F536" s="9">
        <f t="shared" si="22"/>
        <v>2.0751397419410737E-2</v>
      </c>
      <c r="G536" s="9">
        <f t="shared" si="23"/>
        <v>1.0117535672217463E-2</v>
      </c>
    </row>
    <row r="537" spans="1:7" x14ac:dyDescent="0.2">
      <c r="A537" s="12">
        <v>37918</v>
      </c>
      <c r="B537" s="9">
        <v>1462.75</v>
      </c>
      <c r="C537" s="9">
        <v>1456.87</v>
      </c>
      <c r="D537" s="9">
        <v>1459.73</v>
      </c>
      <c r="E537" s="9">
        <f t="shared" si="24"/>
        <v>6.4416213183668446E-4</v>
      </c>
      <c r="F537" s="9">
        <f t="shared" si="22"/>
        <v>1.8397601366708139E-2</v>
      </c>
      <c r="G537" s="9">
        <f t="shared" si="23"/>
        <v>1.0108156711714359E-2</v>
      </c>
    </row>
    <row r="538" spans="1:7" x14ac:dyDescent="0.2">
      <c r="A538" s="12">
        <v>37921</v>
      </c>
      <c r="B538" s="9">
        <v>1464.64</v>
      </c>
      <c r="C538" s="9">
        <v>1456.81</v>
      </c>
      <c r="D538" s="9">
        <v>1461.61</v>
      </c>
      <c r="E538" s="9">
        <f t="shared" si="24"/>
        <v>1.2870807639852053E-3</v>
      </c>
      <c r="F538" s="9">
        <f t="shared" si="22"/>
        <v>2.1696305518035933E-2</v>
      </c>
      <c r="G538" s="9">
        <f t="shared" si="23"/>
        <v>1.0096553665153536E-2</v>
      </c>
    </row>
    <row r="539" spans="1:7" x14ac:dyDescent="0.2">
      <c r="A539" s="12">
        <v>37922</v>
      </c>
      <c r="B539" s="9">
        <v>1494.76</v>
      </c>
      <c r="C539" s="9">
        <v>1461.61</v>
      </c>
      <c r="D539" s="9">
        <v>1492.07</v>
      </c>
      <c r="E539" s="9">
        <f t="shared" si="24"/>
        <v>2.0625849695645238E-2</v>
      </c>
      <c r="F539" s="9">
        <f t="shared" si="22"/>
        <v>3.7279793664708016E-2</v>
      </c>
      <c r="G539" s="9">
        <f t="shared" si="23"/>
        <v>1.0708740606182961E-2</v>
      </c>
    </row>
    <row r="540" spans="1:7" x14ac:dyDescent="0.2">
      <c r="A540" s="12">
        <v>37923</v>
      </c>
      <c r="B540" s="9">
        <v>1503.51</v>
      </c>
      <c r="C540" s="9">
        <v>1492</v>
      </c>
      <c r="D540" s="9">
        <v>1499.38</v>
      </c>
      <c r="E540" s="9">
        <f t="shared" si="24"/>
        <v>4.8872717579763999E-3</v>
      </c>
      <c r="F540" s="9">
        <f t="shared" si="22"/>
        <v>4.0616930778890482E-2</v>
      </c>
      <c r="G540" s="9">
        <f t="shared" si="23"/>
        <v>1.0729357205457533E-2</v>
      </c>
    </row>
    <row r="541" spans="1:7" x14ac:dyDescent="0.2">
      <c r="A541" s="12">
        <v>37924</v>
      </c>
      <c r="B541" s="9">
        <v>1516.98</v>
      </c>
      <c r="C541" s="9">
        <v>1491.54</v>
      </c>
      <c r="D541" s="9">
        <v>1511.24</v>
      </c>
      <c r="E541" s="9">
        <f t="shared" si="24"/>
        <v>7.8788165570345646E-3</v>
      </c>
      <c r="F541" s="9">
        <f t="shared" si="22"/>
        <v>5.4752691822618701E-2</v>
      </c>
      <c r="G541" s="9">
        <f t="shared" si="23"/>
        <v>1.0693928449367871E-2</v>
      </c>
    </row>
    <row r="542" spans="1:7" x14ac:dyDescent="0.2">
      <c r="A542" s="12">
        <v>37925</v>
      </c>
      <c r="B542" s="9">
        <v>1516.05</v>
      </c>
      <c r="C542" s="9">
        <v>1502.09</v>
      </c>
      <c r="D542" s="9">
        <v>1510.5</v>
      </c>
      <c r="E542" s="9">
        <f t="shared" si="24"/>
        <v>-4.8978404150791749E-4</v>
      </c>
      <c r="F542" s="9">
        <f t="shared" si="22"/>
        <v>5.4039269180156536E-2</v>
      </c>
      <c r="G542" s="9">
        <f t="shared" si="23"/>
        <v>1.0698404801897285E-2</v>
      </c>
    </row>
    <row r="543" spans="1:7" x14ac:dyDescent="0.2">
      <c r="A543" s="12">
        <v>37928</v>
      </c>
      <c r="B543" s="9">
        <v>1535.68</v>
      </c>
      <c r="C543" s="9">
        <v>1510.5</v>
      </c>
      <c r="D543" s="9">
        <v>1532.95</v>
      </c>
      <c r="E543" s="9">
        <f t="shared" si="24"/>
        <v>1.4753261727140671E-2</v>
      </c>
      <c r="F543" s="9">
        <f t="shared" si="22"/>
        <v>8.9365524179377195E-2</v>
      </c>
      <c r="G543" s="9">
        <f t="shared" si="23"/>
        <v>1.0076886543645015E-2</v>
      </c>
    </row>
    <row r="544" spans="1:7" x14ac:dyDescent="0.2">
      <c r="A544" s="12">
        <v>37929</v>
      </c>
      <c r="B544" s="9">
        <v>1562.14</v>
      </c>
      <c r="C544" s="9">
        <v>1532.95</v>
      </c>
      <c r="D544" s="9">
        <v>1529.12</v>
      </c>
      <c r="E544" s="9">
        <f t="shared" si="24"/>
        <v>-2.5015770359979061E-3</v>
      </c>
      <c r="F544" s="9">
        <f t="shared" si="22"/>
        <v>7.991192204407481E-2</v>
      </c>
      <c r="G544" s="9">
        <f t="shared" si="23"/>
        <v>1.0096150829484901E-2</v>
      </c>
    </row>
    <row r="545" spans="1:7" x14ac:dyDescent="0.2">
      <c r="A545" s="12">
        <v>37930</v>
      </c>
      <c r="B545" s="9">
        <v>1532.19</v>
      </c>
      <c r="C545" s="9">
        <v>1511.28</v>
      </c>
      <c r="D545" s="9">
        <v>1512.54</v>
      </c>
      <c r="E545" s="9">
        <f t="shared" si="24"/>
        <v>-1.0902049681577953E-2</v>
      </c>
      <c r="F545" s="9">
        <f t="shared" ref="F545:F608" si="25">LN(D545/D515)</f>
        <v>6.4768624169201983E-2</v>
      </c>
      <c r="G545" s="9">
        <f t="shared" ref="G545:G608" si="26">STDEV(E516:E545)</f>
        <v>1.0388875748478223E-2</v>
      </c>
    </row>
    <row r="546" spans="1:7" x14ac:dyDescent="0.2">
      <c r="A546" s="12">
        <v>37931</v>
      </c>
      <c r="B546" s="9">
        <v>1533.51</v>
      </c>
      <c r="C546" s="9">
        <v>1512.54</v>
      </c>
      <c r="D546" s="9">
        <v>1531.61</v>
      </c>
      <c r="E546" s="9">
        <f t="shared" si="24"/>
        <v>1.2529112865407952E-2</v>
      </c>
      <c r="F546" s="9">
        <f t="shared" si="25"/>
        <v>0.10053991085137949</v>
      </c>
      <c r="G546" s="9">
        <f t="shared" si="26"/>
        <v>9.3764258669117202E-3</v>
      </c>
    </row>
    <row r="547" spans="1:7" x14ac:dyDescent="0.2">
      <c r="A547" s="12">
        <v>37932</v>
      </c>
      <c r="B547" s="9">
        <v>1556.37</v>
      </c>
      <c r="C547" s="9">
        <v>1531.61</v>
      </c>
      <c r="D547" s="9">
        <v>1548.17</v>
      </c>
      <c r="E547" s="9">
        <f t="shared" si="24"/>
        <v>1.07541185397419E-2</v>
      </c>
      <c r="F547" s="9">
        <f t="shared" si="25"/>
        <v>0.1094330940589212</v>
      </c>
      <c r="G547" s="9">
        <f t="shared" si="26"/>
        <v>9.4678170012502273E-3</v>
      </c>
    </row>
    <row r="548" spans="1:7" x14ac:dyDescent="0.2">
      <c r="A548" s="12">
        <v>37935</v>
      </c>
      <c r="B548" s="9">
        <v>1553.03</v>
      </c>
      <c r="C548" s="9">
        <v>1543.6</v>
      </c>
      <c r="D548" s="9">
        <v>1548.4</v>
      </c>
      <c r="E548" s="9">
        <f t="shared" si="24"/>
        <v>1.4855146205181325E-4</v>
      </c>
      <c r="F548" s="9">
        <f t="shared" si="25"/>
        <v>0.10245134973990067</v>
      </c>
      <c r="G548" s="9">
        <f t="shared" si="26"/>
        <v>9.4650699415897675E-3</v>
      </c>
    </row>
    <row r="549" spans="1:7" x14ac:dyDescent="0.2">
      <c r="A549" s="12">
        <v>37936</v>
      </c>
      <c r="B549" s="9">
        <v>1550.53</v>
      </c>
      <c r="C549" s="9">
        <v>1533.25</v>
      </c>
      <c r="D549" s="9">
        <v>1534.79</v>
      </c>
      <c r="E549" s="9">
        <f t="shared" si="24"/>
        <v>-8.8285758588282082E-3</v>
      </c>
      <c r="F549" s="9">
        <f t="shared" si="25"/>
        <v>0.10889310802422748</v>
      </c>
      <c r="G549" s="9">
        <f t="shared" si="26"/>
        <v>9.0922827655502067E-3</v>
      </c>
    </row>
    <row r="550" spans="1:7" x14ac:dyDescent="0.2">
      <c r="A550" s="12">
        <v>37937</v>
      </c>
      <c r="B550" s="9">
        <v>1545.32</v>
      </c>
      <c r="C550" s="9">
        <v>1534.79</v>
      </c>
      <c r="D550" s="9">
        <v>1544.94</v>
      </c>
      <c r="E550" s="9">
        <f t="shared" si="24"/>
        <v>6.5915107816285397E-3</v>
      </c>
      <c r="F550" s="9">
        <f t="shared" si="25"/>
        <v>0.11629137232101454</v>
      </c>
      <c r="G550" s="9">
        <f t="shared" si="26"/>
        <v>9.0681010771535564E-3</v>
      </c>
    </row>
    <row r="551" spans="1:7" x14ac:dyDescent="0.2">
      <c r="A551" s="12">
        <v>37938</v>
      </c>
      <c r="B551" s="9">
        <v>1561.32</v>
      </c>
      <c r="C551" s="9">
        <v>1544.73</v>
      </c>
      <c r="D551" s="9">
        <v>1557.89</v>
      </c>
      <c r="E551" s="9">
        <f t="shared" si="24"/>
        <v>8.3472669742549518E-3</v>
      </c>
      <c r="F551" s="9">
        <f t="shared" si="25"/>
        <v>0.12166922065090641</v>
      </c>
      <c r="G551" s="9">
        <f t="shared" si="26"/>
        <v>9.1026435660441878E-3</v>
      </c>
    </row>
    <row r="552" spans="1:7" x14ac:dyDescent="0.2">
      <c r="A552" s="12">
        <v>37939</v>
      </c>
      <c r="B552" s="9">
        <v>1567.72</v>
      </c>
      <c r="C552" s="9">
        <v>1555.19</v>
      </c>
      <c r="D552" s="9">
        <v>1562.48</v>
      </c>
      <c r="E552" s="9">
        <f t="shared" si="24"/>
        <v>2.941960928087494E-3</v>
      </c>
      <c r="F552" s="9">
        <f t="shared" si="25"/>
        <v>0.10340826419485698</v>
      </c>
      <c r="G552" s="9">
        <f t="shared" si="26"/>
        <v>8.5075650790630529E-3</v>
      </c>
    </row>
    <row r="553" spans="1:7" x14ac:dyDescent="0.2">
      <c r="A553" s="12">
        <v>37942</v>
      </c>
      <c r="B553" s="9">
        <v>1562.48</v>
      </c>
      <c r="C553" s="9">
        <v>1533.01</v>
      </c>
      <c r="D553" s="9">
        <v>1533.34</v>
      </c>
      <c r="E553" s="9">
        <f t="shared" si="24"/>
        <v>-1.8825939902924096E-2</v>
      </c>
      <c r="F553" s="9">
        <f t="shared" si="25"/>
        <v>8.5313616901903852E-2</v>
      </c>
      <c r="G553" s="9">
        <f t="shared" si="26"/>
        <v>9.4077939023633952E-3</v>
      </c>
    </row>
    <row r="554" spans="1:7" x14ac:dyDescent="0.2">
      <c r="A554" s="12">
        <v>37943</v>
      </c>
      <c r="B554" s="9">
        <v>1545.35</v>
      </c>
      <c r="C554" s="9">
        <v>1525.03</v>
      </c>
      <c r="D554" s="9">
        <v>1527.26</v>
      </c>
      <c r="E554" s="9">
        <f t="shared" si="24"/>
        <v>-3.9730824007878128E-3</v>
      </c>
      <c r="F554" s="9">
        <f t="shared" si="25"/>
        <v>8.5297356276522573E-2</v>
      </c>
      <c r="G554" s="9">
        <f t="shared" si="26"/>
        <v>9.4081996831747172E-3</v>
      </c>
    </row>
    <row r="555" spans="1:7" x14ac:dyDescent="0.2">
      <c r="A555" s="12">
        <v>37944</v>
      </c>
      <c r="B555" s="9">
        <v>1527.91</v>
      </c>
      <c r="C555" s="9">
        <v>1506.53</v>
      </c>
      <c r="D555" s="9">
        <v>1522.75</v>
      </c>
      <c r="E555" s="9">
        <f t="shared" si="24"/>
        <v>-2.9573695083300348E-3</v>
      </c>
      <c r="F555" s="9">
        <f t="shared" si="25"/>
        <v>7.5687841163647976E-2</v>
      </c>
      <c r="G555" s="9">
        <f t="shared" si="26"/>
        <v>9.4375876031849715E-3</v>
      </c>
    </row>
    <row r="556" spans="1:7" x14ac:dyDescent="0.2">
      <c r="A556" s="12">
        <v>37945</v>
      </c>
      <c r="B556" s="9">
        <v>1535.95</v>
      </c>
      <c r="C556" s="9">
        <v>1516.22</v>
      </c>
      <c r="D556" s="9">
        <v>1527.11</v>
      </c>
      <c r="E556" s="9">
        <f t="shared" si="24"/>
        <v>2.8591495807372001E-3</v>
      </c>
      <c r="F556" s="9">
        <f t="shared" si="25"/>
        <v>6.0944722024449664E-2</v>
      </c>
      <c r="G556" s="9">
        <f t="shared" si="26"/>
        <v>8.9989557709948837E-3</v>
      </c>
    </row>
    <row r="557" spans="1:7" x14ac:dyDescent="0.2">
      <c r="A557" s="12">
        <v>37946</v>
      </c>
      <c r="B557" s="9">
        <v>1540.43</v>
      </c>
      <c r="C557" s="9">
        <v>1525.53</v>
      </c>
      <c r="D557" s="9">
        <v>1533.84</v>
      </c>
      <c r="E557" s="9">
        <f t="shared" si="24"/>
        <v>4.3973347128047589E-3</v>
      </c>
      <c r="F557" s="9">
        <f t="shared" si="25"/>
        <v>7.1261464212683909E-2</v>
      </c>
      <c r="G557" s="9">
        <f t="shared" si="26"/>
        <v>8.8809900436256015E-3</v>
      </c>
    </row>
    <row r="558" spans="1:7" x14ac:dyDescent="0.2">
      <c r="A558" s="12">
        <v>37949</v>
      </c>
      <c r="B558" s="9">
        <v>1559.82</v>
      </c>
      <c r="C558" s="9">
        <v>1533.76</v>
      </c>
      <c r="D558" s="9">
        <v>1556.98</v>
      </c>
      <c r="E558" s="9">
        <f t="shared" si="24"/>
        <v>1.4973652526204629E-2</v>
      </c>
      <c r="F558" s="9">
        <f t="shared" si="25"/>
        <v>7.6626860189063589E-2</v>
      </c>
      <c r="G558" s="9">
        <f t="shared" si="26"/>
        <v>9.0833874558492542E-3</v>
      </c>
    </row>
    <row r="559" spans="1:7" x14ac:dyDescent="0.2">
      <c r="A559" s="12">
        <v>37950</v>
      </c>
      <c r="B559" s="9">
        <v>1565.01</v>
      </c>
      <c r="C559" s="9">
        <v>1553.76</v>
      </c>
      <c r="D559" s="9">
        <v>1554.94</v>
      </c>
      <c r="E559" s="9">
        <f t="shared" si="24"/>
        <v>-1.3110878764374502E-3</v>
      </c>
      <c r="F559" s="9">
        <f t="shared" si="25"/>
        <v>7.5759658823684281E-2</v>
      </c>
      <c r="G559" s="9">
        <f t="shared" si="26"/>
        <v>9.094630496085377E-3</v>
      </c>
    </row>
    <row r="560" spans="1:7" x14ac:dyDescent="0.2">
      <c r="A560" s="12">
        <v>37951</v>
      </c>
      <c r="B560" s="9">
        <v>1565.81</v>
      </c>
      <c r="C560" s="9">
        <v>1548.34</v>
      </c>
      <c r="D560" s="9">
        <v>1549.4</v>
      </c>
      <c r="E560" s="9">
        <f t="shared" si="24"/>
        <v>-3.5692004621007802E-3</v>
      </c>
      <c r="F560" s="9">
        <f t="shared" si="25"/>
        <v>5.4805054895909679E-2</v>
      </c>
      <c r="G560" s="9">
        <f t="shared" si="26"/>
        <v>8.7105593450162357E-3</v>
      </c>
    </row>
    <row r="561" spans="1:7" x14ac:dyDescent="0.2">
      <c r="A561" s="12">
        <v>37952</v>
      </c>
      <c r="B561" s="9">
        <v>1563.53</v>
      </c>
      <c r="C561" s="9">
        <v>1548.99</v>
      </c>
      <c r="D561" s="9">
        <v>1561.36</v>
      </c>
      <c r="E561" s="9">
        <f t="shared" si="24"/>
        <v>7.6894771251441582E-3</v>
      </c>
      <c r="F561" s="9">
        <f t="shared" si="25"/>
        <v>7.186491285880349E-2</v>
      </c>
      <c r="G561" s="9">
        <f t="shared" si="26"/>
        <v>8.508886048491324E-3</v>
      </c>
    </row>
    <row r="562" spans="1:7" x14ac:dyDescent="0.2">
      <c r="A562" s="12">
        <v>37953</v>
      </c>
      <c r="B562" s="9">
        <v>1569.02</v>
      </c>
      <c r="C562" s="9">
        <v>1547.74</v>
      </c>
      <c r="D562" s="9">
        <v>1553.4</v>
      </c>
      <c r="E562" s="9">
        <f t="shared" si="24"/>
        <v>-5.1111593373992818E-3</v>
      </c>
      <c r="F562" s="9">
        <f t="shared" si="25"/>
        <v>5.8044908493797266E-2</v>
      </c>
      <c r="G562" s="9">
        <f t="shared" si="26"/>
        <v>8.5293776769573629E-3</v>
      </c>
    </row>
    <row r="563" spans="1:7" x14ac:dyDescent="0.2">
      <c r="A563" s="12">
        <v>37956</v>
      </c>
      <c r="B563" s="9">
        <v>1569.93</v>
      </c>
      <c r="C563" s="9">
        <v>1552.25</v>
      </c>
      <c r="D563" s="9">
        <v>1560.68</v>
      </c>
      <c r="E563" s="9">
        <f t="shared" si="24"/>
        <v>4.6755467182446192E-3</v>
      </c>
      <c r="F563" s="9">
        <f t="shared" si="25"/>
        <v>6.7781679339338347E-2</v>
      </c>
      <c r="G563" s="9">
        <f t="shared" si="26"/>
        <v>8.4387546382847928E-3</v>
      </c>
    </row>
    <row r="564" spans="1:7" x14ac:dyDescent="0.2">
      <c r="A564" s="12">
        <v>37957</v>
      </c>
      <c r="B564" s="9">
        <v>1575.36</v>
      </c>
      <c r="C564" s="9">
        <v>1560.68</v>
      </c>
      <c r="D564" s="9">
        <v>1562.6</v>
      </c>
      <c r="E564" s="9">
        <f t="shared" si="24"/>
        <v>1.2294768588521098E-3</v>
      </c>
      <c r="F564" s="9">
        <f t="shared" si="25"/>
        <v>6.3758928345740928E-2</v>
      </c>
      <c r="G564" s="9">
        <f t="shared" si="26"/>
        <v>8.4215016989925059E-3</v>
      </c>
    </row>
    <row r="565" spans="1:7" x14ac:dyDescent="0.2">
      <c r="A565" s="12">
        <v>37958</v>
      </c>
      <c r="B565" s="9">
        <v>1573.13</v>
      </c>
      <c r="C565" s="9">
        <v>1562.47</v>
      </c>
      <c r="D565" s="9">
        <v>1566.51</v>
      </c>
      <c r="E565" s="9">
        <f t="shared" si="24"/>
        <v>2.4991144670630031E-3</v>
      </c>
      <c r="F565" s="9">
        <f t="shared" si="25"/>
        <v>7.5722365518377577E-2</v>
      </c>
      <c r="G565" s="9">
        <f t="shared" si="26"/>
        <v>8.1320538203296551E-3</v>
      </c>
    </row>
    <row r="566" spans="1:7" x14ac:dyDescent="0.2">
      <c r="A566" s="12">
        <v>37959</v>
      </c>
      <c r="B566" s="9">
        <v>1573.73</v>
      </c>
      <c r="C566" s="9">
        <v>1565.41</v>
      </c>
      <c r="D566" s="9">
        <v>1565.64</v>
      </c>
      <c r="E566" s="9">
        <f t="shared" si="24"/>
        <v>-5.555289640498236E-4</v>
      </c>
      <c r="F566" s="9">
        <f t="shared" si="25"/>
        <v>7.0687361103900656E-2</v>
      </c>
      <c r="G566" s="9">
        <f t="shared" si="26"/>
        <v>8.1422568397301557E-3</v>
      </c>
    </row>
    <row r="567" spans="1:7" x14ac:dyDescent="0.2">
      <c r="A567" s="12">
        <v>37960</v>
      </c>
      <c r="B567" s="9">
        <v>1576.96</v>
      </c>
      <c r="C567" s="9">
        <v>1565.64</v>
      </c>
      <c r="D567" s="9">
        <v>1567.1</v>
      </c>
      <c r="E567" s="9">
        <f t="shared" si="24"/>
        <v>9.3209146351325948E-4</v>
      </c>
      <c r="F567" s="9">
        <f t="shared" si="25"/>
        <v>7.0975290435577071E-2</v>
      </c>
      <c r="G567" s="9">
        <f t="shared" si="26"/>
        <v>8.1403386118917061E-3</v>
      </c>
    </row>
    <row r="568" spans="1:7" x14ac:dyDescent="0.2">
      <c r="A568" s="12">
        <v>37963</v>
      </c>
      <c r="B568" s="9">
        <v>1570.51</v>
      </c>
      <c r="C568" s="9">
        <v>1557.17</v>
      </c>
      <c r="D568" s="9">
        <v>1564.49</v>
      </c>
      <c r="E568" s="9">
        <f t="shared" si="24"/>
        <v>-1.6668852591336066E-3</v>
      </c>
      <c r="F568" s="9">
        <f t="shared" si="25"/>
        <v>6.8021324412458312E-2</v>
      </c>
      <c r="G568" s="9">
        <f t="shared" si="26"/>
        <v>8.1716426708573972E-3</v>
      </c>
    </row>
    <row r="569" spans="1:7" x14ac:dyDescent="0.2">
      <c r="A569" s="12">
        <v>37964</v>
      </c>
      <c r="B569" s="9">
        <v>1578.99</v>
      </c>
      <c r="C569" s="9">
        <v>1564.49</v>
      </c>
      <c r="D569" s="9">
        <v>1568.89</v>
      </c>
      <c r="E569" s="9">
        <f t="shared" si="24"/>
        <v>2.8084706560236069E-3</v>
      </c>
      <c r="F569" s="9">
        <f t="shared" si="25"/>
        <v>5.0203945372836636E-2</v>
      </c>
      <c r="G569" s="9">
        <f t="shared" si="26"/>
        <v>7.4026413913162144E-3</v>
      </c>
    </row>
    <row r="570" spans="1:7" x14ac:dyDescent="0.2">
      <c r="A570" s="12">
        <v>37965</v>
      </c>
      <c r="B570" s="9">
        <v>1575.38</v>
      </c>
      <c r="C570" s="9">
        <v>1560.16</v>
      </c>
      <c r="D570" s="9">
        <v>1564.49</v>
      </c>
      <c r="E570" s="9">
        <f t="shared" si="24"/>
        <v>-2.8084706560237024E-3</v>
      </c>
      <c r="F570" s="9">
        <f t="shared" si="25"/>
        <v>4.250820295883663E-2</v>
      </c>
      <c r="G570" s="9">
        <f t="shared" si="26"/>
        <v>7.4207512633918419E-3</v>
      </c>
    </row>
    <row r="571" spans="1:7" x14ac:dyDescent="0.2">
      <c r="A571" s="12">
        <v>37966</v>
      </c>
      <c r="B571" s="9">
        <v>1572.36</v>
      </c>
      <c r="C571" s="9">
        <v>1552.67</v>
      </c>
      <c r="D571" s="9">
        <v>1558.07</v>
      </c>
      <c r="E571" s="9">
        <f t="shared" si="24"/>
        <v>-4.1120164519759007E-3</v>
      </c>
      <c r="F571" s="9">
        <f t="shared" si="25"/>
        <v>3.0517369949826224E-2</v>
      </c>
      <c r="G571" s="9">
        <f t="shared" si="26"/>
        <v>7.3835319416024336E-3</v>
      </c>
    </row>
    <row r="572" spans="1:7" x14ac:dyDescent="0.2">
      <c r="A572" s="12">
        <v>37967</v>
      </c>
      <c r="B572" s="9">
        <v>1569.76</v>
      </c>
      <c r="C572" s="9">
        <v>1558.07</v>
      </c>
      <c r="D572" s="9">
        <v>1562.75</v>
      </c>
      <c r="E572" s="9">
        <f t="shared" si="24"/>
        <v>2.9992139938609485E-3</v>
      </c>
      <c r="F572" s="9">
        <f t="shared" si="25"/>
        <v>3.4006367985195157E-2</v>
      </c>
      <c r="G572" s="9">
        <f t="shared" si="26"/>
        <v>7.3864532661197498E-3</v>
      </c>
    </row>
    <row r="573" spans="1:7" x14ac:dyDescent="0.2">
      <c r="A573" s="12">
        <v>37970</v>
      </c>
      <c r="B573" s="9">
        <v>1579.22</v>
      </c>
      <c r="C573" s="9">
        <v>1550.97</v>
      </c>
      <c r="D573" s="9">
        <v>1558.23</v>
      </c>
      <c r="E573" s="9">
        <f t="shared" si="24"/>
        <v>-2.8965281162877808E-3</v>
      </c>
      <c r="F573" s="9">
        <f t="shared" si="25"/>
        <v>1.6356578141766623E-2</v>
      </c>
      <c r="G573" s="9">
        <f t="shared" si="26"/>
        <v>6.9545124384283565E-3</v>
      </c>
    </row>
    <row r="574" spans="1:7" x14ac:dyDescent="0.2">
      <c r="A574" s="12">
        <v>37971</v>
      </c>
      <c r="B574" s="9">
        <v>1559.18</v>
      </c>
      <c r="C574" s="9">
        <v>1527.59</v>
      </c>
      <c r="D574" s="9">
        <v>1531.3</v>
      </c>
      <c r="E574" s="9">
        <f t="shared" si="24"/>
        <v>-1.7433513874471986E-2</v>
      </c>
      <c r="F574" s="9">
        <f t="shared" si="25"/>
        <v>1.424641303292616E-3</v>
      </c>
      <c r="G574" s="9">
        <f t="shared" si="26"/>
        <v>7.676906347464733E-3</v>
      </c>
    </row>
    <row r="575" spans="1:7" x14ac:dyDescent="0.2">
      <c r="A575" s="12">
        <v>37972</v>
      </c>
      <c r="B575" s="9">
        <v>1537.88</v>
      </c>
      <c r="C575" s="9">
        <v>1513.07</v>
      </c>
      <c r="D575" s="9">
        <v>1521.2</v>
      </c>
      <c r="E575" s="9">
        <f t="shared" si="24"/>
        <v>-6.6175507670573151E-3</v>
      </c>
      <c r="F575" s="9">
        <f t="shared" si="25"/>
        <v>5.7091402178130928E-3</v>
      </c>
      <c r="G575" s="9">
        <f t="shared" si="26"/>
        <v>7.5040915488223843E-3</v>
      </c>
    </row>
    <row r="576" spans="1:7" x14ac:dyDescent="0.2">
      <c r="A576" s="12">
        <v>37973</v>
      </c>
      <c r="B576" s="9">
        <v>1524.74</v>
      </c>
      <c r="C576" s="9">
        <v>1507.51</v>
      </c>
      <c r="D576" s="9">
        <v>1514.38</v>
      </c>
      <c r="E576" s="9">
        <f t="shared" si="24"/>
        <v>-4.4933827966477163E-3</v>
      </c>
      <c r="F576" s="9">
        <f t="shared" si="25"/>
        <v>-1.1313355444242489E-2</v>
      </c>
      <c r="G576" s="9">
        <f t="shared" si="26"/>
        <v>7.1752981547338734E-3</v>
      </c>
    </row>
    <row r="577" spans="1:7" x14ac:dyDescent="0.2">
      <c r="A577" s="12">
        <v>37974</v>
      </c>
      <c r="B577" s="9">
        <v>1521.08</v>
      </c>
      <c r="C577" s="9">
        <v>1509.42</v>
      </c>
      <c r="D577" s="9">
        <v>1513.35</v>
      </c>
      <c r="E577" s="9">
        <f t="shared" si="24"/>
        <v>-6.8037773495893791E-4</v>
      </c>
      <c r="F577" s="9">
        <f t="shared" si="25"/>
        <v>-2.2747851718943328E-2</v>
      </c>
      <c r="G577" s="9">
        <f t="shared" si="26"/>
        <v>6.8604102322429713E-3</v>
      </c>
    </row>
    <row r="578" spans="1:7" x14ac:dyDescent="0.2">
      <c r="A578" s="12">
        <v>37977</v>
      </c>
      <c r="B578" s="9">
        <v>1519.33</v>
      </c>
      <c r="C578" s="9">
        <v>1499.81</v>
      </c>
      <c r="D578" s="9">
        <v>1503.13</v>
      </c>
      <c r="E578" s="9">
        <f t="shared" si="24"/>
        <v>-6.7761358305779319E-3</v>
      </c>
      <c r="F578" s="9">
        <f t="shared" si="25"/>
        <v>-2.9672539011573087E-2</v>
      </c>
      <c r="G578" s="9">
        <f t="shared" si="26"/>
        <v>6.9448213160001855E-3</v>
      </c>
    </row>
    <row r="579" spans="1:7" x14ac:dyDescent="0.2">
      <c r="A579" s="12">
        <v>37978</v>
      </c>
      <c r="B579" s="9">
        <v>1522.88</v>
      </c>
      <c r="C579" s="9">
        <v>1503.13</v>
      </c>
      <c r="D579" s="9">
        <v>1521.5</v>
      </c>
      <c r="E579" s="9">
        <f t="shared" si="24"/>
        <v>1.2147089645105694E-2</v>
      </c>
      <c r="F579" s="9">
        <f t="shared" si="25"/>
        <v>-8.6968735076391034E-3</v>
      </c>
      <c r="G579" s="9">
        <f t="shared" si="26"/>
        <v>7.1802440905455404E-3</v>
      </c>
    </row>
    <row r="580" spans="1:7" x14ac:dyDescent="0.2">
      <c r="A580" s="12">
        <v>37984</v>
      </c>
      <c r="B580" s="9">
        <v>1529.27</v>
      </c>
      <c r="C580" s="9">
        <v>1513.86</v>
      </c>
      <c r="D580" s="9">
        <v>1527.68</v>
      </c>
      <c r="E580" s="9">
        <f t="shared" ref="E580:E643" si="27">LN(D580/D579)</f>
        <v>4.0535543733848101E-3</v>
      </c>
      <c r="F580" s="9">
        <f t="shared" si="25"/>
        <v>-1.1234829915882739E-2</v>
      </c>
      <c r="G580" s="9">
        <f t="shared" si="26"/>
        <v>7.1109879674432904E-3</v>
      </c>
    </row>
    <row r="581" spans="1:7" x14ac:dyDescent="0.2">
      <c r="A581" s="12">
        <v>37985</v>
      </c>
      <c r="B581" s="9">
        <v>1539.97</v>
      </c>
      <c r="C581" s="9">
        <v>1527.68</v>
      </c>
      <c r="D581" s="9">
        <v>1530.98</v>
      </c>
      <c r="E581" s="9">
        <f t="shared" si="27"/>
        <v>2.1578085046638929E-3</v>
      </c>
      <c r="F581" s="9">
        <f t="shared" si="25"/>
        <v>-1.7424288385473812E-2</v>
      </c>
      <c r="G581" s="9">
        <f t="shared" si="26"/>
        <v>6.936870018219507E-3</v>
      </c>
    </row>
    <row r="582" spans="1:7" x14ac:dyDescent="0.2">
      <c r="A582" s="12">
        <v>37988</v>
      </c>
      <c r="B582" s="9">
        <v>1567.87</v>
      </c>
      <c r="C582" s="9">
        <v>1530.98</v>
      </c>
      <c r="D582" s="9">
        <v>1564.3</v>
      </c>
      <c r="E582" s="9">
        <f t="shared" si="27"/>
        <v>2.1530386352650126E-2</v>
      </c>
      <c r="F582" s="9">
        <f t="shared" si="25"/>
        <v>1.1641370390887251E-3</v>
      </c>
      <c r="G582" s="9">
        <f t="shared" si="26"/>
        <v>8.0096110943277728E-3</v>
      </c>
    </row>
    <row r="583" spans="1:7" x14ac:dyDescent="0.2">
      <c r="A583" s="12">
        <v>37991</v>
      </c>
      <c r="B583" s="9">
        <v>1580.45</v>
      </c>
      <c r="C583" s="9">
        <v>1563.06</v>
      </c>
      <c r="D583" s="9">
        <v>1579.66</v>
      </c>
      <c r="E583" s="9">
        <f t="shared" si="27"/>
        <v>9.7711944232073984E-3</v>
      </c>
      <c r="F583" s="9">
        <f t="shared" si="25"/>
        <v>2.9761271365220068E-2</v>
      </c>
      <c r="G583" s="9">
        <f t="shared" si="26"/>
        <v>7.3626344264034367E-3</v>
      </c>
    </row>
    <row r="584" spans="1:7" x14ac:dyDescent="0.2">
      <c r="A584" s="12">
        <v>37993</v>
      </c>
      <c r="B584" s="9">
        <v>1590.54</v>
      </c>
      <c r="C584" s="9">
        <v>1572.54</v>
      </c>
      <c r="D584" s="9">
        <v>1575.5</v>
      </c>
      <c r="E584" s="9">
        <f t="shared" si="27"/>
        <v>-2.6369517936025632E-3</v>
      </c>
      <c r="F584" s="9">
        <f t="shared" si="25"/>
        <v>3.1097401972405212E-2</v>
      </c>
      <c r="G584" s="9">
        <f t="shared" si="26"/>
        <v>7.3355553856651497E-3</v>
      </c>
    </row>
    <row r="585" spans="1:7" x14ac:dyDescent="0.2">
      <c r="A585" s="12">
        <v>37994</v>
      </c>
      <c r="B585" s="9">
        <v>1607.36</v>
      </c>
      <c r="C585" s="9">
        <v>1574.5</v>
      </c>
      <c r="D585" s="9">
        <v>1594.55</v>
      </c>
      <c r="E585" s="9">
        <f t="shared" si="27"/>
        <v>1.2018882553549132E-2</v>
      </c>
      <c r="F585" s="9">
        <f t="shared" si="25"/>
        <v>4.6073654034284331E-2</v>
      </c>
      <c r="G585" s="9">
        <f t="shared" si="26"/>
        <v>7.5605233251210624E-3</v>
      </c>
    </row>
    <row r="586" spans="1:7" x14ac:dyDescent="0.2">
      <c r="A586" s="12">
        <v>37995</v>
      </c>
      <c r="B586" s="9">
        <v>1609.44</v>
      </c>
      <c r="C586" s="9">
        <v>1581.05</v>
      </c>
      <c r="D586" s="9">
        <v>1582.38</v>
      </c>
      <c r="E586" s="9">
        <f t="shared" si="27"/>
        <v>-7.6615219916264217E-3</v>
      </c>
      <c r="F586" s="9">
        <f t="shared" si="25"/>
        <v>3.5552982461920776E-2</v>
      </c>
      <c r="G586" s="9">
        <f t="shared" si="26"/>
        <v>7.7389156022169663E-3</v>
      </c>
    </row>
    <row r="587" spans="1:7" x14ac:dyDescent="0.2">
      <c r="A587" s="12">
        <v>37998</v>
      </c>
      <c r="B587" s="9">
        <v>1590.69</v>
      </c>
      <c r="C587" s="9">
        <v>1572.31</v>
      </c>
      <c r="D587" s="9">
        <v>1585.44</v>
      </c>
      <c r="E587" s="9">
        <f t="shared" si="27"/>
        <v>1.9319285513373214E-3</v>
      </c>
      <c r="F587" s="9">
        <f t="shared" si="25"/>
        <v>3.3087576300453211E-2</v>
      </c>
      <c r="G587" s="9">
        <f t="shared" si="26"/>
        <v>7.7166866143455141E-3</v>
      </c>
    </row>
    <row r="588" spans="1:7" x14ac:dyDescent="0.2">
      <c r="A588" s="12">
        <v>37999</v>
      </c>
      <c r="B588" s="9">
        <v>1597.66</v>
      </c>
      <c r="C588" s="9">
        <v>1572.24</v>
      </c>
      <c r="D588" s="9">
        <v>1575.7</v>
      </c>
      <c r="E588" s="9">
        <f t="shared" si="27"/>
        <v>-6.1623533425893204E-3</v>
      </c>
      <c r="F588" s="9">
        <f t="shared" si="25"/>
        <v>1.1951570431659318E-2</v>
      </c>
      <c r="G588" s="9">
        <f t="shared" si="26"/>
        <v>7.3633908852686804E-3</v>
      </c>
    </row>
    <row r="589" spans="1:7" x14ac:dyDescent="0.2">
      <c r="A589" s="12">
        <v>38000</v>
      </c>
      <c r="B589" s="9">
        <v>1593.06</v>
      </c>
      <c r="C589" s="9">
        <v>1571.75</v>
      </c>
      <c r="D589" s="9">
        <v>1587.28</v>
      </c>
      <c r="E589" s="9">
        <f t="shared" si="27"/>
        <v>7.3222415182150231E-3</v>
      </c>
      <c r="F589" s="9">
        <f t="shared" si="25"/>
        <v>2.0584899826311918E-2</v>
      </c>
      <c r="G589" s="9">
        <f t="shared" si="26"/>
        <v>7.4623173694372234E-3</v>
      </c>
    </row>
    <row r="590" spans="1:7" x14ac:dyDescent="0.2">
      <c r="A590" s="12">
        <v>38001</v>
      </c>
      <c r="B590" s="9">
        <v>1603.37</v>
      </c>
      <c r="C590" s="9">
        <v>1584.35</v>
      </c>
      <c r="D590" s="9">
        <v>1598.22</v>
      </c>
      <c r="E590" s="9">
        <f t="shared" si="27"/>
        <v>6.8686504541851639E-3</v>
      </c>
      <c r="F590" s="9">
        <f t="shared" si="25"/>
        <v>3.1022750742597908E-2</v>
      </c>
      <c r="G590" s="9">
        <f t="shared" si="26"/>
        <v>7.500304906080571E-3</v>
      </c>
    </row>
    <row r="591" spans="1:7" x14ac:dyDescent="0.2">
      <c r="A591" s="12">
        <v>38002</v>
      </c>
      <c r="B591" s="9">
        <v>1618.63</v>
      </c>
      <c r="C591" s="9">
        <v>1598.09</v>
      </c>
      <c r="D591" s="9">
        <v>1616.18</v>
      </c>
      <c r="E591" s="9">
        <f t="shared" si="27"/>
        <v>1.1174830076279152E-2</v>
      </c>
      <c r="F591" s="9">
        <f t="shared" si="25"/>
        <v>3.4508103693733014E-2</v>
      </c>
      <c r="G591" s="9">
        <f t="shared" si="26"/>
        <v>7.6327744621694574E-3</v>
      </c>
    </row>
    <row r="592" spans="1:7" x14ac:dyDescent="0.2">
      <c r="A592" s="12">
        <v>38005</v>
      </c>
      <c r="B592" s="9">
        <v>1629.95</v>
      </c>
      <c r="C592" s="9">
        <v>1616.18</v>
      </c>
      <c r="D592" s="9">
        <v>1627.3</v>
      </c>
      <c r="E592" s="9">
        <f t="shared" si="27"/>
        <v>6.8568596498894182E-3</v>
      </c>
      <c r="F592" s="9">
        <f t="shared" si="25"/>
        <v>4.6476122681021532E-2</v>
      </c>
      <c r="G592" s="9">
        <f t="shared" si="26"/>
        <v>7.6069463481724265E-3</v>
      </c>
    </row>
    <row r="593" spans="1:7" x14ac:dyDescent="0.2">
      <c r="A593" s="12">
        <v>38006</v>
      </c>
      <c r="B593" s="9">
        <v>1632.55</v>
      </c>
      <c r="C593" s="9">
        <v>1603.82</v>
      </c>
      <c r="D593" s="9">
        <v>1603.82</v>
      </c>
      <c r="E593" s="9">
        <f t="shared" si="27"/>
        <v>-1.45339159885542E-2</v>
      </c>
      <c r="F593" s="9">
        <f t="shared" si="25"/>
        <v>2.7266659974222892E-2</v>
      </c>
      <c r="G593" s="9">
        <f t="shared" si="26"/>
        <v>8.1255152993804074E-3</v>
      </c>
    </row>
    <row r="594" spans="1:7" x14ac:dyDescent="0.2">
      <c r="A594" s="12">
        <v>38007</v>
      </c>
      <c r="B594" s="9">
        <v>1605.84</v>
      </c>
      <c r="C594" s="9">
        <v>1581.8</v>
      </c>
      <c r="D594" s="9">
        <v>1583.66</v>
      </c>
      <c r="E594" s="9">
        <f t="shared" si="27"/>
        <v>-1.26496598081391E-2</v>
      </c>
      <c r="F594" s="9">
        <f t="shared" si="25"/>
        <v>1.3387523307231523E-2</v>
      </c>
      <c r="G594" s="9">
        <f t="shared" si="26"/>
        <v>8.4934181677119389E-3</v>
      </c>
    </row>
    <row r="595" spans="1:7" x14ac:dyDescent="0.2">
      <c r="A595" s="12">
        <v>38008</v>
      </c>
      <c r="B595" s="9">
        <v>1606.47</v>
      </c>
      <c r="C595" s="9">
        <v>1583.66</v>
      </c>
      <c r="D595" s="9">
        <v>1603.95</v>
      </c>
      <c r="E595" s="9">
        <f t="shared" si="27"/>
        <v>1.2730713000899983E-2</v>
      </c>
      <c r="F595" s="9">
        <f t="shared" si="25"/>
        <v>2.3619121841068406E-2</v>
      </c>
      <c r="G595" s="9">
        <f t="shared" si="26"/>
        <v>8.7793068917651155E-3</v>
      </c>
    </row>
    <row r="596" spans="1:7" x14ac:dyDescent="0.2">
      <c r="A596" s="12">
        <v>38009</v>
      </c>
      <c r="B596" s="9">
        <v>1607.01</v>
      </c>
      <c r="C596" s="9">
        <v>1595.31</v>
      </c>
      <c r="D596" s="9">
        <v>1603.58</v>
      </c>
      <c r="E596" s="9">
        <f t="shared" si="27"/>
        <v>-2.307071183379438E-4</v>
      </c>
      <c r="F596" s="9">
        <f t="shared" si="25"/>
        <v>2.3943943686780197E-2</v>
      </c>
      <c r="G596" s="9">
        <f t="shared" si="26"/>
        <v>8.7777938567326491E-3</v>
      </c>
    </row>
    <row r="597" spans="1:7" x14ac:dyDescent="0.2">
      <c r="A597" s="12">
        <v>38012</v>
      </c>
      <c r="B597" s="9">
        <v>1610.32</v>
      </c>
      <c r="C597" s="9">
        <v>1597.26</v>
      </c>
      <c r="D597" s="9">
        <v>1604.08</v>
      </c>
      <c r="E597" s="9">
        <f t="shared" si="27"/>
        <v>3.1175374201111445E-4</v>
      </c>
      <c r="F597" s="9">
        <f t="shared" si="25"/>
        <v>2.3323605965278084E-2</v>
      </c>
      <c r="G597" s="9">
        <f t="shared" si="26"/>
        <v>8.7781980623795365E-3</v>
      </c>
    </row>
    <row r="598" spans="1:7" x14ac:dyDescent="0.2">
      <c r="A598" s="12">
        <v>38013</v>
      </c>
      <c r="B598" s="9">
        <v>1620.81</v>
      </c>
      <c r="C598" s="9">
        <v>1604.08</v>
      </c>
      <c r="D598" s="9">
        <v>1613.94</v>
      </c>
      <c r="E598" s="9">
        <f t="shared" si="27"/>
        <v>6.1280109232589672E-3</v>
      </c>
      <c r="F598" s="9">
        <f t="shared" si="25"/>
        <v>3.1118502147670701E-2</v>
      </c>
      <c r="G598" s="9">
        <f t="shared" si="26"/>
        <v>8.8186213654617637E-3</v>
      </c>
    </row>
    <row r="599" spans="1:7" x14ac:dyDescent="0.2">
      <c r="A599" s="12">
        <v>38014</v>
      </c>
      <c r="B599" s="9">
        <v>1616.76</v>
      </c>
      <c r="C599" s="9">
        <v>1600.27</v>
      </c>
      <c r="D599" s="9">
        <v>1604.13</v>
      </c>
      <c r="E599" s="9">
        <f t="shared" si="27"/>
        <v>-6.096840893863008E-3</v>
      </c>
      <c r="F599" s="9">
        <f t="shared" si="25"/>
        <v>2.2213190597784073E-2</v>
      </c>
      <c r="G599" s="9">
        <f t="shared" si="26"/>
        <v>8.9063896866677858E-3</v>
      </c>
    </row>
    <row r="600" spans="1:7" x14ac:dyDescent="0.2">
      <c r="A600" s="12">
        <v>38015</v>
      </c>
      <c r="B600" s="9">
        <v>1604.2</v>
      </c>
      <c r="C600" s="9">
        <v>1585.82</v>
      </c>
      <c r="D600" s="9">
        <v>1591.55</v>
      </c>
      <c r="E600" s="9">
        <f t="shared" si="27"/>
        <v>-7.8731693929040818E-3</v>
      </c>
      <c r="F600" s="9">
        <f t="shared" si="25"/>
        <v>1.7148491860903739E-2</v>
      </c>
      <c r="G600" s="9">
        <f t="shared" si="26"/>
        <v>9.023215265152788E-3</v>
      </c>
    </row>
    <row r="601" spans="1:7" x14ac:dyDescent="0.2">
      <c r="A601" s="12">
        <v>38016</v>
      </c>
      <c r="B601" s="9">
        <v>1599.89</v>
      </c>
      <c r="C601" s="9">
        <v>1579.37</v>
      </c>
      <c r="D601" s="9">
        <v>1588.13</v>
      </c>
      <c r="E601" s="9">
        <f t="shared" si="27"/>
        <v>-2.1511606946831474E-3</v>
      </c>
      <c r="F601" s="9">
        <f t="shared" si="25"/>
        <v>1.9109347618196409E-2</v>
      </c>
      <c r="G601" s="9">
        <f t="shared" si="26"/>
        <v>8.9951767366317926E-3</v>
      </c>
    </row>
    <row r="602" spans="1:7" x14ac:dyDescent="0.2">
      <c r="A602" s="12">
        <v>38019</v>
      </c>
      <c r="B602" s="9">
        <v>1592.69</v>
      </c>
      <c r="C602" s="9">
        <v>1579.06</v>
      </c>
      <c r="D602" s="9">
        <v>1581.93</v>
      </c>
      <c r="E602" s="9">
        <f t="shared" si="27"/>
        <v>-3.9116028752308367E-3</v>
      </c>
      <c r="F602" s="9">
        <f t="shared" si="25"/>
        <v>1.2198530749104649E-2</v>
      </c>
      <c r="G602" s="9">
        <f t="shared" si="26"/>
        <v>9.021048918505031E-3</v>
      </c>
    </row>
    <row r="603" spans="1:7" x14ac:dyDescent="0.2">
      <c r="A603" s="12">
        <v>38020</v>
      </c>
      <c r="B603" s="9">
        <v>1587.52</v>
      </c>
      <c r="C603" s="9">
        <v>1577.57</v>
      </c>
      <c r="D603" s="9">
        <v>1580.58</v>
      </c>
      <c r="E603" s="9">
        <f t="shared" si="27"/>
        <v>-8.5375229295753296E-4</v>
      </c>
      <c r="F603" s="9">
        <f t="shared" si="25"/>
        <v>1.4241306572434709E-2</v>
      </c>
      <c r="G603" s="9">
        <f t="shared" si="26"/>
        <v>9.0029478823798852E-3</v>
      </c>
    </row>
    <row r="604" spans="1:7" x14ac:dyDescent="0.2">
      <c r="A604" s="12">
        <v>38021</v>
      </c>
      <c r="B604" s="9">
        <v>1584.23</v>
      </c>
      <c r="C604" s="9">
        <v>1576.81</v>
      </c>
      <c r="D604" s="9">
        <v>1580.42</v>
      </c>
      <c r="E604" s="9">
        <f t="shared" si="27"/>
        <v>-1.0123378686275171E-4</v>
      </c>
      <c r="F604" s="9">
        <f t="shared" si="25"/>
        <v>3.1573586660044138E-2</v>
      </c>
      <c r="G604" s="9">
        <f t="shared" si="26"/>
        <v>8.346282819434888E-3</v>
      </c>
    </row>
    <row r="605" spans="1:7" x14ac:dyDescent="0.2">
      <c r="A605" s="12">
        <v>38022</v>
      </c>
      <c r="B605" s="9">
        <v>1594.37</v>
      </c>
      <c r="C605" s="9">
        <v>1578.96</v>
      </c>
      <c r="D605" s="9">
        <v>1585.5</v>
      </c>
      <c r="E605" s="9">
        <f t="shared" si="27"/>
        <v>3.2091804971959041E-3</v>
      </c>
      <c r="F605" s="9">
        <f t="shared" si="25"/>
        <v>4.1400317924297388E-2</v>
      </c>
      <c r="G605" s="9">
        <f t="shared" si="26"/>
        <v>8.2268617355888314E-3</v>
      </c>
    </row>
    <row r="606" spans="1:7" x14ac:dyDescent="0.2">
      <c r="A606" s="12">
        <v>38023</v>
      </c>
      <c r="B606" s="9">
        <v>1600.61</v>
      </c>
      <c r="C606" s="9">
        <v>1583.21</v>
      </c>
      <c r="D606" s="9">
        <v>1587.99</v>
      </c>
      <c r="E606" s="9">
        <f t="shared" si="27"/>
        <v>1.5692505796322323E-3</v>
      </c>
      <c r="F606" s="9">
        <f t="shared" si="25"/>
        <v>4.7462951300577316E-2</v>
      </c>
      <c r="G606" s="9">
        <f t="shared" si="26"/>
        <v>8.1517297596824974E-3</v>
      </c>
    </row>
    <row r="607" spans="1:7" x14ac:dyDescent="0.2">
      <c r="A607" s="12">
        <v>38026</v>
      </c>
      <c r="B607" s="9">
        <v>1609.26</v>
      </c>
      <c r="C607" s="9">
        <v>1587.99</v>
      </c>
      <c r="D607" s="9">
        <v>1606.73</v>
      </c>
      <c r="E607" s="9">
        <f t="shared" si="27"/>
        <v>1.1731992128727076E-2</v>
      </c>
      <c r="F607" s="9">
        <f t="shared" si="25"/>
        <v>5.9875321164263508E-2</v>
      </c>
      <c r="G607" s="9">
        <f t="shared" si="26"/>
        <v>8.3456290955332049E-3</v>
      </c>
    </row>
    <row r="608" spans="1:7" x14ac:dyDescent="0.2">
      <c r="A608" s="12">
        <v>38027</v>
      </c>
      <c r="B608" s="9">
        <v>1623.03</v>
      </c>
      <c r="C608" s="9">
        <v>1604.94</v>
      </c>
      <c r="D608" s="9">
        <v>1622.38</v>
      </c>
      <c r="E608" s="9">
        <f t="shared" si="27"/>
        <v>9.6931492179459216E-3</v>
      </c>
      <c r="F608" s="9">
        <f t="shared" si="25"/>
        <v>7.6344606212787325E-2</v>
      </c>
      <c r="G608" s="9">
        <f t="shared" si="26"/>
        <v>8.290201645144683E-3</v>
      </c>
    </row>
    <row r="609" spans="1:7" x14ac:dyDescent="0.2">
      <c r="A609" s="12">
        <v>38028</v>
      </c>
      <c r="B609" s="9">
        <v>1622.96</v>
      </c>
      <c r="C609" s="9">
        <v>1603.67</v>
      </c>
      <c r="D609" s="9">
        <v>1612.84</v>
      </c>
      <c r="E609" s="9">
        <f t="shared" si="27"/>
        <v>-5.8976067479105708E-3</v>
      </c>
      <c r="F609" s="9">
        <f t="shared" ref="F609:F672" si="28">LN(D609/D579)</f>
        <v>5.8299909819771012E-2</v>
      </c>
      <c r="G609" s="9">
        <f t="shared" ref="G609:G672" si="29">STDEV(E580:E609)</f>
        <v>8.2238365668387114E-3</v>
      </c>
    </row>
    <row r="610" spans="1:7" x14ac:dyDescent="0.2">
      <c r="A610" s="12">
        <v>38029</v>
      </c>
      <c r="B610" s="9">
        <v>1634.14</v>
      </c>
      <c r="C610" s="9">
        <v>1612.84</v>
      </c>
      <c r="D610" s="9">
        <v>1627.84</v>
      </c>
      <c r="E610" s="9">
        <f t="shared" si="27"/>
        <v>9.2573824776033872E-3</v>
      </c>
      <c r="F610" s="9">
        <f t="shared" si="28"/>
        <v>6.3503737923989584E-2</v>
      </c>
      <c r="G610" s="9">
        <f t="shared" si="29"/>
        <v>8.3241501604100921E-3</v>
      </c>
    </row>
    <row r="611" spans="1:7" x14ac:dyDescent="0.2">
      <c r="A611" s="12">
        <v>38030</v>
      </c>
      <c r="B611" s="9">
        <v>1634.07</v>
      </c>
      <c r="C611" s="9">
        <v>1619.11</v>
      </c>
      <c r="D611" s="9">
        <v>1620.25</v>
      </c>
      <c r="E611" s="9">
        <f t="shared" si="27"/>
        <v>-4.6735243265748211E-3</v>
      </c>
      <c r="F611" s="9">
        <f t="shared" si="28"/>
        <v>5.6672405092750754E-2</v>
      </c>
      <c r="G611" s="9">
        <f t="shared" si="29"/>
        <v>8.4159207376933165E-3</v>
      </c>
    </row>
    <row r="612" spans="1:7" x14ac:dyDescent="0.2">
      <c r="A612" s="12">
        <v>38033</v>
      </c>
      <c r="B612" s="9">
        <v>1626.14</v>
      </c>
      <c r="C612" s="9">
        <v>1618.93</v>
      </c>
      <c r="D612" s="9">
        <v>1623.3</v>
      </c>
      <c r="E612" s="9">
        <f t="shared" si="27"/>
        <v>1.8806560089738283E-3</v>
      </c>
      <c r="F612" s="9">
        <f t="shared" si="28"/>
        <v>3.7022674749074676E-2</v>
      </c>
      <c r="G612" s="9">
        <f t="shared" si="29"/>
        <v>7.5552053297703054E-3</v>
      </c>
    </row>
    <row r="613" spans="1:7" x14ac:dyDescent="0.2">
      <c r="A613" s="12">
        <v>38034</v>
      </c>
      <c r="B613" s="9">
        <v>1636.36</v>
      </c>
      <c r="C613" s="9">
        <v>1622.73</v>
      </c>
      <c r="D613" s="9">
        <v>1633.67</v>
      </c>
      <c r="E613" s="9">
        <f t="shared" si="27"/>
        <v>6.3679033224754164E-3</v>
      </c>
      <c r="F613" s="9">
        <f t="shared" si="28"/>
        <v>3.361938364834282E-2</v>
      </c>
      <c r="G613" s="9">
        <f t="shared" si="29"/>
        <v>7.4473797789041535E-3</v>
      </c>
    </row>
    <row r="614" spans="1:7" x14ac:dyDescent="0.2">
      <c r="A614" s="12">
        <v>38035</v>
      </c>
      <c r="B614" s="9">
        <v>1643.94</v>
      </c>
      <c r="C614" s="9">
        <v>1632.5</v>
      </c>
      <c r="D614" s="9">
        <v>1637.95</v>
      </c>
      <c r="E614" s="9">
        <f t="shared" si="27"/>
        <v>2.6164422773169334E-3</v>
      </c>
      <c r="F614" s="9">
        <f t="shared" si="28"/>
        <v>3.8872777719262182E-2</v>
      </c>
      <c r="G614" s="9">
        <f t="shared" si="29"/>
        <v>7.4176825717077143E-3</v>
      </c>
    </row>
    <row r="615" spans="1:7" x14ac:dyDescent="0.2">
      <c r="A615" s="12">
        <v>38036</v>
      </c>
      <c r="B615" s="9">
        <v>1668.64</v>
      </c>
      <c r="C615" s="9">
        <v>1637.95</v>
      </c>
      <c r="D615" s="9">
        <v>1664.33</v>
      </c>
      <c r="E615" s="9">
        <f t="shared" si="27"/>
        <v>1.597718010997691E-2</v>
      </c>
      <c r="F615" s="9">
        <f t="shared" si="28"/>
        <v>4.2831075275690141E-2</v>
      </c>
      <c r="G615" s="9">
        <f t="shared" si="29"/>
        <v>7.6466691005799333E-3</v>
      </c>
    </row>
    <row r="616" spans="1:7" x14ac:dyDescent="0.2">
      <c r="A616" s="12">
        <v>38037</v>
      </c>
      <c r="B616" s="9">
        <v>1664.81</v>
      </c>
      <c r="C616" s="9">
        <v>1653.42</v>
      </c>
      <c r="D616" s="9">
        <v>1657.24</v>
      </c>
      <c r="E616" s="9">
        <f t="shared" si="27"/>
        <v>-4.2690720158959838E-3</v>
      </c>
      <c r="F616" s="9">
        <f t="shared" si="28"/>
        <v>4.6223525251420428E-2</v>
      </c>
      <c r="G616" s="9">
        <f t="shared" si="29"/>
        <v>7.5318416389398802E-3</v>
      </c>
    </row>
    <row r="617" spans="1:7" x14ac:dyDescent="0.2">
      <c r="A617" s="12">
        <v>38040</v>
      </c>
      <c r="B617" s="9">
        <v>1678.46</v>
      </c>
      <c r="C617" s="9">
        <v>1656.94</v>
      </c>
      <c r="D617" s="9">
        <v>1670.97</v>
      </c>
      <c r="E617" s="9">
        <f t="shared" si="27"/>
        <v>8.250728102194068E-3</v>
      </c>
      <c r="F617" s="9">
        <f t="shared" si="28"/>
        <v>5.2542324802277274E-2</v>
      </c>
      <c r="G617" s="9">
        <f t="shared" si="29"/>
        <v>7.6308583187363575E-3</v>
      </c>
    </row>
    <row r="618" spans="1:7" x14ac:dyDescent="0.2">
      <c r="A618" s="12">
        <v>38041</v>
      </c>
      <c r="B618" s="9">
        <v>1673.46</v>
      </c>
      <c r="C618" s="9">
        <v>1654.11</v>
      </c>
      <c r="D618" s="9">
        <v>1660.41</v>
      </c>
      <c r="E618" s="9">
        <f t="shared" si="27"/>
        <v>-6.339736306973035E-3</v>
      </c>
      <c r="F618" s="9">
        <f t="shared" si="28"/>
        <v>5.2364941837893635E-2</v>
      </c>
      <c r="G618" s="9">
        <f t="shared" si="29"/>
        <v>7.6372677717975171E-3</v>
      </c>
    </row>
    <row r="619" spans="1:7" x14ac:dyDescent="0.2">
      <c r="A619" s="12">
        <v>38042</v>
      </c>
      <c r="B619" s="9">
        <v>1662.13</v>
      </c>
      <c r="C619" s="9">
        <v>1653.4</v>
      </c>
      <c r="D619" s="9">
        <v>1654.46</v>
      </c>
      <c r="E619" s="9">
        <f t="shared" si="27"/>
        <v>-3.5898882248475822E-3</v>
      </c>
      <c r="F619" s="9">
        <f t="shared" si="28"/>
        <v>4.1452812094830913E-2</v>
      </c>
      <c r="G619" s="9">
        <f t="shared" si="29"/>
        <v>7.6223469963397706E-3</v>
      </c>
    </row>
    <row r="620" spans="1:7" x14ac:dyDescent="0.2">
      <c r="A620" s="12">
        <v>38043</v>
      </c>
      <c r="B620" s="9">
        <v>1663.07</v>
      </c>
      <c r="C620" s="9">
        <v>1652.61</v>
      </c>
      <c r="D620" s="9">
        <v>1656.55</v>
      </c>
      <c r="E620" s="9">
        <f t="shared" si="27"/>
        <v>1.2624548265245013E-3</v>
      </c>
      <c r="F620" s="9">
        <f t="shared" si="28"/>
        <v>3.5846616467170127E-2</v>
      </c>
      <c r="G620" s="9">
        <f t="shared" si="29"/>
        <v>7.5515827571103165E-3</v>
      </c>
    </row>
    <row r="621" spans="1:7" x14ac:dyDescent="0.2">
      <c r="A621" s="12">
        <v>38044</v>
      </c>
      <c r="B621" s="9">
        <v>1668.7</v>
      </c>
      <c r="C621" s="9">
        <v>1654.22</v>
      </c>
      <c r="D621" s="9">
        <v>1658.37</v>
      </c>
      <c r="E621" s="9">
        <f t="shared" si="27"/>
        <v>1.0980658253422946E-3</v>
      </c>
      <c r="F621" s="9">
        <f t="shared" si="28"/>
        <v>2.5769852216233381E-2</v>
      </c>
      <c r="G621" s="9">
        <f t="shared" si="29"/>
        <v>7.3126981457152986E-3</v>
      </c>
    </row>
    <row r="622" spans="1:7" x14ac:dyDescent="0.2">
      <c r="A622" s="12">
        <v>38047</v>
      </c>
      <c r="B622" s="9">
        <v>1672.76</v>
      </c>
      <c r="C622" s="9">
        <v>1654.08</v>
      </c>
      <c r="D622" s="9">
        <v>1671.88</v>
      </c>
      <c r="E622" s="9">
        <f t="shared" si="27"/>
        <v>8.113549501192514E-3</v>
      </c>
      <c r="F622" s="9">
        <f t="shared" si="28"/>
        <v>2.702654206753639E-2</v>
      </c>
      <c r="G622" s="9">
        <f t="shared" si="29"/>
        <v>7.3517359176757096E-3</v>
      </c>
    </row>
    <row r="623" spans="1:7" x14ac:dyDescent="0.2">
      <c r="A623" s="12">
        <v>38048</v>
      </c>
      <c r="B623" s="9">
        <v>1691.2</v>
      </c>
      <c r="C623" s="9">
        <v>1671.88</v>
      </c>
      <c r="D623" s="9">
        <v>1688.3</v>
      </c>
      <c r="E623" s="9">
        <f t="shared" si="27"/>
        <v>9.7733637490428783E-3</v>
      </c>
      <c r="F623" s="9">
        <f t="shared" si="28"/>
        <v>5.1333821805133434E-2</v>
      </c>
      <c r="G623" s="9">
        <f t="shared" si="29"/>
        <v>6.9187043450271799E-3</v>
      </c>
    </row>
    <row r="624" spans="1:7" x14ac:dyDescent="0.2">
      <c r="A624" s="12">
        <v>38049</v>
      </c>
      <c r="B624" s="9">
        <v>1707.92</v>
      </c>
      <c r="C624" s="9">
        <v>1688.24</v>
      </c>
      <c r="D624" s="9">
        <v>1696.4</v>
      </c>
      <c r="E624" s="9">
        <f t="shared" si="27"/>
        <v>4.7862531172877315E-3</v>
      </c>
      <c r="F624" s="9">
        <f t="shared" si="28"/>
        <v>6.8769734730560306E-2</v>
      </c>
      <c r="G624" s="9">
        <f t="shared" si="29"/>
        <v>6.3822926152794215E-3</v>
      </c>
    </row>
    <row r="625" spans="1:7" x14ac:dyDescent="0.2">
      <c r="A625" s="12">
        <v>38050</v>
      </c>
      <c r="B625" s="9">
        <v>1707.5</v>
      </c>
      <c r="C625" s="9">
        <v>1695.01</v>
      </c>
      <c r="D625" s="9">
        <v>1704.26</v>
      </c>
      <c r="E625" s="9">
        <f t="shared" si="27"/>
        <v>4.6226403089759853E-3</v>
      </c>
      <c r="F625" s="9">
        <f t="shared" si="28"/>
        <v>6.0661662038636315E-2</v>
      </c>
      <c r="G625" s="9">
        <f t="shared" si="29"/>
        <v>6.090000757280797E-3</v>
      </c>
    </row>
    <row r="626" spans="1:7" x14ac:dyDescent="0.2">
      <c r="A626" s="12">
        <v>38051</v>
      </c>
      <c r="B626" s="9">
        <v>1716.64</v>
      </c>
      <c r="C626" s="9">
        <v>1695.49</v>
      </c>
      <c r="D626" s="9">
        <v>1701.92</v>
      </c>
      <c r="E626" s="9">
        <f t="shared" si="27"/>
        <v>-1.373973406056931E-3</v>
      </c>
      <c r="F626" s="9">
        <f t="shared" si="28"/>
        <v>5.9518395750917365E-2</v>
      </c>
      <c r="G626" s="9">
        <f t="shared" si="29"/>
        <v>6.1081338410457946E-3</v>
      </c>
    </row>
    <row r="627" spans="1:7" x14ac:dyDescent="0.2">
      <c r="A627" s="12">
        <v>38054</v>
      </c>
      <c r="B627" s="9">
        <v>1717.66</v>
      </c>
      <c r="C627" s="9">
        <v>1701.32</v>
      </c>
      <c r="D627" s="9">
        <v>1715.08</v>
      </c>
      <c r="E627" s="9">
        <f t="shared" si="27"/>
        <v>7.7027012390579949E-3</v>
      </c>
      <c r="F627" s="9">
        <f t="shared" si="28"/>
        <v>6.6909343247964298E-2</v>
      </c>
      <c r="G627" s="9">
        <f t="shared" si="29"/>
        <v>6.1869069989496017E-3</v>
      </c>
    </row>
    <row r="628" spans="1:7" x14ac:dyDescent="0.2">
      <c r="A628" s="12">
        <v>38055</v>
      </c>
      <c r="B628" s="9">
        <v>1715.28</v>
      </c>
      <c r="C628" s="9">
        <v>1694.58</v>
      </c>
      <c r="D628" s="9">
        <v>1697.45</v>
      </c>
      <c r="E628" s="9">
        <f t="shared" si="27"/>
        <v>-1.0332601824372409E-2</v>
      </c>
      <c r="F628" s="9">
        <f t="shared" si="28"/>
        <v>5.04487305003328E-2</v>
      </c>
      <c r="G628" s="9">
        <f t="shared" si="29"/>
        <v>6.5486501134430376E-3</v>
      </c>
    </row>
    <row r="629" spans="1:7" x14ac:dyDescent="0.2">
      <c r="A629" s="12">
        <v>38056</v>
      </c>
      <c r="B629" s="9">
        <v>1699.8</v>
      </c>
      <c r="C629" s="9">
        <v>1680.58</v>
      </c>
      <c r="D629" s="9">
        <v>1684.12</v>
      </c>
      <c r="E629" s="9">
        <f t="shared" si="27"/>
        <v>-7.8839527472002891E-3</v>
      </c>
      <c r="F629" s="9">
        <f t="shared" si="28"/>
        <v>4.8661618646995621E-2</v>
      </c>
      <c r="G629" s="9">
        <f t="shared" si="29"/>
        <v>6.6294770575320069E-3</v>
      </c>
    </row>
    <row r="630" spans="1:7" x14ac:dyDescent="0.2">
      <c r="A630" s="12">
        <v>38057</v>
      </c>
      <c r="B630" s="9">
        <v>1684.12</v>
      </c>
      <c r="C630" s="9">
        <v>1636.45</v>
      </c>
      <c r="D630" s="9">
        <v>1653.34</v>
      </c>
      <c r="E630" s="9">
        <f t="shared" si="27"/>
        <v>-1.8445687870041676E-2</v>
      </c>
      <c r="F630" s="9">
        <f t="shared" si="28"/>
        <v>3.8089100169857983E-2</v>
      </c>
      <c r="G630" s="9">
        <f t="shared" si="29"/>
        <v>7.3891301175539282E-3</v>
      </c>
    </row>
    <row r="631" spans="1:7" x14ac:dyDescent="0.2">
      <c r="A631" s="12">
        <v>38058</v>
      </c>
      <c r="B631" s="9">
        <v>1653.34</v>
      </c>
      <c r="C631" s="9">
        <v>1635.21</v>
      </c>
      <c r="D631" s="9">
        <v>1646.51</v>
      </c>
      <c r="E631" s="9">
        <f t="shared" si="27"/>
        <v>-4.1395880136034686E-3</v>
      </c>
      <c r="F631" s="9">
        <f t="shared" si="28"/>
        <v>3.6100672850937647E-2</v>
      </c>
      <c r="G631" s="9">
        <f t="shared" si="29"/>
        <v>7.4296798446674044E-3</v>
      </c>
    </row>
    <row r="632" spans="1:7" x14ac:dyDescent="0.2">
      <c r="A632" s="12">
        <v>38061</v>
      </c>
      <c r="B632" s="9">
        <v>1657.63</v>
      </c>
      <c r="C632" s="9">
        <v>1620.69</v>
      </c>
      <c r="D632" s="9">
        <v>1625.74</v>
      </c>
      <c r="E632" s="9">
        <f t="shared" si="27"/>
        <v>-1.2694799564078714E-2</v>
      </c>
      <c r="F632" s="9">
        <f t="shared" si="28"/>
        <v>2.7317476162089776E-2</v>
      </c>
      <c r="G632" s="9">
        <f t="shared" si="29"/>
        <v>7.8019196798473156E-3</v>
      </c>
    </row>
    <row r="633" spans="1:7" x14ac:dyDescent="0.2">
      <c r="A633" s="12">
        <v>38062</v>
      </c>
      <c r="B633" s="9">
        <v>1625.91</v>
      </c>
      <c r="C633" s="9">
        <v>1612.52</v>
      </c>
      <c r="D633" s="9">
        <v>1616.23</v>
      </c>
      <c r="E633" s="9">
        <f t="shared" si="27"/>
        <v>-5.8668200368907266E-3</v>
      </c>
      <c r="F633" s="9">
        <f t="shared" si="28"/>
        <v>2.2304408418156639E-2</v>
      </c>
      <c r="G633" s="9">
        <f t="shared" si="29"/>
        <v>7.8941514434825444E-3</v>
      </c>
    </row>
    <row r="634" spans="1:7" x14ac:dyDescent="0.2">
      <c r="A634" s="12">
        <v>38063</v>
      </c>
      <c r="B634" s="9">
        <v>1641.08</v>
      </c>
      <c r="C634" s="9">
        <v>1616.23</v>
      </c>
      <c r="D634" s="9">
        <v>1635.24</v>
      </c>
      <c r="E634" s="9">
        <f t="shared" si="27"/>
        <v>1.1693305863504175E-2</v>
      </c>
      <c r="F634" s="9">
        <f t="shared" si="28"/>
        <v>3.4098948068523628E-2</v>
      </c>
      <c r="G634" s="9">
        <f t="shared" si="29"/>
        <v>8.1404890197818627E-3</v>
      </c>
    </row>
    <row r="635" spans="1:7" x14ac:dyDescent="0.2">
      <c r="A635" s="12">
        <v>38064</v>
      </c>
      <c r="B635" s="9">
        <v>1638.01</v>
      </c>
      <c r="C635" s="9">
        <v>1610.88</v>
      </c>
      <c r="D635" s="9">
        <v>1614.08</v>
      </c>
      <c r="E635" s="9">
        <f t="shared" si="27"/>
        <v>-1.3024447653284447E-2</v>
      </c>
      <c r="F635" s="9">
        <f t="shared" si="28"/>
        <v>1.7865319918043285E-2</v>
      </c>
      <c r="G635" s="9">
        <f t="shared" si="29"/>
        <v>8.528280809929973E-3</v>
      </c>
    </row>
    <row r="636" spans="1:7" x14ac:dyDescent="0.2">
      <c r="A636" s="12">
        <v>38065</v>
      </c>
      <c r="B636" s="9">
        <v>1616.55</v>
      </c>
      <c r="C636" s="9">
        <v>1597.9</v>
      </c>
      <c r="D636" s="9">
        <v>1600.68</v>
      </c>
      <c r="E636" s="9">
        <f t="shared" si="27"/>
        <v>-8.3365959554923333E-3</v>
      </c>
      <c r="F636" s="9">
        <f t="shared" si="28"/>
        <v>7.9594733829187851E-3</v>
      </c>
      <c r="G636" s="9">
        <f t="shared" si="29"/>
        <v>8.6797011171376674E-3</v>
      </c>
    </row>
    <row r="637" spans="1:7" x14ac:dyDescent="0.2">
      <c r="A637" s="12">
        <v>38068</v>
      </c>
      <c r="B637" s="9">
        <v>1603.01</v>
      </c>
      <c r="C637" s="9">
        <v>1579</v>
      </c>
      <c r="D637" s="9">
        <v>1580.24</v>
      </c>
      <c r="E637" s="9">
        <f t="shared" si="27"/>
        <v>-1.285180472120793E-2</v>
      </c>
      <c r="F637" s="9">
        <f t="shared" si="28"/>
        <v>-1.6624323467016307E-2</v>
      </c>
      <c r="G637" s="9">
        <f t="shared" si="29"/>
        <v>8.7201864128007445E-3</v>
      </c>
    </row>
    <row r="638" spans="1:7" x14ac:dyDescent="0.2">
      <c r="A638" s="12">
        <v>38069</v>
      </c>
      <c r="B638" s="9">
        <v>1599.65</v>
      </c>
      <c r="C638" s="9">
        <v>1577.8</v>
      </c>
      <c r="D638" s="9">
        <v>1591.6</v>
      </c>
      <c r="E638" s="9">
        <f t="shared" si="27"/>
        <v>7.1630653330284483E-3</v>
      </c>
      <c r="F638" s="9">
        <f t="shared" si="28"/>
        <v>-1.9154407351933758E-2</v>
      </c>
      <c r="G638" s="9">
        <f t="shared" si="29"/>
        <v>8.6294260101483482E-3</v>
      </c>
    </row>
    <row r="639" spans="1:7" x14ac:dyDescent="0.2">
      <c r="A639" s="12">
        <v>38070</v>
      </c>
      <c r="B639" s="9">
        <v>1602.37</v>
      </c>
      <c r="C639" s="9">
        <v>1587.15</v>
      </c>
      <c r="D639" s="9">
        <v>1597.68</v>
      </c>
      <c r="E639" s="9">
        <f t="shared" si="27"/>
        <v>3.8127774077844224E-3</v>
      </c>
      <c r="F639" s="9">
        <f t="shared" si="28"/>
        <v>-9.4440231962388214E-3</v>
      </c>
      <c r="G639" s="9">
        <f t="shared" si="29"/>
        <v>8.6074447243073542E-3</v>
      </c>
    </row>
    <row r="640" spans="1:7" x14ac:dyDescent="0.2">
      <c r="A640" s="12">
        <v>38071</v>
      </c>
      <c r="B640" s="9">
        <v>1608.32</v>
      </c>
      <c r="C640" s="9">
        <v>1588.73</v>
      </c>
      <c r="D640" s="9">
        <v>1605.56</v>
      </c>
      <c r="E640" s="9">
        <f t="shared" si="27"/>
        <v>4.9200284060594074E-3</v>
      </c>
      <c r="F640" s="9">
        <f t="shared" si="28"/>
        <v>-1.3781377267782755E-2</v>
      </c>
      <c r="G640" s="9">
        <f t="shared" si="29"/>
        <v>8.4765491761109434E-3</v>
      </c>
    </row>
    <row r="641" spans="1:7" x14ac:dyDescent="0.2">
      <c r="A641" s="12">
        <v>38072</v>
      </c>
      <c r="B641" s="9">
        <v>1608.59</v>
      </c>
      <c r="C641" s="9">
        <v>1593.98</v>
      </c>
      <c r="D641" s="9">
        <v>1595.84</v>
      </c>
      <c r="E641" s="9">
        <f t="shared" si="27"/>
        <v>-6.0723620088597389E-3</v>
      </c>
      <c r="F641" s="9">
        <f t="shared" si="28"/>
        <v>-1.5180214950067692E-2</v>
      </c>
      <c r="G641" s="9">
        <f t="shared" si="29"/>
        <v>8.5043316021224495E-3</v>
      </c>
    </row>
    <row r="642" spans="1:7" x14ac:dyDescent="0.2">
      <c r="A642" s="12">
        <v>38075</v>
      </c>
      <c r="B642" s="9">
        <v>1605.69</v>
      </c>
      <c r="C642" s="9">
        <v>1585.11</v>
      </c>
      <c r="D642" s="9">
        <v>1608.21</v>
      </c>
      <c r="E642" s="9">
        <f t="shared" si="27"/>
        <v>7.7215158690316851E-3</v>
      </c>
      <c r="F642" s="9">
        <f t="shared" si="28"/>
        <v>-9.3393550900099081E-3</v>
      </c>
      <c r="G642" s="9">
        <f t="shared" si="29"/>
        <v>8.6268322591669128E-3</v>
      </c>
    </row>
    <row r="643" spans="1:7" x14ac:dyDescent="0.2">
      <c r="A643" s="12">
        <v>38076</v>
      </c>
      <c r="B643" s="9">
        <v>1610.66</v>
      </c>
      <c r="C643" s="9">
        <v>1602.17</v>
      </c>
      <c r="D643" s="9">
        <v>1607.09</v>
      </c>
      <c r="E643" s="9">
        <f t="shared" si="27"/>
        <v>-6.966690792767692E-4</v>
      </c>
      <c r="F643" s="9">
        <f t="shared" si="28"/>
        <v>-1.6403927491762029E-2</v>
      </c>
      <c r="G643" s="9">
        <f t="shared" si="29"/>
        <v>8.534145996839923E-3</v>
      </c>
    </row>
    <row r="644" spans="1:7" x14ac:dyDescent="0.2">
      <c r="A644" s="12">
        <v>38077</v>
      </c>
      <c r="B644" s="9">
        <v>1619.69</v>
      </c>
      <c r="C644" s="9">
        <v>1606.48</v>
      </c>
      <c r="D644" s="9">
        <v>1617.56</v>
      </c>
      <c r="E644" s="9">
        <f t="shared" ref="E644:E707" si="30">LN(D644/D643)</f>
        <v>6.4937508208654003E-3</v>
      </c>
      <c r="F644" s="9">
        <f t="shared" si="28"/>
        <v>-1.252661894821341E-2</v>
      </c>
      <c r="G644" s="9">
        <f t="shared" si="29"/>
        <v>8.6127009400411535E-3</v>
      </c>
    </row>
    <row r="645" spans="1:7" x14ac:dyDescent="0.2">
      <c r="A645" s="12">
        <v>38078</v>
      </c>
      <c r="B645" s="9">
        <v>1636.23</v>
      </c>
      <c r="C645" s="9">
        <v>1610.8</v>
      </c>
      <c r="D645" s="9">
        <v>1630.82</v>
      </c>
      <c r="E645" s="9">
        <f t="shared" si="30"/>
        <v>8.1641148210676619E-3</v>
      </c>
      <c r="F645" s="9">
        <f t="shared" si="28"/>
        <v>-2.0339684237122672E-2</v>
      </c>
      <c r="G645" s="9">
        <f t="shared" si="29"/>
        <v>8.2084961055292668E-3</v>
      </c>
    </row>
    <row r="646" spans="1:7" x14ac:dyDescent="0.2">
      <c r="A646" s="12">
        <v>38079</v>
      </c>
      <c r="B646" s="9">
        <v>1671.23</v>
      </c>
      <c r="C646" s="9">
        <v>1630.66</v>
      </c>
      <c r="D646" s="9">
        <v>1668.86</v>
      </c>
      <c r="E646" s="9">
        <f t="shared" si="30"/>
        <v>2.3057802789640338E-2</v>
      </c>
      <c r="F646" s="9">
        <f t="shared" si="28"/>
        <v>6.9871905684136546E-3</v>
      </c>
      <c r="G646" s="9">
        <f t="shared" si="29"/>
        <v>9.2468128069008639E-3</v>
      </c>
    </row>
    <row r="647" spans="1:7" x14ac:dyDescent="0.2">
      <c r="A647" s="12">
        <v>38082</v>
      </c>
      <c r="B647" s="9">
        <v>1678.32</v>
      </c>
      <c r="C647" s="9">
        <v>1666.54</v>
      </c>
      <c r="D647" s="9">
        <v>1672.81</v>
      </c>
      <c r="E647" s="9">
        <f t="shared" si="30"/>
        <v>2.3640885184259613E-3</v>
      </c>
      <c r="F647" s="9">
        <f t="shared" si="28"/>
        <v>1.1005509846456288E-3</v>
      </c>
      <c r="G647" s="9">
        <f t="shared" si="29"/>
        <v>9.1325568673304488E-3</v>
      </c>
    </row>
    <row r="648" spans="1:7" x14ac:dyDescent="0.2">
      <c r="A648" s="12">
        <v>38083</v>
      </c>
      <c r="B648" s="9">
        <v>1683.91</v>
      </c>
      <c r="C648" s="9">
        <v>1637.41</v>
      </c>
      <c r="D648" s="9">
        <v>1643.23</v>
      </c>
      <c r="E648" s="9">
        <f t="shared" si="30"/>
        <v>-1.7841030030480074E-2</v>
      </c>
      <c r="F648" s="9">
        <f t="shared" si="28"/>
        <v>-1.0400742738861423E-2</v>
      </c>
      <c r="G648" s="9">
        <f t="shared" si="29"/>
        <v>9.6369419864464744E-3</v>
      </c>
    </row>
    <row r="649" spans="1:7" x14ac:dyDescent="0.2">
      <c r="A649" s="12">
        <v>38084</v>
      </c>
      <c r="B649" s="9">
        <v>1644.52</v>
      </c>
      <c r="C649" s="9">
        <v>1630.41</v>
      </c>
      <c r="D649" s="9">
        <v>1635.54</v>
      </c>
      <c r="E649" s="9">
        <f t="shared" si="30"/>
        <v>-4.6907920351779934E-3</v>
      </c>
      <c r="F649" s="9">
        <f t="shared" si="28"/>
        <v>-1.1501646549191837E-2</v>
      </c>
      <c r="G649" s="9">
        <f t="shared" si="29"/>
        <v>9.6518023323921582E-3</v>
      </c>
    </row>
    <row r="650" spans="1:7" x14ac:dyDescent="0.2">
      <c r="A650" s="12">
        <v>38085</v>
      </c>
      <c r="B650" s="9">
        <v>1636.7</v>
      </c>
      <c r="C650" s="9">
        <v>1618.78</v>
      </c>
      <c r="D650" s="9">
        <v>1629.86</v>
      </c>
      <c r="E650" s="9">
        <f t="shared" si="30"/>
        <v>-3.4789034903186123E-3</v>
      </c>
      <c r="F650" s="9">
        <f t="shared" si="28"/>
        <v>-1.6243004866034839E-2</v>
      </c>
      <c r="G650" s="9">
        <f t="shared" si="29"/>
        <v>9.6627357906279177E-3</v>
      </c>
    </row>
    <row r="651" spans="1:7" x14ac:dyDescent="0.2">
      <c r="A651" s="12">
        <v>38090</v>
      </c>
      <c r="B651" s="9">
        <v>1649.18</v>
      </c>
      <c r="C651" s="9">
        <v>1628.76</v>
      </c>
      <c r="D651" s="9">
        <v>1642.73</v>
      </c>
      <c r="E651" s="9">
        <f t="shared" si="30"/>
        <v>7.8653704552833666E-3</v>
      </c>
      <c r="F651" s="9">
        <f t="shared" si="28"/>
        <v>-9.4757002360937176E-3</v>
      </c>
      <c r="G651" s="9">
        <f t="shared" si="29"/>
        <v>9.7806023250882959E-3</v>
      </c>
    </row>
    <row r="652" spans="1:7" x14ac:dyDescent="0.2">
      <c r="A652" s="12">
        <v>38091</v>
      </c>
      <c r="B652" s="9">
        <v>1642.73</v>
      </c>
      <c r="C652" s="9">
        <v>1622.19</v>
      </c>
      <c r="D652" s="9">
        <v>1627.87</v>
      </c>
      <c r="E652" s="9">
        <f t="shared" si="30"/>
        <v>-9.0870802025728101E-3</v>
      </c>
      <c r="F652" s="9">
        <f t="shared" si="28"/>
        <v>-2.667632993985913E-2</v>
      </c>
      <c r="G652" s="9">
        <f t="shared" si="29"/>
        <v>9.7735792541910303E-3</v>
      </c>
    </row>
    <row r="653" spans="1:7" x14ac:dyDescent="0.2">
      <c r="A653" s="12">
        <v>38092</v>
      </c>
      <c r="B653" s="9">
        <v>1637.57</v>
      </c>
      <c r="C653" s="9">
        <v>1615.18</v>
      </c>
      <c r="D653" s="9">
        <v>1617.76</v>
      </c>
      <c r="E653" s="9">
        <f t="shared" si="30"/>
        <v>-6.2299354511569762E-3</v>
      </c>
      <c r="F653" s="9">
        <f t="shared" si="28"/>
        <v>-4.2679629140058989E-2</v>
      </c>
      <c r="G653" s="9">
        <f t="shared" si="29"/>
        <v>9.6068558068345862E-3</v>
      </c>
    </row>
    <row r="654" spans="1:7" x14ac:dyDescent="0.2">
      <c r="A654" s="12">
        <v>38093</v>
      </c>
      <c r="B654" s="9">
        <v>1624.94</v>
      </c>
      <c r="C654" s="9">
        <v>1595.81</v>
      </c>
      <c r="D654" s="9">
        <v>1603.86</v>
      </c>
      <c r="E654" s="9">
        <f t="shared" si="30"/>
        <v>-8.6292525214180377E-3</v>
      </c>
      <c r="F654" s="9">
        <f t="shared" si="28"/>
        <v>-5.6095134778764696E-2</v>
      </c>
      <c r="G654" s="9">
        <f t="shared" si="29"/>
        <v>9.6201010994362412E-3</v>
      </c>
    </row>
    <row r="655" spans="1:7" x14ac:dyDescent="0.2">
      <c r="A655" s="12">
        <v>38096</v>
      </c>
      <c r="B655" s="9">
        <v>1617.32</v>
      </c>
      <c r="C655" s="9">
        <v>1601.88</v>
      </c>
      <c r="D655" s="9">
        <v>1611.91</v>
      </c>
      <c r="E655" s="9">
        <f t="shared" si="30"/>
        <v>5.0065874207709448E-3</v>
      </c>
      <c r="F655" s="9">
        <f t="shared" si="28"/>
        <v>-5.5711187666969829E-2</v>
      </c>
      <c r="G655" s="9">
        <f t="shared" si="29"/>
        <v>9.6292873079868776E-3</v>
      </c>
    </row>
    <row r="656" spans="1:7" x14ac:dyDescent="0.2">
      <c r="A656" s="12">
        <v>38097</v>
      </c>
      <c r="B656" s="9">
        <v>1639.26</v>
      </c>
      <c r="C656" s="9">
        <v>1611.17</v>
      </c>
      <c r="D656" s="9">
        <v>1634.16</v>
      </c>
      <c r="E656" s="9">
        <f t="shared" si="30"/>
        <v>1.3709099600379184E-2</v>
      </c>
      <c r="F656" s="9">
        <f t="shared" si="28"/>
        <v>-4.062811466053378E-2</v>
      </c>
      <c r="G656" s="9">
        <f t="shared" si="29"/>
        <v>1.0040366941041511E-2</v>
      </c>
    </row>
    <row r="657" spans="1:7" x14ac:dyDescent="0.2">
      <c r="A657" s="12">
        <v>38098</v>
      </c>
      <c r="B657" s="9">
        <v>1638.4</v>
      </c>
      <c r="C657" s="9">
        <v>1615.61</v>
      </c>
      <c r="D657" s="9">
        <v>1616.66</v>
      </c>
      <c r="E657" s="9">
        <f t="shared" si="30"/>
        <v>-1.076661829924447E-2</v>
      </c>
      <c r="F657" s="9">
        <f t="shared" si="28"/>
        <v>-5.9097434198836174E-2</v>
      </c>
      <c r="G657" s="9">
        <f t="shared" si="29"/>
        <v>1.0032108985081865E-2</v>
      </c>
    </row>
    <row r="658" spans="1:7" x14ac:dyDescent="0.2">
      <c r="A658" s="12">
        <v>38099</v>
      </c>
      <c r="B658" s="9">
        <v>1655.83</v>
      </c>
      <c r="C658" s="9">
        <v>1616.66</v>
      </c>
      <c r="D658" s="9">
        <v>1652.81</v>
      </c>
      <c r="E658" s="9">
        <f t="shared" si="30"/>
        <v>2.2114577142313279E-2</v>
      </c>
      <c r="F658" s="9">
        <f t="shared" si="28"/>
        <v>-2.665025523215046E-2</v>
      </c>
      <c r="G658" s="9">
        <f t="shared" si="29"/>
        <v>1.0817749345014758E-2</v>
      </c>
    </row>
    <row r="659" spans="1:7" x14ac:dyDescent="0.2">
      <c r="A659" s="12">
        <v>38100</v>
      </c>
      <c r="B659" s="9">
        <v>1668.41</v>
      </c>
      <c r="C659" s="9">
        <v>1650.59</v>
      </c>
      <c r="D659" s="9">
        <v>1650.61</v>
      </c>
      <c r="E659" s="9">
        <f t="shared" si="30"/>
        <v>-1.3319531426531177E-3</v>
      </c>
      <c r="F659" s="9">
        <f t="shared" si="28"/>
        <v>-2.009825562760335E-2</v>
      </c>
      <c r="G659" s="9">
        <f t="shared" si="29"/>
        <v>1.0737486041522987E-2</v>
      </c>
    </row>
    <row r="660" spans="1:7" x14ac:dyDescent="0.2">
      <c r="A660" s="12">
        <v>38103</v>
      </c>
      <c r="B660" s="9">
        <v>1673.21</v>
      </c>
      <c r="C660" s="9">
        <v>1650.23</v>
      </c>
      <c r="D660" s="9">
        <v>1666.51</v>
      </c>
      <c r="E660" s="9">
        <f t="shared" si="30"/>
        <v>9.5867027866142034E-3</v>
      </c>
      <c r="F660" s="9">
        <f t="shared" si="28"/>
        <v>7.934135029052344E-3</v>
      </c>
      <c r="G660" s="9">
        <f t="shared" si="29"/>
        <v>1.0349983125543652E-2</v>
      </c>
    </row>
    <row r="661" spans="1:7" x14ac:dyDescent="0.2">
      <c r="A661" s="12">
        <v>38104</v>
      </c>
      <c r="B661" s="9">
        <v>1678.42</v>
      </c>
      <c r="C661" s="9">
        <v>1663.03</v>
      </c>
      <c r="D661" s="9">
        <v>1667.3</v>
      </c>
      <c r="E661" s="9">
        <f t="shared" si="30"/>
        <v>4.7393223656241401E-4</v>
      </c>
      <c r="F661" s="9">
        <f t="shared" si="28"/>
        <v>1.2547655279218197E-2</v>
      </c>
      <c r="G661" s="9">
        <f t="shared" si="29"/>
        <v>1.031651007099456E-2</v>
      </c>
    </row>
    <row r="662" spans="1:7" x14ac:dyDescent="0.2">
      <c r="A662" s="12">
        <v>38105</v>
      </c>
      <c r="B662" s="9">
        <v>1668.69</v>
      </c>
      <c r="C662" s="9">
        <v>1639.34</v>
      </c>
      <c r="D662" s="9">
        <v>1641.07</v>
      </c>
      <c r="E662" s="9">
        <f t="shared" si="30"/>
        <v>-1.585708346958838E-2</v>
      </c>
      <c r="F662" s="9">
        <f t="shared" si="28"/>
        <v>9.3853713737084982E-3</v>
      </c>
      <c r="G662" s="9">
        <f t="shared" si="29"/>
        <v>1.047012520108454E-2</v>
      </c>
    </row>
    <row r="663" spans="1:7" x14ac:dyDescent="0.2">
      <c r="A663" s="12">
        <v>38106</v>
      </c>
      <c r="B663" s="9">
        <v>1641.07</v>
      </c>
      <c r="C663" s="9">
        <v>1603.44</v>
      </c>
      <c r="D663" s="9">
        <v>1609.37</v>
      </c>
      <c r="E663" s="9">
        <f t="shared" si="30"/>
        <v>-1.9505670045666484E-2</v>
      </c>
      <c r="F663" s="9">
        <f t="shared" si="28"/>
        <v>-4.2534786350672182E-3</v>
      </c>
      <c r="G663" s="9">
        <f t="shared" si="29"/>
        <v>1.1028906877546912E-2</v>
      </c>
    </row>
    <row r="664" spans="1:7" x14ac:dyDescent="0.2">
      <c r="A664" s="12">
        <v>38107</v>
      </c>
      <c r="B664" s="9">
        <v>1610.67</v>
      </c>
      <c r="C664" s="9">
        <v>1586.46</v>
      </c>
      <c r="D664" s="9">
        <v>1601.09</v>
      </c>
      <c r="E664" s="9">
        <f t="shared" si="30"/>
        <v>-5.1581507687310894E-3</v>
      </c>
      <c r="F664" s="9">
        <f t="shared" si="28"/>
        <v>-2.1104935267302463E-2</v>
      </c>
      <c r="G664" s="9">
        <f t="shared" si="29"/>
        <v>1.0832734126103664E-2</v>
      </c>
    </row>
    <row r="665" spans="1:7" x14ac:dyDescent="0.2">
      <c r="A665" s="12">
        <v>38110</v>
      </c>
      <c r="B665" s="9">
        <v>1601.09</v>
      </c>
      <c r="C665" s="9">
        <v>1588.19</v>
      </c>
      <c r="D665" s="9">
        <v>1594.9</v>
      </c>
      <c r="E665" s="9">
        <f t="shared" si="30"/>
        <v>-3.8736089537187738E-3</v>
      </c>
      <c r="F665" s="9">
        <f t="shared" si="28"/>
        <v>-1.1954096567736845E-2</v>
      </c>
      <c r="G665" s="9">
        <f t="shared" si="29"/>
        <v>1.0600176103516656E-2</v>
      </c>
    </row>
    <row r="666" spans="1:7" x14ac:dyDescent="0.2">
      <c r="A666" s="12">
        <v>38111</v>
      </c>
      <c r="B666" s="9">
        <v>1597.99</v>
      </c>
      <c r="C666" s="9">
        <v>1577.73</v>
      </c>
      <c r="D666" s="9">
        <v>1584.35</v>
      </c>
      <c r="E666" s="9">
        <f t="shared" si="30"/>
        <v>-6.6368097663538957E-3</v>
      </c>
      <c r="F666" s="9">
        <f t="shared" si="28"/>
        <v>-1.0254310378598495E-2</v>
      </c>
      <c r="G666" s="9">
        <f t="shared" si="29"/>
        <v>1.0560751996481927E-2</v>
      </c>
    </row>
    <row r="667" spans="1:7" x14ac:dyDescent="0.2">
      <c r="A667" s="12">
        <v>38112</v>
      </c>
      <c r="B667" s="9">
        <v>1598.32</v>
      </c>
      <c r="C667" s="9">
        <v>1579.64</v>
      </c>
      <c r="D667" s="9">
        <v>1595.9</v>
      </c>
      <c r="E667" s="9">
        <f t="shared" si="30"/>
        <v>7.2636118427862788E-3</v>
      </c>
      <c r="F667" s="9">
        <f t="shared" si="28"/>
        <v>9.8611061853956308E-3</v>
      </c>
      <c r="G667" s="9">
        <f t="shared" si="29"/>
        <v>1.0376049710896194E-2</v>
      </c>
    </row>
    <row r="668" spans="1:7" x14ac:dyDescent="0.2">
      <c r="A668" s="12">
        <v>38113</v>
      </c>
      <c r="B668" s="9">
        <v>1599.3</v>
      </c>
      <c r="C668" s="9">
        <v>1573.93</v>
      </c>
      <c r="D668" s="9">
        <v>1574.9</v>
      </c>
      <c r="E668" s="9">
        <f t="shared" si="30"/>
        <v>-1.3246062224605759E-2</v>
      </c>
      <c r="F668" s="9">
        <f t="shared" si="28"/>
        <v>-1.0548021372238458E-2</v>
      </c>
      <c r="G668" s="9">
        <f t="shared" si="29"/>
        <v>1.0579569068626398E-2</v>
      </c>
    </row>
    <row r="669" spans="1:7" x14ac:dyDescent="0.2">
      <c r="A669" s="12">
        <v>38114</v>
      </c>
      <c r="B669" s="9">
        <v>1580.74</v>
      </c>
      <c r="C669" s="9">
        <v>1568.62</v>
      </c>
      <c r="D669" s="9">
        <v>1577.47</v>
      </c>
      <c r="E669" s="9">
        <f t="shared" si="30"/>
        <v>1.6305196213529866E-3</v>
      </c>
      <c r="F669" s="9">
        <f t="shared" si="28"/>
        <v>-1.2730279158669887E-2</v>
      </c>
      <c r="G669" s="9">
        <f t="shared" si="29"/>
        <v>1.0557427819756927E-2</v>
      </c>
    </row>
    <row r="670" spans="1:7" x14ac:dyDescent="0.2">
      <c r="A670" s="12">
        <v>38117</v>
      </c>
      <c r="B670" s="9">
        <v>1577.75</v>
      </c>
      <c r="C670" s="9">
        <v>1526.98</v>
      </c>
      <c r="D670" s="9">
        <v>1534.57</v>
      </c>
      <c r="E670" s="9">
        <f t="shared" si="30"/>
        <v>-2.7572086317569775E-2</v>
      </c>
      <c r="F670" s="9">
        <f t="shared" si="28"/>
        <v>-4.5222393882299219E-2</v>
      </c>
      <c r="G670" s="9">
        <f t="shared" si="29"/>
        <v>1.1604941898064445E-2</v>
      </c>
    </row>
    <row r="671" spans="1:7" x14ac:dyDescent="0.2">
      <c r="A671" s="12">
        <v>38118</v>
      </c>
      <c r="B671" s="9">
        <v>1562.07</v>
      </c>
      <c r="C671" s="9">
        <v>1534.57</v>
      </c>
      <c r="D671" s="9">
        <v>1560.88</v>
      </c>
      <c r="E671" s="9">
        <f t="shared" si="30"/>
        <v>1.699955327732516E-2</v>
      </c>
      <c r="F671" s="9">
        <f t="shared" si="28"/>
        <v>-2.2150478596114371E-2</v>
      </c>
      <c r="G671" s="9">
        <f t="shared" si="29"/>
        <v>1.2048023000993665E-2</v>
      </c>
    </row>
    <row r="672" spans="1:7" x14ac:dyDescent="0.2">
      <c r="A672" s="12">
        <v>38119</v>
      </c>
      <c r="B672" s="9">
        <v>1567.08</v>
      </c>
      <c r="C672" s="9">
        <v>1539.95</v>
      </c>
      <c r="D672" s="9">
        <v>1542.49</v>
      </c>
      <c r="E672" s="9">
        <f t="shared" si="30"/>
        <v>-1.185177098528689E-2</v>
      </c>
      <c r="F672" s="9">
        <f t="shared" si="28"/>
        <v>-4.1723765450432812E-2</v>
      </c>
      <c r="G672" s="9">
        <f t="shared" si="29"/>
        <v>1.2103945296106212E-2</v>
      </c>
    </row>
    <row r="673" spans="1:7" x14ac:dyDescent="0.2">
      <c r="A673" s="12">
        <v>38120</v>
      </c>
      <c r="B673" s="9">
        <v>1552.5</v>
      </c>
      <c r="C673" s="9">
        <v>1537.22</v>
      </c>
      <c r="D673" s="9">
        <v>1544.89</v>
      </c>
      <c r="E673" s="9">
        <f t="shared" si="30"/>
        <v>1.5547166098302532E-3</v>
      </c>
      <c r="F673" s="9">
        <f t="shared" ref="F673:F736" si="31">LN(D673/D643)</f>
        <v>-3.9472379761325907E-2</v>
      </c>
      <c r="G673" s="9">
        <f t="shared" ref="G673:G736" si="32">STDEV(E644:E673)</f>
        <v>1.2115371423917786E-2</v>
      </c>
    </row>
    <row r="674" spans="1:7" x14ac:dyDescent="0.2">
      <c r="A674" s="12">
        <v>38121</v>
      </c>
      <c r="B674" s="9">
        <v>1551.36</v>
      </c>
      <c r="C674" s="9">
        <v>1530.03</v>
      </c>
      <c r="D674" s="9">
        <v>1530.89</v>
      </c>
      <c r="E674" s="9">
        <f t="shared" si="30"/>
        <v>-9.1034447747829726E-3</v>
      </c>
      <c r="F674" s="9">
        <f t="shared" si="31"/>
        <v>-5.506957535697439E-2</v>
      </c>
      <c r="G674" s="9">
        <f t="shared" si="32"/>
        <v>1.2103341581368492E-2</v>
      </c>
    </row>
    <row r="675" spans="1:7" x14ac:dyDescent="0.2">
      <c r="A675" s="12">
        <v>38124</v>
      </c>
      <c r="B675" s="9">
        <v>1531.27</v>
      </c>
      <c r="C675" s="9">
        <v>1499.74</v>
      </c>
      <c r="D675" s="9">
        <v>1510.11</v>
      </c>
      <c r="E675" s="9">
        <f t="shared" si="30"/>
        <v>-1.3666769773578108E-2</v>
      </c>
      <c r="F675" s="9">
        <f t="shared" si="31"/>
        <v>-7.6900459951620134E-2</v>
      </c>
      <c r="G675" s="9">
        <f t="shared" si="32"/>
        <v>1.2137614921974297E-2</v>
      </c>
    </row>
    <row r="676" spans="1:7" x14ac:dyDescent="0.2">
      <c r="A676" s="12">
        <v>38125</v>
      </c>
      <c r="B676" s="9">
        <v>1527.73</v>
      </c>
      <c r="C676" s="9">
        <v>1510.11</v>
      </c>
      <c r="D676" s="9">
        <v>1522.78</v>
      </c>
      <c r="E676" s="9">
        <f t="shared" si="30"/>
        <v>8.3551158831917782E-3</v>
      </c>
      <c r="F676" s="9">
        <f t="shared" si="31"/>
        <v>-9.160314685806864E-2</v>
      </c>
      <c r="G676" s="9">
        <f t="shared" si="32"/>
        <v>1.1337902586317316E-2</v>
      </c>
    </row>
    <row r="677" spans="1:7" x14ac:dyDescent="0.2">
      <c r="A677" s="12">
        <v>38126</v>
      </c>
      <c r="B677" s="9">
        <v>1550.56</v>
      </c>
      <c r="C677" s="9">
        <v>1522.78</v>
      </c>
      <c r="D677" s="9">
        <v>1546.46</v>
      </c>
      <c r="E677" s="9">
        <f t="shared" si="30"/>
        <v>1.5430836213478969E-2</v>
      </c>
      <c r="F677" s="9">
        <f t="shared" si="31"/>
        <v>-7.8536399163015608E-2</v>
      </c>
      <c r="G677" s="9">
        <f t="shared" si="32"/>
        <v>1.1794973348406563E-2</v>
      </c>
    </row>
    <row r="678" spans="1:7" x14ac:dyDescent="0.2">
      <c r="A678" s="12">
        <v>38128</v>
      </c>
      <c r="B678" s="9">
        <v>1546.67</v>
      </c>
      <c r="C678" s="9">
        <v>1534.4</v>
      </c>
      <c r="D678" s="9">
        <v>1540.82</v>
      </c>
      <c r="E678" s="9">
        <f t="shared" si="30"/>
        <v>-3.6537057048886723E-3</v>
      </c>
      <c r="F678" s="9">
        <f t="shared" si="31"/>
        <v>-6.4349074837424358E-2</v>
      </c>
      <c r="G678" s="9">
        <f t="shared" si="32"/>
        <v>1.1442720605178503E-2</v>
      </c>
    </row>
    <row r="679" spans="1:7" x14ac:dyDescent="0.2">
      <c r="A679" s="12">
        <v>38131</v>
      </c>
      <c r="B679" s="9">
        <v>1556.83</v>
      </c>
      <c r="C679" s="9">
        <v>1540.54</v>
      </c>
      <c r="D679" s="9">
        <v>1554.41</v>
      </c>
      <c r="E679" s="9">
        <f t="shared" si="30"/>
        <v>8.781310163417674E-3</v>
      </c>
      <c r="F679" s="9">
        <f t="shared" si="31"/>
        <v>-5.0876972638828628E-2</v>
      </c>
      <c r="G679" s="9">
        <f t="shared" si="32"/>
        <v>1.160260410492144E-2</v>
      </c>
    </row>
    <row r="680" spans="1:7" x14ac:dyDescent="0.2">
      <c r="A680" s="12">
        <v>38132</v>
      </c>
      <c r="B680" s="9">
        <v>1555.23</v>
      </c>
      <c r="C680" s="9">
        <v>1528.5</v>
      </c>
      <c r="D680" s="9">
        <v>1531.69</v>
      </c>
      <c r="E680" s="9">
        <f t="shared" si="30"/>
        <v>-1.4724351437437536E-2</v>
      </c>
      <c r="F680" s="9">
        <f t="shared" si="31"/>
        <v>-6.2122420585947531E-2</v>
      </c>
      <c r="G680" s="9">
        <f t="shared" si="32"/>
        <v>1.1841391996055784E-2</v>
      </c>
    </row>
    <row r="681" spans="1:7" x14ac:dyDescent="0.2">
      <c r="A681" s="12">
        <v>38133</v>
      </c>
      <c r="B681" s="9">
        <v>1551.08</v>
      </c>
      <c r="C681" s="9">
        <v>1530.65</v>
      </c>
      <c r="D681" s="9">
        <v>1537.4</v>
      </c>
      <c r="E681" s="9">
        <f t="shared" si="30"/>
        <v>3.7209769594436634E-3</v>
      </c>
      <c r="F681" s="9">
        <f t="shared" si="31"/>
        <v>-6.626681408178714E-2</v>
      </c>
      <c r="G681" s="9">
        <f t="shared" si="32"/>
        <v>1.1745260919412786E-2</v>
      </c>
    </row>
    <row r="682" spans="1:7" x14ac:dyDescent="0.2">
      <c r="A682" s="12">
        <v>38134</v>
      </c>
      <c r="B682" s="9">
        <v>1552.34</v>
      </c>
      <c r="C682" s="9">
        <v>1537.32</v>
      </c>
      <c r="D682" s="9">
        <v>1551.53</v>
      </c>
      <c r="E682" s="9">
        <f t="shared" si="30"/>
        <v>9.1488629127920006E-3</v>
      </c>
      <c r="F682" s="9">
        <f t="shared" si="31"/>
        <v>-4.8030870966422182E-2</v>
      </c>
      <c r="G682" s="9">
        <f t="shared" si="32"/>
        <v>1.1848450604321638E-2</v>
      </c>
    </row>
    <row r="683" spans="1:7" x14ac:dyDescent="0.2">
      <c r="A683" s="12">
        <v>38135</v>
      </c>
      <c r="B683" s="9">
        <v>1557.92</v>
      </c>
      <c r="C683" s="9">
        <v>1543.85</v>
      </c>
      <c r="D683" s="9">
        <v>1556.64</v>
      </c>
      <c r="E683" s="9">
        <f t="shared" si="30"/>
        <v>3.2881113992939367E-3</v>
      </c>
      <c r="F683" s="9">
        <f t="shared" si="31"/>
        <v>-3.8512824115971289E-2</v>
      </c>
      <c r="G683" s="9">
        <f t="shared" si="32"/>
        <v>1.1847660638621856E-2</v>
      </c>
    </row>
    <row r="684" spans="1:7" x14ac:dyDescent="0.2">
      <c r="A684" s="12">
        <v>38138</v>
      </c>
      <c r="B684" s="9">
        <v>1560.44</v>
      </c>
      <c r="C684" s="9">
        <v>1549.95</v>
      </c>
      <c r="D684" s="9">
        <v>1551.55</v>
      </c>
      <c r="E684" s="9">
        <f t="shared" si="30"/>
        <v>-3.2752209807417553E-3</v>
      </c>
      <c r="F684" s="9">
        <f t="shared" si="31"/>
        <v>-3.3158792575295165E-2</v>
      </c>
      <c r="G684" s="9">
        <f t="shared" si="32"/>
        <v>1.1773287940404735E-2</v>
      </c>
    </row>
    <row r="685" spans="1:7" x14ac:dyDescent="0.2">
      <c r="A685" s="12">
        <v>38139</v>
      </c>
      <c r="B685" s="9">
        <v>1555.09</v>
      </c>
      <c r="C685" s="9">
        <v>1543.95</v>
      </c>
      <c r="D685" s="9">
        <v>1552.84</v>
      </c>
      <c r="E685" s="9">
        <f t="shared" si="30"/>
        <v>8.3108119421186003E-4</v>
      </c>
      <c r="F685" s="9">
        <f t="shared" si="31"/>
        <v>-3.7334298801854099E-2</v>
      </c>
      <c r="G685" s="9">
        <f t="shared" si="32"/>
        <v>1.1723116360990595E-2</v>
      </c>
    </row>
    <row r="686" spans="1:7" x14ac:dyDescent="0.2">
      <c r="A686" s="12">
        <v>38140</v>
      </c>
      <c r="B686" s="9">
        <v>1565.13</v>
      </c>
      <c r="C686" s="9">
        <v>1551.09</v>
      </c>
      <c r="D686" s="9">
        <v>1559.27</v>
      </c>
      <c r="E686" s="9">
        <f t="shared" si="30"/>
        <v>4.1322505628764682E-3</v>
      </c>
      <c r="F686" s="9">
        <f t="shared" si="31"/>
        <v>-4.6911147839356807E-2</v>
      </c>
      <c r="G686" s="9">
        <f t="shared" si="32"/>
        <v>1.1428570989845767E-2</v>
      </c>
    </row>
    <row r="687" spans="1:7" x14ac:dyDescent="0.2">
      <c r="A687" s="12">
        <v>38141</v>
      </c>
      <c r="B687" s="9">
        <v>1566.43</v>
      </c>
      <c r="C687" s="9">
        <v>1551.91</v>
      </c>
      <c r="D687" s="9">
        <v>1564.56</v>
      </c>
      <c r="E687" s="9">
        <f t="shared" si="30"/>
        <v>3.3868712809293259E-3</v>
      </c>
      <c r="F687" s="9">
        <f t="shared" si="31"/>
        <v>-3.2757658259182941E-2</v>
      </c>
      <c r="G687" s="9">
        <f t="shared" si="32"/>
        <v>1.1327251281043317E-2</v>
      </c>
    </row>
    <row r="688" spans="1:7" x14ac:dyDescent="0.2">
      <c r="A688" s="12">
        <v>38142</v>
      </c>
      <c r="B688" s="9">
        <v>1581.67</v>
      </c>
      <c r="C688" s="9">
        <v>1564.43</v>
      </c>
      <c r="D688" s="9">
        <v>1579.1</v>
      </c>
      <c r="E688" s="9">
        <f t="shared" si="30"/>
        <v>9.2504301882038002E-3</v>
      </c>
      <c r="F688" s="9">
        <f t="shared" si="31"/>
        <v>-4.5621805213292357E-2</v>
      </c>
      <c r="G688" s="9">
        <f t="shared" si="32"/>
        <v>1.0641166750489641E-2</v>
      </c>
    </row>
    <row r="689" spans="1:7" x14ac:dyDescent="0.2">
      <c r="A689" s="12">
        <v>38145</v>
      </c>
      <c r="B689" s="9">
        <v>1595.77</v>
      </c>
      <c r="C689" s="9">
        <v>1579.1</v>
      </c>
      <c r="D689" s="9">
        <v>1595.16</v>
      </c>
      <c r="E689" s="9">
        <f t="shared" si="30"/>
        <v>1.0118980194910679E-2</v>
      </c>
      <c r="F689" s="9">
        <f t="shared" si="31"/>
        <v>-3.4170871875728537E-2</v>
      </c>
      <c r="G689" s="9">
        <f t="shared" si="32"/>
        <v>1.0851465518521074E-2</v>
      </c>
    </row>
    <row r="690" spans="1:7" x14ac:dyDescent="0.2">
      <c r="A690" s="12">
        <v>38146</v>
      </c>
      <c r="B690" s="9">
        <v>1601.32</v>
      </c>
      <c r="C690" s="9">
        <v>1589.43</v>
      </c>
      <c r="D690" s="9">
        <v>1595.15</v>
      </c>
      <c r="E690" s="9">
        <f t="shared" si="30"/>
        <v>-6.2689832649205731E-6</v>
      </c>
      <c r="F690" s="9">
        <f t="shared" si="31"/>
        <v>-4.3763843645607668E-2</v>
      </c>
      <c r="G690" s="9">
        <f t="shared" si="32"/>
        <v>1.0664231435533793E-2</v>
      </c>
    </row>
    <row r="691" spans="1:7" x14ac:dyDescent="0.2">
      <c r="A691" s="12">
        <v>38147</v>
      </c>
      <c r="B691" s="9">
        <v>1605.95</v>
      </c>
      <c r="C691" s="9">
        <v>1592.01</v>
      </c>
      <c r="D691" s="9">
        <v>1595.92</v>
      </c>
      <c r="E691" s="9">
        <f t="shared" si="30"/>
        <v>4.8259675591214761E-4</v>
      </c>
      <c r="F691" s="9">
        <f t="shared" si="31"/>
        <v>-4.3755179126257794E-2</v>
      </c>
      <c r="G691" s="9">
        <f t="shared" si="32"/>
        <v>1.0664285701350813E-2</v>
      </c>
    </row>
    <row r="692" spans="1:7" x14ac:dyDescent="0.2">
      <c r="A692" s="12">
        <v>38148</v>
      </c>
      <c r="B692" s="9">
        <v>1599.14</v>
      </c>
      <c r="C692" s="9">
        <v>1591.18</v>
      </c>
      <c r="D692" s="9">
        <v>1594.61</v>
      </c>
      <c r="E692" s="9">
        <f t="shared" si="30"/>
        <v>-8.2118022624162301E-4</v>
      </c>
      <c r="F692" s="9">
        <f t="shared" si="31"/>
        <v>-2.8719275882911014E-2</v>
      </c>
      <c r="G692" s="9">
        <f t="shared" si="32"/>
        <v>1.0311750746011025E-2</v>
      </c>
    </row>
    <row r="693" spans="1:7" x14ac:dyDescent="0.2">
      <c r="A693" s="12">
        <v>38149</v>
      </c>
      <c r="B693" s="9">
        <v>1602.43</v>
      </c>
      <c r="C693" s="9">
        <v>1594.61</v>
      </c>
      <c r="D693" s="9">
        <v>1598.52</v>
      </c>
      <c r="E693" s="9">
        <f t="shared" si="30"/>
        <v>2.4490089374579658E-3</v>
      </c>
      <c r="F693" s="9">
        <f t="shared" si="31"/>
        <v>-6.7645968997865355E-3</v>
      </c>
      <c r="G693" s="9">
        <f t="shared" si="32"/>
        <v>9.7115790861218593E-3</v>
      </c>
    </row>
    <row r="694" spans="1:7" x14ac:dyDescent="0.2">
      <c r="A694" s="12">
        <v>38152</v>
      </c>
      <c r="B694" s="9">
        <v>1599.59</v>
      </c>
      <c r="C694" s="9">
        <v>1580.16</v>
      </c>
      <c r="D694" s="9">
        <v>1584.09</v>
      </c>
      <c r="E694" s="9">
        <f t="shared" si="30"/>
        <v>-9.0680912092742268E-3</v>
      </c>
      <c r="F694" s="9">
        <f t="shared" si="31"/>
        <v>-1.0674537340329655E-2</v>
      </c>
      <c r="G694" s="9">
        <f t="shared" si="32"/>
        <v>9.8058377668557781E-3</v>
      </c>
    </row>
    <row r="695" spans="1:7" x14ac:dyDescent="0.2">
      <c r="A695" s="12">
        <v>38153</v>
      </c>
      <c r="B695" s="9">
        <v>1589.33</v>
      </c>
      <c r="C695" s="9">
        <v>1577.22</v>
      </c>
      <c r="D695" s="9">
        <v>1586.06</v>
      </c>
      <c r="E695" s="9">
        <f t="shared" si="30"/>
        <v>1.2428435585583033E-3</v>
      </c>
      <c r="F695" s="9">
        <f t="shared" si="31"/>
        <v>-5.5580848280526261E-3</v>
      </c>
      <c r="G695" s="9">
        <f t="shared" si="32"/>
        <v>9.7870206744610048E-3</v>
      </c>
    </row>
    <row r="696" spans="1:7" x14ac:dyDescent="0.2">
      <c r="A696" s="12">
        <v>38154</v>
      </c>
      <c r="B696" s="9">
        <v>1589.33</v>
      </c>
      <c r="C696" s="9">
        <v>1579.08</v>
      </c>
      <c r="D696" s="9">
        <v>1580.62</v>
      </c>
      <c r="E696" s="9">
        <f t="shared" si="30"/>
        <v>-3.435778387083956E-3</v>
      </c>
      <c r="F696" s="9">
        <f t="shared" si="31"/>
        <v>-2.3570534487826716E-3</v>
      </c>
      <c r="G696" s="9">
        <f t="shared" si="32"/>
        <v>9.7315507492489912E-3</v>
      </c>
    </row>
    <row r="697" spans="1:7" x14ac:dyDescent="0.2">
      <c r="A697" s="12">
        <v>38155</v>
      </c>
      <c r="B697" s="9">
        <v>1582.82</v>
      </c>
      <c r="C697" s="9">
        <v>1573.93</v>
      </c>
      <c r="D697" s="9">
        <v>1578.63</v>
      </c>
      <c r="E697" s="9">
        <f t="shared" si="30"/>
        <v>-1.2597928389270498E-3</v>
      </c>
      <c r="F697" s="9">
        <f t="shared" si="31"/>
        <v>-1.0880458130496009E-2</v>
      </c>
      <c r="G697" s="9">
        <f t="shared" si="32"/>
        <v>9.6337327333657543E-3</v>
      </c>
    </row>
    <row r="698" spans="1:7" x14ac:dyDescent="0.2">
      <c r="A698" s="12">
        <v>38156</v>
      </c>
      <c r="B698" s="9">
        <v>1588.53</v>
      </c>
      <c r="C698" s="9">
        <v>1575.04</v>
      </c>
      <c r="D698" s="9">
        <v>1585.73</v>
      </c>
      <c r="E698" s="9">
        <f t="shared" si="30"/>
        <v>4.4874868312745394E-3</v>
      </c>
      <c r="F698" s="9">
        <f t="shared" si="31"/>
        <v>6.8530909253842484E-3</v>
      </c>
      <c r="G698" s="9">
        <f t="shared" si="32"/>
        <v>9.3560148623405108E-3</v>
      </c>
    </row>
    <row r="699" spans="1:7" x14ac:dyDescent="0.2">
      <c r="A699" s="12">
        <v>38159</v>
      </c>
      <c r="B699" s="9">
        <v>1592.74</v>
      </c>
      <c r="C699" s="9">
        <v>1585.4</v>
      </c>
      <c r="D699" s="9">
        <v>1590.5</v>
      </c>
      <c r="E699" s="9">
        <f t="shared" si="30"/>
        <v>3.0035630832794123E-3</v>
      </c>
      <c r="F699" s="9">
        <f t="shared" si="31"/>
        <v>8.226134387310912E-3</v>
      </c>
      <c r="G699" s="9">
        <f t="shared" si="32"/>
        <v>9.3664626566629106E-3</v>
      </c>
    </row>
    <row r="700" spans="1:7" x14ac:dyDescent="0.2">
      <c r="A700" s="12">
        <v>38160</v>
      </c>
      <c r="B700" s="9">
        <v>1590.88</v>
      </c>
      <c r="C700" s="9">
        <v>1582.24</v>
      </c>
      <c r="D700" s="9">
        <v>1583.39</v>
      </c>
      <c r="E700" s="9">
        <f t="shared" si="30"/>
        <v>-4.4803139953652101E-3</v>
      </c>
      <c r="F700" s="9">
        <f t="shared" si="31"/>
        <v>3.1317906709515293E-2</v>
      </c>
      <c r="G700" s="9">
        <f t="shared" si="32"/>
        <v>7.8204049224862866E-3</v>
      </c>
    </row>
    <row r="701" spans="1:7" x14ac:dyDescent="0.2">
      <c r="A701" s="12">
        <v>38161</v>
      </c>
      <c r="B701" s="9">
        <v>1595.13</v>
      </c>
      <c r="C701" s="9">
        <v>1583.39</v>
      </c>
      <c r="D701" s="9">
        <v>1593.13</v>
      </c>
      <c r="E701" s="9">
        <f t="shared" si="30"/>
        <v>6.1325164173019987E-3</v>
      </c>
      <c r="F701" s="9">
        <f t="shared" si="31"/>
        <v>2.0450869849492185E-2</v>
      </c>
      <c r="G701" s="9">
        <f t="shared" si="32"/>
        <v>7.2895263728642379E-3</v>
      </c>
    </row>
    <row r="702" spans="1:7" x14ac:dyDescent="0.2">
      <c r="A702" s="12">
        <v>38162</v>
      </c>
      <c r="B702" s="9">
        <v>1611.1</v>
      </c>
      <c r="C702" s="9">
        <v>1593.13</v>
      </c>
      <c r="D702" s="9">
        <v>1609.22</v>
      </c>
      <c r="E702" s="9">
        <f t="shared" si="30"/>
        <v>1.0048954923182505E-2</v>
      </c>
      <c r="F702" s="9">
        <f t="shared" si="31"/>
        <v>4.2351595757961498E-2</v>
      </c>
      <c r="G702" s="9">
        <f t="shared" si="32"/>
        <v>7.0848267871625459E-3</v>
      </c>
    </row>
    <row r="703" spans="1:7" x14ac:dyDescent="0.2">
      <c r="A703" s="12">
        <v>38166</v>
      </c>
      <c r="B703" s="9">
        <v>1620.53</v>
      </c>
      <c r="C703" s="9">
        <v>1604.22</v>
      </c>
      <c r="D703" s="9">
        <v>1618.86</v>
      </c>
      <c r="E703" s="9">
        <f t="shared" si="30"/>
        <v>5.9726082727376111E-3</v>
      </c>
      <c r="F703" s="9">
        <f t="shared" si="31"/>
        <v>4.6769487420868998E-2</v>
      </c>
      <c r="G703" s="9">
        <f t="shared" si="32"/>
        <v>7.1336478320250304E-3</v>
      </c>
    </row>
    <row r="704" spans="1:7" x14ac:dyDescent="0.2">
      <c r="A704" s="12">
        <v>38167</v>
      </c>
      <c r="B704" s="9">
        <v>1625.91</v>
      </c>
      <c r="C704" s="9">
        <v>1609.08</v>
      </c>
      <c r="D704" s="9">
        <v>1625.28</v>
      </c>
      <c r="E704" s="9">
        <f t="shared" si="30"/>
        <v>3.9579108058245141E-3</v>
      </c>
      <c r="F704" s="9">
        <f t="shared" si="31"/>
        <v>5.9830843001476397E-2</v>
      </c>
      <c r="G704" s="9">
        <f t="shared" si="32"/>
        <v>6.8535414140447354E-3</v>
      </c>
    </row>
    <row r="705" spans="1:7" x14ac:dyDescent="0.2">
      <c r="A705" s="12">
        <v>38168</v>
      </c>
      <c r="B705" s="9">
        <v>1634.25</v>
      </c>
      <c r="C705" s="9">
        <v>1623.64</v>
      </c>
      <c r="D705" s="9">
        <v>1626.09</v>
      </c>
      <c r="E705" s="9">
        <f t="shared" si="30"/>
        <v>4.9825151659595006E-4</v>
      </c>
      <c r="F705" s="9">
        <f t="shared" si="31"/>
        <v>7.3995864291650434E-2</v>
      </c>
      <c r="G705" s="9">
        <f t="shared" si="32"/>
        <v>6.193542022556054E-3</v>
      </c>
    </row>
    <row r="706" spans="1:7" x14ac:dyDescent="0.2">
      <c r="A706" s="12">
        <v>38169</v>
      </c>
      <c r="B706" s="9">
        <v>1636.68</v>
      </c>
      <c r="C706" s="9">
        <v>1617.52</v>
      </c>
      <c r="D706" s="9">
        <v>1619.59</v>
      </c>
      <c r="E706" s="9">
        <f t="shared" si="30"/>
        <v>-4.0053293545719293E-3</v>
      </c>
      <c r="F706" s="9">
        <f t="shared" si="31"/>
        <v>6.1635419053886455E-2</v>
      </c>
      <c r="G706" s="9">
        <f t="shared" si="32"/>
        <v>6.1994319101923764E-3</v>
      </c>
    </row>
    <row r="707" spans="1:7" x14ac:dyDescent="0.2">
      <c r="A707" s="12">
        <v>38170</v>
      </c>
      <c r="B707" s="9">
        <v>1622.48</v>
      </c>
      <c r="C707" s="9">
        <v>1608.21</v>
      </c>
      <c r="D707" s="9">
        <v>1609.8</v>
      </c>
      <c r="E707" s="9">
        <f t="shared" si="30"/>
        <v>-6.063083115270566E-3</v>
      </c>
      <c r="F707" s="9">
        <f t="shared" si="31"/>
        <v>4.0141499725137086E-2</v>
      </c>
      <c r="G707" s="9">
        <f t="shared" si="32"/>
        <v>5.8313229437017555E-3</v>
      </c>
    </row>
    <row r="708" spans="1:7" x14ac:dyDescent="0.2">
      <c r="A708" s="12">
        <v>38173</v>
      </c>
      <c r="B708" s="9">
        <v>1616.14</v>
      </c>
      <c r="C708" s="9">
        <v>1607.47</v>
      </c>
      <c r="D708" s="9">
        <v>1614.04</v>
      </c>
      <c r="E708" s="9">
        <f t="shared" ref="E708:E771" si="33">LN(D708/D707)</f>
        <v>2.6304050106231926E-3</v>
      </c>
      <c r="F708" s="9">
        <f t="shared" si="31"/>
        <v>4.6425610440648989E-2</v>
      </c>
      <c r="G708" s="9">
        <f t="shared" si="32"/>
        <v>5.7582376153008964E-3</v>
      </c>
    </row>
    <row r="709" spans="1:7" x14ac:dyDescent="0.2">
      <c r="A709" s="12">
        <v>38174</v>
      </c>
      <c r="B709" s="9">
        <v>1616.48</v>
      </c>
      <c r="C709" s="9">
        <v>1596.57</v>
      </c>
      <c r="D709" s="9">
        <v>1602.75</v>
      </c>
      <c r="E709" s="9">
        <f t="shared" si="33"/>
        <v>-7.0194488028899622E-3</v>
      </c>
      <c r="F709" s="9">
        <f t="shared" si="31"/>
        <v>3.0624851474341266E-2</v>
      </c>
      <c r="G709" s="9">
        <f t="shared" si="32"/>
        <v>5.7962676014948191E-3</v>
      </c>
    </row>
    <row r="710" spans="1:7" x14ac:dyDescent="0.2">
      <c r="A710" s="12">
        <v>38175</v>
      </c>
      <c r="B710" s="9">
        <v>1610.14</v>
      </c>
      <c r="C710" s="9">
        <v>1596.42</v>
      </c>
      <c r="D710" s="9">
        <v>1602.06</v>
      </c>
      <c r="E710" s="9">
        <f t="shared" si="33"/>
        <v>-4.3060275689453011E-4</v>
      </c>
      <c r="F710" s="9">
        <f t="shared" si="31"/>
        <v>4.4918600154884233E-2</v>
      </c>
      <c r="G710" s="9">
        <f t="shared" si="32"/>
        <v>4.9885745835103875E-3</v>
      </c>
    </row>
    <row r="711" spans="1:7" x14ac:dyDescent="0.2">
      <c r="A711" s="12">
        <v>38176</v>
      </c>
      <c r="B711" s="9">
        <v>1613.15</v>
      </c>
      <c r="C711" s="9">
        <v>1599.63</v>
      </c>
      <c r="D711" s="9">
        <v>1611.35</v>
      </c>
      <c r="E711" s="9">
        <f t="shared" si="33"/>
        <v>5.782035832264029E-3</v>
      </c>
      <c r="F711" s="9">
        <f t="shared" si="31"/>
        <v>4.6979659027704478E-2</v>
      </c>
      <c r="G711" s="9">
        <f t="shared" si="32"/>
        <v>5.0342382670911529E-3</v>
      </c>
    </row>
    <row r="712" spans="1:7" x14ac:dyDescent="0.2">
      <c r="A712" s="12">
        <v>38177</v>
      </c>
      <c r="B712" s="9">
        <v>1612.69</v>
      </c>
      <c r="C712" s="9">
        <v>1598.3</v>
      </c>
      <c r="D712" s="9">
        <v>1610.4</v>
      </c>
      <c r="E712" s="9">
        <f t="shared" si="33"/>
        <v>-5.8974161715440469E-4</v>
      </c>
      <c r="F712" s="9">
        <f t="shared" si="31"/>
        <v>3.7241054497758018E-2</v>
      </c>
      <c r="G712" s="9">
        <f t="shared" si="32"/>
        <v>4.8385981736137782E-3</v>
      </c>
    </row>
    <row r="713" spans="1:7" x14ac:dyDescent="0.2">
      <c r="A713" s="12">
        <v>38180</v>
      </c>
      <c r="B713" s="9">
        <v>1612</v>
      </c>
      <c r="C713" s="9">
        <v>1593.68</v>
      </c>
      <c r="D713" s="9">
        <v>1599.03</v>
      </c>
      <c r="E713" s="9">
        <f t="shared" si="33"/>
        <v>-7.0853999415477226E-3</v>
      </c>
      <c r="F713" s="9">
        <f t="shared" si="31"/>
        <v>2.6867543156916415E-2</v>
      </c>
      <c r="G713" s="9">
        <f t="shared" si="32"/>
        <v>5.0531924387562073E-3</v>
      </c>
    </row>
    <row r="714" spans="1:7" x14ac:dyDescent="0.2">
      <c r="A714" s="12">
        <v>38181</v>
      </c>
      <c r="B714" s="9">
        <v>1603.14</v>
      </c>
      <c r="C714" s="9">
        <v>1593.08</v>
      </c>
      <c r="D714" s="9">
        <v>1595.98</v>
      </c>
      <c r="E714" s="9">
        <f t="shared" si="33"/>
        <v>-1.909227781118456E-3</v>
      </c>
      <c r="F714" s="9">
        <f t="shared" si="31"/>
        <v>2.8233536356539815E-2</v>
      </c>
      <c r="G714" s="9">
        <f t="shared" si="32"/>
        <v>5.0203620414414713E-3</v>
      </c>
    </row>
    <row r="715" spans="1:7" x14ac:dyDescent="0.2">
      <c r="A715" s="12">
        <v>38182</v>
      </c>
      <c r="B715" s="9">
        <v>1595.98</v>
      </c>
      <c r="C715" s="9">
        <v>1583.78</v>
      </c>
      <c r="D715" s="9">
        <v>1590.23</v>
      </c>
      <c r="E715" s="9">
        <f t="shared" si="33"/>
        <v>-3.6093077619817971E-3</v>
      </c>
      <c r="F715" s="9">
        <f t="shared" si="31"/>
        <v>2.3793147400346049E-2</v>
      </c>
      <c r="G715" s="9">
        <f t="shared" si="32"/>
        <v>5.0887097683526049E-3</v>
      </c>
    </row>
    <row r="716" spans="1:7" x14ac:dyDescent="0.2">
      <c r="A716" s="12">
        <v>38183</v>
      </c>
      <c r="B716" s="9">
        <v>1594.8</v>
      </c>
      <c r="C716" s="9">
        <v>1550.66</v>
      </c>
      <c r="D716" s="9">
        <v>1560.93</v>
      </c>
      <c r="E716" s="9">
        <f t="shared" si="33"/>
        <v>-1.8596862380308596E-2</v>
      </c>
      <c r="F716" s="9">
        <f t="shared" si="31"/>
        <v>1.0640344571610574E-3</v>
      </c>
      <c r="G716" s="9">
        <f t="shared" si="32"/>
        <v>6.1547698489048336E-3</v>
      </c>
    </row>
    <row r="717" spans="1:7" x14ac:dyDescent="0.2">
      <c r="A717" s="12">
        <v>38184</v>
      </c>
      <c r="B717" s="9">
        <v>1570.72</v>
      </c>
      <c r="C717" s="9">
        <v>1557.45</v>
      </c>
      <c r="D717" s="9">
        <v>1567.47</v>
      </c>
      <c r="E717" s="9">
        <f t="shared" si="33"/>
        <v>4.1810571073215312E-3</v>
      </c>
      <c r="F717" s="9">
        <f t="shared" si="31"/>
        <v>1.8582202835531469E-3</v>
      </c>
      <c r="G717" s="9">
        <f t="shared" si="32"/>
        <v>6.1713675506591889E-3</v>
      </c>
    </row>
    <row r="718" spans="1:7" x14ac:dyDescent="0.2">
      <c r="A718" s="12">
        <v>38187</v>
      </c>
      <c r="B718" s="9">
        <v>1568.12</v>
      </c>
      <c r="C718" s="9">
        <v>1549.73</v>
      </c>
      <c r="D718" s="9">
        <v>1550.01</v>
      </c>
      <c r="E718" s="9">
        <f t="shared" si="33"/>
        <v>-1.1201472062562669E-2</v>
      </c>
      <c r="F718" s="9">
        <f t="shared" si="31"/>
        <v>-1.8593681967213452E-2</v>
      </c>
      <c r="G718" s="9">
        <f t="shared" si="32"/>
        <v>6.2504647994531875E-3</v>
      </c>
    </row>
    <row r="719" spans="1:7" x14ac:dyDescent="0.2">
      <c r="A719" s="12">
        <v>38188</v>
      </c>
      <c r="B719" s="9">
        <v>1560.39</v>
      </c>
      <c r="C719" s="9">
        <v>1546.07</v>
      </c>
      <c r="D719" s="9">
        <v>1559.09</v>
      </c>
      <c r="E719" s="9">
        <f t="shared" si="33"/>
        <v>5.8409351997824209E-3</v>
      </c>
      <c r="F719" s="9">
        <f t="shared" si="31"/>
        <v>-2.2871726962341788E-2</v>
      </c>
      <c r="G719" s="9">
        <f t="shared" si="32"/>
        <v>6.0423526201056369E-3</v>
      </c>
    </row>
    <row r="720" spans="1:7" x14ac:dyDescent="0.2">
      <c r="A720" s="12">
        <v>38189</v>
      </c>
      <c r="B720" s="9">
        <v>1575.77</v>
      </c>
      <c r="C720" s="9">
        <v>1559.09</v>
      </c>
      <c r="D720" s="9">
        <v>1575.26</v>
      </c>
      <c r="E720" s="9">
        <f t="shared" si="33"/>
        <v>1.0318020295547351E-2</v>
      </c>
      <c r="F720" s="9">
        <f t="shared" si="31"/>
        <v>-1.2547437683529415E-2</v>
      </c>
      <c r="G720" s="9">
        <f t="shared" si="32"/>
        <v>6.3719251966290911E-3</v>
      </c>
    </row>
    <row r="721" spans="1:7" x14ac:dyDescent="0.2">
      <c r="A721" s="12">
        <v>38190</v>
      </c>
      <c r="B721" s="9">
        <v>1575.26</v>
      </c>
      <c r="C721" s="9">
        <v>1547.81</v>
      </c>
      <c r="D721" s="9">
        <v>1551.5</v>
      </c>
      <c r="E721" s="9">
        <f t="shared" si="33"/>
        <v>-1.5198133112278862E-2</v>
      </c>
      <c r="F721" s="9">
        <f t="shared" si="31"/>
        <v>-2.822816755172056E-2</v>
      </c>
      <c r="G721" s="9">
        <f t="shared" si="32"/>
        <v>6.9154469758662927E-3</v>
      </c>
    </row>
    <row r="722" spans="1:7" x14ac:dyDescent="0.2">
      <c r="A722" s="12">
        <v>38191</v>
      </c>
      <c r="B722" s="9">
        <v>1557.64</v>
      </c>
      <c r="C722" s="9">
        <v>1546.64</v>
      </c>
      <c r="D722" s="9">
        <v>1547.97</v>
      </c>
      <c r="E722" s="9">
        <f t="shared" si="33"/>
        <v>-2.277809771515359E-3</v>
      </c>
      <c r="F722" s="9">
        <f t="shared" si="31"/>
        <v>-2.9684797096994248E-2</v>
      </c>
      <c r="G722" s="9">
        <f t="shared" si="32"/>
        <v>6.9196894371304652E-3</v>
      </c>
    </row>
    <row r="723" spans="1:7" x14ac:dyDescent="0.2">
      <c r="A723" s="12">
        <v>38194</v>
      </c>
      <c r="B723" s="9">
        <v>1557.94</v>
      </c>
      <c r="C723" s="9">
        <v>1546.88</v>
      </c>
      <c r="D723" s="9">
        <v>1555.48</v>
      </c>
      <c r="E723" s="9">
        <f t="shared" si="33"/>
        <v>4.839784536055239E-3</v>
      </c>
      <c r="F723" s="9">
        <f t="shared" si="31"/>
        <v>-2.7294021498396895E-2</v>
      </c>
      <c r="G723" s="9">
        <f t="shared" si="32"/>
        <v>6.9742076808698809E-3</v>
      </c>
    </row>
    <row r="724" spans="1:7" x14ac:dyDescent="0.2">
      <c r="A724" s="12">
        <v>38195</v>
      </c>
      <c r="B724" s="9">
        <v>1570.58</v>
      </c>
      <c r="C724" s="9">
        <v>1553.75</v>
      </c>
      <c r="D724" s="9">
        <v>1567.95</v>
      </c>
      <c r="E724" s="9">
        <f t="shared" si="33"/>
        <v>7.9848539938510796E-3</v>
      </c>
      <c r="F724" s="9">
        <f t="shared" si="31"/>
        <v>-1.0241076295271679E-2</v>
      </c>
      <c r="G724" s="9">
        <f t="shared" si="32"/>
        <v>6.9812837417954762E-3</v>
      </c>
    </row>
    <row r="725" spans="1:7" x14ac:dyDescent="0.2">
      <c r="A725" s="12">
        <v>38196</v>
      </c>
      <c r="B725" s="9">
        <v>1594.62</v>
      </c>
      <c r="C725" s="9">
        <v>1567.95</v>
      </c>
      <c r="D725" s="9">
        <v>1585.46</v>
      </c>
      <c r="E725" s="9">
        <f t="shared" si="33"/>
        <v>1.1105552378828647E-2</v>
      </c>
      <c r="F725" s="9">
        <f t="shared" si="31"/>
        <v>-3.7836747500122282E-4</v>
      </c>
      <c r="G725" s="9">
        <f t="shared" si="32"/>
        <v>7.2841140502303081E-3</v>
      </c>
    </row>
    <row r="726" spans="1:7" x14ac:dyDescent="0.2">
      <c r="A726" s="12">
        <v>38197</v>
      </c>
      <c r="B726" s="9">
        <v>1601.99</v>
      </c>
      <c r="C726" s="9">
        <v>1584.91</v>
      </c>
      <c r="D726" s="9">
        <v>1601.13</v>
      </c>
      <c r="E726" s="9">
        <f t="shared" si="33"/>
        <v>9.8350439250479427E-3</v>
      </c>
      <c r="F726" s="9">
        <f t="shared" si="31"/>
        <v>1.2892454837130663E-2</v>
      </c>
      <c r="G726" s="9">
        <f t="shared" si="32"/>
        <v>7.4696604324239382E-3</v>
      </c>
    </row>
    <row r="727" spans="1:7" x14ac:dyDescent="0.2">
      <c r="A727" s="12">
        <v>38198</v>
      </c>
      <c r="B727" s="9">
        <v>1616.44</v>
      </c>
      <c r="C727" s="9">
        <v>1599.96</v>
      </c>
      <c r="D727" s="9">
        <v>1607.08</v>
      </c>
      <c r="E727" s="9">
        <f t="shared" si="33"/>
        <v>3.7092377505797479E-3</v>
      </c>
      <c r="F727" s="9">
        <f t="shared" si="31"/>
        <v>1.7861485426637545E-2</v>
      </c>
      <c r="G727" s="9">
        <f t="shared" si="32"/>
        <v>7.4859787096344405E-3</v>
      </c>
    </row>
    <row r="728" spans="1:7" x14ac:dyDescent="0.2">
      <c r="A728" s="12">
        <v>38201</v>
      </c>
      <c r="B728" s="9">
        <v>1614.67</v>
      </c>
      <c r="C728" s="9">
        <v>1602.65</v>
      </c>
      <c r="D728" s="9">
        <v>1612.02</v>
      </c>
      <c r="E728" s="9">
        <f t="shared" si="33"/>
        <v>3.0691832362165559E-3</v>
      </c>
      <c r="F728" s="9">
        <f t="shared" si="31"/>
        <v>1.6443181831579539E-2</v>
      </c>
      <c r="G728" s="9">
        <f t="shared" si="32"/>
        <v>7.4650001780689175E-3</v>
      </c>
    </row>
    <row r="729" spans="1:7" x14ac:dyDescent="0.2">
      <c r="A729" s="12">
        <v>38202</v>
      </c>
      <c r="B729" s="9">
        <v>1620.64</v>
      </c>
      <c r="C729" s="9">
        <v>1612.02</v>
      </c>
      <c r="D729" s="9">
        <v>1619.42</v>
      </c>
      <c r="E729" s="9">
        <f t="shared" si="33"/>
        <v>4.5800094914315572E-3</v>
      </c>
      <c r="F729" s="9">
        <f t="shared" si="31"/>
        <v>1.8019628239731737E-2</v>
      </c>
      <c r="G729" s="9">
        <f t="shared" si="32"/>
        <v>7.4883927163167949E-3</v>
      </c>
    </row>
    <row r="730" spans="1:7" x14ac:dyDescent="0.2">
      <c r="A730" s="12">
        <v>38203</v>
      </c>
      <c r="B730" s="9">
        <v>1619.98</v>
      </c>
      <c r="C730" s="9">
        <v>1603.54</v>
      </c>
      <c r="D730" s="9">
        <v>1610.04</v>
      </c>
      <c r="E730" s="9">
        <f t="shared" si="33"/>
        <v>-5.8090370385498972E-3</v>
      </c>
      <c r="F730" s="9">
        <f t="shared" si="31"/>
        <v>1.6690905196547146E-2</v>
      </c>
      <c r="G730" s="9">
        <f t="shared" si="32"/>
        <v>7.5233287587280978E-3</v>
      </c>
    </row>
    <row r="731" spans="1:7" x14ac:dyDescent="0.2">
      <c r="A731" s="12">
        <v>38204</v>
      </c>
      <c r="B731" s="9">
        <v>1615.33</v>
      </c>
      <c r="C731" s="9">
        <v>1604.12</v>
      </c>
      <c r="D731" s="9">
        <v>1609.85</v>
      </c>
      <c r="E731" s="9">
        <f t="shared" si="33"/>
        <v>-1.1801645411526624E-4</v>
      </c>
      <c r="F731" s="9">
        <f t="shared" si="31"/>
        <v>1.044037232512967E-2</v>
      </c>
      <c r="G731" s="9">
        <f t="shared" si="32"/>
        <v>7.4497692498862603E-3</v>
      </c>
    </row>
    <row r="732" spans="1:7" x14ac:dyDescent="0.2">
      <c r="A732" s="12">
        <v>38205</v>
      </c>
      <c r="B732" s="9">
        <v>1612.56</v>
      </c>
      <c r="C732" s="9">
        <v>1577.99</v>
      </c>
      <c r="D732" s="9">
        <v>1579.87</v>
      </c>
      <c r="E732" s="9">
        <f t="shared" si="33"/>
        <v>-1.8798441781325503E-2</v>
      </c>
      <c r="F732" s="9">
        <f t="shared" si="31"/>
        <v>-1.8407024379378169E-2</v>
      </c>
      <c r="G732" s="9">
        <f t="shared" si="32"/>
        <v>7.9961459258788455E-3</v>
      </c>
    </row>
    <row r="733" spans="1:7" x14ac:dyDescent="0.2">
      <c r="A733" s="12">
        <v>38208</v>
      </c>
      <c r="B733" s="9">
        <v>1586.89</v>
      </c>
      <c r="C733" s="9">
        <v>1560.65</v>
      </c>
      <c r="D733" s="9">
        <v>1564.1</v>
      </c>
      <c r="E733" s="9">
        <f t="shared" si="33"/>
        <v>-1.0031986474744067E-2</v>
      </c>
      <c r="F733" s="9">
        <f t="shared" si="31"/>
        <v>-3.4411619126859826E-2</v>
      </c>
      <c r="G733" s="9">
        <f t="shared" si="32"/>
        <v>8.0750847344888896E-3</v>
      </c>
    </row>
    <row r="734" spans="1:7" x14ac:dyDescent="0.2">
      <c r="A734" s="12">
        <v>38209</v>
      </c>
      <c r="B734" s="9">
        <v>1580.39</v>
      </c>
      <c r="C734" s="9">
        <v>1561.9</v>
      </c>
      <c r="D734" s="9">
        <v>1578.81</v>
      </c>
      <c r="E734" s="9">
        <f t="shared" si="33"/>
        <v>9.3608200129365431E-3</v>
      </c>
      <c r="F734" s="9">
        <f t="shared" si="31"/>
        <v>-2.9008709919747765E-2</v>
      </c>
      <c r="G734" s="9">
        <f t="shared" si="32"/>
        <v>8.2511953434930337E-3</v>
      </c>
    </row>
    <row r="735" spans="1:7" x14ac:dyDescent="0.2">
      <c r="A735" s="12">
        <v>38210</v>
      </c>
      <c r="B735" s="9">
        <v>1585.58</v>
      </c>
      <c r="C735" s="9">
        <v>1568.37</v>
      </c>
      <c r="D735" s="9">
        <v>1571.46</v>
      </c>
      <c r="E735" s="9">
        <f t="shared" si="33"/>
        <v>-4.666275167935492E-3</v>
      </c>
      <c r="F735" s="9">
        <f t="shared" si="31"/>
        <v>-3.4173236604278998E-2</v>
      </c>
      <c r="G735" s="9">
        <f t="shared" si="32"/>
        <v>8.2734172449740549E-3</v>
      </c>
    </row>
    <row r="736" spans="1:7" x14ac:dyDescent="0.2">
      <c r="A736" s="12">
        <v>38211</v>
      </c>
      <c r="B736" s="9">
        <v>1585.39</v>
      </c>
      <c r="C736" s="9">
        <v>1562.56</v>
      </c>
      <c r="D736" s="9">
        <v>1563.53</v>
      </c>
      <c r="E736" s="9">
        <f t="shared" si="33"/>
        <v>-5.0590380915236368E-3</v>
      </c>
      <c r="F736" s="9">
        <f t="shared" si="31"/>
        <v>-3.5226945341230734E-2</v>
      </c>
      <c r="G736" s="9">
        <f t="shared" si="32"/>
        <v>8.2882284027139628E-3</v>
      </c>
    </row>
    <row r="737" spans="1:7" x14ac:dyDescent="0.2">
      <c r="A737" s="12">
        <v>38212</v>
      </c>
      <c r="B737" s="9">
        <v>1569.66</v>
      </c>
      <c r="C737" s="9">
        <v>1557.65</v>
      </c>
      <c r="D737" s="9">
        <v>1566.28</v>
      </c>
      <c r="E737" s="9">
        <f t="shared" si="33"/>
        <v>1.7572956234959147E-3</v>
      </c>
      <c r="F737" s="9">
        <f t="shared" ref="F737:F800" si="34">LN(D737/D707)</f>
        <v>-2.7406566602464297E-2</v>
      </c>
      <c r="G737" s="9">
        <f t="shared" ref="G737:G800" si="35">STDEV(E708:E737)</f>
        <v>8.2520667048998492E-3</v>
      </c>
    </row>
    <row r="738" spans="1:7" x14ac:dyDescent="0.2">
      <c r="A738" s="12">
        <v>38215</v>
      </c>
      <c r="B738" s="9">
        <v>1578.64</v>
      </c>
      <c r="C738" s="9">
        <v>1563.93</v>
      </c>
      <c r="D738" s="9">
        <v>1572.54</v>
      </c>
      <c r="E738" s="9">
        <f t="shared" si="33"/>
        <v>3.9887653958140734E-3</v>
      </c>
      <c r="F738" s="9">
        <f t="shared" si="34"/>
        <v>-2.6048206217273429E-2</v>
      </c>
      <c r="G738" s="9">
        <f t="shared" si="35"/>
        <v>8.2758750397869812E-3</v>
      </c>
    </row>
    <row r="739" spans="1:7" x14ac:dyDescent="0.2">
      <c r="A739" s="12">
        <v>38216</v>
      </c>
      <c r="B739" s="9">
        <v>1590.08</v>
      </c>
      <c r="C739" s="9">
        <v>1572.28</v>
      </c>
      <c r="D739" s="9">
        <v>1589.46</v>
      </c>
      <c r="E739" s="9">
        <f t="shared" si="33"/>
        <v>1.0702189434954226E-2</v>
      </c>
      <c r="F739" s="9">
        <f t="shared" si="34"/>
        <v>-8.3265679794293154E-3</v>
      </c>
      <c r="G739" s="9">
        <f t="shared" si="35"/>
        <v>8.4522660299361039E-3</v>
      </c>
    </row>
    <row r="740" spans="1:7" x14ac:dyDescent="0.2">
      <c r="A740" s="12">
        <v>38217</v>
      </c>
      <c r="B740" s="9">
        <v>1592.99</v>
      </c>
      <c r="C740" s="9">
        <v>1582</v>
      </c>
      <c r="D740" s="9">
        <v>1589.91</v>
      </c>
      <c r="E740" s="9">
        <f t="shared" si="33"/>
        <v>2.8307495070096535E-4</v>
      </c>
      <c r="F740" s="9">
        <f t="shared" si="34"/>
        <v>-7.6128902718337775E-3</v>
      </c>
      <c r="G740" s="9">
        <f t="shared" si="35"/>
        <v>8.4528247283225909E-3</v>
      </c>
    </row>
    <row r="741" spans="1:7" x14ac:dyDescent="0.2">
      <c r="A741" s="12">
        <v>38218</v>
      </c>
      <c r="B741" s="9">
        <v>1597.9</v>
      </c>
      <c r="C741" s="9">
        <v>1589.63</v>
      </c>
      <c r="D741" s="9">
        <v>1597.14</v>
      </c>
      <c r="E741" s="9">
        <f t="shared" si="33"/>
        <v>4.5371189047728995E-3</v>
      </c>
      <c r="F741" s="9">
        <f t="shared" si="34"/>
        <v>-8.8578071993250102E-3</v>
      </c>
      <c r="G741" s="9">
        <f t="shared" si="35"/>
        <v>8.4251821877337225E-3</v>
      </c>
    </row>
    <row r="742" spans="1:7" x14ac:dyDescent="0.2">
      <c r="A742" s="12">
        <v>38219</v>
      </c>
      <c r="B742" s="9">
        <v>1597.95</v>
      </c>
      <c r="C742" s="9">
        <v>1587.99</v>
      </c>
      <c r="D742" s="9">
        <v>1596.17</v>
      </c>
      <c r="E742" s="9">
        <f t="shared" si="33"/>
        <v>-6.0752011538754084E-4</v>
      </c>
      <c r="F742" s="9">
        <f t="shared" si="34"/>
        <v>-8.875585697558112E-3</v>
      </c>
      <c r="G742" s="9">
        <f t="shared" si="35"/>
        <v>8.4252042406659233E-3</v>
      </c>
    </row>
    <row r="743" spans="1:7" x14ac:dyDescent="0.2">
      <c r="A743" s="12">
        <v>38222</v>
      </c>
      <c r="B743" s="9">
        <v>1618.46</v>
      </c>
      <c r="C743" s="9">
        <v>1596.17</v>
      </c>
      <c r="D743" s="9">
        <v>1617.23</v>
      </c>
      <c r="E743" s="9">
        <f t="shared" si="33"/>
        <v>1.3107799547783837E-2</v>
      </c>
      <c r="F743" s="9">
        <f t="shared" si="34"/>
        <v>1.1317613791773439E-2</v>
      </c>
      <c r="G743" s="9">
        <f t="shared" si="35"/>
        <v>8.6672305955873517E-3</v>
      </c>
    </row>
    <row r="744" spans="1:7" x14ac:dyDescent="0.2">
      <c r="A744" s="12">
        <v>38223</v>
      </c>
      <c r="B744" s="9">
        <v>1623.32</v>
      </c>
      <c r="C744" s="9">
        <v>1614.6</v>
      </c>
      <c r="D744" s="9">
        <v>1619.19</v>
      </c>
      <c r="E744" s="9">
        <f t="shared" si="33"/>
        <v>1.2112150089399669E-3</v>
      </c>
      <c r="F744" s="9">
        <f t="shared" si="34"/>
        <v>1.4438056581831903E-2</v>
      </c>
      <c r="G744" s="9">
        <f t="shared" si="35"/>
        <v>8.6575632092231857E-3</v>
      </c>
    </row>
    <row r="745" spans="1:7" x14ac:dyDescent="0.2">
      <c r="A745" s="12">
        <v>38224</v>
      </c>
      <c r="B745" s="9">
        <v>1622</v>
      </c>
      <c r="C745" s="9">
        <v>1613.53</v>
      </c>
      <c r="D745" s="9">
        <v>1614.18</v>
      </c>
      <c r="E745" s="9">
        <f t="shared" si="33"/>
        <v>-3.0989364096417572E-3</v>
      </c>
      <c r="F745" s="9">
        <f t="shared" si="34"/>
        <v>1.4948427934171933E-2</v>
      </c>
      <c r="G745" s="9">
        <f t="shared" si="35"/>
        <v>8.6497458429567655E-3</v>
      </c>
    </row>
    <row r="746" spans="1:7" x14ac:dyDescent="0.2">
      <c r="A746" s="12">
        <v>38225</v>
      </c>
      <c r="B746" s="9">
        <v>1629.86</v>
      </c>
      <c r="C746" s="9">
        <v>1614.18</v>
      </c>
      <c r="D746" s="9">
        <v>1624.34</v>
      </c>
      <c r="E746" s="9">
        <f t="shared" si="33"/>
        <v>6.2744916397649269E-3</v>
      </c>
      <c r="F746" s="9">
        <f t="shared" si="34"/>
        <v>3.9819781954245355E-2</v>
      </c>
      <c r="G746" s="9">
        <f t="shared" si="35"/>
        <v>7.9173437471902718E-3</v>
      </c>
    </row>
    <row r="747" spans="1:7" x14ac:dyDescent="0.2">
      <c r="A747" s="12">
        <v>38226</v>
      </c>
      <c r="B747" s="9">
        <v>1630.88</v>
      </c>
      <c r="C747" s="9">
        <v>1618.72</v>
      </c>
      <c r="D747" s="9">
        <v>1628.76</v>
      </c>
      <c r="E747" s="9">
        <f t="shared" si="33"/>
        <v>2.7174096830034668E-3</v>
      </c>
      <c r="F747" s="9">
        <f t="shared" si="34"/>
        <v>3.8356134529927539E-2</v>
      </c>
      <c r="G747" s="9">
        <f t="shared" si="35"/>
        <v>7.9036499013600721E-3</v>
      </c>
    </row>
    <row r="748" spans="1:7" x14ac:dyDescent="0.2">
      <c r="A748" s="12">
        <v>38229</v>
      </c>
      <c r="B748" s="9">
        <v>1631.43</v>
      </c>
      <c r="C748" s="9">
        <v>1625.87</v>
      </c>
      <c r="D748" s="9">
        <v>1629.06</v>
      </c>
      <c r="E748" s="9">
        <f t="shared" si="33"/>
        <v>1.8417223839750849E-4</v>
      </c>
      <c r="F748" s="9">
        <f t="shared" si="34"/>
        <v>4.9741778830887408E-2</v>
      </c>
      <c r="G748" s="9">
        <f t="shared" si="35"/>
        <v>7.5491234111057888E-3</v>
      </c>
    </row>
    <row r="749" spans="1:7" x14ac:dyDescent="0.2">
      <c r="A749" s="12">
        <v>38230</v>
      </c>
      <c r="B749" s="9">
        <v>1629.91</v>
      </c>
      <c r="C749" s="9">
        <v>1617.15</v>
      </c>
      <c r="D749" s="9">
        <v>1621.38</v>
      </c>
      <c r="E749" s="9">
        <f t="shared" si="33"/>
        <v>-4.7255228778609291E-3</v>
      </c>
      <c r="F749" s="9">
        <f t="shared" si="34"/>
        <v>3.9175320753244168E-2</v>
      </c>
      <c r="G749" s="9">
        <f t="shared" si="35"/>
        <v>7.593601359583012E-3</v>
      </c>
    </row>
    <row r="750" spans="1:7" x14ac:dyDescent="0.2">
      <c r="A750" s="12">
        <v>38231</v>
      </c>
      <c r="B750" s="9">
        <v>1630.1</v>
      </c>
      <c r="C750" s="9">
        <v>1619.52</v>
      </c>
      <c r="D750" s="9">
        <v>1626.17</v>
      </c>
      <c r="E750" s="9">
        <f t="shared" si="33"/>
        <v>2.9499182297761813E-3</v>
      </c>
      <c r="F750" s="9">
        <f t="shared" si="34"/>
        <v>3.1807218687473014E-2</v>
      </c>
      <c r="G750" s="9">
        <f t="shared" si="35"/>
        <v>7.4089756715931161E-3</v>
      </c>
    </row>
    <row r="751" spans="1:7" x14ac:dyDescent="0.2">
      <c r="A751" s="12">
        <v>38232</v>
      </c>
      <c r="B751" s="9">
        <v>1633.04</v>
      </c>
      <c r="C751" s="9">
        <v>1621.88</v>
      </c>
      <c r="D751" s="9">
        <v>1629.84</v>
      </c>
      <c r="E751" s="9">
        <f t="shared" si="33"/>
        <v>2.2542937854587593E-3</v>
      </c>
      <c r="F751" s="9">
        <f t="shared" si="34"/>
        <v>4.9259645585210794E-2</v>
      </c>
      <c r="G751" s="9">
        <f t="shared" si="35"/>
        <v>6.7436632687504295E-3</v>
      </c>
    </row>
    <row r="752" spans="1:7" x14ac:dyDescent="0.2">
      <c r="A752" s="12">
        <v>38233</v>
      </c>
      <c r="B752" s="9">
        <v>1640.03</v>
      </c>
      <c r="C752" s="9">
        <v>1625.52</v>
      </c>
      <c r="D752" s="9">
        <v>1638.66</v>
      </c>
      <c r="E752" s="9">
        <f t="shared" si="33"/>
        <v>5.396984187643776E-3</v>
      </c>
      <c r="F752" s="9">
        <f t="shared" si="34"/>
        <v>5.6934439544369816E-2</v>
      </c>
      <c r="G752" s="9">
        <f t="shared" si="35"/>
        <v>6.7354046488223478E-3</v>
      </c>
    </row>
    <row r="753" spans="1:7" x14ac:dyDescent="0.2">
      <c r="A753" s="12">
        <v>38236</v>
      </c>
      <c r="B753" s="9">
        <v>1645.45</v>
      </c>
      <c r="C753" s="9">
        <v>1637.36</v>
      </c>
      <c r="D753" s="9">
        <v>1642.81</v>
      </c>
      <c r="E753" s="9">
        <f t="shared" si="33"/>
        <v>2.5293555708367295E-3</v>
      </c>
      <c r="F753" s="9">
        <f t="shared" si="34"/>
        <v>5.4624010579151193E-2</v>
      </c>
      <c r="G753" s="9">
        <f t="shared" si="35"/>
        <v>6.7137797535142688E-3</v>
      </c>
    </row>
    <row r="754" spans="1:7" x14ac:dyDescent="0.2">
      <c r="A754" s="12">
        <v>38237</v>
      </c>
      <c r="B754" s="9">
        <v>1648.44</v>
      </c>
      <c r="C754" s="9">
        <v>1638.96</v>
      </c>
      <c r="D754" s="9">
        <v>1646.42</v>
      </c>
      <c r="E754" s="9">
        <f t="shared" si="33"/>
        <v>2.1950434901056503E-3</v>
      </c>
      <c r="F754" s="9">
        <f t="shared" si="34"/>
        <v>4.8834200075405829E-2</v>
      </c>
      <c r="G754" s="9">
        <f t="shared" si="35"/>
        <v>6.6129377439640771E-3</v>
      </c>
    </row>
    <row r="755" spans="1:7" x14ac:dyDescent="0.2">
      <c r="A755" s="12">
        <v>38238</v>
      </c>
      <c r="B755" s="9">
        <v>1650.23</v>
      </c>
      <c r="C755" s="9">
        <v>1639.43</v>
      </c>
      <c r="D755" s="9">
        <v>1642.92</v>
      </c>
      <c r="E755" s="9">
        <f t="shared" si="33"/>
        <v>-2.1280872885666973E-3</v>
      </c>
      <c r="F755" s="9">
        <f t="shared" si="34"/>
        <v>3.5600560408010441E-2</v>
      </c>
      <c r="G755" s="9">
        <f t="shared" si="35"/>
        <v>6.3967633454084204E-3</v>
      </c>
    </row>
    <row r="756" spans="1:7" x14ac:dyDescent="0.2">
      <c r="A756" s="12">
        <v>38239</v>
      </c>
      <c r="B756" s="9">
        <v>1661.19</v>
      </c>
      <c r="C756" s="9">
        <v>1632.02</v>
      </c>
      <c r="D756" s="9">
        <v>1655.94</v>
      </c>
      <c r="E756" s="9">
        <f t="shared" si="33"/>
        <v>7.8936769710914734E-3</v>
      </c>
      <c r="F756" s="9">
        <f t="shared" si="34"/>
        <v>3.3659193454053896E-2</v>
      </c>
      <c r="G756" s="9">
        <f t="shared" si="35"/>
        <v>6.3155605806288866E-3</v>
      </c>
    </row>
    <row r="757" spans="1:7" x14ac:dyDescent="0.2">
      <c r="A757" s="12">
        <v>38240</v>
      </c>
      <c r="B757" s="9">
        <v>1662.52</v>
      </c>
      <c r="C757" s="9">
        <v>1654.54</v>
      </c>
      <c r="D757" s="9">
        <v>1660.92</v>
      </c>
      <c r="E757" s="9">
        <f t="shared" si="33"/>
        <v>3.0028422918544164E-3</v>
      </c>
      <c r="F757" s="9">
        <f t="shared" si="34"/>
        <v>3.2952797995328707E-2</v>
      </c>
      <c r="G757" s="9">
        <f t="shared" si="35"/>
        <v>6.3068926591163376E-3</v>
      </c>
    </row>
    <row r="758" spans="1:7" x14ac:dyDescent="0.2">
      <c r="A758" s="12">
        <v>38243</v>
      </c>
      <c r="B758" s="9">
        <v>1672.45</v>
      </c>
      <c r="C758" s="9">
        <v>1660.5</v>
      </c>
      <c r="D758" s="9">
        <v>1667.85</v>
      </c>
      <c r="E758" s="9">
        <f t="shared" si="33"/>
        <v>4.1637061207568564E-3</v>
      </c>
      <c r="F758" s="9">
        <f t="shared" si="34"/>
        <v>3.4047320879869059E-2</v>
      </c>
      <c r="G758" s="9">
        <f t="shared" si="35"/>
        <v>6.3218343026050219E-3</v>
      </c>
    </row>
    <row r="759" spans="1:7" x14ac:dyDescent="0.2">
      <c r="A759" s="12">
        <v>38244</v>
      </c>
      <c r="B759" s="9">
        <v>1676.04</v>
      </c>
      <c r="C759" s="9">
        <v>1662.54</v>
      </c>
      <c r="D759" s="9">
        <v>1665.88</v>
      </c>
      <c r="E759" s="9">
        <f t="shared" si="33"/>
        <v>-1.1818594963038315E-3</v>
      </c>
      <c r="F759" s="9">
        <f t="shared" si="34"/>
        <v>2.8285451892133561E-2</v>
      </c>
      <c r="G759" s="9">
        <f t="shared" si="35"/>
        <v>6.3010512536814528E-3</v>
      </c>
    </row>
    <row r="760" spans="1:7" x14ac:dyDescent="0.2">
      <c r="A760" s="12">
        <v>38245</v>
      </c>
      <c r="B760" s="9">
        <v>1671.86</v>
      </c>
      <c r="C760" s="9">
        <v>1659.23</v>
      </c>
      <c r="D760" s="9">
        <v>1661.43</v>
      </c>
      <c r="E760" s="9">
        <f t="shared" si="33"/>
        <v>-2.6748350188089561E-3</v>
      </c>
      <c r="F760" s="9">
        <f t="shared" si="34"/>
        <v>3.1419653911874471E-2</v>
      </c>
      <c r="G760" s="9">
        <f t="shared" si="35"/>
        <v>6.2105760623663723E-3</v>
      </c>
    </row>
    <row r="761" spans="1:7" x14ac:dyDescent="0.2">
      <c r="A761" s="12">
        <v>38246</v>
      </c>
      <c r="B761" s="9">
        <v>1665.33</v>
      </c>
      <c r="C761" s="9">
        <v>1654.38</v>
      </c>
      <c r="D761" s="9">
        <v>1663.62</v>
      </c>
      <c r="E761" s="9">
        <f t="shared" si="33"/>
        <v>1.317273614938567E-3</v>
      </c>
      <c r="F761" s="9">
        <f t="shared" si="34"/>
        <v>3.285494398092819E-2</v>
      </c>
      <c r="G761" s="9">
        <f t="shared" si="35"/>
        <v>6.2068165751383341E-3</v>
      </c>
    </row>
    <row r="762" spans="1:7" x14ac:dyDescent="0.2">
      <c r="A762" s="12">
        <v>38247</v>
      </c>
      <c r="B762" s="9">
        <v>1670.94</v>
      </c>
      <c r="C762" s="9">
        <v>1663.36</v>
      </c>
      <c r="D762" s="9">
        <v>1669.86</v>
      </c>
      <c r="E762" s="9">
        <f t="shared" si="33"/>
        <v>3.7438396441511648E-3</v>
      </c>
      <c r="F762" s="9">
        <f t="shared" si="34"/>
        <v>5.539722540640489E-2</v>
      </c>
      <c r="G762" s="9">
        <f t="shared" si="35"/>
        <v>4.9533478815786212E-3</v>
      </c>
    </row>
    <row r="763" spans="1:7" x14ac:dyDescent="0.2">
      <c r="A763" s="12">
        <v>38250</v>
      </c>
      <c r="B763" s="9">
        <v>1670.15</v>
      </c>
      <c r="C763" s="9">
        <v>1659.75</v>
      </c>
      <c r="D763" s="9">
        <v>1669.41</v>
      </c>
      <c r="E763" s="9">
        <f t="shared" si="33"/>
        <v>-2.6951998653834008E-4</v>
      </c>
      <c r="F763" s="9">
        <f t="shared" si="34"/>
        <v>6.5159691894610752E-2</v>
      </c>
      <c r="G763" s="9">
        <f t="shared" si="35"/>
        <v>4.4401568577974275E-3</v>
      </c>
    </row>
    <row r="764" spans="1:7" x14ac:dyDescent="0.2">
      <c r="A764" s="12">
        <v>38251</v>
      </c>
      <c r="B764" s="9">
        <v>1673.48</v>
      </c>
      <c r="C764" s="9">
        <v>1665</v>
      </c>
      <c r="D764" s="9">
        <v>1668.21</v>
      </c>
      <c r="E764" s="9">
        <f t="shared" si="33"/>
        <v>-7.1907530018815006E-4</v>
      </c>
      <c r="F764" s="9">
        <f t="shared" si="34"/>
        <v>5.507979658148586E-2</v>
      </c>
      <c r="G764" s="9">
        <f t="shared" si="35"/>
        <v>4.2549239680837155E-3</v>
      </c>
    </row>
    <row r="765" spans="1:7" x14ac:dyDescent="0.2">
      <c r="A765" s="12">
        <v>38252</v>
      </c>
      <c r="B765" s="9">
        <v>1669.21</v>
      </c>
      <c r="C765" s="9">
        <v>1658.16</v>
      </c>
      <c r="D765" s="9">
        <v>1659.41</v>
      </c>
      <c r="E765" s="9">
        <f t="shared" si="33"/>
        <v>-5.2890777880342495E-3</v>
      </c>
      <c r="F765" s="9">
        <f t="shared" si="34"/>
        <v>5.4456993961387222E-2</v>
      </c>
      <c r="G765" s="9">
        <f t="shared" si="35"/>
        <v>4.2891248785667012E-3</v>
      </c>
    </row>
    <row r="766" spans="1:7" x14ac:dyDescent="0.2">
      <c r="A766" s="12">
        <v>38253</v>
      </c>
      <c r="B766" s="9">
        <v>1660.01</v>
      </c>
      <c r="C766" s="9">
        <v>1642</v>
      </c>
      <c r="D766" s="9">
        <v>1648.19</v>
      </c>
      <c r="E766" s="9">
        <f t="shared" si="33"/>
        <v>-6.7844014005579286E-3</v>
      </c>
      <c r="F766" s="9">
        <f t="shared" si="34"/>
        <v>5.2731630652352951E-2</v>
      </c>
      <c r="G766" s="9">
        <f t="shared" si="35"/>
        <v>4.3947462931302221E-3</v>
      </c>
    </row>
    <row r="767" spans="1:7" x14ac:dyDescent="0.2">
      <c r="A767" s="12">
        <v>38254</v>
      </c>
      <c r="B767" s="9">
        <v>1652.71</v>
      </c>
      <c r="C767" s="9">
        <v>1643.5</v>
      </c>
      <c r="D767" s="9">
        <v>1650.28</v>
      </c>
      <c r="E767" s="9">
        <f t="shared" si="33"/>
        <v>1.2672543813951008E-3</v>
      </c>
      <c r="F767" s="9">
        <f t="shared" si="34"/>
        <v>5.2241589410252122E-2</v>
      </c>
      <c r="G767" s="9">
        <f t="shared" si="35"/>
        <v>4.3956585443310787E-3</v>
      </c>
    </row>
    <row r="768" spans="1:7" x14ac:dyDescent="0.2">
      <c r="A768" s="12">
        <v>38257</v>
      </c>
      <c r="B768" s="9">
        <v>1650.62</v>
      </c>
      <c r="C768" s="9">
        <v>1633.97</v>
      </c>
      <c r="D768" s="9">
        <v>1640.1</v>
      </c>
      <c r="E768" s="9">
        <f t="shared" si="33"/>
        <v>-6.1877548983579255E-3</v>
      </c>
      <c r="F768" s="9">
        <f t="shared" si="34"/>
        <v>4.2065069116079976E-2</v>
      </c>
      <c r="G768" s="9">
        <f t="shared" si="35"/>
        <v>4.6039755030846683E-3</v>
      </c>
    </row>
    <row r="769" spans="1:7" x14ac:dyDescent="0.2">
      <c r="A769" s="12">
        <v>38258</v>
      </c>
      <c r="B769" s="9">
        <v>1643.28</v>
      </c>
      <c r="C769" s="9">
        <v>1632.36</v>
      </c>
      <c r="D769" s="9">
        <v>1641.63</v>
      </c>
      <c r="E769" s="9">
        <f t="shared" si="33"/>
        <v>9.3243509420535718E-4</v>
      </c>
      <c r="F769" s="9">
        <f t="shared" si="34"/>
        <v>3.2295314775331069E-2</v>
      </c>
      <c r="G769" s="9">
        <f t="shared" si="35"/>
        <v>4.2558267907123193E-3</v>
      </c>
    </row>
    <row r="770" spans="1:7" x14ac:dyDescent="0.2">
      <c r="A770" s="12">
        <v>38259</v>
      </c>
      <c r="B770" s="9">
        <v>1665.31</v>
      </c>
      <c r="C770" s="9">
        <v>1642.19</v>
      </c>
      <c r="D770" s="9">
        <v>1663.3</v>
      </c>
      <c r="E770" s="9">
        <f t="shared" si="33"/>
        <v>1.3113930133220795E-2</v>
      </c>
      <c r="F770" s="9">
        <f t="shared" si="34"/>
        <v>4.5126169957851014E-2</v>
      </c>
      <c r="G770" s="9">
        <f t="shared" si="35"/>
        <v>4.7851495322274026E-3</v>
      </c>
    </row>
    <row r="771" spans="1:7" x14ac:dyDescent="0.2">
      <c r="A771" s="12">
        <v>38260</v>
      </c>
      <c r="B771" s="9">
        <v>1680.37</v>
      </c>
      <c r="C771" s="9">
        <v>1663.8</v>
      </c>
      <c r="D771" s="9">
        <v>1666.24</v>
      </c>
      <c r="E771" s="9">
        <f t="shared" si="33"/>
        <v>1.7660101780451027E-3</v>
      </c>
      <c r="F771" s="9">
        <f t="shared" si="34"/>
        <v>4.2355061231123099E-2</v>
      </c>
      <c r="G771" s="9">
        <f t="shared" si="35"/>
        <v>4.7512105030803175E-3</v>
      </c>
    </row>
    <row r="772" spans="1:7" x14ac:dyDescent="0.2">
      <c r="A772" s="12">
        <v>38261</v>
      </c>
      <c r="B772" s="9">
        <v>1694.4</v>
      </c>
      <c r="C772" s="9">
        <v>1666.91</v>
      </c>
      <c r="D772" s="9">
        <v>1693.14</v>
      </c>
      <c r="E772" s="9">
        <f t="shared" ref="E772:E835" si="36">LN(D772/D771)</f>
        <v>1.6015202183277955E-2</v>
      </c>
      <c r="F772" s="9">
        <f t="shared" si="34"/>
        <v>5.8977783529788587E-2</v>
      </c>
      <c r="G772" s="9">
        <f t="shared" si="35"/>
        <v>5.4285835616871047E-3</v>
      </c>
    </row>
    <row r="773" spans="1:7" x14ac:dyDescent="0.2">
      <c r="A773" s="12">
        <v>38264</v>
      </c>
      <c r="B773" s="9">
        <v>1715.08</v>
      </c>
      <c r="C773" s="9">
        <v>1694.65</v>
      </c>
      <c r="D773" s="9">
        <v>1710.35</v>
      </c>
      <c r="E773" s="9">
        <f t="shared" si="36"/>
        <v>1.0113234757708093E-2</v>
      </c>
      <c r="F773" s="9">
        <f t="shared" si="34"/>
        <v>5.5983218739712758E-2</v>
      </c>
      <c r="G773" s="9">
        <f t="shared" si="35"/>
        <v>5.2409345234740818E-3</v>
      </c>
    </row>
    <row r="774" spans="1:7" x14ac:dyDescent="0.2">
      <c r="A774" s="12">
        <v>38265</v>
      </c>
      <c r="B774" s="9">
        <v>1715.23</v>
      </c>
      <c r="C774" s="9">
        <v>1701.78</v>
      </c>
      <c r="D774" s="9">
        <v>1706.97</v>
      </c>
      <c r="E774" s="9">
        <f t="shared" si="36"/>
        <v>-1.9781589679592876E-3</v>
      </c>
      <c r="F774" s="9">
        <f t="shared" si="34"/>
        <v>5.279384476281343E-2</v>
      </c>
      <c r="G774" s="9">
        <f t="shared" si="35"/>
        <v>5.2868244645811469E-3</v>
      </c>
    </row>
    <row r="775" spans="1:7" x14ac:dyDescent="0.2">
      <c r="A775" s="12">
        <v>38266</v>
      </c>
      <c r="B775" s="9">
        <v>1707.94</v>
      </c>
      <c r="C775" s="9">
        <v>1693.98</v>
      </c>
      <c r="D775" s="9">
        <v>1704.93</v>
      </c>
      <c r="E775" s="9">
        <f t="shared" si="36"/>
        <v>-1.1958147912280216E-3</v>
      </c>
      <c r="F775" s="9">
        <f t="shared" si="34"/>
        <v>5.4696966381227369E-2</v>
      </c>
      <c r="G775" s="9">
        <f t="shared" si="35"/>
        <v>5.237703183739853E-3</v>
      </c>
    </row>
    <row r="776" spans="1:7" x14ac:dyDescent="0.2">
      <c r="A776" s="12">
        <v>38267</v>
      </c>
      <c r="B776" s="9">
        <v>1716.15</v>
      </c>
      <c r="C776" s="9">
        <v>1705.82</v>
      </c>
      <c r="D776" s="9">
        <v>1709.64</v>
      </c>
      <c r="E776" s="9">
        <f t="shared" si="36"/>
        <v>2.7587678608075547E-3</v>
      </c>
      <c r="F776" s="9">
        <f t="shared" si="34"/>
        <v>5.118124260226993E-2</v>
      </c>
      <c r="G776" s="9">
        <f t="shared" si="35"/>
        <v>5.1736134594070225E-3</v>
      </c>
    </row>
    <row r="777" spans="1:7" x14ac:dyDescent="0.2">
      <c r="A777" s="12">
        <v>38268</v>
      </c>
      <c r="B777" s="9">
        <v>1714.06</v>
      </c>
      <c r="C777" s="9">
        <v>1702.72</v>
      </c>
      <c r="D777" s="9">
        <v>1708.83</v>
      </c>
      <c r="E777" s="9">
        <f t="shared" si="36"/>
        <v>-4.7389622559747464E-4</v>
      </c>
      <c r="F777" s="9">
        <f t="shared" si="34"/>
        <v>4.7989936693668939E-2</v>
      </c>
      <c r="G777" s="9">
        <f t="shared" si="35"/>
        <v>5.1848978038534447E-3</v>
      </c>
    </row>
    <row r="778" spans="1:7" x14ac:dyDescent="0.2">
      <c r="A778" s="12">
        <v>38271</v>
      </c>
      <c r="B778" s="9">
        <v>1717.33</v>
      </c>
      <c r="C778" s="9">
        <v>1701.99</v>
      </c>
      <c r="D778" s="9">
        <v>1717.33</v>
      </c>
      <c r="E778" s="9">
        <f t="shared" si="36"/>
        <v>4.961833328864235E-3</v>
      </c>
      <c r="F778" s="9">
        <f t="shared" si="34"/>
        <v>5.2767597784135846E-2</v>
      </c>
      <c r="G778" s="9">
        <f t="shared" si="35"/>
        <v>5.2132175650116148E-3</v>
      </c>
    </row>
    <row r="779" spans="1:7" x14ac:dyDescent="0.2">
      <c r="A779" s="12">
        <v>38272</v>
      </c>
      <c r="B779" s="9">
        <v>1717.16</v>
      </c>
      <c r="C779" s="9">
        <v>1699.67</v>
      </c>
      <c r="D779" s="9">
        <v>1704</v>
      </c>
      <c r="E779" s="9">
        <f t="shared" si="36"/>
        <v>-7.7923307311461845E-3</v>
      </c>
      <c r="F779" s="9">
        <f t="shared" si="34"/>
        <v>4.9700789930850454E-2</v>
      </c>
      <c r="G779" s="9">
        <f t="shared" si="35"/>
        <v>5.3723954854717334E-3</v>
      </c>
    </row>
    <row r="780" spans="1:7" x14ac:dyDescent="0.2">
      <c r="A780" s="12">
        <v>38273</v>
      </c>
      <c r="B780" s="9">
        <v>1719.29</v>
      </c>
      <c r="C780" s="9">
        <v>1705</v>
      </c>
      <c r="D780" s="9">
        <v>1718.22</v>
      </c>
      <c r="E780" s="9">
        <f t="shared" si="36"/>
        <v>8.310442835414435E-3</v>
      </c>
      <c r="F780" s="9">
        <f t="shared" si="34"/>
        <v>5.5061314536488701E-2</v>
      </c>
      <c r="G780" s="9">
        <f t="shared" si="35"/>
        <v>5.5044135235772585E-3</v>
      </c>
    </row>
    <row r="781" spans="1:7" x14ac:dyDescent="0.2">
      <c r="A781" s="12">
        <v>38274</v>
      </c>
      <c r="B781" s="9">
        <v>1717.22</v>
      </c>
      <c r="C781" s="9">
        <v>1699.83</v>
      </c>
      <c r="D781" s="9">
        <v>1711.91</v>
      </c>
      <c r="E781" s="9">
        <f t="shared" si="36"/>
        <v>-3.6791649983017949E-3</v>
      </c>
      <c r="F781" s="9">
        <f t="shared" si="34"/>
        <v>4.9127855752728197E-2</v>
      </c>
      <c r="G781" s="9">
        <f t="shared" si="35"/>
        <v>5.5947007925462545E-3</v>
      </c>
    </row>
    <row r="782" spans="1:7" x14ac:dyDescent="0.2">
      <c r="A782" s="12">
        <v>38275</v>
      </c>
      <c r="B782" s="9">
        <v>1714.6</v>
      </c>
      <c r="C782" s="9">
        <v>1706.43</v>
      </c>
      <c r="D782" s="9">
        <v>1714.6</v>
      </c>
      <c r="E782" s="9">
        <f t="shared" si="36"/>
        <v>1.5701110182818475E-3</v>
      </c>
      <c r="F782" s="9">
        <f t="shared" si="34"/>
        <v>4.530098258336606E-2</v>
      </c>
      <c r="G782" s="9">
        <f t="shared" si="35"/>
        <v>5.5494734605824091E-3</v>
      </c>
    </row>
    <row r="783" spans="1:7" x14ac:dyDescent="0.2">
      <c r="A783" s="12">
        <v>38278</v>
      </c>
      <c r="B783" s="9">
        <v>1718.24</v>
      </c>
      <c r="C783" s="9">
        <v>1709.02</v>
      </c>
      <c r="D783" s="9">
        <v>1711.1</v>
      </c>
      <c r="E783" s="9">
        <f t="shared" si="36"/>
        <v>-2.0433787067307895E-3</v>
      </c>
      <c r="F783" s="9">
        <f t="shared" si="34"/>
        <v>4.0728248305798687E-2</v>
      </c>
      <c r="G783" s="9">
        <f t="shared" si="35"/>
        <v>5.5832067548940234E-3</v>
      </c>
    </row>
    <row r="784" spans="1:7" x14ac:dyDescent="0.2">
      <c r="A784" s="12">
        <v>38279</v>
      </c>
      <c r="B784" s="9">
        <v>1743.74</v>
      </c>
      <c r="C784" s="9">
        <v>1715.12</v>
      </c>
      <c r="D784" s="9">
        <v>1738.98</v>
      </c>
      <c r="E784" s="9">
        <f t="shared" si="36"/>
        <v>1.6162295887658305E-2</v>
      </c>
      <c r="F784" s="9">
        <f t="shared" si="34"/>
        <v>5.4695500703351281E-2</v>
      </c>
      <c r="G784" s="9">
        <f t="shared" si="35"/>
        <v>6.2033595048185146E-3</v>
      </c>
    </row>
    <row r="785" spans="1:7" x14ac:dyDescent="0.2">
      <c r="A785" s="12">
        <v>38280</v>
      </c>
      <c r="B785" s="9">
        <v>1735.3</v>
      </c>
      <c r="C785" s="9">
        <v>1706.48</v>
      </c>
      <c r="D785" s="9">
        <v>1709.16</v>
      </c>
      <c r="E785" s="9">
        <f t="shared" si="36"/>
        <v>-1.7296712691087731E-2</v>
      </c>
      <c r="F785" s="9">
        <f t="shared" si="34"/>
        <v>3.9526875300830218E-2</v>
      </c>
      <c r="G785" s="9">
        <f t="shared" si="35"/>
        <v>7.091171580607911E-3</v>
      </c>
    </row>
    <row r="786" spans="1:7" x14ac:dyDescent="0.2">
      <c r="A786" s="12">
        <v>38281</v>
      </c>
      <c r="B786" s="9">
        <v>1718.79</v>
      </c>
      <c r="C786" s="9">
        <v>1704.63</v>
      </c>
      <c r="D786" s="9">
        <v>1717.77</v>
      </c>
      <c r="E786" s="9">
        <f t="shared" si="36"/>
        <v>5.0249162467350438E-3</v>
      </c>
      <c r="F786" s="9">
        <f t="shared" si="34"/>
        <v>3.665811457647368E-2</v>
      </c>
      <c r="G786" s="9">
        <f t="shared" si="35"/>
        <v>7.0184033483340624E-3</v>
      </c>
    </row>
    <row r="787" spans="1:7" x14ac:dyDescent="0.2">
      <c r="A787" s="12">
        <v>38282</v>
      </c>
      <c r="B787" s="9">
        <v>1733.22</v>
      </c>
      <c r="C787" s="9">
        <v>1715.12</v>
      </c>
      <c r="D787" s="9">
        <v>1729.26</v>
      </c>
      <c r="E787" s="9">
        <f t="shared" si="36"/>
        <v>6.6666333365816002E-3</v>
      </c>
      <c r="F787" s="9">
        <f t="shared" si="34"/>
        <v>4.0321905621201019E-2</v>
      </c>
      <c r="G787" s="9">
        <f t="shared" si="35"/>
        <v>7.0820492581828744E-3</v>
      </c>
    </row>
    <row r="788" spans="1:7" x14ac:dyDescent="0.2">
      <c r="A788" s="12">
        <v>38285</v>
      </c>
      <c r="B788" s="9">
        <v>1725.4</v>
      </c>
      <c r="C788" s="9">
        <v>1705.06</v>
      </c>
      <c r="D788" s="9">
        <v>1708.42</v>
      </c>
      <c r="E788" s="9">
        <f t="shared" si="36"/>
        <v>-1.2124604558804998E-2</v>
      </c>
      <c r="F788" s="9">
        <f t="shared" si="34"/>
        <v>2.4033594941639036E-2</v>
      </c>
      <c r="G788" s="9">
        <f t="shared" si="35"/>
        <v>7.4720588242428972E-3</v>
      </c>
    </row>
    <row r="789" spans="1:7" x14ac:dyDescent="0.2">
      <c r="A789" s="12">
        <v>38286</v>
      </c>
      <c r="B789" s="9">
        <v>1711.9</v>
      </c>
      <c r="C789" s="9">
        <v>1705.11</v>
      </c>
      <c r="D789" s="9">
        <v>1707.56</v>
      </c>
      <c r="E789" s="9">
        <f t="shared" si="36"/>
        <v>-5.0351583918508672E-4</v>
      </c>
      <c r="F789" s="9">
        <f t="shared" si="34"/>
        <v>2.4711938598757761E-2</v>
      </c>
      <c r="G789" s="9">
        <f t="shared" si="35"/>
        <v>7.4668757211019668E-3</v>
      </c>
    </row>
    <row r="790" spans="1:7" x14ac:dyDescent="0.2">
      <c r="A790" s="12">
        <v>38287</v>
      </c>
      <c r="B790" s="9">
        <v>1730.55</v>
      </c>
      <c r="C790" s="9">
        <v>1709.07</v>
      </c>
      <c r="D790" s="9">
        <v>1730.55</v>
      </c>
      <c r="E790" s="9">
        <f t="shared" si="36"/>
        <v>1.3373826121586645E-2</v>
      </c>
      <c r="F790" s="9">
        <f t="shared" si="34"/>
        <v>4.0760599739153303E-2</v>
      </c>
      <c r="G790" s="9">
        <f t="shared" si="35"/>
        <v>7.7760737249283436E-3</v>
      </c>
    </row>
    <row r="791" spans="1:7" x14ac:dyDescent="0.2">
      <c r="A791" s="12">
        <v>38288</v>
      </c>
      <c r="B791" s="9">
        <v>1742.37</v>
      </c>
      <c r="C791" s="9">
        <v>1724.04</v>
      </c>
      <c r="D791" s="9">
        <v>1729.54</v>
      </c>
      <c r="E791" s="9">
        <f t="shared" si="36"/>
        <v>-5.837998599376316E-4</v>
      </c>
      <c r="F791" s="9">
        <f t="shared" si="34"/>
        <v>3.8859526264277189E-2</v>
      </c>
      <c r="G791" s="9">
        <f t="shared" si="35"/>
        <v>7.7841647929206255E-3</v>
      </c>
    </row>
    <row r="792" spans="1:7" x14ac:dyDescent="0.2">
      <c r="A792" s="12">
        <v>38289</v>
      </c>
      <c r="B792" s="9">
        <v>1737.53</v>
      </c>
      <c r="C792" s="9">
        <v>1731.75</v>
      </c>
      <c r="D792" s="9">
        <v>1736.24</v>
      </c>
      <c r="E792" s="9">
        <f t="shared" si="36"/>
        <v>3.8663783312597377E-3</v>
      </c>
      <c r="F792" s="9">
        <f t="shared" si="34"/>
        <v>3.8982064951385717E-2</v>
      </c>
      <c r="G792" s="9">
        <f t="shared" si="35"/>
        <v>7.785525953375871E-3</v>
      </c>
    </row>
    <row r="793" spans="1:7" x14ac:dyDescent="0.2">
      <c r="A793" s="12">
        <v>38292</v>
      </c>
      <c r="B793" s="9">
        <v>1756.91</v>
      </c>
      <c r="C793" s="9">
        <v>1732.36</v>
      </c>
      <c r="D793" s="9">
        <v>1756.91</v>
      </c>
      <c r="E793" s="9">
        <f t="shared" si="36"/>
        <v>1.183472868566773E-2</v>
      </c>
      <c r="F793" s="9">
        <f t="shared" si="34"/>
        <v>5.1086313623591846E-2</v>
      </c>
      <c r="G793" s="9">
        <f t="shared" si="35"/>
        <v>8.0117711755914034E-3</v>
      </c>
    </row>
    <row r="794" spans="1:7" x14ac:dyDescent="0.2">
      <c r="A794" s="12">
        <v>38293</v>
      </c>
      <c r="B794" s="9">
        <v>1764.04</v>
      </c>
      <c r="C794" s="9">
        <v>1754.15</v>
      </c>
      <c r="D794" s="9">
        <v>1761.64</v>
      </c>
      <c r="E794" s="9">
        <f t="shared" si="36"/>
        <v>2.6886091425617925E-3</v>
      </c>
      <c r="F794" s="9">
        <f t="shared" si="34"/>
        <v>5.4493998066341566E-2</v>
      </c>
      <c r="G794" s="9">
        <f t="shared" si="35"/>
        <v>8.0003977933679089E-3</v>
      </c>
    </row>
    <row r="795" spans="1:7" x14ac:dyDescent="0.2">
      <c r="A795" s="12">
        <v>38294</v>
      </c>
      <c r="B795" s="9">
        <v>1769.85</v>
      </c>
      <c r="C795" s="9">
        <v>1761.19</v>
      </c>
      <c r="D795" s="9">
        <v>1764.7</v>
      </c>
      <c r="E795" s="9">
        <f t="shared" si="36"/>
        <v>1.7355109082274401E-3</v>
      </c>
      <c r="F795" s="9">
        <f t="shared" si="34"/>
        <v>6.1518586762603349E-2</v>
      </c>
      <c r="G795" s="9">
        <f t="shared" si="35"/>
        <v>7.887260669613599E-3</v>
      </c>
    </row>
    <row r="796" spans="1:7" x14ac:dyDescent="0.2">
      <c r="A796" s="12">
        <v>38295</v>
      </c>
      <c r="B796" s="9">
        <v>1767.84</v>
      </c>
      <c r="C796" s="9">
        <v>1759.28</v>
      </c>
      <c r="D796" s="9">
        <v>1764.18</v>
      </c>
      <c r="E796" s="9">
        <f t="shared" si="36"/>
        <v>-2.9471107193429356E-4</v>
      </c>
      <c r="F796" s="9">
        <f t="shared" si="34"/>
        <v>6.8008277091227004E-2</v>
      </c>
      <c r="G796" s="9">
        <f t="shared" si="35"/>
        <v>7.7238918551383318E-3</v>
      </c>
    </row>
    <row r="797" spans="1:7" x14ac:dyDescent="0.2">
      <c r="A797" s="12">
        <v>38296</v>
      </c>
      <c r="B797" s="9">
        <v>1779.94</v>
      </c>
      <c r="C797" s="9">
        <v>1767.9</v>
      </c>
      <c r="D797" s="9">
        <v>1771.09</v>
      </c>
      <c r="E797" s="9">
        <f t="shared" si="36"/>
        <v>3.9091830608223447E-3</v>
      </c>
      <c r="F797" s="9">
        <f t="shared" si="34"/>
        <v>7.0650205770654506E-2</v>
      </c>
      <c r="G797" s="9">
        <f t="shared" si="35"/>
        <v>7.7271611731773524E-3</v>
      </c>
    </row>
    <row r="798" spans="1:7" x14ac:dyDescent="0.2">
      <c r="A798" s="12">
        <v>38299</v>
      </c>
      <c r="B798" s="9">
        <v>1772.5</v>
      </c>
      <c r="C798" s="9">
        <v>1768.28</v>
      </c>
      <c r="D798" s="9">
        <v>1769.71</v>
      </c>
      <c r="E798" s="9">
        <f t="shared" si="36"/>
        <v>-7.7948490164568107E-4</v>
      </c>
      <c r="F798" s="9">
        <f t="shared" si="34"/>
        <v>7.6058475767366768E-2</v>
      </c>
      <c r="G798" s="9">
        <f t="shared" si="35"/>
        <v>7.5827227726686696E-3</v>
      </c>
    </row>
    <row r="799" spans="1:7" x14ac:dyDescent="0.2">
      <c r="A799" s="12">
        <v>38300</v>
      </c>
      <c r="B799" s="9">
        <v>1780.12</v>
      </c>
      <c r="C799" s="9">
        <v>1767.78</v>
      </c>
      <c r="D799" s="9">
        <v>1776.04</v>
      </c>
      <c r="E799" s="9">
        <f t="shared" si="36"/>
        <v>3.5704754845797115E-3</v>
      </c>
      <c r="F799" s="9">
        <f t="shared" si="34"/>
        <v>7.8696516157741134E-2</v>
      </c>
      <c r="G799" s="9">
        <f t="shared" si="35"/>
        <v>7.578789331268411E-3</v>
      </c>
    </row>
    <row r="800" spans="1:7" x14ac:dyDescent="0.2">
      <c r="A800" s="12">
        <v>38301</v>
      </c>
      <c r="B800" s="9">
        <v>1801.73</v>
      </c>
      <c r="C800" s="9">
        <v>1774.95</v>
      </c>
      <c r="D800" s="9">
        <v>1799.38</v>
      </c>
      <c r="E800" s="9">
        <f t="shared" si="36"/>
        <v>1.3055994284188943E-2</v>
      </c>
      <c r="F800" s="9">
        <f t="shared" si="34"/>
        <v>7.8638580308709502E-2</v>
      </c>
      <c r="G800" s="9">
        <f t="shared" si="35"/>
        <v>7.5760308324687789E-3</v>
      </c>
    </row>
    <row r="801" spans="1:7" x14ac:dyDescent="0.2">
      <c r="A801" s="12">
        <v>38302</v>
      </c>
      <c r="B801" s="9">
        <v>1821.23</v>
      </c>
      <c r="C801" s="9">
        <v>1797.87</v>
      </c>
      <c r="D801" s="9">
        <v>1817.12</v>
      </c>
      <c r="E801" s="9">
        <f t="shared" si="36"/>
        <v>9.8106690381375202E-3</v>
      </c>
      <c r="F801" s="9">
        <f t="shared" ref="F801:F864" si="37">LN(D801/D771)</f>
        <v>8.6683239168801773E-2</v>
      </c>
      <c r="G801" s="9">
        <f t="shared" ref="G801:G864" si="38">STDEV(E772:E801)</f>
        <v>7.6862832723925308E-3</v>
      </c>
    </row>
    <row r="802" spans="1:7" x14ac:dyDescent="0.2">
      <c r="A802" s="12">
        <v>38303</v>
      </c>
      <c r="B802" s="9">
        <v>1828.1</v>
      </c>
      <c r="C802" s="9">
        <v>1816.26</v>
      </c>
      <c r="D802" s="9">
        <v>1820.33</v>
      </c>
      <c r="E802" s="9">
        <f t="shared" si="36"/>
        <v>1.7649731725781416E-3</v>
      </c>
      <c r="F802" s="9">
        <f t="shared" si="37"/>
        <v>7.2433010158101968E-2</v>
      </c>
      <c r="G802" s="9">
        <f t="shared" si="38"/>
        <v>7.2765552388177734E-3</v>
      </c>
    </row>
    <row r="803" spans="1:7" x14ac:dyDescent="0.2">
      <c r="A803" s="12">
        <v>38306</v>
      </c>
      <c r="B803" s="9">
        <v>1829.83</v>
      </c>
      <c r="C803" s="9">
        <v>1815.64</v>
      </c>
      <c r="D803" s="9">
        <v>1819.68</v>
      </c>
      <c r="E803" s="9">
        <f t="shared" si="36"/>
        <v>-3.5714187977987113E-4</v>
      </c>
      <c r="F803" s="9">
        <f t="shared" si="37"/>
        <v>6.1962633520614166E-2</v>
      </c>
      <c r="G803" s="9">
        <f t="shared" si="38"/>
        <v>7.1444582530226708E-3</v>
      </c>
    </row>
    <row r="804" spans="1:7" x14ac:dyDescent="0.2">
      <c r="A804" s="12">
        <v>38307</v>
      </c>
      <c r="B804" s="9">
        <v>1822.99</v>
      </c>
      <c r="C804" s="9">
        <v>1803.96</v>
      </c>
      <c r="D804" s="9">
        <v>1807.47</v>
      </c>
      <c r="E804" s="9">
        <f t="shared" si="36"/>
        <v>-6.7325840513282739E-3</v>
      </c>
      <c r="F804" s="9">
        <f t="shared" si="37"/>
        <v>5.7208208437245098E-2</v>
      </c>
      <c r="G804" s="9">
        <f t="shared" si="38"/>
        <v>7.2885268790341597E-3</v>
      </c>
    </row>
    <row r="805" spans="1:7" x14ac:dyDescent="0.2">
      <c r="A805" s="12">
        <v>38308</v>
      </c>
      <c r="B805" s="9">
        <v>1826.93</v>
      </c>
      <c r="C805" s="9">
        <v>1808.47</v>
      </c>
      <c r="D805" s="9">
        <v>1826.85</v>
      </c>
      <c r="E805" s="9">
        <f t="shared" si="36"/>
        <v>1.066509481642308E-2</v>
      </c>
      <c r="F805" s="9">
        <f t="shared" si="37"/>
        <v>6.9069118044896086E-2</v>
      </c>
      <c r="G805" s="9">
        <f t="shared" si="38"/>
        <v>7.4346460787936284E-3</v>
      </c>
    </row>
    <row r="806" spans="1:7" x14ac:dyDescent="0.2">
      <c r="A806" s="12">
        <v>38309</v>
      </c>
      <c r="B806" s="9">
        <v>1829.71</v>
      </c>
      <c r="C806" s="9">
        <v>1817.33</v>
      </c>
      <c r="D806" s="9">
        <v>1827.72</v>
      </c>
      <c r="E806" s="9">
        <f t="shared" si="36"/>
        <v>4.7611621418393253E-4</v>
      </c>
      <c r="F806" s="9">
        <f t="shared" si="37"/>
        <v>6.6786466398272487E-2</v>
      </c>
      <c r="G806" s="9">
        <f t="shared" si="38"/>
        <v>7.4414909198159199E-3</v>
      </c>
    </row>
    <row r="807" spans="1:7" x14ac:dyDescent="0.2">
      <c r="A807" s="12">
        <v>38310</v>
      </c>
      <c r="B807" s="9">
        <v>1832</v>
      </c>
      <c r="C807" s="9">
        <v>1818.83</v>
      </c>
      <c r="D807" s="9">
        <v>1821.02</v>
      </c>
      <c r="E807" s="9">
        <f t="shared" si="36"/>
        <v>-3.6725047717309049E-3</v>
      </c>
      <c r="F807" s="9">
        <f t="shared" si="37"/>
        <v>6.3587857852139121E-2</v>
      </c>
      <c r="G807" s="9">
        <f t="shared" si="38"/>
        <v>7.5041622644360408E-3</v>
      </c>
    </row>
    <row r="808" spans="1:7" x14ac:dyDescent="0.2">
      <c r="A808" s="12">
        <v>38313</v>
      </c>
      <c r="B808" s="9">
        <v>1819.45</v>
      </c>
      <c r="C808" s="9">
        <v>1802.66</v>
      </c>
      <c r="D808" s="9">
        <v>1811.7</v>
      </c>
      <c r="E808" s="9">
        <f t="shared" si="36"/>
        <v>-5.1311526617168418E-3</v>
      </c>
      <c r="F808" s="9">
        <f t="shared" si="37"/>
        <v>5.349487186155788E-2</v>
      </c>
      <c r="G808" s="9">
        <f t="shared" si="38"/>
        <v>7.5980045099218341E-3</v>
      </c>
    </row>
    <row r="809" spans="1:7" x14ac:dyDescent="0.2">
      <c r="A809" s="12">
        <v>38314</v>
      </c>
      <c r="B809" s="9">
        <v>1829.98</v>
      </c>
      <c r="C809" s="9">
        <v>1812.56</v>
      </c>
      <c r="D809" s="9">
        <v>1823.61</v>
      </c>
      <c r="E809" s="9">
        <f t="shared" si="36"/>
        <v>6.5524220009828766E-3</v>
      </c>
      <c r="F809" s="9">
        <f t="shared" si="37"/>
        <v>6.7839624593687059E-2</v>
      </c>
      <c r="G809" s="9">
        <f t="shared" si="38"/>
        <v>7.4239993117741149E-3</v>
      </c>
    </row>
    <row r="810" spans="1:7" x14ac:dyDescent="0.2">
      <c r="A810" s="12">
        <v>38315</v>
      </c>
      <c r="B810" s="9">
        <v>1833.19</v>
      </c>
      <c r="C810" s="9">
        <v>1825.04</v>
      </c>
      <c r="D810" s="9">
        <v>1832.78</v>
      </c>
      <c r="E810" s="9">
        <f t="shared" si="36"/>
        <v>5.0158868314119816E-3</v>
      </c>
      <c r="F810" s="9">
        <f t="shared" si="37"/>
        <v>6.4545068589684673E-2</v>
      </c>
      <c r="G810" s="9">
        <f t="shared" si="38"/>
        <v>7.355483905643269E-3</v>
      </c>
    </row>
    <row r="811" spans="1:7" x14ac:dyDescent="0.2">
      <c r="A811" s="12">
        <v>38316</v>
      </c>
      <c r="B811" s="9">
        <v>1855.01</v>
      </c>
      <c r="C811" s="9">
        <v>1833.07</v>
      </c>
      <c r="D811" s="9">
        <v>1852.13</v>
      </c>
      <c r="E811" s="9">
        <f t="shared" si="36"/>
        <v>1.0502388312703129E-2</v>
      </c>
      <c r="F811" s="9">
        <f t="shared" si="37"/>
        <v>7.87266219006897E-2</v>
      </c>
      <c r="G811" s="9">
        <f t="shared" si="38"/>
        <v>7.4232344835386222E-3</v>
      </c>
    </row>
    <row r="812" spans="1:7" x14ac:dyDescent="0.2">
      <c r="A812" s="12">
        <v>38317</v>
      </c>
      <c r="B812" s="9">
        <v>1859.02</v>
      </c>
      <c r="C812" s="9">
        <v>1847.66</v>
      </c>
      <c r="D812" s="9">
        <v>1857.7</v>
      </c>
      <c r="E812" s="9">
        <f t="shared" si="36"/>
        <v>3.0028352702949402E-3</v>
      </c>
      <c r="F812" s="9">
        <f t="shared" si="37"/>
        <v>8.0159346152702926E-2</v>
      </c>
      <c r="G812" s="9">
        <f t="shared" si="38"/>
        <v>7.4208273405358465E-3</v>
      </c>
    </row>
    <row r="813" spans="1:7" x14ac:dyDescent="0.2">
      <c r="A813" s="12">
        <v>38320</v>
      </c>
      <c r="B813" s="9">
        <v>1872.56</v>
      </c>
      <c r="C813" s="9">
        <v>1856.65</v>
      </c>
      <c r="D813" s="9">
        <v>1859.49</v>
      </c>
      <c r="E813" s="9">
        <f t="shared" si="36"/>
        <v>9.6309316357748819E-4</v>
      </c>
      <c r="F813" s="9">
        <f t="shared" si="37"/>
        <v>8.3165818023011345E-2</v>
      </c>
      <c r="G813" s="9">
        <f t="shared" si="38"/>
        <v>7.3751120988144563E-3</v>
      </c>
    </row>
    <row r="814" spans="1:7" x14ac:dyDescent="0.2">
      <c r="A814" s="12">
        <v>38321</v>
      </c>
      <c r="B814" s="9">
        <v>1864.49</v>
      </c>
      <c r="C814" s="9">
        <v>1854.18</v>
      </c>
      <c r="D814" s="9">
        <v>1856.15</v>
      </c>
      <c r="E814" s="9">
        <f t="shared" si="36"/>
        <v>-1.7978065149494131E-3</v>
      </c>
      <c r="F814" s="9">
        <f t="shared" si="37"/>
        <v>6.5205715620403629E-2</v>
      </c>
      <c r="G814" s="9">
        <f t="shared" si="38"/>
        <v>6.9684361612428747E-3</v>
      </c>
    </row>
    <row r="815" spans="1:7" x14ac:dyDescent="0.2">
      <c r="A815" s="12">
        <v>38322</v>
      </c>
      <c r="B815" s="9">
        <v>1855.66</v>
      </c>
      <c r="C815" s="9">
        <v>1841.28</v>
      </c>
      <c r="D815" s="9">
        <v>1855.66</v>
      </c>
      <c r="E815" s="9">
        <f t="shared" si="36"/>
        <v>-2.6402213628739054E-4</v>
      </c>
      <c r="F815" s="9">
        <f t="shared" si="37"/>
        <v>8.2238406175204004E-2</v>
      </c>
      <c r="G815" s="9">
        <f t="shared" si="38"/>
        <v>5.9462972383215809E-3</v>
      </c>
    </row>
    <row r="816" spans="1:7" x14ac:dyDescent="0.2">
      <c r="A816" s="12">
        <v>38323</v>
      </c>
      <c r="B816" s="9">
        <v>1859.83</v>
      </c>
      <c r="C816" s="9">
        <v>1851.13</v>
      </c>
      <c r="D816" s="9">
        <v>1858.65</v>
      </c>
      <c r="E816" s="9">
        <f t="shared" si="36"/>
        <v>1.609989820912529E-3</v>
      </c>
      <c r="F816" s="9">
        <f t="shared" si="37"/>
        <v>7.8823479749381573E-2</v>
      </c>
      <c r="G816" s="9">
        <f t="shared" si="38"/>
        <v>5.9337467806004039E-3</v>
      </c>
    </row>
    <row r="817" spans="1:7" x14ac:dyDescent="0.2">
      <c r="A817" s="12">
        <v>38324</v>
      </c>
      <c r="B817" s="9">
        <v>1862.73</v>
      </c>
      <c r="C817" s="9">
        <v>1851.15</v>
      </c>
      <c r="D817" s="9">
        <v>1857.02</v>
      </c>
      <c r="E817" s="9">
        <f t="shared" si="36"/>
        <v>-8.7736537666722959E-4</v>
      </c>
      <c r="F817" s="9">
        <f t="shared" si="37"/>
        <v>7.12794810361327E-2</v>
      </c>
      <c r="G817" s="9">
        <f t="shared" si="38"/>
        <v>5.916496020215053E-3</v>
      </c>
    </row>
    <row r="818" spans="1:7" x14ac:dyDescent="0.2">
      <c r="A818" s="12">
        <v>38328</v>
      </c>
      <c r="B818" s="9">
        <v>1869.6</v>
      </c>
      <c r="C818" s="9">
        <v>1854.56</v>
      </c>
      <c r="D818" s="9">
        <v>1867.79</v>
      </c>
      <c r="E818" s="9">
        <f t="shared" si="36"/>
        <v>5.7828614150612365E-3</v>
      </c>
      <c r="F818" s="9">
        <f t="shared" si="37"/>
        <v>8.9186947009998935E-2</v>
      </c>
      <c r="G818" s="9">
        <f t="shared" si="38"/>
        <v>5.2712406988734643E-3</v>
      </c>
    </row>
    <row r="819" spans="1:7" x14ac:dyDescent="0.2">
      <c r="A819" s="12">
        <v>38329</v>
      </c>
      <c r="B819" s="9">
        <v>1865.65</v>
      </c>
      <c r="C819" s="9">
        <v>1838.36</v>
      </c>
      <c r="D819" s="9">
        <v>1839.65</v>
      </c>
      <c r="E819" s="9">
        <f t="shared" si="36"/>
        <v>-1.5180577650901184E-2</v>
      </c>
      <c r="F819" s="9">
        <f t="shared" si="37"/>
        <v>7.4509885198282652E-2</v>
      </c>
      <c r="G819" s="9">
        <f t="shared" si="38"/>
        <v>6.2036587381125319E-3</v>
      </c>
    </row>
    <row r="820" spans="1:7" x14ac:dyDescent="0.2">
      <c r="A820" s="12">
        <v>38330</v>
      </c>
      <c r="B820" s="9">
        <v>1840.71</v>
      </c>
      <c r="C820" s="9">
        <v>1815.78</v>
      </c>
      <c r="D820" s="9">
        <v>1824.32</v>
      </c>
      <c r="E820" s="9">
        <f t="shared" si="36"/>
        <v>-8.3680212748875552E-3</v>
      </c>
      <c r="F820" s="9">
        <f t="shared" si="37"/>
        <v>5.2768037801808595E-2</v>
      </c>
      <c r="G820" s="9">
        <f t="shared" si="38"/>
        <v>6.1573688159031739E-3</v>
      </c>
    </row>
    <row r="821" spans="1:7" x14ac:dyDescent="0.2">
      <c r="A821" s="12">
        <v>38331</v>
      </c>
      <c r="B821" s="9">
        <v>1828.93</v>
      </c>
      <c r="C821" s="9">
        <v>1816.17</v>
      </c>
      <c r="D821" s="9">
        <v>1825.16</v>
      </c>
      <c r="E821" s="9">
        <f t="shared" si="36"/>
        <v>4.6033956335370563E-4</v>
      </c>
      <c r="F821" s="9">
        <f t="shared" si="37"/>
        <v>5.3812177225100122E-2</v>
      </c>
      <c r="G821" s="9">
        <f t="shared" si="38"/>
        <v>6.1466114431122602E-3</v>
      </c>
    </row>
    <row r="822" spans="1:7" x14ac:dyDescent="0.2">
      <c r="A822" s="12">
        <v>38334</v>
      </c>
      <c r="B822" s="9">
        <v>1828.71</v>
      </c>
      <c r="C822" s="9">
        <v>1813.16</v>
      </c>
      <c r="D822" s="9">
        <v>1818.7</v>
      </c>
      <c r="E822" s="9">
        <f t="shared" si="36"/>
        <v>-3.5456942735984185E-3</v>
      </c>
      <c r="F822" s="9">
        <f t="shared" si="37"/>
        <v>4.6400104620241751E-2</v>
      </c>
      <c r="G822" s="9">
        <f t="shared" si="38"/>
        <v>6.2090772211038543E-3</v>
      </c>
    </row>
    <row r="823" spans="1:7" x14ac:dyDescent="0.2">
      <c r="A823" s="12">
        <v>38335</v>
      </c>
      <c r="B823" s="9">
        <v>1829.52</v>
      </c>
      <c r="C823" s="9">
        <v>1813.08</v>
      </c>
      <c r="D823" s="9">
        <v>1816.45</v>
      </c>
      <c r="E823" s="9">
        <f t="shared" si="36"/>
        <v>-1.2379133115995272E-3</v>
      </c>
      <c r="F823" s="9">
        <f t="shared" si="37"/>
        <v>3.332746262297457E-2</v>
      </c>
      <c r="G823" s="9">
        <f t="shared" si="38"/>
        <v>5.9138640419432202E-3</v>
      </c>
    </row>
    <row r="824" spans="1:7" x14ac:dyDescent="0.2">
      <c r="A824" s="12">
        <v>38336</v>
      </c>
      <c r="B824" s="9">
        <v>1820.49</v>
      </c>
      <c r="C824" s="9">
        <v>1803.81</v>
      </c>
      <c r="D824" s="9">
        <v>1804.03</v>
      </c>
      <c r="E824" s="9">
        <f t="shared" si="36"/>
        <v>-6.8609956253242238E-3</v>
      </c>
      <c r="F824" s="9">
        <f t="shared" si="37"/>
        <v>2.377785785508859E-2</v>
      </c>
      <c r="G824" s="9">
        <f t="shared" si="38"/>
        <v>6.0806710888446688E-3</v>
      </c>
    </row>
    <row r="825" spans="1:7" x14ac:dyDescent="0.2">
      <c r="A825" s="12">
        <v>38337</v>
      </c>
      <c r="B825" s="9">
        <v>1812.91</v>
      </c>
      <c r="C825" s="9">
        <v>1803.6</v>
      </c>
      <c r="D825" s="9">
        <v>1809.04</v>
      </c>
      <c r="E825" s="9">
        <f t="shared" si="36"/>
        <v>2.7732666186900011E-3</v>
      </c>
      <c r="F825" s="9">
        <f t="shared" si="37"/>
        <v>2.481561356555112E-2</v>
      </c>
      <c r="G825" s="9">
        <f t="shared" si="38"/>
        <v>6.0891660066540038E-3</v>
      </c>
    </row>
    <row r="826" spans="1:7" x14ac:dyDescent="0.2">
      <c r="A826" s="12">
        <v>38338</v>
      </c>
      <c r="B826" s="9">
        <v>1812.74</v>
      </c>
      <c r="C826" s="9">
        <v>1787.51</v>
      </c>
      <c r="D826" s="9">
        <v>1794.18</v>
      </c>
      <c r="E826" s="9">
        <f t="shared" si="36"/>
        <v>-8.2482247810006688E-3</v>
      </c>
      <c r="F826" s="9">
        <f t="shared" si="37"/>
        <v>1.6862099856484788E-2</v>
      </c>
      <c r="G826" s="9">
        <f t="shared" si="38"/>
        <v>6.3088776256442353E-3</v>
      </c>
    </row>
    <row r="827" spans="1:7" x14ac:dyDescent="0.2">
      <c r="A827" s="12">
        <v>38341</v>
      </c>
      <c r="B827" s="9">
        <v>1820.79</v>
      </c>
      <c r="C827" s="9">
        <v>1794.9</v>
      </c>
      <c r="D827" s="9">
        <v>1818.85</v>
      </c>
      <c r="E827" s="9">
        <f t="shared" si="36"/>
        <v>1.3656340192434413E-2</v>
      </c>
      <c r="F827" s="9">
        <f t="shared" si="37"/>
        <v>2.6609256988096592E-2</v>
      </c>
      <c r="G827" s="9">
        <f t="shared" si="38"/>
        <v>6.7244946321693084E-3</v>
      </c>
    </row>
    <row r="828" spans="1:7" x14ac:dyDescent="0.2">
      <c r="A828" s="12">
        <v>38342</v>
      </c>
      <c r="B828" s="9">
        <v>1833.07</v>
      </c>
      <c r="C828" s="9">
        <v>1818.14</v>
      </c>
      <c r="D828" s="9">
        <v>1829.8</v>
      </c>
      <c r="E828" s="9">
        <f t="shared" si="36"/>
        <v>6.0022380192624597E-3</v>
      </c>
      <c r="F828" s="9">
        <f t="shared" si="37"/>
        <v>3.3390979909004768E-2</v>
      </c>
      <c r="G828" s="9">
        <f t="shared" si="38"/>
        <v>6.7803005192730087E-3</v>
      </c>
    </row>
    <row r="829" spans="1:7" x14ac:dyDescent="0.2">
      <c r="A829" s="12">
        <v>38343</v>
      </c>
      <c r="B829" s="9">
        <v>1841.3</v>
      </c>
      <c r="C829" s="9">
        <v>1831.95</v>
      </c>
      <c r="D829" s="9">
        <v>1841.3</v>
      </c>
      <c r="E829" s="9">
        <f t="shared" si="36"/>
        <v>6.2651726277396019E-3</v>
      </c>
      <c r="F829" s="9">
        <f t="shared" si="37"/>
        <v>3.6085677052164748E-2</v>
      </c>
      <c r="G829" s="9">
        <f t="shared" si="38"/>
        <v>6.8316334528436681E-3</v>
      </c>
    </row>
    <row r="830" spans="1:7" x14ac:dyDescent="0.2">
      <c r="A830" s="12">
        <v>38344</v>
      </c>
      <c r="B830" s="9">
        <v>1840.67</v>
      </c>
      <c r="C830" s="9">
        <v>1833.88</v>
      </c>
      <c r="D830" s="9">
        <v>1840.21</v>
      </c>
      <c r="E830" s="9">
        <f t="shared" si="36"/>
        <v>-5.9214834774300477E-4</v>
      </c>
      <c r="F830" s="9">
        <f t="shared" si="37"/>
        <v>2.243753442023267E-2</v>
      </c>
      <c r="G830" s="9">
        <f t="shared" si="38"/>
        <v>6.4593726187782982E-3</v>
      </c>
    </row>
    <row r="831" spans="1:7" x14ac:dyDescent="0.2">
      <c r="A831" s="12">
        <v>38348</v>
      </c>
      <c r="B831" s="9">
        <v>1839.52</v>
      </c>
      <c r="C831" s="9">
        <v>1833.53</v>
      </c>
      <c r="D831" s="9">
        <v>1837.74</v>
      </c>
      <c r="E831" s="9">
        <f t="shared" si="36"/>
        <v>-1.3431397225782235E-3</v>
      </c>
      <c r="F831" s="9">
        <f t="shared" si="37"/>
        <v>1.1283725659516998E-2</v>
      </c>
      <c r="G831" s="9">
        <f t="shared" si="38"/>
        <v>6.2369131707744703E-3</v>
      </c>
    </row>
    <row r="832" spans="1:7" x14ac:dyDescent="0.2">
      <c r="A832" s="12">
        <v>38349</v>
      </c>
      <c r="B832" s="9">
        <v>1837.89</v>
      </c>
      <c r="C832" s="9">
        <v>1824.88</v>
      </c>
      <c r="D832" s="9">
        <v>1832.6</v>
      </c>
      <c r="E832" s="9">
        <f t="shared" si="36"/>
        <v>-2.8008322717403213E-3</v>
      </c>
      <c r="F832" s="9">
        <f t="shared" si="37"/>
        <v>6.717920215198442E-3</v>
      </c>
      <c r="G832" s="9">
        <f t="shared" si="38"/>
        <v>6.2575272078876504E-3</v>
      </c>
    </row>
    <row r="833" spans="1:7" x14ac:dyDescent="0.2">
      <c r="A833" s="12">
        <v>38350</v>
      </c>
      <c r="B833" s="9">
        <v>1836.22</v>
      </c>
      <c r="C833" s="9">
        <v>1827.03</v>
      </c>
      <c r="D833" s="9">
        <v>1829.03</v>
      </c>
      <c r="E833" s="9">
        <f t="shared" si="36"/>
        <v>-1.9499518690789541E-3</v>
      </c>
      <c r="F833" s="9">
        <f t="shared" si="37"/>
        <v>5.1251102258994706E-3</v>
      </c>
      <c r="G833" s="9">
        <f t="shared" si="38"/>
        <v>6.2693735809886157E-3</v>
      </c>
    </row>
    <row r="834" spans="1:7" x14ac:dyDescent="0.2">
      <c r="A834" s="12">
        <v>38351</v>
      </c>
      <c r="B834" s="9">
        <v>1832.66</v>
      </c>
      <c r="C834" s="9">
        <v>1827.08</v>
      </c>
      <c r="D834" s="9">
        <v>1830.98</v>
      </c>
      <c r="E834" s="9">
        <f t="shared" si="36"/>
        <v>1.0655709599205619E-3</v>
      </c>
      <c r="F834" s="9">
        <f t="shared" si="37"/>
        <v>1.2923265237148325E-2</v>
      </c>
      <c r="G834" s="9">
        <f t="shared" si="38"/>
        <v>6.1334655604408338E-3</v>
      </c>
    </row>
    <row r="835" spans="1:7" x14ac:dyDescent="0.2">
      <c r="A835" s="12">
        <v>38355</v>
      </c>
      <c r="B835" s="9">
        <v>1854.83</v>
      </c>
      <c r="C835" s="9">
        <v>1830.98</v>
      </c>
      <c r="D835" s="9">
        <v>1841.55</v>
      </c>
      <c r="E835" s="9">
        <f t="shared" si="36"/>
        <v>5.7562656730041515E-3</v>
      </c>
      <c r="F835" s="9">
        <f t="shared" si="37"/>
        <v>8.0144360937294597E-3</v>
      </c>
      <c r="G835" s="9">
        <f t="shared" si="38"/>
        <v>5.9125201095335455E-3</v>
      </c>
    </row>
    <row r="836" spans="1:7" x14ac:dyDescent="0.2">
      <c r="A836" s="12">
        <v>38356</v>
      </c>
      <c r="B836" s="9">
        <v>1849.48</v>
      </c>
      <c r="C836" s="9">
        <v>1839.5</v>
      </c>
      <c r="D836" s="9">
        <v>1844.32</v>
      </c>
      <c r="E836" s="9">
        <f t="shared" ref="E836:E899" si="39">LN(D836/D835)</f>
        <v>1.5030375577437507E-3</v>
      </c>
      <c r="F836" s="9">
        <f t="shared" si="37"/>
        <v>9.0413574372895239E-3</v>
      </c>
      <c r="G836" s="9">
        <f t="shared" si="38"/>
        <v>5.9167428441411008E-3</v>
      </c>
    </row>
    <row r="837" spans="1:7" x14ac:dyDescent="0.2">
      <c r="A837" s="12">
        <v>38357</v>
      </c>
      <c r="B837" s="9">
        <v>1843.52</v>
      </c>
      <c r="C837" s="9">
        <v>1829.71</v>
      </c>
      <c r="D837" s="9">
        <v>1829.71</v>
      </c>
      <c r="E837" s="9">
        <f t="shared" si="39"/>
        <v>-7.9531615202794257E-3</v>
      </c>
      <c r="F837" s="9">
        <f t="shared" si="37"/>
        <v>4.7607006887407629E-3</v>
      </c>
      <c r="G837" s="9">
        <f t="shared" si="38"/>
        <v>6.0656250588211908E-3</v>
      </c>
    </row>
    <row r="838" spans="1:7" x14ac:dyDescent="0.2">
      <c r="A838" s="12">
        <v>38359</v>
      </c>
      <c r="B838" s="9">
        <v>1852.54</v>
      </c>
      <c r="C838" s="9">
        <v>1830.37</v>
      </c>
      <c r="D838" s="9">
        <v>1850.58</v>
      </c>
      <c r="E838" s="9">
        <f t="shared" si="39"/>
        <v>1.1341619118368777E-2</v>
      </c>
      <c r="F838" s="9">
        <f t="shared" si="37"/>
        <v>2.1233472468826523E-2</v>
      </c>
      <c r="G838" s="9">
        <f t="shared" si="38"/>
        <v>6.3108904424607707E-3</v>
      </c>
    </row>
    <row r="839" spans="1:7" x14ac:dyDescent="0.2">
      <c r="A839" s="12">
        <v>38362</v>
      </c>
      <c r="B839" s="9">
        <v>1859.79</v>
      </c>
      <c r="C839" s="9">
        <v>1850.1</v>
      </c>
      <c r="D839" s="9">
        <v>1857.64</v>
      </c>
      <c r="E839" s="9">
        <f t="shared" si="39"/>
        <v>3.8077614220681493E-3</v>
      </c>
      <c r="F839" s="9">
        <f t="shared" si="37"/>
        <v>1.8488811889911735E-2</v>
      </c>
      <c r="G839" s="9">
        <f t="shared" si="38"/>
        <v>6.2427661853220896E-3</v>
      </c>
    </row>
    <row r="840" spans="1:7" x14ac:dyDescent="0.2">
      <c r="A840" s="12">
        <v>38363</v>
      </c>
      <c r="B840" s="9">
        <v>1860.34</v>
      </c>
      <c r="C840" s="9">
        <v>1837.28</v>
      </c>
      <c r="D840" s="9">
        <v>1840.85</v>
      </c>
      <c r="E840" s="9">
        <f t="shared" si="39"/>
        <v>-9.0794434171538145E-3</v>
      </c>
      <c r="F840" s="9">
        <f t="shared" si="37"/>
        <v>4.3934816413458101E-3</v>
      </c>
      <c r="G840" s="9">
        <f t="shared" si="38"/>
        <v>6.4279026661839701E-3</v>
      </c>
    </row>
    <row r="841" spans="1:7" x14ac:dyDescent="0.2">
      <c r="A841" s="12">
        <v>38364</v>
      </c>
      <c r="B841" s="9">
        <v>1843.78</v>
      </c>
      <c r="C841" s="9">
        <v>1817.24</v>
      </c>
      <c r="D841" s="9">
        <v>1821.92</v>
      </c>
      <c r="E841" s="9">
        <f t="shared" si="39"/>
        <v>-1.0336531393411164E-2</v>
      </c>
      <c r="F841" s="9">
        <f t="shared" si="37"/>
        <v>-1.6445438064768562E-2</v>
      </c>
      <c r="G841" s="9">
        <f t="shared" si="38"/>
        <v>6.3960982461597569E-3</v>
      </c>
    </row>
    <row r="842" spans="1:7" x14ac:dyDescent="0.2">
      <c r="A842" s="12">
        <v>38365</v>
      </c>
      <c r="B842" s="9">
        <v>1835.85</v>
      </c>
      <c r="C842" s="9">
        <v>1823.06</v>
      </c>
      <c r="D842" s="9">
        <v>1832.16</v>
      </c>
      <c r="E842" s="9">
        <f t="shared" si="39"/>
        <v>5.6047086027344673E-3</v>
      </c>
      <c r="F842" s="9">
        <f t="shared" si="37"/>
        <v>-1.3843564732329179E-2</v>
      </c>
      <c r="G842" s="9">
        <f t="shared" si="38"/>
        <v>6.4631976382210528E-3</v>
      </c>
    </row>
    <row r="843" spans="1:7" x14ac:dyDescent="0.2">
      <c r="A843" s="12">
        <v>38366</v>
      </c>
      <c r="B843" s="9">
        <v>1837.18</v>
      </c>
      <c r="C843" s="9">
        <v>1827.47</v>
      </c>
      <c r="D843" s="9">
        <v>1836.2</v>
      </c>
      <c r="E843" s="9">
        <f t="shared" si="39"/>
        <v>2.2026200445704192E-3</v>
      </c>
      <c r="F843" s="9">
        <f t="shared" si="37"/>
        <v>-1.2604037851336259E-2</v>
      </c>
      <c r="G843" s="9">
        <f t="shared" si="38"/>
        <v>6.4765665784492863E-3</v>
      </c>
    </row>
    <row r="844" spans="1:7" x14ac:dyDescent="0.2">
      <c r="A844" s="12">
        <v>38369</v>
      </c>
      <c r="B844" s="9">
        <v>1851.48</v>
      </c>
      <c r="C844" s="9">
        <v>1837.61</v>
      </c>
      <c r="D844" s="9">
        <v>1851.33</v>
      </c>
      <c r="E844" s="9">
        <f t="shared" si="39"/>
        <v>8.2060809832734394E-3</v>
      </c>
      <c r="F844" s="9">
        <f t="shared" si="37"/>
        <v>-2.6001503531135266E-3</v>
      </c>
      <c r="G844" s="9">
        <f t="shared" si="38"/>
        <v>6.6581793475229533E-3</v>
      </c>
    </row>
    <row r="845" spans="1:7" x14ac:dyDescent="0.2">
      <c r="A845" s="12">
        <v>38370</v>
      </c>
      <c r="B845" s="9">
        <v>1851.63</v>
      </c>
      <c r="C845" s="9">
        <v>1842.25</v>
      </c>
      <c r="D845" s="9">
        <v>1851.47</v>
      </c>
      <c r="E845" s="9">
        <f t="shared" si="39"/>
        <v>7.5618450938076681E-5</v>
      </c>
      <c r="F845" s="9">
        <f t="shared" si="37"/>
        <v>-2.2605097658880305E-3</v>
      </c>
      <c r="G845" s="9">
        <f t="shared" si="38"/>
        <v>6.6581561447800483E-3</v>
      </c>
    </row>
    <row r="846" spans="1:7" x14ac:dyDescent="0.2">
      <c r="A846" s="12">
        <v>38371</v>
      </c>
      <c r="B846" s="9">
        <v>1856.15</v>
      </c>
      <c r="C846" s="9">
        <v>1842.72</v>
      </c>
      <c r="D846" s="9">
        <v>1845.95</v>
      </c>
      <c r="E846" s="9">
        <f t="shared" si="39"/>
        <v>-2.9858680383007454E-3</v>
      </c>
      <c r="F846" s="9">
        <f t="shared" si="37"/>
        <v>-6.8563676251013027E-3</v>
      </c>
      <c r="G846" s="9">
        <f t="shared" si="38"/>
        <v>6.6709016412204829E-3</v>
      </c>
    </row>
    <row r="847" spans="1:7" x14ac:dyDescent="0.2">
      <c r="A847" s="12">
        <v>38372</v>
      </c>
      <c r="B847" s="9">
        <v>1841.23</v>
      </c>
      <c r="C847" s="9">
        <v>1814.94</v>
      </c>
      <c r="D847" s="9">
        <v>1817.13</v>
      </c>
      <c r="E847" s="9">
        <f t="shared" si="39"/>
        <v>-1.5735716763439878E-2</v>
      </c>
      <c r="F847" s="9">
        <f t="shared" si="37"/>
        <v>-2.1714719011873978E-2</v>
      </c>
      <c r="G847" s="9">
        <f t="shared" si="38"/>
        <v>7.2473997788065955E-3</v>
      </c>
    </row>
    <row r="848" spans="1:7" x14ac:dyDescent="0.2">
      <c r="A848" s="12">
        <v>38373</v>
      </c>
      <c r="B848" s="9">
        <v>1824.37</v>
      </c>
      <c r="C848" s="9">
        <v>1814.89</v>
      </c>
      <c r="D848" s="9">
        <v>1821.88</v>
      </c>
      <c r="E848" s="9">
        <f t="shared" si="39"/>
        <v>2.6106016184067149E-3</v>
      </c>
      <c r="F848" s="9">
        <f t="shared" si="37"/>
        <v>-2.4886978808528363E-2</v>
      </c>
      <c r="G848" s="9">
        <f t="shared" si="38"/>
        <v>7.1719407783357595E-3</v>
      </c>
    </row>
    <row r="849" spans="1:7" x14ac:dyDescent="0.2">
      <c r="A849" s="12">
        <v>38376</v>
      </c>
      <c r="B849" s="9">
        <v>1821.88</v>
      </c>
      <c r="C849" s="9">
        <v>1802.76</v>
      </c>
      <c r="D849" s="9">
        <v>1809.08</v>
      </c>
      <c r="E849" s="9">
        <f t="shared" si="39"/>
        <v>-7.050506215199339E-3</v>
      </c>
      <c r="F849" s="9">
        <f t="shared" si="37"/>
        <v>-1.6756907372826493E-2</v>
      </c>
      <c r="G849" s="9">
        <f t="shared" si="38"/>
        <v>6.752293591691088E-3</v>
      </c>
    </row>
    <row r="850" spans="1:7" x14ac:dyDescent="0.2">
      <c r="A850" s="12">
        <v>38377</v>
      </c>
      <c r="B850" s="9">
        <v>1819.79</v>
      </c>
      <c r="C850" s="9">
        <v>1802.68</v>
      </c>
      <c r="D850" s="9">
        <v>1816.46</v>
      </c>
      <c r="E850" s="9">
        <f t="shared" si="39"/>
        <v>4.071123304685528E-3</v>
      </c>
      <c r="F850" s="9">
        <f t="shared" si="37"/>
        <v>-4.3177627932533954E-3</v>
      </c>
      <c r="G850" s="9">
        <f t="shared" si="38"/>
        <v>6.6371452653146961E-3</v>
      </c>
    </row>
    <row r="851" spans="1:7" x14ac:dyDescent="0.2">
      <c r="A851" s="12">
        <v>38378</v>
      </c>
      <c r="B851" s="9">
        <v>1821.59</v>
      </c>
      <c r="C851" s="9">
        <v>1809.05</v>
      </c>
      <c r="D851" s="9">
        <v>1818.03</v>
      </c>
      <c r="E851" s="9">
        <f t="shared" si="39"/>
        <v>8.6394520147488297E-4</v>
      </c>
      <c r="F851" s="9">
        <f t="shared" si="37"/>
        <v>-3.914157155132313E-3</v>
      </c>
      <c r="G851" s="9">
        <f t="shared" si="38"/>
        <v>6.6388211926762097E-3</v>
      </c>
    </row>
    <row r="852" spans="1:7" x14ac:dyDescent="0.2">
      <c r="A852" s="12">
        <v>38379</v>
      </c>
      <c r="B852" s="9">
        <v>1835.51</v>
      </c>
      <c r="C852" s="9">
        <v>1815.04</v>
      </c>
      <c r="D852" s="9">
        <v>1830.18</v>
      </c>
      <c r="E852" s="9">
        <f t="shared" si="39"/>
        <v>6.6608254026739129E-3</v>
      </c>
      <c r="F852" s="9">
        <f t="shared" si="37"/>
        <v>6.2923625211400332E-3</v>
      </c>
      <c r="G852" s="9">
        <f t="shared" si="38"/>
        <v>6.7188104410047401E-3</v>
      </c>
    </row>
    <row r="853" spans="1:7" x14ac:dyDescent="0.2">
      <c r="A853" s="12">
        <v>38380</v>
      </c>
      <c r="B853" s="9">
        <v>1836.3</v>
      </c>
      <c r="C853" s="9">
        <v>1814.68</v>
      </c>
      <c r="D853" s="9">
        <v>1815.72</v>
      </c>
      <c r="E853" s="9">
        <f t="shared" si="39"/>
        <v>-7.9322394026325252E-3</v>
      </c>
      <c r="F853" s="9">
        <f t="shared" si="37"/>
        <v>-4.0196356989305416E-4</v>
      </c>
      <c r="G853" s="9">
        <f t="shared" si="38"/>
        <v>6.8778314532387469E-3</v>
      </c>
    </row>
    <row r="854" spans="1:7" x14ac:dyDescent="0.2">
      <c r="A854" s="12">
        <v>38383</v>
      </c>
      <c r="B854" s="9">
        <v>1828.87</v>
      </c>
      <c r="C854" s="9">
        <v>1817.29</v>
      </c>
      <c r="D854" s="9">
        <v>1828.62</v>
      </c>
      <c r="E854" s="9">
        <f t="shared" si="39"/>
        <v>7.0795007481385345E-3</v>
      </c>
      <c r="F854" s="9">
        <f t="shared" si="37"/>
        <v>1.353853280356976E-2</v>
      </c>
      <c r="G854" s="9">
        <f t="shared" si="38"/>
        <v>6.8701606821437982E-3</v>
      </c>
    </row>
    <row r="855" spans="1:7" x14ac:dyDescent="0.2">
      <c r="A855" s="12">
        <v>38384</v>
      </c>
      <c r="B855" s="9">
        <v>1848.23</v>
      </c>
      <c r="C855" s="9">
        <v>1821.39</v>
      </c>
      <c r="D855" s="9">
        <v>1848.23</v>
      </c>
      <c r="E855" s="9">
        <f t="shared" si="39"/>
        <v>1.0666840332107092E-2</v>
      </c>
      <c r="F855" s="9">
        <f t="shared" si="37"/>
        <v>2.1432106516986626E-2</v>
      </c>
      <c r="G855" s="9">
        <f t="shared" si="38"/>
        <v>7.109156691614809E-3</v>
      </c>
    </row>
    <row r="856" spans="1:7" x14ac:dyDescent="0.2">
      <c r="A856" s="12">
        <v>38385</v>
      </c>
      <c r="B856" s="9">
        <v>1867.54</v>
      </c>
      <c r="C856" s="9">
        <v>1848.66</v>
      </c>
      <c r="D856" s="9">
        <v>1866.17</v>
      </c>
      <c r="E856" s="9">
        <f t="shared" si="39"/>
        <v>9.6597778915517574E-3</v>
      </c>
      <c r="F856" s="9">
        <f t="shared" si="37"/>
        <v>3.9340109189538973E-2</v>
      </c>
      <c r="G856" s="9">
        <f t="shared" si="38"/>
        <v>7.0824316087318793E-3</v>
      </c>
    </row>
    <row r="857" spans="1:7" x14ac:dyDescent="0.2">
      <c r="A857" s="12">
        <v>38386</v>
      </c>
      <c r="B857" s="9">
        <v>1897.22</v>
      </c>
      <c r="C857" s="9">
        <v>1865.86</v>
      </c>
      <c r="D857" s="9">
        <v>1890.38</v>
      </c>
      <c r="E857" s="9">
        <f t="shared" si="39"/>
        <v>1.2889664821978076E-2</v>
      </c>
      <c r="F857" s="9">
        <f t="shared" si="37"/>
        <v>3.8573433819082813E-2</v>
      </c>
      <c r="G857" s="9">
        <f t="shared" si="38"/>
        <v>7.0375918332506839E-3</v>
      </c>
    </row>
    <row r="858" spans="1:7" x14ac:dyDescent="0.2">
      <c r="A858" s="12">
        <v>38387</v>
      </c>
      <c r="B858" s="9">
        <v>1899.27</v>
      </c>
      <c r="C858" s="9">
        <v>1887.3</v>
      </c>
      <c r="D858" s="9">
        <v>1895.36</v>
      </c>
      <c r="E858" s="9">
        <f t="shared" si="39"/>
        <v>2.6309270433452713E-3</v>
      </c>
      <c r="F858" s="9">
        <f t="shared" si="37"/>
        <v>3.520212284316554E-2</v>
      </c>
      <c r="G858" s="9">
        <f t="shared" si="38"/>
        <v>6.9864125753819227E-3</v>
      </c>
    </row>
    <row r="859" spans="1:7" x14ac:dyDescent="0.2">
      <c r="A859" s="12">
        <v>38390</v>
      </c>
      <c r="B859" s="9">
        <v>1916.24</v>
      </c>
      <c r="C859" s="9">
        <v>1896.45</v>
      </c>
      <c r="D859" s="9">
        <v>1910.82</v>
      </c>
      <c r="E859" s="9">
        <f t="shared" si="39"/>
        <v>8.1236751926096161E-3</v>
      </c>
      <c r="F859" s="9">
        <f t="shared" si="37"/>
        <v>3.7060625408035584E-2</v>
      </c>
      <c r="G859" s="9">
        <f t="shared" si="38"/>
        <v>7.0411448096356554E-3</v>
      </c>
    </row>
    <row r="860" spans="1:7" x14ac:dyDescent="0.2">
      <c r="A860" s="12">
        <v>38391</v>
      </c>
      <c r="B860" s="9">
        <v>1924.65</v>
      </c>
      <c r="C860" s="9">
        <v>1912.06</v>
      </c>
      <c r="D860" s="9">
        <v>1917.77</v>
      </c>
      <c r="E860" s="9">
        <f t="shared" si="39"/>
        <v>3.6305833918350897E-3</v>
      </c>
      <c r="F860" s="9">
        <f t="shared" si="37"/>
        <v>4.1283357147613595E-2</v>
      </c>
      <c r="G860" s="9">
        <f t="shared" si="38"/>
        <v>7.0455583025690553E-3</v>
      </c>
    </row>
    <row r="861" spans="1:7" x14ac:dyDescent="0.2">
      <c r="A861" s="12">
        <v>38392</v>
      </c>
      <c r="B861" s="9">
        <v>1928.66</v>
      </c>
      <c r="C861" s="9">
        <v>1916.58</v>
      </c>
      <c r="D861" s="9">
        <v>1926.38</v>
      </c>
      <c r="E861" s="9">
        <f t="shared" si="39"/>
        <v>4.4795413277623486E-3</v>
      </c>
      <c r="F861" s="9">
        <f t="shared" si="37"/>
        <v>4.7106038197954274E-2</v>
      </c>
      <c r="G861" s="9">
        <f t="shared" si="38"/>
        <v>7.0482663222556832E-3</v>
      </c>
    </row>
    <row r="862" spans="1:7" x14ac:dyDescent="0.2">
      <c r="A862" s="12">
        <v>38393</v>
      </c>
      <c r="B862" s="9">
        <v>1927.84</v>
      </c>
      <c r="C862" s="9">
        <v>1909.12</v>
      </c>
      <c r="D862" s="9">
        <v>1910.07</v>
      </c>
      <c r="E862" s="9">
        <f t="shared" si="39"/>
        <v>-8.502703417038189E-3</v>
      </c>
      <c r="F862" s="9">
        <f t="shared" si="37"/>
        <v>4.140416705265642E-2</v>
      </c>
      <c r="G862" s="9">
        <f t="shared" si="38"/>
        <v>7.2443496408088172E-3</v>
      </c>
    </row>
    <row r="863" spans="1:7" x14ac:dyDescent="0.2">
      <c r="A863" s="12">
        <v>38394</v>
      </c>
      <c r="B863" s="9">
        <v>1939.26</v>
      </c>
      <c r="C863" s="9">
        <v>1910.69</v>
      </c>
      <c r="D863" s="9">
        <v>1937.65</v>
      </c>
      <c r="E863" s="9">
        <f t="shared" si="39"/>
        <v>1.4336008001848106E-2</v>
      </c>
      <c r="F863" s="9">
        <f t="shared" si="37"/>
        <v>5.7690126923583274E-2</v>
      </c>
      <c r="G863" s="9">
        <f t="shared" si="38"/>
        <v>7.5882427352499835E-3</v>
      </c>
    </row>
    <row r="864" spans="1:7" x14ac:dyDescent="0.2">
      <c r="A864" s="12">
        <v>38397</v>
      </c>
      <c r="B864" s="9">
        <v>1943.88</v>
      </c>
      <c r="C864" s="9">
        <v>1928.13</v>
      </c>
      <c r="D864" s="9">
        <v>1932.99</v>
      </c>
      <c r="E864" s="9">
        <f t="shared" si="39"/>
        <v>-2.4078716964102929E-3</v>
      </c>
      <c r="F864" s="9">
        <f t="shared" si="37"/>
        <v>5.4216684267252666E-2</v>
      </c>
      <c r="G864" s="9">
        <f t="shared" si="38"/>
        <v>7.6281704337332282E-3</v>
      </c>
    </row>
    <row r="865" spans="1:7" x14ac:dyDescent="0.2">
      <c r="A865" s="12">
        <v>38398</v>
      </c>
      <c r="B865" s="9">
        <v>1951.41</v>
      </c>
      <c r="C865" s="9">
        <v>1930.7</v>
      </c>
      <c r="D865" s="9">
        <v>1948.32</v>
      </c>
      <c r="E865" s="9">
        <f t="shared" si="39"/>
        <v>7.8994358694902175E-3</v>
      </c>
      <c r="F865" s="9">
        <f t="shared" ref="F865:F928" si="40">LN(D865/D835)</f>
        <v>5.6359854463738569E-2</v>
      </c>
      <c r="G865" s="9">
        <f t="shared" ref="G865:G928" si="41">STDEV(E836:E865)</f>
        <v>7.6763127716994485E-3</v>
      </c>
    </row>
    <row r="866" spans="1:7" x14ac:dyDescent="0.2">
      <c r="A866" s="12">
        <v>38399</v>
      </c>
      <c r="B866" s="9">
        <v>1948.75</v>
      </c>
      <c r="C866" s="9">
        <v>1938.17</v>
      </c>
      <c r="D866" s="9">
        <v>1948.75</v>
      </c>
      <c r="E866" s="9">
        <f t="shared" si="39"/>
        <v>2.206786132891034E-4</v>
      </c>
      <c r="F866" s="9">
        <f t="shared" si="40"/>
        <v>5.5077495519283773E-2</v>
      </c>
      <c r="G866" s="9">
        <f t="shared" si="41"/>
        <v>7.6820447960341898E-3</v>
      </c>
    </row>
    <row r="867" spans="1:7" x14ac:dyDescent="0.2">
      <c r="A867" s="12">
        <v>38400</v>
      </c>
      <c r="B867" s="9">
        <v>1957.61</v>
      </c>
      <c r="C867" s="9">
        <v>1945.29</v>
      </c>
      <c r="D867" s="9">
        <v>1947.73</v>
      </c>
      <c r="E867" s="9">
        <f t="shared" si="39"/>
        <v>-5.2354947198431534E-4</v>
      </c>
      <c r="F867" s="9">
        <f t="shared" si="40"/>
        <v>6.2507107567578976E-2</v>
      </c>
      <c r="G867" s="9">
        <f t="shared" si="41"/>
        <v>7.4724819653586372E-3</v>
      </c>
    </row>
    <row r="868" spans="1:7" x14ac:dyDescent="0.2">
      <c r="A868" s="12">
        <v>38401</v>
      </c>
      <c r="B868" s="9">
        <v>1960.92</v>
      </c>
      <c r="C868" s="9">
        <v>1942.98</v>
      </c>
      <c r="D868" s="9">
        <v>1959.61</v>
      </c>
      <c r="E868" s="9">
        <f t="shared" si="39"/>
        <v>6.0808819336587465E-3</v>
      </c>
      <c r="F868" s="9">
        <f t="shared" si="40"/>
        <v>5.7246370382868964E-2</v>
      </c>
      <c r="G868" s="9">
        <f t="shared" si="41"/>
        <v>7.3076392125639156E-3</v>
      </c>
    </row>
    <row r="869" spans="1:7" x14ac:dyDescent="0.2">
      <c r="A869" s="12">
        <v>38404</v>
      </c>
      <c r="B869" s="9">
        <v>1962.82</v>
      </c>
      <c r="C869" s="9">
        <v>1947.77</v>
      </c>
      <c r="D869" s="9">
        <v>1947.9</v>
      </c>
      <c r="E869" s="9">
        <f t="shared" si="39"/>
        <v>-5.9936046511098575E-3</v>
      </c>
      <c r="F869" s="9">
        <f t="shared" si="40"/>
        <v>4.7445004309690876E-2</v>
      </c>
      <c r="G869" s="9">
        <f t="shared" si="41"/>
        <v>7.4377284589372504E-3</v>
      </c>
    </row>
    <row r="870" spans="1:7" x14ac:dyDescent="0.2">
      <c r="A870" s="12">
        <v>38405</v>
      </c>
      <c r="B870" s="9">
        <v>1950.07</v>
      </c>
      <c r="C870" s="9">
        <v>1934.29</v>
      </c>
      <c r="D870" s="9">
        <v>1943.95</v>
      </c>
      <c r="E870" s="9">
        <f t="shared" si="39"/>
        <v>-2.0298836575445025E-3</v>
      </c>
      <c r="F870" s="9">
        <f t="shared" si="40"/>
        <v>5.4494564069300151E-2</v>
      </c>
      <c r="G870" s="9">
        <f t="shared" si="41"/>
        <v>7.1967525399019884E-3</v>
      </c>
    </row>
    <row r="871" spans="1:7" x14ac:dyDescent="0.2">
      <c r="A871" s="12">
        <v>38406</v>
      </c>
      <c r="B871" s="9">
        <v>1942.09</v>
      </c>
      <c r="C871" s="9">
        <v>1930.77</v>
      </c>
      <c r="D871" s="9">
        <v>1932.06</v>
      </c>
      <c r="E871" s="9">
        <f t="shared" si="39"/>
        <v>-6.1351943341463868E-3</v>
      </c>
      <c r="F871" s="9">
        <f t="shared" si="40"/>
        <v>5.8695901128565056E-2</v>
      </c>
      <c r="G871" s="9">
        <f t="shared" si="41"/>
        <v>6.9900155021650236E-3</v>
      </c>
    </row>
    <row r="872" spans="1:7" x14ac:dyDescent="0.2">
      <c r="A872" s="12">
        <v>38407</v>
      </c>
      <c r="B872" s="9">
        <v>1948.18</v>
      </c>
      <c r="C872" s="9">
        <v>1932.96</v>
      </c>
      <c r="D872" s="9">
        <v>1944.86</v>
      </c>
      <c r="E872" s="9">
        <f t="shared" si="39"/>
        <v>6.603203836595517E-3</v>
      </c>
      <c r="F872" s="9">
        <f t="shared" si="40"/>
        <v>5.9694396362426266E-2</v>
      </c>
      <c r="G872" s="9">
        <f t="shared" si="41"/>
        <v>7.0103330688613833E-3</v>
      </c>
    </row>
    <row r="873" spans="1:7" x14ac:dyDescent="0.2">
      <c r="A873" s="12">
        <v>38408</v>
      </c>
      <c r="B873" s="9">
        <v>1961.31</v>
      </c>
      <c r="C873" s="9">
        <v>1947.97</v>
      </c>
      <c r="D873" s="9">
        <v>1958.04</v>
      </c>
      <c r="E873" s="9">
        <f t="shared" si="39"/>
        <v>6.7539778635238379E-3</v>
      </c>
      <c r="F873" s="9">
        <f t="shared" si="40"/>
        <v>6.4245754181379788E-2</v>
      </c>
      <c r="G873" s="9">
        <f t="shared" si="41"/>
        <v>7.0641391724055877E-3</v>
      </c>
    </row>
    <row r="874" spans="1:7" x14ac:dyDescent="0.2">
      <c r="A874" s="12">
        <v>38411</v>
      </c>
      <c r="B874" s="9">
        <v>1970.73</v>
      </c>
      <c r="C874" s="9">
        <v>1958.35</v>
      </c>
      <c r="D874" s="9">
        <v>1962.91</v>
      </c>
      <c r="E874" s="9">
        <f t="shared" si="39"/>
        <v>2.4840931428778278E-3</v>
      </c>
      <c r="F874" s="9">
        <f t="shared" si="40"/>
        <v>5.8523766340983982E-2</v>
      </c>
      <c r="G874" s="9">
        <f t="shared" si="41"/>
        <v>6.9713872090206236E-3</v>
      </c>
    </row>
    <row r="875" spans="1:7" x14ac:dyDescent="0.2">
      <c r="A875" s="12">
        <v>38412</v>
      </c>
      <c r="B875" s="9">
        <v>1971.42</v>
      </c>
      <c r="C875" s="9">
        <v>1956.32</v>
      </c>
      <c r="D875" s="9">
        <v>1971.08</v>
      </c>
      <c r="E875" s="9">
        <f t="shared" si="39"/>
        <v>4.1535498289099887E-3</v>
      </c>
      <c r="F875" s="9">
        <f t="shared" si="40"/>
        <v>6.260169771895599E-2</v>
      </c>
      <c r="G875" s="9">
        <f t="shared" si="41"/>
        <v>6.9733198345605599E-3</v>
      </c>
    </row>
    <row r="876" spans="1:7" x14ac:dyDescent="0.2">
      <c r="A876" s="12">
        <v>38413</v>
      </c>
      <c r="B876" s="9">
        <v>1976.71</v>
      </c>
      <c r="C876" s="9">
        <v>1969.32</v>
      </c>
      <c r="D876" s="9">
        <v>1976.06</v>
      </c>
      <c r="E876" s="9">
        <f t="shared" si="39"/>
        <v>2.5233473565274772E-3</v>
      </c>
      <c r="F876" s="9">
        <f t="shared" si="40"/>
        <v>6.8110913113784186E-2</v>
      </c>
      <c r="G876" s="9">
        <f t="shared" si="41"/>
        <v>6.9073579932157729E-3</v>
      </c>
    </row>
    <row r="877" spans="1:7" x14ac:dyDescent="0.2">
      <c r="A877" s="12">
        <v>38414</v>
      </c>
      <c r="B877" s="9">
        <v>1989.84</v>
      </c>
      <c r="C877" s="9">
        <v>1974.97</v>
      </c>
      <c r="D877" s="9">
        <v>1989.15</v>
      </c>
      <c r="E877" s="9">
        <f t="shared" si="39"/>
        <v>6.6024485724231552E-3</v>
      </c>
      <c r="F877" s="9">
        <f t="shared" si="40"/>
        <v>9.0449078449647224E-2</v>
      </c>
      <c r="G877" s="9">
        <f t="shared" si="41"/>
        <v>6.0502241066098051E-3</v>
      </c>
    </row>
    <row r="878" spans="1:7" x14ac:dyDescent="0.2">
      <c r="A878" s="12">
        <v>38415</v>
      </c>
      <c r="B878" s="9">
        <v>2012.9</v>
      </c>
      <c r="C878" s="9">
        <v>1987.17</v>
      </c>
      <c r="D878" s="9">
        <v>2012.59</v>
      </c>
      <c r="E878" s="9">
        <f t="shared" si="39"/>
        <v>1.1715037997963444E-2</v>
      </c>
      <c r="F878" s="9">
        <f t="shared" si="40"/>
        <v>9.9553514829203937E-2</v>
      </c>
      <c r="G878" s="9">
        <f t="shared" si="41"/>
        <v>6.2541456527658778E-3</v>
      </c>
    </row>
    <row r="879" spans="1:7" x14ac:dyDescent="0.2">
      <c r="A879" s="12">
        <v>38418</v>
      </c>
      <c r="B879" s="9">
        <v>2026.66</v>
      </c>
      <c r="C879" s="9">
        <v>2012.75</v>
      </c>
      <c r="D879" s="9">
        <v>2016.97</v>
      </c>
      <c r="E879" s="9">
        <f t="shared" si="39"/>
        <v>2.1739354793021415E-3</v>
      </c>
      <c r="F879" s="9">
        <f t="shared" si="40"/>
        <v>0.10877795652370544</v>
      </c>
      <c r="G879" s="9">
        <f t="shared" si="41"/>
        <v>5.9459464742297463E-3</v>
      </c>
    </row>
    <row r="880" spans="1:7" x14ac:dyDescent="0.2">
      <c r="A880" s="12">
        <v>38419</v>
      </c>
      <c r="B880" s="9">
        <v>2015.88</v>
      </c>
      <c r="C880" s="9">
        <v>1995.86</v>
      </c>
      <c r="D880" s="9">
        <v>2001.95</v>
      </c>
      <c r="E880" s="9">
        <f t="shared" si="39"/>
        <v>-7.47467973067355E-3</v>
      </c>
      <c r="F880" s="9">
        <f t="shared" si="40"/>
        <v>9.7232153488346143E-2</v>
      </c>
      <c r="G880" s="9">
        <f t="shared" si="41"/>
        <v>6.2803908528025112E-3</v>
      </c>
    </row>
    <row r="881" spans="1:7" x14ac:dyDescent="0.2">
      <c r="A881" s="12">
        <v>38420</v>
      </c>
      <c r="B881" s="9">
        <v>2014.1</v>
      </c>
      <c r="C881" s="9">
        <v>1999.29</v>
      </c>
      <c r="D881" s="9">
        <v>1999.96</v>
      </c>
      <c r="E881" s="9">
        <f t="shared" si="39"/>
        <v>-9.9452519623002855E-4</v>
      </c>
      <c r="F881" s="9">
        <f t="shared" si="40"/>
        <v>9.5373683090641231E-2</v>
      </c>
      <c r="G881" s="9">
        <f t="shared" si="41"/>
        <v>6.3137244848120982E-3</v>
      </c>
    </row>
    <row r="882" spans="1:7" x14ac:dyDescent="0.2">
      <c r="A882" s="12">
        <v>38421</v>
      </c>
      <c r="B882" s="9">
        <v>2001.15</v>
      </c>
      <c r="C882" s="9">
        <v>1979.22</v>
      </c>
      <c r="D882" s="9">
        <v>1980.43</v>
      </c>
      <c r="E882" s="9">
        <f t="shared" si="39"/>
        <v>-9.8131875146907788E-3</v>
      </c>
      <c r="F882" s="9">
        <f t="shared" si="40"/>
        <v>7.8899670173276717E-2</v>
      </c>
      <c r="G882" s="9">
        <f t="shared" si="41"/>
        <v>6.7047636843190501E-3</v>
      </c>
    </row>
    <row r="883" spans="1:7" x14ac:dyDescent="0.2">
      <c r="A883" s="12">
        <v>38422</v>
      </c>
      <c r="B883" s="9">
        <v>1993.76</v>
      </c>
      <c r="C883" s="9">
        <v>1981.52</v>
      </c>
      <c r="D883" s="9">
        <v>1989.14</v>
      </c>
      <c r="E883" s="9">
        <f t="shared" si="39"/>
        <v>4.3883916787361369E-3</v>
      </c>
      <c r="F883" s="9">
        <f t="shared" si="40"/>
        <v>9.122030125464535E-2</v>
      </c>
      <c r="G883" s="9">
        <f t="shared" si="41"/>
        <v>6.4061748367962822E-3</v>
      </c>
    </row>
    <row r="884" spans="1:7" x14ac:dyDescent="0.2">
      <c r="A884" s="12">
        <v>38425</v>
      </c>
      <c r="B884" s="9">
        <v>1993.4</v>
      </c>
      <c r="C884" s="9">
        <v>1984.06</v>
      </c>
      <c r="D884" s="9">
        <v>1989.51</v>
      </c>
      <c r="E884" s="9">
        <f t="shared" si="39"/>
        <v>1.8599273676579557E-4</v>
      </c>
      <c r="F884" s="9">
        <f t="shared" si="40"/>
        <v>8.4326793243272621E-2</v>
      </c>
      <c r="G884" s="9">
        <f t="shared" si="41"/>
        <v>6.3798884192315768E-3</v>
      </c>
    </row>
    <row r="885" spans="1:7" x14ac:dyDescent="0.2">
      <c r="A885" s="12">
        <v>38426</v>
      </c>
      <c r="B885" s="9">
        <v>2002.52</v>
      </c>
      <c r="C885" s="9">
        <v>1987.7</v>
      </c>
      <c r="D885" s="9">
        <v>2002.29</v>
      </c>
      <c r="E885" s="9">
        <f t="shared" si="39"/>
        <v>6.4031482866367239E-3</v>
      </c>
      <c r="F885" s="9">
        <f t="shared" si="40"/>
        <v>8.0063101197802397E-2</v>
      </c>
      <c r="G885" s="9">
        <f t="shared" si="41"/>
        <v>6.2449116735413014E-3</v>
      </c>
    </row>
    <row r="886" spans="1:7" x14ac:dyDescent="0.2">
      <c r="A886" s="12">
        <v>38427</v>
      </c>
      <c r="B886" s="9">
        <v>2004.44</v>
      </c>
      <c r="C886" s="9">
        <v>1976.25</v>
      </c>
      <c r="D886" s="9">
        <v>1976.27</v>
      </c>
      <c r="E886" s="9">
        <f t="shared" si="39"/>
        <v>-1.3080295879951383E-2</v>
      </c>
      <c r="F886" s="9">
        <f t="shared" si="40"/>
        <v>5.7323027426299349E-2</v>
      </c>
      <c r="G886" s="9">
        <f t="shared" si="41"/>
        <v>6.7284537016163402E-3</v>
      </c>
    </row>
    <row r="887" spans="1:7" x14ac:dyDescent="0.2">
      <c r="A887" s="12">
        <v>38428</v>
      </c>
      <c r="B887" s="9">
        <v>1978.09</v>
      </c>
      <c r="C887" s="9">
        <v>1965.15</v>
      </c>
      <c r="D887" s="9">
        <v>1976.83</v>
      </c>
      <c r="E887" s="9">
        <f t="shared" si="39"/>
        <v>2.8332195175727765E-4</v>
      </c>
      <c r="F887" s="9">
        <f t="shared" si="40"/>
        <v>4.4716684556078454E-2</v>
      </c>
      <c r="G887" s="9">
        <f t="shared" si="41"/>
        <v>6.4050240316167835E-3</v>
      </c>
    </row>
    <row r="888" spans="1:7" x14ac:dyDescent="0.2">
      <c r="A888" s="12">
        <v>38429</v>
      </c>
      <c r="B888" s="9">
        <v>1979.67</v>
      </c>
      <c r="C888" s="9">
        <v>1970.32</v>
      </c>
      <c r="D888" s="9">
        <v>1972.47</v>
      </c>
      <c r="E888" s="9">
        <f t="shared" si="39"/>
        <v>-2.2079871224394325E-3</v>
      </c>
      <c r="F888" s="9">
        <f t="shared" si="40"/>
        <v>3.9877770390293776E-2</v>
      </c>
      <c r="G888" s="9">
        <f t="shared" si="41"/>
        <v>6.436169148925276E-3</v>
      </c>
    </row>
    <row r="889" spans="1:7" x14ac:dyDescent="0.2">
      <c r="A889" s="12">
        <v>38432</v>
      </c>
      <c r="B889" s="9">
        <v>1978.01</v>
      </c>
      <c r="C889" s="9">
        <v>1959.57</v>
      </c>
      <c r="D889" s="9">
        <v>1961.25</v>
      </c>
      <c r="E889" s="9">
        <f t="shared" si="39"/>
        <v>-5.7045394316517384E-3</v>
      </c>
      <c r="F889" s="9">
        <f t="shared" si="40"/>
        <v>2.6049555766032368E-2</v>
      </c>
      <c r="G889" s="9">
        <f t="shared" si="41"/>
        <v>6.4279566427803102E-3</v>
      </c>
    </row>
    <row r="890" spans="1:7" x14ac:dyDescent="0.2">
      <c r="A890" s="12">
        <v>38433</v>
      </c>
      <c r="B890" s="9">
        <v>1965.3</v>
      </c>
      <c r="C890" s="9">
        <v>1948.43</v>
      </c>
      <c r="D890" s="9">
        <v>1953.83</v>
      </c>
      <c r="E890" s="9">
        <f t="shared" si="39"/>
        <v>-3.7904762528643645E-3</v>
      </c>
      <c r="F890" s="9">
        <f t="shared" si="40"/>
        <v>1.8628496121333032E-2</v>
      </c>
      <c r="G890" s="9">
        <f t="shared" si="41"/>
        <v>6.4607000141075916E-3</v>
      </c>
    </row>
    <row r="891" spans="1:7" x14ac:dyDescent="0.2">
      <c r="A891" s="12">
        <v>38434</v>
      </c>
      <c r="B891" s="9">
        <v>1952.27</v>
      </c>
      <c r="C891" s="9">
        <v>1924.16</v>
      </c>
      <c r="D891" s="9">
        <v>1933.34</v>
      </c>
      <c r="E891" s="9">
        <f t="shared" si="39"/>
        <v>-1.0542471658060191E-2</v>
      </c>
      <c r="F891" s="9">
        <f t="shared" si="40"/>
        <v>3.6064831355103718E-3</v>
      </c>
      <c r="G891" s="9">
        <f t="shared" si="41"/>
        <v>6.7279394769377988E-3</v>
      </c>
    </row>
    <row r="892" spans="1:7" x14ac:dyDescent="0.2">
      <c r="A892" s="12">
        <v>38435</v>
      </c>
      <c r="B892" s="9">
        <v>1944.28</v>
      </c>
      <c r="C892" s="9">
        <v>1926.16</v>
      </c>
      <c r="D892" s="9">
        <v>1942.57</v>
      </c>
      <c r="E892" s="9">
        <f t="shared" si="39"/>
        <v>4.7627614922383515E-3</v>
      </c>
      <c r="F892" s="9">
        <f t="shared" si="40"/>
        <v>1.687194804478697E-2</v>
      </c>
      <c r="G892" s="9">
        <f t="shared" si="41"/>
        <v>6.5758771623661448E-3</v>
      </c>
    </row>
    <row r="893" spans="1:7" x14ac:dyDescent="0.2">
      <c r="A893" s="12">
        <v>38440</v>
      </c>
      <c r="B893" s="9">
        <v>1955.78</v>
      </c>
      <c r="C893" s="9">
        <v>1939.11</v>
      </c>
      <c r="D893" s="9">
        <v>1955.78</v>
      </c>
      <c r="E893" s="9">
        <f t="shared" si="39"/>
        <v>6.7772522028547747E-3</v>
      </c>
      <c r="F893" s="9">
        <f t="shared" si="40"/>
        <v>9.3131922457937322E-3</v>
      </c>
      <c r="G893" s="9">
        <f t="shared" si="41"/>
        <v>6.1617010765351917E-3</v>
      </c>
    </row>
    <row r="894" spans="1:7" x14ac:dyDescent="0.2">
      <c r="A894" s="12">
        <v>38441</v>
      </c>
      <c r="B894" s="9">
        <v>1954.06</v>
      </c>
      <c r="C894" s="9">
        <v>1943.82</v>
      </c>
      <c r="D894" s="9">
        <v>1945.18</v>
      </c>
      <c r="E894" s="9">
        <f t="shared" si="39"/>
        <v>-5.4345730737407937E-3</v>
      </c>
      <c r="F894" s="9">
        <f t="shared" si="40"/>
        <v>6.286490868463228E-3</v>
      </c>
      <c r="G894" s="9">
        <f t="shared" si="41"/>
        <v>6.2321215618088557E-3</v>
      </c>
    </row>
    <row r="895" spans="1:7" x14ac:dyDescent="0.2">
      <c r="A895" s="12">
        <v>38442</v>
      </c>
      <c r="B895" s="9">
        <v>1959.5</v>
      </c>
      <c r="C895" s="9">
        <v>1945.77</v>
      </c>
      <c r="D895" s="9">
        <v>1952.95</v>
      </c>
      <c r="E895" s="9">
        <f t="shared" si="39"/>
        <v>3.9865321527765294E-3</v>
      </c>
      <c r="F895" s="9">
        <f t="shared" si="40"/>
        <v>2.3735871517493205E-3</v>
      </c>
      <c r="G895" s="9">
        <f t="shared" si="41"/>
        <v>6.1052880478566392E-3</v>
      </c>
    </row>
    <row r="896" spans="1:7" x14ac:dyDescent="0.2">
      <c r="A896" s="12">
        <v>38443</v>
      </c>
      <c r="B896" s="9">
        <v>1956.02</v>
      </c>
      <c r="C896" s="9">
        <v>1941.91</v>
      </c>
      <c r="D896" s="9">
        <v>1949.18</v>
      </c>
      <c r="E896" s="9">
        <f t="shared" si="39"/>
        <v>-1.9322786134773255E-3</v>
      </c>
      <c r="F896" s="9">
        <f t="shared" si="40"/>
        <v>2.2062992498300143E-4</v>
      </c>
      <c r="G896" s="9">
        <f t="shared" si="41"/>
        <v>6.1162105083044215E-3</v>
      </c>
    </row>
    <row r="897" spans="1:7" x14ac:dyDescent="0.2">
      <c r="A897" s="12">
        <v>38446</v>
      </c>
      <c r="B897" s="9">
        <v>1947.59</v>
      </c>
      <c r="C897" s="9">
        <v>1923.21</v>
      </c>
      <c r="D897" s="9">
        <v>1929</v>
      </c>
      <c r="E897" s="9">
        <f t="shared" si="39"/>
        <v>-1.0407037391240168E-2</v>
      </c>
      <c r="F897" s="9">
        <f t="shared" si="40"/>
        <v>-9.6628579942727895E-3</v>
      </c>
      <c r="G897" s="9">
        <f t="shared" si="41"/>
        <v>6.405155475926223E-3</v>
      </c>
    </row>
    <row r="898" spans="1:7" x14ac:dyDescent="0.2">
      <c r="A898" s="12">
        <v>38447</v>
      </c>
      <c r="B898" s="9">
        <v>1948.17</v>
      </c>
      <c r="C898" s="9">
        <v>1930.55</v>
      </c>
      <c r="D898" s="9">
        <v>1945.03</v>
      </c>
      <c r="E898" s="9">
        <f t="shared" si="39"/>
        <v>8.275667192390871E-3</v>
      </c>
      <c r="F898" s="9">
        <f t="shared" si="40"/>
        <v>-7.4680727355408245E-3</v>
      </c>
      <c r="G898" s="9">
        <f t="shared" si="41"/>
        <v>6.4927474560557445E-3</v>
      </c>
    </row>
    <row r="899" spans="1:7" x14ac:dyDescent="0.2">
      <c r="A899" s="12">
        <v>38448</v>
      </c>
      <c r="B899" s="9">
        <v>1955.19</v>
      </c>
      <c r="C899" s="9">
        <v>1944</v>
      </c>
      <c r="D899" s="9">
        <v>1954.58</v>
      </c>
      <c r="E899" s="9">
        <f t="shared" si="39"/>
        <v>4.8979354816777029E-3</v>
      </c>
      <c r="F899" s="9">
        <f t="shared" si="40"/>
        <v>3.4234673972467606E-3</v>
      </c>
      <c r="G899" s="9">
        <f t="shared" si="41"/>
        <v>6.4648977669146436E-3</v>
      </c>
    </row>
    <row r="900" spans="1:7" x14ac:dyDescent="0.2">
      <c r="A900" s="12">
        <v>38449</v>
      </c>
      <c r="B900" s="9">
        <v>1974.63</v>
      </c>
      <c r="C900" s="9">
        <v>1954.57</v>
      </c>
      <c r="D900" s="9">
        <v>1968.77</v>
      </c>
      <c r="E900" s="9">
        <f t="shared" ref="E900:E963" si="42">LN(D900/D899)</f>
        <v>7.2336456727048401E-3</v>
      </c>
      <c r="F900" s="9">
        <f t="shared" si="40"/>
        <v>1.268699672749612E-2</v>
      </c>
      <c r="G900" s="9">
        <f t="shared" si="41"/>
        <v>6.5791801565905552E-3</v>
      </c>
    </row>
    <row r="901" spans="1:7" x14ac:dyDescent="0.2">
      <c r="A901" s="12">
        <v>38450</v>
      </c>
      <c r="B901" s="9">
        <v>1980.77</v>
      </c>
      <c r="C901" s="9">
        <v>1964.97</v>
      </c>
      <c r="D901" s="9">
        <v>1979.83</v>
      </c>
      <c r="E901" s="9">
        <f t="shared" si="42"/>
        <v>5.6020001641606124E-3</v>
      </c>
      <c r="F901" s="9">
        <f t="shared" si="40"/>
        <v>2.4424191225803069E-2</v>
      </c>
      <c r="G901" s="9">
        <f t="shared" si="41"/>
        <v>6.5245033009677942E-3</v>
      </c>
    </row>
    <row r="902" spans="1:7" x14ac:dyDescent="0.2">
      <c r="A902" s="12">
        <v>38453</v>
      </c>
      <c r="B902" s="9">
        <v>1978.79</v>
      </c>
      <c r="C902" s="9">
        <v>1961.17</v>
      </c>
      <c r="D902" s="9">
        <v>1967.66</v>
      </c>
      <c r="E902" s="9">
        <f t="shared" si="42"/>
        <v>-6.1659629575646652E-3</v>
      </c>
      <c r="F902" s="9">
        <f t="shared" si="40"/>
        <v>1.1655024431642827E-2</v>
      </c>
      <c r="G902" s="9">
        <f t="shared" si="41"/>
        <v>6.5502794678732826E-3</v>
      </c>
    </row>
    <row r="903" spans="1:7" x14ac:dyDescent="0.2">
      <c r="A903" s="12">
        <v>38454</v>
      </c>
      <c r="B903" s="9">
        <v>1967.66</v>
      </c>
      <c r="C903" s="9">
        <v>1952.56</v>
      </c>
      <c r="D903" s="9">
        <v>1956.39</v>
      </c>
      <c r="E903" s="9">
        <f t="shared" si="42"/>
        <v>-5.7440812361151108E-3</v>
      </c>
      <c r="F903" s="9">
        <f t="shared" si="40"/>
        <v>-8.4303466799613268E-4</v>
      </c>
      <c r="G903" s="9">
        <f t="shared" si="41"/>
        <v>6.5288780802364591E-3</v>
      </c>
    </row>
    <row r="904" spans="1:7" x14ac:dyDescent="0.2">
      <c r="A904" s="12">
        <v>38455</v>
      </c>
      <c r="B904" s="9">
        <v>1964.68</v>
      </c>
      <c r="C904" s="9">
        <v>1956.46</v>
      </c>
      <c r="D904" s="9">
        <v>1958.96</v>
      </c>
      <c r="E904" s="9">
        <f t="shared" si="42"/>
        <v>1.3127819321869119E-3</v>
      </c>
      <c r="F904" s="9">
        <f t="shared" si="40"/>
        <v>-2.0143458786869763E-3</v>
      </c>
      <c r="G904" s="9">
        <f t="shared" si="41"/>
        <v>6.5168279134212304E-3</v>
      </c>
    </row>
    <row r="905" spans="1:7" x14ac:dyDescent="0.2">
      <c r="A905" s="12">
        <v>38456</v>
      </c>
      <c r="B905" s="9">
        <v>1957.23</v>
      </c>
      <c r="C905" s="9">
        <v>1945.58</v>
      </c>
      <c r="D905" s="9">
        <v>1953.7</v>
      </c>
      <c r="E905" s="9">
        <f t="shared" si="42"/>
        <v>-2.688709557580229E-3</v>
      </c>
      <c r="F905" s="9">
        <f t="shared" si="40"/>
        <v>-8.856605265177302E-3</v>
      </c>
      <c r="G905" s="9">
        <f t="shared" si="41"/>
        <v>6.483666807531669E-3</v>
      </c>
    </row>
    <row r="906" spans="1:7" x14ac:dyDescent="0.2">
      <c r="A906" s="12">
        <v>38457</v>
      </c>
      <c r="B906" s="9">
        <v>1949.73</v>
      </c>
      <c r="C906" s="9">
        <v>1910.79</v>
      </c>
      <c r="D906" s="9">
        <v>1913.4</v>
      </c>
      <c r="E906" s="9">
        <f t="shared" si="42"/>
        <v>-2.0843246353522846E-2</v>
      </c>
      <c r="F906" s="9">
        <f t="shared" si="40"/>
        <v>-3.2223198975227581E-2</v>
      </c>
      <c r="G906" s="9">
        <f t="shared" si="41"/>
        <v>7.4629596984370373E-3</v>
      </c>
    </row>
    <row r="907" spans="1:7" x14ac:dyDescent="0.2">
      <c r="A907" s="12">
        <v>38460</v>
      </c>
      <c r="B907" s="9">
        <v>1910.64</v>
      </c>
      <c r="C907" s="9">
        <v>1873.92</v>
      </c>
      <c r="D907" s="9">
        <v>1880.74</v>
      </c>
      <c r="E907" s="9">
        <f t="shared" si="42"/>
        <v>-1.7216447845652922E-2</v>
      </c>
      <c r="F907" s="9">
        <f t="shared" si="40"/>
        <v>-5.6042095393303668E-2</v>
      </c>
      <c r="G907" s="9">
        <f t="shared" si="41"/>
        <v>7.8738143252549842E-3</v>
      </c>
    </row>
    <row r="908" spans="1:7" x14ac:dyDescent="0.2">
      <c r="A908" s="12">
        <v>38461</v>
      </c>
      <c r="B908" s="9">
        <v>1900.51</v>
      </c>
      <c r="C908" s="9">
        <v>1883.51</v>
      </c>
      <c r="D908" s="9">
        <v>1891.27</v>
      </c>
      <c r="E908" s="9">
        <f t="shared" si="42"/>
        <v>5.5832446647600849E-3</v>
      </c>
      <c r="F908" s="9">
        <f t="shared" si="40"/>
        <v>-6.217388872650715E-2</v>
      </c>
      <c r="G908" s="9">
        <f t="shared" si="41"/>
        <v>7.5832837527005119E-3</v>
      </c>
    </row>
    <row r="909" spans="1:7" x14ac:dyDescent="0.2">
      <c r="A909" s="12">
        <v>38462</v>
      </c>
      <c r="B909" s="9">
        <v>1910.44</v>
      </c>
      <c r="C909" s="9">
        <v>1893.86</v>
      </c>
      <c r="D909" s="9">
        <v>1897.35</v>
      </c>
      <c r="E909" s="9">
        <f t="shared" si="42"/>
        <v>3.2096146984865043E-3</v>
      </c>
      <c r="F909" s="9">
        <f t="shared" si="40"/>
        <v>-6.1138209507322891E-2</v>
      </c>
      <c r="G909" s="9">
        <f t="shared" si="41"/>
        <v>7.6056065346639667E-3</v>
      </c>
    </row>
    <row r="910" spans="1:7" x14ac:dyDescent="0.2">
      <c r="A910" s="12">
        <v>38463</v>
      </c>
      <c r="B910" s="9">
        <v>1900.16</v>
      </c>
      <c r="C910" s="9">
        <v>1881.7</v>
      </c>
      <c r="D910" s="9">
        <v>1885.6</v>
      </c>
      <c r="E910" s="9">
        <f t="shared" si="42"/>
        <v>-6.2121031397391292E-3</v>
      </c>
      <c r="F910" s="9">
        <f t="shared" si="40"/>
        <v>-5.9875632916388477E-2</v>
      </c>
      <c r="G910" s="9">
        <f t="shared" si="41"/>
        <v>7.5779276468523841E-3</v>
      </c>
    </row>
    <row r="911" spans="1:7" x14ac:dyDescent="0.2">
      <c r="A911" s="12">
        <v>38464</v>
      </c>
      <c r="B911" s="9">
        <v>1908.13</v>
      </c>
      <c r="C911" s="9">
        <v>1889.23</v>
      </c>
      <c r="D911" s="9">
        <v>1903.57</v>
      </c>
      <c r="E911" s="9">
        <f t="shared" si="42"/>
        <v>9.4849978874858056E-3</v>
      </c>
      <c r="F911" s="9">
        <f t="shared" si="40"/>
        <v>-4.9396109832672466E-2</v>
      </c>
      <c r="G911" s="9">
        <f t="shared" si="41"/>
        <v>7.8618925175867813E-3</v>
      </c>
    </row>
    <row r="912" spans="1:7" x14ac:dyDescent="0.2">
      <c r="A912" s="12">
        <v>38467</v>
      </c>
      <c r="B912" s="9">
        <v>1910.81</v>
      </c>
      <c r="C912" s="9">
        <v>1898.34</v>
      </c>
      <c r="D912" s="9">
        <v>1910.75</v>
      </c>
      <c r="E912" s="9">
        <f t="shared" si="42"/>
        <v>3.7647646135862797E-3</v>
      </c>
      <c r="F912" s="9">
        <f t="shared" si="40"/>
        <v>-3.5818157704395448E-2</v>
      </c>
      <c r="G912" s="9">
        <f t="shared" si="41"/>
        <v>7.7657823943390594E-3</v>
      </c>
    </row>
    <row r="913" spans="1:7" x14ac:dyDescent="0.2">
      <c r="A913" s="12">
        <v>38468</v>
      </c>
      <c r="B913" s="9">
        <v>1910.75</v>
      </c>
      <c r="C913" s="9">
        <v>1888.88</v>
      </c>
      <c r="D913" s="9">
        <v>1899.16</v>
      </c>
      <c r="E913" s="9">
        <f t="shared" si="42"/>
        <v>-6.084151988965154E-3</v>
      </c>
      <c r="F913" s="9">
        <f t="shared" si="40"/>
        <v>-4.6290701372096781E-2</v>
      </c>
      <c r="G913" s="9">
        <f t="shared" si="41"/>
        <v>7.7415357111647633E-3</v>
      </c>
    </row>
    <row r="914" spans="1:7" x14ac:dyDescent="0.2">
      <c r="A914" s="12">
        <v>38469</v>
      </c>
      <c r="B914" s="9">
        <v>1900.11</v>
      </c>
      <c r="C914" s="9">
        <v>1855.57</v>
      </c>
      <c r="D914" s="9">
        <v>1860.13</v>
      </c>
      <c r="E914" s="9">
        <f t="shared" si="42"/>
        <v>-2.076530539602817E-2</v>
      </c>
      <c r="F914" s="9">
        <f t="shared" si="40"/>
        <v>-6.7241999504890779E-2</v>
      </c>
      <c r="G914" s="9">
        <f t="shared" si="41"/>
        <v>8.4891098851294852E-3</v>
      </c>
    </row>
    <row r="915" spans="1:7" x14ac:dyDescent="0.2">
      <c r="A915" s="12">
        <v>38470</v>
      </c>
      <c r="B915" s="9">
        <v>1879.3</v>
      </c>
      <c r="C915" s="9">
        <v>1849.19</v>
      </c>
      <c r="D915" s="9">
        <v>1853.8</v>
      </c>
      <c r="E915" s="9">
        <f t="shared" si="42"/>
        <v>-3.4087912962678687E-3</v>
      </c>
      <c r="F915" s="9">
        <f t="shared" si="40"/>
        <v>-7.7053939087795356E-2</v>
      </c>
      <c r="G915" s="9">
        <f t="shared" si="41"/>
        <v>8.3321356737388313E-3</v>
      </c>
    </row>
    <row r="916" spans="1:7" x14ac:dyDescent="0.2">
      <c r="A916" s="12">
        <v>38471</v>
      </c>
      <c r="B916" s="9">
        <v>1861.13</v>
      </c>
      <c r="C916" s="9">
        <v>1845.59</v>
      </c>
      <c r="D916" s="9">
        <v>1853</v>
      </c>
      <c r="E916" s="9">
        <f t="shared" si="42"/>
        <v>-4.3163915637244922E-4</v>
      </c>
      <c r="F916" s="9">
        <f t="shared" si="40"/>
        <v>-6.4405282364216429E-2</v>
      </c>
      <c r="G916" s="9">
        <f t="shared" si="41"/>
        <v>8.0986259757423532E-3</v>
      </c>
    </row>
    <row r="917" spans="1:7" x14ac:dyDescent="0.2">
      <c r="A917" s="12">
        <v>38474</v>
      </c>
      <c r="B917" s="9">
        <v>1871.58</v>
      </c>
      <c r="C917" s="9">
        <v>1856.15</v>
      </c>
      <c r="D917" s="9">
        <v>1871.16</v>
      </c>
      <c r="E917" s="9">
        <f t="shared" si="42"/>
        <v>9.7526120994347043E-3</v>
      </c>
      <c r="F917" s="9">
        <f t="shared" si="40"/>
        <v>-5.4935992216539137E-2</v>
      </c>
      <c r="G917" s="9">
        <f t="shared" si="41"/>
        <v>8.376376774344883E-3</v>
      </c>
    </row>
    <row r="918" spans="1:7" x14ac:dyDescent="0.2">
      <c r="A918" s="12">
        <v>38475</v>
      </c>
      <c r="B918" s="9">
        <v>1875.06</v>
      </c>
      <c r="C918" s="9">
        <v>1868.6</v>
      </c>
      <c r="D918" s="9">
        <v>1873.61</v>
      </c>
      <c r="E918" s="9">
        <f t="shared" si="42"/>
        <v>1.3084917629460793E-3</v>
      </c>
      <c r="F918" s="9">
        <f t="shared" si="40"/>
        <v>-5.1419513331153584E-2</v>
      </c>
      <c r="G918" s="9">
        <f t="shared" si="41"/>
        <v>8.3955046564451047E-3</v>
      </c>
    </row>
    <row r="919" spans="1:7" x14ac:dyDescent="0.2">
      <c r="A919" s="12">
        <v>38476</v>
      </c>
      <c r="B919" s="9">
        <v>1884.88</v>
      </c>
      <c r="C919" s="9">
        <v>1867.59</v>
      </c>
      <c r="D919" s="9">
        <v>1870.84</v>
      </c>
      <c r="E919" s="9">
        <f t="shared" si="42"/>
        <v>-1.479523297302177E-3</v>
      </c>
      <c r="F919" s="9">
        <f t="shared" si="40"/>
        <v>-4.7194497196803978E-2</v>
      </c>
      <c r="G919" s="9">
        <f t="shared" si="41"/>
        <v>8.3616238865160709E-3</v>
      </c>
    </row>
    <row r="920" spans="1:7" x14ac:dyDescent="0.2">
      <c r="A920" s="12">
        <v>38478</v>
      </c>
      <c r="B920" s="9">
        <v>1905.32</v>
      </c>
      <c r="C920" s="9">
        <v>1872.81</v>
      </c>
      <c r="D920" s="9">
        <v>1904.24</v>
      </c>
      <c r="E920" s="9">
        <f t="shared" si="42"/>
        <v>1.7695450977353686E-2</v>
      </c>
      <c r="F920" s="9">
        <f t="shared" si="40"/>
        <v>-2.5708569966585965E-2</v>
      </c>
      <c r="G920" s="9">
        <f t="shared" si="41"/>
        <v>9.0564515801794965E-3</v>
      </c>
    </row>
    <row r="921" spans="1:7" x14ac:dyDescent="0.2">
      <c r="A921" s="12">
        <v>38481</v>
      </c>
      <c r="B921" s="9">
        <v>1911.52</v>
      </c>
      <c r="C921" s="9">
        <v>1898.1</v>
      </c>
      <c r="D921" s="9">
        <v>1908.19</v>
      </c>
      <c r="E921" s="9">
        <f t="shared" si="42"/>
        <v>2.0721699353979809E-3</v>
      </c>
      <c r="F921" s="9">
        <f t="shared" si="40"/>
        <v>-1.3093928373127652E-2</v>
      </c>
      <c r="G921" s="9">
        <f t="shared" si="41"/>
        <v>8.8824241566547169E-3</v>
      </c>
    </row>
    <row r="922" spans="1:7" x14ac:dyDescent="0.2">
      <c r="A922" s="12">
        <v>38482</v>
      </c>
      <c r="B922" s="9">
        <v>1910.83</v>
      </c>
      <c r="C922" s="9">
        <v>1891.9</v>
      </c>
      <c r="D922" s="9">
        <v>1898.77</v>
      </c>
      <c r="E922" s="9">
        <f t="shared" si="42"/>
        <v>-4.9488406631254646E-3</v>
      </c>
      <c r="F922" s="9">
        <f t="shared" si="40"/>
        <v>-2.280553052849147E-2</v>
      </c>
      <c r="G922" s="9">
        <f t="shared" si="41"/>
        <v>8.863353571608841E-3</v>
      </c>
    </row>
    <row r="923" spans="1:7" x14ac:dyDescent="0.2">
      <c r="A923" s="12">
        <v>38483</v>
      </c>
      <c r="B923" s="9">
        <v>1904.55</v>
      </c>
      <c r="C923" s="9">
        <v>1895.65</v>
      </c>
      <c r="D923" s="9">
        <v>1896.76</v>
      </c>
      <c r="E923" s="9">
        <f t="shared" si="42"/>
        <v>-1.0591407196875813E-3</v>
      </c>
      <c r="F923" s="9">
        <f t="shared" si="40"/>
        <v>-3.064192345103391E-2</v>
      </c>
      <c r="G923" s="9">
        <f t="shared" si="41"/>
        <v>8.748283607351675E-3</v>
      </c>
    </row>
    <row r="924" spans="1:7" x14ac:dyDescent="0.2">
      <c r="A924" s="12">
        <v>38484</v>
      </c>
      <c r="B924" s="9">
        <v>1909.5</v>
      </c>
      <c r="C924" s="9">
        <v>1898.73</v>
      </c>
      <c r="D924" s="9">
        <v>1902.3</v>
      </c>
      <c r="E924" s="9">
        <f t="shared" si="42"/>
        <v>2.9165129937184699E-3</v>
      </c>
      <c r="F924" s="9">
        <f t="shared" si="40"/>
        <v>-2.2290837383574475E-2</v>
      </c>
      <c r="G924" s="9">
        <f t="shared" si="41"/>
        <v>8.7358710513810878E-3</v>
      </c>
    </row>
    <row r="925" spans="1:7" x14ac:dyDescent="0.2">
      <c r="A925" s="12">
        <v>38485</v>
      </c>
      <c r="B925" s="9">
        <v>1916.28</v>
      </c>
      <c r="C925" s="9">
        <v>1901.7</v>
      </c>
      <c r="D925" s="9">
        <v>1916.03</v>
      </c>
      <c r="E925" s="9">
        <f t="shared" si="42"/>
        <v>7.191656654172705E-3</v>
      </c>
      <c r="F925" s="9">
        <f t="shared" si="40"/>
        <v>-1.9085712882178203E-2</v>
      </c>
      <c r="G925" s="9">
        <f t="shared" si="41"/>
        <v>8.8149479257798521E-3</v>
      </c>
    </row>
    <row r="926" spans="1:7" x14ac:dyDescent="0.2">
      <c r="A926" s="12">
        <v>38488</v>
      </c>
      <c r="B926" s="9">
        <v>1924.29</v>
      </c>
      <c r="C926" s="9">
        <v>1909.51</v>
      </c>
      <c r="D926" s="9">
        <v>1921.7</v>
      </c>
      <c r="E926" s="9">
        <f t="shared" si="42"/>
        <v>2.9548739101130797E-3</v>
      </c>
      <c r="F926" s="9">
        <f t="shared" si="40"/>
        <v>-1.4198560358587796E-2</v>
      </c>
      <c r="G926" s="9">
        <f t="shared" si="41"/>
        <v>8.8353046853553805E-3</v>
      </c>
    </row>
    <row r="927" spans="1:7" x14ac:dyDescent="0.2">
      <c r="A927" s="12">
        <v>38489</v>
      </c>
      <c r="B927" s="9">
        <v>1925.25</v>
      </c>
      <c r="C927" s="9">
        <v>1918.63</v>
      </c>
      <c r="D927" s="9">
        <v>1924.88</v>
      </c>
      <c r="E927" s="9">
        <f t="shared" si="42"/>
        <v>1.653417178092713E-3</v>
      </c>
      <c r="F927" s="9">
        <f t="shared" si="40"/>
        <v>-2.1381057892549144E-3</v>
      </c>
      <c r="G927" s="9">
        <f t="shared" si="41"/>
        <v>8.6399445361419018E-3</v>
      </c>
    </row>
    <row r="928" spans="1:7" x14ac:dyDescent="0.2">
      <c r="A928" s="12">
        <v>38490</v>
      </c>
      <c r="B928" s="9">
        <v>1957.38</v>
      </c>
      <c r="C928" s="9">
        <v>1926.24</v>
      </c>
      <c r="D928" s="9">
        <v>1953.17</v>
      </c>
      <c r="E928" s="9">
        <f t="shared" si="42"/>
        <v>1.4590065542875508E-2</v>
      </c>
      <c r="F928" s="9">
        <f t="shared" si="40"/>
        <v>4.1762925612298506E-3</v>
      </c>
      <c r="G928" s="9">
        <f t="shared" si="41"/>
        <v>8.922588447822271E-3</v>
      </c>
    </row>
    <row r="929" spans="1:7" x14ac:dyDescent="0.2">
      <c r="A929" s="12">
        <v>38491</v>
      </c>
      <c r="B929" s="9">
        <v>1962.05</v>
      </c>
      <c r="C929" s="9">
        <v>1951.7</v>
      </c>
      <c r="D929" s="9">
        <v>1957.9</v>
      </c>
      <c r="E929" s="9">
        <f t="shared" si="42"/>
        <v>2.4187766038777803E-3</v>
      </c>
      <c r="F929" s="9">
        <f t="shared" ref="F929:F992" si="43">LN(D929/D899)</f>
        <v>1.6971336834299255E-3</v>
      </c>
      <c r="G929" s="9">
        <f t="shared" ref="G929:G992" si="44">STDEV(E900:E929)</f>
        <v>8.8884097988914147E-3</v>
      </c>
    </row>
    <row r="930" spans="1:7" x14ac:dyDescent="0.2">
      <c r="A930" s="12">
        <v>38492</v>
      </c>
      <c r="B930" s="9">
        <v>1960.54</v>
      </c>
      <c r="C930" s="9">
        <v>1951.19</v>
      </c>
      <c r="D930" s="9">
        <v>1956.87</v>
      </c>
      <c r="E930" s="9">
        <f t="shared" si="42"/>
        <v>-5.26212280040705E-4</v>
      </c>
      <c r="F930" s="9">
        <f t="shared" si="43"/>
        <v>-6.0627242693155857E-3</v>
      </c>
      <c r="G930" s="9">
        <f t="shared" si="44"/>
        <v>8.7846517631390755E-3</v>
      </c>
    </row>
    <row r="931" spans="1:7" x14ac:dyDescent="0.2">
      <c r="A931" s="12">
        <v>38495</v>
      </c>
      <c r="B931" s="9">
        <v>1973.45</v>
      </c>
      <c r="C931" s="9">
        <v>1956.54</v>
      </c>
      <c r="D931" s="9">
        <v>1972.75</v>
      </c>
      <c r="E931" s="9">
        <f t="shared" si="42"/>
        <v>8.0822504179575792E-3</v>
      </c>
      <c r="F931" s="9">
        <f t="shared" si="43"/>
        <v>-3.5824740155184927E-3</v>
      </c>
      <c r="G931" s="9">
        <f t="shared" si="44"/>
        <v>8.8525680556512439E-3</v>
      </c>
    </row>
    <row r="932" spans="1:7" x14ac:dyDescent="0.2">
      <c r="A932" s="12">
        <v>38496</v>
      </c>
      <c r="B932" s="9">
        <v>1973.84</v>
      </c>
      <c r="C932" s="9">
        <v>1958.98</v>
      </c>
      <c r="D932" s="9">
        <v>1972.85</v>
      </c>
      <c r="E932" s="9">
        <f t="shared" si="42"/>
        <v>5.0689375517664404E-5</v>
      </c>
      <c r="F932" s="9">
        <f t="shared" si="43"/>
        <v>2.634178317563842E-3</v>
      </c>
      <c r="G932" s="9">
        <f t="shared" si="44"/>
        <v>8.7786002574553722E-3</v>
      </c>
    </row>
    <row r="933" spans="1:7" x14ac:dyDescent="0.2">
      <c r="A933" s="12">
        <v>38497</v>
      </c>
      <c r="B933" s="9">
        <v>1977.97</v>
      </c>
      <c r="C933" s="9">
        <v>1958.27</v>
      </c>
      <c r="D933" s="9">
        <v>1959.23</v>
      </c>
      <c r="E933" s="9">
        <f t="shared" si="42"/>
        <v>-6.9276588835403153E-3</v>
      </c>
      <c r="F933" s="9">
        <f t="shared" si="43"/>
        <v>1.4506006701385983E-3</v>
      </c>
      <c r="G933" s="9">
        <f t="shared" si="44"/>
        <v>8.808322857680094E-3</v>
      </c>
    </row>
    <row r="934" spans="1:7" x14ac:dyDescent="0.2">
      <c r="A934" s="12">
        <v>38498</v>
      </c>
      <c r="B934" s="9">
        <v>1968.88</v>
      </c>
      <c r="C934" s="9">
        <v>1957.02</v>
      </c>
      <c r="D934" s="9">
        <v>1966.38</v>
      </c>
      <c r="E934" s="9">
        <f t="shared" si="42"/>
        <v>3.6427499962985999E-3</v>
      </c>
      <c r="F934" s="9">
        <f t="shared" si="43"/>
        <v>3.7805687342502485E-3</v>
      </c>
      <c r="G934" s="9">
        <f t="shared" si="44"/>
        <v>8.8301012307258984E-3</v>
      </c>
    </row>
    <row r="935" spans="1:7" x14ac:dyDescent="0.2">
      <c r="A935" s="12">
        <v>38499</v>
      </c>
      <c r="B935" s="9">
        <v>1979.52</v>
      </c>
      <c r="C935" s="9">
        <v>1966.53</v>
      </c>
      <c r="D935" s="9">
        <v>1978.95</v>
      </c>
      <c r="E935" s="9">
        <f t="shared" si="42"/>
        <v>6.3721121084751673E-3</v>
      </c>
      <c r="F935" s="9">
        <f t="shared" si="43"/>
        <v>1.2841390400305576E-2</v>
      </c>
      <c r="G935" s="9">
        <f t="shared" si="44"/>
        <v>8.885292596668223E-3</v>
      </c>
    </row>
    <row r="936" spans="1:7" x14ac:dyDescent="0.2">
      <c r="A936" s="12">
        <v>38502</v>
      </c>
      <c r="B936" s="9">
        <v>1982.41</v>
      </c>
      <c r="C936" s="9">
        <v>1975.18</v>
      </c>
      <c r="D936" s="9">
        <v>1981.13</v>
      </c>
      <c r="E936" s="9">
        <f t="shared" si="42"/>
        <v>1.100987970047025E-3</v>
      </c>
      <c r="F936" s="9">
        <f t="shared" si="43"/>
        <v>3.4785624723875357E-2</v>
      </c>
      <c r="G936" s="9">
        <f t="shared" si="44"/>
        <v>7.9251620700925545E-3</v>
      </c>
    </row>
    <row r="937" spans="1:7" x14ac:dyDescent="0.2">
      <c r="A937" s="12">
        <v>38503</v>
      </c>
      <c r="D937" s="9">
        <v>1988.45</v>
      </c>
      <c r="E937" s="9">
        <f t="shared" si="42"/>
        <v>3.688051782329962E-3</v>
      </c>
      <c r="F937" s="9">
        <f t="shared" si="43"/>
        <v>5.569012435185839E-2</v>
      </c>
      <c r="G937" s="9">
        <f t="shared" si="44"/>
        <v>7.1331867957859247E-3</v>
      </c>
    </row>
    <row r="938" spans="1:7" x14ac:dyDescent="0.2">
      <c r="A938" s="12">
        <v>38504</v>
      </c>
      <c r="B938" s="9">
        <v>2008.71</v>
      </c>
      <c r="C938" s="9">
        <v>1985.45</v>
      </c>
      <c r="D938" s="9">
        <v>2008.26</v>
      </c>
      <c r="E938" s="9">
        <f t="shared" si="42"/>
        <v>9.9132347509808261E-3</v>
      </c>
      <c r="F938" s="9">
        <f t="shared" si="43"/>
        <v>6.0020114438079031E-2</v>
      </c>
      <c r="G938" s="9">
        <f t="shared" si="44"/>
        <v>7.2539812090525214E-3</v>
      </c>
    </row>
    <row r="939" spans="1:7" x14ac:dyDescent="0.2">
      <c r="A939" s="12">
        <v>38505</v>
      </c>
      <c r="B939" s="9">
        <v>2014.35</v>
      </c>
      <c r="C939" s="9">
        <v>2005.54</v>
      </c>
      <c r="D939" s="9">
        <v>2007.22</v>
      </c>
      <c r="E939" s="9">
        <f t="shared" si="42"/>
        <v>-5.1799536954701554E-4</v>
      </c>
      <c r="F939" s="9">
        <f t="shared" si="43"/>
        <v>5.6292504370045578E-2</v>
      </c>
      <c r="G939" s="9">
        <f t="shared" si="44"/>
        <v>7.2644766771141804E-3</v>
      </c>
    </row>
    <row r="940" spans="1:7" x14ac:dyDescent="0.2">
      <c r="A940" s="12">
        <v>38506</v>
      </c>
      <c r="B940" s="9">
        <v>2012.97</v>
      </c>
      <c r="C940" s="9">
        <v>1995.9</v>
      </c>
      <c r="D940" s="9">
        <v>1999.1</v>
      </c>
      <c r="E940" s="9">
        <f t="shared" si="42"/>
        <v>-4.0536008700090319E-3</v>
      </c>
      <c r="F940" s="9">
        <f t="shared" si="43"/>
        <v>5.8451006639775746E-2</v>
      </c>
      <c r="G940" s="9">
        <f t="shared" si="44"/>
        <v>7.1919295542221791E-3</v>
      </c>
    </row>
    <row r="941" spans="1:7" x14ac:dyDescent="0.2">
      <c r="A941" s="12">
        <v>38509</v>
      </c>
      <c r="B941" s="9">
        <v>1998.68</v>
      </c>
      <c r="C941" s="9">
        <v>1985.87</v>
      </c>
      <c r="D941" s="9">
        <v>1991.21</v>
      </c>
      <c r="E941" s="9">
        <f t="shared" si="42"/>
        <v>-3.9545851236977049E-3</v>
      </c>
      <c r="F941" s="9">
        <f t="shared" si="43"/>
        <v>4.501142362859218E-2</v>
      </c>
      <c r="G941" s="9">
        <f t="shared" si="44"/>
        <v>7.124544655552568E-3</v>
      </c>
    </row>
    <row r="942" spans="1:7" x14ac:dyDescent="0.2">
      <c r="A942" s="12">
        <v>38510</v>
      </c>
      <c r="B942" s="9">
        <v>2011.47</v>
      </c>
      <c r="C942" s="9">
        <v>1991.47</v>
      </c>
      <c r="D942" s="9">
        <v>2011.34</v>
      </c>
      <c r="E942" s="9">
        <f t="shared" si="42"/>
        <v>1.0058672458282483E-2</v>
      </c>
      <c r="F942" s="9">
        <f t="shared" si="43"/>
        <v>5.130533147328839E-2</v>
      </c>
      <c r="G942" s="9">
        <f t="shared" si="44"/>
        <v>7.2843986323082041E-3</v>
      </c>
    </row>
    <row r="943" spans="1:7" x14ac:dyDescent="0.2">
      <c r="A943" s="12">
        <v>38511</v>
      </c>
      <c r="B943" s="9">
        <v>2014.6</v>
      </c>
      <c r="C943" s="9">
        <v>2003.56</v>
      </c>
      <c r="D943" s="9">
        <v>2008.41</v>
      </c>
      <c r="E943" s="9">
        <f t="shared" si="42"/>
        <v>-1.4578023602959272E-3</v>
      </c>
      <c r="F943" s="9">
        <f t="shared" si="43"/>
        <v>5.5931681101957564E-2</v>
      </c>
      <c r="G943" s="9">
        <f t="shared" si="44"/>
        <v>7.1616375626486319E-3</v>
      </c>
    </row>
    <row r="944" spans="1:7" x14ac:dyDescent="0.2">
      <c r="A944" s="12">
        <v>38512</v>
      </c>
      <c r="B944" s="9">
        <v>2010.75</v>
      </c>
      <c r="C944" s="9">
        <v>2000.91</v>
      </c>
      <c r="D944" s="9">
        <v>2002.9</v>
      </c>
      <c r="E944" s="9">
        <f t="shared" si="42"/>
        <v>-2.7472339287990723E-3</v>
      </c>
      <c r="F944" s="9">
        <f t="shared" si="43"/>
        <v>7.3949752569186636E-2</v>
      </c>
      <c r="G944" s="9">
        <f t="shared" si="44"/>
        <v>5.8301381434538854E-3</v>
      </c>
    </row>
    <row r="945" spans="1:7" x14ac:dyDescent="0.2">
      <c r="A945" s="12">
        <v>38513</v>
      </c>
      <c r="B945" s="9">
        <v>2023.12</v>
      </c>
      <c r="C945" s="9">
        <v>2004.66</v>
      </c>
      <c r="D945" s="9">
        <v>2021.05</v>
      </c>
      <c r="E945" s="9">
        <f t="shared" si="42"/>
        <v>9.0210480180097623E-3</v>
      </c>
      <c r="F945" s="9">
        <f t="shared" si="43"/>
        <v>8.6379591883464488E-2</v>
      </c>
      <c r="G945" s="9">
        <f t="shared" si="44"/>
        <v>5.839979123306401E-3</v>
      </c>
    </row>
    <row r="946" spans="1:7" x14ac:dyDescent="0.2">
      <c r="A946" s="12">
        <v>38516</v>
      </c>
      <c r="B946" s="9">
        <v>2032.72</v>
      </c>
      <c r="C946" s="9">
        <v>2020.88</v>
      </c>
      <c r="D946" s="9">
        <v>2029.74</v>
      </c>
      <c r="E946" s="9">
        <f t="shared" si="42"/>
        <v>4.2905276901102152E-3</v>
      </c>
      <c r="F946" s="9">
        <f t="shared" si="43"/>
        <v>9.110175872994708E-2</v>
      </c>
      <c r="G946" s="9">
        <f t="shared" si="44"/>
        <v>5.8112290008207335E-3</v>
      </c>
    </row>
    <row r="947" spans="1:7" x14ac:dyDescent="0.2">
      <c r="A947" s="12">
        <v>38517</v>
      </c>
      <c r="B947" s="9">
        <v>2046.59</v>
      </c>
      <c r="C947" s="9">
        <v>2024.73</v>
      </c>
      <c r="D947" s="9">
        <v>2045.77</v>
      </c>
      <c r="E947" s="9">
        <f t="shared" si="42"/>
        <v>7.8665407100320054E-3</v>
      </c>
      <c r="F947" s="9">
        <f t="shared" si="43"/>
        <v>8.92156873405444E-2</v>
      </c>
      <c r="G947" s="9">
        <f t="shared" si="44"/>
        <v>5.7459025831249361E-3</v>
      </c>
    </row>
    <row r="948" spans="1:7" x14ac:dyDescent="0.2">
      <c r="A948" s="12">
        <v>38518</v>
      </c>
      <c r="B948" s="9">
        <v>2045.93</v>
      </c>
      <c r="C948" s="9">
        <v>2030.54</v>
      </c>
      <c r="D948" s="9">
        <v>2032.6</v>
      </c>
      <c r="E948" s="9">
        <f t="shared" si="42"/>
        <v>-6.458485021672805E-3</v>
      </c>
      <c r="F948" s="9">
        <f t="shared" si="43"/>
        <v>8.1448710555925494E-2</v>
      </c>
      <c r="G948" s="9">
        <f t="shared" si="44"/>
        <v>5.9931894018213101E-3</v>
      </c>
    </row>
    <row r="949" spans="1:7" x14ac:dyDescent="0.2">
      <c r="A949" s="12">
        <v>38519</v>
      </c>
      <c r="B949" s="9">
        <v>2050.4899999999998</v>
      </c>
      <c r="C949" s="9">
        <v>2033.55</v>
      </c>
      <c r="D949" s="9">
        <v>2050.4899999999998</v>
      </c>
      <c r="E949" s="9">
        <f t="shared" si="42"/>
        <v>8.7630272572532756E-3</v>
      </c>
      <c r="F949" s="9">
        <f t="shared" si="43"/>
        <v>9.1691261110481009E-2</v>
      </c>
      <c r="G949" s="9">
        <f t="shared" si="44"/>
        <v>6.0375827280427672E-3</v>
      </c>
    </row>
    <row r="950" spans="1:7" x14ac:dyDescent="0.2">
      <c r="A950" s="12">
        <v>38520</v>
      </c>
      <c r="B950" s="9">
        <v>2063.52</v>
      </c>
      <c r="C950" s="9">
        <v>2049.4299999999998</v>
      </c>
      <c r="D950" s="9">
        <v>2058.38</v>
      </c>
      <c r="E950" s="9">
        <f t="shared" si="42"/>
        <v>3.8404766749190297E-3</v>
      </c>
      <c r="F950" s="9">
        <f t="shared" si="43"/>
        <v>7.7836286808046246E-2</v>
      </c>
      <c r="G950" s="9">
        <f t="shared" si="44"/>
        <v>5.3724500089833106E-3</v>
      </c>
    </row>
    <row r="951" spans="1:7" x14ac:dyDescent="0.2">
      <c r="A951" s="12">
        <v>38523</v>
      </c>
      <c r="B951" s="9">
        <v>2060.23</v>
      </c>
      <c r="C951" s="9">
        <v>2048.0100000000002</v>
      </c>
      <c r="D951" s="9">
        <v>2056.29</v>
      </c>
      <c r="E951" s="9">
        <f t="shared" si="42"/>
        <v>-1.0158774238231793E-3</v>
      </c>
      <c r="F951" s="9">
        <f t="shared" si="43"/>
        <v>7.4748239448824999E-2</v>
      </c>
      <c r="G951" s="9">
        <f t="shared" si="44"/>
        <v>5.4122394732222167E-3</v>
      </c>
    </row>
    <row r="952" spans="1:7" x14ac:dyDescent="0.2">
      <c r="A952" s="12">
        <v>38524</v>
      </c>
      <c r="B952" s="9">
        <v>2059.4299999999998</v>
      </c>
      <c r="C952" s="9">
        <v>2047.42</v>
      </c>
      <c r="D952" s="9">
        <v>2051.91</v>
      </c>
      <c r="E952" s="9">
        <f t="shared" si="42"/>
        <v>-2.1323215323402812E-3</v>
      </c>
      <c r="F952" s="9">
        <f t="shared" si="43"/>
        <v>7.7564758579610107E-2</v>
      </c>
      <c r="G952" s="9">
        <f t="shared" si="44"/>
        <v>5.3020287901769849E-3</v>
      </c>
    </row>
    <row r="953" spans="1:7" x14ac:dyDescent="0.2">
      <c r="A953" s="12">
        <v>38525</v>
      </c>
      <c r="B953" s="9">
        <v>2063.56</v>
      </c>
      <c r="C953" s="9">
        <v>2051.91</v>
      </c>
      <c r="D953" s="9">
        <v>2056.2600000000002</v>
      </c>
      <c r="E953" s="9">
        <f t="shared" si="42"/>
        <v>2.1177320440663879E-3</v>
      </c>
      <c r="F953" s="9">
        <f t="shared" si="43"/>
        <v>8.074163134336422E-2</v>
      </c>
      <c r="G953" s="9">
        <f t="shared" si="44"/>
        <v>5.2582703466915823E-3</v>
      </c>
    </row>
    <row r="954" spans="1:7" x14ac:dyDescent="0.2">
      <c r="A954" s="12">
        <v>38526</v>
      </c>
      <c r="B954" s="9">
        <v>2068.38</v>
      </c>
      <c r="C954" s="9">
        <v>2053.38</v>
      </c>
      <c r="D954" s="9">
        <v>2063.98</v>
      </c>
      <c r="E954" s="9">
        <f t="shared" si="42"/>
        <v>3.7473589082839252E-3</v>
      </c>
      <c r="F954" s="9">
        <f t="shared" si="43"/>
        <v>8.157247725792964E-2</v>
      </c>
      <c r="G954" s="9">
        <f t="shared" si="44"/>
        <v>5.2616838387153798E-3</v>
      </c>
    </row>
    <row r="955" spans="1:7" x14ac:dyDescent="0.2">
      <c r="A955" s="12">
        <v>38530</v>
      </c>
      <c r="B955" s="9">
        <v>2058.21</v>
      </c>
      <c r="C955" s="9">
        <v>2019.87</v>
      </c>
      <c r="D955" s="9">
        <v>2025.42</v>
      </c>
      <c r="E955" s="9">
        <f t="shared" si="42"/>
        <v>-1.8859071189920869E-2</v>
      </c>
      <c r="F955" s="9">
        <f t="shared" si="43"/>
        <v>5.552174941383594E-2</v>
      </c>
      <c r="G955" s="9">
        <f t="shared" si="44"/>
        <v>6.5016327959516954E-3</v>
      </c>
    </row>
    <row r="956" spans="1:7" x14ac:dyDescent="0.2">
      <c r="A956" s="12">
        <v>38531</v>
      </c>
      <c r="B956" s="9">
        <v>2036.76</v>
      </c>
      <c r="C956" s="9">
        <v>2024.94</v>
      </c>
      <c r="D956" s="9">
        <v>2035.51</v>
      </c>
      <c r="E956" s="9">
        <f t="shared" si="42"/>
        <v>4.9693152866998281E-3</v>
      </c>
      <c r="F956" s="9">
        <f t="shared" si="43"/>
        <v>5.7536190790422791E-2</v>
      </c>
      <c r="G956" s="9">
        <f t="shared" si="44"/>
        <v>6.5237942107593235E-3</v>
      </c>
    </row>
    <row r="957" spans="1:7" x14ac:dyDescent="0.2">
      <c r="A957" s="12">
        <v>38532</v>
      </c>
      <c r="B957" s="9">
        <v>2057.38</v>
      </c>
      <c r="C957" s="9">
        <v>2037.28</v>
      </c>
      <c r="D957" s="9">
        <v>2053.8200000000002</v>
      </c>
      <c r="E957" s="9">
        <f t="shared" si="42"/>
        <v>8.9550720345240708E-3</v>
      </c>
      <c r="F957" s="9">
        <f t="shared" si="43"/>
        <v>6.483784564685402E-2</v>
      </c>
      <c r="G957" s="9">
        <f t="shared" si="44"/>
        <v>6.6485983236880888E-3</v>
      </c>
    </row>
    <row r="958" spans="1:7" x14ac:dyDescent="0.2">
      <c r="A958" s="12">
        <v>38533</v>
      </c>
      <c r="B958" s="9">
        <v>2062.4699999999998</v>
      </c>
      <c r="C958" s="9">
        <v>2046.56</v>
      </c>
      <c r="D958" s="9">
        <v>2052.86</v>
      </c>
      <c r="E958" s="9">
        <f t="shared" si="42"/>
        <v>-4.6753095809115873E-4</v>
      </c>
      <c r="F958" s="9">
        <f t="shared" si="43"/>
        <v>4.9780249145887433E-2</v>
      </c>
      <c r="G958" s="9">
        <f t="shared" si="44"/>
        <v>6.2333629707932003E-3</v>
      </c>
    </row>
    <row r="959" spans="1:7" x14ac:dyDescent="0.2">
      <c r="A959" s="12">
        <v>38534</v>
      </c>
      <c r="B959" s="9">
        <v>2062.87</v>
      </c>
      <c r="C959" s="9">
        <v>2046.98</v>
      </c>
      <c r="D959" s="9">
        <v>2062.71</v>
      </c>
      <c r="E959" s="9">
        <f t="shared" si="42"/>
        <v>4.7867094022979086E-3</v>
      </c>
      <c r="F959" s="9">
        <f t="shared" si="43"/>
        <v>5.2148181944307599E-2</v>
      </c>
      <c r="G959" s="9">
        <f t="shared" si="44"/>
        <v>6.2582535516467266E-3</v>
      </c>
    </row>
    <row r="960" spans="1:7" x14ac:dyDescent="0.2">
      <c r="A960" s="12">
        <v>38537</v>
      </c>
      <c r="B960" s="9">
        <v>2072.0700000000002</v>
      </c>
      <c r="C960" s="9">
        <v>2063.0100000000002</v>
      </c>
      <c r="D960" s="9">
        <v>2067.2399999999998</v>
      </c>
      <c r="E960" s="9">
        <f t="shared" si="42"/>
        <v>2.1937320387429306E-3</v>
      </c>
      <c r="F960" s="9">
        <f t="shared" si="43"/>
        <v>5.4868126263091246E-2</v>
      </c>
      <c r="G960" s="9">
        <f t="shared" si="44"/>
        <v>6.2440021857141197E-3</v>
      </c>
    </row>
    <row r="961" spans="1:7" x14ac:dyDescent="0.2">
      <c r="A961" s="12">
        <v>38538</v>
      </c>
      <c r="B961" s="9">
        <v>2067.4</v>
      </c>
      <c r="C961" s="9">
        <v>2053.16</v>
      </c>
      <c r="D961" s="9">
        <v>2058.4499999999998</v>
      </c>
      <c r="E961" s="9">
        <f t="shared" si="42"/>
        <v>-4.2611118625261561E-3</v>
      </c>
      <c r="F961" s="9">
        <f t="shared" si="43"/>
        <v>4.2524763982607343E-2</v>
      </c>
      <c r="G961" s="9">
        <f t="shared" si="44"/>
        <v>6.2243833530391405E-3</v>
      </c>
    </row>
    <row r="962" spans="1:7" x14ac:dyDescent="0.2">
      <c r="A962" s="12">
        <v>38539</v>
      </c>
      <c r="B962" s="9">
        <v>2066.7199999999998</v>
      </c>
      <c r="C962" s="9">
        <v>2059.33</v>
      </c>
      <c r="D962" s="9">
        <v>2066.02</v>
      </c>
      <c r="E962" s="9">
        <f t="shared" si="42"/>
        <v>3.6707787910863405E-3</v>
      </c>
      <c r="F962" s="9">
        <f t="shared" si="43"/>
        <v>4.6144853398175992E-2</v>
      </c>
      <c r="G962" s="9">
        <f t="shared" si="44"/>
        <v>6.2320578649127578E-3</v>
      </c>
    </row>
    <row r="963" spans="1:7" x14ac:dyDescent="0.2">
      <c r="A963" s="12">
        <v>38540</v>
      </c>
      <c r="B963" s="9">
        <v>2067.64</v>
      </c>
      <c r="C963" s="9">
        <v>2009.52</v>
      </c>
      <c r="D963" s="9">
        <v>2043.67</v>
      </c>
      <c r="E963" s="9">
        <f t="shared" si="42"/>
        <v>-1.0876840026297175E-2</v>
      </c>
      <c r="F963" s="9">
        <f t="shared" si="43"/>
        <v>4.2195672255419182E-2</v>
      </c>
      <c r="G963" s="9">
        <f t="shared" si="44"/>
        <v>6.4547766176695333E-3</v>
      </c>
    </row>
    <row r="964" spans="1:7" x14ac:dyDescent="0.2">
      <c r="A964" s="12">
        <v>38541</v>
      </c>
      <c r="B964" s="9">
        <v>2076.35</v>
      </c>
      <c r="C964" s="9">
        <v>2046.71</v>
      </c>
      <c r="D964" s="9">
        <v>2073.2399999999998</v>
      </c>
      <c r="E964" s="9">
        <f t="shared" ref="E964:E1027" si="45">LN(D964/D963)</f>
        <v>1.4365389826150052E-2</v>
      </c>
      <c r="F964" s="9">
        <f t="shared" si="43"/>
        <v>5.2918312085270709E-2</v>
      </c>
      <c r="G964" s="9">
        <f t="shared" si="44"/>
        <v>6.8666086722979974E-3</v>
      </c>
    </row>
    <row r="965" spans="1:7" x14ac:dyDescent="0.2">
      <c r="A965" s="12">
        <v>38544</v>
      </c>
      <c r="B965" s="9">
        <v>2089.88</v>
      </c>
      <c r="C965" s="9">
        <v>2075.48</v>
      </c>
      <c r="D965" s="9">
        <v>2089.66</v>
      </c>
      <c r="E965" s="9">
        <f t="shared" si="45"/>
        <v>7.8887723245953233E-3</v>
      </c>
      <c r="F965" s="9">
        <f t="shared" si="43"/>
        <v>5.4434972301390848E-2</v>
      </c>
      <c r="G965" s="9">
        <f t="shared" si="44"/>
        <v>6.9071695867715145E-3</v>
      </c>
    </row>
    <row r="966" spans="1:7" x14ac:dyDescent="0.2">
      <c r="A966" s="12">
        <v>38545</v>
      </c>
      <c r="B966" s="9">
        <v>2093.9899999999998</v>
      </c>
      <c r="C966" s="9">
        <v>2077.65</v>
      </c>
      <c r="D966" s="9">
        <v>2086.62</v>
      </c>
      <c r="E966" s="9">
        <f t="shared" si="45"/>
        <v>-1.4558413405869855E-3</v>
      </c>
      <c r="F966" s="9">
        <f t="shared" si="43"/>
        <v>5.1878142990756992E-2</v>
      </c>
      <c r="G966" s="9">
        <f t="shared" si="44"/>
        <v>6.9320069122686071E-3</v>
      </c>
    </row>
    <row r="967" spans="1:7" x14ac:dyDescent="0.2">
      <c r="A967" s="12">
        <v>38546</v>
      </c>
      <c r="B967" s="9">
        <v>2092.0300000000002</v>
      </c>
      <c r="C967" s="9">
        <v>2077.14</v>
      </c>
      <c r="D967" s="9">
        <v>2085.89</v>
      </c>
      <c r="E967" s="9">
        <f t="shared" si="45"/>
        <v>-3.4990929078576951E-4</v>
      </c>
      <c r="F967" s="9">
        <f t="shared" si="43"/>
        <v>4.7840181917641188E-2</v>
      </c>
      <c r="G967" s="9">
        <f t="shared" si="44"/>
        <v>6.9318643131579876E-3</v>
      </c>
    </row>
    <row r="968" spans="1:7" x14ac:dyDescent="0.2">
      <c r="A968" s="12">
        <v>38547</v>
      </c>
      <c r="D968" s="9">
        <v>2077.5100000000002</v>
      </c>
      <c r="E968" s="9">
        <f t="shared" si="45"/>
        <v>-4.0255614721571454E-3</v>
      </c>
      <c r="F968" s="9">
        <f t="shared" si="43"/>
        <v>3.3901385694503128E-2</v>
      </c>
      <c r="G968" s="9">
        <f t="shared" si="44"/>
        <v>6.8213249965795716E-3</v>
      </c>
    </row>
    <row r="969" spans="1:7" x14ac:dyDescent="0.2">
      <c r="A969" s="12">
        <v>38548</v>
      </c>
      <c r="B969" s="9">
        <v>2091.81</v>
      </c>
      <c r="C969" s="9">
        <v>2075.91</v>
      </c>
      <c r="D969" s="9">
        <v>2085.87</v>
      </c>
      <c r="E969" s="9">
        <f t="shared" si="45"/>
        <v>4.0159731928696837E-3</v>
      </c>
      <c r="F969" s="9">
        <f t="shared" si="43"/>
        <v>3.8435354256919983E-2</v>
      </c>
      <c r="G969" s="9">
        <f t="shared" si="44"/>
        <v>6.8337677576883497E-3</v>
      </c>
    </row>
    <row r="970" spans="1:7" x14ac:dyDescent="0.2">
      <c r="A970" s="12">
        <v>38551</v>
      </c>
      <c r="B970" s="9">
        <v>2095.36</v>
      </c>
      <c r="C970" s="9">
        <v>2082.9699999999998</v>
      </c>
      <c r="D970" s="9">
        <v>2083.8200000000002</v>
      </c>
      <c r="E970" s="9">
        <f t="shared" si="45"/>
        <v>-9.8328660652011028E-4</v>
      </c>
      <c r="F970" s="9">
        <f t="shared" si="43"/>
        <v>4.1505668520408878E-2</v>
      </c>
      <c r="G970" s="9">
        <f t="shared" si="44"/>
        <v>6.7738461926349905E-3</v>
      </c>
    </row>
    <row r="971" spans="1:7" x14ac:dyDescent="0.2">
      <c r="A971" s="12">
        <v>38552</v>
      </c>
      <c r="B971" s="9">
        <v>2113.5</v>
      </c>
      <c r="C971" s="9">
        <v>2084.94</v>
      </c>
      <c r="D971" s="9">
        <v>2112.89</v>
      </c>
      <c r="E971" s="9">
        <f t="shared" si="45"/>
        <v>1.3853930794515313E-2</v>
      </c>
      <c r="F971" s="9">
        <f t="shared" si="43"/>
        <v>5.9314184438621867E-2</v>
      </c>
      <c r="G971" s="9">
        <f t="shared" si="44"/>
        <v>7.0640152483002787E-3</v>
      </c>
    </row>
    <row r="972" spans="1:7" x14ac:dyDescent="0.2">
      <c r="A972" s="12">
        <v>38553</v>
      </c>
      <c r="B972" s="9">
        <v>2110.83</v>
      </c>
      <c r="C972" s="9">
        <v>2099.14</v>
      </c>
      <c r="D972" s="9">
        <v>2108.54</v>
      </c>
      <c r="E972" s="9">
        <f t="shared" si="45"/>
        <v>-2.0609137376054352E-3</v>
      </c>
      <c r="F972" s="9">
        <f t="shared" si="43"/>
        <v>4.7194598242733976E-2</v>
      </c>
      <c r="G972" s="9">
        <f t="shared" si="44"/>
        <v>6.9312077474392962E-3</v>
      </c>
    </row>
    <row r="973" spans="1:7" x14ac:dyDescent="0.2">
      <c r="A973" s="12">
        <v>38554</v>
      </c>
      <c r="B973" s="9">
        <v>2111.81</v>
      </c>
      <c r="C973" s="9">
        <v>2074.85</v>
      </c>
      <c r="D973" s="9">
        <v>2083.52</v>
      </c>
      <c r="E973" s="9">
        <f t="shared" si="45"/>
        <v>-1.1936993790518642E-2</v>
      </c>
      <c r="F973" s="9">
        <f t="shared" si="43"/>
        <v>3.6715406812511203E-2</v>
      </c>
      <c r="G973" s="9">
        <f t="shared" si="44"/>
        <v>7.3411558742618567E-3</v>
      </c>
    </row>
    <row r="974" spans="1:7" x14ac:dyDescent="0.2">
      <c r="A974" s="12">
        <v>38555</v>
      </c>
      <c r="B974" s="9">
        <v>2090.0300000000002</v>
      </c>
      <c r="C974" s="9">
        <v>2076.6</v>
      </c>
      <c r="D974" s="9">
        <v>2086.9699999999998</v>
      </c>
      <c r="E974" s="9">
        <f t="shared" si="45"/>
        <v>1.6544822248592496E-3</v>
      </c>
      <c r="F974" s="9">
        <f t="shared" si="43"/>
        <v>4.1117122966169692E-2</v>
      </c>
      <c r="G974" s="9">
        <f t="shared" si="44"/>
        <v>7.3029390507466036E-3</v>
      </c>
    </row>
    <row r="975" spans="1:7" x14ac:dyDescent="0.2">
      <c r="A975" s="12">
        <v>38558</v>
      </c>
      <c r="D975" s="9">
        <v>2087.14</v>
      </c>
      <c r="E975" s="9">
        <f t="shared" si="45"/>
        <v>8.1454489744636958E-5</v>
      </c>
      <c r="F975" s="9">
        <f t="shared" si="43"/>
        <v>3.2177529437904598E-2</v>
      </c>
      <c r="G975" s="9">
        <f t="shared" si="44"/>
        <v>7.1610122223777521E-3</v>
      </c>
    </row>
    <row r="976" spans="1:7" x14ac:dyDescent="0.2">
      <c r="A976" s="12">
        <v>38559</v>
      </c>
      <c r="B976" s="9">
        <v>2095.15</v>
      </c>
      <c r="C976" s="9">
        <v>2084.56</v>
      </c>
      <c r="D976" s="9">
        <v>2089.54</v>
      </c>
      <c r="E976" s="9">
        <f t="shared" si="45"/>
        <v>1.1492382773638022E-3</v>
      </c>
      <c r="F976" s="9">
        <f t="shared" si="43"/>
        <v>2.9036240025158158E-2</v>
      </c>
      <c r="G976" s="9">
        <f t="shared" si="44"/>
        <v>7.1352562682113685E-3</v>
      </c>
    </row>
    <row r="977" spans="1:7" x14ac:dyDescent="0.2">
      <c r="A977" s="12">
        <v>38560</v>
      </c>
      <c r="B977" s="9">
        <v>2120.86</v>
      </c>
      <c r="C977" s="9">
        <v>2090.1999999999998</v>
      </c>
      <c r="D977" s="9">
        <v>2118.23</v>
      </c>
      <c r="E977" s="9">
        <f t="shared" si="45"/>
        <v>1.3636888237368134E-2</v>
      </c>
      <c r="F977" s="9">
        <f t="shared" si="43"/>
        <v>3.4806587552494272E-2</v>
      </c>
      <c r="G977" s="9">
        <f t="shared" si="44"/>
        <v>7.4004822606739762E-3</v>
      </c>
    </row>
    <row r="978" spans="1:7" x14ac:dyDescent="0.2">
      <c r="A978" s="12">
        <v>38561</v>
      </c>
      <c r="B978" s="9">
        <v>2147.29</v>
      </c>
      <c r="C978" s="9">
        <v>2115.0300000000002</v>
      </c>
      <c r="D978" s="9">
        <v>2132.17</v>
      </c>
      <c r="E978" s="9">
        <f t="shared" si="45"/>
        <v>6.5594061648845334E-3</v>
      </c>
      <c r="F978" s="9">
        <f t="shared" si="43"/>
        <v>4.7824478739051671E-2</v>
      </c>
      <c r="G978" s="9">
        <f t="shared" si="44"/>
        <v>7.3195644753757342E-3</v>
      </c>
    </row>
    <row r="979" spans="1:7" x14ac:dyDescent="0.2">
      <c r="A979" s="12">
        <v>38562</v>
      </c>
      <c r="B979" s="9">
        <v>2139.88</v>
      </c>
      <c r="C979" s="9">
        <v>2112.7800000000002</v>
      </c>
      <c r="D979" s="9">
        <v>2121.4499999999998</v>
      </c>
      <c r="E979" s="9">
        <f t="shared" si="45"/>
        <v>-5.040423308099274E-3</v>
      </c>
      <c r="F979" s="9">
        <f t="shared" si="43"/>
        <v>3.4021028173699064E-2</v>
      </c>
      <c r="G979" s="9">
        <f t="shared" si="44"/>
        <v>7.2871598614305793E-3</v>
      </c>
    </row>
    <row r="980" spans="1:7" x14ac:dyDescent="0.2">
      <c r="A980" s="12">
        <v>38565</v>
      </c>
      <c r="B980" s="9">
        <v>2140.09</v>
      </c>
      <c r="C980" s="9">
        <v>2122.1999999999998</v>
      </c>
      <c r="D980" s="9">
        <v>2126.04</v>
      </c>
      <c r="E980" s="9">
        <f t="shared" si="45"/>
        <v>2.1612772657279566E-3</v>
      </c>
      <c r="F980" s="9">
        <f t="shared" si="43"/>
        <v>3.2341828764508002E-2</v>
      </c>
      <c r="G980" s="9">
        <f t="shared" si="44"/>
        <v>7.2720880506350607E-3</v>
      </c>
    </row>
    <row r="981" spans="1:7" x14ac:dyDescent="0.2">
      <c r="A981" s="12">
        <v>38566</v>
      </c>
      <c r="B981" s="9">
        <v>2134.71</v>
      </c>
      <c r="C981" s="9">
        <v>2124.4899999999998</v>
      </c>
      <c r="D981" s="9">
        <v>2134.71</v>
      </c>
      <c r="E981" s="9">
        <f t="shared" si="45"/>
        <v>4.069711654728048E-3</v>
      </c>
      <c r="F981" s="9">
        <f t="shared" si="43"/>
        <v>3.7427417843059335E-2</v>
      </c>
      <c r="G981" s="9">
        <f t="shared" si="44"/>
        <v>7.2808628765730875E-3</v>
      </c>
    </row>
    <row r="982" spans="1:7" x14ac:dyDescent="0.2">
      <c r="A982" s="12">
        <v>38567</v>
      </c>
      <c r="B982" s="9">
        <v>2136.9899999999998</v>
      </c>
      <c r="C982" s="9">
        <v>2127.4</v>
      </c>
      <c r="D982" s="9">
        <v>2132.06</v>
      </c>
      <c r="E982" s="9">
        <f t="shared" si="45"/>
        <v>-1.2421575762162876E-3</v>
      </c>
      <c r="F982" s="9">
        <f t="shared" si="43"/>
        <v>3.8317581799183445E-2</v>
      </c>
      <c r="G982" s="9">
        <f t="shared" si="44"/>
        <v>7.2684168159597683E-3</v>
      </c>
    </row>
    <row r="983" spans="1:7" x14ac:dyDescent="0.2">
      <c r="A983" s="12">
        <v>38568</v>
      </c>
      <c r="B983" s="9">
        <v>2143.37</v>
      </c>
      <c r="C983" s="9">
        <v>2116.4899999999998</v>
      </c>
      <c r="D983" s="9">
        <v>2121.61</v>
      </c>
      <c r="E983" s="9">
        <f t="shared" si="45"/>
        <v>-4.9134140745917439E-3</v>
      </c>
      <c r="F983" s="9">
        <f t="shared" si="43"/>
        <v>3.1286435680525172E-2</v>
      </c>
      <c r="G983" s="9">
        <f t="shared" si="44"/>
        <v>7.353246190819839E-3</v>
      </c>
    </row>
    <row r="984" spans="1:7" x14ac:dyDescent="0.2">
      <c r="A984" s="12">
        <v>38569</v>
      </c>
      <c r="B984" s="9">
        <v>2123.66</v>
      </c>
      <c r="C984" s="9">
        <v>2111.92</v>
      </c>
      <c r="D984" s="9">
        <v>2112.9699999999998</v>
      </c>
      <c r="E984" s="9">
        <f t="shared" si="45"/>
        <v>-4.0806937120002581E-3</v>
      </c>
      <c r="F984" s="9">
        <f t="shared" si="43"/>
        <v>2.3458383060241051E-2</v>
      </c>
      <c r="G984" s="9">
        <f t="shared" si="44"/>
        <v>7.3927524228585301E-3</v>
      </c>
    </row>
    <row r="985" spans="1:7" x14ac:dyDescent="0.2">
      <c r="A985" s="12">
        <v>38572</v>
      </c>
      <c r="D985" s="9">
        <v>2123.7199999999998</v>
      </c>
      <c r="E985" s="9">
        <f t="shared" si="45"/>
        <v>5.0747272376583949E-3</v>
      </c>
      <c r="F985" s="9">
        <f t="shared" si="43"/>
        <v>4.739218148782029E-2</v>
      </c>
      <c r="G985" s="9">
        <f t="shared" si="44"/>
        <v>6.4286402520796031E-3</v>
      </c>
    </row>
    <row r="986" spans="1:7" x14ac:dyDescent="0.2">
      <c r="A986" s="12">
        <v>38573</v>
      </c>
      <c r="B986" s="9">
        <v>2138.41</v>
      </c>
      <c r="C986" s="9">
        <v>2123.7199999999998</v>
      </c>
      <c r="D986" s="9">
        <v>2131.96</v>
      </c>
      <c r="E986" s="9">
        <f t="shared" si="45"/>
        <v>3.8724764537285215E-3</v>
      </c>
      <c r="F986" s="9">
        <f t="shared" si="43"/>
        <v>4.6295342654848901E-2</v>
      </c>
      <c r="G986" s="9">
        <f t="shared" si="44"/>
        <v>6.4117950734401737E-3</v>
      </c>
    </row>
    <row r="987" spans="1:7" x14ac:dyDescent="0.2">
      <c r="A987" s="12">
        <v>38574</v>
      </c>
      <c r="B987" s="9">
        <v>2151.81</v>
      </c>
      <c r="C987" s="9">
        <v>2131.64</v>
      </c>
      <c r="D987" s="9">
        <v>2151.81</v>
      </c>
      <c r="E987" s="9">
        <f t="shared" si="45"/>
        <v>9.2676040374084952E-3</v>
      </c>
      <c r="F987" s="9">
        <f t="shared" si="43"/>
        <v>4.660787465773341E-2</v>
      </c>
      <c r="G987" s="9">
        <f t="shared" si="44"/>
        <v>6.4244943296190979E-3</v>
      </c>
    </row>
    <row r="988" spans="1:7" x14ac:dyDescent="0.2">
      <c r="A988" s="12">
        <v>38575</v>
      </c>
      <c r="B988" s="9">
        <v>2148.17</v>
      </c>
      <c r="C988" s="9">
        <v>2136.81</v>
      </c>
      <c r="D988" s="9">
        <v>2136.81</v>
      </c>
      <c r="E988" s="9">
        <f t="shared" si="45"/>
        <v>-6.9952857410907664E-3</v>
      </c>
      <c r="F988" s="9">
        <f t="shared" si="43"/>
        <v>4.0080119874733693E-2</v>
      </c>
      <c r="G988" s="9">
        <f t="shared" si="44"/>
        <v>6.6033631211468071E-3</v>
      </c>
    </row>
    <row r="989" spans="1:7" x14ac:dyDescent="0.2">
      <c r="A989" s="12">
        <v>38576</v>
      </c>
      <c r="B989" s="9">
        <v>2145.52</v>
      </c>
      <c r="C989" s="9">
        <v>2137.13</v>
      </c>
      <c r="D989" s="9">
        <v>2140.2600000000002</v>
      </c>
      <c r="E989" s="9">
        <f t="shared" si="45"/>
        <v>1.6132542830697189E-3</v>
      </c>
      <c r="F989" s="9">
        <f t="shared" si="43"/>
        <v>3.6906664755505594E-2</v>
      </c>
      <c r="G989" s="9">
        <f t="shared" si="44"/>
        <v>6.571520416076288E-3</v>
      </c>
    </row>
    <row r="990" spans="1:7" x14ac:dyDescent="0.2">
      <c r="A990" s="12">
        <v>38579</v>
      </c>
      <c r="B990" s="9">
        <v>2147.35</v>
      </c>
      <c r="C990" s="9">
        <v>2134.08</v>
      </c>
      <c r="D990" s="9">
        <v>2135.44</v>
      </c>
      <c r="E990" s="9">
        <f t="shared" si="45"/>
        <v>-2.2546025407605792E-3</v>
      </c>
      <c r="F990" s="9">
        <f t="shared" si="43"/>
        <v>3.2458330176001977E-2</v>
      </c>
      <c r="G990" s="9">
        <f t="shared" si="44"/>
        <v>6.5991577292567839E-3</v>
      </c>
    </row>
    <row r="991" spans="1:7" x14ac:dyDescent="0.2">
      <c r="A991" s="12">
        <v>38580</v>
      </c>
      <c r="D991" s="9">
        <v>2120.2199999999998</v>
      </c>
      <c r="E991" s="9">
        <f t="shared" si="45"/>
        <v>-7.1528575554222042E-3</v>
      </c>
      <c r="F991" s="9">
        <f t="shared" si="43"/>
        <v>2.9566584483105837E-2</v>
      </c>
      <c r="G991" s="9">
        <f t="shared" si="44"/>
        <v>6.7002382156051126E-3</v>
      </c>
    </row>
    <row r="992" spans="1:7" x14ac:dyDescent="0.2">
      <c r="A992" s="12">
        <v>38581</v>
      </c>
      <c r="B992" s="9">
        <v>2119.73</v>
      </c>
      <c r="C992" s="9">
        <v>2103.91</v>
      </c>
      <c r="D992" s="9">
        <v>2106.5100000000002</v>
      </c>
      <c r="E992" s="9">
        <f t="shared" si="45"/>
        <v>-6.4873072480408061E-3</v>
      </c>
      <c r="F992" s="9">
        <f t="shared" si="43"/>
        <v>1.9408498443978867E-2</v>
      </c>
      <c r="G992" s="9">
        <f t="shared" si="44"/>
        <v>6.8155405942530306E-3</v>
      </c>
    </row>
    <row r="993" spans="1:7" x14ac:dyDescent="0.2">
      <c r="A993" s="12">
        <v>38582</v>
      </c>
      <c r="B993" s="9">
        <v>2114.65</v>
      </c>
      <c r="C993" s="9">
        <v>2104.3200000000002</v>
      </c>
      <c r="D993" s="9">
        <v>2104.56</v>
      </c>
      <c r="E993" s="9">
        <f t="shared" si="45"/>
        <v>-9.2613047960708468E-4</v>
      </c>
      <c r="F993" s="9">
        <f t="shared" ref="F993:F1056" si="46">LN(D993/D963)</f>
        <v>2.9359207990669028E-2</v>
      </c>
      <c r="G993" s="9">
        <f t="shared" ref="G993:G1056" si="47">STDEV(E964:E993)</f>
        <v>6.4686845297215285E-3</v>
      </c>
    </row>
    <row r="994" spans="1:7" x14ac:dyDescent="0.2">
      <c r="A994" s="12">
        <v>38583</v>
      </c>
      <c r="B994" s="9">
        <v>2132.0700000000002</v>
      </c>
      <c r="C994" s="9">
        <v>2105.0500000000002</v>
      </c>
      <c r="D994" s="9">
        <v>2131.13</v>
      </c>
      <c r="E994" s="9">
        <f t="shared" si="45"/>
        <v>1.2545936322094723E-2</v>
      </c>
      <c r="F994" s="9">
        <f t="shared" si="46"/>
        <v>2.7539754486613655E-2</v>
      </c>
      <c r="G994" s="9">
        <f t="shared" si="47"/>
        <v>6.3462164509747333E-3</v>
      </c>
    </row>
    <row r="995" spans="1:7" x14ac:dyDescent="0.2">
      <c r="A995" s="12">
        <v>38586</v>
      </c>
      <c r="B995" s="9">
        <v>2142.2399999999998</v>
      </c>
      <c r="C995" s="9">
        <v>2131.13</v>
      </c>
      <c r="D995" s="9">
        <v>2141.34</v>
      </c>
      <c r="E995" s="9">
        <f t="shared" si="45"/>
        <v>4.7794458173680866E-3</v>
      </c>
      <c r="F995" s="9">
        <f t="shared" si="46"/>
        <v>2.4430427979386396E-2</v>
      </c>
      <c r="G995" s="9">
        <f t="shared" si="47"/>
        <v>6.2531542838522598E-3</v>
      </c>
    </row>
    <row r="996" spans="1:7" x14ac:dyDescent="0.2">
      <c r="A996" s="12">
        <v>38587</v>
      </c>
      <c r="B996" s="9">
        <v>2146.11</v>
      </c>
      <c r="C996" s="9">
        <v>2135.66</v>
      </c>
      <c r="D996" s="9">
        <v>2136.4899999999998</v>
      </c>
      <c r="E996" s="9">
        <f t="shared" si="45"/>
        <v>-2.2675057578521451E-3</v>
      </c>
      <c r="F996" s="9">
        <f t="shared" si="46"/>
        <v>2.3618763562121288E-2</v>
      </c>
      <c r="G996" s="9">
        <f t="shared" si="47"/>
        <v>6.2650599764679758E-3</v>
      </c>
    </row>
    <row r="997" spans="1:7" x14ac:dyDescent="0.2">
      <c r="A997" s="12">
        <v>38588</v>
      </c>
      <c r="B997" s="9">
        <v>2138.67</v>
      </c>
      <c r="C997" s="9">
        <v>2121.25</v>
      </c>
      <c r="D997" s="9">
        <v>2122.21</v>
      </c>
      <c r="E997" s="9">
        <f t="shared" si="45"/>
        <v>-6.7062970012063206E-3</v>
      </c>
      <c r="F997" s="9">
        <f t="shared" si="46"/>
        <v>1.7262375851700641E-2</v>
      </c>
      <c r="G997" s="9">
        <f t="shared" si="47"/>
        <v>6.4106381972415276E-3</v>
      </c>
    </row>
    <row r="998" spans="1:7" x14ac:dyDescent="0.2">
      <c r="A998" s="12">
        <v>38589</v>
      </c>
      <c r="B998" s="9">
        <v>2120.6</v>
      </c>
      <c r="C998" s="9">
        <v>2110.2399999999998</v>
      </c>
      <c r="D998" s="9">
        <v>2112.2199999999998</v>
      </c>
      <c r="E998" s="9">
        <f t="shared" si="45"/>
        <v>-4.7184714517660067E-3</v>
      </c>
      <c r="F998" s="9">
        <f t="shared" si="46"/>
        <v>1.6569465872091838E-2</v>
      </c>
      <c r="G998" s="9">
        <f t="shared" si="47"/>
        <v>6.4290086715909156E-3</v>
      </c>
    </row>
    <row r="999" spans="1:7" x14ac:dyDescent="0.2">
      <c r="A999" s="12">
        <v>38590</v>
      </c>
      <c r="B999" s="9">
        <v>2117.5700000000002</v>
      </c>
      <c r="C999" s="9">
        <v>2100.8200000000002</v>
      </c>
      <c r="D999" s="9">
        <v>2101.36</v>
      </c>
      <c r="E999" s="9">
        <f t="shared" si="45"/>
        <v>-5.1547729234346336E-3</v>
      </c>
      <c r="F999" s="9">
        <f t="shared" si="46"/>
        <v>7.3987197557874229E-3</v>
      </c>
      <c r="G999" s="9">
        <f t="shared" si="47"/>
        <v>6.476490474699682E-3</v>
      </c>
    </row>
    <row r="1000" spans="1:7" x14ac:dyDescent="0.2">
      <c r="A1000" s="12">
        <v>38593</v>
      </c>
      <c r="B1000" s="9">
        <v>2100.87</v>
      </c>
      <c r="C1000" s="9">
        <v>2089.9499999999998</v>
      </c>
      <c r="D1000" s="9">
        <v>2100.59</v>
      </c>
      <c r="E1000" s="9">
        <f t="shared" si="45"/>
        <v>-3.6649651167617507E-4</v>
      </c>
      <c r="F1000" s="9">
        <f t="shared" si="46"/>
        <v>8.0155098506313836E-3</v>
      </c>
      <c r="G1000" s="9">
        <f t="shared" si="47"/>
        <v>6.4734297599909054E-3</v>
      </c>
    </row>
    <row r="1001" spans="1:7" x14ac:dyDescent="0.2">
      <c r="A1001" s="12">
        <v>38594</v>
      </c>
      <c r="B1001" s="9">
        <v>2125.44</v>
      </c>
      <c r="C1001" s="9">
        <v>2101.23</v>
      </c>
      <c r="D1001" s="9">
        <v>2115.67</v>
      </c>
      <c r="E1001" s="9">
        <f t="shared" si="45"/>
        <v>7.153289551884618E-3</v>
      </c>
      <c r="F1001" s="9">
        <f t="shared" si="46"/>
        <v>1.3148686080008002E-3</v>
      </c>
      <c r="G1001" s="9">
        <f t="shared" si="47"/>
        <v>6.0928890994830986E-3</v>
      </c>
    </row>
    <row r="1002" spans="1:7" x14ac:dyDescent="0.2">
      <c r="A1002" s="12">
        <v>38595</v>
      </c>
      <c r="B1002" s="9">
        <v>2147.92</v>
      </c>
      <c r="C1002" s="9">
        <v>2115.9699999999998</v>
      </c>
      <c r="D1002" s="9">
        <v>2147.61</v>
      </c>
      <c r="E1002" s="9">
        <f t="shared" si="45"/>
        <v>1.4984048713540194E-2</v>
      </c>
      <c r="F1002" s="9">
        <f t="shared" si="46"/>
        <v>1.8359831059146403E-2</v>
      </c>
      <c r="G1002" s="9">
        <f t="shared" si="47"/>
        <v>6.6583406245233389E-3</v>
      </c>
    </row>
    <row r="1003" spans="1:7" x14ac:dyDescent="0.2">
      <c r="A1003" s="12">
        <v>38596</v>
      </c>
      <c r="B1003" s="9">
        <v>2165.4699999999998</v>
      </c>
      <c r="C1003" s="9">
        <v>2149.38</v>
      </c>
      <c r="D1003" s="9">
        <v>2164.9499999999998</v>
      </c>
      <c r="E1003" s="9">
        <f t="shared" si="45"/>
        <v>8.0416705835197281E-3</v>
      </c>
      <c r="F1003" s="9">
        <f t="shared" si="46"/>
        <v>3.8338495433184773E-2</v>
      </c>
      <c r="G1003" s="9">
        <f t="shared" si="47"/>
        <v>6.3520009883576293E-3</v>
      </c>
    </row>
    <row r="1004" spans="1:7" x14ac:dyDescent="0.2">
      <c r="A1004" s="12">
        <v>38597</v>
      </c>
      <c r="B1004" s="9">
        <v>2179.58</v>
      </c>
      <c r="C1004" s="9">
        <v>2159.3000000000002</v>
      </c>
      <c r="D1004" s="9">
        <v>2165.79</v>
      </c>
      <c r="E1004" s="9">
        <f t="shared" si="45"/>
        <v>3.8792447042948464E-4</v>
      </c>
      <c r="F1004" s="9">
        <f t="shared" si="46"/>
        <v>3.7071937678755128E-2</v>
      </c>
      <c r="G1004" s="9">
        <f t="shared" si="47"/>
        <v>6.3536209507358866E-3</v>
      </c>
    </row>
    <row r="1005" spans="1:7" x14ac:dyDescent="0.2">
      <c r="A1005" s="12">
        <v>38600</v>
      </c>
      <c r="B1005" s="9">
        <v>2172.17</v>
      </c>
      <c r="C1005" s="9">
        <v>2164.58</v>
      </c>
      <c r="D1005" s="9">
        <v>2170.9499999999998</v>
      </c>
      <c r="E1005" s="9">
        <f t="shared" si="45"/>
        <v>2.3796687996115074E-3</v>
      </c>
      <c r="F1005" s="9">
        <f t="shared" si="46"/>
        <v>3.9370151988621836E-2</v>
      </c>
      <c r="G1005" s="9">
        <f t="shared" si="47"/>
        <v>6.3530786862049183E-3</v>
      </c>
    </row>
    <row r="1006" spans="1:7" x14ac:dyDescent="0.2">
      <c r="A1006" s="12">
        <v>38601</v>
      </c>
      <c r="B1006" s="9">
        <v>2184.86</v>
      </c>
      <c r="C1006" s="9">
        <v>2170.2399999999998</v>
      </c>
      <c r="D1006" s="9">
        <v>2183.98</v>
      </c>
      <c r="E1006" s="9">
        <f t="shared" si="45"/>
        <v>5.9840405619847768E-3</v>
      </c>
      <c r="F1006" s="9">
        <f t="shared" si="46"/>
        <v>4.4204954273242884E-2</v>
      </c>
      <c r="G1006" s="9">
        <f t="shared" si="47"/>
        <v>6.4098676013541614E-3</v>
      </c>
    </row>
    <row r="1007" spans="1:7" x14ac:dyDescent="0.2">
      <c r="A1007" s="12">
        <v>38602</v>
      </c>
      <c r="B1007" s="9">
        <v>2197.67</v>
      </c>
      <c r="C1007" s="9">
        <v>2182.75</v>
      </c>
      <c r="D1007" s="9">
        <v>2195.91</v>
      </c>
      <c r="E1007" s="9">
        <f t="shared" si="45"/>
        <v>5.4476388693048784E-3</v>
      </c>
      <c r="F1007" s="9">
        <f t="shared" si="46"/>
        <v>3.6015704905179607E-2</v>
      </c>
      <c r="G1007" s="9">
        <f t="shared" si="47"/>
        <v>6.0375718987397686E-3</v>
      </c>
    </row>
    <row r="1008" spans="1:7" x14ac:dyDescent="0.2">
      <c r="A1008" s="12">
        <v>38603</v>
      </c>
      <c r="B1008" s="9">
        <v>2197.7800000000002</v>
      </c>
      <c r="C1008" s="9">
        <v>2187.52</v>
      </c>
      <c r="D1008" s="9">
        <v>2187.79</v>
      </c>
      <c r="E1008" s="9">
        <f t="shared" si="45"/>
        <v>-3.7046373094871661E-3</v>
      </c>
      <c r="F1008" s="9">
        <f t="shared" si="46"/>
        <v>2.5751661430807905E-2</v>
      </c>
      <c r="G1008" s="9">
        <f t="shared" si="47"/>
        <v>6.0141994374970295E-3</v>
      </c>
    </row>
    <row r="1009" spans="1:7" x14ac:dyDescent="0.2">
      <c r="A1009" s="12">
        <v>38604</v>
      </c>
      <c r="B1009" s="9">
        <v>2200.88</v>
      </c>
      <c r="C1009" s="9">
        <v>2188.44</v>
      </c>
      <c r="D1009" s="9">
        <v>2200.39</v>
      </c>
      <c r="E1009" s="9">
        <f t="shared" si="45"/>
        <v>5.742715489200953E-3</v>
      </c>
      <c r="F1009" s="9">
        <f t="shared" si="46"/>
        <v>3.6534800228108295E-2</v>
      </c>
      <c r="G1009" s="9">
        <f t="shared" si="47"/>
        <v>5.9715764876913085E-3</v>
      </c>
    </row>
    <row r="1010" spans="1:7" x14ac:dyDescent="0.2">
      <c r="A1010" s="12">
        <v>38607</v>
      </c>
      <c r="B1010" s="9">
        <v>2216.77</v>
      </c>
      <c r="C1010" s="9">
        <v>2201.1999999999998</v>
      </c>
      <c r="D1010" s="9">
        <v>2212.29</v>
      </c>
      <c r="E1010" s="9">
        <f t="shared" si="45"/>
        <v>5.3935607603826834E-3</v>
      </c>
      <c r="F1010" s="9">
        <f t="shared" si="46"/>
        <v>3.9767083722763108E-2</v>
      </c>
      <c r="G1010" s="9">
        <f t="shared" si="47"/>
        <v>6.0181634488691129E-3</v>
      </c>
    </row>
    <row r="1011" spans="1:7" x14ac:dyDescent="0.2">
      <c r="A1011" s="12">
        <v>38608</v>
      </c>
      <c r="B1011" s="9">
        <v>2238.14</v>
      </c>
      <c r="C1011" s="9">
        <v>2212.29</v>
      </c>
      <c r="D1011" s="9">
        <v>2232.25</v>
      </c>
      <c r="E1011" s="9">
        <f t="shared" si="45"/>
        <v>8.9818672742162271E-3</v>
      </c>
      <c r="F1011" s="9">
        <f t="shared" si="46"/>
        <v>4.4679239342251535E-2</v>
      </c>
      <c r="G1011" s="9">
        <f t="shared" si="47"/>
        <v>6.1605382612680074E-3</v>
      </c>
    </row>
    <row r="1012" spans="1:7" x14ac:dyDescent="0.2">
      <c r="A1012" s="12">
        <v>38609</v>
      </c>
      <c r="B1012" s="9">
        <v>2245.27</v>
      </c>
      <c r="C1012" s="9">
        <v>2231.89</v>
      </c>
      <c r="D1012" s="9">
        <v>2233.98</v>
      </c>
      <c r="E1012" s="9">
        <f t="shared" si="45"/>
        <v>7.7470264026874996E-4</v>
      </c>
      <c r="F1012" s="9">
        <f t="shared" si="46"/>
        <v>4.6696099558736409E-2</v>
      </c>
      <c r="G1012" s="9">
        <f t="shared" si="47"/>
        <v>6.1406752528406676E-3</v>
      </c>
    </row>
    <row r="1013" spans="1:7" x14ac:dyDescent="0.2">
      <c r="A1013" s="12">
        <v>38610</v>
      </c>
      <c r="B1013" s="9">
        <v>2241.02</v>
      </c>
      <c r="C1013" s="9">
        <v>2228.87</v>
      </c>
      <c r="D1013" s="9">
        <v>2229.14</v>
      </c>
      <c r="E1013" s="9">
        <f t="shared" si="45"/>
        <v>-2.1688871898174404E-3</v>
      </c>
      <c r="F1013" s="9">
        <f t="shared" si="46"/>
        <v>4.9440626443510848E-2</v>
      </c>
      <c r="G1013" s="9">
        <f t="shared" si="47"/>
        <v>6.0608873930170495E-3</v>
      </c>
    </row>
    <row r="1014" spans="1:7" x14ac:dyDescent="0.2">
      <c r="A1014" s="12">
        <v>38611</v>
      </c>
      <c r="B1014" s="9">
        <v>2239.96</v>
      </c>
      <c r="C1014" s="9">
        <v>2225.0500000000002</v>
      </c>
      <c r="D1014" s="9">
        <v>2235.37</v>
      </c>
      <c r="E1014" s="9">
        <f t="shared" si="45"/>
        <v>2.7909015967517176E-3</v>
      </c>
      <c r="F1014" s="9">
        <f t="shared" si="46"/>
        <v>5.6312221752262859E-2</v>
      </c>
      <c r="G1014" s="9">
        <f t="shared" si="47"/>
        <v>5.9660255598251097E-3</v>
      </c>
    </row>
    <row r="1015" spans="1:7" x14ac:dyDescent="0.2">
      <c r="A1015" s="12">
        <v>38614</v>
      </c>
      <c r="B1015" s="9">
        <v>2253.23</v>
      </c>
      <c r="C1015" s="9">
        <v>2232.84</v>
      </c>
      <c r="D1015" s="9">
        <v>2250.14</v>
      </c>
      <c r="E1015" s="9">
        <f t="shared" si="45"/>
        <v>6.5856740404369538E-3</v>
      </c>
      <c r="F1015" s="9">
        <f t="shared" si="46"/>
        <v>5.7823168555041306E-2</v>
      </c>
      <c r="G1015" s="9">
        <f t="shared" si="47"/>
        <v>6.0002304487221658E-3</v>
      </c>
    </row>
    <row r="1016" spans="1:7" x14ac:dyDescent="0.2">
      <c r="A1016" s="12">
        <v>38615</v>
      </c>
      <c r="B1016" s="9">
        <v>2261.5700000000002</v>
      </c>
      <c r="C1016" s="9">
        <v>2247.48</v>
      </c>
      <c r="D1016" s="9">
        <v>2261.35</v>
      </c>
      <c r="E1016" s="9">
        <f t="shared" si="45"/>
        <v>4.9695435745219238E-3</v>
      </c>
      <c r="F1016" s="9">
        <f t="shared" si="46"/>
        <v>5.8920235675834751E-2</v>
      </c>
      <c r="G1016" s="9">
        <f t="shared" si="47"/>
        <v>6.0158162481244812E-3</v>
      </c>
    </row>
    <row r="1017" spans="1:7" x14ac:dyDescent="0.2">
      <c r="A1017" s="12">
        <v>38616</v>
      </c>
      <c r="B1017" s="9">
        <v>2259.5700000000002</v>
      </c>
      <c r="C1017" s="9">
        <v>2242.19</v>
      </c>
      <c r="D1017" s="9">
        <v>2243.0100000000002</v>
      </c>
      <c r="E1017" s="9">
        <f t="shared" si="45"/>
        <v>-8.1432662344605878E-3</v>
      </c>
      <c r="F1017" s="9">
        <f t="shared" si="46"/>
        <v>4.1509365403965666E-2</v>
      </c>
      <c r="G1017" s="9">
        <f t="shared" si="47"/>
        <v>6.1257544720528896E-3</v>
      </c>
    </row>
    <row r="1018" spans="1:7" x14ac:dyDescent="0.2">
      <c r="A1018" s="12">
        <v>38617</v>
      </c>
      <c r="B1018" s="9">
        <v>2250.94</v>
      </c>
      <c r="C1018" s="9">
        <v>2236.91</v>
      </c>
      <c r="D1018" s="9">
        <v>2250.33</v>
      </c>
      <c r="E1018" s="9">
        <f t="shared" si="45"/>
        <v>3.2581582856011553E-3</v>
      </c>
      <c r="F1018" s="9">
        <f t="shared" si="46"/>
        <v>5.1762809430657732E-2</v>
      </c>
      <c r="G1018" s="9">
        <f t="shared" si="47"/>
        <v>5.9248862631940272E-3</v>
      </c>
    </row>
    <row r="1019" spans="1:7" x14ac:dyDescent="0.2">
      <c r="A1019" s="12">
        <v>38618</v>
      </c>
      <c r="B1019" s="9">
        <v>2253.42</v>
      </c>
      <c r="C1019" s="9">
        <v>2241.31</v>
      </c>
      <c r="D1019" s="9">
        <v>2246.7800000000002</v>
      </c>
      <c r="E1019" s="9">
        <f t="shared" si="45"/>
        <v>-1.5787920408392646E-3</v>
      </c>
      <c r="F1019" s="9">
        <f t="shared" si="46"/>
        <v>4.8570763106748599E-2</v>
      </c>
      <c r="G1019" s="9">
        <f t="shared" si="47"/>
        <v>5.955552847015497E-3</v>
      </c>
    </row>
    <row r="1020" spans="1:7" x14ac:dyDescent="0.2">
      <c r="A1020" s="12">
        <v>38621</v>
      </c>
      <c r="B1020" s="9">
        <v>2263.25</v>
      </c>
      <c r="C1020" s="9">
        <v>2248.4299999999998</v>
      </c>
      <c r="D1020" s="9">
        <v>2254.33</v>
      </c>
      <c r="E1020" s="9">
        <f t="shared" si="45"/>
        <v>3.3547312022054604E-3</v>
      </c>
      <c r="F1020" s="9">
        <f t="shared" si="46"/>
        <v>5.4180096849714719E-2</v>
      </c>
      <c r="G1020" s="9">
        <f t="shared" si="47"/>
        <v>5.917678195834118E-3</v>
      </c>
    </row>
    <row r="1021" spans="1:7" x14ac:dyDescent="0.2">
      <c r="A1021" s="12">
        <v>38622</v>
      </c>
      <c r="B1021" s="9">
        <v>2263.8200000000002</v>
      </c>
      <c r="C1021" s="9">
        <v>2245.2199999999998</v>
      </c>
      <c r="D1021" s="9">
        <v>2249.66</v>
      </c>
      <c r="E1021" s="9">
        <f t="shared" si="45"/>
        <v>-2.0737176030742191E-3</v>
      </c>
      <c r="F1021" s="9">
        <f t="shared" si="46"/>
        <v>5.9259236802062652E-2</v>
      </c>
      <c r="G1021" s="9">
        <f t="shared" si="47"/>
        <v>5.721947060562723E-3</v>
      </c>
    </row>
    <row r="1022" spans="1:7" x14ac:dyDescent="0.2">
      <c r="A1022" s="12">
        <v>38623</v>
      </c>
      <c r="B1022" s="9">
        <v>2253.69</v>
      </c>
      <c r="C1022" s="9">
        <v>2233.16</v>
      </c>
      <c r="D1022" s="9">
        <v>2246.2600000000002</v>
      </c>
      <c r="E1022" s="9">
        <f t="shared" si="45"/>
        <v>-1.5124827168428894E-3</v>
      </c>
      <c r="F1022" s="9">
        <f t="shared" si="46"/>
        <v>6.4234061333260567E-2</v>
      </c>
      <c r="G1022" s="9">
        <f t="shared" si="47"/>
        <v>5.5373451015125839E-3</v>
      </c>
    </row>
    <row r="1023" spans="1:7" x14ac:dyDescent="0.2">
      <c r="A1023" s="12">
        <v>38624</v>
      </c>
      <c r="B1023" s="9">
        <v>2253.6</v>
      </c>
      <c r="C1023" s="9">
        <v>2245.11</v>
      </c>
      <c r="D1023" s="9">
        <v>2250.2199999999998</v>
      </c>
      <c r="E1023" s="9">
        <f t="shared" si="45"/>
        <v>1.7613782442305467E-3</v>
      </c>
      <c r="F1023" s="9">
        <f t="shared" si="46"/>
        <v>6.692157005709827E-2</v>
      </c>
      <c r="G1023" s="9">
        <f t="shared" si="47"/>
        <v>5.5076713625363104E-3</v>
      </c>
    </row>
    <row r="1024" spans="1:7" x14ac:dyDescent="0.2">
      <c r="A1024" s="12">
        <v>38625</v>
      </c>
      <c r="B1024" s="9">
        <v>2266.48</v>
      </c>
      <c r="C1024" s="9">
        <v>2251.83</v>
      </c>
      <c r="D1024" s="9">
        <v>2263.41</v>
      </c>
      <c r="E1024" s="9">
        <f t="shared" si="45"/>
        <v>5.8445364577869273E-3</v>
      </c>
      <c r="F1024" s="9">
        <f t="shared" si="46"/>
        <v>6.0220170192790481E-2</v>
      </c>
      <c r="G1024" s="9">
        <f t="shared" si="47"/>
        <v>5.2023134139888051E-3</v>
      </c>
    </row>
    <row r="1025" spans="1:7" x14ac:dyDescent="0.2">
      <c r="A1025" s="12">
        <v>38628</v>
      </c>
      <c r="B1025" s="9">
        <v>2272.21</v>
      </c>
      <c r="C1025" s="9">
        <v>2261.6799999999998</v>
      </c>
      <c r="D1025" s="9">
        <v>2272.21</v>
      </c>
      <c r="E1025" s="9">
        <f t="shared" si="45"/>
        <v>3.8804004930616505E-3</v>
      </c>
      <c r="F1025" s="9">
        <f t="shared" si="46"/>
        <v>5.9321124868483795E-2</v>
      </c>
      <c r="G1025" s="9">
        <f t="shared" si="47"/>
        <v>5.1883647057466096E-3</v>
      </c>
    </row>
    <row r="1026" spans="1:7" x14ac:dyDescent="0.2">
      <c r="A1026" s="12">
        <v>38629</v>
      </c>
      <c r="B1026" s="9">
        <v>2274.69</v>
      </c>
      <c r="C1026" s="9">
        <v>2257.87</v>
      </c>
      <c r="D1026" s="9">
        <v>2262.65</v>
      </c>
      <c r="E1026" s="9">
        <f t="shared" si="45"/>
        <v>-4.2162334281718433E-3</v>
      </c>
      <c r="F1026" s="9">
        <f t="shared" si="46"/>
        <v>5.7372397198164234E-2</v>
      </c>
      <c r="G1026" s="9">
        <f t="shared" si="47"/>
        <v>5.2551121024849443E-3</v>
      </c>
    </row>
    <row r="1027" spans="1:7" x14ac:dyDescent="0.2">
      <c r="A1027" s="12">
        <v>38630</v>
      </c>
      <c r="B1027" s="9">
        <v>2261.0300000000002</v>
      </c>
      <c r="C1027" s="9">
        <v>2239.89</v>
      </c>
      <c r="D1027" s="9">
        <v>2240.4299999999998</v>
      </c>
      <c r="E1027" s="9">
        <f t="shared" si="45"/>
        <v>-9.8688810069708192E-3</v>
      </c>
      <c r="F1027" s="9">
        <f t="shared" si="46"/>
        <v>5.4209813192399654E-2</v>
      </c>
      <c r="G1027" s="9">
        <f t="shared" si="47"/>
        <v>5.4616317603128715E-3</v>
      </c>
    </row>
    <row r="1028" spans="1:7" x14ac:dyDescent="0.2">
      <c r="A1028" s="12">
        <v>38631</v>
      </c>
      <c r="B1028" s="9">
        <v>2237.0500000000002</v>
      </c>
      <c r="C1028" s="9">
        <v>2195.1999999999998</v>
      </c>
      <c r="D1028" s="9">
        <v>2208.19</v>
      </c>
      <c r="E1028" s="9">
        <f t="shared" ref="E1028:E1091" si="48">LN(D1028/D1027)</f>
        <v>-1.4494636292541449E-2</v>
      </c>
      <c r="F1028" s="9">
        <f t="shared" si="46"/>
        <v>4.4433648351624305E-2</v>
      </c>
      <c r="G1028" s="9">
        <f t="shared" si="47"/>
        <v>6.1167629750680051E-3</v>
      </c>
    </row>
    <row r="1029" spans="1:7" x14ac:dyDescent="0.2">
      <c r="A1029" s="12">
        <v>38632</v>
      </c>
      <c r="B1029" s="9">
        <v>2212.35</v>
      </c>
      <c r="C1029" s="9">
        <v>2199.12</v>
      </c>
      <c r="D1029" s="9">
        <v>2200.66</v>
      </c>
      <c r="E1029" s="9">
        <f t="shared" si="48"/>
        <v>-3.4158600640672369E-3</v>
      </c>
      <c r="F1029" s="9">
        <f t="shared" si="46"/>
        <v>4.6172561210991593E-2</v>
      </c>
      <c r="G1029" s="9">
        <f t="shared" si="47"/>
        <v>6.0596842663337659E-3</v>
      </c>
    </row>
    <row r="1030" spans="1:7" x14ac:dyDescent="0.2">
      <c r="A1030" s="12">
        <v>38635</v>
      </c>
      <c r="B1030" s="9">
        <v>2232.06</v>
      </c>
      <c r="C1030" s="9">
        <v>2202.4299999999998</v>
      </c>
      <c r="D1030" s="9">
        <v>2207.88</v>
      </c>
      <c r="E1030" s="9">
        <f t="shared" si="48"/>
        <v>3.2754637385972785E-3</v>
      </c>
      <c r="F1030" s="9">
        <f t="shared" si="46"/>
        <v>4.9814521461265006E-2</v>
      </c>
      <c r="G1030" s="9">
        <f t="shared" si="47"/>
        <v>6.0566722033249089E-3</v>
      </c>
    </row>
    <row r="1031" spans="1:7" x14ac:dyDescent="0.2">
      <c r="A1031" s="12">
        <v>38636</v>
      </c>
      <c r="B1031" s="9">
        <v>2216.54</v>
      </c>
      <c r="C1031" s="9">
        <v>2206.59</v>
      </c>
      <c r="D1031" s="9">
        <v>2211.0100000000002</v>
      </c>
      <c r="E1031" s="9">
        <f t="shared" si="48"/>
        <v>1.4166455935596925E-3</v>
      </c>
      <c r="F1031" s="9">
        <f t="shared" si="46"/>
        <v>4.4077877502940149E-2</v>
      </c>
      <c r="G1031" s="9">
        <f t="shared" si="47"/>
        <v>5.9671706534381022E-3</v>
      </c>
    </row>
    <row r="1032" spans="1:7" x14ac:dyDescent="0.2">
      <c r="A1032" s="12">
        <v>38637</v>
      </c>
      <c r="B1032" s="9">
        <v>2210.92</v>
      </c>
      <c r="C1032" s="9">
        <v>2195.89</v>
      </c>
      <c r="D1032" s="9">
        <v>2197.58</v>
      </c>
      <c r="E1032" s="9">
        <f t="shared" si="48"/>
        <v>-6.0926697851879574E-3</v>
      </c>
      <c r="F1032" s="9">
        <f t="shared" si="46"/>
        <v>2.3001159004211864E-2</v>
      </c>
      <c r="G1032" s="9">
        <f t="shared" si="47"/>
        <v>5.5470788134811405E-3</v>
      </c>
    </row>
    <row r="1033" spans="1:7" x14ac:dyDescent="0.2">
      <c r="A1033" s="12">
        <v>38638</v>
      </c>
      <c r="B1033" s="9">
        <v>2198.3000000000002</v>
      </c>
      <c r="C1033" s="9">
        <v>2148.98</v>
      </c>
      <c r="D1033" s="9">
        <v>2150.3000000000002</v>
      </c>
      <c r="E1033" s="9">
        <f t="shared" si="48"/>
        <v>-2.1749387631031025E-2</v>
      </c>
      <c r="F1033" s="9">
        <f t="shared" si="46"/>
        <v>-6.7898992103388933E-3</v>
      </c>
      <c r="G1033" s="9">
        <f t="shared" si="47"/>
        <v>6.7384592705513821E-3</v>
      </c>
    </row>
    <row r="1034" spans="1:7" x14ac:dyDescent="0.2">
      <c r="A1034" s="12">
        <v>38639</v>
      </c>
      <c r="B1034" s="9">
        <v>2157.1</v>
      </c>
      <c r="C1034" s="9">
        <v>2127.41</v>
      </c>
      <c r="D1034" s="9">
        <v>2142.11</v>
      </c>
      <c r="E1034" s="9">
        <f t="shared" si="48"/>
        <v>-3.8160427073307703E-3</v>
      </c>
      <c r="F1034" s="9">
        <f t="shared" si="46"/>
        <v>-1.0993866388099247E-2</v>
      </c>
      <c r="G1034" s="9">
        <f t="shared" si="47"/>
        <v>6.7688887300118702E-3</v>
      </c>
    </row>
    <row r="1035" spans="1:7" x14ac:dyDescent="0.2">
      <c r="A1035" s="12">
        <v>38642</v>
      </c>
      <c r="B1035" s="9">
        <v>2155.92</v>
      </c>
      <c r="C1035" s="9">
        <v>2141.66</v>
      </c>
      <c r="D1035" s="9">
        <v>2144.58</v>
      </c>
      <c r="E1035" s="9">
        <f t="shared" si="48"/>
        <v>1.1524044301564368E-3</v>
      </c>
      <c r="F1035" s="9">
        <f t="shared" si="46"/>
        <v>-1.2221130757554273E-2</v>
      </c>
      <c r="G1035" s="9">
        <f t="shared" si="47"/>
        <v>6.7554149390229032E-3</v>
      </c>
    </row>
    <row r="1036" spans="1:7" x14ac:dyDescent="0.2">
      <c r="A1036" s="12">
        <v>38643</v>
      </c>
      <c r="B1036" s="9">
        <v>2159.58</v>
      </c>
      <c r="C1036" s="9">
        <v>2139.4299999999998</v>
      </c>
      <c r="D1036" s="9">
        <v>2145.2399999999998</v>
      </c>
      <c r="E1036" s="9">
        <f t="shared" si="48"/>
        <v>3.0770522082860624E-4</v>
      </c>
      <c r="F1036" s="9">
        <f t="shared" si="46"/>
        <v>-1.7897466098710537E-2</v>
      </c>
      <c r="G1036" s="9">
        <f t="shared" si="47"/>
        <v>6.6488797729424252E-3</v>
      </c>
    </row>
    <row r="1037" spans="1:7" x14ac:dyDescent="0.2">
      <c r="A1037" s="12">
        <v>38644</v>
      </c>
      <c r="B1037" s="9">
        <v>2143.9499999999998</v>
      </c>
      <c r="C1037" s="9">
        <v>2087.64</v>
      </c>
      <c r="D1037" s="9">
        <v>2091.98</v>
      </c>
      <c r="E1037" s="9">
        <f t="shared" si="48"/>
        <v>-2.5140448305328692E-2</v>
      </c>
      <c r="F1037" s="9">
        <f t="shared" si="46"/>
        <v>-4.8485553273344126E-2</v>
      </c>
      <c r="G1037" s="9">
        <f t="shared" si="47"/>
        <v>7.9148518558681824E-3</v>
      </c>
    </row>
    <row r="1038" spans="1:7" x14ac:dyDescent="0.2">
      <c r="A1038" s="12">
        <v>38645</v>
      </c>
      <c r="B1038" s="9">
        <v>2131.88</v>
      </c>
      <c r="C1038" s="9">
        <v>2074.89</v>
      </c>
      <c r="D1038" s="9">
        <v>2079.29</v>
      </c>
      <c r="E1038" s="9">
        <f t="shared" si="48"/>
        <v>-6.0844966400106113E-3</v>
      </c>
      <c r="F1038" s="9">
        <f t="shared" si="46"/>
        <v>-5.0865412603867517E-2</v>
      </c>
      <c r="G1038" s="9">
        <f t="shared" si="47"/>
        <v>7.9483611441113142E-3</v>
      </c>
    </row>
    <row r="1039" spans="1:7" x14ac:dyDescent="0.2">
      <c r="A1039" s="12">
        <v>38646</v>
      </c>
      <c r="B1039" s="9">
        <v>2077.4899999999998</v>
      </c>
      <c r="C1039" s="9">
        <v>2045.8</v>
      </c>
      <c r="D1039" s="9">
        <v>2051.81</v>
      </c>
      <c r="E1039" s="9">
        <f t="shared" si="48"/>
        <v>-1.3304158858549391E-2</v>
      </c>
      <c r="F1039" s="9">
        <f t="shared" si="46"/>
        <v>-6.9912286951617927E-2</v>
      </c>
      <c r="G1039" s="9">
        <f t="shared" si="47"/>
        <v>8.0931165038493642E-3</v>
      </c>
    </row>
    <row r="1040" spans="1:7" x14ac:dyDescent="0.2">
      <c r="A1040" s="12">
        <v>38649</v>
      </c>
      <c r="B1040" s="9">
        <v>2095.59</v>
      </c>
      <c r="C1040" s="9">
        <v>2052.79</v>
      </c>
      <c r="D1040" s="9">
        <v>2095.4</v>
      </c>
      <c r="E1040" s="9">
        <f t="shared" si="48"/>
        <v>2.102213550775581E-2</v>
      </c>
      <c r="F1040" s="9">
        <f t="shared" si="46"/>
        <v>-5.4283712204244897E-2</v>
      </c>
      <c r="G1040" s="9">
        <f t="shared" si="47"/>
        <v>9.0534760069352245E-3</v>
      </c>
    </row>
    <row r="1041" spans="1:7" x14ac:dyDescent="0.2">
      <c r="A1041" s="12">
        <v>38650</v>
      </c>
      <c r="B1041" s="9">
        <v>2118.3200000000002</v>
      </c>
      <c r="C1041" s="9">
        <v>2094.89</v>
      </c>
      <c r="D1041" s="9">
        <v>2096.79</v>
      </c>
      <c r="E1041" s="9">
        <f t="shared" si="48"/>
        <v>6.6313790688781154E-4</v>
      </c>
      <c r="F1041" s="9">
        <f t="shared" si="46"/>
        <v>-6.2602441571573533E-2</v>
      </c>
      <c r="G1041" s="9">
        <f t="shared" si="47"/>
        <v>8.836350749713064E-3</v>
      </c>
    </row>
    <row r="1042" spans="1:7" x14ac:dyDescent="0.2">
      <c r="A1042" s="12">
        <v>38651</v>
      </c>
      <c r="B1042" s="9">
        <v>2116.4699999999998</v>
      </c>
      <c r="C1042" s="9">
        <v>2095.92</v>
      </c>
      <c r="D1042" s="9">
        <v>2116.42</v>
      </c>
      <c r="E1042" s="9">
        <f t="shared" si="48"/>
        <v>9.3183781690234068E-3</v>
      </c>
      <c r="F1042" s="9">
        <f t="shared" si="46"/>
        <v>-5.4058766042818888E-2</v>
      </c>
      <c r="G1042" s="9">
        <f t="shared" si="47"/>
        <v>9.0664360185241672E-3</v>
      </c>
    </row>
    <row r="1043" spans="1:7" x14ac:dyDescent="0.2">
      <c r="A1043" s="12">
        <v>38652</v>
      </c>
      <c r="B1043" s="9">
        <v>2116.14</v>
      </c>
      <c r="C1043" s="9">
        <v>2088.19</v>
      </c>
      <c r="D1043" s="9">
        <v>2090.4</v>
      </c>
      <c r="E1043" s="9">
        <f t="shared" si="48"/>
        <v>-1.2370546788372889E-2</v>
      </c>
      <c r="F1043" s="9">
        <f t="shared" si="46"/>
        <v>-6.426042564137438E-2</v>
      </c>
      <c r="G1043" s="9">
        <f t="shared" si="47"/>
        <v>9.2697113109798668E-3</v>
      </c>
    </row>
    <row r="1044" spans="1:7" x14ac:dyDescent="0.2">
      <c r="A1044" s="12">
        <v>38653</v>
      </c>
      <c r="B1044" s="9">
        <v>2091.7199999999998</v>
      </c>
      <c r="C1044" s="9">
        <v>2066.9299999999998</v>
      </c>
      <c r="D1044" s="9">
        <v>2090.8000000000002</v>
      </c>
      <c r="E1044" s="9">
        <f t="shared" si="48"/>
        <v>1.9133263236413383E-4</v>
      </c>
      <c r="F1044" s="9">
        <f t="shared" si="46"/>
        <v>-6.685999460576203E-2</v>
      </c>
      <c r="G1044" s="9">
        <f t="shared" si="47"/>
        <v>9.2340906549590526E-3</v>
      </c>
    </row>
    <row r="1045" spans="1:7" x14ac:dyDescent="0.2">
      <c r="A1045" s="12">
        <v>38656</v>
      </c>
      <c r="B1045" s="9">
        <v>2142.84</v>
      </c>
      <c r="C1045" s="9">
        <v>2093.75</v>
      </c>
      <c r="D1045" s="9">
        <v>2142.77</v>
      </c>
      <c r="E1045" s="9">
        <f t="shared" si="48"/>
        <v>2.4552616696688873E-2</v>
      </c>
      <c r="F1045" s="9">
        <f t="shared" si="46"/>
        <v>-4.8893051949509977E-2</v>
      </c>
      <c r="G1045" s="9">
        <f t="shared" si="47"/>
        <v>1.0341694383464634E-2</v>
      </c>
    </row>
    <row r="1046" spans="1:7" x14ac:dyDescent="0.2">
      <c r="A1046" s="12">
        <v>38657</v>
      </c>
      <c r="D1046" s="9">
        <v>2142.81</v>
      </c>
      <c r="E1046" s="9">
        <f t="shared" si="48"/>
        <v>1.866725157446902E-5</v>
      </c>
      <c r="F1046" s="9">
        <f t="shared" si="46"/>
        <v>-5.3843928272457472E-2</v>
      </c>
      <c r="G1046" s="9">
        <f t="shared" si="47"/>
        <v>1.0272020956300029E-2</v>
      </c>
    </row>
    <row r="1047" spans="1:7" x14ac:dyDescent="0.2">
      <c r="A1047" s="12">
        <v>38658</v>
      </c>
      <c r="D1047" s="9">
        <v>2144.92</v>
      </c>
      <c r="E1047" s="9">
        <f t="shared" si="48"/>
        <v>9.8420384227654333E-4</v>
      </c>
      <c r="F1047" s="9">
        <f t="shared" si="46"/>
        <v>-4.4716458195720343E-2</v>
      </c>
      <c r="G1047" s="9">
        <f t="shared" si="47"/>
        <v>1.0212502129803269E-2</v>
      </c>
    </row>
    <row r="1048" spans="1:7" x14ac:dyDescent="0.2">
      <c r="A1048" s="12">
        <v>38659</v>
      </c>
      <c r="B1048" s="9">
        <v>2156.31</v>
      </c>
      <c r="C1048" s="9">
        <v>2131.23</v>
      </c>
      <c r="D1048" s="9">
        <v>2154.62</v>
      </c>
      <c r="E1048" s="9">
        <f t="shared" si="48"/>
        <v>4.5121182531263054E-3</v>
      </c>
      <c r="F1048" s="9">
        <f t="shared" si="46"/>
        <v>-4.3462498228195284E-2</v>
      </c>
      <c r="G1048" s="9">
        <f t="shared" si="47"/>
        <v>1.0235149327976138E-2</v>
      </c>
    </row>
    <row r="1049" spans="1:7" x14ac:dyDescent="0.2">
      <c r="A1049" s="12">
        <v>38660</v>
      </c>
      <c r="B1049" s="9">
        <v>2171.59</v>
      </c>
      <c r="C1049" s="9">
        <v>2152.88</v>
      </c>
      <c r="D1049" s="9">
        <v>2169.77</v>
      </c>
      <c r="E1049" s="9">
        <f t="shared" si="48"/>
        <v>7.0067972512419573E-3</v>
      </c>
      <c r="F1049" s="9">
        <f t="shared" si="46"/>
        <v>-3.4876908936114143E-2</v>
      </c>
      <c r="G1049" s="9">
        <f t="shared" si="47"/>
        <v>1.0350766189311782E-2</v>
      </c>
    </row>
    <row r="1050" spans="1:7" x14ac:dyDescent="0.2">
      <c r="A1050" s="12">
        <v>38663</v>
      </c>
      <c r="B1050" s="9">
        <v>2170.48</v>
      </c>
      <c r="C1050" s="9">
        <v>2151.06</v>
      </c>
      <c r="D1050" s="9">
        <v>2157.77</v>
      </c>
      <c r="E1050" s="9">
        <f t="shared" si="48"/>
        <v>-5.5458901624857622E-3</v>
      </c>
      <c r="F1050" s="9">
        <f t="shared" si="46"/>
        <v>-4.3777530300805362E-2</v>
      </c>
      <c r="G1050" s="9">
        <f t="shared" si="47"/>
        <v>1.0344379378916285E-2</v>
      </c>
    </row>
    <row r="1051" spans="1:7" x14ac:dyDescent="0.2">
      <c r="A1051" s="12">
        <v>38664</v>
      </c>
      <c r="B1051" s="9">
        <v>2168.29</v>
      </c>
      <c r="C1051" s="9">
        <v>2150.11</v>
      </c>
      <c r="D1051" s="9">
        <v>2153.37</v>
      </c>
      <c r="E1051" s="9">
        <f t="shared" si="48"/>
        <v>-2.0412241438468575E-3</v>
      </c>
      <c r="F1051" s="9">
        <f t="shared" si="46"/>
        <v>-4.374503684157794E-2</v>
      </c>
      <c r="G1051" s="9">
        <f t="shared" si="47"/>
        <v>1.0344314523136919E-2</v>
      </c>
    </row>
    <row r="1052" spans="1:7" x14ac:dyDescent="0.2">
      <c r="A1052" s="12">
        <v>38665</v>
      </c>
      <c r="B1052" s="9">
        <v>2167.7399999999998</v>
      </c>
      <c r="C1052" s="9">
        <v>2152.41</v>
      </c>
      <c r="D1052" s="9">
        <v>2163.73</v>
      </c>
      <c r="E1052" s="9">
        <f t="shared" si="48"/>
        <v>4.7995274083417255E-3</v>
      </c>
      <c r="F1052" s="9">
        <f t="shared" si="46"/>
        <v>-3.7433026716393369E-2</v>
      </c>
      <c r="G1052" s="9">
        <f t="shared" si="47"/>
        <v>1.040717291930845E-2</v>
      </c>
    </row>
    <row r="1053" spans="1:7" x14ac:dyDescent="0.2">
      <c r="A1053" s="12">
        <v>38666</v>
      </c>
      <c r="B1053" s="9">
        <v>2175.52</v>
      </c>
      <c r="C1053" s="9">
        <v>2162.25</v>
      </c>
      <c r="D1053" s="9">
        <v>2169.66</v>
      </c>
      <c r="E1053" s="9">
        <f t="shared" si="48"/>
        <v>2.7368889952602091E-3</v>
      </c>
      <c r="F1053" s="9">
        <f t="shared" si="46"/>
        <v>-3.6457515965364007E-2</v>
      </c>
      <c r="G1053" s="9">
        <f t="shared" si="47"/>
        <v>1.0418417057735552E-2</v>
      </c>
    </row>
    <row r="1054" spans="1:7" x14ac:dyDescent="0.2">
      <c r="A1054" s="12">
        <v>38667</v>
      </c>
      <c r="B1054" s="9">
        <v>2189.37</v>
      </c>
      <c r="C1054" s="9">
        <v>2172.3000000000002</v>
      </c>
      <c r="D1054" s="9">
        <v>2188.61</v>
      </c>
      <c r="E1054" s="9">
        <f t="shared" si="48"/>
        <v>8.6961658739114038E-3</v>
      </c>
      <c r="F1054" s="9">
        <f t="shared" si="46"/>
        <v>-3.3605886549239503E-2</v>
      </c>
      <c r="G1054" s="9">
        <f t="shared" si="47"/>
        <v>1.0497755965184111E-2</v>
      </c>
    </row>
    <row r="1055" spans="1:7" x14ac:dyDescent="0.2">
      <c r="A1055" s="12">
        <v>38670</v>
      </c>
      <c r="B1055" s="9">
        <v>2201.23</v>
      </c>
      <c r="C1055" s="9">
        <v>2189.08</v>
      </c>
      <c r="D1055" s="9">
        <v>2192.25</v>
      </c>
      <c r="E1055" s="9">
        <f t="shared" si="48"/>
        <v>1.6617745546094887E-3</v>
      </c>
      <c r="F1055" s="9">
        <f t="shared" si="46"/>
        <v>-3.5824512487691515E-2</v>
      </c>
      <c r="G1055" s="9">
        <f t="shared" si="47"/>
        <v>1.046908889432646E-2</v>
      </c>
    </row>
    <row r="1056" spans="1:7" x14ac:dyDescent="0.2">
      <c r="A1056" s="12">
        <v>38671</v>
      </c>
      <c r="B1056" s="9">
        <v>2192.13</v>
      </c>
      <c r="C1056" s="9">
        <v>2163.39</v>
      </c>
      <c r="D1056" s="9">
        <v>2165.2800000000002</v>
      </c>
      <c r="E1056" s="9">
        <f t="shared" si="48"/>
        <v>-1.2378730331269388E-2</v>
      </c>
      <c r="F1056" s="9">
        <f t="shared" si="46"/>
        <v>-4.3987009390789068E-2</v>
      </c>
      <c r="G1056" s="9">
        <f t="shared" si="47"/>
        <v>1.0654760648233617E-2</v>
      </c>
    </row>
    <row r="1057" spans="1:7" x14ac:dyDescent="0.2">
      <c r="A1057" s="12">
        <v>38672</v>
      </c>
      <c r="B1057" s="9">
        <v>2165.42</v>
      </c>
      <c r="C1057" s="9">
        <v>2152.04</v>
      </c>
      <c r="D1057" s="9">
        <v>2156.1999999999998</v>
      </c>
      <c r="E1057" s="9">
        <f t="shared" si="48"/>
        <v>-4.202270223178154E-3</v>
      </c>
      <c r="F1057" s="9">
        <f t="shared" ref="F1057:F1120" si="49">LN(D1057/D1027)</f>
        <v>-3.832039860699641E-2</v>
      </c>
      <c r="G1057" s="9">
        <f t="shared" ref="G1057:G1120" si="50">STDEV(E1028:E1057)</f>
        <v>1.0550379751111132E-2</v>
      </c>
    </row>
    <row r="1058" spans="1:7" x14ac:dyDescent="0.2">
      <c r="A1058" s="12">
        <v>38673</v>
      </c>
      <c r="B1058" s="9">
        <v>2171.58</v>
      </c>
      <c r="C1058" s="9">
        <v>2156.39</v>
      </c>
      <c r="D1058" s="9">
        <v>2171.58</v>
      </c>
      <c r="E1058" s="9">
        <f t="shared" si="48"/>
        <v>7.1076000846416951E-3</v>
      </c>
      <c r="F1058" s="9">
        <f t="shared" si="49"/>
        <v>-1.6718162229813212E-2</v>
      </c>
      <c r="G1058" s="9">
        <f t="shared" si="50"/>
        <v>1.0352511336667505E-2</v>
      </c>
    </row>
    <row r="1059" spans="1:7" x14ac:dyDescent="0.2">
      <c r="A1059" s="12">
        <v>38674</v>
      </c>
      <c r="B1059" s="9">
        <v>2185.12</v>
      </c>
      <c r="C1059" s="9">
        <v>2165.8000000000002</v>
      </c>
      <c r="D1059" s="9">
        <v>2171.0100000000002</v>
      </c>
      <c r="E1059" s="9">
        <f t="shared" si="48"/>
        <v>-2.625161497047864E-4</v>
      </c>
      <c r="F1059" s="9">
        <f t="shared" si="49"/>
        <v>-1.3564818315450759E-2</v>
      </c>
      <c r="G1059" s="9">
        <f t="shared" si="50"/>
        <v>1.0338485418094323E-2</v>
      </c>
    </row>
    <row r="1060" spans="1:7" x14ac:dyDescent="0.2">
      <c r="A1060" s="12">
        <v>38677</v>
      </c>
      <c r="B1060" s="9">
        <v>2182.3200000000002</v>
      </c>
      <c r="C1060" s="9">
        <v>2168.89</v>
      </c>
      <c r="D1060" s="9">
        <v>2173.33</v>
      </c>
      <c r="E1060" s="9">
        <f t="shared" si="48"/>
        <v>1.0680564691271039E-3</v>
      </c>
      <c r="F1060" s="9">
        <f t="shared" si="49"/>
        <v>-1.5772225584921012E-2</v>
      </c>
      <c r="G1060" s="9">
        <f t="shared" si="50"/>
        <v>1.0318877238750485E-2</v>
      </c>
    </row>
    <row r="1061" spans="1:7" x14ac:dyDescent="0.2">
      <c r="A1061" s="12">
        <v>38678</v>
      </c>
      <c r="B1061" s="9">
        <v>2182.67</v>
      </c>
      <c r="C1061" s="9">
        <v>2172.8200000000002</v>
      </c>
      <c r="D1061" s="9">
        <v>2178.11</v>
      </c>
      <c r="E1061" s="9">
        <f t="shared" si="48"/>
        <v>2.1969747589924253E-3</v>
      </c>
      <c r="F1061" s="9">
        <f t="shared" si="49"/>
        <v>-1.4991896419488376E-2</v>
      </c>
      <c r="G1061" s="9">
        <f t="shared" si="50"/>
        <v>1.0324924003492901E-2</v>
      </c>
    </row>
    <row r="1062" spans="1:7" x14ac:dyDescent="0.2">
      <c r="A1062" s="12">
        <v>38679</v>
      </c>
      <c r="B1062" s="9">
        <v>2199.9499999999998</v>
      </c>
      <c r="C1062" s="9">
        <v>2177.2399999999998</v>
      </c>
      <c r="D1062" s="9">
        <v>2197.34</v>
      </c>
      <c r="E1062" s="9">
        <f t="shared" si="48"/>
        <v>8.7900096291042805E-3</v>
      </c>
      <c r="F1062" s="9">
        <f t="shared" si="49"/>
        <v>-1.0921700519616717E-4</v>
      </c>
      <c r="G1062" s="9">
        <f t="shared" si="50"/>
        <v>1.0404164881935057E-2</v>
      </c>
    </row>
    <row r="1063" spans="1:7" x14ac:dyDescent="0.2">
      <c r="A1063" s="12">
        <v>38680</v>
      </c>
      <c r="B1063" s="9">
        <v>2204.23</v>
      </c>
      <c r="C1063" s="9">
        <v>2187.87</v>
      </c>
      <c r="D1063" s="9">
        <v>2196.35</v>
      </c>
      <c r="E1063" s="9">
        <f t="shared" si="48"/>
        <v>-4.506462753423949E-4</v>
      </c>
      <c r="F1063" s="9">
        <f t="shared" si="49"/>
        <v>2.1189524350492608E-2</v>
      </c>
      <c r="G1063" s="9">
        <f t="shared" si="50"/>
        <v>9.5616941324079292E-3</v>
      </c>
    </row>
    <row r="1064" spans="1:7" x14ac:dyDescent="0.2">
      <c r="A1064" s="12">
        <v>38681</v>
      </c>
      <c r="B1064" s="9">
        <v>2212.25</v>
      </c>
      <c r="C1064" s="9">
        <v>2195.79</v>
      </c>
      <c r="D1064" s="9">
        <v>2209.17</v>
      </c>
      <c r="E1064" s="9">
        <f t="shared" si="48"/>
        <v>5.8199877366764399E-3</v>
      </c>
      <c r="F1064" s="9">
        <f t="shared" si="49"/>
        <v>3.0825554794499721E-2</v>
      </c>
      <c r="G1064" s="9">
        <f t="shared" si="50"/>
        <v>9.5663862396064316E-3</v>
      </c>
    </row>
    <row r="1065" spans="1:7" x14ac:dyDescent="0.2">
      <c r="A1065" s="12">
        <v>38684</v>
      </c>
      <c r="B1065" s="9">
        <v>2213.64</v>
      </c>
      <c r="C1065" s="9">
        <v>2197.46</v>
      </c>
      <c r="D1065" s="9">
        <v>2197.6</v>
      </c>
      <c r="E1065" s="9">
        <f t="shared" si="48"/>
        <v>-5.2510235774479433E-3</v>
      </c>
      <c r="F1065" s="9">
        <f t="shared" si="49"/>
        <v>2.4422126786895114E-2</v>
      </c>
      <c r="G1065" s="9">
        <f t="shared" si="50"/>
        <v>9.6346972154489185E-3</v>
      </c>
    </row>
    <row r="1066" spans="1:7" x14ac:dyDescent="0.2">
      <c r="A1066" s="12">
        <v>38685</v>
      </c>
      <c r="B1066" s="9">
        <v>2197.65</v>
      </c>
      <c r="C1066" s="9">
        <v>2175.85</v>
      </c>
      <c r="D1066" s="9">
        <v>2180.8000000000002</v>
      </c>
      <c r="E1066" s="9">
        <f t="shared" si="48"/>
        <v>-7.6740738387957846E-3</v>
      </c>
      <c r="F1066" s="9">
        <f t="shared" si="49"/>
        <v>1.6440347727270807E-2</v>
      </c>
      <c r="G1066" s="9">
        <f t="shared" si="50"/>
        <v>9.7585734026548552E-3</v>
      </c>
    </row>
    <row r="1067" spans="1:7" x14ac:dyDescent="0.2">
      <c r="A1067" s="12">
        <v>38686</v>
      </c>
      <c r="B1067" s="9">
        <v>2187.38</v>
      </c>
      <c r="C1067" s="9">
        <v>2174.5100000000002</v>
      </c>
      <c r="D1067" s="9">
        <v>2179.0300000000002</v>
      </c>
      <c r="E1067" s="9">
        <f t="shared" si="48"/>
        <v>-8.1195830903643749E-4</v>
      </c>
      <c r="F1067" s="9">
        <f t="shared" si="49"/>
        <v>4.0768837723563114E-2</v>
      </c>
      <c r="G1067" s="9">
        <f t="shared" si="50"/>
        <v>8.4769184711582096E-3</v>
      </c>
    </row>
    <row r="1068" spans="1:7" x14ac:dyDescent="0.2">
      <c r="A1068" s="12">
        <v>38687</v>
      </c>
      <c r="B1068" s="9">
        <v>2220.8200000000002</v>
      </c>
      <c r="C1068" s="9">
        <v>2179.34</v>
      </c>
      <c r="D1068" s="9">
        <v>2218.9</v>
      </c>
      <c r="E1068" s="9">
        <f t="shared" si="48"/>
        <v>1.8131753939139243E-2</v>
      </c>
      <c r="F1068" s="9">
        <f t="shared" si="49"/>
        <v>6.4985088302712837E-2</v>
      </c>
      <c r="G1068" s="9">
        <f t="shared" si="50"/>
        <v>8.8867592428435987E-3</v>
      </c>
    </row>
    <row r="1069" spans="1:7" x14ac:dyDescent="0.2">
      <c r="A1069" s="12">
        <v>38688</v>
      </c>
      <c r="B1069" s="9">
        <v>2240.9499999999998</v>
      </c>
      <c r="C1069" s="9">
        <v>2223.5500000000002</v>
      </c>
      <c r="D1069" s="9">
        <v>2232.34</v>
      </c>
      <c r="E1069" s="9">
        <f t="shared" si="48"/>
        <v>6.0387850769364586E-3</v>
      </c>
      <c r="F1069" s="9">
        <f t="shared" si="49"/>
        <v>8.4328032238198555E-2</v>
      </c>
      <c r="G1069" s="9">
        <f t="shared" si="50"/>
        <v>8.4147953519848433E-3</v>
      </c>
    </row>
    <row r="1070" spans="1:7" x14ac:dyDescent="0.2">
      <c r="A1070" s="12">
        <v>38691</v>
      </c>
      <c r="B1070" s="9">
        <v>2248.06</v>
      </c>
      <c r="C1070" s="9">
        <v>2232.61</v>
      </c>
      <c r="D1070" s="9">
        <v>2236.8200000000002</v>
      </c>
      <c r="E1070" s="9">
        <f t="shared" si="48"/>
        <v>2.0048516949884624E-3</v>
      </c>
      <c r="F1070" s="9">
        <f t="shared" si="49"/>
        <v>6.5310748425431275E-2</v>
      </c>
      <c r="G1070" s="9">
        <f t="shared" si="50"/>
        <v>7.6798018369267926E-3</v>
      </c>
    </row>
    <row r="1071" spans="1:7" x14ac:dyDescent="0.2">
      <c r="A1071" s="12">
        <v>38693</v>
      </c>
      <c r="B1071" s="9">
        <v>2280.67</v>
      </c>
      <c r="C1071" s="9">
        <v>2237.75</v>
      </c>
      <c r="D1071" s="9">
        <v>2276.83</v>
      </c>
      <c r="E1071" s="9">
        <f t="shared" si="48"/>
        <v>1.7728910292397156E-2</v>
      </c>
      <c r="F1071" s="9">
        <f t="shared" si="49"/>
        <v>8.2376520810940546E-2</v>
      </c>
      <c r="G1071" s="9">
        <f t="shared" si="50"/>
        <v>8.1795847538511587E-3</v>
      </c>
    </row>
    <row r="1072" spans="1:7" x14ac:dyDescent="0.2">
      <c r="A1072" s="12">
        <v>38694</v>
      </c>
      <c r="B1072" s="9">
        <v>2277.14</v>
      </c>
      <c r="C1072" s="9">
        <v>2261.29</v>
      </c>
      <c r="D1072" s="9">
        <v>2268.4899999999998</v>
      </c>
      <c r="E1072" s="9">
        <f t="shared" si="48"/>
        <v>-3.6697127416411525E-3</v>
      </c>
      <c r="F1072" s="9">
        <f t="shared" si="49"/>
        <v>6.9388429900276105E-2</v>
      </c>
      <c r="G1072" s="9">
        <f t="shared" si="50"/>
        <v>8.1634208968171858E-3</v>
      </c>
    </row>
    <row r="1073" spans="1:7" x14ac:dyDescent="0.2">
      <c r="A1073" s="12">
        <v>38695</v>
      </c>
      <c r="B1073" s="9">
        <v>2272.4299999999998</v>
      </c>
      <c r="C1073" s="9">
        <v>2264.08</v>
      </c>
      <c r="D1073" s="9">
        <v>2268.87</v>
      </c>
      <c r="E1073" s="9">
        <f t="shared" si="48"/>
        <v>1.6749828133034257E-4</v>
      </c>
      <c r="F1073" s="9">
        <f t="shared" si="49"/>
        <v>8.1926474969979263E-2</v>
      </c>
      <c r="G1073" s="9">
        <f t="shared" si="50"/>
        <v>7.6931667829330469E-3</v>
      </c>
    </row>
    <row r="1074" spans="1:7" x14ac:dyDescent="0.2">
      <c r="A1074" s="12">
        <v>38698</v>
      </c>
      <c r="B1074" s="9">
        <v>2279.56</v>
      </c>
      <c r="C1074" s="9">
        <v>2254.11</v>
      </c>
      <c r="D1074" s="9">
        <v>2258.2800000000002</v>
      </c>
      <c r="E1074" s="9">
        <f t="shared" si="48"/>
        <v>-4.6784486116201408E-3</v>
      </c>
      <c r="F1074" s="9">
        <f t="shared" si="49"/>
        <v>7.7056693725995121E-2</v>
      </c>
      <c r="G1074" s="9">
        <f t="shared" si="50"/>
        <v>7.7992440416611748E-3</v>
      </c>
    </row>
    <row r="1075" spans="1:7" x14ac:dyDescent="0.2">
      <c r="A1075" s="12">
        <v>38699</v>
      </c>
      <c r="B1075" s="9">
        <v>2267.15</v>
      </c>
      <c r="C1075" s="9">
        <v>2254.4899999999998</v>
      </c>
      <c r="D1075" s="9">
        <v>2262.4499999999998</v>
      </c>
      <c r="E1075" s="9">
        <f t="shared" si="48"/>
        <v>1.8448353176089857E-3</v>
      </c>
      <c r="F1075" s="9">
        <f t="shared" si="49"/>
        <v>5.4348912346915128E-2</v>
      </c>
      <c r="G1075" s="9">
        <f t="shared" si="50"/>
        <v>6.6021281248673722E-3</v>
      </c>
    </row>
    <row r="1076" spans="1:7" x14ac:dyDescent="0.2">
      <c r="A1076" s="12">
        <v>38700</v>
      </c>
      <c r="B1076" s="9">
        <v>2278.66</v>
      </c>
      <c r="C1076" s="9">
        <v>2259.9299999999998</v>
      </c>
      <c r="D1076" s="9">
        <v>2276.98</v>
      </c>
      <c r="E1076" s="9">
        <f t="shared" si="48"/>
        <v>6.4017066557493958E-3</v>
      </c>
      <c r="F1076" s="9">
        <f t="shared" si="49"/>
        <v>6.0731951751090064E-2</v>
      </c>
      <c r="G1076" s="9">
        <f t="shared" si="50"/>
        <v>6.6450675359712727E-3</v>
      </c>
    </row>
    <row r="1077" spans="1:7" x14ac:dyDescent="0.2">
      <c r="A1077" s="12">
        <v>38701</v>
      </c>
      <c r="B1077" s="9">
        <v>2279.61</v>
      </c>
      <c r="C1077" s="9">
        <v>2265.02</v>
      </c>
      <c r="D1077" s="9">
        <v>2266.56</v>
      </c>
      <c r="E1077" s="9">
        <f t="shared" si="48"/>
        <v>-4.5867399728624558E-3</v>
      </c>
      <c r="F1077" s="9">
        <f t="shared" si="49"/>
        <v>5.516100793595085E-2</v>
      </c>
      <c r="G1077" s="9">
        <f t="shared" si="50"/>
        <v>6.7521168739698052E-3</v>
      </c>
    </row>
    <row r="1078" spans="1:7" x14ac:dyDescent="0.2">
      <c r="A1078" s="12">
        <v>38702</v>
      </c>
      <c r="B1078" s="9">
        <v>2290.54</v>
      </c>
      <c r="C1078" s="9">
        <v>2265.63</v>
      </c>
      <c r="D1078" s="9">
        <v>2290.54</v>
      </c>
      <c r="E1078" s="9">
        <f t="shared" si="48"/>
        <v>1.0524334044986055E-2</v>
      </c>
      <c r="F1078" s="9">
        <f t="shared" si="49"/>
        <v>6.1173223727810651E-2</v>
      </c>
      <c r="G1078" s="9">
        <f t="shared" si="50"/>
        <v>6.9213053513899215E-3</v>
      </c>
    </row>
    <row r="1079" spans="1:7" x14ac:dyDescent="0.2">
      <c r="A1079" s="12">
        <v>38705</v>
      </c>
      <c r="B1079" s="9">
        <v>2290.6999999999998</v>
      </c>
      <c r="C1079" s="9">
        <v>2272.5500000000002</v>
      </c>
      <c r="D1079" s="9">
        <v>2277.8200000000002</v>
      </c>
      <c r="E1079" s="9">
        <f t="shared" si="48"/>
        <v>-5.5687524063981033E-3</v>
      </c>
      <c r="F1079" s="9">
        <f t="shared" si="49"/>
        <v>4.8597674070170634E-2</v>
      </c>
      <c r="G1079" s="9">
        <f t="shared" si="50"/>
        <v>6.9905346681033232E-3</v>
      </c>
    </row>
    <row r="1080" spans="1:7" x14ac:dyDescent="0.2">
      <c r="A1080" s="12">
        <v>38706</v>
      </c>
      <c r="B1080" s="9">
        <v>2278.63</v>
      </c>
      <c r="C1080" s="9">
        <v>2269.17</v>
      </c>
      <c r="D1080" s="9">
        <v>2273.9899999999998</v>
      </c>
      <c r="E1080" s="9">
        <f t="shared" si="48"/>
        <v>-1.6828474404127706E-3</v>
      </c>
      <c r="F1080" s="9">
        <f t="shared" si="49"/>
        <v>5.2460716792243733E-2</v>
      </c>
      <c r="G1080" s="9">
        <f t="shared" si="50"/>
        <v>6.8888256724126198E-3</v>
      </c>
    </row>
    <row r="1081" spans="1:7" x14ac:dyDescent="0.2">
      <c r="A1081" s="12">
        <v>38707</v>
      </c>
      <c r="B1081" s="9">
        <v>2289.75</v>
      </c>
      <c r="C1081" s="9">
        <v>2271.2399999999998</v>
      </c>
      <c r="D1081" s="9">
        <v>2289.7399999999998</v>
      </c>
      <c r="E1081" s="9">
        <f t="shared" si="48"/>
        <v>6.9022762211218124E-3</v>
      </c>
      <c r="F1081" s="9">
        <f t="shared" si="49"/>
        <v>6.1404217157212421E-2</v>
      </c>
      <c r="G1081" s="9">
        <f t="shared" si="50"/>
        <v>6.9126357074279117E-3</v>
      </c>
    </row>
    <row r="1082" spans="1:7" x14ac:dyDescent="0.2">
      <c r="A1082" s="12">
        <v>38708</v>
      </c>
      <c r="B1082" s="9">
        <v>2294.9299999999998</v>
      </c>
      <c r="C1082" s="9">
        <v>2280.52</v>
      </c>
      <c r="D1082" s="9">
        <v>2287.0700000000002</v>
      </c>
      <c r="E1082" s="9">
        <f t="shared" si="48"/>
        <v>-1.1667516470602374E-3</v>
      </c>
      <c r="F1082" s="9">
        <f t="shared" si="49"/>
        <v>5.5437938101810538E-2</v>
      </c>
      <c r="G1082" s="9">
        <f t="shared" si="50"/>
        <v>6.9165328745506103E-3</v>
      </c>
    </row>
    <row r="1083" spans="1:7" x14ac:dyDescent="0.2">
      <c r="A1083" s="12">
        <v>38709</v>
      </c>
      <c r="B1083" s="9">
        <v>2306.75</v>
      </c>
      <c r="C1083" s="9">
        <v>2286.91</v>
      </c>
      <c r="D1083" s="9">
        <v>2304.48</v>
      </c>
      <c r="E1083" s="9">
        <f t="shared" si="48"/>
        <v>7.5835321132453684E-3</v>
      </c>
      <c r="F1083" s="9">
        <f t="shared" si="49"/>
        <v>6.0284581219795658E-2</v>
      </c>
      <c r="G1083" s="9">
        <f t="shared" si="50"/>
        <v>6.9941804775297449E-3</v>
      </c>
    </row>
    <row r="1084" spans="1:7" x14ac:dyDescent="0.2">
      <c r="A1084" s="12">
        <v>38713</v>
      </c>
      <c r="B1084" s="9">
        <v>2311.04</v>
      </c>
      <c r="C1084" s="9">
        <v>2301.63</v>
      </c>
      <c r="D1084" s="9">
        <v>2310.9899999999998</v>
      </c>
      <c r="E1084" s="9">
        <f t="shared" si="48"/>
        <v>2.8209496831666844E-3</v>
      </c>
      <c r="F1084" s="9">
        <f t="shared" si="49"/>
        <v>5.4409365029050895E-2</v>
      </c>
      <c r="G1084" s="9">
        <f t="shared" si="50"/>
        <v>6.8818462753191222E-3</v>
      </c>
    </row>
    <row r="1085" spans="1:7" x14ac:dyDescent="0.2">
      <c r="A1085" s="12">
        <v>38714</v>
      </c>
      <c r="B1085" s="9">
        <v>2309.75</v>
      </c>
      <c r="C1085" s="9">
        <v>2301.17</v>
      </c>
      <c r="D1085" s="9">
        <v>2305.3000000000002</v>
      </c>
      <c r="E1085" s="9">
        <f t="shared" si="48"/>
        <v>-2.4651843283560811E-3</v>
      </c>
      <c r="F1085" s="9">
        <f t="shared" si="49"/>
        <v>5.0282406146085347E-2</v>
      </c>
      <c r="G1085" s="9">
        <f t="shared" si="50"/>
        <v>6.926092669080011E-3</v>
      </c>
    </row>
    <row r="1086" spans="1:7" x14ac:dyDescent="0.2">
      <c r="A1086" s="12">
        <v>38715</v>
      </c>
      <c r="B1086" s="9">
        <v>2309.87</v>
      </c>
      <c r="C1086" s="9">
        <v>2303.44</v>
      </c>
      <c r="D1086" s="9">
        <v>2309.15</v>
      </c>
      <c r="E1086" s="9">
        <f t="shared" si="48"/>
        <v>1.6686716264556693E-3</v>
      </c>
      <c r="F1086" s="9">
        <f t="shared" si="49"/>
        <v>6.4329808103810365E-2</v>
      </c>
      <c r="G1086" s="9">
        <f t="shared" si="50"/>
        <v>6.3978356679302495E-3</v>
      </c>
    </row>
    <row r="1087" spans="1:7" x14ac:dyDescent="0.2">
      <c r="A1087" s="12">
        <v>38716</v>
      </c>
      <c r="B1087" s="9">
        <v>2308.0700000000002</v>
      </c>
      <c r="C1087" s="9">
        <v>2298.02</v>
      </c>
      <c r="D1087" s="9">
        <v>2301.2600000000002</v>
      </c>
      <c r="E1087" s="9">
        <f t="shared" si="48"/>
        <v>-3.4226924297382248E-3</v>
      </c>
      <c r="F1087" s="9">
        <f t="shared" si="49"/>
        <v>6.5109385897250238E-2</v>
      </c>
      <c r="G1087" s="9">
        <f t="shared" si="50"/>
        <v>6.3727027959683772E-3</v>
      </c>
    </row>
    <row r="1088" spans="1:7" x14ac:dyDescent="0.2">
      <c r="A1088" s="12">
        <v>38719</v>
      </c>
      <c r="B1088" s="9">
        <v>2315.2600000000002</v>
      </c>
      <c r="C1088" s="9">
        <v>2300.84</v>
      </c>
      <c r="D1088" s="9">
        <v>2312.9899999999998</v>
      </c>
      <c r="E1088" s="9">
        <f t="shared" si="48"/>
        <v>5.0842608302882029E-3</v>
      </c>
      <c r="F1088" s="9">
        <f t="shared" si="49"/>
        <v>6.3086046642896659E-2</v>
      </c>
      <c r="G1088" s="9">
        <f t="shared" si="50"/>
        <v>6.3292062778054171E-3</v>
      </c>
    </row>
    <row r="1089" spans="1:7" x14ac:dyDescent="0.2">
      <c r="A1089" s="12">
        <v>38720</v>
      </c>
      <c r="B1089" s="9">
        <v>2342.71</v>
      </c>
      <c r="C1089" s="9">
        <v>2310.58</v>
      </c>
      <c r="D1089" s="9">
        <v>2342.71</v>
      </c>
      <c r="E1089" s="9">
        <f t="shared" si="48"/>
        <v>1.2767319074062981E-2</v>
      </c>
      <c r="F1089" s="9">
        <f t="shared" si="49"/>
        <v>7.6115881866664348E-2</v>
      </c>
      <c r="G1089" s="9">
        <f t="shared" si="50"/>
        <v>6.6024628624991493E-3</v>
      </c>
    </row>
    <row r="1090" spans="1:7" x14ac:dyDescent="0.2">
      <c r="A1090" s="12">
        <v>38721</v>
      </c>
      <c r="B1090" s="9">
        <v>2370.2600000000002</v>
      </c>
      <c r="C1090" s="9">
        <v>2344.5700000000002</v>
      </c>
      <c r="D1090" s="9">
        <v>2369.52</v>
      </c>
      <c r="E1090" s="9">
        <f t="shared" si="48"/>
        <v>1.1379024064685089E-2</v>
      </c>
      <c r="F1090" s="9">
        <f t="shared" si="49"/>
        <v>8.6426849462222372E-2</v>
      </c>
      <c r="G1090" s="9">
        <f t="shared" si="50"/>
        <v>6.7890851613800424E-3</v>
      </c>
    </row>
    <row r="1091" spans="1:7" x14ac:dyDescent="0.2">
      <c r="A1091" s="12">
        <v>38722</v>
      </c>
      <c r="B1091" s="9">
        <v>2376.56</v>
      </c>
      <c r="C1091" s="9">
        <v>2354.87</v>
      </c>
      <c r="D1091" s="9">
        <v>2361.0300000000002</v>
      </c>
      <c r="E1091" s="9">
        <f t="shared" si="48"/>
        <v>-3.589438486212558E-3</v>
      </c>
      <c r="F1091" s="9">
        <f t="shared" si="49"/>
        <v>8.0640436217017553E-2</v>
      </c>
      <c r="G1091" s="9">
        <f t="shared" si="50"/>
        <v>6.8906233762927819E-3</v>
      </c>
    </row>
    <row r="1092" spans="1:7" x14ac:dyDescent="0.2">
      <c r="A1092" s="12">
        <v>38726</v>
      </c>
      <c r="B1092" s="9">
        <v>2385.5700000000002</v>
      </c>
      <c r="C1092" s="9">
        <v>2363.8200000000002</v>
      </c>
      <c r="D1092" s="9">
        <v>2376.09</v>
      </c>
      <c r="E1092" s="9">
        <f t="shared" ref="E1092:E1155" si="51">LN(D1092/D1091)</f>
        <v>6.3583150679399226E-3</v>
      </c>
      <c r="F1092" s="9">
        <f t="shared" si="49"/>
        <v>7.8208741655853231E-2</v>
      </c>
      <c r="G1092" s="9">
        <f t="shared" si="50"/>
        <v>6.8304078794490224E-3</v>
      </c>
    </row>
    <row r="1093" spans="1:7" x14ac:dyDescent="0.2">
      <c r="A1093" s="12">
        <v>38727</v>
      </c>
      <c r="B1093" s="9">
        <v>2375.4699999999998</v>
      </c>
      <c r="C1093" s="9">
        <v>2360.37</v>
      </c>
      <c r="D1093" s="9">
        <v>2362.96</v>
      </c>
      <c r="E1093" s="9">
        <f t="shared" si="51"/>
        <v>-5.5412091437605192E-3</v>
      </c>
      <c r="F1093" s="9">
        <f t="shared" si="49"/>
        <v>7.3118178787435165E-2</v>
      </c>
      <c r="G1093" s="9">
        <f t="shared" si="50"/>
        <v>6.970775379385695E-3</v>
      </c>
    </row>
    <row r="1094" spans="1:7" x14ac:dyDescent="0.2">
      <c r="A1094" s="12">
        <v>38728</v>
      </c>
      <c r="B1094" s="9">
        <v>2381.1</v>
      </c>
      <c r="C1094" s="9">
        <v>2363.42</v>
      </c>
      <c r="D1094" s="9">
        <v>2380.85</v>
      </c>
      <c r="E1094" s="9">
        <f t="shared" si="51"/>
        <v>7.5424963530627918E-3</v>
      </c>
      <c r="F1094" s="9">
        <f t="shared" si="49"/>
        <v>7.4840687403821451E-2</v>
      </c>
      <c r="G1094" s="9">
        <f t="shared" si="50"/>
        <v>7.0066008751609307E-3</v>
      </c>
    </row>
    <row r="1095" spans="1:7" x14ac:dyDescent="0.2">
      <c r="A1095" s="12">
        <v>38729</v>
      </c>
      <c r="B1095" s="9">
        <v>2389.4699999999998</v>
      </c>
      <c r="C1095" s="9">
        <v>2373.39</v>
      </c>
      <c r="D1095" s="9">
        <v>2382.79</v>
      </c>
      <c r="E1095" s="9">
        <f t="shared" si="51"/>
        <v>8.1450324006529561E-4</v>
      </c>
      <c r="F1095" s="9">
        <f t="shared" si="49"/>
        <v>8.0906214221334719E-2</v>
      </c>
      <c r="G1095" s="9">
        <f t="shared" si="50"/>
        <v>6.8613907780289514E-3</v>
      </c>
    </row>
    <row r="1096" spans="1:7" x14ac:dyDescent="0.2">
      <c r="A1096" s="12">
        <v>38730</v>
      </c>
      <c r="B1096" s="9">
        <v>2383.59</v>
      </c>
      <c r="C1096" s="9">
        <v>2361.3200000000002</v>
      </c>
      <c r="D1096" s="9">
        <v>2368.52</v>
      </c>
      <c r="E1096" s="9">
        <f t="shared" si="51"/>
        <v>-6.0067825112717103E-3</v>
      </c>
      <c r="F1096" s="9">
        <f t="shared" si="49"/>
        <v>8.2573505548858742E-2</v>
      </c>
      <c r="G1096" s="9">
        <f t="shared" si="50"/>
        <v>6.7807695501549145E-3</v>
      </c>
    </row>
    <row r="1097" spans="1:7" x14ac:dyDescent="0.2">
      <c r="A1097" s="12">
        <v>38733</v>
      </c>
      <c r="B1097" s="9">
        <v>2378.2199999999998</v>
      </c>
      <c r="C1097" s="9">
        <v>2364.33</v>
      </c>
      <c r="D1097" s="9">
        <v>2376.09</v>
      </c>
      <c r="E1097" s="9">
        <f t="shared" si="51"/>
        <v>3.1909920619042388E-3</v>
      </c>
      <c r="F1097" s="9">
        <f t="shared" si="49"/>
        <v>8.6576455919799455E-2</v>
      </c>
      <c r="G1097" s="9">
        <f t="shared" si="50"/>
        <v>6.7475140396772463E-3</v>
      </c>
    </row>
    <row r="1098" spans="1:7" x14ac:dyDescent="0.2">
      <c r="A1098" s="12">
        <v>38734</v>
      </c>
      <c r="B1098" s="9">
        <v>2376.2399999999998</v>
      </c>
      <c r="C1098" s="9">
        <v>2358.73</v>
      </c>
      <c r="D1098" s="9">
        <v>2363.19</v>
      </c>
      <c r="E1098" s="9">
        <f t="shared" si="51"/>
        <v>-5.4438783353089135E-3</v>
      </c>
      <c r="F1098" s="9">
        <f t="shared" si="49"/>
        <v>6.3000823645351409E-2</v>
      </c>
      <c r="G1098" s="9">
        <f t="shared" si="50"/>
        <v>6.26638734626215E-3</v>
      </c>
    </row>
    <row r="1099" spans="1:7" x14ac:dyDescent="0.2">
      <c r="A1099" s="12">
        <v>38735</v>
      </c>
      <c r="B1099" s="9">
        <v>2358.39</v>
      </c>
      <c r="C1099" s="9">
        <v>2326.62</v>
      </c>
      <c r="D1099" s="9">
        <v>2350.58</v>
      </c>
      <c r="E1099" s="9">
        <f t="shared" si="51"/>
        <v>-5.3502950210892993E-3</v>
      </c>
      <c r="F1099" s="9">
        <f t="shared" si="49"/>
        <v>5.161174354732545E-2</v>
      </c>
      <c r="G1099" s="9">
        <f t="shared" si="50"/>
        <v>6.3637727082044857E-3</v>
      </c>
    </row>
    <row r="1100" spans="1:7" x14ac:dyDescent="0.2">
      <c r="A1100" s="12">
        <v>38736</v>
      </c>
      <c r="B1100" s="9">
        <v>2382.04</v>
      </c>
      <c r="C1100" s="9">
        <v>2352.13</v>
      </c>
      <c r="D1100" s="9">
        <v>2375.5</v>
      </c>
      <c r="E1100" s="9">
        <f t="shared" si="51"/>
        <v>1.0545835430343032E-2</v>
      </c>
      <c r="F1100" s="9">
        <f t="shared" si="49"/>
        <v>6.0152727282680209E-2</v>
      </c>
      <c r="G1100" s="9">
        <f t="shared" si="50"/>
        <v>6.5648132565878769E-3</v>
      </c>
    </row>
    <row r="1101" spans="1:7" x14ac:dyDescent="0.2">
      <c r="A1101" s="12">
        <v>38737</v>
      </c>
      <c r="B1101" s="9">
        <v>2393.0500000000002</v>
      </c>
      <c r="C1101" s="9">
        <v>2370.96</v>
      </c>
      <c r="D1101" s="9">
        <v>2372.85</v>
      </c>
      <c r="E1101" s="9">
        <f t="shared" si="51"/>
        <v>-1.1161773142779219E-3</v>
      </c>
      <c r="F1101" s="9">
        <f t="shared" si="49"/>
        <v>4.1307639676005224E-2</v>
      </c>
      <c r="G1101" s="9">
        <f t="shared" si="50"/>
        <v>5.873588834662216E-3</v>
      </c>
    </row>
    <row r="1102" spans="1:7" x14ac:dyDescent="0.2">
      <c r="A1102" s="12">
        <v>38740</v>
      </c>
      <c r="B1102" s="9">
        <v>2369.59</v>
      </c>
      <c r="C1102" s="9">
        <v>2345.9</v>
      </c>
      <c r="D1102" s="9">
        <v>2362.23</v>
      </c>
      <c r="E1102" s="9">
        <f t="shared" si="51"/>
        <v>-4.4856761901958262E-3</v>
      </c>
      <c r="F1102" s="9">
        <f t="shared" si="49"/>
        <v>4.0491676227450583E-2</v>
      </c>
      <c r="G1102" s="9">
        <f t="shared" si="50"/>
        <v>5.8995957464322317E-3</v>
      </c>
    </row>
    <row r="1103" spans="1:7" x14ac:dyDescent="0.2">
      <c r="A1103" s="12">
        <v>38741</v>
      </c>
      <c r="B1103" s="9">
        <v>2371.1999999999998</v>
      </c>
      <c r="C1103" s="9">
        <v>2357.62</v>
      </c>
      <c r="D1103" s="9">
        <v>2359.06</v>
      </c>
      <c r="E1103" s="9">
        <f t="shared" si="51"/>
        <v>-1.3428535321321441E-3</v>
      </c>
      <c r="F1103" s="9">
        <f t="shared" si="49"/>
        <v>3.8981324413987974E-2</v>
      </c>
      <c r="G1103" s="9">
        <f t="shared" si="50"/>
        <v>5.9164526362834174E-3</v>
      </c>
    </row>
    <row r="1104" spans="1:7" x14ac:dyDescent="0.2">
      <c r="A1104" s="12">
        <v>38742</v>
      </c>
      <c r="B1104" s="9">
        <v>2382.16</v>
      </c>
      <c r="C1104" s="9">
        <v>2360.15</v>
      </c>
      <c r="D1104" s="9">
        <v>2380.62</v>
      </c>
      <c r="E1104" s="9">
        <f t="shared" si="51"/>
        <v>9.0977233515029086E-3</v>
      </c>
      <c r="F1104" s="9">
        <f t="shared" si="49"/>
        <v>5.2757496377111031E-2</v>
      </c>
      <c r="G1104" s="9">
        <f t="shared" si="50"/>
        <v>5.9708534552248109E-3</v>
      </c>
    </row>
    <row r="1105" spans="1:7" x14ac:dyDescent="0.2">
      <c r="A1105" s="12">
        <v>38743</v>
      </c>
      <c r="B1105" s="9">
        <v>2397.6999999999998</v>
      </c>
      <c r="C1105" s="9">
        <v>2378.2600000000002</v>
      </c>
      <c r="D1105" s="9">
        <v>2385.16</v>
      </c>
      <c r="E1105" s="9">
        <f t="shared" si="51"/>
        <v>1.9052500842847459E-3</v>
      </c>
      <c r="F1105" s="9">
        <f t="shared" si="49"/>
        <v>5.2817911143787026E-2</v>
      </c>
      <c r="G1105" s="9">
        <f t="shared" si="50"/>
        <v>5.970893737208877E-3</v>
      </c>
    </row>
    <row r="1106" spans="1:7" x14ac:dyDescent="0.2">
      <c r="A1106" s="12">
        <v>38744</v>
      </c>
      <c r="B1106" s="9">
        <v>2421.21</v>
      </c>
      <c r="C1106" s="9">
        <v>2388.1</v>
      </c>
      <c r="D1106" s="9">
        <v>2418.59</v>
      </c>
      <c r="E1106" s="9">
        <f t="shared" si="51"/>
        <v>1.3918517693133787E-2</v>
      </c>
      <c r="F1106" s="9">
        <f t="shared" si="49"/>
        <v>6.0334722181171509E-2</v>
      </c>
      <c r="G1106" s="9">
        <f t="shared" si="50"/>
        <v>6.3198846285894969E-3</v>
      </c>
    </row>
    <row r="1107" spans="1:7" x14ac:dyDescent="0.2">
      <c r="A1107" s="12">
        <v>38747</v>
      </c>
      <c r="B1107" s="9">
        <v>2430.52</v>
      </c>
      <c r="C1107" s="9">
        <v>2416.11</v>
      </c>
      <c r="D1107" s="9">
        <v>2424.85</v>
      </c>
      <c r="E1107" s="9">
        <f t="shared" si="51"/>
        <v>2.5849410690477704E-3</v>
      </c>
      <c r="F1107" s="9">
        <f t="shared" si="49"/>
        <v>6.750640322308181E-2</v>
      </c>
      <c r="G1107" s="9">
        <f t="shared" si="50"/>
        <v>6.1961329822525051E-3</v>
      </c>
    </row>
    <row r="1108" spans="1:7" x14ac:dyDescent="0.2">
      <c r="A1108" s="12">
        <v>38748</v>
      </c>
      <c r="B1108" s="9">
        <v>2439.56</v>
      </c>
      <c r="C1108" s="9">
        <v>2425.63</v>
      </c>
      <c r="D1108" s="9">
        <v>2430.2600000000002</v>
      </c>
      <c r="E1108" s="9">
        <f t="shared" si="51"/>
        <v>2.2285807073769452E-3</v>
      </c>
      <c r="F1108" s="9">
        <f t="shared" si="49"/>
        <v>5.9210649885472685E-2</v>
      </c>
      <c r="G1108" s="9">
        <f t="shared" si="50"/>
        <v>5.9960195594628727E-3</v>
      </c>
    </row>
    <row r="1109" spans="1:7" x14ac:dyDescent="0.2">
      <c r="A1109" s="12">
        <v>38749</v>
      </c>
      <c r="B1109" s="9">
        <v>2469.42</v>
      </c>
      <c r="C1109" s="9">
        <v>2425.2600000000002</v>
      </c>
      <c r="D1109" s="9">
        <v>2465.0700000000002</v>
      </c>
      <c r="E1109" s="9">
        <f t="shared" si="51"/>
        <v>1.4221957143793828E-2</v>
      </c>
      <c r="F1109" s="9">
        <f t="shared" si="49"/>
        <v>7.9001359435664428E-2</v>
      </c>
      <c r="G1109" s="9">
        <f t="shared" si="50"/>
        <v>6.2220165357828108E-3</v>
      </c>
    </row>
    <row r="1110" spans="1:7" x14ac:dyDescent="0.2">
      <c r="A1110" s="12">
        <v>38750</v>
      </c>
      <c r="B1110" s="9">
        <v>2469.23</v>
      </c>
      <c r="C1110" s="9">
        <v>2448.3000000000002</v>
      </c>
      <c r="D1110" s="9">
        <v>2456.33</v>
      </c>
      <c r="E1110" s="9">
        <f t="shared" si="51"/>
        <v>-3.5518385777743222E-3</v>
      </c>
      <c r="F1110" s="9">
        <f t="shared" si="49"/>
        <v>7.7132368298303014E-2</v>
      </c>
      <c r="G1110" s="9">
        <f t="shared" si="50"/>
        <v>6.2758482604635835E-3</v>
      </c>
    </row>
    <row r="1111" spans="1:7" x14ac:dyDescent="0.2">
      <c r="A1111" s="12">
        <v>38751</v>
      </c>
      <c r="B1111" s="9">
        <v>2470.4499999999998</v>
      </c>
      <c r="C1111" s="9">
        <v>2447.04</v>
      </c>
      <c r="D1111" s="9">
        <v>2450.37</v>
      </c>
      <c r="E1111" s="9">
        <f t="shared" si="51"/>
        <v>-2.4293325172339256E-3</v>
      </c>
      <c r="F1111" s="9">
        <f t="shared" si="49"/>
        <v>6.7800759559947257E-2</v>
      </c>
      <c r="G1111" s="9">
        <f t="shared" si="50"/>
        <v>6.2850234807555749E-3</v>
      </c>
    </row>
    <row r="1112" spans="1:7" x14ac:dyDescent="0.2">
      <c r="A1112" s="12">
        <v>38754</v>
      </c>
      <c r="B1112" s="9">
        <v>2469.73</v>
      </c>
      <c r="C1112" s="9">
        <v>2450.4499999999998</v>
      </c>
      <c r="D1112" s="9">
        <v>2468.9</v>
      </c>
      <c r="E1112" s="9">
        <f t="shared" si="51"/>
        <v>7.5336737528176358E-3</v>
      </c>
      <c r="F1112" s="9">
        <f t="shared" si="49"/>
        <v>7.6501184959824997E-2</v>
      </c>
      <c r="G1112" s="9">
        <f t="shared" si="50"/>
        <v>6.3220724590641745E-3</v>
      </c>
    </row>
    <row r="1113" spans="1:7" x14ac:dyDescent="0.2">
      <c r="A1113" s="12">
        <v>38755</v>
      </c>
      <c r="B1113" s="9">
        <v>2480.0100000000002</v>
      </c>
      <c r="C1113" s="9">
        <v>2461.64</v>
      </c>
      <c r="D1113" s="9">
        <v>2468.44</v>
      </c>
      <c r="E1113" s="9">
        <f t="shared" si="51"/>
        <v>-1.8633515266564785E-4</v>
      </c>
      <c r="F1113" s="9">
        <f t="shared" si="49"/>
        <v>6.8731317693914051E-2</v>
      </c>
      <c r="G1113" s="9">
        <f t="shared" si="50"/>
        <v>6.2676749861796796E-3</v>
      </c>
    </row>
    <row r="1114" spans="1:7" x14ac:dyDescent="0.2">
      <c r="A1114" s="12">
        <v>38756</v>
      </c>
      <c r="B1114" s="9">
        <v>2468.12</v>
      </c>
      <c r="C1114" s="9">
        <v>2444.91</v>
      </c>
      <c r="D1114" s="9">
        <v>2458.12</v>
      </c>
      <c r="E1114" s="9">
        <f t="shared" si="51"/>
        <v>-4.1895420313328323E-3</v>
      </c>
      <c r="F1114" s="9">
        <f t="shared" si="49"/>
        <v>6.1720825979414827E-2</v>
      </c>
      <c r="G1114" s="9">
        <f t="shared" si="50"/>
        <v>6.3769728611995456E-3</v>
      </c>
    </row>
    <row r="1115" spans="1:7" x14ac:dyDescent="0.2">
      <c r="A1115" s="12">
        <v>38757</v>
      </c>
      <c r="B1115" s="9">
        <v>2485.48</v>
      </c>
      <c r="C1115" s="9">
        <v>2459.73</v>
      </c>
      <c r="D1115" s="9">
        <v>2480.4499999999998</v>
      </c>
      <c r="E1115" s="9">
        <f t="shared" si="51"/>
        <v>9.0431651982569947E-3</v>
      </c>
      <c r="F1115" s="9">
        <f t="shared" si="49"/>
        <v>7.3229175506027838E-2</v>
      </c>
      <c r="G1115" s="9">
        <f t="shared" si="50"/>
        <v>6.4413561794213967E-3</v>
      </c>
    </row>
    <row r="1116" spans="1:7" x14ac:dyDescent="0.2">
      <c r="A1116" s="12">
        <v>38758</v>
      </c>
      <c r="B1116" s="9">
        <v>2479.9699999999998</v>
      </c>
      <c r="C1116" s="9">
        <v>2464.88</v>
      </c>
      <c r="D1116" s="9">
        <v>2470.33</v>
      </c>
      <c r="E1116" s="9">
        <f t="shared" si="51"/>
        <v>-4.0882503748068356E-3</v>
      </c>
      <c r="F1116" s="9">
        <f t="shared" si="49"/>
        <v>6.7472253504765489E-2</v>
      </c>
      <c r="G1116" s="9">
        <f t="shared" si="50"/>
        <v>6.5499949408100583E-3</v>
      </c>
    </row>
    <row r="1117" spans="1:7" x14ac:dyDescent="0.2">
      <c r="A1117" s="12">
        <v>38761</v>
      </c>
      <c r="B1117" s="9">
        <v>2479.83</v>
      </c>
      <c r="C1117" s="9">
        <v>2461.2800000000002</v>
      </c>
      <c r="D1117" s="9">
        <v>2477.16</v>
      </c>
      <c r="E1117" s="9">
        <f t="shared" si="51"/>
        <v>2.7609977337269683E-3</v>
      </c>
      <c r="F1117" s="9">
        <f t="shared" si="49"/>
        <v>7.3655943668230778E-2</v>
      </c>
      <c r="G1117" s="9">
        <f t="shared" si="50"/>
        <v>6.4620619504086735E-3</v>
      </c>
    </row>
    <row r="1118" spans="1:7" x14ac:dyDescent="0.2">
      <c r="A1118" s="12">
        <v>38762</v>
      </c>
      <c r="B1118" s="9">
        <v>2496.25</v>
      </c>
      <c r="C1118" s="9">
        <v>2478.5300000000002</v>
      </c>
      <c r="D1118" s="9">
        <v>2495.7399999999998</v>
      </c>
      <c r="E1118" s="9">
        <f t="shared" si="51"/>
        <v>7.472535726429144E-3</v>
      </c>
      <c r="F1118" s="9">
        <f t="shared" si="49"/>
        <v>7.6044218564371616E-2</v>
      </c>
      <c r="G1118" s="9">
        <f t="shared" si="50"/>
        <v>6.5101000368977821E-3</v>
      </c>
    </row>
    <row r="1119" spans="1:7" x14ac:dyDescent="0.2">
      <c r="A1119" s="12">
        <v>38763</v>
      </c>
      <c r="B1119" s="9">
        <v>2534.5300000000002</v>
      </c>
      <c r="C1119" s="9">
        <v>2498.79</v>
      </c>
      <c r="D1119" s="9">
        <v>2520.5700000000002</v>
      </c>
      <c r="E1119" s="9">
        <f t="shared" si="51"/>
        <v>9.8997880075230912E-3</v>
      </c>
      <c r="F1119" s="9">
        <f t="shared" si="49"/>
        <v>7.3176687497831849E-2</v>
      </c>
      <c r="G1119" s="9">
        <f t="shared" si="50"/>
        <v>6.3743159865829371E-3</v>
      </c>
    </row>
    <row r="1120" spans="1:7" x14ac:dyDescent="0.2">
      <c r="A1120" s="12">
        <v>38764</v>
      </c>
      <c r="B1120" s="9">
        <v>2538.66</v>
      </c>
      <c r="C1120" s="9">
        <v>2510.62</v>
      </c>
      <c r="D1120" s="9">
        <v>2523.09</v>
      </c>
      <c r="E1120" s="9">
        <f t="shared" si="51"/>
        <v>9.9927441964582924E-4</v>
      </c>
      <c r="F1120" s="9">
        <f t="shared" si="49"/>
        <v>6.2796937852792417E-2</v>
      </c>
      <c r="G1120" s="9">
        <f t="shared" si="50"/>
        <v>6.1500976301681635E-3</v>
      </c>
    </row>
    <row r="1121" spans="1:7" x14ac:dyDescent="0.2">
      <c r="A1121" s="12">
        <v>38765</v>
      </c>
      <c r="B1121" s="9">
        <v>2545.02</v>
      </c>
      <c r="C1121" s="9">
        <v>2523.09</v>
      </c>
      <c r="D1121" s="9">
        <v>2536.56</v>
      </c>
      <c r="E1121" s="9">
        <f t="shared" si="51"/>
        <v>5.3244915451051856E-3</v>
      </c>
      <c r="F1121" s="9">
        <f t="shared" ref="F1121:F1184" si="52">LN(D1121/D1091)</f>
        <v>7.1710867884110296E-2</v>
      </c>
      <c r="G1121" s="9">
        <f t="shared" ref="G1121:G1184" si="53">STDEV(E1092:E1121)</f>
        <v>6.0810248329740543E-3</v>
      </c>
    </row>
    <row r="1122" spans="1:7" x14ac:dyDescent="0.2">
      <c r="A1122" s="12">
        <v>38768</v>
      </c>
      <c r="B1122" s="9">
        <v>2562.0300000000002</v>
      </c>
      <c r="C1122" s="9">
        <v>2530.4</v>
      </c>
      <c r="D1122" s="9">
        <v>2561.33</v>
      </c>
      <c r="E1122" s="9">
        <f t="shared" si="51"/>
        <v>9.7178224447711098E-3</v>
      </c>
      <c r="F1122" s="9">
        <f t="shared" si="52"/>
        <v>7.507037526094161E-2</v>
      </c>
      <c r="G1122" s="9">
        <f t="shared" si="53"/>
        <v>6.1866314190836503E-3</v>
      </c>
    </row>
    <row r="1123" spans="1:7" x14ac:dyDescent="0.2">
      <c r="A1123" s="12">
        <v>38769</v>
      </c>
      <c r="B1123" s="9">
        <v>2593.4299999999998</v>
      </c>
      <c r="C1123" s="9">
        <v>2561.81</v>
      </c>
      <c r="D1123" s="9">
        <v>2591.92</v>
      </c>
      <c r="E1123" s="9">
        <f t="shared" si="51"/>
        <v>1.1872258984352554E-2</v>
      </c>
      <c r="F1123" s="9">
        <f t="shared" si="52"/>
        <v>9.2483843389054562E-2</v>
      </c>
      <c r="G1123" s="9">
        <f t="shared" si="53"/>
        <v>6.2227245046501262E-3</v>
      </c>
    </row>
    <row r="1124" spans="1:7" x14ac:dyDescent="0.2">
      <c r="A1124" s="12">
        <v>38770</v>
      </c>
      <c r="B1124" s="9">
        <v>2597.2600000000002</v>
      </c>
      <c r="C1124" s="9">
        <v>2569.81</v>
      </c>
      <c r="D1124" s="9">
        <v>2594.12</v>
      </c>
      <c r="E1124" s="9">
        <f t="shared" si="51"/>
        <v>8.4843160946293408E-4</v>
      </c>
      <c r="F1124" s="9">
        <f t="shared" si="52"/>
        <v>8.5789778645454742E-2</v>
      </c>
      <c r="G1124" s="9">
        <f t="shared" si="53"/>
        <v>6.1771449291283522E-3</v>
      </c>
    </row>
    <row r="1125" spans="1:7" x14ac:dyDescent="0.2">
      <c r="A1125" s="12">
        <v>38771</v>
      </c>
      <c r="B1125" s="9">
        <v>2610.2600000000002</v>
      </c>
      <c r="C1125" s="9">
        <v>2594.6799999999998</v>
      </c>
      <c r="D1125" s="9">
        <v>2599.5700000000002</v>
      </c>
      <c r="E1125" s="9">
        <f t="shared" si="51"/>
        <v>2.0987013088568725E-3</v>
      </c>
      <c r="F1125" s="9">
        <f t="shared" si="52"/>
        <v>8.7073976714246493E-2</v>
      </c>
      <c r="G1125" s="9">
        <f t="shared" si="53"/>
        <v>6.1669248090599716E-3</v>
      </c>
    </row>
    <row r="1126" spans="1:7" x14ac:dyDescent="0.2">
      <c r="A1126" s="12">
        <v>38772</v>
      </c>
      <c r="B1126" s="9">
        <v>2612.09</v>
      </c>
      <c r="C1126" s="9">
        <v>2596.61</v>
      </c>
      <c r="D1126" s="9">
        <v>2611.9499999999998</v>
      </c>
      <c r="E1126" s="9">
        <f t="shared" si="51"/>
        <v>4.7510220768559961E-3</v>
      </c>
      <c r="F1126" s="9">
        <f t="shared" si="52"/>
        <v>9.783178130237416E-2</v>
      </c>
      <c r="G1126" s="9">
        <f t="shared" si="53"/>
        <v>5.9395885746744296E-3</v>
      </c>
    </row>
    <row r="1127" spans="1:7" x14ac:dyDescent="0.2">
      <c r="A1127" s="12">
        <v>38775</v>
      </c>
      <c r="B1127" s="9">
        <v>2619.96</v>
      </c>
      <c r="C1127" s="9">
        <v>2606.7800000000002</v>
      </c>
      <c r="D1127" s="9">
        <v>2619.96</v>
      </c>
      <c r="E1127" s="9">
        <f t="shared" si="51"/>
        <v>3.0619816695243046E-3</v>
      </c>
      <c r="F1127" s="9">
        <f t="shared" si="52"/>
        <v>9.7702770909994296E-2</v>
      </c>
      <c r="G1127" s="9">
        <f t="shared" si="53"/>
        <v>5.9396877555550091E-3</v>
      </c>
    </row>
    <row r="1128" spans="1:7" x14ac:dyDescent="0.2">
      <c r="A1128" s="12">
        <v>38776</v>
      </c>
      <c r="B1128" s="9">
        <v>2619.64</v>
      </c>
      <c r="C1128" s="9">
        <v>2562.85</v>
      </c>
      <c r="D1128" s="9">
        <v>2568.09</v>
      </c>
      <c r="E1128" s="9">
        <f t="shared" si="51"/>
        <v>-1.9996618538323949E-2</v>
      </c>
      <c r="F1128" s="9">
        <f t="shared" si="52"/>
        <v>8.3150030706979294E-2</v>
      </c>
      <c r="G1128" s="9">
        <f t="shared" si="53"/>
        <v>7.1464384616687074E-3</v>
      </c>
    </row>
    <row r="1129" spans="1:7" x14ac:dyDescent="0.2">
      <c r="A1129" s="12">
        <v>38777</v>
      </c>
      <c r="B1129" s="9">
        <v>2580.19</v>
      </c>
      <c r="C1129" s="9">
        <v>2563.9899999999998</v>
      </c>
      <c r="D1129" s="9">
        <v>2579.9</v>
      </c>
      <c r="E1129" s="9">
        <f t="shared" si="51"/>
        <v>4.5882065498629703E-3</v>
      </c>
      <c r="F1129" s="9">
        <f t="shared" si="52"/>
        <v>9.3088532277931541E-2</v>
      </c>
      <c r="G1129" s="9">
        <f t="shared" si="53"/>
        <v>6.9854947560107697E-3</v>
      </c>
    </row>
    <row r="1130" spans="1:7" x14ac:dyDescent="0.2">
      <c r="A1130" s="12">
        <v>38778</v>
      </c>
      <c r="B1130" s="9">
        <v>2596.0700000000002</v>
      </c>
      <c r="C1130" s="9">
        <v>2567.7399999999998</v>
      </c>
      <c r="D1130" s="9">
        <v>2570</v>
      </c>
      <c r="E1130" s="9">
        <f t="shared" si="51"/>
        <v>-3.8447395852989853E-3</v>
      </c>
      <c r="F1130" s="9">
        <f t="shared" si="52"/>
        <v>7.8697957262289453E-2</v>
      </c>
      <c r="G1130" s="9">
        <f t="shared" si="53"/>
        <v>6.9507823812573486E-3</v>
      </c>
    </row>
    <row r="1131" spans="1:7" x14ac:dyDescent="0.2">
      <c r="A1131" s="12">
        <v>38779</v>
      </c>
      <c r="B1131" s="9">
        <v>2578.54</v>
      </c>
      <c r="C1131" s="9">
        <v>2563.1999999999998</v>
      </c>
      <c r="D1131" s="9">
        <v>2572.5300000000002</v>
      </c>
      <c r="E1131" s="9">
        <f t="shared" si="51"/>
        <v>9.8395155852102939E-4</v>
      </c>
      <c r="F1131" s="9">
        <f t="shared" si="52"/>
        <v>8.0798086135088473E-2</v>
      </c>
      <c r="G1131" s="9">
        <f t="shared" si="53"/>
        <v>6.9223396391543089E-3</v>
      </c>
    </row>
    <row r="1132" spans="1:7" x14ac:dyDescent="0.2">
      <c r="A1132" s="12">
        <v>38782</v>
      </c>
      <c r="B1132" s="9">
        <v>2591.15</v>
      </c>
      <c r="C1132" s="9">
        <v>2571.92</v>
      </c>
      <c r="D1132" s="9">
        <v>2588.1</v>
      </c>
      <c r="E1132" s="9">
        <f t="shared" si="51"/>
        <v>6.0341653028562316E-3</v>
      </c>
      <c r="F1132" s="9">
        <f t="shared" si="52"/>
        <v>9.1317927628140436E-2</v>
      </c>
      <c r="G1132" s="9">
        <f t="shared" si="53"/>
        <v>6.8117044727367057E-3</v>
      </c>
    </row>
    <row r="1133" spans="1:7" x14ac:dyDescent="0.2">
      <c r="A1133" s="12">
        <v>38783</v>
      </c>
      <c r="B1133" s="9">
        <v>2588.65</v>
      </c>
      <c r="C1133" s="9">
        <v>2576.3000000000002</v>
      </c>
      <c r="D1133" s="9">
        <v>2588.1799999999998</v>
      </c>
      <c r="E1133" s="9">
        <f t="shared" si="51"/>
        <v>3.0910228969980448E-5</v>
      </c>
      <c r="F1133" s="9">
        <f t="shared" si="52"/>
        <v>9.2691691389242589E-2</v>
      </c>
      <c r="G1133" s="9">
        <f t="shared" si="53"/>
        <v>6.7857653373231859E-3</v>
      </c>
    </row>
    <row r="1134" spans="1:7" x14ac:dyDescent="0.2">
      <c r="A1134" s="12">
        <v>38784</v>
      </c>
      <c r="B1134" s="9">
        <v>2616.52</v>
      </c>
      <c r="C1134" s="9">
        <v>2588.66</v>
      </c>
      <c r="D1134" s="9">
        <v>2609.66</v>
      </c>
      <c r="E1134" s="9">
        <f t="shared" si="51"/>
        <v>8.2650186522539044E-3</v>
      </c>
      <c r="F1134" s="9">
        <f t="shared" si="52"/>
        <v>9.1858986689993455E-2</v>
      </c>
      <c r="G1134" s="9">
        <f t="shared" si="53"/>
        <v>6.7620039594675366E-3</v>
      </c>
    </row>
    <row r="1135" spans="1:7" x14ac:dyDescent="0.2">
      <c r="A1135" s="12">
        <v>38785</v>
      </c>
      <c r="B1135" s="9">
        <v>2660.05</v>
      </c>
      <c r="C1135" s="9">
        <v>2613.5100000000002</v>
      </c>
      <c r="D1135" s="9">
        <v>2654.73</v>
      </c>
      <c r="E1135" s="9">
        <f t="shared" si="51"/>
        <v>1.7123009957639882E-2</v>
      </c>
      <c r="F1135" s="9">
        <f t="shared" si="52"/>
        <v>0.10707674656334844</v>
      </c>
      <c r="G1135" s="9">
        <f t="shared" si="53"/>
        <v>7.227036992530949E-3</v>
      </c>
    </row>
    <row r="1136" spans="1:7" x14ac:dyDescent="0.2">
      <c r="A1136" s="12">
        <v>38786</v>
      </c>
      <c r="B1136" s="9">
        <v>2665.73</v>
      </c>
      <c r="C1136" s="9">
        <v>2643.6</v>
      </c>
      <c r="D1136" s="9">
        <v>2665.73</v>
      </c>
      <c r="E1136" s="9">
        <f t="shared" si="51"/>
        <v>4.134986701626501E-3</v>
      </c>
      <c r="F1136" s="9">
        <f t="shared" si="52"/>
        <v>9.7293215571841105E-2</v>
      </c>
      <c r="G1136" s="9">
        <f t="shared" si="53"/>
        <v>6.9597202907583783E-3</v>
      </c>
    </row>
    <row r="1137" spans="1:7" x14ac:dyDescent="0.2">
      <c r="A1137" s="12">
        <v>38789</v>
      </c>
      <c r="B1137" s="9">
        <v>2681.2</v>
      </c>
      <c r="C1137" s="9">
        <v>2667.58</v>
      </c>
      <c r="D1137" s="9">
        <v>2669.22</v>
      </c>
      <c r="E1137" s="9">
        <f t="shared" si="51"/>
        <v>1.3083535920092955E-3</v>
      </c>
      <c r="F1137" s="9">
        <f t="shared" si="52"/>
        <v>9.6016628094802561E-2</v>
      </c>
      <c r="G1137" s="9">
        <f t="shared" si="53"/>
        <v>6.9677811625686089E-3</v>
      </c>
    </row>
    <row r="1138" spans="1:7" x14ac:dyDescent="0.2">
      <c r="A1138" s="12">
        <v>38790</v>
      </c>
      <c r="B1138" s="9">
        <v>2696.72</v>
      </c>
      <c r="C1138" s="9">
        <v>2667.8</v>
      </c>
      <c r="D1138" s="9">
        <v>2696.41</v>
      </c>
      <c r="E1138" s="9">
        <f t="shared" si="51"/>
        <v>1.0134963737832847E-2</v>
      </c>
      <c r="F1138" s="9">
        <f t="shared" si="52"/>
        <v>0.10392301112525866</v>
      </c>
      <c r="G1138" s="9">
        <f t="shared" si="53"/>
        <v>7.0783956422950742E-3</v>
      </c>
    </row>
    <row r="1139" spans="1:7" x14ac:dyDescent="0.2">
      <c r="A1139" s="12">
        <v>38791</v>
      </c>
      <c r="B1139" s="9">
        <v>2709.15</v>
      </c>
      <c r="C1139" s="9">
        <v>2688.6</v>
      </c>
      <c r="D1139" s="9">
        <v>2692.04</v>
      </c>
      <c r="E1139" s="9">
        <f t="shared" si="51"/>
        <v>-1.6219881257378819E-3</v>
      </c>
      <c r="F1139" s="9">
        <f t="shared" si="52"/>
        <v>8.8079065855727084E-2</v>
      </c>
      <c r="G1139" s="9">
        <f t="shared" si="53"/>
        <v>6.8349406281537741E-3</v>
      </c>
    </row>
    <row r="1140" spans="1:7" x14ac:dyDescent="0.2">
      <c r="A1140" s="12">
        <v>38792</v>
      </c>
      <c r="B1140" s="9">
        <v>2708.26</v>
      </c>
      <c r="C1140" s="9">
        <v>2692.2</v>
      </c>
      <c r="D1140" s="9">
        <v>2707.1</v>
      </c>
      <c r="E1140" s="9">
        <f t="shared" si="51"/>
        <v>5.5786807001433937E-3</v>
      </c>
      <c r="F1140" s="9">
        <f t="shared" si="52"/>
        <v>9.7209585133644735E-2</v>
      </c>
      <c r="G1140" s="9">
        <f t="shared" si="53"/>
        <v>6.7386926732687664E-3</v>
      </c>
    </row>
    <row r="1141" spans="1:7" x14ac:dyDescent="0.2">
      <c r="A1141" s="12">
        <v>38793</v>
      </c>
      <c r="B1141" s="9">
        <v>2733.96</v>
      </c>
      <c r="C1141" s="9">
        <v>2705.04</v>
      </c>
      <c r="D1141" s="9">
        <v>2718.22</v>
      </c>
      <c r="E1141" s="9">
        <f t="shared" si="51"/>
        <v>4.0993031091131858E-3</v>
      </c>
      <c r="F1141" s="9">
        <f t="shared" si="52"/>
        <v>0.10373822075999198</v>
      </c>
      <c r="G1141" s="9">
        <f t="shared" si="53"/>
        <v>6.6541703769171165E-3</v>
      </c>
    </row>
    <row r="1142" spans="1:7" x14ac:dyDescent="0.2">
      <c r="A1142" s="12">
        <v>38796</v>
      </c>
      <c r="B1142" s="9">
        <v>2733.68</v>
      </c>
      <c r="C1142" s="9">
        <v>2718.22</v>
      </c>
      <c r="D1142" s="9">
        <v>2733.65</v>
      </c>
      <c r="E1142" s="9">
        <f t="shared" si="51"/>
        <v>5.6604582277606395E-3</v>
      </c>
      <c r="F1142" s="9">
        <f t="shared" si="52"/>
        <v>0.10186500523493487</v>
      </c>
      <c r="G1142" s="9">
        <f t="shared" si="53"/>
        <v>6.6233235685347015E-3</v>
      </c>
    </row>
    <row r="1143" spans="1:7" x14ac:dyDescent="0.2">
      <c r="A1143" s="12">
        <v>38797</v>
      </c>
      <c r="B1143" s="9">
        <v>2743.56</v>
      </c>
      <c r="C1143" s="9">
        <v>2723.65</v>
      </c>
      <c r="D1143" s="9">
        <v>2741.38</v>
      </c>
      <c r="E1143" s="9">
        <f t="shared" si="51"/>
        <v>2.8237306959901878E-3</v>
      </c>
      <c r="F1143" s="9">
        <f t="shared" si="52"/>
        <v>0.10487507108359069</v>
      </c>
      <c r="G1143" s="9">
        <f t="shared" si="53"/>
        <v>6.5899071135472496E-3</v>
      </c>
    </row>
    <row r="1144" spans="1:7" x14ac:dyDescent="0.2">
      <c r="A1144" s="12">
        <v>38798</v>
      </c>
      <c r="B1144" s="9">
        <v>2738</v>
      </c>
      <c r="C1144" s="9">
        <v>2710</v>
      </c>
      <c r="D1144" s="9">
        <v>2711.14</v>
      </c>
      <c r="E1144" s="9">
        <f t="shared" si="51"/>
        <v>-1.1092232602237894E-2</v>
      </c>
      <c r="F1144" s="9">
        <f t="shared" si="52"/>
        <v>9.797238051268542E-2</v>
      </c>
      <c r="G1144" s="9">
        <f t="shared" si="53"/>
        <v>6.9766553226537518E-3</v>
      </c>
    </row>
    <row r="1145" spans="1:7" x14ac:dyDescent="0.2">
      <c r="A1145" s="12">
        <v>38799</v>
      </c>
      <c r="B1145" s="9">
        <v>2712.37</v>
      </c>
      <c r="C1145" s="9">
        <v>2686.95</v>
      </c>
      <c r="D1145" s="9">
        <v>2688.74</v>
      </c>
      <c r="E1145" s="9">
        <f t="shared" si="51"/>
        <v>-8.2965282513552067E-3</v>
      </c>
      <c r="F1145" s="9">
        <f t="shared" si="52"/>
        <v>8.0632687063073236E-2</v>
      </c>
      <c r="G1145" s="9">
        <f t="shared" si="53"/>
        <v>7.1963192542778363E-3</v>
      </c>
    </row>
    <row r="1146" spans="1:7" x14ac:dyDescent="0.2">
      <c r="A1146" s="12">
        <v>38800</v>
      </c>
      <c r="B1146" s="9">
        <v>2706.19</v>
      </c>
      <c r="C1146" s="9">
        <v>2687.91</v>
      </c>
      <c r="D1146" s="9">
        <v>2703.01</v>
      </c>
      <c r="E1146" s="9">
        <f t="shared" si="51"/>
        <v>5.2932844879974668E-3</v>
      </c>
      <c r="F1146" s="9">
        <f t="shared" si="52"/>
        <v>9.0014221925877574E-2</v>
      </c>
      <c r="G1146" s="9">
        <f t="shared" si="53"/>
        <v>7.0948355480329279E-3</v>
      </c>
    </row>
    <row r="1147" spans="1:7" x14ac:dyDescent="0.2">
      <c r="A1147" s="12">
        <v>38803</v>
      </c>
      <c r="B1147" s="9">
        <v>2713.06</v>
      </c>
      <c r="C1147" s="9">
        <v>2697.57</v>
      </c>
      <c r="D1147" s="9">
        <v>2698.13</v>
      </c>
      <c r="E1147" s="9">
        <f t="shared" si="51"/>
        <v>-1.8070264158703199E-3</v>
      </c>
      <c r="F1147" s="9">
        <f t="shared" si="52"/>
        <v>8.5446197776280222E-2</v>
      </c>
      <c r="G1147" s="9">
        <f t="shared" si="53"/>
        <v>7.1489647251954851E-3</v>
      </c>
    </row>
    <row r="1148" spans="1:7" x14ac:dyDescent="0.2">
      <c r="A1148" s="12">
        <v>38804</v>
      </c>
      <c r="B1148" s="9">
        <v>2698.29</v>
      </c>
      <c r="C1148" s="9">
        <v>2655.2</v>
      </c>
      <c r="D1148" s="9">
        <v>2661.76</v>
      </c>
      <c r="E1148" s="9">
        <f t="shared" si="51"/>
        <v>-1.3571382332286483E-2</v>
      </c>
      <c r="F1148" s="9">
        <f t="shared" si="52"/>
        <v>6.4402279717564639E-2</v>
      </c>
      <c r="G1148" s="9">
        <f t="shared" si="53"/>
        <v>7.6914196115049696E-3</v>
      </c>
    </row>
    <row r="1149" spans="1:7" x14ac:dyDescent="0.2">
      <c r="A1149" s="12">
        <v>38805</v>
      </c>
      <c r="B1149" s="9">
        <v>2690.95</v>
      </c>
      <c r="C1149" s="9">
        <v>2650.64</v>
      </c>
      <c r="D1149" s="9">
        <v>2689.27</v>
      </c>
      <c r="E1149" s="9">
        <f t="shared" si="51"/>
        <v>1.0282223187723918E-2</v>
      </c>
      <c r="F1149" s="9">
        <f t="shared" si="52"/>
        <v>6.478471489776573E-2</v>
      </c>
      <c r="G1149" s="9">
        <f t="shared" si="53"/>
        <v>7.7050175985011191E-3</v>
      </c>
    </row>
    <row r="1150" spans="1:7" x14ac:dyDescent="0.2">
      <c r="A1150" s="12">
        <v>38806</v>
      </c>
      <c r="B1150" s="9">
        <v>2736.78</v>
      </c>
      <c r="C1150" s="9">
        <v>2691.2</v>
      </c>
      <c r="D1150" s="9">
        <v>2733.3</v>
      </c>
      <c r="E1150" s="9">
        <f t="shared" si="51"/>
        <v>1.6239889085706345E-2</v>
      </c>
      <c r="F1150" s="9">
        <f t="shared" si="52"/>
        <v>8.0025329563826256E-2</v>
      </c>
      <c r="G1150" s="9">
        <f t="shared" si="53"/>
        <v>8.1172879966006639E-3</v>
      </c>
    </row>
    <row r="1151" spans="1:7" x14ac:dyDescent="0.2">
      <c r="A1151" s="12">
        <v>38807</v>
      </c>
      <c r="B1151" s="9">
        <v>2729.06</v>
      </c>
      <c r="C1151" s="9">
        <v>2704.17</v>
      </c>
      <c r="D1151" s="9">
        <v>2711.62</v>
      </c>
      <c r="E1151" s="9">
        <f t="shared" si="51"/>
        <v>-7.9634281391799105E-3</v>
      </c>
      <c r="F1151" s="9">
        <f t="shared" si="52"/>
        <v>6.6737409879541063E-2</v>
      </c>
      <c r="G1151" s="9">
        <f t="shared" si="53"/>
        <v>8.3271311079194527E-3</v>
      </c>
    </row>
    <row r="1152" spans="1:7" x14ac:dyDescent="0.2">
      <c r="A1152" s="12">
        <v>38810</v>
      </c>
      <c r="B1152" s="9">
        <v>2730.15</v>
      </c>
      <c r="C1152" s="9">
        <v>2713.06</v>
      </c>
      <c r="D1152" s="9">
        <v>2728.52</v>
      </c>
      <c r="E1152" s="9">
        <f t="shared" si="51"/>
        <v>6.2130953854970979E-3</v>
      </c>
      <c r="F1152" s="9">
        <f t="shared" si="52"/>
        <v>6.3232682820267005E-2</v>
      </c>
      <c r="G1152" s="9">
        <f t="shared" si="53"/>
        <v>8.2425355992868411E-3</v>
      </c>
    </row>
    <row r="1153" spans="1:7" x14ac:dyDescent="0.2">
      <c r="A1153" s="12">
        <v>38811</v>
      </c>
      <c r="B1153" s="9">
        <v>2729.58</v>
      </c>
      <c r="C1153" s="9">
        <v>2707.41</v>
      </c>
      <c r="D1153" s="9">
        <v>2708.04</v>
      </c>
      <c r="E1153" s="9">
        <f t="shared" si="51"/>
        <v>-7.5342116624205662E-3</v>
      </c>
      <c r="F1153" s="9">
        <f t="shared" si="52"/>
        <v>4.3826212173493834E-2</v>
      </c>
      <c r="G1153" s="9">
        <f t="shared" si="53"/>
        <v>8.2112427597947641E-3</v>
      </c>
    </row>
    <row r="1154" spans="1:7" x14ac:dyDescent="0.2">
      <c r="A1154" s="12">
        <v>38812</v>
      </c>
      <c r="B1154" s="9">
        <v>2720.45</v>
      </c>
      <c r="C1154" s="9">
        <v>2707.3</v>
      </c>
      <c r="D1154" s="9">
        <v>2716.6</v>
      </c>
      <c r="E1154" s="9">
        <f t="shared" si="51"/>
        <v>3.1559724165711339E-3</v>
      </c>
      <c r="F1154" s="9">
        <f t="shared" si="52"/>
        <v>4.6133752980602023E-2</v>
      </c>
      <c r="G1154" s="9">
        <f t="shared" si="53"/>
        <v>8.2161143279038638E-3</v>
      </c>
    </row>
    <row r="1155" spans="1:7" x14ac:dyDescent="0.2">
      <c r="A1155" s="12">
        <v>38813</v>
      </c>
      <c r="B1155" s="9">
        <v>2724.49</v>
      </c>
      <c r="C1155" s="9">
        <v>2709.71</v>
      </c>
      <c r="D1155" s="9">
        <v>2716</v>
      </c>
      <c r="E1155" s="9">
        <f t="shared" si="51"/>
        <v>-2.208887098035828E-4</v>
      </c>
      <c r="F1155" s="9">
        <f t="shared" si="52"/>
        <v>4.3814162961941482E-2</v>
      </c>
      <c r="G1155" s="9">
        <f t="shared" si="53"/>
        <v>8.2215664511272584E-3</v>
      </c>
    </row>
    <row r="1156" spans="1:7" x14ac:dyDescent="0.2">
      <c r="A1156" s="12">
        <v>38814</v>
      </c>
      <c r="B1156" s="9">
        <v>2723.66</v>
      </c>
      <c r="C1156" s="9">
        <v>2700.71</v>
      </c>
      <c r="D1156" s="9">
        <v>2703.54</v>
      </c>
      <c r="E1156" s="9">
        <f t="shared" ref="E1156:E1219" si="54">LN(D1156/D1155)</f>
        <v>-4.5981843306939748E-3</v>
      </c>
      <c r="F1156" s="9">
        <f t="shared" si="52"/>
        <v>3.4464956554391385E-2</v>
      </c>
      <c r="G1156" s="9">
        <f t="shared" si="53"/>
        <v>8.269588036039284E-3</v>
      </c>
    </row>
    <row r="1157" spans="1:7" x14ac:dyDescent="0.2">
      <c r="A1157" s="12">
        <v>38817</v>
      </c>
      <c r="B1157" s="9">
        <v>2702.78</v>
      </c>
      <c r="C1157" s="9">
        <v>2691.91</v>
      </c>
      <c r="D1157" s="9">
        <v>2698.86</v>
      </c>
      <c r="E1157" s="9">
        <f t="shared" si="54"/>
        <v>-1.7325637385950236E-3</v>
      </c>
      <c r="F1157" s="9">
        <f t="shared" si="52"/>
        <v>2.9670411146272301E-2</v>
      </c>
      <c r="G1157" s="9">
        <f t="shared" si="53"/>
        <v>8.2776653076298366E-3</v>
      </c>
    </row>
    <row r="1158" spans="1:7" x14ac:dyDescent="0.2">
      <c r="A1158" s="12">
        <v>38818</v>
      </c>
      <c r="B1158" s="9">
        <v>2710.66</v>
      </c>
      <c r="C1158" s="9">
        <v>2688.85</v>
      </c>
      <c r="D1158" s="9">
        <v>2688.85</v>
      </c>
      <c r="E1158" s="9">
        <f t="shared" si="54"/>
        <v>-3.7158687152442213E-3</v>
      </c>
      <c r="F1158" s="9">
        <f t="shared" si="52"/>
        <v>4.595116096935193E-2</v>
      </c>
      <c r="G1158" s="9">
        <f t="shared" si="53"/>
        <v>7.3343224217263395E-3</v>
      </c>
    </row>
    <row r="1159" spans="1:7" x14ac:dyDescent="0.2">
      <c r="A1159" s="12">
        <v>38819</v>
      </c>
      <c r="B1159" s="9">
        <v>2690.24</v>
      </c>
      <c r="C1159" s="9">
        <v>2665.7</v>
      </c>
      <c r="D1159" s="9">
        <v>2673.08</v>
      </c>
      <c r="E1159" s="9">
        <f t="shared" si="54"/>
        <v>-5.8822272841779696E-3</v>
      </c>
      <c r="F1159" s="9">
        <f t="shared" si="52"/>
        <v>3.5480727135311245E-2</v>
      </c>
      <c r="G1159" s="9">
        <f t="shared" si="53"/>
        <v>7.4323295211408845E-3</v>
      </c>
    </row>
    <row r="1160" spans="1:7" x14ac:dyDescent="0.2">
      <c r="A1160" s="12">
        <v>38820</v>
      </c>
      <c r="B1160" s="9">
        <v>2684.48</v>
      </c>
      <c r="C1160" s="9">
        <v>2668.92</v>
      </c>
      <c r="D1160" s="9">
        <v>2682.97</v>
      </c>
      <c r="E1160" s="9">
        <f t="shared" si="54"/>
        <v>3.693024240003439E-3</v>
      </c>
      <c r="F1160" s="9">
        <f t="shared" si="52"/>
        <v>4.3018490960613449E-2</v>
      </c>
      <c r="G1160" s="9">
        <f t="shared" si="53"/>
        <v>7.3837634733705075E-3</v>
      </c>
    </row>
    <row r="1161" spans="1:7" x14ac:dyDescent="0.2">
      <c r="A1161" s="12">
        <v>38825</v>
      </c>
      <c r="B1161" s="9">
        <v>2686.35</v>
      </c>
      <c r="C1161" s="9">
        <v>2671.23</v>
      </c>
      <c r="D1161" s="9">
        <v>2678.37</v>
      </c>
      <c r="E1161" s="9">
        <f t="shared" si="54"/>
        <v>-1.715989334297273E-3</v>
      </c>
      <c r="F1161" s="9">
        <f t="shared" si="52"/>
        <v>4.0318550067795209E-2</v>
      </c>
      <c r="G1161" s="9">
        <f t="shared" si="53"/>
        <v>7.4058587155228263E-3</v>
      </c>
    </row>
    <row r="1162" spans="1:7" x14ac:dyDescent="0.2">
      <c r="A1162" s="12">
        <v>38826</v>
      </c>
      <c r="B1162" s="9">
        <v>2719.28</v>
      </c>
      <c r="C1162" s="9">
        <v>2681.59</v>
      </c>
      <c r="D1162" s="9">
        <v>2718.97</v>
      </c>
      <c r="E1162" s="9">
        <f t="shared" si="54"/>
        <v>1.5044731587832807E-2</v>
      </c>
      <c r="F1162" s="9">
        <f t="shared" si="52"/>
        <v>4.9329116352771978E-2</v>
      </c>
      <c r="G1162" s="9">
        <f t="shared" si="53"/>
        <v>7.7760961730344528E-3</v>
      </c>
    </row>
    <row r="1163" spans="1:7" x14ac:dyDescent="0.2">
      <c r="A1163" s="12">
        <v>38827</v>
      </c>
      <c r="B1163" s="9">
        <v>2774.36</v>
      </c>
      <c r="C1163" s="9">
        <v>2719.86</v>
      </c>
      <c r="D1163" s="9">
        <v>2761.8</v>
      </c>
      <c r="E1163" s="9">
        <f t="shared" si="54"/>
        <v>1.5629508947836265E-2</v>
      </c>
      <c r="F1163" s="9">
        <f t="shared" si="52"/>
        <v>6.4927715071638206E-2</v>
      </c>
      <c r="G1163" s="9">
        <f t="shared" si="53"/>
        <v>8.1757312403285438E-3</v>
      </c>
    </row>
    <row r="1164" spans="1:7" x14ac:dyDescent="0.2">
      <c r="A1164" s="12">
        <v>38828</v>
      </c>
      <c r="B1164" s="9">
        <v>2794.92</v>
      </c>
      <c r="C1164" s="9">
        <v>2763.57</v>
      </c>
      <c r="D1164" s="9">
        <v>2788.31</v>
      </c>
      <c r="E1164" s="9">
        <f t="shared" si="54"/>
        <v>9.5530364657134097E-3</v>
      </c>
      <c r="F1164" s="9">
        <f t="shared" si="52"/>
        <v>6.62157328850978E-2</v>
      </c>
      <c r="G1164" s="9">
        <f t="shared" si="53"/>
        <v>8.2121741572168724E-3</v>
      </c>
    </row>
    <row r="1165" spans="1:7" x14ac:dyDescent="0.2">
      <c r="A1165" s="12">
        <v>38831</v>
      </c>
      <c r="B1165" s="9">
        <v>2795.05</v>
      </c>
      <c r="C1165" s="9">
        <v>2780.4</v>
      </c>
      <c r="D1165" s="9">
        <v>2787.76</v>
      </c>
      <c r="E1165" s="9">
        <f t="shared" si="54"/>
        <v>-1.9727155569540359E-4</v>
      </c>
      <c r="F1165" s="9">
        <f t="shared" si="52"/>
        <v>4.8895451371762252E-2</v>
      </c>
      <c r="G1165" s="9">
        <f t="shared" si="53"/>
        <v>7.7215649146676153E-3</v>
      </c>
    </row>
    <row r="1166" spans="1:7" x14ac:dyDescent="0.2">
      <c r="A1166" s="12">
        <v>38832</v>
      </c>
      <c r="B1166" s="9">
        <v>2818.91</v>
      </c>
      <c r="C1166" s="9">
        <v>2753.63</v>
      </c>
      <c r="D1166" s="9">
        <v>2759.6</v>
      </c>
      <c r="E1166" s="9">
        <f t="shared" si="54"/>
        <v>-1.0152664289315196E-2</v>
      </c>
      <c r="F1166" s="9">
        <f t="shared" si="52"/>
        <v>3.4607800380820633E-2</v>
      </c>
      <c r="G1166" s="9">
        <f t="shared" si="53"/>
        <v>7.9974170362124095E-3</v>
      </c>
    </row>
    <row r="1167" spans="1:7" x14ac:dyDescent="0.2">
      <c r="A1167" s="12">
        <v>38833</v>
      </c>
      <c r="B1167" s="9">
        <v>2762.52</v>
      </c>
      <c r="C1167" s="9">
        <v>2735.35</v>
      </c>
      <c r="D1167" s="9">
        <v>2751.41</v>
      </c>
      <c r="E1167" s="9">
        <f t="shared" si="54"/>
        <v>-2.9722341383245769E-3</v>
      </c>
      <c r="F1167" s="9">
        <f t="shared" si="52"/>
        <v>3.0327212650486796E-2</v>
      </c>
      <c r="G1167" s="9">
        <f t="shared" si="53"/>
        <v>8.0326691122391547E-3</v>
      </c>
    </row>
    <row r="1168" spans="1:7" x14ac:dyDescent="0.2">
      <c r="A1168" s="12">
        <v>38834</v>
      </c>
      <c r="B1168" s="9">
        <v>2751.95</v>
      </c>
      <c r="C1168" s="9">
        <v>2686.46</v>
      </c>
      <c r="D1168" s="9">
        <v>2701.58</v>
      </c>
      <c r="E1168" s="9">
        <f t="shared" si="54"/>
        <v>-1.8276720510105884E-2</v>
      </c>
      <c r="F1168" s="9">
        <f t="shared" si="52"/>
        <v>1.9155284025478253E-3</v>
      </c>
      <c r="G1168" s="9">
        <f t="shared" si="53"/>
        <v>8.5763229149602091E-3</v>
      </c>
    </row>
    <row r="1169" spans="1:7" x14ac:dyDescent="0.2">
      <c r="A1169" s="12">
        <v>38835</v>
      </c>
      <c r="B1169" s="9">
        <v>2700.45</v>
      </c>
      <c r="C1169" s="9">
        <v>2659.73</v>
      </c>
      <c r="D1169" s="9">
        <v>2668.35</v>
      </c>
      <c r="E1169" s="9">
        <f t="shared" si="54"/>
        <v>-1.237648318413468E-2</v>
      </c>
      <c r="F1169" s="9">
        <f t="shared" si="52"/>
        <v>-8.8389666558489361E-3</v>
      </c>
      <c r="G1169" s="9">
        <f t="shared" si="53"/>
        <v>8.8689903051507243E-3</v>
      </c>
    </row>
    <row r="1170" spans="1:7" x14ac:dyDescent="0.2">
      <c r="A1170" s="12">
        <v>38839</v>
      </c>
      <c r="B1170" s="9">
        <v>2698.13</v>
      </c>
      <c r="C1170" s="9">
        <v>2670.82</v>
      </c>
      <c r="D1170" s="9">
        <v>2696.15</v>
      </c>
      <c r="E1170" s="9">
        <f t="shared" si="54"/>
        <v>1.0364525627269935E-2</v>
      </c>
      <c r="F1170" s="9">
        <f t="shared" si="52"/>
        <v>-4.0531217287222273E-3</v>
      </c>
      <c r="G1170" s="9">
        <f t="shared" si="53"/>
        <v>9.020033347805604E-3</v>
      </c>
    </row>
    <row r="1171" spans="1:7" x14ac:dyDescent="0.2">
      <c r="A1171" s="12">
        <v>38840</v>
      </c>
      <c r="B1171" s="9">
        <v>2710.19</v>
      </c>
      <c r="C1171" s="9">
        <v>2677.64</v>
      </c>
      <c r="D1171" s="9">
        <v>2679.05</v>
      </c>
      <c r="E1171" s="9">
        <f t="shared" si="54"/>
        <v>-6.3625754157361231E-3</v>
      </c>
      <c r="F1171" s="9">
        <f t="shared" si="52"/>
        <v>-1.4515000253571685E-2</v>
      </c>
      <c r="G1171" s="9">
        <f t="shared" si="53"/>
        <v>9.0528560521426597E-3</v>
      </c>
    </row>
    <row r="1172" spans="1:7" x14ac:dyDescent="0.2">
      <c r="A1172" s="12">
        <v>38841</v>
      </c>
      <c r="B1172" s="9">
        <v>2711.54</v>
      </c>
      <c r="C1172" s="9">
        <v>2679.02</v>
      </c>
      <c r="D1172" s="9">
        <v>2710.93</v>
      </c>
      <c r="E1172" s="9">
        <f t="shared" si="54"/>
        <v>1.1829495384024637E-2</v>
      </c>
      <c r="F1172" s="9">
        <f t="shared" si="52"/>
        <v>-8.3459630973077795E-3</v>
      </c>
      <c r="G1172" s="9">
        <f t="shared" si="53"/>
        <v>9.2648186174764686E-3</v>
      </c>
    </row>
    <row r="1173" spans="1:7" x14ac:dyDescent="0.2">
      <c r="A1173" s="12">
        <v>38842</v>
      </c>
      <c r="B1173" s="9">
        <v>2725.88</v>
      </c>
      <c r="C1173" s="9">
        <v>2710.64</v>
      </c>
      <c r="D1173" s="9">
        <v>2725.82</v>
      </c>
      <c r="E1173" s="9">
        <f t="shared" si="54"/>
        <v>5.4775508270207829E-3</v>
      </c>
      <c r="F1173" s="9">
        <f t="shared" si="52"/>
        <v>-5.6921429662769897E-3</v>
      </c>
      <c r="G1173" s="9">
        <f t="shared" si="53"/>
        <v>9.3080258004046741E-3</v>
      </c>
    </row>
    <row r="1174" spans="1:7" x14ac:dyDescent="0.2">
      <c r="A1174" s="12">
        <v>38845</v>
      </c>
      <c r="B1174" s="9">
        <v>2743.31</v>
      </c>
      <c r="C1174" s="9">
        <v>2718.72</v>
      </c>
      <c r="D1174" s="9">
        <v>2722.43</v>
      </c>
      <c r="E1174" s="9">
        <f t="shared" si="54"/>
        <v>-1.2444364474780037E-3</v>
      </c>
      <c r="F1174" s="9">
        <f t="shared" si="52"/>
        <v>4.1556531884830239E-3</v>
      </c>
      <c r="G1174" s="9">
        <f t="shared" si="53"/>
        <v>9.0811596377755599E-3</v>
      </c>
    </row>
    <row r="1175" spans="1:7" x14ac:dyDescent="0.2">
      <c r="A1175" s="12">
        <v>38846</v>
      </c>
      <c r="B1175" s="9">
        <v>2740.48</v>
      </c>
      <c r="C1175" s="9">
        <v>2720.49</v>
      </c>
      <c r="D1175" s="9">
        <v>2732.74</v>
      </c>
      <c r="E1175" s="9">
        <f t="shared" si="54"/>
        <v>3.779905035222529E-3</v>
      </c>
      <c r="F1175" s="9">
        <f t="shared" si="52"/>
        <v>1.6232086475060626E-2</v>
      </c>
      <c r="G1175" s="9">
        <f t="shared" si="53"/>
        <v>8.9612280031759195E-3</v>
      </c>
    </row>
    <row r="1176" spans="1:7" x14ac:dyDescent="0.2">
      <c r="A1176" s="12">
        <v>38847</v>
      </c>
      <c r="B1176" s="9">
        <v>2741.42</v>
      </c>
      <c r="C1176" s="9">
        <v>2709.17</v>
      </c>
      <c r="D1176" s="9">
        <v>2712.22</v>
      </c>
      <c r="E1176" s="9">
        <f t="shared" si="54"/>
        <v>-7.5372811355990605E-3</v>
      </c>
      <c r="F1176" s="9">
        <f t="shared" si="52"/>
        <v>3.4015208514641048E-3</v>
      </c>
      <c r="G1176" s="9">
        <f t="shared" si="53"/>
        <v>9.0324956803348611E-3</v>
      </c>
    </row>
    <row r="1177" spans="1:7" x14ac:dyDescent="0.2">
      <c r="A1177" s="12">
        <v>38848</v>
      </c>
      <c r="B1177" s="9">
        <v>2721.09</v>
      </c>
      <c r="C1177" s="9">
        <v>2687.35</v>
      </c>
      <c r="D1177" s="9">
        <v>2687.35</v>
      </c>
      <c r="E1177" s="9">
        <f t="shared" si="54"/>
        <v>-9.211909789339931E-3</v>
      </c>
      <c r="F1177" s="9">
        <f t="shared" si="52"/>
        <v>-4.0033625220055073E-3</v>
      </c>
      <c r="G1177" s="9">
        <f t="shared" si="53"/>
        <v>9.1866446418551757E-3</v>
      </c>
    </row>
    <row r="1178" spans="1:7" x14ac:dyDescent="0.2">
      <c r="A1178" s="12">
        <v>38849</v>
      </c>
      <c r="B1178" s="9">
        <v>2683.97</v>
      </c>
      <c r="C1178" s="9">
        <v>2605.77</v>
      </c>
      <c r="D1178" s="9">
        <v>2605.94</v>
      </c>
      <c r="E1178" s="9">
        <f t="shared" si="54"/>
        <v>-3.0762123296285266E-2</v>
      </c>
      <c r="F1178" s="9">
        <f t="shared" si="52"/>
        <v>-2.1194103486004263E-2</v>
      </c>
      <c r="G1178" s="9">
        <f t="shared" si="53"/>
        <v>1.0496511398149621E-2</v>
      </c>
    </row>
    <row r="1179" spans="1:7" x14ac:dyDescent="0.2">
      <c r="A1179" s="12">
        <v>38852</v>
      </c>
      <c r="B1179" s="9">
        <v>2604.7600000000002</v>
      </c>
      <c r="C1179" s="9">
        <v>2535.9</v>
      </c>
      <c r="D1179" s="9">
        <v>2571.8000000000002</v>
      </c>
      <c r="E1179" s="9">
        <f t="shared" si="54"/>
        <v>-1.318741179214932E-2</v>
      </c>
      <c r="F1179" s="9">
        <f t="shared" si="52"/>
        <v>-4.4663738465877616E-2</v>
      </c>
      <c r="G1179" s="9">
        <f t="shared" si="53"/>
        <v>1.0523844070852419E-2</v>
      </c>
    </row>
    <row r="1180" spans="1:7" x14ac:dyDescent="0.2">
      <c r="A1180" s="12">
        <v>38853</v>
      </c>
      <c r="B1180" s="9">
        <v>2583.84</v>
      </c>
      <c r="C1180" s="9">
        <v>2551.2199999999998</v>
      </c>
      <c r="D1180" s="9">
        <v>2574.37</v>
      </c>
      <c r="E1180" s="9">
        <f t="shared" si="54"/>
        <v>9.9880113313518658E-4</v>
      </c>
      <c r="F1180" s="9">
        <f t="shared" si="52"/>
        <v>-5.9904826418448728E-2</v>
      </c>
      <c r="G1180" s="9">
        <f t="shared" si="53"/>
        <v>9.9929742730600398E-3</v>
      </c>
    </row>
    <row r="1181" spans="1:7" x14ac:dyDescent="0.2">
      <c r="A1181" s="12">
        <v>38854</v>
      </c>
      <c r="B1181" s="9">
        <v>2597.4899999999998</v>
      </c>
      <c r="C1181" s="9">
        <v>2486.6799999999998</v>
      </c>
      <c r="D1181" s="9">
        <v>2493.1799999999998</v>
      </c>
      <c r="E1181" s="9">
        <f t="shared" si="54"/>
        <v>-3.2045839886301927E-2</v>
      </c>
      <c r="F1181" s="9">
        <f t="shared" si="52"/>
        <v>-8.3987238165570827E-2</v>
      </c>
      <c r="G1181" s="9">
        <f t="shared" si="53"/>
        <v>1.1362274609245502E-2</v>
      </c>
    </row>
    <row r="1182" spans="1:7" x14ac:dyDescent="0.2">
      <c r="A1182" s="12">
        <v>38855</v>
      </c>
      <c r="B1182" s="9">
        <v>2493.92</v>
      </c>
      <c r="C1182" s="9">
        <v>2415.1</v>
      </c>
      <c r="D1182" s="9">
        <v>2442.4499999999998</v>
      </c>
      <c r="E1182" s="9">
        <f t="shared" si="54"/>
        <v>-2.0557370204833048E-2</v>
      </c>
      <c r="F1182" s="9">
        <f t="shared" si="52"/>
        <v>-0.11075770375590083</v>
      </c>
      <c r="G1182" s="9">
        <f t="shared" si="53"/>
        <v>1.1676914646956924E-2</v>
      </c>
    </row>
    <row r="1183" spans="1:7" x14ac:dyDescent="0.2">
      <c r="A1183" s="12">
        <v>38856</v>
      </c>
      <c r="B1183" s="9">
        <v>2468.2399999999998</v>
      </c>
      <c r="C1183" s="9">
        <v>2426.4</v>
      </c>
      <c r="D1183" s="9">
        <v>2434.15</v>
      </c>
      <c r="E1183" s="9">
        <f t="shared" si="54"/>
        <v>-3.404014278208801E-3</v>
      </c>
      <c r="F1183" s="9">
        <f t="shared" si="52"/>
        <v>-0.10662750637168908</v>
      </c>
      <c r="G1183" s="9">
        <f t="shared" si="53"/>
        <v>1.165437734822602E-2</v>
      </c>
    </row>
    <row r="1184" spans="1:7" x14ac:dyDescent="0.2">
      <c r="A1184" s="12">
        <v>38859</v>
      </c>
      <c r="B1184" s="9">
        <v>2434.15</v>
      </c>
      <c r="C1184" s="9">
        <v>2323.12</v>
      </c>
      <c r="D1184" s="9">
        <v>2329.89</v>
      </c>
      <c r="E1184" s="9">
        <f t="shared" si="54"/>
        <v>-4.3776563455254359E-2</v>
      </c>
      <c r="F1184" s="9">
        <f t="shared" si="52"/>
        <v>-0.15356004224351469</v>
      </c>
      <c r="G1184" s="9">
        <f t="shared" si="53"/>
        <v>1.3694066330553086E-2</v>
      </c>
    </row>
    <row r="1185" spans="1:7" x14ac:dyDescent="0.2">
      <c r="A1185" s="12">
        <v>38860</v>
      </c>
      <c r="B1185" s="9">
        <v>2436.04</v>
      </c>
      <c r="C1185" s="9">
        <v>2332.39</v>
      </c>
      <c r="D1185" s="9">
        <v>2425.29</v>
      </c>
      <c r="E1185" s="9">
        <f t="shared" si="54"/>
        <v>4.0130048705543285E-2</v>
      </c>
      <c r="F1185" s="9">
        <f t="shared" ref="F1185:F1248" si="55">LN(D1185/D1155)</f>
        <v>-0.11320910482816765</v>
      </c>
      <c r="G1185" s="9">
        <f t="shared" ref="G1185:G1248" si="56">STDEV(E1156:E1185)</f>
        <v>1.598218942230608E-2</v>
      </c>
    </row>
    <row r="1186" spans="1:7" x14ac:dyDescent="0.2">
      <c r="A1186" s="12">
        <v>38861</v>
      </c>
      <c r="B1186" s="9">
        <v>2455.73</v>
      </c>
      <c r="C1186" s="9">
        <v>2387.87</v>
      </c>
      <c r="D1186" s="9">
        <v>2409.14</v>
      </c>
      <c r="E1186" s="9">
        <f t="shared" si="54"/>
        <v>-6.6812675236010317E-3</v>
      </c>
      <c r="F1186" s="9">
        <f t="shared" si="55"/>
        <v>-0.11529218802107484</v>
      </c>
      <c r="G1186" s="9">
        <f t="shared" si="56"/>
        <v>1.5990418229717161E-2</v>
      </c>
    </row>
    <row r="1187" spans="1:7" x14ac:dyDescent="0.2">
      <c r="A1187" s="12">
        <v>38863</v>
      </c>
      <c r="B1187" s="9">
        <v>2492.71</v>
      </c>
      <c r="C1187" s="9">
        <v>2413.5500000000002</v>
      </c>
      <c r="D1187" s="9">
        <v>2492.71</v>
      </c>
      <c r="E1187" s="9">
        <f t="shared" si="54"/>
        <v>3.4100634718385966E-2</v>
      </c>
      <c r="F1187" s="9">
        <f t="shared" si="55"/>
        <v>-7.9458989564093835E-2</v>
      </c>
      <c r="G1187" s="9">
        <f t="shared" si="56"/>
        <v>1.7427268444143898E-2</v>
      </c>
    </row>
    <row r="1188" spans="1:7" x14ac:dyDescent="0.2">
      <c r="A1188" s="12">
        <v>38866</v>
      </c>
      <c r="B1188" s="9">
        <v>2514.46</v>
      </c>
      <c r="C1188" s="9">
        <v>2488.02</v>
      </c>
      <c r="D1188" s="9">
        <v>2492.52</v>
      </c>
      <c r="E1188" s="9">
        <f t="shared" si="54"/>
        <v>-7.6225169186578534E-5</v>
      </c>
      <c r="F1188" s="9">
        <f t="shared" si="55"/>
        <v>-7.5819346018036207E-2</v>
      </c>
      <c r="G1188" s="9">
        <f t="shared" si="56"/>
        <v>1.7432250730436829E-2</v>
      </c>
    </row>
    <row r="1189" spans="1:7" x14ac:dyDescent="0.2">
      <c r="A1189" s="12">
        <v>38867</v>
      </c>
      <c r="B1189" s="9">
        <v>2502.48</v>
      </c>
      <c r="C1189" s="9">
        <v>2436.1799999999998</v>
      </c>
      <c r="D1189" s="9">
        <v>2437.39</v>
      </c>
      <c r="E1189" s="9">
        <f t="shared" si="54"/>
        <v>-2.2366452227451435E-2</v>
      </c>
      <c r="F1189" s="9">
        <f t="shared" si="55"/>
        <v>-9.2303570961309783E-2</v>
      </c>
      <c r="G1189" s="9">
        <f t="shared" si="56"/>
        <v>1.7797613156872637E-2</v>
      </c>
    </row>
    <row r="1190" spans="1:7" x14ac:dyDescent="0.2">
      <c r="A1190" s="12">
        <v>38868</v>
      </c>
      <c r="B1190" s="9">
        <v>2473.7399999999998</v>
      </c>
      <c r="C1190" s="9">
        <v>2386.87</v>
      </c>
      <c r="D1190" s="9">
        <v>2460.48</v>
      </c>
      <c r="E1190" s="9">
        <f t="shared" si="54"/>
        <v>9.4286581952501697E-3</v>
      </c>
      <c r="F1190" s="9">
        <f t="shared" si="55"/>
        <v>-8.6567937006062981E-2</v>
      </c>
      <c r="G1190" s="9">
        <f t="shared" si="56"/>
        <v>1.790333739405784E-2</v>
      </c>
    </row>
    <row r="1191" spans="1:7" x14ac:dyDescent="0.2">
      <c r="A1191" s="12">
        <v>38869</v>
      </c>
      <c r="B1191" s="9">
        <v>2487.73</v>
      </c>
      <c r="C1191" s="9">
        <v>2448.27</v>
      </c>
      <c r="D1191" s="9">
        <v>2485.59</v>
      </c>
      <c r="E1191" s="9">
        <f t="shared" si="54"/>
        <v>1.0153603053449518E-2</v>
      </c>
      <c r="F1191" s="9">
        <f t="shared" si="55"/>
        <v>-7.4698344618316287E-2</v>
      </c>
      <c r="G1191" s="9">
        <f t="shared" si="56"/>
        <v>1.8060541617541195E-2</v>
      </c>
    </row>
    <row r="1192" spans="1:7" x14ac:dyDescent="0.2">
      <c r="A1192" s="12">
        <v>38870</v>
      </c>
      <c r="B1192" s="9">
        <v>2531.09</v>
      </c>
      <c r="C1192" s="9">
        <v>2489.85</v>
      </c>
      <c r="D1192" s="9">
        <v>2494.56</v>
      </c>
      <c r="E1192" s="9">
        <f t="shared" si="54"/>
        <v>3.6023050309758513E-3</v>
      </c>
      <c r="F1192" s="9">
        <f t="shared" si="55"/>
        <v>-8.6140771175173256E-2</v>
      </c>
      <c r="G1192" s="9">
        <f t="shared" si="56"/>
        <v>1.7796355757687263E-2</v>
      </c>
    </row>
    <row r="1193" spans="1:7" x14ac:dyDescent="0.2">
      <c r="A1193" s="12">
        <v>38873</v>
      </c>
      <c r="B1193" s="9">
        <v>2501.0500000000002</v>
      </c>
      <c r="C1193" s="9">
        <v>2474.61</v>
      </c>
      <c r="D1193" s="9">
        <v>2479.9699999999998</v>
      </c>
      <c r="E1193" s="9">
        <f t="shared" si="54"/>
        <v>-5.8658976165737661E-3</v>
      </c>
      <c r="F1193" s="9">
        <f t="shared" si="55"/>
        <v>-0.10763617773958316</v>
      </c>
      <c r="G1193" s="9">
        <f t="shared" si="56"/>
        <v>1.7455244705638001E-2</v>
      </c>
    </row>
    <row r="1194" spans="1:7" x14ac:dyDescent="0.2">
      <c r="A1194" s="12">
        <v>38874</v>
      </c>
      <c r="B1194" s="9">
        <v>2474.39</v>
      </c>
      <c r="C1194" s="9">
        <v>2383.52</v>
      </c>
      <c r="D1194" s="9">
        <v>2391.36</v>
      </c>
      <c r="E1194" s="9">
        <f t="shared" si="54"/>
        <v>-3.6384221569742289E-2</v>
      </c>
      <c r="F1194" s="9">
        <f t="shared" si="55"/>
        <v>-0.15357343577503885</v>
      </c>
      <c r="G1194" s="9">
        <f t="shared" si="56"/>
        <v>1.8259109605407414E-2</v>
      </c>
    </row>
    <row r="1195" spans="1:7" x14ac:dyDescent="0.2">
      <c r="A1195" s="12">
        <v>38875</v>
      </c>
      <c r="B1195" s="9">
        <v>2421.04</v>
      </c>
      <c r="C1195" s="9">
        <v>2387.71</v>
      </c>
      <c r="D1195" s="9">
        <v>2395.7199999999998</v>
      </c>
      <c r="E1195" s="9">
        <f t="shared" si="54"/>
        <v>1.8215702288586237E-3</v>
      </c>
      <c r="F1195" s="9">
        <f t="shared" si="55"/>
        <v>-0.15155459399048471</v>
      </c>
      <c r="G1195" s="9">
        <f t="shared" si="56"/>
        <v>1.8281581208609413E-2</v>
      </c>
    </row>
    <row r="1196" spans="1:7" x14ac:dyDescent="0.2">
      <c r="A1196" s="12">
        <v>38876</v>
      </c>
      <c r="B1196" s="9">
        <v>2390.42</v>
      </c>
      <c r="C1196" s="9">
        <v>2317.61</v>
      </c>
      <c r="D1196" s="9">
        <v>2318.29</v>
      </c>
      <c r="E1196" s="9">
        <f t="shared" si="54"/>
        <v>-3.2853967044825454E-2</v>
      </c>
      <c r="F1196" s="9">
        <f t="shared" si="55"/>
        <v>-0.17425589674599501</v>
      </c>
      <c r="G1196" s="9">
        <f t="shared" si="56"/>
        <v>1.8957331949954654E-2</v>
      </c>
    </row>
    <row r="1197" spans="1:7" x14ac:dyDescent="0.2">
      <c r="A1197" s="12">
        <v>38877</v>
      </c>
      <c r="B1197" s="9">
        <v>2384.9</v>
      </c>
      <c r="C1197" s="9">
        <v>2324.7600000000002</v>
      </c>
      <c r="D1197" s="9">
        <v>2355.1</v>
      </c>
      <c r="E1197" s="9">
        <f t="shared" si="54"/>
        <v>1.5753344468049043E-2</v>
      </c>
      <c r="F1197" s="9">
        <f t="shared" si="55"/>
        <v>-0.1555303181396214</v>
      </c>
      <c r="G1197" s="9">
        <f t="shared" si="56"/>
        <v>1.9357983485679173E-2</v>
      </c>
    </row>
    <row r="1198" spans="1:7" x14ac:dyDescent="0.2">
      <c r="A1198" s="12">
        <v>38880</v>
      </c>
      <c r="B1198" s="9">
        <v>2361.13</v>
      </c>
      <c r="C1198" s="9">
        <v>2313.87</v>
      </c>
      <c r="D1198" s="9">
        <v>2319.02</v>
      </c>
      <c r="E1198" s="9">
        <f t="shared" si="54"/>
        <v>-1.5438506768593959E-2</v>
      </c>
      <c r="F1198" s="9">
        <f t="shared" si="55"/>
        <v>-0.15269210439810946</v>
      </c>
      <c r="G1198" s="9">
        <f t="shared" si="56"/>
        <v>1.9298636033750496E-2</v>
      </c>
    </row>
    <row r="1199" spans="1:7" x14ac:dyDescent="0.2">
      <c r="A1199" s="12">
        <v>38881</v>
      </c>
      <c r="B1199" s="9">
        <v>2314.75</v>
      </c>
      <c r="C1199" s="9">
        <v>2220.92</v>
      </c>
      <c r="D1199" s="9">
        <v>2243.21</v>
      </c>
      <c r="E1199" s="9">
        <f t="shared" si="54"/>
        <v>-3.3236806877818138E-2</v>
      </c>
      <c r="F1199" s="9">
        <f t="shared" si="55"/>
        <v>-0.17355242809179289</v>
      </c>
      <c r="G1199" s="9">
        <f t="shared" si="56"/>
        <v>1.9935533175878862E-2</v>
      </c>
    </row>
    <row r="1200" spans="1:7" x14ac:dyDescent="0.2">
      <c r="A1200" s="12">
        <v>38882</v>
      </c>
      <c r="B1200" s="9">
        <v>2269.04</v>
      </c>
      <c r="C1200" s="9">
        <v>2229.23</v>
      </c>
      <c r="D1200" s="9">
        <v>2258.63</v>
      </c>
      <c r="E1200" s="9">
        <f t="shared" si="54"/>
        <v>6.8505590181823341E-3</v>
      </c>
      <c r="F1200" s="9">
        <f t="shared" si="55"/>
        <v>-0.17706639470088054</v>
      </c>
      <c r="G1200" s="9">
        <f t="shared" si="56"/>
        <v>1.9847502243077474E-2</v>
      </c>
    </row>
    <row r="1201" spans="1:7" x14ac:dyDescent="0.2">
      <c r="A1201" s="12">
        <v>38883</v>
      </c>
      <c r="B1201" s="9">
        <v>2329.4</v>
      </c>
      <c r="C1201" s="9">
        <v>2261.14</v>
      </c>
      <c r="D1201" s="9">
        <v>2326.08</v>
      </c>
      <c r="E1201" s="9">
        <f t="shared" si="54"/>
        <v>2.9426012530492703E-2</v>
      </c>
      <c r="F1201" s="9">
        <f t="shared" si="55"/>
        <v>-0.14127780675465171</v>
      </c>
      <c r="G1201" s="9">
        <f t="shared" si="56"/>
        <v>2.0868186072938895E-2</v>
      </c>
    </row>
    <row r="1202" spans="1:7" x14ac:dyDescent="0.2">
      <c r="A1202" s="12">
        <v>38884</v>
      </c>
      <c r="B1202" s="9">
        <v>2380.98</v>
      </c>
      <c r="C1202" s="9">
        <v>2305.08</v>
      </c>
      <c r="D1202" s="9">
        <v>2306.15</v>
      </c>
      <c r="E1202" s="9">
        <f t="shared" si="54"/>
        <v>-8.6049798811283426E-3</v>
      </c>
      <c r="F1202" s="9">
        <f t="shared" si="55"/>
        <v>-0.16171228201980464</v>
      </c>
      <c r="G1202" s="9">
        <f t="shared" si="56"/>
        <v>2.0642007535545712E-2</v>
      </c>
    </row>
    <row r="1203" spans="1:7" x14ac:dyDescent="0.2">
      <c r="A1203" s="12">
        <v>38887</v>
      </c>
      <c r="B1203" s="9">
        <v>2346.63</v>
      </c>
      <c r="C1203" s="9">
        <v>2312.21</v>
      </c>
      <c r="D1203" s="9">
        <v>2333.15</v>
      </c>
      <c r="E1203" s="9">
        <f t="shared" si="54"/>
        <v>1.1639818438730548E-2</v>
      </c>
      <c r="F1203" s="9">
        <f t="shared" si="55"/>
        <v>-0.15555001440809491</v>
      </c>
      <c r="G1203" s="9">
        <f t="shared" si="56"/>
        <v>2.0784055637752104E-2</v>
      </c>
    </row>
    <row r="1204" spans="1:7" x14ac:dyDescent="0.2">
      <c r="A1204" s="12">
        <v>38888</v>
      </c>
      <c r="B1204" s="9">
        <v>2341.7800000000002</v>
      </c>
      <c r="C1204" s="9">
        <v>2308.67</v>
      </c>
      <c r="D1204" s="9">
        <v>2334.04</v>
      </c>
      <c r="E1204" s="9">
        <f t="shared" si="54"/>
        <v>3.8138580635789477E-4</v>
      </c>
      <c r="F1204" s="9">
        <f t="shared" si="55"/>
        <v>-0.15392419215425898</v>
      </c>
      <c r="G1204" s="9">
        <f t="shared" si="56"/>
        <v>2.0796800645278415E-2</v>
      </c>
    </row>
    <row r="1205" spans="1:7" x14ac:dyDescent="0.2">
      <c r="A1205" s="12">
        <v>38889</v>
      </c>
      <c r="B1205" s="9">
        <v>2346.9299999999998</v>
      </c>
      <c r="C1205" s="9">
        <v>2321.27</v>
      </c>
      <c r="D1205" s="9">
        <v>2345.9499999999998</v>
      </c>
      <c r="E1205" s="9">
        <f t="shared" si="54"/>
        <v>5.0897654530921623E-3</v>
      </c>
      <c r="F1205" s="9">
        <f t="shared" si="55"/>
        <v>-0.15261433173638927</v>
      </c>
      <c r="G1205" s="9">
        <f t="shared" si="56"/>
        <v>2.0817518082959646E-2</v>
      </c>
    </row>
    <row r="1206" spans="1:7" x14ac:dyDescent="0.2">
      <c r="A1206" s="12">
        <v>38890</v>
      </c>
      <c r="B1206" s="9">
        <v>2378.5300000000002</v>
      </c>
      <c r="C1206" s="9">
        <v>2348.4499999999998</v>
      </c>
      <c r="D1206" s="9">
        <v>2358.5100000000002</v>
      </c>
      <c r="E1206" s="9">
        <f t="shared" si="54"/>
        <v>5.3396265850448044E-3</v>
      </c>
      <c r="F1206" s="9">
        <f t="shared" si="55"/>
        <v>-0.13973742401574524</v>
      </c>
      <c r="G1206" s="9">
        <f t="shared" si="56"/>
        <v>2.0897854979355045E-2</v>
      </c>
    </row>
    <row r="1207" spans="1:7" x14ac:dyDescent="0.2">
      <c r="A1207" s="12">
        <v>38894</v>
      </c>
      <c r="B1207" s="9">
        <v>2378.31</v>
      </c>
      <c r="C1207" s="9">
        <v>2352.3200000000002</v>
      </c>
      <c r="D1207" s="9">
        <v>2355.9499999999998</v>
      </c>
      <c r="E1207" s="9">
        <f t="shared" si="54"/>
        <v>-1.0860205629550303E-3</v>
      </c>
      <c r="F1207" s="9">
        <f t="shared" si="55"/>
        <v>-0.13161153478936033</v>
      </c>
      <c r="G1207" s="9">
        <f t="shared" si="56"/>
        <v>2.0889453273687981E-2</v>
      </c>
    </row>
    <row r="1208" spans="1:7" x14ac:dyDescent="0.2">
      <c r="A1208" s="12">
        <v>38895</v>
      </c>
      <c r="B1208" s="9">
        <v>2372.83</v>
      </c>
      <c r="C1208" s="9">
        <v>2344.63</v>
      </c>
      <c r="D1208" s="9">
        <v>2344.73</v>
      </c>
      <c r="E1208" s="9">
        <f t="shared" si="54"/>
        <v>-4.7737864767401971E-3</v>
      </c>
      <c r="F1208" s="9">
        <f t="shared" si="55"/>
        <v>-0.10562319796981538</v>
      </c>
      <c r="G1208" s="9">
        <f t="shared" si="56"/>
        <v>2.0288182815278364E-2</v>
      </c>
    </row>
    <row r="1209" spans="1:7" x14ac:dyDescent="0.2">
      <c r="A1209" s="12">
        <v>38896</v>
      </c>
      <c r="B1209" s="9">
        <v>2343.0300000000002</v>
      </c>
      <c r="C1209" s="9">
        <v>2318.87</v>
      </c>
      <c r="D1209" s="9">
        <v>2328.6999999999998</v>
      </c>
      <c r="E1209" s="9">
        <f t="shared" si="54"/>
        <v>-6.8600847194826209E-3</v>
      </c>
      <c r="F1209" s="9">
        <f t="shared" si="55"/>
        <v>-9.9295870897148766E-2</v>
      </c>
      <c r="G1209" s="9">
        <f t="shared" si="56"/>
        <v>2.0216989351532644E-2</v>
      </c>
    </row>
    <row r="1210" spans="1:7" x14ac:dyDescent="0.2">
      <c r="A1210" s="12">
        <v>38897</v>
      </c>
      <c r="B1210" s="9">
        <v>2388.0100000000002</v>
      </c>
      <c r="C1210" s="9">
        <v>2330.4699999999998</v>
      </c>
      <c r="D1210" s="9">
        <v>2388.0100000000002</v>
      </c>
      <c r="E1210" s="9">
        <f t="shared" si="54"/>
        <v>2.515021116922499E-2</v>
      </c>
      <c r="F1210" s="9">
        <f t="shared" si="55"/>
        <v>-7.514446086105897E-2</v>
      </c>
      <c r="G1210" s="9">
        <f t="shared" si="56"/>
        <v>2.086495269575226E-2</v>
      </c>
    </row>
    <row r="1211" spans="1:7" x14ac:dyDescent="0.2">
      <c r="A1211" s="12">
        <v>38898</v>
      </c>
      <c r="B1211" s="9">
        <v>2447.12</v>
      </c>
      <c r="C1211" s="9">
        <v>2394.63</v>
      </c>
      <c r="D1211" s="9">
        <v>2441.08</v>
      </c>
      <c r="E1211" s="9">
        <f t="shared" si="54"/>
        <v>2.1980181201009936E-2</v>
      </c>
      <c r="F1211" s="9">
        <f t="shared" si="55"/>
        <v>-2.1118439773747017E-2</v>
      </c>
      <c r="G1211" s="9">
        <f t="shared" si="56"/>
        <v>2.055655823462153E-2</v>
      </c>
    </row>
    <row r="1212" spans="1:7" x14ac:dyDescent="0.2">
      <c r="A1212" s="12">
        <v>38901</v>
      </c>
      <c r="B1212" s="9">
        <v>2459.87</v>
      </c>
      <c r="C1212" s="9">
        <v>2435.29</v>
      </c>
      <c r="D1212" s="9">
        <v>2459.87</v>
      </c>
      <c r="E1212" s="9">
        <f t="shared" si="54"/>
        <v>7.6679386921541838E-3</v>
      </c>
      <c r="F1212" s="9">
        <f t="shared" si="55"/>
        <v>7.1068691232401811E-3</v>
      </c>
      <c r="G1212" s="9">
        <f t="shared" si="56"/>
        <v>2.0260344329534479E-2</v>
      </c>
    </row>
    <row r="1213" spans="1:7" x14ac:dyDescent="0.2">
      <c r="A1213" s="12">
        <v>38902</v>
      </c>
      <c r="B1213" s="9">
        <v>2466.54</v>
      </c>
      <c r="C1213" s="9">
        <v>2452.71</v>
      </c>
      <c r="D1213" s="9">
        <v>2466.36</v>
      </c>
      <c r="E1213" s="9">
        <f t="shared" si="54"/>
        <v>2.634876469338725E-3</v>
      </c>
      <c r="F1213" s="9">
        <f t="shared" si="55"/>
        <v>1.3145759870787681E-2</v>
      </c>
      <c r="G1213" s="9">
        <f t="shared" si="56"/>
        <v>2.0252921031152265E-2</v>
      </c>
    </row>
    <row r="1214" spans="1:7" x14ac:dyDescent="0.2">
      <c r="A1214" s="12">
        <v>38903</v>
      </c>
      <c r="B1214" s="9">
        <v>2465.31</v>
      </c>
      <c r="C1214" s="9">
        <v>2444.11</v>
      </c>
      <c r="D1214" s="9">
        <v>2445.87</v>
      </c>
      <c r="E1214" s="9">
        <f t="shared" si="54"/>
        <v>-8.3424916329343478E-3</v>
      </c>
      <c r="F1214" s="9">
        <f t="shared" si="55"/>
        <v>4.8579831693107721E-2</v>
      </c>
      <c r="G1214" s="9">
        <f t="shared" si="56"/>
        <v>1.8546815746524736E-2</v>
      </c>
    </row>
    <row r="1215" spans="1:7" x14ac:dyDescent="0.2">
      <c r="A1215" s="12">
        <v>38904</v>
      </c>
      <c r="B1215" s="9">
        <v>2463.9899999999998</v>
      </c>
      <c r="C1215" s="9">
        <v>2446.09</v>
      </c>
      <c r="D1215" s="9">
        <v>2455.31</v>
      </c>
      <c r="E1215" s="9">
        <f t="shared" si="54"/>
        <v>3.8521383313079886E-3</v>
      </c>
      <c r="F1215" s="9">
        <f t="shared" si="55"/>
        <v>1.2301921318872422E-2</v>
      </c>
      <c r="G1215" s="9">
        <f t="shared" si="56"/>
        <v>1.7073459044906297E-2</v>
      </c>
    </row>
    <row r="1216" spans="1:7" x14ac:dyDescent="0.2">
      <c r="A1216" s="12">
        <v>38905</v>
      </c>
      <c r="B1216" s="9">
        <v>2455.5</v>
      </c>
      <c r="C1216" s="9">
        <v>2433.48</v>
      </c>
      <c r="D1216" s="9">
        <v>2444.44</v>
      </c>
      <c r="E1216" s="9">
        <f t="shared" si="54"/>
        <v>-4.4369683485290003E-3</v>
      </c>
      <c r="F1216" s="9">
        <f t="shared" si="55"/>
        <v>1.4546220493944523E-2</v>
      </c>
      <c r="G1216" s="9">
        <f t="shared" si="56"/>
        <v>1.704621097815142E-2</v>
      </c>
    </row>
    <row r="1217" spans="1:7" x14ac:dyDescent="0.2">
      <c r="A1217" s="12">
        <v>38908</v>
      </c>
      <c r="B1217" s="9">
        <v>2448.5</v>
      </c>
      <c r="C1217" s="9">
        <v>2432.6</v>
      </c>
      <c r="D1217" s="9">
        <v>2447.33</v>
      </c>
      <c r="E1217" s="9">
        <f t="shared" si="54"/>
        <v>1.1815765402840572E-3</v>
      </c>
      <c r="F1217" s="9">
        <f t="shared" si="55"/>
        <v>-1.8372837684157307E-2</v>
      </c>
      <c r="G1217" s="9">
        <f t="shared" si="56"/>
        <v>1.5823345730496617E-2</v>
      </c>
    </row>
    <row r="1218" spans="1:7" x14ac:dyDescent="0.2">
      <c r="A1218" s="12">
        <v>38909</v>
      </c>
      <c r="B1218" s="9">
        <v>2445.5500000000002</v>
      </c>
      <c r="C1218" s="9">
        <v>2424.98</v>
      </c>
      <c r="D1218" s="9">
        <v>2430.2600000000002</v>
      </c>
      <c r="E1218" s="9">
        <f t="shared" si="54"/>
        <v>-6.9993868653301216E-3</v>
      </c>
      <c r="F1218" s="9">
        <f t="shared" si="55"/>
        <v>-2.5295999380300884E-2</v>
      </c>
      <c r="G1218" s="9">
        <f t="shared" si="56"/>
        <v>1.5865683953410904E-2</v>
      </c>
    </row>
    <row r="1219" spans="1:7" x14ac:dyDescent="0.2">
      <c r="A1219" s="12">
        <v>38910</v>
      </c>
      <c r="B1219" s="9">
        <v>2463.0500000000002</v>
      </c>
      <c r="C1219" s="9">
        <v>2432.5</v>
      </c>
      <c r="D1219" s="9">
        <v>2448.5300000000002</v>
      </c>
      <c r="E1219" s="9">
        <f t="shared" si="54"/>
        <v>7.489596971023962E-3</v>
      </c>
      <c r="F1219" s="9">
        <f t="shared" si="55"/>
        <v>4.5600498181744371E-3</v>
      </c>
      <c r="G1219" s="9">
        <f t="shared" si="56"/>
        <v>1.5398555933785528E-2</v>
      </c>
    </row>
    <row r="1220" spans="1:7" x14ac:dyDescent="0.2">
      <c r="A1220" s="12">
        <v>38911</v>
      </c>
      <c r="B1220" s="9">
        <v>2448.08</v>
      </c>
      <c r="C1220" s="9">
        <v>2379.63</v>
      </c>
      <c r="D1220" s="9">
        <v>2386.89</v>
      </c>
      <c r="E1220" s="9">
        <f t="shared" ref="E1220:E1283" si="57">LN(D1220/D1219)</f>
        <v>-2.5496581139070728E-2</v>
      </c>
      <c r="F1220" s="9">
        <f t="shared" si="55"/>
        <v>-3.0365189516146442E-2</v>
      </c>
      <c r="G1220" s="9">
        <f t="shared" si="56"/>
        <v>1.5982193308563545E-2</v>
      </c>
    </row>
    <row r="1221" spans="1:7" x14ac:dyDescent="0.2">
      <c r="A1221" s="12">
        <v>38912</v>
      </c>
      <c r="B1221" s="9">
        <v>2385.25</v>
      </c>
      <c r="C1221" s="9">
        <v>2353.92</v>
      </c>
      <c r="D1221" s="9">
        <v>2361.1</v>
      </c>
      <c r="E1221" s="9">
        <f t="shared" si="57"/>
        <v>-1.0863651204751745E-2</v>
      </c>
      <c r="F1221" s="9">
        <f t="shared" si="55"/>
        <v>-5.1382443774347607E-2</v>
      </c>
      <c r="G1221" s="9">
        <f t="shared" si="56"/>
        <v>1.5936444340537283E-2</v>
      </c>
    </row>
    <row r="1222" spans="1:7" x14ac:dyDescent="0.2">
      <c r="A1222" s="12">
        <v>38915</v>
      </c>
      <c r="B1222" s="9">
        <v>2371.54</v>
      </c>
      <c r="C1222" s="9">
        <v>2336</v>
      </c>
      <c r="D1222" s="9">
        <v>2342.02</v>
      </c>
      <c r="E1222" s="9">
        <f t="shared" si="57"/>
        <v>-8.1138072920684742E-3</v>
      </c>
      <c r="F1222" s="9">
        <f t="shared" si="55"/>
        <v>-6.3098556097391983E-2</v>
      </c>
      <c r="G1222" s="9">
        <f t="shared" si="56"/>
        <v>1.594525729993972E-2</v>
      </c>
    </row>
    <row r="1223" spans="1:7" x14ac:dyDescent="0.2">
      <c r="A1223" s="12">
        <v>38916</v>
      </c>
      <c r="B1223" s="9">
        <v>2355.79</v>
      </c>
      <c r="C1223" s="9">
        <v>2325.0700000000002</v>
      </c>
      <c r="D1223" s="9">
        <v>2325.0700000000002</v>
      </c>
      <c r="E1223" s="9">
        <f t="shared" si="57"/>
        <v>-7.263658735733365E-3</v>
      </c>
      <c r="F1223" s="9">
        <f t="shared" si="55"/>
        <v>-6.4496317216551718E-2</v>
      </c>
      <c r="G1223" s="9">
        <f t="shared" si="56"/>
        <v>1.5958667257854723E-2</v>
      </c>
    </row>
    <row r="1224" spans="1:7" x14ac:dyDescent="0.2">
      <c r="A1224" s="12">
        <v>38917</v>
      </c>
      <c r="B1224" s="9">
        <v>2403.56</v>
      </c>
      <c r="C1224" s="9">
        <v>2328.96</v>
      </c>
      <c r="D1224" s="9">
        <v>2403.56</v>
      </c>
      <c r="E1224" s="9">
        <f t="shared" si="57"/>
        <v>3.3200825522071611E-2</v>
      </c>
      <c r="F1224" s="9">
        <f t="shared" si="55"/>
        <v>5.0887298752623584E-3</v>
      </c>
      <c r="G1224" s="9">
        <f t="shared" si="56"/>
        <v>1.5867959461805494E-2</v>
      </c>
    </row>
    <row r="1225" spans="1:7" x14ac:dyDescent="0.2">
      <c r="A1225" s="12">
        <v>38918</v>
      </c>
      <c r="B1225" s="9">
        <v>2436.2199999999998</v>
      </c>
      <c r="C1225" s="9">
        <v>2403.41</v>
      </c>
      <c r="D1225" s="9">
        <v>2433</v>
      </c>
      <c r="E1225" s="9">
        <f t="shared" si="57"/>
        <v>1.2174092166334922E-2</v>
      </c>
      <c r="F1225" s="9">
        <f t="shared" si="55"/>
        <v>1.5441251812738612E-2</v>
      </c>
      <c r="G1225" s="9">
        <f t="shared" si="56"/>
        <v>1.6016992936827009E-2</v>
      </c>
    </row>
    <row r="1226" spans="1:7" x14ac:dyDescent="0.2">
      <c r="A1226" s="12">
        <v>38919</v>
      </c>
      <c r="B1226" s="9">
        <v>2434.8000000000002</v>
      </c>
      <c r="C1226" s="9">
        <v>2403.0100000000002</v>
      </c>
      <c r="D1226" s="9">
        <v>2410.04</v>
      </c>
      <c r="E1226" s="9">
        <f t="shared" si="57"/>
        <v>-9.4817189261856179E-3</v>
      </c>
      <c r="F1226" s="9">
        <f t="shared" si="55"/>
        <v>3.8813499931378385E-2</v>
      </c>
      <c r="G1226" s="9">
        <f t="shared" si="56"/>
        <v>1.4864942726164888E-2</v>
      </c>
    </row>
    <row r="1227" spans="1:7" x14ac:dyDescent="0.2">
      <c r="A1227" s="12">
        <v>38922</v>
      </c>
      <c r="B1227" s="9">
        <v>2443.2800000000002</v>
      </c>
      <c r="C1227" s="9">
        <v>2400.35</v>
      </c>
      <c r="D1227" s="9">
        <v>2441.6999999999998</v>
      </c>
      <c r="E1227" s="9">
        <f t="shared" si="57"/>
        <v>1.3051173143768423E-2</v>
      </c>
      <c r="F1227" s="9">
        <f t="shared" si="55"/>
        <v>3.6111328607097717E-2</v>
      </c>
      <c r="G1227" s="9">
        <f t="shared" si="56"/>
        <v>1.478226227524611E-2</v>
      </c>
    </row>
    <row r="1228" spans="1:7" x14ac:dyDescent="0.2">
      <c r="A1228" s="12">
        <v>38923</v>
      </c>
      <c r="B1228" s="9">
        <v>2458.79</v>
      </c>
      <c r="C1228" s="9">
        <v>2440.6</v>
      </c>
      <c r="D1228" s="9">
        <v>2447.41</v>
      </c>
      <c r="E1228" s="9">
        <f t="shared" si="57"/>
        <v>2.3358045108979042E-3</v>
      </c>
      <c r="F1228" s="9">
        <f t="shared" si="55"/>
        <v>5.3885639886589773E-2</v>
      </c>
      <c r="G1228" s="9">
        <f t="shared" si="56"/>
        <v>1.4444579480850241E-2</v>
      </c>
    </row>
    <row r="1229" spans="1:7" x14ac:dyDescent="0.2">
      <c r="A1229" s="12">
        <v>38924</v>
      </c>
      <c r="B1229" s="9">
        <v>2454.9699999999998</v>
      </c>
      <c r="C1229" s="9">
        <v>2432.2800000000002</v>
      </c>
      <c r="D1229" s="9">
        <v>2439.04</v>
      </c>
      <c r="E1229" s="9">
        <f t="shared" si="57"/>
        <v>-3.4258032665627014E-3</v>
      </c>
      <c r="F1229" s="9">
        <f t="shared" si="55"/>
        <v>8.3696643497845127E-2</v>
      </c>
      <c r="G1229" s="9">
        <f t="shared" si="56"/>
        <v>1.2893550486121293E-2</v>
      </c>
    </row>
    <row r="1230" spans="1:7" x14ac:dyDescent="0.2">
      <c r="A1230" s="12">
        <v>38925</v>
      </c>
      <c r="B1230" s="9">
        <v>2476.52</v>
      </c>
      <c r="C1230" s="9">
        <v>2439.2399999999998</v>
      </c>
      <c r="D1230" s="9">
        <v>2475.96</v>
      </c>
      <c r="E1230" s="9">
        <f t="shared" si="57"/>
        <v>1.5023680339698179E-2</v>
      </c>
      <c r="F1230" s="9">
        <f t="shared" si="55"/>
        <v>9.1869764819361044E-2</v>
      </c>
      <c r="G1230" s="9">
        <f t="shared" si="56"/>
        <v>1.3067484838668091E-2</v>
      </c>
    </row>
    <row r="1231" spans="1:7" x14ac:dyDescent="0.2">
      <c r="A1231" s="12">
        <v>38926</v>
      </c>
      <c r="B1231" s="9">
        <v>2474.3200000000002</v>
      </c>
      <c r="C1231" s="9">
        <v>2446.3000000000002</v>
      </c>
      <c r="D1231" s="9">
        <v>2464.34</v>
      </c>
      <c r="E1231" s="9">
        <f t="shared" si="57"/>
        <v>-4.7041764380735601E-3</v>
      </c>
      <c r="F1231" s="9">
        <f t="shared" si="55"/>
        <v>5.7739575850794617E-2</v>
      </c>
      <c r="G1231" s="9">
        <f t="shared" si="56"/>
        <v>1.2146322282976629E-2</v>
      </c>
    </row>
    <row r="1232" spans="1:7" x14ac:dyDescent="0.2">
      <c r="A1232" s="12">
        <v>38929</v>
      </c>
      <c r="B1232" s="9">
        <v>2468.88</v>
      </c>
      <c r="C1232" s="9">
        <v>2454.0700000000002</v>
      </c>
      <c r="D1232" s="9">
        <v>2461.19</v>
      </c>
      <c r="E1232" s="9">
        <f t="shared" si="57"/>
        <v>-1.2790503476548282E-3</v>
      </c>
      <c r="F1232" s="9">
        <f t="shared" si="55"/>
        <v>6.5065505384268266E-2</v>
      </c>
      <c r="G1232" s="9">
        <f t="shared" si="56"/>
        <v>1.2000090206141744E-2</v>
      </c>
    </row>
    <row r="1233" spans="1:7" x14ac:dyDescent="0.2">
      <c r="A1233" s="12">
        <v>38930</v>
      </c>
      <c r="B1233" s="9">
        <v>2475.5100000000002</v>
      </c>
      <c r="C1233" s="9">
        <v>2453.25</v>
      </c>
      <c r="D1233" s="9">
        <v>2457.1999999999998</v>
      </c>
      <c r="E1233" s="9">
        <f t="shared" si="57"/>
        <v>-1.6224825096381277E-3</v>
      </c>
      <c r="F1233" s="9">
        <f t="shared" si="55"/>
        <v>5.1803204435899475E-2</v>
      </c>
      <c r="G1233" s="9">
        <f t="shared" si="56"/>
        <v>1.1882869143387891E-2</v>
      </c>
    </row>
    <row r="1234" spans="1:7" x14ac:dyDescent="0.2">
      <c r="A1234" s="12">
        <v>38931</v>
      </c>
      <c r="B1234" s="9">
        <v>2472.75</v>
      </c>
      <c r="C1234" s="9">
        <v>2457.67</v>
      </c>
      <c r="D1234" s="9">
        <v>2471.08</v>
      </c>
      <c r="E1234" s="9">
        <f t="shared" si="57"/>
        <v>5.6328117312156442E-3</v>
      </c>
      <c r="F1234" s="9">
        <f t="shared" si="55"/>
        <v>5.7054630360757072E-2</v>
      </c>
      <c r="G1234" s="9">
        <f t="shared" si="56"/>
        <v>1.1901032425456219E-2</v>
      </c>
    </row>
    <row r="1235" spans="1:7" x14ac:dyDescent="0.2">
      <c r="A1235" s="12">
        <v>38932</v>
      </c>
      <c r="B1235" s="9">
        <v>2476.33</v>
      </c>
      <c r="C1235" s="9">
        <v>2446.54</v>
      </c>
      <c r="D1235" s="9">
        <v>2452.52</v>
      </c>
      <c r="E1235" s="9">
        <f t="shared" si="57"/>
        <v>-7.5392346707864114E-3</v>
      </c>
      <c r="F1235" s="9">
        <f t="shared" si="55"/>
        <v>4.4425630236878656E-2</v>
      </c>
      <c r="G1235" s="9">
        <f t="shared" si="56"/>
        <v>1.2007263269500875E-2</v>
      </c>
    </row>
    <row r="1236" spans="1:7" x14ac:dyDescent="0.2">
      <c r="A1236" s="12">
        <v>38933</v>
      </c>
      <c r="B1236" s="9">
        <v>2483.73</v>
      </c>
      <c r="C1236" s="9">
        <v>2453.15</v>
      </c>
      <c r="D1236" s="9">
        <v>2480.3200000000002</v>
      </c>
      <c r="E1236" s="9">
        <f t="shared" si="57"/>
        <v>1.1271516742945227E-2</v>
      </c>
      <c r="F1236" s="9">
        <f t="shared" si="55"/>
        <v>5.035752039477874E-2</v>
      </c>
      <c r="G1236" s="9">
        <f t="shared" si="56"/>
        <v>1.2121299011144955E-2</v>
      </c>
    </row>
    <row r="1237" spans="1:7" x14ac:dyDescent="0.2">
      <c r="A1237" s="12">
        <v>38936</v>
      </c>
      <c r="B1237" s="9">
        <v>2476.5300000000002</v>
      </c>
      <c r="C1237" s="9">
        <v>2443.15</v>
      </c>
      <c r="D1237" s="9">
        <v>2445.46</v>
      </c>
      <c r="E1237" s="9">
        <f t="shared" si="57"/>
        <v>-1.4154339820802905E-2</v>
      </c>
      <c r="F1237" s="9">
        <f t="shared" si="55"/>
        <v>3.7289201136930905E-2</v>
      </c>
      <c r="G1237" s="9">
        <f t="shared" si="56"/>
        <v>1.245432557669446E-2</v>
      </c>
    </row>
    <row r="1238" spans="1:7" x14ac:dyDescent="0.2">
      <c r="A1238" s="12">
        <v>38937</v>
      </c>
      <c r="B1238" s="9">
        <v>2467.6</v>
      </c>
      <c r="C1238" s="9">
        <v>2446.73</v>
      </c>
      <c r="D1238" s="9">
        <v>2465.94</v>
      </c>
      <c r="E1238" s="9">
        <f t="shared" si="57"/>
        <v>8.3398292557013351E-3</v>
      </c>
      <c r="F1238" s="9">
        <f t="shared" si="55"/>
        <v>5.0402816869372501E-2</v>
      </c>
      <c r="G1238" s="9">
        <f t="shared" si="56"/>
        <v>1.2465992740707392E-2</v>
      </c>
    </row>
    <row r="1239" spans="1:7" x14ac:dyDescent="0.2">
      <c r="A1239" s="12">
        <v>38938</v>
      </c>
      <c r="B1239" s="9">
        <v>2480.5300000000002</v>
      </c>
      <c r="C1239" s="9">
        <v>2441.29</v>
      </c>
      <c r="D1239" s="9">
        <v>2476.25</v>
      </c>
      <c r="E1239" s="9">
        <f t="shared" si="57"/>
        <v>4.1722454847154143E-3</v>
      </c>
      <c r="F1239" s="9">
        <f t="shared" si="55"/>
        <v>6.1435147073570777E-2</v>
      </c>
      <c r="G1239" s="9">
        <f t="shared" si="56"/>
        <v>1.2367710137209732E-2</v>
      </c>
    </row>
    <row r="1240" spans="1:7" x14ac:dyDescent="0.2">
      <c r="A1240" s="12">
        <v>38939</v>
      </c>
      <c r="B1240" s="9">
        <v>2473.41</v>
      </c>
      <c r="C1240" s="9">
        <v>2445.36</v>
      </c>
      <c r="D1240" s="9">
        <v>2467.2800000000002</v>
      </c>
      <c r="E1240" s="9">
        <f t="shared" si="57"/>
        <v>-3.6289897479124061E-3</v>
      </c>
      <c r="F1240" s="9">
        <f t="shared" si="55"/>
        <v>3.2655946156433288E-2</v>
      </c>
      <c r="G1240" s="9">
        <f t="shared" si="56"/>
        <v>1.1606695492960525E-2</v>
      </c>
    </row>
    <row r="1241" spans="1:7" x14ac:dyDescent="0.2">
      <c r="A1241" s="12">
        <v>38940</v>
      </c>
      <c r="B1241" s="9">
        <v>2482.6</v>
      </c>
      <c r="C1241" s="9">
        <v>2464.0100000000002</v>
      </c>
      <c r="D1241" s="9">
        <v>2471.63</v>
      </c>
      <c r="E1241" s="9">
        <f t="shared" si="57"/>
        <v>1.761522734702155E-3</v>
      </c>
      <c r="F1241" s="9">
        <f t="shared" si="55"/>
        <v>1.2437287690125568E-2</v>
      </c>
      <c r="G1241" s="9">
        <f t="shared" si="56"/>
        <v>1.0918367074419816E-2</v>
      </c>
    </row>
    <row r="1242" spans="1:7" x14ac:dyDescent="0.2">
      <c r="A1242" s="12">
        <v>38943</v>
      </c>
      <c r="B1242" s="9">
        <v>2489.1799999999998</v>
      </c>
      <c r="C1242" s="9">
        <v>2466.61</v>
      </c>
      <c r="D1242" s="9">
        <v>2489.1799999999998</v>
      </c>
      <c r="E1242" s="9">
        <f t="shared" si="57"/>
        <v>7.0754869532870185E-3</v>
      </c>
      <c r="F1242" s="9">
        <f t="shared" si="55"/>
        <v>1.1844835951258268E-2</v>
      </c>
      <c r="G1242" s="9">
        <f t="shared" si="56"/>
        <v>1.0905323300398352E-2</v>
      </c>
    </row>
    <row r="1243" spans="1:7" x14ac:dyDescent="0.2">
      <c r="A1243" s="12">
        <v>38944</v>
      </c>
      <c r="B1243" s="9">
        <v>2499.27</v>
      </c>
      <c r="C1243" s="9">
        <v>2473.5100000000002</v>
      </c>
      <c r="D1243" s="9">
        <v>2497.98</v>
      </c>
      <c r="E1243" s="9">
        <f t="shared" si="57"/>
        <v>3.5290662955100474E-3</v>
      </c>
      <c r="F1243" s="9">
        <f t="shared" si="55"/>
        <v>1.2739025777429712E-2</v>
      </c>
      <c r="G1243" s="9">
        <f t="shared" si="56"/>
        <v>1.0912876280315479E-2</v>
      </c>
    </row>
    <row r="1244" spans="1:7" x14ac:dyDescent="0.2">
      <c r="A1244" s="12">
        <v>38945</v>
      </c>
      <c r="B1244" s="9">
        <v>2546.25</v>
      </c>
      <c r="C1244" s="9">
        <v>2499.64</v>
      </c>
      <c r="D1244" s="9">
        <v>2535.54</v>
      </c>
      <c r="E1244" s="9">
        <f t="shared" si="57"/>
        <v>1.4924226843355572E-2</v>
      </c>
      <c r="F1244" s="9">
        <f t="shared" si="55"/>
        <v>3.6005744253719559E-2</v>
      </c>
      <c r="G1244" s="9">
        <f t="shared" si="56"/>
        <v>1.1093592763109127E-2</v>
      </c>
    </row>
    <row r="1245" spans="1:7" x14ac:dyDescent="0.2">
      <c r="A1245" s="12">
        <v>38946</v>
      </c>
      <c r="B1245" s="9">
        <v>2546.64</v>
      </c>
      <c r="C1245" s="9">
        <v>2531.3200000000002</v>
      </c>
      <c r="D1245" s="9">
        <v>2540.06</v>
      </c>
      <c r="E1245" s="9">
        <f t="shared" si="57"/>
        <v>1.7810706891271881E-3</v>
      </c>
      <c r="F1245" s="9">
        <f t="shared" si="55"/>
        <v>3.3934676611538858E-2</v>
      </c>
      <c r="G1245" s="9">
        <f t="shared" si="56"/>
        <v>1.1082959633005618E-2</v>
      </c>
    </row>
    <row r="1246" spans="1:7" x14ac:dyDescent="0.2">
      <c r="A1246" s="12">
        <v>38947</v>
      </c>
      <c r="B1246" s="9">
        <v>2544.3000000000002</v>
      </c>
      <c r="C1246" s="9">
        <v>2530.84</v>
      </c>
      <c r="D1246" s="9">
        <v>2534.54</v>
      </c>
      <c r="E1246" s="9">
        <f t="shared" si="57"/>
        <v>-2.1755417874005658E-3</v>
      </c>
      <c r="F1246" s="9">
        <f t="shared" si="55"/>
        <v>3.6196103172667027E-2</v>
      </c>
      <c r="G1246" s="9">
        <f t="shared" si="56"/>
        <v>1.1051427753367465E-2</v>
      </c>
    </row>
    <row r="1247" spans="1:7" x14ac:dyDescent="0.2">
      <c r="A1247" s="12">
        <v>38950</v>
      </c>
      <c r="B1247" s="9">
        <v>2546.5700000000002</v>
      </c>
      <c r="C1247" s="9">
        <v>2527.14</v>
      </c>
      <c r="D1247" s="9">
        <v>2541.52</v>
      </c>
      <c r="E1247" s="9">
        <f t="shared" si="57"/>
        <v>2.7501662310475219E-3</v>
      </c>
      <c r="F1247" s="9">
        <f t="shared" si="55"/>
        <v>3.7764692863430441E-2</v>
      </c>
      <c r="G1247" s="9">
        <f t="shared" si="56"/>
        <v>1.1055015649568924E-2</v>
      </c>
    </row>
    <row r="1248" spans="1:7" x14ac:dyDescent="0.2">
      <c r="A1248" s="12">
        <v>38951</v>
      </c>
      <c r="B1248" s="9">
        <v>2574.02</v>
      </c>
      <c r="C1248" s="9">
        <v>2541.7399999999998</v>
      </c>
      <c r="D1248" s="9">
        <v>2571.09</v>
      </c>
      <c r="E1248" s="9">
        <f t="shared" si="57"/>
        <v>1.1567606263028237E-2</v>
      </c>
      <c r="F1248" s="9">
        <f t="shared" si="55"/>
        <v>5.6331685991788852E-2</v>
      </c>
      <c r="G1248" s="9">
        <f t="shared" si="56"/>
        <v>1.1096395236664456E-2</v>
      </c>
    </row>
    <row r="1249" spans="1:7" x14ac:dyDescent="0.2">
      <c r="A1249" s="12">
        <v>38952</v>
      </c>
      <c r="B1249" s="9">
        <v>2584.14</v>
      </c>
      <c r="C1249" s="9">
        <v>2560.64</v>
      </c>
      <c r="D1249" s="9">
        <v>2560.8200000000002</v>
      </c>
      <c r="E1249" s="9">
        <f t="shared" si="57"/>
        <v>-4.0024138029938223E-3</v>
      </c>
      <c r="F1249" s="9">
        <f t="shared" ref="F1249:F1312" si="58">LN(D1249/D1219)</f>
        <v>4.4839675217771088E-2</v>
      </c>
      <c r="G1249" s="9">
        <f t="shared" ref="G1249:G1312" si="59">STDEV(E1220:E1249)</f>
        <v>1.1094345089677346E-2</v>
      </c>
    </row>
    <row r="1250" spans="1:7" x14ac:dyDescent="0.2">
      <c r="A1250" s="12">
        <v>38953</v>
      </c>
      <c r="B1250" s="9">
        <v>2559.88</v>
      </c>
      <c r="C1250" s="9">
        <v>2545.4</v>
      </c>
      <c r="D1250" s="9">
        <v>2552.44</v>
      </c>
      <c r="E1250" s="9">
        <f t="shared" si="57"/>
        <v>-3.2777552882773068E-3</v>
      </c>
      <c r="F1250" s="9">
        <f t="shared" si="58"/>
        <v>6.7058501068564522E-2</v>
      </c>
      <c r="G1250" s="9">
        <f t="shared" si="59"/>
        <v>9.908622953691576E-3</v>
      </c>
    </row>
    <row r="1251" spans="1:7" x14ac:dyDescent="0.2">
      <c r="A1251" s="12">
        <v>38954</v>
      </c>
      <c r="B1251" s="9">
        <v>2563.04</v>
      </c>
      <c r="C1251" s="9">
        <v>2545.66</v>
      </c>
      <c r="D1251" s="9">
        <v>2549.23</v>
      </c>
      <c r="E1251" s="9">
        <f t="shared" si="57"/>
        <v>-1.2584116274134097E-3</v>
      </c>
      <c r="F1251" s="9">
        <f t="shared" si="58"/>
        <v>7.6663740645902895E-2</v>
      </c>
      <c r="G1251" s="9">
        <f t="shared" si="59"/>
        <v>9.6217998169944811E-3</v>
      </c>
    </row>
    <row r="1252" spans="1:7" x14ac:dyDescent="0.2">
      <c r="A1252" s="12">
        <v>38957</v>
      </c>
      <c r="B1252" s="9">
        <v>2563.21</v>
      </c>
      <c r="C1252" s="9">
        <v>2535.2399999999998</v>
      </c>
      <c r="D1252" s="9">
        <v>2559.25</v>
      </c>
      <c r="E1252" s="9">
        <f t="shared" si="57"/>
        <v>3.9228940310593041E-3</v>
      </c>
      <c r="F1252" s="9">
        <f t="shared" si="58"/>
        <v>8.8700441969030791E-2</v>
      </c>
      <c r="G1252" s="9">
        <f t="shared" si="59"/>
        <v>9.4101910508313791E-3</v>
      </c>
    </row>
    <row r="1253" spans="1:7" x14ac:dyDescent="0.2">
      <c r="A1253" s="12">
        <v>38958</v>
      </c>
      <c r="B1253" s="9">
        <v>2578.77</v>
      </c>
      <c r="C1253" s="9">
        <v>2553.1999999999998</v>
      </c>
      <c r="D1253" s="9">
        <v>2561.9699999999998</v>
      </c>
      <c r="E1253" s="9">
        <f t="shared" si="57"/>
        <v>1.062246986367881E-3</v>
      </c>
      <c r="F1253" s="9">
        <f t="shared" si="58"/>
        <v>9.7026347691132109E-2</v>
      </c>
      <c r="G1253" s="9">
        <f t="shared" si="59"/>
        <v>9.2192115974026323E-3</v>
      </c>
    </row>
    <row r="1254" spans="1:7" x14ac:dyDescent="0.2">
      <c r="A1254" s="12">
        <v>38959</v>
      </c>
      <c r="B1254" s="9">
        <v>2582.08</v>
      </c>
      <c r="C1254" s="9">
        <v>2562.7600000000002</v>
      </c>
      <c r="D1254" s="9">
        <v>2578.44</v>
      </c>
      <c r="E1254" s="9">
        <f t="shared" si="57"/>
        <v>6.4080710913892404E-3</v>
      </c>
      <c r="F1254" s="9">
        <f t="shared" si="58"/>
        <v>7.0233593260449603E-2</v>
      </c>
      <c r="G1254" s="9">
        <f t="shared" si="59"/>
        <v>7.3178314475589703E-3</v>
      </c>
    </row>
    <row r="1255" spans="1:7" x14ac:dyDescent="0.2">
      <c r="A1255" s="12">
        <v>38960</v>
      </c>
      <c r="B1255" s="9">
        <v>2578.17</v>
      </c>
      <c r="C1255" s="9">
        <v>2556.64</v>
      </c>
      <c r="D1255" s="9">
        <v>2564.62</v>
      </c>
      <c r="E1255" s="9">
        <f t="shared" si="57"/>
        <v>-5.3742453959363303E-3</v>
      </c>
      <c r="F1255" s="9">
        <f t="shared" si="58"/>
        <v>5.2685255698178272E-2</v>
      </c>
      <c r="G1255" s="9">
        <f t="shared" si="59"/>
        <v>7.2052274232359608E-3</v>
      </c>
    </row>
    <row r="1256" spans="1:7" x14ac:dyDescent="0.2">
      <c r="A1256" s="12">
        <v>38961</v>
      </c>
      <c r="B1256" s="9">
        <v>2568.67</v>
      </c>
      <c r="C1256" s="9">
        <v>2555.31</v>
      </c>
      <c r="D1256" s="9">
        <v>2560</v>
      </c>
      <c r="E1256" s="9">
        <f t="shared" si="57"/>
        <v>-1.8030610080927267E-3</v>
      </c>
      <c r="F1256" s="9">
        <f t="shared" si="58"/>
        <v>6.0363913616271116E-2</v>
      </c>
      <c r="G1256" s="9">
        <f t="shared" si="59"/>
        <v>6.9231153781348191E-3</v>
      </c>
    </row>
    <row r="1257" spans="1:7" x14ac:dyDescent="0.2">
      <c r="A1257" s="12">
        <v>38964</v>
      </c>
      <c r="B1257" s="9">
        <v>2579.66</v>
      </c>
      <c r="C1257" s="9">
        <v>2560.79</v>
      </c>
      <c r="D1257" s="9">
        <v>2576.11</v>
      </c>
      <c r="E1257" s="9">
        <f t="shared" si="57"/>
        <v>6.2732507022914595E-3</v>
      </c>
      <c r="F1257" s="9">
        <f t="shared" si="58"/>
        <v>5.3585991174794408E-2</v>
      </c>
      <c r="G1257" s="9">
        <f t="shared" si="59"/>
        <v>6.6558804977377359E-3</v>
      </c>
    </row>
    <row r="1258" spans="1:7" x14ac:dyDescent="0.2">
      <c r="A1258" s="12">
        <v>38965</v>
      </c>
      <c r="B1258" s="9">
        <v>2575.79</v>
      </c>
      <c r="C1258" s="9">
        <v>2555.36</v>
      </c>
      <c r="D1258" s="9">
        <v>2563.17</v>
      </c>
      <c r="E1258" s="9">
        <f t="shared" si="57"/>
        <v>-5.0357354902035821E-3</v>
      </c>
      <c r="F1258" s="9">
        <f t="shared" si="58"/>
        <v>4.62144511736928E-2</v>
      </c>
      <c r="G1258" s="9">
        <f t="shared" si="59"/>
        <v>6.7699819821377284E-3</v>
      </c>
    </row>
    <row r="1259" spans="1:7" x14ac:dyDescent="0.2">
      <c r="A1259" s="12">
        <v>38966</v>
      </c>
      <c r="B1259" s="9">
        <v>2563.17</v>
      </c>
      <c r="C1259" s="9">
        <v>2526.84</v>
      </c>
      <c r="D1259" s="9">
        <v>2532.9499999999998</v>
      </c>
      <c r="E1259" s="9">
        <f t="shared" si="57"/>
        <v>-1.186014231824622E-2</v>
      </c>
      <c r="F1259" s="9">
        <f t="shared" si="58"/>
        <v>3.7780112122009324E-2</v>
      </c>
      <c r="G1259" s="9">
        <f t="shared" si="59"/>
        <v>7.1479162474782582E-3</v>
      </c>
    </row>
    <row r="1260" spans="1:7" x14ac:dyDescent="0.2">
      <c r="A1260" s="12">
        <v>38967</v>
      </c>
      <c r="B1260" s="9">
        <v>2529.64</v>
      </c>
      <c r="C1260" s="9">
        <v>2495.75</v>
      </c>
      <c r="D1260" s="9">
        <v>2500.83</v>
      </c>
      <c r="E1260" s="9">
        <f t="shared" si="57"/>
        <v>-1.2761954610962741E-2</v>
      </c>
      <c r="F1260" s="9">
        <f t="shared" si="58"/>
        <v>9.9944771713481803E-3</v>
      </c>
      <c r="G1260" s="9">
        <f t="shared" si="59"/>
        <v>7.1029213309061808E-3</v>
      </c>
    </row>
    <row r="1261" spans="1:7" x14ac:dyDescent="0.2">
      <c r="A1261" s="12">
        <v>38968</v>
      </c>
      <c r="B1261" s="9">
        <v>2522.6999999999998</v>
      </c>
      <c r="C1261" s="9">
        <v>2500.16</v>
      </c>
      <c r="D1261" s="9">
        <v>2516.12</v>
      </c>
      <c r="E1261" s="9">
        <f t="shared" si="57"/>
        <v>6.0953556800623834E-3</v>
      </c>
      <c r="F1261" s="9">
        <f t="shared" si="58"/>
        <v>2.0794009289484317E-2</v>
      </c>
      <c r="G1261" s="9">
        <f t="shared" si="59"/>
        <v>7.112480438170565E-3</v>
      </c>
    </row>
    <row r="1262" spans="1:7" x14ac:dyDescent="0.2">
      <c r="A1262" s="12">
        <v>38971</v>
      </c>
      <c r="B1262" s="9">
        <v>2515.65</v>
      </c>
      <c r="C1262" s="9">
        <v>2488.0700000000002</v>
      </c>
      <c r="D1262" s="9">
        <v>2498.6999999999998</v>
      </c>
      <c r="E1262" s="9">
        <f t="shared" si="57"/>
        <v>-6.9474358271451406E-3</v>
      </c>
      <c r="F1262" s="9">
        <f t="shared" si="58"/>
        <v>1.512562380999399E-2</v>
      </c>
      <c r="G1262" s="9">
        <f t="shared" si="59"/>
        <v>7.2408128088567057E-3</v>
      </c>
    </row>
    <row r="1263" spans="1:7" x14ac:dyDescent="0.2">
      <c r="A1263" s="12">
        <v>38972</v>
      </c>
      <c r="B1263" s="9">
        <v>2530.7399999999998</v>
      </c>
      <c r="C1263" s="9">
        <v>2497.71</v>
      </c>
      <c r="D1263" s="9">
        <v>2530.69</v>
      </c>
      <c r="E1263" s="9">
        <f t="shared" si="57"/>
        <v>1.2721396201566664E-2</v>
      </c>
      <c r="F1263" s="9">
        <f t="shared" si="58"/>
        <v>2.9469502521198732E-2</v>
      </c>
      <c r="G1263" s="9">
        <f t="shared" si="59"/>
        <v>7.5619988453393605E-3</v>
      </c>
    </row>
    <row r="1264" spans="1:7" x14ac:dyDescent="0.2">
      <c r="A1264" s="12">
        <v>38973</v>
      </c>
      <c r="B1264" s="9">
        <v>2549.09</v>
      </c>
      <c r="C1264" s="9">
        <v>2531.96</v>
      </c>
      <c r="D1264" s="9">
        <v>2548.8000000000002</v>
      </c>
      <c r="E1264" s="9">
        <f t="shared" si="57"/>
        <v>7.1306673448130759E-3</v>
      </c>
      <c r="F1264" s="9">
        <f t="shared" si="58"/>
        <v>3.096735813479615E-2</v>
      </c>
      <c r="G1264" s="9">
        <f t="shared" si="59"/>
        <v>7.5986189655393409E-3</v>
      </c>
    </row>
    <row r="1265" spans="1:7" x14ac:dyDescent="0.2">
      <c r="A1265" s="12">
        <v>38974</v>
      </c>
      <c r="B1265" s="9">
        <v>2569.5</v>
      </c>
      <c r="C1265" s="9">
        <v>2540.37</v>
      </c>
      <c r="D1265" s="9">
        <v>2553.4</v>
      </c>
      <c r="E1265" s="9">
        <f t="shared" si="57"/>
        <v>1.8031442304663626E-3</v>
      </c>
      <c r="F1265" s="9">
        <f t="shared" si="58"/>
        <v>4.0309737036049009E-2</v>
      </c>
      <c r="G1265" s="9">
        <f t="shared" si="59"/>
        <v>7.4246699156768677E-3</v>
      </c>
    </row>
    <row r="1266" spans="1:7" x14ac:dyDescent="0.2">
      <c r="A1266" s="12">
        <v>38975</v>
      </c>
      <c r="B1266" s="9">
        <v>2566.96</v>
      </c>
      <c r="C1266" s="9">
        <v>2542.25</v>
      </c>
      <c r="D1266" s="9">
        <v>2559.0700000000002</v>
      </c>
      <c r="E1266" s="9">
        <f t="shared" si="57"/>
        <v>2.2181068347388632E-3</v>
      </c>
      <c r="F1266" s="9">
        <f t="shared" si="58"/>
        <v>3.1256327127842841E-2</v>
      </c>
      <c r="G1266" s="9">
        <f t="shared" si="59"/>
        <v>7.1874318373248494E-3</v>
      </c>
    </row>
    <row r="1267" spans="1:7" x14ac:dyDescent="0.2">
      <c r="A1267" s="12">
        <v>38978</v>
      </c>
      <c r="B1267" s="9">
        <v>2566.06</v>
      </c>
      <c r="C1267" s="9">
        <v>2550.19</v>
      </c>
      <c r="D1267" s="9">
        <v>2558.7800000000002</v>
      </c>
      <c r="E1267" s="9">
        <f t="shared" si="57"/>
        <v>-1.1332883937995866E-4</v>
      </c>
      <c r="F1267" s="9">
        <f t="shared" si="58"/>
        <v>4.529733810926561E-2</v>
      </c>
      <c r="G1267" s="9">
        <f t="shared" si="59"/>
        <v>6.5966395012929148E-3</v>
      </c>
    </row>
    <row r="1268" spans="1:7" x14ac:dyDescent="0.2">
      <c r="A1268" s="12">
        <v>38979</v>
      </c>
      <c r="B1268" s="9">
        <v>2567.2399999999998</v>
      </c>
      <c r="C1268" s="9">
        <v>2546.4899999999998</v>
      </c>
      <c r="D1268" s="9">
        <v>2550.08</v>
      </c>
      <c r="E1268" s="9">
        <f t="shared" si="57"/>
        <v>-3.4058511722261523E-3</v>
      </c>
      <c r="F1268" s="9">
        <f t="shared" si="58"/>
        <v>3.3551657681338054E-2</v>
      </c>
      <c r="G1268" s="9">
        <f t="shared" si="59"/>
        <v>6.5254730810249927E-3</v>
      </c>
    </row>
    <row r="1269" spans="1:7" x14ac:dyDescent="0.2">
      <c r="A1269" s="12">
        <v>38980</v>
      </c>
      <c r="B1269" s="9">
        <v>2560.9299999999998</v>
      </c>
      <c r="C1269" s="9">
        <v>2539.9299999999998</v>
      </c>
      <c r="D1269" s="9">
        <v>2560.86</v>
      </c>
      <c r="E1269" s="9">
        <f t="shared" si="57"/>
        <v>4.2184083498571518E-3</v>
      </c>
      <c r="F1269" s="9">
        <f t="shared" si="58"/>
        <v>3.3597820546479716E-2</v>
      </c>
      <c r="G1269" s="9">
        <f t="shared" si="59"/>
        <v>6.5262234380804385E-3</v>
      </c>
    </row>
    <row r="1270" spans="1:7" x14ac:dyDescent="0.2">
      <c r="A1270" s="12">
        <v>38981</v>
      </c>
      <c r="B1270" s="9">
        <v>2576.56</v>
      </c>
      <c r="C1270" s="9">
        <v>2558.25</v>
      </c>
      <c r="D1270" s="9">
        <v>2569.8200000000002</v>
      </c>
      <c r="E1270" s="9">
        <f t="shared" si="57"/>
        <v>3.4927179666802248E-3</v>
      </c>
      <c r="F1270" s="9">
        <f t="shared" si="58"/>
        <v>4.0719528261072328E-2</v>
      </c>
      <c r="G1270" s="9">
        <f t="shared" si="59"/>
        <v>6.4768645996099083E-3</v>
      </c>
    </row>
    <row r="1271" spans="1:7" x14ac:dyDescent="0.2">
      <c r="A1271" s="12">
        <v>38982</v>
      </c>
      <c r="B1271" s="9">
        <v>2567.3000000000002</v>
      </c>
      <c r="C1271" s="9">
        <v>2531.7800000000002</v>
      </c>
      <c r="D1271" s="9">
        <v>2532.98</v>
      </c>
      <c r="E1271" s="9">
        <f t="shared" si="57"/>
        <v>-1.4439382331177258E-2</v>
      </c>
      <c r="F1271" s="9">
        <f t="shared" si="58"/>
        <v>2.4518623195193132E-2</v>
      </c>
      <c r="G1271" s="9">
        <f t="shared" si="59"/>
        <v>7.0885211869491337E-3</v>
      </c>
    </row>
    <row r="1272" spans="1:7" x14ac:dyDescent="0.2">
      <c r="A1272" s="12">
        <v>38985</v>
      </c>
      <c r="B1272" s="9">
        <v>2537.65</v>
      </c>
      <c r="C1272" s="9">
        <v>2496.83</v>
      </c>
      <c r="D1272" s="9">
        <v>2501.92</v>
      </c>
      <c r="E1272" s="9">
        <f t="shared" si="57"/>
        <v>-1.2338038099543328E-2</v>
      </c>
      <c r="F1272" s="9">
        <f t="shared" si="58"/>
        <v>5.1050981423627542E-3</v>
      </c>
      <c r="G1272" s="9">
        <f t="shared" si="59"/>
        <v>7.3777427231515348E-3</v>
      </c>
    </row>
    <row r="1273" spans="1:7" x14ac:dyDescent="0.2">
      <c r="A1273" s="12">
        <v>38986</v>
      </c>
      <c r="B1273" s="9">
        <v>2537.09</v>
      </c>
      <c r="C1273" s="9">
        <v>2503.9699999999998</v>
      </c>
      <c r="D1273" s="9">
        <v>2532.66</v>
      </c>
      <c r="E1273" s="9">
        <f t="shared" si="57"/>
        <v>1.2211696709146158E-2</v>
      </c>
      <c r="F1273" s="9">
        <f t="shared" si="58"/>
        <v>1.3787728555998765E-2</v>
      </c>
      <c r="G1273" s="9">
        <f t="shared" si="59"/>
        <v>7.6782379208880968E-3</v>
      </c>
    </row>
    <row r="1274" spans="1:7" x14ac:dyDescent="0.2">
      <c r="A1274" s="12">
        <v>38987</v>
      </c>
      <c r="B1274" s="9">
        <v>2579.77</v>
      </c>
      <c r="C1274" s="9">
        <v>2533.44</v>
      </c>
      <c r="D1274" s="9">
        <v>2575.14</v>
      </c>
      <c r="E1274" s="9">
        <f t="shared" si="57"/>
        <v>1.6633767747592128E-2</v>
      </c>
      <c r="F1274" s="9">
        <f t="shared" si="58"/>
        <v>1.5497269460235467E-2</v>
      </c>
      <c r="G1274" s="9">
        <f t="shared" si="59"/>
        <v>7.7947499471053821E-3</v>
      </c>
    </row>
    <row r="1275" spans="1:7" x14ac:dyDescent="0.2">
      <c r="A1275" s="12">
        <v>38988</v>
      </c>
      <c r="B1275" s="9">
        <v>2589.06</v>
      </c>
      <c r="C1275" s="9">
        <v>2571.4899999999998</v>
      </c>
      <c r="D1275" s="9">
        <v>2589.02</v>
      </c>
      <c r="E1275" s="9">
        <f t="shared" si="57"/>
        <v>5.3755241601052741E-3</v>
      </c>
      <c r="F1275" s="9">
        <f t="shared" si="58"/>
        <v>1.9091722931213667E-2</v>
      </c>
      <c r="G1275" s="9">
        <f t="shared" si="59"/>
        <v>7.8423374384787251E-3</v>
      </c>
    </row>
    <row r="1276" spans="1:7" x14ac:dyDescent="0.2">
      <c r="A1276" s="12">
        <v>38989</v>
      </c>
      <c r="B1276" s="9">
        <v>2597.8000000000002</v>
      </c>
      <c r="C1276" s="9">
        <v>2583.16</v>
      </c>
      <c r="D1276" s="9">
        <v>2594.4899999999998</v>
      </c>
      <c r="E1276" s="9">
        <f t="shared" si="57"/>
        <v>2.1105397811343142E-3</v>
      </c>
      <c r="F1276" s="9">
        <f t="shared" si="58"/>
        <v>2.3377804499748585E-2</v>
      </c>
      <c r="G1276" s="9">
        <f t="shared" si="59"/>
        <v>7.828372886114373E-3</v>
      </c>
    </row>
    <row r="1277" spans="1:7" x14ac:dyDescent="0.2">
      <c r="A1277" s="12">
        <v>38992</v>
      </c>
      <c r="B1277" s="9">
        <v>2599.54</v>
      </c>
      <c r="C1277" s="9">
        <v>2574.5300000000002</v>
      </c>
      <c r="D1277" s="9">
        <v>2588.92</v>
      </c>
      <c r="E1277" s="9">
        <f t="shared" si="57"/>
        <v>-2.1491651804290994E-3</v>
      </c>
      <c r="F1277" s="9">
        <f t="shared" si="58"/>
        <v>1.8478473088271923E-2</v>
      </c>
      <c r="G1277" s="9">
        <f t="shared" si="59"/>
        <v>7.8369380202640074E-3</v>
      </c>
    </row>
    <row r="1278" spans="1:7" x14ac:dyDescent="0.2">
      <c r="A1278" s="12">
        <v>38993</v>
      </c>
      <c r="B1278" s="9">
        <v>2589.15</v>
      </c>
      <c r="C1278" s="9">
        <v>2556.67</v>
      </c>
      <c r="D1278" s="9">
        <v>2578.04</v>
      </c>
      <c r="E1278" s="9">
        <f t="shared" si="57"/>
        <v>-4.2113800301853063E-3</v>
      </c>
      <c r="F1278" s="9">
        <f t="shared" si="58"/>
        <v>2.6994867950583014E-3</v>
      </c>
      <c r="G1278" s="9">
        <f t="shared" si="59"/>
        <v>7.6025753959070739E-3</v>
      </c>
    </row>
    <row r="1279" spans="1:7" x14ac:dyDescent="0.2">
      <c r="A1279" s="12">
        <v>38994</v>
      </c>
      <c r="B1279" s="9">
        <v>2585.4899999999998</v>
      </c>
      <c r="C1279" s="9">
        <v>2564.96</v>
      </c>
      <c r="D1279" s="9">
        <v>2571.86</v>
      </c>
      <c r="E1279" s="9">
        <f t="shared" si="57"/>
        <v>-2.4000477549147433E-3</v>
      </c>
      <c r="F1279" s="9">
        <f t="shared" si="58"/>
        <v>4.3018528431375252E-3</v>
      </c>
      <c r="G1279" s="9">
        <f t="shared" si="59"/>
        <v>7.5784230524023749E-3</v>
      </c>
    </row>
    <row r="1280" spans="1:7" x14ac:dyDescent="0.2">
      <c r="A1280" s="12">
        <v>38995</v>
      </c>
      <c r="B1280" s="9">
        <v>2607.62</v>
      </c>
      <c r="C1280" s="9">
        <v>2571.7199999999998</v>
      </c>
      <c r="D1280" s="9">
        <v>2606.89</v>
      </c>
      <c r="E1280" s="9">
        <f t="shared" si="57"/>
        <v>1.3528567422829802E-2</v>
      </c>
      <c r="F1280" s="9">
        <f t="shared" si="58"/>
        <v>2.110817555424483E-2</v>
      </c>
      <c r="G1280" s="9">
        <f t="shared" si="59"/>
        <v>7.9298342558095855E-3</v>
      </c>
    </row>
    <row r="1281" spans="1:7" x14ac:dyDescent="0.2">
      <c r="A1281" s="12">
        <v>38996</v>
      </c>
      <c r="B1281" s="9">
        <v>2614.4499999999998</v>
      </c>
      <c r="C1281" s="9">
        <v>2597.92</v>
      </c>
      <c r="D1281" s="9">
        <v>2607.58</v>
      </c>
      <c r="E1281" s="9">
        <f t="shared" si="57"/>
        <v>2.6464818247187689E-4</v>
      </c>
      <c r="F1281" s="9">
        <f t="shared" si="58"/>
        <v>2.2631235364130014E-2</v>
      </c>
      <c r="G1281" s="9">
        <f t="shared" si="59"/>
        <v>7.921711143856423E-3</v>
      </c>
    </row>
    <row r="1282" spans="1:7" x14ac:dyDescent="0.2">
      <c r="A1282" s="12">
        <v>38999</v>
      </c>
      <c r="B1282" s="9">
        <v>2623.95</v>
      </c>
      <c r="C1282" s="9">
        <v>2603.0700000000002</v>
      </c>
      <c r="D1282" s="9">
        <v>2622.29</v>
      </c>
      <c r="E1282" s="9">
        <f t="shared" si="57"/>
        <v>5.6253936681185199E-3</v>
      </c>
      <c r="F1282" s="9">
        <f t="shared" si="58"/>
        <v>2.4333735001189218E-2</v>
      </c>
      <c r="G1282" s="9">
        <f t="shared" si="59"/>
        <v>7.9512358848442474E-3</v>
      </c>
    </row>
    <row r="1283" spans="1:7" x14ac:dyDescent="0.2">
      <c r="A1283" s="12">
        <v>39000</v>
      </c>
      <c r="B1283" s="9">
        <v>2656.49</v>
      </c>
      <c r="C1283" s="9">
        <v>2622.25</v>
      </c>
      <c r="D1283" s="9">
        <v>2653.61</v>
      </c>
      <c r="E1283" s="9">
        <f t="shared" si="57"/>
        <v>1.1872995290153638E-2</v>
      </c>
      <c r="F1283" s="9">
        <f t="shared" si="58"/>
        <v>3.5144483304974973E-2</v>
      </c>
      <c r="G1283" s="9">
        <f t="shared" si="59"/>
        <v>8.2039700041505476E-3</v>
      </c>
    </row>
    <row r="1284" spans="1:7" x14ac:dyDescent="0.2">
      <c r="A1284" s="12">
        <v>39001</v>
      </c>
      <c r="B1284" s="9">
        <v>2668.45</v>
      </c>
      <c r="C1284" s="9">
        <v>2643.74</v>
      </c>
      <c r="D1284" s="9">
        <v>2667.05</v>
      </c>
      <c r="E1284" s="9">
        <f t="shared" ref="E1284:E1347" si="60">LN(D1284/D1283)</f>
        <v>5.0520155715991551E-3</v>
      </c>
      <c r="F1284" s="9">
        <f t="shared" si="58"/>
        <v>3.3788427785184871E-2</v>
      </c>
      <c r="G1284" s="9">
        <f t="shared" si="59"/>
        <v>8.1778168666238136E-3</v>
      </c>
    </row>
    <row r="1285" spans="1:7" x14ac:dyDescent="0.2">
      <c r="A1285" s="12">
        <v>39002</v>
      </c>
      <c r="B1285" s="9">
        <v>2692.1</v>
      </c>
      <c r="C1285" s="9">
        <v>2665.7</v>
      </c>
      <c r="D1285" s="9">
        <v>2691.73</v>
      </c>
      <c r="E1285" s="9">
        <f t="shared" si="60"/>
        <v>9.211116894877875E-3</v>
      </c>
      <c r="F1285" s="9">
        <f t="shared" si="58"/>
        <v>4.8373790075999221E-2</v>
      </c>
      <c r="G1285" s="9">
        <f t="shared" si="59"/>
        <v>8.2115154833977758E-3</v>
      </c>
    </row>
    <row r="1286" spans="1:7" x14ac:dyDescent="0.2">
      <c r="A1286" s="12">
        <v>39003</v>
      </c>
      <c r="B1286" s="9">
        <v>2705.76</v>
      </c>
      <c r="C1286" s="9">
        <v>2683.68</v>
      </c>
      <c r="D1286" s="9">
        <v>2694.27</v>
      </c>
      <c r="E1286" s="9">
        <f t="shared" si="60"/>
        <v>9.4318610779744571E-4</v>
      </c>
      <c r="F1286" s="9">
        <f t="shared" si="58"/>
        <v>5.1120037191889456E-2</v>
      </c>
      <c r="G1286" s="9">
        <f t="shared" si="59"/>
        <v>8.1873985580813175E-3</v>
      </c>
    </row>
    <row r="1287" spans="1:7" x14ac:dyDescent="0.2">
      <c r="A1287" s="12">
        <v>39006</v>
      </c>
      <c r="B1287" s="9">
        <v>2718.69</v>
      </c>
      <c r="C1287" s="9">
        <v>2694.27</v>
      </c>
      <c r="D1287" s="9">
        <v>2717.56</v>
      </c>
      <c r="E1287" s="9">
        <f t="shared" si="60"/>
        <v>8.6071232029622628E-3</v>
      </c>
      <c r="F1287" s="9">
        <f t="shared" si="58"/>
        <v>5.3453909692559906E-2</v>
      </c>
      <c r="G1287" s="9">
        <f t="shared" si="59"/>
        <v>8.2432100504592626E-3</v>
      </c>
    </row>
    <row r="1288" spans="1:7" x14ac:dyDescent="0.2">
      <c r="A1288" s="12">
        <v>39007</v>
      </c>
      <c r="B1288" s="9">
        <v>2719.01</v>
      </c>
      <c r="C1288" s="9">
        <v>2681.14</v>
      </c>
      <c r="D1288" s="9">
        <v>2686.04</v>
      </c>
      <c r="E1288" s="9">
        <f t="shared" si="60"/>
        <v>-1.1666428863399593E-2</v>
      </c>
      <c r="F1288" s="9">
        <f t="shared" si="58"/>
        <v>4.6823216319363981E-2</v>
      </c>
      <c r="G1288" s="9">
        <f t="shared" si="59"/>
        <v>8.5166679155700992E-3</v>
      </c>
    </row>
    <row r="1289" spans="1:7" x14ac:dyDescent="0.2">
      <c r="A1289" s="12">
        <v>39008</v>
      </c>
      <c r="B1289" s="9">
        <v>2747.49</v>
      </c>
      <c r="C1289" s="9">
        <v>2683.27</v>
      </c>
      <c r="D1289" s="9">
        <v>2734.55</v>
      </c>
      <c r="E1289" s="9">
        <f t="shared" si="60"/>
        <v>1.7898898493006663E-2</v>
      </c>
      <c r="F1289" s="9">
        <f t="shared" si="58"/>
        <v>7.6582257130616699E-2</v>
      </c>
      <c r="G1289" s="9">
        <f t="shared" si="59"/>
        <v>8.6318748644066863E-3</v>
      </c>
    </row>
    <row r="1290" spans="1:7" x14ac:dyDescent="0.2">
      <c r="A1290" s="12">
        <v>39009</v>
      </c>
      <c r="B1290" s="9">
        <v>2739.19</v>
      </c>
      <c r="C1290" s="9">
        <v>2716.85</v>
      </c>
      <c r="D1290" s="9">
        <v>2737.78</v>
      </c>
      <c r="E1290" s="9">
        <f t="shared" si="60"/>
        <v>1.1804845011524506E-3</v>
      </c>
      <c r="F1290" s="9">
        <f t="shared" si="58"/>
        <v>9.0524696242731836E-2</v>
      </c>
      <c r="G1290" s="9">
        <f t="shared" si="59"/>
        <v>8.1402196177123021E-3</v>
      </c>
    </row>
    <row r="1291" spans="1:7" x14ac:dyDescent="0.2">
      <c r="A1291" s="12">
        <v>39010</v>
      </c>
      <c r="B1291" s="9">
        <v>2750.92</v>
      </c>
      <c r="C1291" s="9">
        <v>2730.02</v>
      </c>
      <c r="D1291" s="9">
        <v>2740.39</v>
      </c>
      <c r="E1291" s="9">
        <f t="shared" si="60"/>
        <v>9.5287302054613426E-4</v>
      </c>
      <c r="F1291" s="9">
        <f t="shared" si="58"/>
        <v>8.5382213583215572E-2</v>
      </c>
      <c r="G1291" s="9">
        <f t="shared" si="59"/>
        <v>8.1273059706765387E-3</v>
      </c>
    </row>
    <row r="1292" spans="1:7" x14ac:dyDescent="0.2">
      <c r="A1292" s="12">
        <v>39013</v>
      </c>
      <c r="B1292" s="9">
        <v>2749.9</v>
      </c>
      <c r="C1292" s="9">
        <v>2722.53</v>
      </c>
      <c r="D1292" s="9">
        <v>2746.72</v>
      </c>
      <c r="E1292" s="9">
        <f t="shared" si="60"/>
        <v>2.3072265028538934E-3</v>
      </c>
      <c r="F1292" s="9">
        <f t="shared" si="58"/>
        <v>9.4636875913214666E-2</v>
      </c>
      <c r="G1292" s="9">
        <f t="shared" si="59"/>
        <v>7.9156382420197385E-3</v>
      </c>
    </row>
    <row r="1293" spans="1:7" x14ac:dyDescent="0.2">
      <c r="A1293" s="12">
        <v>39014</v>
      </c>
      <c r="B1293" s="9">
        <v>2756.62</v>
      </c>
      <c r="C1293" s="9">
        <v>2745.29</v>
      </c>
      <c r="D1293" s="9">
        <v>2754.64</v>
      </c>
      <c r="E1293" s="9">
        <f t="shared" si="60"/>
        <v>2.8792900197786757E-3</v>
      </c>
      <c r="F1293" s="9">
        <f t="shared" si="58"/>
        <v>8.4794769731426661E-2</v>
      </c>
      <c r="G1293" s="9">
        <f t="shared" si="59"/>
        <v>7.7066587895060342E-3</v>
      </c>
    </row>
    <row r="1294" spans="1:7" x14ac:dyDescent="0.2">
      <c r="A1294" s="12">
        <v>39015</v>
      </c>
      <c r="B1294" s="9">
        <v>2763.61</v>
      </c>
      <c r="C1294" s="9">
        <v>2744.36</v>
      </c>
      <c r="D1294" s="9">
        <v>2746.8</v>
      </c>
      <c r="E1294" s="9">
        <f t="shared" si="60"/>
        <v>-2.8501647958762877E-3</v>
      </c>
      <c r="F1294" s="9">
        <f t="shared" si="58"/>
        <v>7.4813937590737331E-2</v>
      </c>
      <c r="G1294" s="9">
        <f t="shared" si="59"/>
        <v>7.7298415197327571E-3</v>
      </c>
    </row>
    <row r="1295" spans="1:7" x14ac:dyDescent="0.2">
      <c r="A1295" s="12">
        <v>39016</v>
      </c>
      <c r="B1295" s="9">
        <v>2780.04</v>
      </c>
      <c r="C1295" s="9">
        <v>2746.8</v>
      </c>
      <c r="D1295" s="9">
        <v>2749.06</v>
      </c>
      <c r="E1295" s="9">
        <f t="shared" si="60"/>
        <v>8.2243729912672412E-4</v>
      </c>
      <c r="F1295" s="9">
        <f t="shared" si="58"/>
        <v>7.3833230659397439E-2</v>
      </c>
      <c r="G1295" s="9">
        <f t="shared" si="59"/>
        <v>7.7349351510883207E-3</v>
      </c>
    </row>
    <row r="1296" spans="1:7" x14ac:dyDescent="0.2">
      <c r="A1296" s="12">
        <v>39017</v>
      </c>
      <c r="B1296" s="9">
        <v>2763.38</v>
      </c>
      <c r="C1296" s="9">
        <v>2745.15</v>
      </c>
      <c r="D1296" s="9">
        <v>2758.2</v>
      </c>
      <c r="E1296" s="9">
        <f t="shared" si="60"/>
        <v>3.3192579945892178E-3</v>
      </c>
      <c r="F1296" s="9">
        <f t="shared" si="58"/>
        <v>7.49343818192479E-2</v>
      </c>
      <c r="G1296" s="9">
        <f t="shared" si="59"/>
        <v>7.7363548101143514E-3</v>
      </c>
    </row>
    <row r="1297" spans="1:7" x14ac:dyDescent="0.2">
      <c r="A1297" s="12">
        <v>39020</v>
      </c>
      <c r="B1297" s="9">
        <v>2758.2</v>
      </c>
      <c r="C1297" s="9">
        <v>2718.7</v>
      </c>
      <c r="D1297" s="9">
        <v>2744.27</v>
      </c>
      <c r="E1297" s="9">
        <f t="shared" si="60"/>
        <v>-5.0631915336219382E-3</v>
      </c>
      <c r="F1297" s="9">
        <f t="shared" si="58"/>
        <v>6.9984519125005862E-2</v>
      </c>
      <c r="G1297" s="9">
        <f t="shared" si="59"/>
        <v>7.8459706486266011E-3</v>
      </c>
    </row>
    <row r="1298" spans="1:7" x14ac:dyDescent="0.2">
      <c r="A1298" s="12">
        <v>39021</v>
      </c>
      <c r="B1298" s="9">
        <v>2757.95</v>
      </c>
      <c r="C1298" s="9">
        <v>2740.42</v>
      </c>
      <c r="D1298" s="9">
        <v>2752.84</v>
      </c>
      <c r="E1298" s="9">
        <f t="shared" si="60"/>
        <v>3.118004530778257E-3</v>
      </c>
      <c r="F1298" s="9">
        <f t="shared" si="58"/>
        <v>7.6508374828010262E-2</v>
      </c>
      <c r="G1298" s="9">
        <f t="shared" si="59"/>
        <v>7.7714861679014568E-3</v>
      </c>
    </row>
    <row r="1299" spans="1:7" x14ac:dyDescent="0.2">
      <c r="A1299" s="12">
        <v>39022</v>
      </c>
      <c r="B1299" s="9">
        <v>2755.54</v>
      </c>
      <c r="C1299" s="9">
        <v>2741.28</v>
      </c>
      <c r="D1299" s="9">
        <v>2745.19</v>
      </c>
      <c r="E1299" s="9">
        <f t="shared" si="60"/>
        <v>-2.7828167313905354E-3</v>
      </c>
      <c r="F1299" s="9">
        <f t="shared" si="58"/>
        <v>6.9507149746762656E-2</v>
      </c>
      <c r="G1299" s="9">
        <f t="shared" si="59"/>
        <v>7.8246059109674804E-3</v>
      </c>
    </row>
    <row r="1300" spans="1:7" x14ac:dyDescent="0.2">
      <c r="A1300" s="12">
        <v>39023</v>
      </c>
      <c r="B1300" s="9">
        <v>2745.48</v>
      </c>
      <c r="C1300" s="9">
        <v>2695.36</v>
      </c>
      <c r="D1300" s="9">
        <v>2711.04</v>
      </c>
      <c r="E1300" s="9">
        <f t="shared" si="60"/>
        <v>-1.2517964213125598E-2</v>
      </c>
      <c r="F1300" s="9">
        <f t="shared" si="58"/>
        <v>5.3496467566956883E-2</v>
      </c>
      <c r="G1300" s="9">
        <f t="shared" si="59"/>
        <v>8.2747129315807206E-3</v>
      </c>
    </row>
    <row r="1301" spans="1:7" x14ac:dyDescent="0.2">
      <c r="A1301" s="12">
        <v>39024</v>
      </c>
      <c r="B1301" s="9">
        <v>2723.27</v>
      </c>
      <c r="C1301" s="9">
        <v>2704.59</v>
      </c>
      <c r="D1301" s="9">
        <v>2715.59</v>
      </c>
      <c r="E1301" s="9">
        <f t="shared" si="60"/>
        <v>1.6769159003782725E-3</v>
      </c>
      <c r="F1301" s="9">
        <f t="shared" si="58"/>
        <v>6.961276579851236E-2</v>
      </c>
      <c r="G1301" s="9">
        <f t="shared" si="59"/>
        <v>7.6875091919963697E-3</v>
      </c>
    </row>
    <row r="1302" spans="1:7" x14ac:dyDescent="0.2">
      <c r="A1302" s="12">
        <v>39027</v>
      </c>
      <c r="B1302" s="9">
        <v>2757.18</v>
      </c>
      <c r="C1302" s="9">
        <v>2715.45</v>
      </c>
      <c r="D1302" s="9">
        <v>2755.49</v>
      </c>
      <c r="E1302" s="9">
        <f t="shared" si="60"/>
        <v>1.4586044218023416E-2</v>
      </c>
      <c r="F1302" s="9">
        <f t="shared" si="58"/>
        <v>9.6536848116079002E-2</v>
      </c>
      <c r="G1302" s="9">
        <f t="shared" si="59"/>
        <v>7.4861882834651537E-3</v>
      </c>
    </row>
    <row r="1303" spans="1:7" x14ac:dyDescent="0.2">
      <c r="A1303" s="12">
        <v>39028</v>
      </c>
      <c r="B1303" s="9">
        <v>2778.93</v>
      </c>
      <c r="C1303" s="9">
        <v>2754.6</v>
      </c>
      <c r="D1303" s="9">
        <v>2778.33</v>
      </c>
      <c r="E1303" s="9">
        <f t="shared" si="60"/>
        <v>8.2547425447377001E-3</v>
      </c>
      <c r="F1303" s="9">
        <f t="shared" si="58"/>
        <v>9.25798939516706E-2</v>
      </c>
      <c r="G1303" s="9">
        <f t="shared" si="59"/>
        <v>7.3559895434783303E-3</v>
      </c>
    </row>
    <row r="1304" spans="1:7" x14ac:dyDescent="0.2">
      <c r="A1304" s="12">
        <v>39029</v>
      </c>
      <c r="B1304" s="9">
        <v>2778.33</v>
      </c>
      <c r="C1304" s="9">
        <v>2759.49</v>
      </c>
      <c r="D1304" s="9">
        <v>2776.11</v>
      </c>
      <c r="E1304" s="9">
        <f t="shared" si="60"/>
        <v>-7.9936055415514456E-4</v>
      </c>
      <c r="F1304" s="9">
        <f t="shared" si="58"/>
        <v>7.51467656499233E-2</v>
      </c>
      <c r="G1304" s="9">
        <f t="shared" si="59"/>
        <v>6.9247938094016276E-3</v>
      </c>
    </row>
    <row r="1305" spans="1:7" x14ac:dyDescent="0.2">
      <c r="A1305" s="12">
        <v>39030</v>
      </c>
      <c r="B1305" s="9">
        <v>2818.99</v>
      </c>
      <c r="C1305" s="9">
        <v>2776.11</v>
      </c>
      <c r="D1305" s="9">
        <v>2805.64</v>
      </c>
      <c r="E1305" s="9">
        <f t="shared" si="60"/>
        <v>1.0581009722359518E-2</v>
      </c>
      <c r="F1305" s="9">
        <f t="shared" si="58"/>
        <v>8.0352251212177594E-2</v>
      </c>
      <c r="G1305" s="9">
        <f t="shared" si="59"/>
        <v>7.0630417895017573E-3</v>
      </c>
    </row>
    <row r="1306" spans="1:7" x14ac:dyDescent="0.2">
      <c r="A1306" s="12">
        <v>39031</v>
      </c>
      <c r="B1306" s="9">
        <v>2805.6</v>
      </c>
      <c r="C1306" s="9">
        <v>2780.8</v>
      </c>
      <c r="D1306" s="9">
        <v>2794.27</v>
      </c>
      <c r="E1306" s="9">
        <f t="shared" si="60"/>
        <v>-4.0607851284208797E-3</v>
      </c>
      <c r="F1306" s="9">
        <f t="shared" si="58"/>
        <v>7.4180926302622407E-2</v>
      </c>
      <c r="G1306" s="9">
        <f t="shared" si="59"/>
        <v>7.1692229325393073E-3</v>
      </c>
    </row>
    <row r="1307" spans="1:7" x14ac:dyDescent="0.2">
      <c r="A1307" s="12">
        <v>39034</v>
      </c>
      <c r="B1307" s="9">
        <v>2801.04</v>
      </c>
      <c r="C1307" s="9">
        <v>2784.6</v>
      </c>
      <c r="D1307" s="9">
        <v>2791.43</v>
      </c>
      <c r="E1307" s="9">
        <f t="shared" si="60"/>
        <v>-1.0168824837443241E-3</v>
      </c>
      <c r="F1307" s="9">
        <f t="shared" si="58"/>
        <v>7.5313208999307088E-2</v>
      </c>
      <c r="G1307" s="9">
        <f t="shared" si="59"/>
        <v>7.1469978855235889E-3</v>
      </c>
    </row>
    <row r="1308" spans="1:7" x14ac:dyDescent="0.2">
      <c r="A1308" s="12">
        <v>39035</v>
      </c>
      <c r="B1308" s="9">
        <v>2815.08</v>
      </c>
      <c r="C1308" s="9">
        <v>2791.43</v>
      </c>
      <c r="D1308" s="9">
        <v>2809.67</v>
      </c>
      <c r="E1308" s="9">
        <f t="shared" si="60"/>
        <v>6.5130293969660989E-3</v>
      </c>
      <c r="F1308" s="9">
        <f t="shared" si="58"/>
        <v>8.6037618426458559E-2</v>
      </c>
      <c r="G1308" s="9">
        <f t="shared" si="59"/>
        <v>7.0669504474409669E-3</v>
      </c>
    </row>
    <row r="1309" spans="1:7" x14ac:dyDescent="0.2">
      <c r="A1309" s="12">
        <v>39036</v>
      </c>
      <c r="B1309" s="9">
        <v>2842.17</v>
      </c>
      <c r="C1309" s="9">
        <v>2809.54</v>
      </c>
      <c r="D1309" s="9">
        <v>2842.04</v>
      </c>
      <c r="E1309" s="9">
        <f t="shared" si="60"/>
        <v>1.1455065444332798E-2</v>
      </c>
      <c r="F1309" s="9">
        <f t="shared" si="58"/>
        <v>9.9892731625706138E-2</v>
      </c>
      <c r="G1309" s="9">
        <f t="shared" si="59"/>
        <v>7.1628847742207106E-3</v>
      </c>
    </row>
    <row r="1310" spans="1:7" x14ac:dyDescent="0.2">
      <c r="A1310" s="12">
        <v>39037</v>
      </c>
      <c r="B1310" s="9">
        <v>2846.26</v>
      </c>
      <c r="C1310" s="9">
        <v>2831.44</v>
      </c>
      <c r="D1310" s="9">
        <v>2838.53</v>
      </c>
      <c r="E1310" s="9">
        <f t="shared" si="60"/>
        <v>-1.235791635945052E-3</v>
      </c>
      <c r="F1310" s="9">
        <f t="shared" si="58"/>
        <v>8.5128372566931274E-2</v>
      </c>
      <c r="G1310" s="9">
        <f t="shared" si="59"/>
        <v>6.9417848793382024E-3</v>
      </c>
    </row>
    <row r="1311" spans="1:7" x14ac:dyDescent="0.2">
      <c r="A1311" s="12">
        <v>39038</v>
      </c>
      <c r="B1311" s="9">
        <v>2841.34</v>
      </c>
      <c r="C1311" s="9">
        <v>2804.97</v>
      </c>
      <c r="D1311" s="9">
        <v>2813.56</v>
      </c>
      <c r="E1311" s="9">
        <f t="shared" si="60"/>
        <v>-8.835727120622824E-3</v>
      </c>
      <c r="F1311" s="9">
        <f t="shared" si="58"/>
        <v>7.6027997263836355E-2</v>
      </c>
      <c r="G1311" s="9">
        <f t="shared" si="59"/>
        <v>7.2500870197877449E-3</v>
      </c>
    </row>
    <row r="1312" spans="1:7" x14ac:dyDescent="0.2">
      <c r="A1312" s="12">
        <v>39041</v>
      </c>
      <c r="B1312" s="9">
        <v>2816</v>
      </c>
      <c r="C1312" s="9">
        <v>2788.81</v>
      </c>
      <c r="D1312" s="9">
        <v>2814.56</v>
      </c>
      <c r="E1312" s="9">
        <f t="shared" si="60"/>
        <v>3.5535845380814515E-4</v>
      </c>
      <c r="F1312" s="9">
        <f t="shared" si="58"/>
        <v>7.075796204952603E-2</v>
      </c>
      <c r="G1312" s="9">
        <f t="shared" si="59"/>
        <v>7.2364400903003022E-3</v>
      </c>
    </row>
    <row r="1313" spans="1:7" x14ac:dyDescent="0.2">
      <c r="A1313" s="12">
        <v>39042</v>
      </c>
      <c r="B1313" s="9">
        <v>2833.91</v>
      </c>
      <c r="C1313" s="9">
        <v>2813.14</v>
      </c>
      <c r="D1313" s="9">
        <v>2830.97</v>
      </c>
      <c r="E1313" s="9">
        <f t="shared" si="60"/>
        <v>5.8134652429519124E-3</v>
      </c>
      <c r="F1313" s="9">
        <f t="shared" ref="F1313:F1376" si="61">LN(D1313/D1283)</f>
        <v>6.4698432002324266E-2</v>
      </c>
      <c r="G1313" s="9">
        <f t="shared" ref="G1313:G1376" si="62">STDEV(E1284:E1313)</f>
        <v>7.0437164976214746E-3</v>
      </c>
    </row>
    <row r="1314" spans="1:7" x14ac:dyDescent="0.2">
      <c r="A1314" s="12">
        <v>39043</v>
      </c>
      <c r="B1314" s="9">
        <v>2865.94</v>
      </c>
      <c r="C1314" s="9">
        <v>2830.99</v>
      </c>
      <c r="D1314" s="9">
        <v>2851.45</v>
      </c>
      <c r="E1314" s="9">
        <f t="shared" si="60"/>
        <v>7.2082277184168167E-3</v>
      </c>
      <c r="F1314" s="9">
        <f t="shared" si="61"/>
        <v>6.6854644149141967E-2</v>
      </c>
      <c r="G1314" s="9">
        <f t="shared" si="62"/>
        <v>7.0851588330909021E-3</v>
      </c>
    </row>
    <row r="1315" spans="1:7" x14ac:dyDescent="0.2">
      <c r="A1315" s="12">
        <v>39044</v>
      </c>
      <c r="B1315" s="9">
        <v>2865.57</v>
      </c>
      <c r="C1315" s="9">
        <v>2847.24</v>
      </c>
      <c r="D1315" s="9">
        <v>2854.46</v>
      </c>
      <c r="E1315" s="9">
        <f t="shared" si="60"/>
        <v>1.0550465321776026E-3</v>
      </c>
      <c r="F1315" s="9">
        <f t="shared" si="61"/>
        <v>5.8698573786441506E-2</v>
      </c>
      <c r="G1315" s="9">
        <f t="shared" si="62"/>
        <v>6.9634198719339116E-3</v>
      </c>
    </row>
    <row r="1316" spans="1:7" x14ac:dyDescent="0.2">
      <c r="A1316" s="12">
        <v>39045</v>
      </c>
      <c r="B1316" s="9">
        <v>2855.92</v>
      </c>
      <c r="C1316" s="9">
        <v>2816.58</v>
      </c>
      <c r="D1316" s="9">
        <v>2828.64</v>
      </c>
      <c r="E1316" s="9">
        <f t="shared" si="60"/>
        <v>-9.0866525864287517E-3</v>
      </c>
      <c r="F1316" s="9">
        <f t="shared" si="61"/>
        <v>4.8668735092215254E-2</v>
      </c>
      <c r="G1316" s="9">
        <f t="shared" si="62"/>
        <v>7.2486879222583437E-3</v>
      </c>
    </row>
    <row r="1317" spans="1:7" x14ac:dyDescent="0.2">
      <c r="A1317" s="12">
        <v>39048</v>
      </c>
      <c r="B1317" s="9">
        <v>2828.42</v>
      </c>
      <c r="C1317" s="9">
        <v>2767.69</v>
      </c>
      <c r="D1317" s="9">
        <v>2770.5</v>
      </c>
      <c r="E1317" s="9">
        <f t="shared" si="60"/>
        <v>-2.0768221450308568E-2</v>
      </c>
      <c r="F1317" s="9">
        <f t="shared" si="61"/>
        <v>1.9293390438944683E-2</v>
      </c>
      <c r="G1317" s="9">
        <f t="shared" si="62"/>
        <v>8.1949191624792125E-3</v>
      </c>
    </row>
    <row r="1318" spans="1:7" x14ac:dyDescent="0.2">
      <c r="A1318" s="12">
        <v>39049</v>
      </c>
      <c r="B1318" s="9">
        <v>2773.34</v>
      </c>
      <c r="C1318" s="9">
        <v>2735.75</v>
      </c>
      <c r="D1318" s="9">
        <v>2751.13</v>
      </c>
      <c r="E1318" s="9">
        <f t="shared" si="60"/>
        <v>-7.0160729558990317E-3</v>
      </c>
      <c r="F1318" s="9">
        <f t="shared" si="61"/>
        <v>2.394374634644527E-2</v>
      </c>
      <c r="G1318" s="9">
        <f t="shared" si="62"/>
        <v>7.9956060141161151E-3</v>
      </c>
    </row>
    <row r="1319" spans="1:7" x14ac:dyDescent="0.2">
      <c r="A1319" s="12">
        <v>39050</v>
      </c>
      <c r="B1319" s="9">
        <v>2804.5</v>
      </c>
      <c r="C1319" s="9">
        <v>2750.77</v>
      </c>
      <c r="D1319" s="9">
        <v>2804.47</v>
      </c>
      <c r="E1319" s="9">
        <f t="shared" si="60"/>
        <v>1.9202836445715719E-2</v>
      </c>
      <c r="F1319" s="9">
        <f t="shared" si="61"/>
        <v>2.5247684299154322E-2</v>
      </c>
      <c r="G1319" s="9">
        <f t="shared" si="62"/>
        <v>8.0947024502303257E-3</v>
      </c>
    </row>
    <row r="1320" spans="1:7" x14ac:dyDescent="0.2">
      <c r="A1320" s="12">
        <v>39051</v>
      </c>
      <c r="B1320" s="9">
        <v>2806.09</v>
      </c>
      <c r="C1320" s="9">
        <v>2771.46</v>
      </c>
      <c r="D1320" s="9">
        <v>2772.21</v>
      </c>
      <c r="E1320" s="9">
        <f t="shared" si="60"/>
        <v>-1.1569736781129825E-2</v>
      </c>
      <c r="F1320" s="9">
        <f t="shared" si="61"/>
        <v>1.2497463016872096E-2</v>
      </c>
      <c r="G1320" s="9">
        <f t="shared" si="62"/>
        <v>8.405066732432652E-3</v>
      </c>
    </row>
    <row r="1321" spans="1:7" x14ac:dyDescent="0.2">
      <c r="A1321" s="12">
        <v>39052</v>
      </c>
      <c r="B1321" s="9">
        <v>2791.27</v>
      </c>
      <c r="C1321" s="9">
        <v>2749.77</v>
      </c>
      <c r="D1321" s="9">
        <v>2764.32</v>
      </c>
      <c r="E1321" s="9">
        <f t="shared" si="60"/>
        <v>-2.8501625896191797E-3</v>
      </c>
      <c r="F1321" s="9">
        <f t="shared" si="61"/>
        <v>8.6944274067068828E-3</v>
      </c>
      <c r="G1321" s="9">
        <f t="shared" si="62"/>
        <v>8.42535411469242E-3</v>
      </c>
    </row>
    <row r="1322" spans="1:7" x14ac:dyDescent="0.2">
      <c r="A1322" s="12">
        <v>39055</v>
      </c>
      <c r="B1322" s="9">
        <v>2779.7</v>
      </c>
      <c r="C1322" s="9">
        <v>2755.18</v>
      </c>
      <c r="D1322" s="9">
        <v>2769.11</v>
      </c>
      <c r="E1322" s="9">
        <f t="shared" si="60"/>
        <v>1.7312954881352062E-3</v>
      </c>
      <c r="F1322" s="9">
        <f t="shared" si="61"/>
        <v>8.1184963919881444E-3</v>
      </c>
      <c r="G1322" s="9">
        <f t="shared" si="62"/>
        <v>8.4212539532079501E-3</v>
      </c>
    </row>
    <row r="1323" spans="1:7" x14ac:dyDescent="0.2">
      <c r="A1323" s="12">
        <v>39056</v>
      </c>
      <c r="B1323" s="9">
        <v>2811.79</v>
      </c>
      <c r="C1323" s="9">
        <v>2769.51</v>
      </c>
      <c r="D1323" s="9">
        <v>2811.29</v>
      </c>
      <c r="E1323" s="9">
        <f t="shared" si="60"/>
        <v>1.5117483803714037E-2</v>
      </c>
      <c r="F1323" s="9">
        <f t="shared" si="61"/>
        <v>2.0356690175923446E-2</v>
      </c>
      <c r="G1323" s="9">
        <f t="shared" si="62"/>
        <v>8.838083483186333E-3</v>
      </c>
    </row>
    <row r="1324" spans="1:7" x14ac:dyDescent="0.2">
      <c r="A1324" s="12">
        <v>39058</v>
      </c>
      <c r="B1324" s="9">
        <v>2840.22</v>
      </c>
      <c r="C1324" s="9">
        <v>2805.51</v>
      </c>
      <c r="D1324" s="9">
        <v>2838.22</v>
      </c>
      <c r="E1324" s="9">
        <f t="shared" si="60"/>
        <v>9.5336423770399723E-3</v>
      </c>
      <c r="F1324" s="9">
        <f t="shared" si="61"/>
        <v>3.2740497348839707E-2</v>
      </c>
      <c r="G1324" s="9">
        <f t="shared" si="62"/>
        <v>8.956000858416276E-3</v>
      </c>
    </row>
    <row r="1325" spans="1:7" x14ac:dyDescent="0.2">
      <c r="A1325" s="12">
        <v>39059</v>
      </c>
      <c r="B1325" s="9">
        <v>2838</v>
      </c>
      <c r="C1325" s="9">
        <v>2801.46</v>
      </c>
      <c r="D1325" s="9">
        <v>2826.09</v>
      </c>
      <c r="E1325" s="9">
        <f t="shared" si="60"/>
        <v>-4.2829642242394319E-3</v>
      </c>
      <c r="F1325" s="9">
        <f t="shared" si="61"/>
        <v>2.7635095825473639E-2</v>
      </c>
      <c r="G1325" s="9">
        <f t="shared" si="62"/>
        <v>9.0096321844054632E-3</v>
      </c>
    </row>
    <row r="1326" spans="1:7" x14ac:dyDescent="0.2">
      <c r="A1326" s="12">
        <v>39062</v>
      </c>
      <c r="B1326" s="9">
        <v>2850.87</v>
      </c>
      <c r="C1326" s="9">
        <v>2826.11</v>
      </c>
      <c r="D1326" s="9">
        <v>2843.55</v>
      </c>
      <c r="E1326" s="9">
        <f t="shared" si="60"/>
        <v>6.1591406845622337E-3</v>
      </c>
      <c r="F1326" s="9">
        <f t="shared" si="61"/>
        <v>3.0474978515446536E-2</v>
      </c>
      <c r="G1326" s="9">
        <f t="shared" si="62"/>
        <v>9.0505236491288162E-3</v>
      </c>
    </row>
    <row r="1327" spans="1:7" x14ac:dyDescent="0.2">
      <c r="A1327" s="12">
        <v>39063</v>
      </c>
      <c r="B1327" s="9">
        <v>2867.47</v>
      </c>
      <c r="C1327" s="9">
        <v>2838.69</v>
      </c>
      <c r="D1327" s="9">
        <v>2867.47</v>
      </c>
      <c r="E1327" s="9">
        <f t="shared" si="60"/>
        <v>8.3768363181358826E-3</v>
      </c>
      <c r="F1327" s="9">
        <f t="shared" si="61"/>
        <v>4.3915006367204239E-2</v>
      </c>
      <c r="G1327" s="9">
        <f t="shared" si="62"/>
        <v>9.0718512487120064E-3</v>
      </c>
    </row>
    <row r="1328" spans="1:7" x14ac:dyDescent="0.2">
      <c r="A1328" s="12">
        <v>39064</v>
      </c>
      <c r="B1328" s="9">
        <v>2877.62</v>
      </c>
      <c r="C1328" s="9">
        <v>2858.07</v>
      </c>
      <c r="D1328" s="9">
        <v>2876.21</v>
      </c>
      <c r="E1328" s="9">
        <f t="shared" si="60"/>
        <v>3.0433473820949647E-3</v>
      </c>
      <c r="F1328" s="9">
        <f t="shared" si="61"/>
        <v>4.3840349218520945E-2</v>
      </c>
      <c r="G1328" s="9">
        <f t="shared" si="62"/>
        <v>9.0713920609979785E-3</v>
      </c>
    </row>
    <row r="1329" spans="1:7" x14ac:dyDescent="0.2">
      <c r="A1329" s="12">
        <v>39065</v>
      </c>
      <c r="B1329" s="9">
        <v>2885.83</v>
      </c>
      <c r="C1329" s="9">
        <v>2857.05</v>
      </c>
      <c r="D1329" s="9">
        <v>2876.61</v>
      </c>
      <c r="E1329" s="9">
        <f t="shared" si="60"/>
        <v>1.3906223405023272E-4</v>
      </c>
      <c r="F1329" s="9">
        <f t="shared" si="61"/>
        <v>4.6762228183961863E-2</v>
      </c>
      <c r="G1329" s="9">
        <f t="shared" si="62"/>
        <v>9.0398836726684941E-3</v>
      </c>
    </row>
    <row r="1330" spans="1:7" x14ac:dyDescent="0.2">
      <c r="A1330" s="12">
        <v>39066</v>
      </c>
      <c r="B1330" s="9">
        <v>2900.96</v>
      </c>
      <c r="C1330" s="9">
        <v>2876.34</v>
      </c>
      <c r="D1330" s="9">
        <v>2899.11</v>
      </c>
      <c r="E1330" s="9">
        <f t="shared" si="60"/>
        <v>7.7912758304923635E-3</v>
      </c>
      <c r="F1330" s="9">
        <f t="shared" si="61"/>
        <v>6.7071468227579839E-2</v>
      </c>
      <c r="G1330" s="9">
        <f t="shared" si="62"/>
        <v>8.7035613595073062E-3</v>
      </c>
    </row>
    <row r="1331" spans="1:7" x14ac:dyDescent="0.2">
      <c r="A1331" s="12">
        <v>39069</v>
      </c>
      <c r="B1331" s="9">
        <v>2914.43</v>
      </c>
      <c r="C1331" s="9">
        <v>2894.5</v>
      </c>
      <c r="D1331" s="9">
        <v>2911.34</v>
      </c>
      <c r="E1331" s="9">
        <f t="shared" si="60"/>
        <v>4.2096629558517366E-3</v>
      </c>
      <c r="F1331" s="9">
        <f t="shared" si="61"/>
        <v>6.9604215283053314E-2</v>
      </c>
      <c r="G1331" s="9">
        <f t="shared" si="62"/>
        <v>8.710235386031006E-3</v>
      </c>
    </row>
    <row r="1332" spans="1:7" x14ac:dyDescent="0.2">
      <c r="A1332" s="12">
        <v>39070</v>
      </c>
      <c r="B1332" s="9">
        <v>2911.36</v>
      </c>
      <c r="C1332" s="9">
        <v>2870.74</v>
      </c>
      <c r="D1332" s="9">
        <v>2878.81</v>
      </c>
      <c r="E1332" s="9">
        <f t="shared" si="60"/>
        <v>-1.1236441979108499E-2</v>
      </c>
      <c r="F1332" s="9">
        <f t="shared" si="61"/>
        <v>4.3781729085921282E-2</v>
      </c>
      <c r="G1332" s="9">
        <f t="shared" si="62"/>
        <v>8.7321831527636933E-3</v>
      </c>
    </row>
    <row r="1333" spans="1:7" x14ac:dyDescent="0.2">
      <c r="A1333" s="12">
        <v>39071</v>
      </c>
      <c r="B1333" s="9">
        <v>2899.55</v>
      </c>
      <c r="C1333" s="9">
        <v>2881.1</v>
      </c>
      <c r="D1333" s="9">
        <v>2894.03</v>
      </c>
      <c r="E1333" s="9">
        <f t="shared" si="60"/>
        <v>5.2729801155509534E-3</v>
      </c>
      <c r="F1333" s="9">
        <f t="shared" si="61"/>
        <v>4.0799966656734639E-2</v>
      </c>
      <c r="G1333" s="9">
        <f t="shared" si="62"/>
        <v>8.6689098693411744E-3</v>
      </c>
    </row>
    <row r="1334" spans="1:7" x14ac:dyDescent="0.2">
      <c r="A1334" s="12">
        <v>39072</v>
      </c>
      <c r="B1334" s="9">
        <v>2902.29</v>
      </c>
      <c r="C1334" s="9">
        <v>2885.18</v>
      </c>
      <c r="D1334" s="9">
        <v>2888.8</v>
      </c>
      <c r="E1334" s="9">
        <f t="shared" si="60"/>
        <v>-1.8088034495036015E-3</v>
      </c>
      <c r="F1334" s="9">
        <f t="shared" si="61"/>
        <v>3.9790523761386275E-2</v>
      </c>
      <c r="G1334" s="9">
        <f t="shared" si="62"/>
        <v>8.6795329220091255E-3</v>
      </c>
    </row>
    <row r="1335" spans="1:7" x14ac:dyDescent="0.2">
      <c r="A1335" s="12">
        <v>39073</v>
      </c>
      <c r="B1335" s="9">
        <v>2891.17</v>
      </c>
      <c r="C1335" s="9">
        <v>2882.12</v>
      </c>
      <c r="D1335" s="9">
        <v>2886.39</v>
      </c>
      <c r="E1335" s="9">
        <f t="shared" si="60"/>
        <v>-8.3460462422664506E-4</v>
      </c>
      <c r="F1335" s="9">
        <f t="shared" si="61"/>
        <v>2.8374909414800149E-2</v>
      </c>
      <c r="G1335" s="9">
        <f t="shared" si="62"/>
        <v>8.5083561400002648E-3</v>
      </c>
    </row>
    <row r="1336" spans="1:7" x14ac:dyDescent="0.2">
      <c r="A1336" s="12">
        <v>39078</v>
      </c>
      <c r="B1336" s="9">
        <v>2919.37</v>
      </c>
      <c r="C1336" s="9">
        <v>2886.39</v>
      </c>
      <c r="D1336" s="9">
        <v>2919</v>
      </c>
      <c r="E1336" s="9">
        <f t="shared" si="60"/>
        <v>1.1234505515093422E-2</v>
      </c>
      <c r="F1336" s="9">
        <f t="shared" si="61"/>
        <v>4.367020005831436E-2</v>
      </c>
      <c r="G1336" s="9">
        <f t="shared" si="62"/>
        <v>8.6550046195375697E-3</v>
      </c>
    </row>
    <row r="1337" spans="1:7" x14ac:dyDescent="0.2">
      <c r="A1337" s="12">
        <v>39079</v>
      </c>
      <c r="B1337" s="9">
        <v>2921.8</v>
      </c>
      <c r="C1337" s="9">
        <v>2907.62</v>
      </c>
      <c r="D1337" s="9">
        <v>2913.66</v>
      </c>
      <c r="E1337" s="9">
        <f t="shared" si="60"/>
        <v>-1.8310690120810344E-3</v>
      </c>
      <c r="F1337" s="9">
        <f t="shared" si="61"/>
        <v>4.285601352997756E-2</v>
      </c>
      <c r="G1337" s="9">
        <f t="shared" si="62"/>
        <v>8.6642967167591539E-3</v>
      </c>
    </row>
    <row r="1338" spans="1:7" x14ac:dyDescent="0.2">
      <c r="A1338" s="12">
        <v>39080</v>
      </c>
      <c r="B1338" s="9">
        <v>2921.95</v>
      </c>
      <c r="C1338" s="9">
        <v>2908.49</v>
      </c>
      <c r="D1338" s="9">
        <v>2910.49</v>
      </c>
      <c r="E1338" s="9">
        <f t="shared" si="60"/>
        <v>-1.0885709719131293E-3</v>
      </c>
      <c r="F1338" s="9">
        <f t="shared" si="61"/>
        <v>3.5254413161098383E-2</v>
      </c>
      <c r="G1338" s="9">
        <f t="shared" si="62"/>
        <v>8.6215221208562846E-3</v>
      </c>
    </row>
    <row r="1339" spans="1:7" x14ac:dyDescent="0.2">
      <c r="A1339" s="12">
        <v>39084</v>
      </c>
      <c r="B1339" s="9">
        <v>2940.57</v>
      </c>
      <c r="C1339" s="9">
        <v>2909.74</v>
      </c>
      <c r="D1339" s="9">
        <v>2938.43</v>
      </c>
      <c r="E1339" s="9">
        <f t="shared" si="60"/>
        <v>9.5539732211171093E-3</v>
      </c>
      <c r="F1339" s="9">
        <f t="shared" si="61"/>
        <v>3.3353320937882534E-2</v>
      </c>
      <c r="G1339" s="9">
        <f t="shared" si="62"/>
        <v>8.5500477938426685E-3</v>
      </c>
    </row>
    <row r="1340" spans="1:7" x14ac:dyDescent="0.2">
      <c r="A1340" s="12">
        <v>39085</v>
      </c>
      <c r="B1340" s="9">
        <v>2938.98</v>
      </c>
      <c r="C1340" s="9">
        <v>2892.09</v>
      </c>
      <c r="D1340" s="9">
        <v>2914.47</v>
      </c>
      <c r="E1340" s="9">
        <f t="shared" si="60"/>
        <v>-8.1874400193926271E-3</v>
      </c>
      <c r="F1340" s="9">
        <f t="shared" si="61"/>
        <v>2.6401672554435041E-2</v>
      </c>
      <c r="G1340" s="9">
        <f t="shared" si="62"/>
        <v>8.7085960656407176E-3</v>
      </c>
    </row>
    <row r="1341" spans="1:7" x14ac:dyDescent="0.2">
      <c r="A1341" s="12">
        <v>39086</v>
      </c>
      <c r="B1341" s="9">
        <v>2914.4</v>
      </c>
      <c r="C1341" s="9">
        <v>2852.58</v>
      </c>
      <c r="D1341" s="9">
        <v>2871.63</v>
      </c>
      <c r="E1341" s="9">
        <f t="shared" si="60"/>
        <v>-1.4808172286603732E-2</v>
      </c>
      <c r="F1341" s="9">
        <f t="shared" si="61"/>
        <v>2.0429227388454128E-2</v>
      </c>
      <c r="G1341" s="9">
        <f t="shared" si="62"/>
        <v>9.0016948143420185E-3</v>
      </c>
    </row>
    <row r="1342" spans="1:7" x14ac:dyDescent="0.2">
      <c r="A1342" s="12">
        <v>39087</v>
      </c>
      <c r="B1342" s="9">
        <v>2871.56</v>
      </c>
      <c r="C1342" s="9">
        <v>2824.33</v>
      </c>
      <c r="D1342" s="9">
        <v>2831.09</v>
      </c>
      <c r="E1342" s="9">
        <f t="shared" si="60"/>
        <v>-1.4218016292048772E-2</v>
      </c>
      <c r="F1342" s="9">
        <f t="shared" si="61"/>
        <v>5.8558526425972366E-3</v>
      </c>
      <c r="G1342" s="9">
        <f t="shared" si="62"/>
        <v>9.4041062712846742E-3</v>
      </c>
    </row>
    <row r="1343" spans="1:7" x14ac:dyDescent="0.2">
      <c r="A1343" s="12">
        <v>39090</v>
      </c>
      <c r="B1343" s="9">
        <v>2853.98</v>
      </c>
      <c r="C1343" s="9">
        <v>2829.11</v>
      </c>
      <c r="D1343" s="9">
        <v>2840.26</v>
      </c>
      <c r="E1343" s="9">
        <f t="shared" si="60"/>
        <v>3.23380076745276E-3</v>
      </c>
      <c r="F1343" s="9">
        <f t="shared" si="61"/>
        <v>3.2761881670982018E-3</v>
      </c>
      <c r="G1343" s="9">
        <f t="shared" si="62"/>
        <v>9.3626653490945649E-3</v>
      </c>
    </row>
    <row r="1344" spans="1:7" x14ac:dyDescent="0.2">
      <c r="A1344" s="12">
        <v>39091</v>
      </c>
      <c r="B1344" s="9">
        <v>2869.58</v>
      </c>
      <c r="C1344" s="9">
        <v>2840.32</v>
      </c>
      <c r="D1344" s="9">
        <v>2855.58</v>
      </c>
      <c r="E1344" s="9">
        <f t="shared" si="60"/>
        <v>5.3793775610911001E-3</v>
      </c>
      <c r="F1344" s="9">
        <f t="shared" si="61"/>
        <v>1.4473380097725576E-3</v>
      </c>
      <c r="G1344" s="9">
        <f t="shared" si="62"/>
        <v>9.3207086471973032E-3</v>
      </c>
    </row>
    <row r="1345" spans="1:7" x14ac:dyDescent="0.2">
      <c r="A1345" s="12">
        <v>39092</v>
      </c>
      <c r="B1345" s="9">
        <v>2855.49</v>
      </c>
      <c r="C1345" s="9">
        <v>2818.94</v>
      </c>
      <c r="D1345" s="9">
        <v>2834.9</v>
      </c>
      <c r="E1345" s="9">
        <f t="shared" si="60"/>
        <v>-7.2683116506106395E-3</v>
      </c>
      <c r="F1345" s="9">
        <f t="shared" si="61"/>
        <v>-6.8760201730156782E-3</v>
      </c>
      <c r="G1345" s="9">
        <f t="shared" si="62"/>
        <v>9.4131268390514559E-3</v>
      </c>
    </row>
    <row r="1346" spans="1:7" x14ac:dyDescent="0.2">
      <c r="A1346" s="12">
        <v>39093</v>
      </c>
      <c r="B1346" s="9">
        <v>2876.02</v>
      </c>
      <c r="C1346" s="9">
        <v>2834.9</v>
      </c>
      <c r="D1346" s="9">
        <v>2876.02</v>
      </c>
      <c r="E1346" s="9">
        <f t="shared" si="60"/>
        <v>1.4400730748552587E-2</v>
      </c>
      <c r="F1346" s="9">
        <f t="shared" si="61"/>
        <v>1.6611363161965521E-2</v>
      </c>
      <c r="G1346" s="9">
        <f t="shared" si="62"/>
        <v>9.6253860042566919E-3</v>
      </c>
    </row>
    <row r="1347" spans="1:7" x14ac:dyDescent="0.2">
      <c r="A1347" s="12">
        <v>39094</v>
      </c>
      <c r="B1347" s="9">
        <v>2892.04</v>
      </c>
      <c r="C1347" s="9">
        <v>2866.76</v>
      </c>
      <c r="D1347" s="9">
        <v>2882.39</v>
      </c>
      <c r="E1347" s="9">
        <f t="shared" si="60"/>
        <v>2.2124171770740316E-3</v>
      </c>
      <c r="F1347" s="9">
        <f t="shared" si="61"/>
        <v>3.9592001789348054E-2</v>
      </c>
      <c r="G1347" s="9">
        <f t="shared" si="62"/>
        <v>8.7440943809923011E-3</v>
      </c>
    </row>
    <row r="1348" spans="1:7" x14ac:dyDescent="0.2">
      <c r="A1348" s="12">
        <v>39097</v>
      </c>
      <c r="B1348" s="9">
        <v>2931.44</v>
      </c>
      <c r="C1348" s="9">
        <v>2882.56</v>
      </c>
      <c r="D1348" s="9">
        <v>2930.43</v>
      </c>
      <c r="E1348" s="9">
        <f t="shared" ref="E1348:E1411" si="63">LN(D1348/D1347)</f>
        <v>1.6529358825686694E-2</v>
      </c>
      <c r="F1348" s="9">
        <f t="shared" si="61"/>
        <v>6.3137433570933862E-2</v>
      </c>
      <c r="G1348" s="9">
        <f t="shared" si="62"/>
        <v>9.0223551277615888E-3</v>
      </c>
    </row>
    <row r="1349" spans="1:7" x14ac:dyDescent="0.2">
      <c r="A1349" s="12">
        <v>39098</v>
      </c>
      <c r="B1349" s="9">
        <v>2939.65</v>
      </c>
      <c r="C1349" s="9">
        <v>2921.71</v>
      </c>
      <c r="D1349" s="9">
        <v>2926.62</v>
      </c>
      <c r="E1349" s="9">
        <f t="shared" si="63"/>
        <v>-1.3009964188108064E-3</v>
      </c>
      <c r="F1349" s="9">
        <f t="shared" si="61"/>
        <v>4.2633600706407315E-2</v>
      </c>
      <c r="G1349" s="9">
        <f t="shared" si="62"/>
        <v>8.4402931812342062E-3</v>
      </c>
    </row>
    <row r="1350" spans="1:7" x14ac:dyDescent="0.2">
      <c r="A1350" s="12">
        <v>39099</v>
      </c>
      <c r="B1350" s="9">
        <v>2942.32</v>
      </c>
      <c r="C1350" s="9">
        <v>2924.3</v>
      </c>
      <c r="D1350" s="9">
        <v>2932.28</v>
      </c>
      <c r="E1350" s="9">
        <f t="shared" si="63"/>
        <v>1.9321038968897863E-3</v>
      </c>
      <c r="F1350" s="9">
        <f t="shared" si="61"/>
        <v>5.613544138442688E-2</v>
      </c>
      <c r="G1350" s="9">
        <f t="shared" si="62"/>
        <v>8.0758046633276574E-3</v>
      </c>
    </row>
    <row r="1351" spans="1:7" x14ac:dyDescent="0.2">
      <c r="A1351" s="12">
        <v>39100</v>
      </c>
      <c r="B1351" s="9">
        <v>2934.61</v>
      </c>
      <c r="C1351" s="9">
        <v>2909.91</v>
      </c>
      <c r="D1351" s="9">
        <v>2916.68</v>
      </c>
      <c r="E1351" s="9">
        <f t="shared" si="63"/>
        <v>-5.334294298845384E-3</v>
      </c>
      <c r="F1351" s="9">
        <f t="shared" si="61"/>
        <v>5.3651309675200771E-2</v>
      </c>
      <c r="G1351" s="9">
        <f t="shared" si="62"/>
        <v>8.1383767374752797E-3</v>
      </c>
    </row>
    <row r="1352" spans="1:7" x14ac:dyDescent="0.2">
      <c r="A1352" s="12">
        <v>39101</v>
      </c>
      <c r="B1352" s="9">
        <v>2948.3</v>
      </c>
      <c r="C1352" s="9">
        <v>2902.79</v>
      </c>
      <c r="D1352" s="9">
        <v>2947.01</v>
      </c>
      <c r="E1352" s="9">
        <f t="shared" si="63"/>
        <v>1.0345113911567796E-2</v>
      </c>
      <c r="F1352" s="9">
        <f t="shared" si="61"/>
        <v>6.2265128098633452E-2</v>
      </c>
      <c r="G1352" s="9">
        <f t="shared" si="62"/>
        <v>8.2868889547690599E-3</v>
      </c>
    </row>
    <row r="1353" spans="1:7" x14ac:dyDescent="0.2">
      <c r="A1353" s="12">
        <v>39104</v>
      </c>
      <c r="B1353" s="9">
        <v>2970.57</v>
      </c>
      <c r="C1353" s="9">
        <v>2941.75</v>
      </c>
      <c r="D1353" s="9">
        <v>2941.75</v>
      </c>
      <c r="E1353" s="9">
        <f t="shared" si="63"/>
        <v>-1.7864546692023045E-3</v>
      </c>
      <c r="F1353" s="9">
        <f t="shared" si="61"/>
        <v>4.5361189625717127E-2</v>
      </c>
      <c r="G1353" s="9">
        <f t="shared" si="62"/>
        <v>7.9368195953910571E-3</v>
      </c>
    </row>
    <row r="1354" spans="1:7" x14ac:dyDescent="0.2">
      <c r="A1354" s="12">
        <v>39105</v>
      </c>
      <c r="B1354" s="9">
        <v>2944.59</v>
      </c>
      <c r="C1354" s="9">
        <v>2920.29</v>
      </c>
      <c r="D1354" s="9">
        <v>2936.66</v>
      </c>
      <c r="E1354" s="9">
        <f t="shared" si="63"/>
        <v>-1.7317612320592133E-3</v>
      </c>
      <c r="F1354" s="9">
        <f t="shared" si="61"/>
        <v>3.4095786016618154E-2</v>
      </c>
      <c r="G1354" s="9">
        <f t="shared" si="62"/>
        <v>7.8096886704124013E-3</v>
      </c>
    </row>
    <row r="1355" spans="1:7" x14ac:dyDescent="0.2">
      <c r="A1355" s="12">
        <v>39106</v>
      </c>
      <c r="B1355" s="9">
        <v>2982.58</v>
      </c>
      <c r="C1355" s="9">
        <v>2936.88</v>
      </c>
      <c r="D1355" s="9">
        <v>2975.44</v>
      </c>
      <c r="E1355" s="9">
        <f t="shared" si="63"/>
        <v>1.3119046091412503E-2</v>
      </c>
      <c r="F1355" s="9">
        <f t="shared" si="61"/>
        <v>5.1497796332269981E-2</v>
      </c>
      <c r="G1355" s="9">
        <f t="shared" si="62"/>
        <v>8.0362571728639105E-3</v>
      </c>
    </row>
    <row r="1356" spans="1:7" x14ac:dyDescent="0.2">
      <c r="A1356" s="12">
        <v>39107</v>
      </c>
      <c r="B1356" s="9">
        <v>2994.44</v>
      </c>
      <c r="C1356" s="9">
        <v>2967.15</v>
      </c>
      <c r="D1356" s="9">
        <v>2972.11</v>
      </c>
      <c r="E1356" s="9">
        <f t="shared" si="63"/>
        <v>-1.1197889376178729E-3</v>
      </c>
      <c r="F1356" s="9">
        <f t="shared" si="61"/>
        <v>4.4218866710089844E-2</v>
      </c>
      <c r="G1356" s="9">
        <f t="shared" si="62"/>
        <v>8.0073332615011785E-3</v>
      </c>
    </row>
    <row r="1357" spans="1:7" x14ac:dyDescent="0.2">
      <c r="A1357" s="12">
        <v>39108</v>
      </c>
      <c r="B1357" s="9">
        <v>2975.03</v>
      </c>
      <c r="C1357" s="9">
        <v>2947.94</v>
      </c>
      <c r="D1357" s="9">
        <v>2958.2</v>
      </c>
      <c r="E1357" s="9">
        <f t="shared" si="63"/>
        <v>-4.691163028504068E-3</v>
      </c>
      <c r="F1357" s="9">
        <f t="shared" si="61"/>
        <v>3.1150867363449873E-2</v>
      </c>
      <c r="G1357" s="9">
        <f t="shared" si="62"/>
        <v>7.9742492268847619E-3</v>
      </c>
    </row>
    <row r="1358" spans="1:7" x14ac:dyDescent="0.2">
      <c r="A1358" s="12">
        <v>39111</v>
      </c>
      <c r="B1358" s="9">
        <v>2986.55</v>
      </c>
      <c r="C1358" s="9">
        <v>2954.24</v>
      </c>
      <c r="D1358" s="9">
        <v>2985.46</v>
      </c>
      <c r="E1358" s="9">
        <f t="shared" si="63"/>
        <v>9.1728635692503082E-3</v>
      </c>
      <c r="F1358" s="9">
        <f t="shared" si="61"/>
        <v>3.7280383550605305E-2</v>
      </c>
      <c r="G1358" s="9">
        <f t="shared" si="62"/>
        <v>8.1048488084081664E-3</v>
      </c>
    </row>
    <row r="1359" spans="1:7" x14ac:dyDescent="0.2">
      <c r="A1359" s="12">
        <v>39112</v>
      </c>
      <c r="B1359" s="9">
        <v>3008.26</v>
      </c>
      <c r="C1359" s="9">
        <v>2974.01</v>
      </c>
      <c r="D1359" s="9">
        <v>3008.2</v>
      </c>
      <c r="E1359" s="9">
        <f t="shared" si="63"/>
        <v>7.5880544145929749E-3</v>
      </c>
      <c r="F1359" s="9">
        <f t="shared" si="61"/>
        <v>4.4729375731147838E-2</v>
      </c>
      <c r="G1359" s="9">
        <f t="shared" si="62"/>
        <v>8.183593514797121E-3</v>
      </c>
    </row>
    <row r="1360" spans="1:7" x14ac:dyDescent="0.2">
      <c r="A1360" s="12">
        <v>39113</v>
      </c>
      <c r="B1360" s="9">
        <v>3008.29</v>
      </c>
      <c r="C1360" s="9">
        <v>2980.93</v>
      </c>
      <c r="D1360" s="9">
        <v>2995.13</v>
      </c>
      <c r="E1360" s="9">
        <f t="shared" si="63"/>
        <v>-4.3542569374353376E-3</v>
      </c>
      <c r="F1360" s="9">
        <f t="shared" si="61"/>
        <v>3.2583842963220158E-2</v>
      </c>
      <c r="G1360" s="9">
        <f t="shared" si="62"/>
        <v>8.161560020530062E-3</v>
      </c>
    </row>
    <row r="1361" spans="1:7" x14ac:dyDescent="0.2">
      <c r="A1361" s="12">
        <v>39114</v>
      </c>
      <c r="B1361" s="9">
        <v>3041.66</v>
      </c>
      <c r="C1361" s="9">
        <v>2998.45</v>
      </c>
      <c r="D1361" s="9">
        <v>3007.44</v>
      </c>
      <c r="E1361" s="9">
        <f t="shared" si="63"/>
        <v>4.1015822414617615E-3</v>
      </c>
      <c r="F1361" s="9">
        <f t="shared" si="61"/>
        <v>3.2475762248830337E-2</v>
      </c>
      <c r="G1361" s="9">
        <f t="shared" si="62"/>
        <v>8.1601574135312001E-3</v>
      </c>
    </row>
    <row r="1362" spans="1:7" x14ac:dyDescent="0.2">
      <c r="A1362" s="12">
        <v>39115</v>
      </c>
      <c r="B1362" s="9">
        <v>3019.53</v>
      </c>
      <c r="C1362" s="9">
        <v>2998.63</v>
      </c>
      <c r="D1362" s="9">
        <v>3013.96</v>
      </c>
      <c r="E1362" s="9">
        <f t="shared" si="63"/>
        <v>2.1656101731030121E-3</v>
      </c>
      <c r="F1362" s="9">
        <f t="shared" si="61"/>
        <v>4.587781440104164E-2</v>
      </c>
      <c r="G1362" s="9">
        <f t="shared" si="62"/>
        <v>7.8223504929030938E-3</v>
      </c>
    </row>
    <row r="1363" spans="1:7" x14ac:dyDescent="0.2">
      <c r="A1363" s="12">
        <v>39118</v>
      </c>
      <c r="B1363" s="9">
        <v>3019.71</v>
      </c>
      <c r="C1363" s="9">
        <v>3003.55</v>
      </c>
      <c r="D1363" s="9">
        <v>3017.94</v>
      </c>
      <c r="E1363" s="9">
        <f t="shared" si="63"/>
        <v>1.3196507162221236E-3</v>
      </c>
      <c r="F1363" s="9">
        <f t="shared" si="61"/>
        <v>4.1924485001712808E-2</v>
      </c>
      <c r="G1363" s="9">
        <f t="shared" si="62"/>
        <v>7.7903419182186835E-3</v>
      </c>
    </row>
    <row r="1364" spans="1:7" x14ac:dyDescent="0.2">
      <c r="A1364" s="12">
        <v>39119</v>
      </c>
      <c r="B1364" s="9">
        <v>3028.55</v>
      </c>
      <c r="C1364" s="9">
        <v>3012.74</v>
      </c>
      <c r="D1364" s="9">
        <v>3024.95</v>
      </c>
      <c r="E1364" s="9">
        <f t="shared" si="63"/>
        <v>2.3200829882532473E-3</v>
      </c>
      <c r="F1364" s="9">
        <f t="shared" si="61"/>
        <v>4.605337143946972E-2</v>
      </c>
      <c r="G1364" s="9">
        <f t="shared" si="62"/>
        <v>7.7681845645176887E-3</v>
      </c>
    </row>
    <row r="1365" spans="1:7" x14ac:dyDescent="0.2">
      <c r="A1365" s="12">
        <v>39120</v>
      </c>
      <c r="B1365" s="9">
        <v>3047.98</v>
      </c>
      <c r="C1365" s="9">
        <v>3017.72</v>
      </c>
      <c r="D1365" s="9">
        <v>3041.39</v>
      </c>
      <c r="E1365" s="9">
        <f t="shared" si="63"/>
        <v>5.4200853387431202E-3</v>
      </c>
      <c r="F1365" s="9">
        <f t="shared" si="61"/>
        <v>5.2308061402439557E-2</v>
      </c>
      <c r="G1365" s="9">
        <f t="shared" si="62"/>
        <v>7.7863042213605557E-3</v>
      </c>
    </row>
    <row r="1366" spans="1:7" x14ac:dyDescent="0.2">
      <c r="A1366" s="12">
        <v>39121</v>
      </c>
      <c r="B1366" s="9">
        <v>3053.93</v>
      </c>
      <c r="C1366" s="9">
        <v>3007.22</v>
      </c>
      <c r="D1366" s="9">
        <v>3020.64</v>
      </c>
      <c r="E1366" s="9">
        <f t="shared" si="63"/>
        <v>-6.8459182947278839E-3</v>
      </c>
      <c r="F1366" s="9">
        <f t="shared" si="61"/>
        <v>3.4227637592618376E-2</v>
      </c>
      <c r="G1366" s="9">
        <f t="shared" si="62"/>
        <v>7.7258530525080487E-3</v>
      </c>
    </row>
    <row r="1367" spans="1:7" x14ac:dyDescent="0.2">
      <c r="A1367" s="12">
        <v>39122</v>
      </c>
      <c r="B1367" s="9">
        <v>3050.34</v>
      </c>
      <c r="C1367" s="9">
        <v>3023.13</v>
      </c>
      <c r="D1367" s="9">
        <v>3046.52</v>
      </c>
      <c r="E1367" s="9">
        <f t="shared" si="63"/>
        <v>8.5312261308202325E-3</v>
      </c>
      <c r="F1367" s="9">
        <f t="shared" si="61"/>
        <v>4.4589932735519484E-2</v>
      </c>
      <c r="G1367" s="9">
        <f t="shared" si="62"/>
        <v>7.8194717116762732E-3</v>
      </c>
    </row>
    <row r="1368" spans="1:7" x14ac:dyDescent="0.2">
      <c r="A1368" s="12">
        <v>39125</v>
      </c>
      <c r="B1368" s="9">
        <v>3044.57</v>
      </c>
      <c r="C1368" s="9">
        <v>3011.9</v>
      </c>
      <c r="D1368" s="9">
        <v>3022.61</v>
      </c>
      <c r="E1368" s="9">
        <f t="shared" si="63"/>
        <v>-7.879259037027464E-3</v>
      </c>
      <c r="F1368" s="9">
        <f t="shared" si="61"/>
        <v>3.779924467040513E-2</v>
      </c>
      <c r="G1368" s="9">
        <f t="shared" si="62"/>
        <v>7.992943095789436E-3</v>
      </c>
    </row>
    <row r="1369" spans="1:7" x14ac:dyDescent="0.2">
      <c r="A1369" s="12">
        <v>39126</v>
      </c>
      <c r="B1369" s="9">
        <v>3024.75</v>
      </c>
      <c r="C1369" s="9">
        <v>3009.77</v>
      </c>
      <c r="D1369" s="9">
        <v>3021.33</v>
      </c>
      <c r="E1369" s="9">
        <f t="shared" si="63"/>
        <v>-4.2356476706810855E-4</v>
      </c>
      <c r="F1369" s="9">
        <f t="shared" si="61"/>
        <v>2.7821706682219827E-2</v>
      </c>
      <c r="G1369" s="9">
        <f t="shared" si="62"/>
        <v>7.8420892740364741E-3</v>
      </c>
    </row>
    <row r="1370" spans="1:7" x14ac:dyDescent="0.2">
      <c r="A1370" s="12">
        <v>39127</v>
      </c>
      <c r="B1370" s="9">
        <v>3069.03</v>
      </c>
      <c r="C1370" s="9">
        <v>3022.76</v>
      </c>
      <c r="D1370" s="9">
        <v>3067.96</v>
      </c>
      <c r="E1370" s="9">
        <f t="shared" si="63"/>
        <v>1.5315713819048329E-2</v>
      </c>
      <c r="F1370" s="9">
        <f t="shared" si="61"/>
        <v>5.1324860520660799E-2</v>
      </c>
      <c r="G1370" s="9">
        <f t="shared" si="62"/>
        <v>8.0707710441540077E-3</v>
      </c>
    </row>
    <row r="1371" spans="1:7" x14ac:dyDescent="0.2">
      <c r="A1371" s="12">
        <v>39128</v>
      </c>
      <c r="B1371" s="9">
        <v>3077.14</v>
      </c>
      <c r="C1371" s="9">
        <v>3057.15</v>
      </c>
      <c r="D1371" s="9">
        <v>3067.64</v>
      </c>
      <c r="E1371" s="9">
        <f t="shared" si="63"/>
        <v>-1.0430927710098541E-4</v>
      </c>
      <c r="F1371" s="9">
        <f t="shared" si="61"/>
        <v>6.6028723530163577E-2</v>
      </c>
      <c r="G1371" s="9">
        <f t="shared" si="62"/>
        <v>7.4560633938752837E-3</v>
      </c>
    </row>
    <row r="1372" spans="1:7" x14ac:dyDescent="0.2">
      <c r="A1372" s="12">
        <v>39129</v>
      </c>
      <c r="B1372" s="9">
        <v>3083.83</v>
      </c>
      <c r="C1372" s="9">
        <v>3061.69</v>
      </c>
      <c r="D1372" s="9">
        <v>3082.43</v>
      </c>
      <c r="E1372" s="9">
        <f t="shared" si="63"/>
        <v>4.8097106250176687E-3</v>
      </c>
      <c r="F1372" s="9">
        <f t="shared" si="61"/>
        <v>8.5056450447229995E-2</v>
      </c>
      <c r="G1372" s="9">
        <f t="shared" si="62"/>
        <v>6.7908355417504252E-3</v>
      </c>
    </row>
    <row r="1373" spans="1:7" x14ac:dyDescent="0.2">
      <c r="A1373" s="12">
        <v>39132</v>
      </c>
      <c r="B1373" s="9">
        <v>3110.35</v>
      </c>
      <c r="C1373" s="9">
        <v>3078.64</v>
      </c>
      <c r="D1373" s="9">
        <v>3106.56</v>
      </c>
      <c r="E1373" s="9">
        <f t="shared" si="63"/>
        <v>7.7977577177046481E-3</v>
      </c>
      <c r="F1373" s="9">
        <f t="shared" si="61"/>
        <v>8.9620407397481713E-2</v>
      </c>
      <c r="G1373" s="9">
        <f t="shared" si="62"/>
        <v>6.8509289814017013E-3</v>
      </c>
    </row>
    <row r="1374" spans="1:7" x14ac:dyDescent="0.2">
      <c r="A1374" s="12">
        <v>39133</v>
      </c>
      <c r="B1374" s="9">
        <v>3122.53</v>
      </c>
      <c r="C1374" s="9">
        <v>3098.16</v>
      </c>
      <c r="D1374" s="9">
        <v>3111.18</v>
      </c>
      <c r="E1374" s="9">
        <f t="shared" si="63"/>
        <v>1.486070774987738E-3</v>
      </c>
      <c r="F1374" s="9">
        <f t="shared" si="61"/>
        <v>8.5727100611378504E-2</v>
      </c>
      <c r="G1374" s="9">
        <f t="shared" si="62"/>
        <v>6.8409224209229217E-3</v>
      </c>
    </row>
    <row r="1375" spans="1:7" x14ac:dyDescent="0.2">
      <c r="A1375" s="12">
        <v>39134</v>
      </c>
      <c r="B1375" s="9">
        <v>3128.04</v>
      </c>
      <c r="C1375" s="9">
        <v>3085.68</v>
      </c>
      <c r="D1375" s="9">
        <v>3092.43</v>
      </c>
      <c r="E1375" s="9">
        <f t="shared" si="63"/>
        <v>-6.0448858309025124E-3</v>
      </c>
      <c r="F1375" s="9">
        <f t="shared" si="61"/>
        <v>8.6950526431086542E-2</v>
      </c>
      <c r="G1375" s="9">
        <f t="shared" si="62"/>
        <v>6.7818691241979794E-3</v>
      </c>
    </row>
    <row r="1376" spans="1:7" x14ac:dyDescent="0.2">
      <c r="A1376" s="12">
        <v>39135</v>
      </c>
      <c r="B1376" s="9">
        <v>3126.33</v>
      </c>
      <c r="C1376" s="9">
        <v>3092.25</v>
      </c>
      <c r="D1376" s="9">
        <v>3114.56</v>
      </c>
      <c r="E1376" s="9">
        <f t="shared" si="63"/>
        <v>7.1307006359163242E-3</v>
      </c>
      <c r="F1376" s="9">
        <f t="shared" si="61"/>
        <v>7.9680496318450478E-2</v>
      </c>
      <c r="G1376" s="9">
        <f t="shared" si="62"/>
        <v>6.4798493480193575E-3</v>
      </c>
    </row>
    <row r="1377" spans="1:7" x14ac:dyDescent="0.2">
      <c r="A1377" s="12">
        <v>39136</v>
      </c>
      <c r="B1377" s="9">
        <v>3125.32</v>
      </c>
      <c r="C1377" s="9">
        <v>3103.96</v>
      </c>
      <c r="D1377" s="9">
        <v>3125.32</v>
      </c>
      <c r="E1377" s="9">
        <f t="shared" si="63"/>
        <v>3.4487876898509949E-3</v>
      </c>
      <c r="F1377" s="9">
        <f t="shared" ref="F1377:F1440" si="64">LN(D1377/D1347)</f>
        <v>8.0916866831227466E-2</v>
      </c>
      <c r="G1377" s="9">
        <f t="shared" ref="G1377:G1440" si="65">STDEV(E1348:E1377)</f>
        <v>6.480862361664735E-3</v>
      </c>
    </row>
    <row r="1378" spans="1:7" x14ac:dyDescent="0.2">
      <c r="A1378" s="12">
        <v>39139</v>
      </c>
      <c r="B1378" s="9">
        <v>3151.78</v>
      </c>
      <c r="C1378" s="9">
        <v>3123.25</v>
      </c>
      <c r="D1378" s="9">
        <v>3150.09</v>
      </c>
      <c r="E1378" s="9">
        <f t="shared" si="63"/>
        <v>7.8943459121148842E-3</v>
      </c>
      <c r="F1378" s="9">
        <f t="shared" si="64"/>
        <v>7.2281853917655514E-2</v>
      </c>
      <c r="G1378" s="9">
        <f t="shared" si="65"/>
        <v>6.0207757839190719E-3</v>
      </c>
    </row>
    <row r="1379" spans="1:7" x14ac:dyDescent="0.2">
      <c r="A1379" s="12">
        <v>39140</v>
      </c>
      <c r="B1379" s="9">
        <v>3147.95</v>
      </c>
      <c r="C1379" s="9">
        <v>3024.14</v>
      </c>
      <c r="D1379" s="9">
        <v>3029.45</v>
      </c>
      <c r="E1379" s="9">
        <f t="shared" si="63"/>
        <v>-3.9049938964908694E-2</v>
      </c>
      <c r="F1379" s="9">
        <f t="shared" si="64"/>
        <v>3.4532911371557673E-2</v>
      </c>
      <c r="G1379" s="9">
        <f t="shared" si="65"/>
        <v>9.6648179001471643E-3</v>
      </c>
    </row>
    <row r="1380" spans="1:7" x14ac:dyDescent="0.2">
      <c r="A1380" s="12">
        <v>39141</v>
      </c>
      <c r="B1380" s="9">
        <v>3022.34</v>
      </c>
      <c r="C1380" s="9">
        <v>2915.24</v>
      </c>
      <c r="D1380" s="9">
        <v>2987.85</v>
      </c>
      <c r="E1380" s="9">
        <f t="shared" si="63"/>
        <v>-1.3827019685793487E-2</v>
      </c>
      <c r="F1380" s="9">
        <f t="shared" si="64"/>
        <v>1.877378778887432E-2</v>
      </c>
      <c r="G1380" s="9">
        <f t="shared" si="65"/>
        <v>1.0041823098030277E-2</v>
      </c>
    </row>
    <row r="1381" spans="1:7" x14ac:dyDescent="0.2">
      <c r="A1381" s="12">
        <v>39142</v>
      </c>
      <c r="B1381" s="9">
        <v>3021.98</v>
      </c>
      <c r="C1381" s="9">
        <v>2916.47</v>
      </c>
      <c r="D1381" s="9">
        <v>2946.23</v>
      </c>
      <c r="E1381" s="9">
        <f t="shared" si="63"/>
        <v>-1.402767825229163E-2</v>
      </c>
      <c r="F1381" s="9">
        <f t="shared" si="64"/>
        <v>1.0080403835428072E-2</v>
      </c>
      <c r="G1381" s="9">
        <f t="shared" si="65"/>
        <v>1.0340730542675156E-2</v>
      </c>
    </row>
    <row r="1382" spans="1:7" x14ac:dyDescent="0.2">
      <c r="A1382" s="12">
        <v>39143</v>
      </c>
      <c r="B1382" s="9">
        <v>2990</v>
      </c>
      <c r="C1382" s="9">
        <v>2935.78</v>
      </c>
      <c r="D1382" s="9">
        <v>2984.79</v>
      </c>
      <c r="E1382" s="9">
        <f t="shared" si="63"/>
        <v>1.3003005656006547E-2</v>
      </c>
      <c r="F1382" s="9">
        <f t="shared" si="64"/>
        <v>1.2738295579866717E-2</v>
      </c>
      <c r="G1382" s="9">
        <f t="shared" si="65"/>
        <v>1.0440348878353807E-2</v>
      </c>
    </row>
    <row r="1383" spans="1:7" x14ac:dyDescent="0.2">
      <c r="A1383" s="12">
        <v>39146</v>
      </c>
      <c r="B1383" s="9">
        <v>2979.81</v>
      </c>
      <c r="C1383" s="9">
        <v>2879.8</v>
      </c>
      <c r="D1383" s="9">
        <v>2950.3</v>
      </c>
      <c r="E1383" s="9">
        <f t="shared" si="63"/>
        <v>-1.1622532514565E-2</v>
      </c>
      <c r="F1383" s="9">
        <f t="shared" si="64"/>
        <v>2.9022177345040716E-3</v>
      </c>
      <c r="G1383" s="9">
        <f t="shared" si="65"/>
        <v>1.0664225632148182E-2</v>
      </c>
    </row>
    <row r="1384" spans="1:7" x14ac:dyDescent="0.2">
      <c r="A1384" s="12">
        <v>39147</v>
      </c>
      <c r="B1384" s="9">
        <v>2978.03</v>
      </c>
      <c r="C1384" s="9">
        <v>2949.22</v>
      </c>
      <c r="D1384" s="9">
        <v>2961.67</v>
      </c>
      <c r="E1384" s="9">
        <f t="shared" si="63"/>
        <v>3.8464383338690658E-3</v>
      </c>
      <c r="F1384" s="9">
        <f t="shared" si="64"/>
        <v>8.4804173004324346E-3</v>
      </c>
      <c r="G1384" s="9">
        <f t="shared" si="65"/>
        <v>1.0679863659153818E-2</v>
      </c>
    </row>
    <row r="1385" spans="1:7" x14ac:dyDescent="0.2">
      <c r="A1385" s="12">
        <v>39148</v>
      </c>
      <c r="B1385" s="9">
        <v>3017.32</v>
      </c>
      <c r="C1385" s="9">
        <v>2962.92</v>
      </c>
      <c r="D1385" s="9">
        <v>3008.46</v>
      </c>
      <c r="E1385" s="9">
        <f t="shared" si="63"/>
        <v>1.567502149731665E-2</v>
      </c>
      <c r="F1385" s="9">
        <f t="shared" si="64"/>
        <v>1.1036392706336511E-2</v>
      </c>
      <c r="G1385" s="9">
        <f t="shared" si="65"/>
        <v>1.0795368192512516E-2</v>
      </c>
    </row>
    <row r="1386" spans="1:7" x14ac:dyDescent="0.2">
      <c r="A1386" s="12">
        <v>39149</v>
      </c>
      <c r="B1386" s="9">
        <v>3047.98</v>
      </c>
      <c r="C1386" s="9">
        <v>3009.35</v>
      </c>
      <c r="D1386" s="9">
        <v>3045.85</v>
      </c>
      <c r="E1386" s="9">
        <f t="shared" si="63"/>
        <v>1.2351688421449408E-2</v>
      </c>
      <c r="F1386" s="9">
        <f t="shared" si="64"/>
        <v>2.4507870065403819E-2</v>
      </c>
      <c r="G1386" s="9">
        <f t="shared" si="65"/>
        <v>1.1009413547550549E-2</v>
      </c>
    </row>
    <row r="1387" spans="1:7" x14ac:dyDescent="0.2">
      <c r="A1387" s="12">
        <v>39150</v>
      </c>
      <c r="B1387" s="9">
        <v>3054.14</v>
      </c>
      <c r="C1387" s="9">
        <v>3005.87</v>
      </c>
      <c r="D1387" s="9">
        <v>3046.96</v>
      </c>
      <c r="E1387" s="9">
        <f t="shared" si="63"/>
        <v>3.6436390180569699E-4</v>
      </c>
      <c r="F1387" s="9">
        <f t="shared" si="64"/>
        <v>2.9563396995713646E-2</v>
      </c>
      <c r="G1387" s="9">
        <f t="shared" si="65"/>
        <v>1.0960779932977206E-2</v>
      </c>
    </row>
    <row r="1388" spans="1:7" x14ac:dyDescent="0.2">
      <c r="A1388" s="12">
        <v>39153</v>
      </c>
      <c r="B1388" s="9">
        <v>3079</v>
      </c>
      <c r="C1388" s="9">
        <v>3035.33</v>
      </c>
      <c r="D1388" s="9">
        <v>3044.27</v>
      </c>
      <c r="E1388" s="9">
        <f t="shared" si="63"/>
        <v>-8.8323710477993314E-4</v>
      </c>
      <c r="F1388" s="9">
        <f t="shared" si="64"/>
        <v>1.950729632168359E-2</v>
      </c>
      <c r="G1388" s="9">
        <f t="shared" si="65"/>
        <v>1.0855015602571695E-2</v>
      </c>
    </row>
    <row r="1389" spans="1:7" x14ac:dyDescent="0.2">
      <c r="A1389" s="12">
        <v>39154</v>
      </c>
      <c r="B1389" s="9">
        <v>3052.47</v>
      </c>
      <c r="C1389" s="9">
        <v>3009.97</v>
      </c>
      <c r="D1389" s="9">
        <v>3009.97</v>
      </c>
      <c r="E1389" s="9">
        <f t="shared" si="63"/>
        <v>-1.1331023212359329E-2</v>
      </c>
      <c r="F1389" s="9">
        <f t="shared" si="64"/>
        <v>5.8821869473113769E-4</v>
      </c>
      <c r="G1389" s="9">
        <f t="shared" si="65"/>
        <v>1.0986819719772507E-2</v>
      </c>
    </row>
    <row r="1390" spans="1:7" x14ac:dyDescent="0.2">
      <c r="A1390" s="12">
        <v>39155</v>
      </c>
      <c r="B1390" s="9">
        <v>3006.59</v>
      </c>
      <c r="C1390" s="9">
        <v>2920.7</v>
      </c>
      <c r="D1390" s="9">
        <v>2927</v>
      </c>
      <c r="E1390" s="9">
        <f t="shared" si="63"/>
        <v>-2.7952104223958153E-2</v>
      </c>
      <c r="F1390" s="9">
        <f t="shared" si="64"/>
        <v>-2.3009628591791721E-2</v>
      </c>
      <c r="G1390" s="9">
        <f t="shared" si="65"/>
        <v>1.2099187817239855E-2</v>
      </c>
    </row>
    <row r="1391" spans="1:7" x14ac:dyDescent="0.2">
      <c r="A1391" s="12">
        <v>39156</v>
      </c>
      <c r="B1391" s="9">
        <v>2993.07</v>
      </c>
      <c r="C1391" s="9">
        <v>2931.26</v>
      </c>
      <c r="D1391" s="9">
        <v>2993.07</v>
      </c>
      <c r="E1391" s="9">
        <f t="shared" si="63"/>
        <v>2.2321608792432172E-2</v>
      </c>
      <c r="F1391" s="9">
        <f t="shared" si="64"/>
        <v>-4.7896020408212062E-3</v>
      </c>
      <c r="G1391" s="9">
        <f t="shared" si="65"/>
        <v>1.2789589914801334E-2</v>
      </c>
    </row>
    <row r="1392" spans="1:7" x14ac:dyDescent="0.2">
      <c r="A1392" s="12">
        <v>39157</v>
      </c>
      <c r="B1392" s="9">
        <v>3027.44</v>
      </c>
      <c r="C1392" s="9">
        <v>2982.46</v>
      </c>
      <c r="D1392" s="9">
        <v>3006</v>
      </c>
      <c r="E1392" s="9">
        <f t="shared" si="63"/>
        <v>4.3106748286016556E-3</v>
      </c>
      <c r="F1392" s="9">
        <f t="shared" si="64"/>
        <v>-2.6445373853225054E-3</v>
      </c>
      <c r="G1392" s="9">
        <f t="shared" si="65"/>
        <v>1.2809019320347252E-2</v>
      </c>
    </row>
    <row r="1393" spans="1:7" x14ac:dyDescent="0.2">
      <c r="A1393" s="12">
        <v>39160</v>
      </c>
      <c r="B1393" s="9">
        <v>3044.51</v>
      </c>
      <c r="C1393" s="9">
        <v>3009.7</v>
      </c>
      <c r="D1393" s="9">
        <v>3043.87</v>
      </c>
      <c r="E1393" s="9">
        <f t="shared" si="63"/>
        <v>1.2519440792167984E-2</v>
      </c>
      <c r="F1393" s="9">
        <f t="shared" si="64"/>
        <v>8.5552526906231639E-3</v>
      </c>
      <c r="G1393" s="9">
        <f t="shared" si="65"/>
        <v>1.3013052593944696E-2</v>
      </c>
    </row>
    <row r="1394" spans="1:7" x14ac:dyDescent="0.2">
      <c r="A1394" s="12">
        <v>39161</v>
      </c>
      <c r="B1394" s="9">
        <v>3048.9</v>
      </c>
      <c r="C1394" s="9">
        <v>3021.53</v>
      </c>
      <c r="D1394" s="9">
        <v>3037.55</v>
      </c>
      <c r="E1394" s="9">
        <f t="shared" si="63"/>
        <v>-2.0784626864131608E-3</v>
      </c>
      <c r="F1394" s="9">
        <f t="shared" si="64"/>
        <v>4.1567070159566873E-3</v>
      </c>
      <c r="G1394" s="9">
        <f t="shared" si="65"/>
        <v>1.3014113854540809E-2</v>
      </c>
    </row>
    <row r="1395" spans="1:7" x14ac:dyDescent="0.2">
      <c r="A1395" s="12">
        <v>39162</v>
      </c>
      <c r="B1395" s="9">
        <v>3061.27</v>
      </c>
      <c r="C1395" s="9">
        <v>3036.48</v>
      </c>
      <c r="D1395" s="9">
        <v>3059.12</v>
      </c>
      <c r="E1395" s="9">
        <f t="shared" si="63"/>
        <v>7.0760234688589324E-3</v>
      </c>
      <c r="F1395" s="9">
        <f t="shared" si="64"/>
        <v>5.812645146072431E-3</v>
      </c>
      <c r="G1395" s="9">
        <f t="shared" si="65"/>
        <v>1.3040771764927404E-2</v>
      </c>
    </row>
    <row r="1396" spans="1:7" x14ac:dyDescent="0.2">
      <c r="A1396" s="12">
        <v>39163</v>
      </c>
      <c r="B1396" s="9">
        <v>3113.12</v>
      </c>
      <c r="C1396" s="9">
        <v>3063.46</v>
      </c>
      <c r="D1396" s="9">
        <v>3107.17</v>
      </c>
      <c r="E1396" s="9">
        <f t="shared" si="63"/>
        <v>1.5585051168011937E-2</v>
      </c>
      <c r="F1396" s="9">
        <f t="shared" si="64"/>
        <v>2.8243614608812376E-2</v>
      </c>
      <c r="G1396" s="9">
        <f t="shared" si="65"/>
        <v>1.326435918150305E-2</v>
      </c>
    </row>
    <row r="1397" spans="1:7" x14ac:dyDescent="0.2">
      <c r="A1397" s="12">
        <v>39164</v>
      </c>
      <c r="B1397" s="9">
        <v>3115.35</v>
      </c>
      <c r="C1397" s="9">
        <v>3094.25</v>
      </c>
      <c r="D1397" s="9">
        <v>3113.94</v>
      </c>
      <c r="E1397" s="9">
        <f t="shared" si="63"/>
        <v>2.1764613300353313E-3</v>
      </c>
      <c r="F1397" s="9">
        <f t="shared" si="64"/>
        <v>2.1888849808027459E-2</v>
      </c>
      <c r="G1397" s="9">
        <f t="shared" si="65"/>
        <v>1.3189504721317675E-2</v>
      </c>
    </row>
    <row r="1398" spans="1:7" x14ac:dyDescent="0.2">
      <c r="A1398" s="12">
        <v>39167</v>
      </c>
      <c r="B1398" s="9">
        <v>3120.47</v>
      </c>
      <c r="C1398" s="9">
        <v>3086.85</v>
      </c>
      <c r="D1398" s="9">
        <v>3094.61</v>
      </c>
      <c r="E1398" s="9">
        <f t="shared" si="63"/>
        <v>-6.2269168998258916E-3</v>
      </c>
      <c r="F1398" s="9">
        <f t="shared" si="64"/>
        <v>2.3541191945229082E-2</v>
      </c>
      <c r="G1398" s="9">
        <f t="shared" si="65"/>
        <v>1.3155721950392078E-2</v>
      </c>
    </row>
    <row r="1399" spans="1:7" x14ac:dyDescent="0.2">
      <c r="A1399" s="12">
        <v>39168</v>
      </c>
      <c r="B1399" s="9">
        <v>3114.07</v>
      </c>
      <c r="C1399" s="9">
        <v>3080.97</v>
      </c>
      <c r="D1399" s="9">
        <v>3084.7</v>
      </c>
      <c r="E1399" s="9">
        <f t="shared" si="63"/>
        <v>-3.2074806074192156E-3</v>
      </c>
      <c r="F1399" s="9">
        <f t="shared" si="64"/>
        <v>2.0757276104878028E-2</v>
      </c>
      <c r="G1399" s="9">
        <f t="shared" si="65"/>
        <v>1.3174344031754163E-2</v>
      </c>
    </row>
    <row r="1400" spans="1:7" x14ac:dyDescent="0.2">
      <c r="A1400" s="12">
        <v>39169</v>
      </c>
      <c r="B1400" s="9">
        <v>3084.34</v>
      </c>
      <c r="C1400" s="9">
        <v>3051.04</v>
      </c>
      <c r="D1400" s="9">
        <v>3055.89</v>
      </c>
      <c r="E1400" s="9">
        <f t="shared" si="63"/>
        <v>-9.3835320041495158E-3</v>
      </c>
      <c r="F1400" s="9">
        <f t="shared" si="64"/>
        <v>-3.9419697183197848E-3</v>
      </c>
      <c r="G1400" s="9">
        <f t="shared" si="65"/>
        <v>1.299954991523759E-2</v>
      </c>
    </row>
    <row r="1401" spans="1:7" x14ac:dyDescent="0.2">
      <c r="A1401" s="12">
        <v>39170</v>
      </c>
      <c r="B1401" s="9">
        <v>3074.2</v>
      </c>
      <c r="C1401" s="9">
        <v>3039.71</v>
      </c>
      <c r="D1401" s="9">
        <v>3072.61</v>
      </c>
      <c r="E1401" s="9">
        <f t="shared" si="63"/>
        <v>5.4564873897520365E-3</v>
      </c>
      <c r="F1401" s="9">
        <f t="shared" si="64"/>
        <v>1.6188269485332375E-3</v>
      </c>
      <c r="G1401" s="9">
        <f t="shared" si="65"/>
        <v>1.3039533566941968E-2</v>
      </c>
    </row>
    <row r="1402" spans="1:7" x14ac:dyDescent="0.2">
      <c r="A1402" s="12">
        <v>39171</v>
      </c>
      <c r="B1402" s="9">
        <v>3080.34</v>
      </c>
      <c r="C1402" s="9">
        <v>3056.02</v>
      </c>
      <c r="D1402" s="9">
        <v>3077.7</v>
      </c>
      <c r="E1402" s="9">
        <f t="shared" si="63"/>
        <v>1.6552014978386215E-3</v>
      </c>
      <c r="F1402" s="9">
        <f t="shared" si="64"/>
        <v>-1.5356821786458813E-3</v>
      </c>
      <c r="G1402" s="9">
        <f t="shared" si="65"/>
        <v>1.3012551966915574E-2</v>
      </c>
    </row>
    <row r="1403" spans="1:7" x14ac:dyDescent="0.2">
      <c r="A1403" s="12">
        <v>39174</v>
      </c>
      <c r="B1403" s="9">
        <v>3088.05</v>
      </c>
      <c r="C1403" s="9">
        <v>3055.48</v>
      </c>
      <c r="D1403" s="9">
        <v>3072.7</v>
      </c>
      <c r="E1403" s="9">
        <f t="shared" si="63"/>
        <v>-1.6259108680716891E-3</v>
      </c>
      <c r="F1403" s="9">
        <f t="shared" si="64"/>
        <v>-1.0959350764422251E-2</v>
      </c>
      <c r="G1403" s="9">
        <f t="shared" si="65"/>
        <v>1.2930026994759985E-2</v>
      </c>
    </row>
    <row r="1404" spans="1:7" x14ac:dyDescent="0.2">
      <c r="A1404" s="12">
        <v>39175</v>
      </c>
      <c r="B1404" s="9">
        <v>3119.12</v>
      </c>
      <c r="C1404" s="9">
        <v>3075.97</v>
      </c>
      <c r="D1404" s="9">
        <v>3118.03</v>
      </c>
      <c r="E1404" s="9">
        <f t="shared" si="63"/>
        <v>1.4644738230007301E-2</v>
      </c>
      <c r="F1404" s="9">
        <f t="shared" si="64"/>
        <v>2.1993166905971782E-3</v>
      </c>
      <c r="G1404" s="9">
        <f t="shared" si="65"/>
        <v>1.3215044511505404E-2</v>
      </c>
    </row>
    <row r="1405" spans="1:7" x14ac:dyDescent="0.2">
      <c r="A1405" s="12">
        <v>39176</v>
      </c>
      <c r="B1405" s="9">
        <v>3136.18</v>
      </c>
      <c r="C1405" s="9">
        <v>3118.42</v>
      </c>
      <c r="D1405" s="9">
        <v>3130.55</v>
      </c>
      <c r="E1405" s="9">
        <f t="shared" si="63"/>
        <v>4.0073158235783045E-3</v>
      </c>
      <c r="F1405" s="9">
        <f t="shared" si="64"/>
        <v>1.2251518345077947E-2</v>
      </c>
      <c r="G1405" s="9">
        <f t="shared" si="65"/>
        <v>1.3181963234728722E-2</v>
      </c>
    </row>
    <row r="1406" spans="1:7" x14ac:dyDescent="0.2">
      <c r="A1406" s="12">
        <v>39177</v>
      </c>
      <c r="B1406" s="9">
        <v>3137.86</v>
      </c>
      <c r="C1406" s="9">
        <v>3119.68</v>
      </c>
      <c r="D1406" s="9">
        <v>3130.03</v>
      </c>
      <c r="E1406" s="9">
        <f t="shared" si="63"/>
        <v>-1.6611879448729327E-4</v>
      </c>
      <c r="F1406" s="9">
        <f t="shared" si="64"/>
        <v>4.9546989146743567E-3</v>
      </c>
      <c r="G1406" s="9">
        <f t="shared" si="65"/>
        <v>1.3120826052684642E-2</v>
      </c>
    </row>
    <row r="1407" spans="1:7" x14ac:dyDescent="0.2">
      <c r="A1407" s="12">
        <v>39182</v>
      </c>
      <c r="B1407" s="9">
        <v>3152.68</v>
      </c>
      <c r="C1407" s="9">
        <v>3127.49</v>
      </c>
      <c r="D1407" s="9">
        <v>3150.7</v>
      </c>
      <c r="E1407" s="9">
        <f t="shared" si="63"/>
        <v>6.5820612013971908E-3</v>
      </c>
      <c r="F1407" s="9">
        <f t="shared" si="64"/>
        <v>8.087972426220346E-3</v>
      </c>
      <c r="G1407" s="9">
        <f t="shared" si="65"/>
        <v>1.3160276432237536E-2</v>
      </c>
    </row>
    <row r="1408" spans="1:7" x14ac:dyDescent="0.2">
      <c r="A1408" s="12">
        <v>39183</v>
      </c>
      <c r="B1408" s="9">
        <v>3183.21</v>
      </c>
      <c r="C1408" s="9">
        <v>3147.81</v>
      </c>
      <c r="D1408" s="9">
        <v>3154.99</v>
      </c>
      <c r="E1408" s="9">
        <f t="shared" si="63"/>
        <v>1.360676043982404E-3</v>
      </c>
      <c r="F1408" s="9">
        <f t="shared" si="64"/>
        <v>1.5543025580878982E-3</v>
      </c>
      <c r="G1408" s="9">
        <f t="shared" si="65"/>
        <v>1.308358292264092E-2</v>
      </c>
    </row>
    <row r="1409" spans="1:7" x14ac:dyDescent="0.2">
      <c r="A1409" s="12">
        <v>39184</v>
      </c>
      <c r="B1409" s="9">
        <v>3153.92</v>
      </c>
      <c r="C1409" s="9">
        <v>3121.39</v>
      </c>
      <c r="D1409" s="9">
        <v>3149.23</v>
      </c>
      <c r="E1409" s="9">
        <f t="shared" si="63"/>
        <v>-1.827347904361186E-3</v>
      </c>
      <c r="F1409" s="9">
        <f t="shared" si="64"/>
        <v>3.8776893618635393E-2</v>
      </c>
      <c r="G1409" s="9">
        <f t="shared" si="65"/>
        <v>1.0816055329510368E-2</v>
      </c>
    </row>
    <row r="1410" spans="1:7" x14ac:dyDescent="0.2">
      <c r="A1410" s="12">
        <v>39185</v>
      </c>
      <c r="B1410" s="9">
        <v>3154.56</v>
      </c>
      <c r="C1410" s="9">
        <v>3119.36</v>
      </c>
      <c r="D1410" s="9">
        <v>3143.05</v>
      </c>
      <c r="E1410" s="9">
        <f t="shared" si="63"/>
        <v>-1.964312454989057E-3</v>
      </c>
      <c r="F1410" s="9">
        <f t="shared" si="64"/>
        <v>5.0639600849439852E-2</v>
      </c>
      <c r="G1410" s="9">
        <f t="shared" si="65"/>
        <v>1.0455058491928999E-2</v>
      </c>
    </row>
    <row r="1411" spans="1:7" x14ac:dyDescent="0.2">
      <c r="A1411" s="12">
        <v>39188</v>
      </c>
      <c r="B1411" s="9">
        <v>3164.28</v>
      </c>
      <c r="C1411" s="9">
        <v>3142.96</v>
      </c>
      <c r="D1411" s="9">
        <v>3160.2</v>
      </c>
      <c r="E1411" s="9">
        <f t="shared" si="63"/>
        <v>5.44165067856616E-3</v>
      </c>
      <c r="F1411" s="9">
        <f t="shared" si="64"/>
        <v>7.0108929780297591E-2</v>
      </c>
      <c r="G1411" s="9">
        <f t="shared" si="65"/>
        <v>1.0042001283607898E-2</v>
      </c>
    </row>
    <row r="1412" spans="1:7" x14ac:dyDescent="0.2">
      <c r="A1412" s="12">
        <v>39189</v>
      </c>
      <c r="B1412" s="9">
        <v>3166.19</v>
      </c>
      <c r="C1412" s="9">
        <v>3138.01</v>
      </c>
      <c r="D1412" s="9">
        <v>3164.35</v>
      </c>
      <c r="E1412" s="9">
        <f t="shared" ref="E1412:E1475" si="66">LN(D1412/D1411)</f>
        <v>1.3123465212901417E-3</v>
      </c>
      <c r="F1412" s="9">
        <f t="shared" si="64"/>
        <v>5.8418270645581208E-2</v>
      </c>
      <c r="G1412" s="9">
        <f t="shared" si="65"/>
        <v>9.8385967435412232E-3</v>
      </c>
    </row>
    <row r="1413" spans="1:7" x14ac:dyDescent="0.2">
      <c r="A1413" s="12">
        <v>39190</v>
      </c>
      <c r="B1413" s="9">
        <v>3162.75</v>
      </c>
      <c r="C1413" s="9">
        <v>3119.26</v>
      </c>
      <c r="D1413" s="9">
        <v>3138.93</v>
      </c>
      <c r="E1413" s="9">
        <f t="shared" si="66"/>
        <v>-8.0656857409579265E-3</v>
      </c>
      <c r="F1413" s="9">
        <f t="shared" si="64"/>
        <v>6.1975117419188271E-2</v>
      </c>
      <c r="G1413" s="9">
        <f t="shared" si="65"/>
        <v>9.6897378833656709E-3</v>
      </c>
    </row>
    <row r="1414" spans="1:7" x14ac:dyDescent="0.2">
      <c r="A1414" s="12">
        <v>39191</v>
      </c>
      <c r="B1414" s="9">
        <v>3143.75</v>
      </c>
      <c r="C1414" s="9">
        <v>3100.05</v>
      </c>
      <c r="D1414" s="9">
        <v>3142.27</v>
      </c>
      <c r="E1414" s="9">
        <f t="shared" si="66"/>
        <v>1.063491152900405E-3</v>
      </c>
      <c r="F1414" s="9">
        <f t="shared" si="64"/>
        <v>5.9192170238219634E-2</v>
      </c>
      <c r="G1414" s="9">
        <f t="shared" si="65"/>
        <v>9.6854237883379733E-3</v>
      </c>
    </row>
    <row r="1415" spans="1:7" x14ac:dyDescent="0.2">
      <c r="A1415" s="12">
        <v>39192</v>
      </c>
      <c r="B1415" s="9">
        <v>3183.6</v>
      </c>
      <c r="C1415" s="9">
        <v>3143.88</v>
      </c>
      <c r="D1415" s="9">
        <v>3183.49</v>
      </c>
      <c r="E1415" s="9">
        <f t="shared" si="66"/>
        <v>1.3032610604719127E-2</v>
      </c>
      <c r="F1415" s="9">
        <f t="shared" si="64"/>
        <v>5.6549759345622272E-2</v>
      </c>
      <c r="G1415" s="9">
        <f t="shared" si="65"/>
        <v>9.5678210978372615E-3</v>
      </c>
    </row>
    <row r="1416" spans="1:7" x14ac:dyDescent="0.2">
      <c r="A1416" s="12">
        <v>39195</v>
      </c>
      <c r="B1416" s="9">
        <v>3195.36</v>
      </c>
      <c r="C1416" s="9">
        <v>3181.91</v>
      </c>
      <c r="D1416" s="9">
        <v>3190.39</v>
      </c>
      <c r="E1416" s="9">
        <f t="shared" si="66"/>
        <v>2.1650871040468419E-3</v>
      </c>
      <c r="F1416" s="9">
        <f t="shared" si="64"/>
        <v>4.6363158028219699E-2</v>
      </c>
      <c r="G1416" s="9">
        <f t="shared" si="65"/>
        <v>9.362103801681879E-3</v>
      </c>
    </row>
    <row r="1417" spans="1:7" x14ac:dyDescent="0.2">
      <c r="A1417" s="12">
        <v>39196</v>
      </c>
      <c r="B1417" s="9">
        <v>3191.72</v>
      </c>
      <c r="C1417" s="9">
        <v>3146.02</v>
      </c>
      <c r="D1417" s="9">
        <v>3151.8</v>
      </c>
      <c r="E1417" s="9">
        <f t="shared" si="66"/>
        <v>-1.2169448171426353E-2</v>
      </c>
      <c r="F1417" s="9">
        <f t="shared" si="64"/>
        <v>3.3829345954987641E-2</v>
      </c>
      <c r="G1417" s="9">
        <f t="shared" si="65"/>
        <v>9.6905344391511553E-3</v>
      </c>
    </row>
    <row r="1418" spans="1:7" x14ac:dyDescent="0.2">
      <c r="A1418" s="12">
        <v>39197</v>
      </c>
      <c r="B1418" s="9">
        <v>3179.15</v>
      </c>
      <c r="C1418" s="9">
        <v>3143.71</v>
      </c>
      <c r="D1418" s="9">
        <v>3173</v>
      </c>
      <c r="E1418" s="9">
        <f t="shared" si="66"/>
        <v>6.7037943952246246E-3</v>
      </c>
      <c r="F1418" s="9">
        <f t="shared" si="64"/>
        <v>4.1416377454992187E-2</v>
      </c>
      <c r="G1418" s="9">
        <f t="shared" si="65"/>
        <v>9.7351448332860802E-3</v>
      </c>
    </row>
    <row r="1419" spans="1:7" x14ac:dyDescent="0.2">
      <c r="A1419" s="12">
        <v>39198</v>
      </c>
      <c r="B1419" s="9">
        <v>3214.89</v>
      </c>
      <c r="C1419" s="9">
        <v>3176.39</v>
      </c>
      <c r="D1419" s="9">
        <v>3196.33</v>
      </c>
      <c r="E1419" s="9">
        <f t="shared" si="66"/>
        <v>7.3257640402197947E-3</v>
      </c>
      <c r="F1419" s="9">
        <f t="shared" si="64"/>
        <v>6.0073164707571375E-2</v>
      </c>
      <c r="G1419" s="9">
        <f t="shared" si="65"/>
        <v>9.4878823043431596E-3</v>
      </c>
    </row>
    <row r="1420" spans="1:7" x14ac:dyDescent="0.2">
      <c r="A1420" s="12">
        <v>39199</v>
      </c>
      <c r="B1420" s="9">
        <v>3206</v>
      </c>
      <c r="C1420" s="9">
        <v>3167.51</v>
      </c>
      <c r="D1420" s="9">
        <v>3181.01</v>
      </c>
      <c r="E1420" s="9">
        <f t="shared" si="66"/>
        <v>-4.8045202136986001E-3</v>
      </c>
      <c r="F1420" s="9">
        <f t="shared" si="64"/>
        <v>8.3220748717830959E-2</v>
      </c>
      <c r="G1420" s="9">
        <f t="shared" si="65"/>
        <v>7.749921234991697E-3</v>
      </c>
    </row>
    <row r="1421" spans="1:7" x14ac:dyDescent="0.2">
      <c r="A1421" s="12">
        <v>39202</v>
      </c>
      <c r="B1421" s="9">
        <v>3193.4</v>
      </c>
      <c r="C1421" s="9">
        <v>3173.7</v>
      </c>
      <c r="D1421" s="9">
        <v>3173.7</v>
      </c>
      <c r="E1421" s="9">
        <f t="shared" si="66"/>
        <v>-2.3006567488783073E-3</v>
      </c>
      <c r="F1421" s="9">
        <f t="shared" si="64"/>
        <v>5.8598483176520437E-2</v>
      </c>
      <c r="G1421" s="9">
        <f t="shared" si="65"/>
        <v>6.8612176558848909E-3</v>
      </c>
    </row>
    <row r="1422" spans="1:7" x14ac:dyDescent="0.2">
      <c r="A1422" s="12">
        <v>39204</v>
      </c>
      <c r="B1422" s="9">
        <v>3211.39</v>
      </c>
      <c r="C1422" s="9">
        <v>3177.64</v>
      </c>
      <c r="D1422" s="9">
        <v>3209.77</v>
      </c>
      <c r="E1422" s="9">
        <f t="shared" si="66"/>
        <v>1.1301183805818342E-2</v>
      </c>
      <c r="F1422" s="9">
        <f t="shared" si="64"/>
        <v>6.5588992153737105E-2</v>
      </c>
      <c r="G1422" s="9">
        <f t="shared" si="65"/>
        <v>7.0598670817593918E-3</v>
      </c>
    </row>
    <row r="1423" spans="1:7" x14ac:dyDescent="0.2">
      <c r="A1423" s="12">
        <v>39205</v>
      </c>
      <c r="B1423" s="9">
        <v>3220.11</v>
      </c>
      <c r="C1423" s="9">
        <v>3194.27</v>
      </c>
      <c r="D1423" s="9">
        <v>3212.51</v>
      </c>
      <c r="E1423" s="9">
        <f t="shared" si="66"/>
        <v>8.5327957244057181E-4</v>
      </c>
      <c r="F1423" s="9">
        <f t="shared" si="64"/>
        <v>5.392283093400959E-2</v>
      </c>
      <c r="G1423" s="9">
        <f t="shared" si="65"/>
        <v>6.7870984810639865E-3</v>
      </c>
    </row>
    <row r="1424" spans="1:7" x14ac:dyDescent="0.2">
      <c r="A1424" s="12">
        <v>39206</v>
      </c>
      <c r="B1424" s="9">
        <v>3231.37</v>
      </c>
      <c r="C1424" s="9">
        <v>3200.04</v>
      </c>
      <c r="D1424" s="9">
        <v>3226.11</v>
      </c>
      <c r="E1424" s="9">
        <f t="shared" si="66"/>
        <v>4.2245140188575765E-3</v>
      </c>
      <c r="F1424" s="9">
        <f t="shared" si="64"/>
        <v>6.0225807639280413E-2</v>
      </c>
      <c r="G1424" s="9">
        <f t="shared" si="65"/>
        <v>6.7604846775493905E-3</v>
      </c>
    </row>
    <row r="1425" spans="1:7" x14ac:dyDescent="0.2">
      <c r="A1425" s="12">
        <v>39209</v>
      </c>
      <c r="B1425" s="9">
        <v>3243.15</v>
      </c>
      <c r="C1425" s="9">
        <v>3223.61</v>
      </c>
      <c r="D1425" s="9">
        <v>3243.15</v>
      </c>
      <c r="E1425" s="9">
        <f t="shared" si="66"/>
        <v>5.2680026487145794E-3</v>
      </c>
      <c r="F1425" s="9">
        <f t="shared" si="64"/>
        <v>5.8417786819136112E-2</v>
      </c>
      <c r="G1425" s="9">
        <f t="shared" si="65"/>
        <v>6.7216903643191077E-3</v>
      </c>
    </row>
    <row r="1426" spans="1:7" x14ac:dyDescent="0.2">
      <c r="A1426" s="12">
        <v>39210</v>
      </c>
      <c r="B1426" s="9">
        <v>3242.68</v>
      </c>
      <c r="C1426" s="9">
        <v>3164.99</v>
      </c>
      <c r="D1426" s="9">
        <v>3165.57</v>
      </c>
      <c r="E1426" s="9">
        <f t="shared" si="66"/>
        <v>-2.4211945556782254E-2</v>
      </c>
      <c r="F1426" s="9">
        <f t="shared" si="64"/>
        <v>1.8620790094341758E-2</v>
      </c>
      <c r="G1426" s="9">
        <f t="shared" si="65"/>
        <v>7.780997646266526E-3</v>
      </c>
    </row>
    <row r="1427" spans="1:7" x14ac:dyDescent="0.2">
      <c r="A1427" s="12">
        <v>39211</v>
      </c>
      <c r="B1427" s="9">
        <v>3192.9</v>
      </c>
      <c r="C1427" s="9">
        <v>3141.06</v>
      </c>
      <c r="D1427" s="9">
        <v>3150.55</v>
      </c>
      <c r="E1427" s="9">
        <f t="shared" si="66"/>
        <v>-4.7560933969653585E-3</v>
      </c>
      <c r="F1427" s="9">
        <f t="shared" si="64"/>
        <v>1.1688235367341145E-2</v>
      </c>
      <c r="G1427" s="9">
        <f t="shared" si="65"/>
        <v>7.8359498976786589E-3</v>
      </c>
    </row>
    <row r="1428" spans="1:7" x14ac:dyDescent="0.2">
      <c r="A1428" s="12">
        <v>39212</v>
      </c>
      <c r="B1428" s="9">
        <v>3172.94</v>
      </c>
      <c r="C1428" s="9">
        <v>3132.8</v>
      </c>
      <c r="D1428" s="9">
        <v>3133.37</v>
      </c>
      <c r="E1428" s="9">
        <f t="shared" si="66"/>
        <v>-5.4679381037460294E-3</v>
      </c>
      <c r="F1428" s="9">
        <f t="shared" si="64"/>
        <v>1.2447214163420867E-2</v>
      </c>
      <c r="G1428" s="9">
        <f t="shared" si="65"/>
        <v>7.8150483846623157E-3</v>
      </c>
    </row>
    <row r="1429" spans="1:7" x14ac:dyDescent="0.2">
      <c r="A1429" s="12">
        <v>39213</v>
      </c>
      <c r="B1429" s="9">
        <v>3145.08</v>
      </c>
      <c r="C1429" s="9">
        <v>3082.7</v>
      </c>
      <c r="D1429" s="9">
        <v>3144.93</v>
      </c>
      <c r="E1429" s="9">
        <f t="shared" si="66"/>
        <v>3.6825296859928159E-3</v>
      </c>
      <c r="F1429" s="9">
        <f t="shared" si="64"/>
        <v>1.9337224456833009E-2</v>
      </c>
      <c r="G1429" s="9">
        <f t="shared" si="65"/>
        <v>7.8061596201654884E-3</v>
      </c>
    </row>
    <row r="1430" spans="1:7" x14ac:dyDescent="0.2">
      <c r="A1430" s="12">
        <v>39216</v>
      </c>
      <c r="B1430" s="9">
        <v>3183.2</v>
      </c>
      <c r="C1430" s="9">
        <v>3147.32</v>
      </c>
      <c r="D1430" s="9">
        <v>3176.55</v>
      </c>
      <c r="E1430" s="9">
        <f t="shared" si="66"/>
        <v>1.0004069842532097E-2</v>
      </c>
      <c r="F1430" s="9">
        <f t="shared" si="64"/>
        <v>3.8724826303514495E-2</v>
      </c>
      <c r="G1430" s="9">
        <f t="shared" si="65"/>
        <v>7.7496510612721295E-3</v>
      </c>
    </row>
    <row r="1431" spans="1:7" x14ac:dyDescent="0.2">
      <c r="A1431" s="12">
        <v>39217</v>
      </c>
      <c r="B1431" s="9">
        <v>3194.82</v>
      </c>
      <c r="C1431" s="9">
        <v>3162.08</v>
      </c>
      <c r="D1431" s="9">
        <v>3192.31</v>
      </c>
      <c r="E1431" s="9">
        <f t="shared" si="66"/>
        <v>4.9490904708571655E-3</v>
      </c>
      <c r="F1431" s="9">
        <f t="shared" si="64"/>
        <v>3.8217429384619757E-2</v>
      </c>
      <c r="G1431" s="9">
        <f t="shared" si="65"/>
        <v>7.7407948436717736E-3</v>
      </c>
    </row>
    <row r="1432" spans="1:7" x14ac:dyDescent="0.2">
      <c r="A1432" s="12">
        <v>39218</v>
      </c>
      <c r="B1432" s="9">
        <v>3200.24</v>
      </c>
      <c r="C1432" s="9">
        <v>3176.57</v>
      </c>
      <c r="D1432" s="9">
        <v>3197.37</v>
      </c>
      <c r="E1432" s="9">
        <f t="shared" si="66"/>
        <v>1.5838042148351426E-3</v>
      </c>
      <c r="F1432" s="9">
        <f t="shared" si="64"/>
        <v>3.8146032101616177E-2</v>
      </c>
      <c r="G1432" s="9">
        <f t="shared" si="65"/>
        <v>7.7406845492913427E-3</v>
      </c>
    </row>
    <row r="1433" spans="1:7" x14ac:dyDescent="0.2">
      <c r="A1433" s="12">
        <v>39220</v>
      </c>
      <c r="B1433" s="9">
        <v>3217.6</v>
      </c>
      <c r="C1433" s="9">
        <v>3192.14</v>
      </c>
      <c r="D1433" s="9">
        <v>3209.41</v>
      </c>
      <c r="E1433" s="9">
        <f t="shared" si="66"/>
        <v>3.758522744211114E-3</v>
      </c>
      <c r="F1433" s="9">
        <f t="shared" si="64"/>
        <v>4.3530465713898944E-2</v>
      </c>
      <c r="G1433" s="9">
        <f t="shared" si="65"/>
        <v>7.733606107128599E-3</v>
      </c>
    </row>
    <row r="1434" spans="1:7" x14ac:dyDescent="0.2">
      <c r="A1434" s="12">
        <v>39223</v>
      </c>
      <c r="B1434" s="9">
        <v>3250.47</v>
      </c>
      <c r="C1434" s="9">
        <v>3202.83</v>
      </c>
      <c r="D1434" s="9">
        <v>3236.42</v>
      </c>
      <c r="E1434" s="9">
        <f t="shared" si="66"/>
        <v>8.3806610128324219E-3</v>
      </c>
      <c r="F1434" s="9">
        <f t="shared" si="64"/>
        <v>3.7266388496724229E-2</v>
      </c>
      <c r="G1434" s="9">
        <f t="shared" si="65"/>
        <v>7.4442501567584096E-3</v>
      </c>
    </row>
    <row r="1435" spans="1:7" x14ac:dyDescent="0.2">
      <c r="A1435" s="12">
        <v>39224</v>
      </c>
      <c r="B1435" s="9">
        <v>3241.71</v>
      </c>
      <c r="C1435" s="9">
        <v>3224.17</v>
      </c>
      <c r="D1435" s="9">
        <v>3237.85</v>
      </c>
      <c r="E1435" s="9">
        <f t="shared" si="66"/>
        <v>4.4174865220458792E-4</v>
      </c>
      <c r="F1435" s="9">
        <f t="shared" si="64"/>
        <v>3.3700821325350391E-2</v>
      </c>
      <c r="G1435" s="9">
        <f t="shared" si="65"/>
        <v>7.4270245702447099E-3</v>
      </c>
    </row>
    <row r="1436" spans="1:7" x14ac:dyDescent="0.2">
      <c r="A1436" s="12">
        <v>39225</v>
      </c>
      <c r="B1436" s="9">
        <v>3269.5</v>
      </c>
      <c r="C1436" s="9">
        <v>3235.7</v>
      </c>
      <c r="D1436" s="9">
        <v>3268.83</v>
      </c>
      <c r="E1436" s="9">
        <f t="shared" si="66"/>
        <v>9.5225934284846169E-3</v>
      </c>
      <c r="F1436" s="9">
        <f t="shared" si="64"/>
        <v>4.3389533548322423E-2</v>
      </c>
      <c r="G1436" s="9">
        <f t="shared" si="65"/>
        <v>7.5781342434542796E-3</v>
      </c>
    </row>
    <row r="1437" spans="1:7" x14ac:dyDescent="0.2">
      <c r="A1437" s="12">
        <v>39226</v>
      </c>
      <c r="B1437" s="9">
        <v>3288.57</v>
      </c>
      <c r="C1437" s="9">
        <v>3255.63</v>
      </c>
      <c r="D1437" s="9">
        <v>3273.81</v>
      </c>
      <c r="E1437" s="9">
        <f t="shared" si="66"/>
        <v>1.5223215588040812E-3</v>
      </c>
      <c r="F1437" s="9">
        <f t="shared" si="64"/>
        <v>3.8329793905729437E-2</v>
      </c>
      <c r="G1437" s="9">
        <f t="shared" si="65"/>
        <v>7.5159416561210541E-3</v>
      </c>
    </row>
    <row r="1438" spans="1:7" x14ac:dyDescent="0.2">
      <c r="A1438" s="12">
        <v>39227</v>
      </c>
      <c r="B1438" s="9">
        <v>3281.29</v>
      </c>
      <c r="C1438" s="9">
        <v>3246.21</v>
      </c>
      <c r="D1438" s="9">
        <v>3274.82</v>
      </c>
      <c r="E1438" s="9">
        <f t="shared" si="66"/>
        <v>3.0846146690481077E-4</v>
      </c>
      <c r="F1438" s="9">
        <f t="shared" si="64"/>
        <v>3.7277579328651833E-2</v>
      </c>
      <c r="G1438" s="9">
        <f t="shared" si="65"/>
        <v>7.5179957410017161E-3</v>
      </c>
    </row>
    <row r="1439" spans="1:7" x14ac:dyDescent="0.2">
      <c r="A1439" s="12">
        <v>39230</v>
      </c>
      <c r="B1439" s="9">
        <v>3295.71</v>
      </c>
      <c r="C1439" s="9">
        <v>3273.8</v>
      </c>
      <c r="D1439" s="9">
        <v>3295.68</v>
      </c>
      <c r="E1439" s="9">
        <f t="shared" si="66"/>
        <v>6.3496142106023367E-3</v>
      </c>
      <c r="F1439" s="9">
        <f t="shared" si="64"/>
        <v>4.5454541443615465E-2</v>
      </c>
      <c r="G1439" s="9">
        <f t="shared" si="65"/>
        <v>7.5510127780218025E-3</v>
      </c>
    </row>
    <row r="1440" spans="1:7" x14ac:dyDescent="0.2">
      <c r="A1440" s="12">
        <v>39231</v>
      </c>
      <c r="B1440" s="9">
        <v>3296.87</v>
      </c>
      <c r="C1440" s="9">
        <v>3268.64</v>
      </c>
      <c r="D1440" s="9">
        <v>3270.56</v>
      </c>
      <c r="E1440" s="9">
        <f t="shared" si="66"/>
        <v>-7.6512958857697915E-3</v>
      </c>
      <c r="F1440" s="9">
        <f t="shared" si="64"/>
        <v>3.9767558012834783E-2</v>
      </c>
      <c r="G1440" s="9">
        <f t="shared" si="65"/>
        <v>7.7110647165098394E-3</v>
      </c>
    </row>
    <row r="1441" spans="1:7" x14ac:dyDescent="0.2">
      <c r="A1441" s="12">
        <v>39232</v>
      </c>
      <c r="B1441" s="9">
        <v>3268.35</v>
      </c>
      <c r="C1441" s="9">
        <v>3233.1</v>
      </c>
      <c r="D1441" s="9">
        <v>3267.3</v>
      </c>
      <c r="E1441" s="9">
        <f t="shared" si="66"/>
        <v>-9.972683019166251E-4</v>
      </c>
      <c r="F1441" s="9">
        <f t="shared" ref="F1441:F1504" si="67">LN(D1441/D1411)</f>
        <v>3.3328639032351816E-2</v>
      </c>
      <c r="G1441" s="9">
        <f t="shared" ref="G1441:G1504" si="68">STDEV(E1412:E1441)</f>
        <v>7.6821035144182198E-3</v>
      </c>
    </row>
    <row r="1442" spans="1:7" x14ac:dyDescent="0.2">
      <c r="A1442" s="12">
        <v>39233</v>
      </c>
      <c r="B1442" s="9">
        <v>3324.82</v>
      </c>
      <c r="C1442" s="9">
        <v>3270.02</v>
      </c>
      <c r="D1442" s="9">
        <v>3315.35</v>
      </c>
      <c r="E1442" s="9">
        <f t="shared" si="66"/>
        <v>1.4599242990779089E-2</v>
      </c>
      <c r="F1442" s="9">
        <f t="shared" si="67"/>
        <v>4.6615535501840978E-2</v>
      </c>
      <c r="G1442" s="9">
        <f t="shared" si="68"/>
        <v>8.0674641601423333E-3</v>
      </c>
    </row>
    <row r="1443" spans="1:7" x14ac:dyDescent="0.2">
      <c r="A1443" s="12">
        <v>39234</v>
      </c>
      <c r="B1443" s="9">
        <v>3348.57</v>
      </c>
      <c r="C1443" s="9">
        <v>3315.36</v>
      </c>
      <c r="D1443" s="9">
        <v>3347.71</v>
      </c>
      <c r="E1443" s="9">
        <f t="shared" si="66"/>
        <v>9.7133312402633096E-3</v>
      </c>
      <c r="F1443" s="9">
        <f t="shared" si="67"/>
        <v>6.4394552483062181E-2</v>
      </c>
      <c r="G1443" s="9">
        <f t="shared" si="68"/>
        <v>7.9890885442736401E-3</v>
      </c>
    </row>
    <row r="1444" spans="1:7" x14ac:dyDescent="0.2">
      <c r="A1444" s="12">
        <v>39237</v>
      </c>
      <c r="B1444" s="9">
        <v>3351.9</v>
      </c>
      <c r="C1444" s="9">
        <v>3328.7</v>
      </c>
      <c r="D1444" s="9">
        <v>3336.47</v>
      </c>
      <c r="E1444" s="9">
        <f t="shared" si="66"/>
        <v>-3.3631681356699069E-3</v>
      </c>
      <c r="F1444" s="9">
        <f t="shared" si="67"/>
        <v>5.9967893194491702E-2</v>
      </c>
      <c r="G1444" s="9">
        <f t="shared" si="68"/>
        <v>8.0504246256234771E-3</v>
      </c>
    </row>
    <row r="1445" spans="1:7" x14ac:dyDescent="0.2">
      <c r="A1445" s="12">
        <v>39238</v>
      </c>
      <c r="B1445" s="9">
        <v>3343.02</v>
      </c>
      <c r="C1445" s="9">
        <v>3308.41</v>
      </c>
      <c r="D1445" s="9">
        <v>3314.34</v>
      </c>
      <c r="E1445" s="9">
        <f t="shared" si="66"/>
        <v>-6.654853069829496E-3</v>
      </c>
      <c r="F1445" s="9">
        <f t="shared" si="67"/>
        <v>4.0280429519942942E-2</v>
      </c>
      <c r="G1445" s="9">
        <f t="shared" si="68"/>
        <v>7.9213738218410507E-3</v>
      </c>
    </row>
    <row r="1446" spans="1:7" x14ac:dyDescent="0.2">
      <c r="A1446" s="12">
        <v>39239</v>
      </c>
      <c r="B1446" s="9">
        <v>3315.3</v>
      </c>
      <c r="C1446" s="9">
        <v>3248.59</v>
      </c>
      <c r="D1446" s="9">
        <v>3255.91</v>
      </c>
      <c r="E1446" s="9">
        <f t="shared" si="66"/>
        <v>-1.7786702312531037E-2</v>
      </c>
      <c r="F1446" s="9">
        <f t="shared" si="67"/>
        <v>2.0328640103365131E-2</v>
      </c>
      <c r="G1446" s="9">
        <f t="shared" si="68"/>
        <v>8.6536509277150529E-3</v>
      </c>
    </row>
    <row r="1447" spans="1:7" x14ac:dyDescent="0.2">
      <c r="A1447" s="12">
        <v>39240</v>
      </c>
      <c r="B1447" s="9">
        <v>3283.41</v>
      </c>
      <c r="C1447" s="9">
        <v>3197.19</v>
      </c>
      <c r="D1447" s="9">
        <v>3205.99</v>
      </c>
      <c r="E1447" s="9">
        <f t="shared" si="66"/>
        <v>-1.545087144971952E-2</v>
      </c>
      <c r="F1447" s="9">
        <f t="shared" si="67"/>
        <v>1.7047216825071907E-2</v>
      </c>
      <c r="G1447" s="9">
        <f t="shared" si="68"/>
        <v>8.8403594812511404E-3</v>
      </c>
    </row>
    <row r="1448" spans="1:7" x14ac:dyDescent="0.2">
      <c r="A1448" s="12">
        <v>39241</v>
      </c>
      <c r="B1448" s="9">
        <v>3209.3</v>
      </c>
      <c r="C1448" s="9">
        <v>3153.67</v>
      </c>
      <c r="D1448" s="9">
        <v>3201.45</v>
      </c>
      <c r="E1448" s="9">
        <f t="shared" si="66"/>
        <v>-1.4171028553561728E-3</v>
      </c>
      <c r="F1448" s="9">
        <f t="shared" si="67"/>
        <v>8.9263195744911476E-3</v>
      </c>
      <c r="G1448" s="9">
        <f t="shared" si="68"/>
        <v>8.7700607191866075E-3</v>
      </c>
    </row>
    <row r="1449" spans="1:7" x14ac:dyDescent="0.2">
      <c r="A1449" s="12">
        <v>39244</v>
      </c>
      <c r="B1449" s="9">
        <v>3245.69</v>
      </c>
      <c r="C1449" s="9">
        <v>3203.49</v>
      </c>
      <c r="D1449" s="9">
        <v>3237.46</v>
      </c>
      <c r="E1449" s="9">
        <f t="shared" si="66"/>
        <v>1.1185239561425074E-2</v>
      </c>
      <c r="F1449" s="9">
        <f t="shared" si="67"/>
        <v>1.278579509569628E-2</v>
      </c>
      <c r="G1449" s="9">
        <f t="shared" si="68"/>
        <v>8.9039985302337976E-3</v>
      </c>
    </row>
    <row r="1450" spans="1:7" x14ac:dyDescent="0.2">
      <c r="A1450" s="12">
        <v>39245</v>
      </c>
      <c r="B1450" s="9">
        <v>3243.15</v>
      </c>
      <c r="C1450" s="9">
        <v>3197.57</v>
      </c>
      <c r="D1450" s="9">
        <v>3208.74</v>
      </c>
      <c r="E1450" s="9">
        <f t="shared" si="66"/>
        <v>-8.9107350169973058E-3</v>
      </c>
      <c r="F1450" s="9">
        <f t="shared" si="67"/>
        <v>8.679580292397562E-3</v>
      </c>
      <c r="G1450" s="9">
        <f t="shared" si="68"/>
        <v>9.0180094468057057E-3</v>
      </c>
    </row>
    <row r="1451" spans="1:7" x14ac:dyDescent="0.2">
      <c r="A1451" s="12">
        <v>39246</v>
      </c>
      <c r="B1451" s="9">
        <v>3219.5</v>
      </c>
      <c r="C1451" s="9">
        <v>3175.19</v>
      </c>
      <c r="D1451" s="9">
        <v>3212.09</v>
      </c>
      <c r="E1451" s="9">
        <f t="shared" si="66"/>
        <v>1.0434788972672993E-3</v>
      </c>
      <c r="F1451" s="9">
        <f t="shared" si="67"/>
        <v>1.2023715938543168E-2</v>
      </c>
      <c r="G1451" s="9">
        <f t="shared" si="68"/>
        <v>9.0055506691800232E-3</v>
      </c>
    </row>
    <row r="1452" spans="1:7" x14ac:dyDescent="0.2">
      <c r="A1452" s="12">
        <v>39247</v>
      </c>
      <c r="B1452" s="9">
        <v>3278.93</v>
      </c>
      <c r="C1452" s="9">
        <v>3216.52</v>
      </c>
      <c r="D1452" s="9">
        <v>3272.1</v>
      </c>
      <c r="E1452" s="9">
        <f t="shared" si="66"/>
        <v>1.8510165003425141E-2</v>
      </c>
      <c r="F1452" s="9">
        <f t="shared" si="67"/>
        <v>1.9232697136150029E-2</v>
      </c>
      <c r="G1452" s="9">
        <f t="shared" si="68"/>
        <v>9.3942331895488715E-3</v>
      </c>
    </row>
    <row r="1453" spans="1:7" x14ac:dyDescent="0.2">
      <c r="A1453" s="12">
        <v>39248</v>
      </c>
      <c r="B1453" s="9">
        <v>3318.64</v>
      </c>
      <c r="C1453" s="9">
        <v>3272.95</v>
      </c>
      <c r="D1453" s="9">
        <v>3317.83</v>
      </c>
      <c r="E1453" s="9">
        <f t="shared" si="66"/>
        <v>1.3878974150843316E-2</v>
      </c>
      <c r="F1453" s="9">
        <f t="shared" si="67"/>
        <v>3.2258391714552796E-2</v>
      </c>
      <c r="G1453" s="9">
        <f t="shared" si="68"/>
        <v>9.7004049511231049E-3</v>
      </c>
    </row>
    <row r="1454" spans="1:7" x14ac:dyDescent="0.2">
      <c r="A1454" s="12">
        <v>39251</v>
      </c>
      <c r="B1454" s="9">
        <v>3328.36</v>
      </c>
      <c r="C1454" s="9">
        <v>3307.31</v>
      </c>
      <c r="D1454" s="9">
        <v>3317.63</v>
      </c>
      <c r="E1454" s="9">
        <f t="shared" si="66"/>
        <v>-6.0282180906922163E-5</v>
      </c>
      <c r="F1454" s="9">
        <f t="shared" si="67"/>
        <v>2.7973595514788348E-2</v>
      </c>
      <c r="G1454" s="9">
        <f t="shared" si="68"/>
        <v>9.683967681860188E-3</v>
      </c>
    </row>
    <row r="1455" spans="1:7" x14ac:dyDescent="0.2">
      <c r="A1455" s="12">
        <v>39252</v>
      </c>
      <c r="B1455" s="9">
        <v>3327.34</v>
      </c>
      <c r="C1455" s="9">
        <v>3300.42</v>
      </c>
      <c r="D1455" s="9">
        <v>3313.72</v>
      </c>
      <c r="E1455" s="9">
        <f t="shared" si="66"/>
        <v>-1.179247197964746E-3</v>
      </c>
      <c r="F1455" s="9">
        <f t="shared" si="67"/>
        <v>2.1526345668108984E-2</v>
      </c>
      <c r="G1455" s="9">
        <f t="shared" si="68"/>
        <v>9.6559333081465467E-3</v>
      </c>
    </row>
    <row r="1456" spans="1:7" x14ac:dyDescent="0.2">
      <c r="A1456" s="12">
        <v>39253</v>
      </c>
      <c r="B1456" s="9">
        <v>3353.86</v>
      </c>
      <c r="C1456" s="9">
        <v>3314.91</v>
      </c>
      <c r="D1456" s="9">
        <v>3328.59</v>
      </c>
      <c r="E1456" s="9">
        <f t="shared" si="66"/>
        <v>4.4773655072770386E-3</v>
      </c>
      <c r="F1456" s="9">
        <f t="shared" si="67"/>
        <v>5.0215656732168261E-2</v>
      </c>
      <c r="G1456" s="9">
        <f t="shared" si="68"/>
        <v>8.4467812007704979E-3</v>
      </c>
    </row>
    <row r="1457" spans="1:7" x14ac:dyDescent="0.2">
      <c r="A1457" s="12">
        <v>39254</v>
      </c>
      <c r="B1457" s="9">
        <v>3322.29</v>
      </c>
      <c r="C1457" s="9">
        <v>3275.25</v>
      </c>
      <c r="D1457" s="9">
        <v>3296.87</v>
      </c>
      <c r="E1457" s="9">
        <f t="shared" si="66"/>
        <v>-9.5752573723515491E-3</v>
      </c>
      <c r="F1457" s="9">
        <f t="shared" si="67"/>
        <v>4.5396492756782078E-2</v>
      </c>
      <c r="G1457" s="9">
        <f t="shared" si="68"/>
        <v>8.6173830277947051E-3</v>
      </c>
    </row>
    <row r="1458" spans="1:7" x14ac:dyDescent="0.2">
      <c r="A1458" s="12">
        <v>39258</v>
      </c>
      <c r="B1458" s="9">
        <v>3293.12</v>
      </c>
      <c r="C1458" s="9">
        <v>3237.37</v>
      </c>
      <c r="D1458" s="9">
        <v>3263.79</v>
      </c>
      <c r="E1458" s="9">
        <f t="shared" si="66"/>
        <v>-1.0084436730793451E-2</v>
      </c>
      <c r="F1458" s="9">
        <f t="shared" si="67"/>
        <v>4.0779994129734792E-2</v>
      </c>
      <c r="G1458" s="9">
        <f t="shared" si="68"/>
        <v>8.7859175239034144E-3</v>
      </c>
    </row>
    <row r="1459" spans="1:7" x14ac:dyDescent="0.2">
      <c r="A1459" s="12">
        <v>39259</v>
      </c>
      <c r="B1459" s="9">
        <v>3268.39</v>
      </c>
      <c r="C1459" s="9">
        <v>3238.12</v>
      </c>
      <c r="D1459" s="9">
        <v>3259.04</v>
      </c>
      <c r="E1459" s="9">
        <f t="shared" si="66"/>
        <v>-1.4564233130801706E-3</v>
      </c>
      <c r="F1459" s="9">
        <f t="shared" si="67"/>
        <v>3.5641041130661785E-2</v>
      </c>
      <c r="G1459" s="9">
        <f t="shared" si="68"/>
        <v>8.7891567265624901E-3</v>
      </c>
    </row>
    <row r="1460" spans="1:7" x14ac:dyDescent="0.2">
      <c r="A1460" s="12">
        <v>39260</v>
      </c>
      <c r="B1460" s="9">
        <v>3255.63</v>
      </c>
      <c r="C1460" s="9">
        <v>3206.73</v>
      </c>
      <c r="D1460" s="9">
        <v>3218.96</v>
      </c>
      <c r="E1460" s="9">
        <f t="shared" si="66"/>
        <v>-1.2374347463550952E-2</v>
      </c>
      <c r="F1460" s="9">
        <f t="shared" si="67"/>
        <v>1.3262623824578709E-2</v>
      </c>
      <c r="G1460" s="9">
        <f t="shared" si="68"/>
        <v>8.9630498557148799E-3</v>
      </c>
    </row>
    <row r="1461" spans="1:7" x14ac:dyDescent="0.2">
      <c r="A1461" s="12">
        <v>39261</v>
      </c>
      <c r="B1461" s="9">
        <v>3257.8</v>
      </c>
      <c r="C1461" s="9">
        <v>3222.71</v>
      </c>
      <c r="D1461" s="9">
        <v>3253</v>
      </c>
      <c r="E1461" s="9">
        <f t="shared" si="66"/>
        <v>1.0519321471072205E-2</v>
      </c>
      <c r="F1461" s="9">
        <f t="shared" si="67"/>
        <v>1.8832854824793622E-2</v>
      </c>
      <c r="G1461" s="9">
        <f t="shared" si="68"/>
        <v>9.1160240479033292E-3</v>
      </c>
    </row>
    <row r="1462" spans="1:7" x14ac:dyDescent="0.2">
      <c r="A1462" s="12">
        <v>39262</v>
      </c>
      <c r="B1462" s="9">
        <v>3275.53</v>
      </c>
      <c r="C1462" s="9">
        <v>3239.52</v>
      </c>
      <c r="D1462" s="9">
        <v>3249.31</v>
      </c>
      <c r="E1462" s="9">
        <f t="shared" si="66"/>
        <v>-1.1349813823444972E-3</v>
      </c>
      <c r="F1462" s="9">
        <f t="shared" si="67"/>
        <v>1.6114069227613975E-2</v>
      </c>
      <c r="G1462" s="9">
        <f t="shared" si="68"/>
        <v>9.1197054403112862E-3</v>
      </c>
    </row>
    <row r="1463" spans="1:7" x14ac:dyDescent="0.2">
      <c r="A1463" s="12">
        <v>39265</v>
      </c>
      <c r="B1463" s="9">
        <v>3289.29</v>
      </c>
      <c r="C1463" s="9">
        <v>3239.68</v>
      </c>
      <c r="D1463" s="9">
        <v>3283.93</v>
      </c>
      <c r="E1463" s="9">
        <f t="shared" si="66"/>
        <v>1.0598209785193699E-2</v>
      </c>
      <c r="F1463" s="9">
        <f t="shared" si="67"/>
        <v>2.2953756268596644E-2</v>
      </c>
      <c r="G1463" s="9">
        <f t="shared" si="68"/>
        <v>9.2869769644278958E-3</v>
      </c>
    </row>
    <row r="1464" spans="1:7" x14ac:dyDescent="0.2">
      <c r="A1464" s="12">
        <v>39266</v>
      </c>
      <c r="B1464" s="9">
        <v>3312.7</v>
      </c>
      <c r="C1464" s="9">
        <v>3286.83</v>
      </c>
      <c r="D1464" s="9">
        <v>3309.28</v>
      </c>
      <c r="E1464" s="9">
        <f t="shared" si="66"/>
        <v>7.6897671748128223E-3</v>
      </c>
      <c r="F1464" s="9">
        <f t="shared" si="67"/>
        <v>2.2262862430577297E-2</v>
      </c>
      <c r="G1464" s="9">
        <f t="shared" si="68"/>
        <v>9.2682786085930731E-3</v>
      </c>
    </row>
    <row r="1465" spans="1:7" x14ac:dyDescent="0.2">
      <c r="A1465" s="12">
        <v>39267</v>
      </c>
      <c r="B1465" s="9">
        <v>3336.72</v>
      </c>
      <c r="C1465" s="9">
        <v>3306.58</v>
      </c>
      <c r="D1465" s="9">
        <v>3332.64</v>
      </c>
      <c r="E1465" s="9">
        <f t="shared" si="66"/>
        <v>7.0341396220593511E-3</v>
      </c>
      <c r="F1465" s="9">
        <f t="shared" si="67"/>
        <v>2.8855253400431966E-2</v>
      </c>
      <c r="G1465" s="9">
        <f t="shared" si="68"/>
        <v>9.3387949100848435E-3</v>
      </c>
    </row>
    <row r="1466" spans="1:7" x14ac:dyDescent="0.2">
      <c r="A1466" s="12">
        <v>39268</v>
      </c>
      <c r="B1466" s="9">
        <v>3345.9</v>
      </c>
      <c r="C1466" s="9">
        <v>3304.44</v>
      </c>
      <c r="D1466" s="9">
        <v>3308.15</v>
      </c>
      <c r="E1466" s="9">
        <f t="shared" si="66"/>
        <v>-7.3756619384218753E-3</v>
      </c>
      <c r="F1466" s="9">
        <f t="shared" si="67"/>
        <v>1.1956998033525597E-2</v>
      </c>
      <c r="G1466" s="9">
        <f t="shared" si="68"/>
        <v>9.3142248506018158E-3</v>
      </c>
    </row>
    <row r="1467" spans="1:7" x14ac:dyDescent="0.2">
      <c r="A1467" s="12">
        <v>39269</v>
      </c>
      <c r="B1467" s="9">
        <v>3341.47</v>
      </c>
      <c r="C1467" s="9">
        <v>3308.83</v>
      </c>
      <c r="D1467" s="9">
        <v>3333.51</v>
      </c>
      <c r="E1467" s="9">
        <f t="shared" si="66"/>
        <v>7.6366821689718093E-3</v>
      </c>
      <c r="F1467" s="9">
        <f t="shared" si="67"/>
        <v>1.8071358643693154E-2</v>
      </c>
      <c r="G1467" s="9">
        <f t="shared" si="68"/>
        <v>9.4061059846491692E-3</v>
      </c>
    </row>
    <row r="1468" spans="1:7" x14ac:dyDescent="0.2">
      <c r="A1468" s="12">
        <v>39272</v>
      </c>
      <c r="B1468" s="9">
        <v>3357.66</v>
      </c>
      <c r="C1468" s="9">
        <v>3334.53</v>
      </c>
      <c r="D1468" s="9">
        <v>3349.02</v>
      </c>
      <c r="E1468" s="9">
        <f t="shared" si="66"/>
        <v>4.6419628046698511E-3</v>
      </c>
      <c r="F1468" s="9">
        <f t="shared" si="67"/>
        <v>2.2404859981458292E-2</v>
      </c>
      <c r="G1468" s="9">
        <f t="shared" si="68"/>
        <v>9.4346681732800138E-3</v>
      </c>
    </row>
    <row r="1469" spans="1:7" x14ac:dyDescent="0.2">
      <c r="A1469" s="12">
        <v>39273</v>
      </c>
      <c r="B1469" s="9">
        <v>3356.97</v>
      </c>
      <c r="C1469" s="9">
        <v>3311.5</v>
      </c>
      <c r="D1469" s="9">
        <v>3322.11</v>
      </c>
      <c r="E1469" s="9">
        <f t="shared" si="66"/>
        <v>-8.0676425004804295E-3</v>
      </c>
      <c r="F1469" s="9">
        <f t="shared" si="67"/>
        <v>7.987603270375402E-3</v>
      </c>
      <c r="G1469" s="9">
        <f t="shared" si="68"/>
        <v>9.5063518916988551E-3</v>
      </c>
    </row>
    <row r="1470" spans="1:7" x14ac:dyDescent="0.2">
      <c r="A1470" s="12">
        <v>39274</v>
      </c>
      <c r="B1470" s="9">
        <v>3318.02</v>
      </c>
      <c r="C1470" s="9">
        <v>3273.05</v>
      </c>
      <c r="D1470" s="9">
        <v>3311.28</v>
      </c>
      <c r="E1470" s="9">
        <f t="shared" si="66"/>
        <v>-3.2653016399244164E-3</v>
      </c>
      <c r="F1470" s="9">
        <f t="shared" si="67"/>
        <v>1.2373597516220806E-2</v>
      </c>
      <c r="G1470" s="9">
        <f t="shared" si="68"/>
        <v>9.4136623471418011E-3</v>
      </c>
    </row>
    <row r="1471" spans="1:7" x14ac:dyDescent="0.2">
      <c r="A1471" s="12">
        <v>39275</v>
      </c>
      <c r="B1471" s="9">
        <v>3352.24</v>
      </c>
      <c r="C1471" s="9">
        <v>3302.45</v>
      </c>
      <c r="D1471" s="9">
        <v>3348.63</v>
      </c>
      <c r="E1471" s="9">
        <f t="shared" si="66"/>
        <v>1.1216485382350662E-2</v>
      </c>
      <c r="F1471" s="9">
        <f t="shared" si="67"/>
        <v>2.4587351200488106E-2</v>
      </c>
      <c r="G1471" s="9">
        <f t="shared" si="68"/>
        <v>9.6126019913425464E-3</v>
      </c>
    </row>
    <row r="1472" spans="1:7" x14ac:dyDescent="0.2">
      <c r="A1472" s="12">
        <v>39276</v>
      </c>
      <c r="B1472" s="9">
        <v>3385.19</v>
      </c>
      <c r="C1472" s="9">
        <v>3351.87</v>
      </c>
      <c r="D1472" s="9">
        <v>3379.03</v>
      </c>
      <c r="E1472" s="9">
        <f t="shared" si="66"/>
        <v>9.0373790910197073E-3</v>
      </c>
      <c r="F1472" s="9">
        <f t="shared" si="67"/>
        <v>1.9025487300728349E-2</v>
      </c>
      <c r="G1472" s="9">
        <f t="shared" si="68"/>
        <v>9.3887007319818326E-3</v>
      </c>
    </row>
    <row r="1473" spans="1:7" x14ac:dyDescent="0.2">
      <c r="A1473" s="12">
        <v>39279</v>
      </c>
      <c r="B1473" s="9">
        <v>3386.44</v>
      </c>
      <c r="C1473" s="9">
        <v>3364.16</v>
      </c>
      <c r="D1473" s="9">
        <v>3370.71</v>
      </c>
      <c r="E1473" s="9">
        <f t="shared" si="66"/>
        <v>-2.4652813927087806E-3</v>
      </c>
      <c r="F1473" s="9">
        <f t="shared" si="67"/>
        <v>6.8468746677565109E-3</v>
      </c>
      <c r="G1473" s="9">
        <f t="shared" si="68"/>
        <v>9.2447844245694081E-3</v>
      </c>
    </row>
    <row r="1474" spans="1:7" x14ac:dyDescent="0.2">
      <c r="A1474" s="12">
        <v>39280</v>
      </c>
      <c r="B1474" s="9">
        <v>3369.69</v>
      </c>
      <c r="C1474" s="9">
        <v>3335.69</v>
      </c>
      <c r="D1474" s="9">
        <v>3345.62</v>
      </c>
      <c r="E1474" s="9">
        <f t="shared" si="66"/>
        <v>-7.471376991091975E-3</v>
      </c>
      <c r="F1474" s="9">
        <f t="shared" si="67"/>
        <v>2.7386658123344119E-3</v>
      </c>
      <c r="G1474" s="9">
        <f t="shared" si="68"/>
        <v>9.3298526314693226E-3</v>
      </c>
    </row>
    <row r="1475" spans="1:7" x14ac:dyDescent="0.2">
      <c r="A1475" s="12">
        <v>39281</v>
      </c>
      <c r="B1475" s="9">
        <v>3342.04</v>
      </c>
      <c r="C1475" s="9">
        <v>3316.3</v>
      </c>
      <c r="D1475" s="9">
        <v>3321.65</v>
      </c>
      <c r="E1475" s="9">
        <f t="shared" si="66"/>
        <v>-7.1903802527251166E-3</v>
      </c>
      <c r="F1475" s="9">
        <f t="shared" si="67"/>
        <v>2.203138629438905E-3</v>
      </c>
      <c r="G1475" s="9">
        <f t="shared" si="68"/>
        <v>9.3437072095348891E-3</v>
      </c>
    </row>
    <row r="1476" spans="1:7" x14ac:dyDescent="0.2">
      <c r="A1476" s="12">
        <v>39282</v>
      </c>
      <c r="B1476" s="9">
        <v>3340.03</v>
      </c>
      <c r="C1476" s="9">
        <v>3304.09</v>
      </c>
      <c r="D1476" s="9">
        <v>3316.25</v>
      </c>
      <c r="E1476" s="9">
        <f t="shared" ref="E1476:E1539" si="69">LN(D1476/D1475)</f>
        <v>-1.6270209527829184E-3</v>
      </c>
      <c r="F1476" s="9">
        <f t="shared" si="67"/>
        <v>1.8362819989186926E-2</v>
      </c>
      <c r="G1476" s="9">
        <f t="shared" si="68"/>
        <v>8.7238150231703469E-3</v>
      </c>
    </row>
    <row r="1477" spans="1:7" x14ac:dyDescent="0.2">
      <c r="A1477" s="12">
        <v>39283</v>
      </c>
      <c r="B1477" s="9">
        <v>3336.34</v>
      </c>
      <c r="C1477" s="9">
        <v>3296.97</v>
      </c>
      <c r="D1477" s="9">
        <v>3298.8</v>
      </c>
      <c r="E1477" s="9">
        <f t="shared" si="69"/>
        <v>-5.27586049274896E-3</v>
      </c>
      <c r="F1477" s="9">
        <f t="shared" si="67"/>
        <v>2.8537830946157475E-2</v>
      </c>
      <c r="G1477" s="9">
        <f t="shared" si="68"/>
        <v>8.2634250830821085E-3</v>
      </c>
    </row>
    <row r="1478" spans="1:7" x14ac:dyDescent="0.2">
      <c r="A1478" s="12">
        <v>39286</v>
      </c>
      <c r="B1478" s="9">
        <v>3313.08</v>
      </c>
      <c r="C1478" s="9">
        <v>3281.02</v>
      </c>
      <c r="D1478" s="9">
        <v>3300.24</v>
      </c>
      <c r="E1478" s="9">
        <f t="shared" si="69"/>
        <v>4.3642712359859954E-4</v>
      </c>
      <c r="F1478" s="9">
        <f t="shared" si="67"/>
        <v>3.0391360925112149E-2</v>
      </c>
      <c r="G1478" s="9">
        <f t="shared" si="68"/>
        <v>8.2520279980697001E-3</v>
      </c>
    </row>
    <row r="1479" spans="1:7" x14ac:dyDescent="0.2">
      <c r="A1479" s="12">
        <v>39287</v>
      </c>
      <c r="B1479" s="9">
        <v>3306.05</v>
      </c>
      <c r="C1479" s="9">
        <v>3246.33</v>
      </c>
      <c r="D1479" s="9">
        <v>3251.12</v>
      </c>
      <c r="E1479" s="9">
        <f t="shared" si="69"/>
        <v>-1.4995640740643412E-2</v>
      </c>
      <c r="F1479" s="9">
        <f t="shared" si="67"/>
        <v>4.2104806230437867E-3</v>
      </c>
      <c r="G1479" s="9">
        <f t="shared" si="68"/>
        <v>8.5192268602241016E-3</v>
      </c>
    </row>
    <row r="1480" spans="1:7" x14ac:dyDescent="0.2">
      <c r="A1480" s="12">
        <v>39288</v>
      </c>
      <c r="B1480" s="9">
        <v>3249.28</v>
      </c>
      <c r="C1480" s="9">
        <v>3195.87</v>
      </c>
      <c r="D1480" s="9">
        <v>3197.06</v>
      </c>
      <c r="E1480" s="9">
        <f t="shared" si="69"/>
        <v>-1.6767914863803246E-2</v>
      </c>
      <c r="F1480" s="9">
        <f t="shared" si="67"/>
        <v>-3.6466992237621063E-3</v>
      </c>
      <c r="G1480" s="9">
        <f t="shared" si="68"/>
        <v>8.9184987731774149E-3</v>
      </c>
    </row>
    <row r="1481" spans="1:7" x14ac:dyDescent="0.2">
      <c r="A1481" s="12">
        <v>39289</v>
      </c>
      <c r="B1481" s="9">
        <v>3215.83</v>
      </c>
      <c r="C1481" s="9">
        <v>3125.97</v>
      </c>
      <c r="D1481" s="9">
        <v>3129.24</v>
      </c>
      <c r="E1481" s="9">
        <f t="shared" si="69"/>
        <v>-2.1441473929236256E-2</v>
      </c>
      <c r="F1481" s="9">
        <f t="shared" si="67"/>
        <v>-2.6131652050265762E-2</v>
      </c>
      <c r="G1481" s="9">
        <f t="shared" si="68"/>
        <v>9.7255052510219347E-3</v>
      </c>
    </row>
    <row r="1482" spans="1:7" x14ac:dyDescent="0.2">
      <c r="A1482" s="12">
        <v>39290</v>
      </c>
      <c r="B1482" s="9">
        <v>3159.86</v>
      </c>
      <c r="C1482" s="9">
        <v>3099.07</v>
      </c>
      <c r="D1482" s="9">
        <v>3122.86</v>
      </c>
      <c r="E1482" s="9">
        <f t="shared" si="69"/>
        <v>-2.0409149612349857E-3</v>
      </c>
      <c r="F1482" s="9">
        <f t="shared" si="67"/>
        <v>-4.6682732014925871E-2</v>
      </c>
      <c r="G1482" s="9">
        <f t="shared" si="68"/>
        <v>9.0107919403007181E-3</v>
      </c>
    </row>
    <row r="1483" spans="1:7" x14ac:dyDescent="0.2">
      <c r="A1483" s="12">
        <v>39293</v>
      </c>
      <c r="B1483" s="9">
        <v>3150.26</v>
      </c>
      <c r="C1483" s="9">
        <v>3118.86</v>
      </c>
      <c r="D1483" s="9">
        <v>3129.94</v>
      </c>
      <c r="E1483" s="9">
        <f t="shared" si="69"/>
        <v>2.2645864335105416E-3</v>
      </c>
      <c r="F1483" s="9">
        <f t="shared" si="67"/>
        <v>-5.8297119732258713E-2</v>
      </c>
      <c r="G1483" s="9">
        <f t="shared" si="68"/>
        <v>8.5631460579733056E-3</v>
      </c>
    </row>
    <row r="1484" spans="1:7" x14ac:dyDescent="0.2">
      <c r="A1484" s="12">
        <v>39294</v>
      </c>
      <c r="B1484" s="9">
        <v>3199.02</v>
      </c>
      <c r="C1484" s="9">
        <v>3133.01</v>
      </c>
      <c r="D1484" s="9">
        <v>3191.38</v>
      </c>
      <c r="E1484" s="9">
        <f t="shared" si="69"/>
        <v>1.9439590093160382E-2</v>
      </c>
      <c r="F1484" s="9">
        <f t="shared" si="67"/>
        <v>-3.8797247458191332E-2</v>
      </c>
      <c r="G1484" s="9">
        <f t="shared" si="68"/>
        <v>9.4092793454773963E-3</v>
      </c>
    </row>
    <row r="1485" spans="1:7" x14ac:dyDescent="0.2">
      <c r="A1485" s="12">
        <v>39295</v>
      </c>
      <c r="B1485" s="9">
        <v>3186.89</v>
      </c>
      <c r="C1485" s="9">
        <v>3090.45</v>
      </c>
      <c r="D1485" s="9">
        <v>3117.16</v>
      </c>
      <c r="E1485" s="9">
        <f t="shared" si="69"/>
        <v>-2.3531094256221106E-2</v>
      </c>
      <c r="F1485" s="9">
        <f t="shared" si="67"/>
        <v>-6.1149094516447539E-2</v>
      </c>
      <c r="G1485" s="9">
        <f t="shared" si="68"/>
        <v>1.0247551752775478E-2</v>
      </c>
    </row>
    <row r="1486" spans="1:7" x14ac:dyDescent="0.2">
      <c r="A1486" s="12">
        <v>39296</v>
      </c>
      <c r="B1486" s="9">
        <v>3174.59</v>
      </c>
      <c r="C1486" s="9">
        <v>3118.67</v>
      </c>
      <c r="D1486" s="9">
        <v>3155.58</v>
      </c>
      <c r="E1486" s="9">
        <f t="shared" si="69"/>
        <v>1.2249983403616488E-2</v>
      </c>
      <c r="F1486" s="9">
        <f t="shared" si="67"/>
        <v>-5.3376476620108054E-2</v>
      </c>
      <c r="G1486" s="9">
        <f t="shared" si="68"/>
        <v>1.0512791222166796E-2</v>
      </c>
    </row>
    <row r="1487" spans="1:7" x14ac:dyDescent="0.2">
      <c r="A1487" s="12">
        <v>39297</v>
      </c>
      <c r="B1487" s="9">
        <v>3169.22</v>
      </c>
      <c r="C1487" s="9">
        <v>3080.57</v>
      </c>
      <c r="D1487" s="9">
        <v>3090.53</v>
      </c>
      <c r="E1487" s="9">
        <f t="shared" si="69"/>
        <v>-2.0829717042608567E-2</v>
      </c>
      <c r="F1487" s="9">
        <f t="shared" si="67"/>
        <v>-6.4630936290365051E-2</v>
      </c>
      <c r="G1487" s="9">
        <f t="shared" si="68"/>
        <v>1.0990537991852808E-2</v>
      </c>
    </row>
    <row r="1488" spans="1:7" x14ac:dyDescent="0.2">
      <c r="A1488" s="12">
        <v>39300</v>
      </c>
      <c r="B1488" s="9">
        <v>3089.94</v>
      </c>
      <c r="C1488" s="9">
        <v>3036.98</v>
      </c>
      <c r="D1488" s="9">
        <v>3045.57</v>
      </c>
      <c r="E1488" s="9">
        <f t="shared" si="69"/>
        <v>-1.4654521475373218E-2</v>
      </c>
      <c r="F1488" s="9">
        <f t="shared" si="67"/>
        <v>-6.9201021034944799E-2</v>
      </c>
      <c r="G1488" s="9">
        <f t="shared" si="68"/>
        <v>1.113496748278585E-2</v>
      </c>
    </row>
    <row r="1489" spans="1:7" x14ac:dyDescent="0.2">
      <c r="A1489" s="12">
        <v>39301</v>
      </c>
      <c r="B1489" s="9">
        <v>3103.46</v>
      </c>
      <c r="C1489" s="9">
        <v>3045.57</v>
      </c>
      <c r="D1489" s="9">
        <v>3075.65</v>
      </c>
      <c r="E1489" s="9">
        <f t="shared" si="69"/>
        <v>9.8281852724225998E-3</v>
      </c>
      <c r="F1489" s="9">
        <f t="shared" si="67"/>
        <v>-5.7916412449442074E-2</v>
      </c>
      <c r="G1489" s="9">
        <f t="shared" si="68"/>
        <v>1.1353148225126754E-2</v>
      </c>
    </row>
    <row r="1490" spans="1:7" x14ac:dyDescent="0.2">
      <c r="A1490" s="12">
        <v>39302</v>
      </c>
      <c r="B1490" s="9">
        <v>3141.12</v>
      </c>
      <c r="C1490" s="9">
        <v>3075.38</v>
      </c>
      <c r="D1490" s="9">
        <v>3135.74</v>
      </c>
      <c r="E1490" s="9">
        <f t="shared" si="69"/>
        <v>1.9348929853573123E-2</v>
      </c>
      <c r="F1490" s="9">
        <f t="shared" si="67"/>
        <v>-2.6193135132317989E-2</v>
      </c>
      <c r="G1490" s="9">
        <f t="shared" si="68"/>
        <v>1.1814840013982707E-2</v>
      </c>
    </row>
    <row r="1491" spans="1:7" x14ac:dyDescent="0.2">
      <c r="A1491" s="12">
        <v>39303</v>
      </c>
      <c r="B1491" s="9">
        <v>3136.91</v>
      </c>
      <c r="C1491" s="9">
        <v>3076.55</v>
      </c>
      <c r="D1491" s="9">
        <v>3092.81</v>
      </c>
      <c r="E1491" s="9">
        <f t="shared" si="69"/>
        <v>-1.3785128105033097E-2</v>
      </c>
      <c r="F1491" s="9">
        <f t="shared" si="67"/>
        <v>-5.0497584708423138E-2</v>
      </c>
      <c r="G1491" s="9">
        <f t="shared" si="68"/>
        <v>1.1839975633431254E-2</v>
      </c>
    </row>
    <row r="1492" spans="1:7" x14ac:dyDescent="0.2">
      <c r="A1492" s="12">
        <v>39304</v>
      </c>
      <c r="B1492" s="9">
        <v>3092.22</v>
      </c>
      <c r="C1492" s="9">
        <v>2968.3</v>
      </c>
      <c r="D1492" s="9">
        <v>2990.51</v>
      </c>
      <c r="E1492" s="9">
        <f t="shared" si="69"/>
        <v>-3.3636121363486357E-2</v>
      </c>
      <c r="F1492" s="9">
        <f t="shared" si="67"/>
        <v>-8.2998724689565082E-2</v>
      </c>
      <c r="G1492" s="9">
        <f t="shared" si="68"/>
        <v>1.3197230730966176E-2</v>
      </c>
    </row>
    <row r="1493" spans="1:7" x14ac:dyDescent="0.2">
      <c r="A1493" s="12">
        <v>39307</v>
      </c>
      <c r="B1493" s="9">
        <v>3095.82</v>
      </c>
      <c r="C1493" s="9">
        <v>2990.22</v>
      </c>
      <c r="D1493" s="9">
        <v>3091.29</v>
      </c>
      <c r="E1493" s="9">
        <f t="shared" si="69"/>
        <v>3.3144538099758647E-2</v>
      </c>
      <c r="F1493" s="9">
        <f t="shared" si="67"/>
        <v>-6.0452396375000113E-2</v>
      </c>
      <c r="G1493" s="9">
        <f t="shared" si="68"/>
        <v>1.4556534608336081E-2</v>
      </c>
    </row>
    <row r="1494" spans="1:7" x14ac:dyDescent="0.2">
      <c r="A1494" s="12">
        <v>39308</v>
      </c>
      <c r="B1494" s="9">
        <v>3106.59</v>
      </c>
      <c r="C1494" s="9">
        <v>3064.31</v>
      </c>
      <c r="D1494" s="9">
        <v>3068.37</v>
      </c>
      <c r="E1494" s="9">
        <f t="shared" si="69"/>
        <v>-7.4420035463737683E-3</v>
      </c>
      <c r="F1494" s="9">
        <f t="shared" si="67"/>
        <v>-7.5584167096186913E-2</v>
      </c>
      <c r="G1494" s="9">
        <f t="shared" si="68"/>
        <v>1.447056869095548E-2</v>
      </c>
    </row>
    <row r="1495" spans="1:7" x14ac:dyDescent="0.2">
      <c r="A1495" s="12">
        <v>39309</v>
      </c>
      <c r="B1495" s="9">
        <v>3062.5</v>
      </c>
      <c r="C1495" s="9">
        <v>3008.26</v>
      </c>
      <c r="D1495" s="9">
        <v>3043.08</v>
      </c>
      <c r="E1495" s="9">
        <f t="shared" si="69"/>
        <v>-8.2763155578803402E-3</v>
      </c>
      <c r="F1495" s="9">
        <f t="shared" si="67"/>
        <v>-9.089462227612663E-2</v>
      </c>
      <c r="G1495" s="9">
        <f t="shared" si="68"/>
        <v>1.4391783415528126E-2</v>
      </c>
    </row>
    <row r="1496" spans="1:7" x14ac:dyDescent="0.2">
      <c r="A1496" s="12">
        <v>39310</v>
      </c>
      <c r="B1496" s="9">
        <v>3042.48</v>
      </c>
      <c r="C1496" s="9">
        <v>2898.51</v>
      </c>
      <c r="D1496" s="9">
        <v>2924.66</v>
      </c>
      <c r="E1496" s="9">
        <f t="shared" si="69"/>
        <v>-3.969192580354166E-2</v>
      </c>
      <c r="F1496" s="9">
        <f t="shared" si="67"/>
        <v>-0.12321088614124638</v>
      </c>
      <c r="G1496" s="9">
        <f t="shared" si="68"/>
        <v>1.5862547208848603E-2</v>
      </c>
    </row>
    <row r="1497" spans="1:7" x14ac:dyDescent="0.2">
      <c r="A1497" s="12">
        <v>39311</v>
      </c>
      <c r="B1497" s="9">
        <v>3015.71</v>
      </c>
      <c r="C1497" s="9">
        <v>2877.84</v>
      </c>
      <c r="D1497" s="9">
        <v>2959.58</v>
      </c>
      <c r="E1497" s="9">
        <f t="shared" si="69"/>
        <v>1.1869131765202713E-2</v>
      </c>
      <c r="F1497" s="9">
        <f t="shared" si="67"/>
        <v>-0.11897843654501539</v>
      </c>
      <c r="G1497" s="9">
        <f t="shared" si="68"/>
        <v>1.5988915944123602E-2</v>
      </c>
    </row>
    <row r="1498" spans="1:7" x14ac:dyDescent="0.2">
      <c r="A1498" s="12">
        <v>39314</v>
      </c>
      <c r="B1498" s="9">
        <v>3035.62</v>
      </c>
      <c r="C1498" s="9">
        <v>2959.31</v>
      </c>
      <c r="D1498" s="9">
        <v>3006.96</v>
      </c>
      <c r="E1498" s="9">
        <f t="shared" si="69"/>
        <v>1.5882235246799593E-2</v>
      </c>
      <c r="F1498" s="9">
        <f t="shared" si="67"/>
        <v>-0.10773816410288567</v>
      </c>
      <c r="G1498" s="9">
        <f t="shared" si="68"/>
        <v>1.6325736344677572E-2</v>
      </c>
    </row>
    <row r="1499" spans="1:7" x14ac:dyDescent="0.2">
      <c r="A1499" s="12">
        <v>39315</v>
      </c>
      <c r="B1499" s="9">
        <v>3015.81</v>
      </c>
      <c r="C1499" s="9">
        <v>2968.49</v>
      </c>
      <c r="D1499" s="9">
        <v>3011.79</v>
      </c>
      <c r="E1499" s="9">
        <f t="shared" si="69"/>
        <v>1.6049847682094191E-3</v>
      </c>
      <c r="F1499" s="9">
        <f t="shared" si="67"/>
        <v>-9.8065536834195791E-2</v>
      </c>
      <c r="G1499" s="9">
        <f t="shared" si="68"/>
        <v>1.6329796001001269E-2</v>
      </c>
    </row>
    <row r="1500" spans="1:7" x14ac:dyDescent="0.2">
      <c r="A1500" s="12">
        <v>39316</v>
      </c>
      <c r="B1500" s="9">
        <v>3098.29</v>
      </c>
      <c r="C1500" s="9">
        <v>3011.7</v>
      </c>
      <c r="D1500" s="9">
        <v>3091.85</v>
      </c>
      <c r="E1500" s="9">
        <f t="shared" si="69"/>
        <v>2.6235030867156842E-2</v>
      </c>
      <c r="F1500" s="9">
        <f t="shared" si="67"/>
        <v>-6.8565204327114507E-2</v>
      </c>
      <c r="G1500" s="9">
        <f t="shared" si="68"/>
        <v>1.7195303031894281E-2</v>
      </c>
    </row>
    <row r="1501" spans="1:7" x14ac:dyDescent="0.2">
      <c r="A1501" s="12">
        <v>39317</v>
      </c>
      <c r="B1501" s="9">
        <v>3142.92</v>
      </c>
      <c r="C1501" s="9">
        <v>3085.54</v>
      </c>
      <c r="D1501" s="9">
        <v>3098.25</v>
      </c>
      <c r="E1501" s="9">
        <f t="shared" si="69"/>
        <v>2.0678187042103705E-3</v>
      </c>
      <c r="F1501" s="9">
        <f t="shared" si="67"/>
        <v>-7.7713871005254828E-2</v>
      </c>
      <c r="G1501" s="9">
        <f t="shared" si="68"/>
        <v>1.702790069220313E-2</v>
      </c>
    </row>
    <row r="1502" spans="1:7" x14ac:dyDescent="0.2">
      <c r="A1502" s="12">
        <v>39318</v>
      </c>
      <c r="B1502" s="9">
        <v>3121.29</v>
      </c>
      <c r="C1502" s="9">
        <v>3070.04</v>
      </c>
      <c r="D1502" s="9">
        <v>3113.76</v>
      </c>
      <c r="E1502" s="9">
        <f t="shared" si="69"/>
        <v>4.9935631878715329E-3</v>
      </c>
      <c r="F1502" s="9">
        <f t="shared" si="67"/>
        <v>-8.1757686908403154E-2</v>
      </c>
      <c r="G1502" s="9">
        <f t="shared" si="68"/>
        <v>1.69485004143884E-2</v>
      </c>
    </row>
    <row r="1503" spans="1:7" x14ac:dyDescent="0.2">
      <c r="A1503" s="12">
        <v>39321</v>
      </c>
      <c r="B1503" s="9">
        <v>3141.36</v>
      </c>
      <c r="C1503" s="9">
        <v>3113.81</v>
      </c>
      <c r="D1503" s="9">
        <v>3122.64</v>
      </c>
      <c r="E1503" s="9">
        <f t="shared" si="69"/>
        <v>2.8477987304751894E-3</v>
      </c>
      <c r="F1503" s="9">
        <f t="shared" si="67"/>
        <v>-7.6444606785219291E-2</v>
      </c>
      <c r="G1503" s="9">
        <f t="shared" si="68"/>
        <v>1.6979042575459548E-2</v>
      </c>
    </row>
    <row r="1504" spans="1:7" x14ac:dyDescent="0.2">
      <c r="A1504" s="12">
        <v>39322</v>
      </c>
      <c r="B1504" s="9">
        <v>3122.55</v>
      </c>
      <c r="C1504" s="9">
        <v>3061.36</v>
      </c>
      <c r="D1504" s="9">
        <v>3064.07</v>
      </c>
      <c r="E1504" s="9">
        <f t="shared" si="69"/>
        <v>-1.8934700310810331E-2</v>
      </c>
      <c r="F1504" s="9">
        <f t="shared" si="67"/>
        <v>-8.7907930104937665E-2</v>
      </c>
      <c r="G1504" s="9">
        <f t="shared" si="68"/>
        <v>1.7220926766972726E-2</v>
      </c>
    </row>
    <row r="1505" spans="1:7" x14ac:dyDescent="0.2">
      <c r="A1505" s="12">
        <v>39323</v>
      </c>
      <c r="B1505" s="9">
        <v>3114.24</v>
      </c>
      <c r="C1505" s="9">
        <v>3023.3</v>
      </c>
      <c r="D1505" s="9">
        <v>3110.62</v>
      </c>
      <c r="E1505" s="9">
        <f t="shared" si="69"/>
        <v>1.5077965664994487E-2</v>
      </c>
      <c r="F1505" s="9">
        <f t="shared" ref="F1505:F1568" si="70">LN(D1505/D1475)</f>
        <v>-6.5639584187218034E-2</v>
      </c>
      <c r="G1505" s="9">
        <f t="shared" ref="G1505:G1568" si="71">STDEV(E1476:E1505)</f>
        <v>1.7508488281508399E-2</v>
      </c>
    </row>
    <row r="1506" spans="1:7" x14ac:dyDescent="0.2">
      <c r="A1506" s="12">
        <v>39324</v>
      </c>
      <c r="B1506" s="9">
        <v>3146.14</v>
      </c>
      <c r="C1506" s="9">
        <v>3110.54</v>
      </c>
      <c r="D1506" s="9">
        <v>3142.65</v>
      </c>
      <c r="E1506" s="9">
        <f t="shared" si="69"/>
        <v>1.0244329804616771E-2</v>
      </c>
      <c r="F1506" s="9">
        <f t="shared" si="70"/>
        <v>-5.3768233429818402E-2</v>
      </c>
      <c r="G1506" s="9">
        <f t="shared" si="71"/>
        <v>1.7655142711470853E-2</v>
      </c>
    </row>
    <row r="1507" spans="1:7" x14ac:dyDescent="0.2">
      <c r="A1507" s="12">
        <v>39325</v>
      </c>
      <c r="B1507" s="9">
        <v>3181.75</v>
      </c>
      <c r="C1507" s="9">
        <v>3142.39</v>
      </c>
      <c r="D1507" s="9">
        <v>3174.8</v>
      </c>
      <c r="E1507" s="9">
        <f t="shared" si="69"/>
        <v>1.0178245194589543E-2</v>
      </c>
      <c r="F1507" s="9">
        <f t="shared" si="70"/>
        <v>-3.8314127742479803E-2</v>
      </c>
      <c r="G1507" s="9">
        <f t="shared" si="71"/>
        <v>1.7775045322277718E-2</v>
      </c>
    </row>
    <row r="1508" spans="1:7" x14ac:dyDescent="0.2">
      <c r="A1508" s="12">
        <v>39328</v>
      </c>
      <c r="B1508" s="9">
        <v>3198.38</v>
      </c>
      <c r="C1508" s="9">
        <v>3172.85</v>
      </c>
      <c r="D1508" s="9">
        <v>3180.65</v>
      </c>
      <c r="E1508" s="9">
        <f t="shared" si="69"/>
        <v>1.8409401858772913E-3</v>
      </c>
      <c r="F1508" s="9">
        <f t="shared" si="70"/>
        <v>-3.6909614680201083E-2</v>
      </c>
      <c r="G1508" s="9">
        <f t="shared" si="71"/>
        <v>1.7781562709944607E-2</v>
      </c>
    </row>
    <row r="1509" spans="1:7" x14ac:dyDescent="0.2">
      <c r="A1509" s="12">
        <v>39329</v>
      </c>
      <c r="B1509" s="9">
        <v>3207.67</v>
      </c>
      <c r="C1509" s="9">
        <v>3160.66</v>
      </c>
      <c r="D1509" s="9">
        <v>3206.1</v>
      </c>
      <c r="E1509" s="9">
        <f t="shared" si="69"/>
        <v>7.9696667963629376E-3</v>
      </c>
      <c r="F1509" s="9">
        <f t="shared" si="70"/>
        <v>-1.3944307143194749E-2</v>
      </c>
      <c r="G1509" s="9">
        <f t="shared" si="71"/>
        <v>1.7662458478772906E-2</v>
      </c>
    </row>
    <row r="1510" spans="1:7" x14ac:dyDescent="0.2">
      <c r="A1510" s="12">
        <v>39330</v>
      </c>
      <c r="B1510" s="9">
        <v>3227.29</v>
      </c>
      <c r="C1510" s="9">
        <v>3162.28</v>
      </c>
      <c r="D1510" s="9">
        <v>3164.04</v>
      </c>
      <c r="E1510" s="9">
        <f t="shared" si="69"/>
        <v>-1.3205553166296888E-2</v>
      </c>
      <c r="F1510" s="9">
        <f t="shared" si="70"/>
        <v>-1.0381945445688417E-2</v>
      </c>
      <c r="G1510" s="9">
        <f t="shared" si="71"/>
        <v>1.7560754678832467E-2</v>
      </c>
    </row>
    <row r="1511" spans="1:7" x14ac:dyDescent="0.2">
      <c r="A1511" s="12">
        <v>39331</v>
      </c>
      <c r="B1511" s="9">
        <v>3194.46</v>
      </c>
      <c r="C1511" s="9">
        <v>3154.38</v>
      </c>
      <c r="D1511" s="9">
        <v>3186.09</v>
      </c>
      <c r="E1511" s="9">
        <f t="shared" si="69"/>
        <v>6.9447676259167717E-3</v>
      </c>
      <c r="F1511" s="9">
        <f t="shared" si="70"/>
        <v>1.8004296109464711E-2</v>
      </c>
      <c r="G1511" s="9">
        <f t="shared" si="71"/>
        <v>1.7144722426491538E-2</v>
      </c>
    </row>
    <row r="1512" spans="1:7" x14ac:dyDescent="0.2">
      <c r="A1512" s="12">
        <v>39332</v>
      </c>
      <c r="B1512" s="9">
        <v>3213.59</v>
      </c>
      <c r="C1512" s="9">
        <v>3119.2</v>
      </c>
      <c r="D1512" s="9">
        <v>3121.85</v>
      </c>
      <c r="E1512" s="9">
        <f t="shared" si="69"/>
        <v>-2.0368684861734685E-2</v>
      </c>
      <c r="F1512" s="9">
        <f t="shared" si="70"/>
        <v>-3.2347379103493277E-4</v>
      </c>
      <c r="G1512" s="9">
        <f t="shared" si="71"/>
        <v>1.7563503855303871E-2</v>
      </c>
    </row>
    <row r="1513" spans="1:7" x14ac:dyDescent="0.2">
      <c r="A1513" s="12">
        <v>39335</v>
      </c>
      <c r="B1513" s="9">
        <v>3128.5</v>
      </c>
      <c r="C1513" s="9">
        <v>3078.34</v>
      </c>
      <c r="D1513" s="9">
        <v>3080.75</v>
      </c>
      <c r="E1513" s="9">
        <f t="shared" si="69"/>
        <v>-1.3252700978613564E-2</v>
      </c>
      <c r="F1513" s="9">
        <f t="shared" si="70"/>
        <v>-1.5840761203158957E-2</v>
      </c>
      <c r="G1513" s="9">
        <f t="shared" si="71"/>
        <v>1.7721960133366108E-2</v>
      </c>
    </row>
    <row r="1514" spans="1:7" x14ac:dyDescent="0.2">
      <c r="A1514" s="12">
        <v>39336</v>
      </c>
      <c r="B1514" s="9">
        <v>3144.54</v>
      </c>
      <c r="C1514" s="9">
        <v>3080.97</v>
      </c>
      <c r="D1514" s="9">
        <v>3131.5</v>
      </c>
      <c r="E1514" s="9">
        <f t="shared" si="69"/>
        <v>1.6339049147234969E-2</v>
      </c>
      <c r="F1514" s="9">
        <f t="shared" si="70"/>
        <v>-1.8941302149084367E-2</v>
      </c>
      <c r="G1514" s="9">
        <f t="shared" si="71"/>
        <v>1.7610185481816393E-2</v>
      </c>
    </row>
    <row r="1515" spans="1:7" x14ac:dyDescent="0.2">
      <c r="A1515" s="12">
        <v>39337</v>
      </c>
      <c r="B1515" s="9">
        <v>3136.45</v>
      </c>
      <c r="C1515" s="9">
        <v>3102.15</v>
      </c>
      <c r="D1515" s="9">
        <v>3127.76</v>
      </c>
      <c r="E1515" s="9">
        <f t="shared" si="69"/>
        <v>-1.1950295865932013E-3</v>
      </c>
      <c r="F1515" s="9">
        <f t="shared" si="70"/>
        <v>3.3947625205434646E-3</v>
      </c>
      <c r="G1515" s="9">
        <f t="shared" si="71"/>
        <v>1.7072594491755206E-2</v>
      </c>
    </row>
    <row r="1516" spans="1:7" x14ac:dyDescent="0.2">
      <c r="A1516" s="12">
        <v>39338</v>
      </c>
      <c r="B1516" s="9">
        <v>3146.72</v>
      </c>
      <c r="C1516" s="9">
        <v>3102.35</v>
      </c>
      <c r="D1516" s="9">
        <v>3138.89</v>
      </c>
      <c r="E1516" s="9">
        <f t="shared" si="69"/>
        <v>3.5521408417315114E-3</v>
      </c>
      <c r="F1516" s="9">
        <f t="shared" si="70"/>
        <v>-5.3030800413415959E-3</v>
      </c>
      <c r="G1516" s="9">
        <f t="shared" si="71"/>
        <v>1.6932659051466278E-2</v>
      </c>
    </row>
    <row r="1517" spans="1:7" x14ac:dyDescent="0.2">
      <c r="A1517" s="12">
        <v>39339</v>
      </c>
      <c r="B1517" s="9">
        <v>3141.56</v>
      </c>
      <c r="C1517" s="9">
        <v>3102.01</v>
      </c>
      <c r="D1517" s="9">
        <v>3128.31</v>
      </c>
      <c r="E1517" s="9">
        <f t="shared" si="69"/>
        <v>-3.3763116066312733E-3</v>
      </c>
      <c r="F1517" s="9">
        <f t="shared" si="70"/>
        <v>1.215032539463576E-2</v>
      </c>
      <c r="G1517" s="9">
        <f t="shared" si="71"/>
        <v>1.6492706967533025E-2</v>
      </c>
    </row>
    <row r="1518" spans="1:7" x14ac:dyDescent="0.2">
      <c r="A1518" s="12">
        <v>39342</v>
      </c>
      <c r="B1518" s="9">
        <v>3131.92</v>
      </c>
      <c r="C1518" s="9">
        <v>3083.26</v>
      </c>
      <c r="D1518" s="9">
        <v>3091.18</v>
      </c>
      <c r="E1518" s="9">
        <f t="shared" si="69"/>
        <v>-1.194002759600225E-2</v>
      </c>
      <c r="F1518" s="9">
        <f t="shared" si="70"/>
        <v>1.4864819274006623E-2</v>
      </c>
      <c r="G1518" s="9">
        <f t="shared" si="71"/>
        <v>1.6414498379936433E-2</v>
      </c>
    </row>
    <row r="1519" spans="1:7" x14ac:dyDescent="0.2">
      <c r="A1519" s="12">
        <v>39343</v>
      </c>
      <c r="B1519" s="9">
        <v>3131.11</v>
      </c>
      <c r="C1519" s="9">
        <v>3077.57</v>
      </c>
      <c r="D1519" s="9">
        <v>3122.34</v>
      </c>
      <c r="E1519" s="9">
        <f t="shared" si="69"/>
        <v>1.0029825676101689E-2</v>
      </c>
      <c r="F1519" s="9">
        <f t="shared" si="70"/>
        <v>1.5066459677685825E-2</v>
      </c>
      <c r="G1519" s="9">
        <f t="shared" si="71"/>
        <v>1.6418492469039588E-2</v>
      </c>
    </row>
    <row r="1520" spans="1:7" x14ac:dyDescent="0.2">
      <c r="A1520" s="12">
        <v>39344</v>
      </c>
      <c r="B1520" s="9">
        <v>3249.34</v>
      </c>
      <c r="C1520" s="9">
        <v>3122.45</v>
      </c>
      <c r="D1520" s="9">
        <v>3246.57</v>
      </c>
      <c r="E1520" s="9">
        <f t="shared" si="69"/>
        <v>3.9016333703828877E-2</v>
      </c>
      <c r="F1520" s="9">
        <f t="shared" si="70"/>
        <v>3.4733863527941514E-2</v>
      </c>
      <c r="G1520" s="9">
        <f t="shared" si="71"/>
        <v>1.7550601778318922E-2</v>
      </c>
    </row>
    <row r="1521" spans="1:7" x14ac:dyDescent="0.2">
      <c r="A1521" s="12">
        <v>39345</v>
      </c>
      <c r="B1521" s="9">
        <v>3246.57</v>
      </c>
      <c r="C1521" s="9">
        <v>3203.11</v>
      </c>
      <c r="D1521" s="9">
        <v>3223.11</v>
      </c>
      <c r="E1521" s="9">
        <f t="shared" si="69"/>
        <v>-7.2523224720369801E-3</v>
      </c>
      <c r="F1521" s="9">
        <f t="shared" si="70"/>
        <v>4.1266669160937595E-2</v>
      </c>
      <c r="G1521" s="9">
        <f t="shared" si="71"/>
        <v>1.739867374528415E-2</v>
      </c>
    </row>
    <row r="1522" spans="1:7" x14ac:dyDescent="0.2">
      <c r="A1522" s="12">
        <v>39346</v>
      </c>
      <c r="B1522" s="9">
        <v>3294.94</v>
      </c>
      <c r="C1522" s="9">
        <v>3221.83</v>
      </c>
      <c r="D1522" s="9">
        <v>3288.02</v>
      </c>
      <c r="E1522" s="9">
        <f t="shared" si="69"/>
        <v>1.9938827956765812E-2</v>
      </c>
      <c r="F1522" s="9">
        <f t="shared" si="70"/>
        <v>9.4841618481189827E-2</v>
      </c>
      <c r="G1522" s="9">
        <f t="shared" si="71"/>
        <v>1.6402063902487867E-2</v>
      </c>
    </row>
    <row r="1523" spans="1:7" x14ac:dyDescent="0.2">
      <c r="A1523" s="12">
        <v>39349</v>
      </c>
      <c r="B1523" s="9">
        <v>3308.02</v>
      </c>
      <c r="C1523" s="9">
        <v>3284</v>
      </c>
      <c r="D1523" s="9">
        <v>3293.12</v>
      </c>
      <c r="E1523" s="9">
        <f t="shared" si="69"/>
        <v>1.5498837650952365E-3</v>
      </c>
      <c r="F1523" s="9">
        <f t="shared" si="70"/>
        <v>6.3246964146526363E-2</v>
      </c>
      <c r="G1523" s="9">
        <f t="shared" si="71"/>
        <v>1.5393837599883302E-2</v>
      </c>
    </row>
    <row r="1524" spans="1:7" x14ac:dyDescent="0.2">
      <c r="A1524" s="12">
        <v>39350</v>
      </c>
      <c r="B1524" s="9">
        <v>3294.31</v>
      </c>
      <c r="C1524" s="9">
        <v>3205.26</v>
      </c>
      <c r="D1524" s="9">
        <v>3230.76</v>
      </c>
      <c r="E1524" s="9">
        <f t="shared" si="69"/>
        <v>-1.9118039990696969E-2</v>
      </c>
      <c r="F1524" s="9">
        <f t="shared" si="70"/>
        <v>5.1570927702203256E-2</v>
      </c>
      <c r="G1524" s="9">
        <f t="shared" si="71"/>
        <v>1.5786222872456322E-2</v>
      </c>
    </row>
    <row r="1525" spans="1:7" x14ac:dyDescent="0.2">
      <c r="A1525" s="12">
        <v>39351</v>
      </c>
      <c r="B1525" s="9">
        <v>3297.11</v>
      </c>
      <c r="C1525" s="9">
        <v>3230.67</v>
      </c>
      <c r="D1525" s="9">
        <v>3287.84</v>
      </c>
      <c r="E1525" s="9">
        <f t="shared" si="69"/>
        <v>1.7513410534530281E-2</v>
      </c>
      <c r="F1525" s="9">
        <f t="shared" si="70"/>
        <v>7.7360653794613862E-2</v>
      </c>
      <c r="G1525" s="9">
        <f t="shared" si="71"/>
        <v>1.592474250147359E-2</v>
      </c>
    </row>
    <row r="1526" spans="1:7" x14ac:dyDescent="0.2">
      <c r="A1526" s="12">
        <v>39352</v>
      </c>
      <c r="B1526" s="9">
        <v>3330.59</v>
      </c>
      <c r="C1526" s="9">
        <v>3288.21</v>
      </c>
      <c r="D1526" s="9">
        <v>3322.9</v>
      </c>
      <c r="E1526" s="9">
        <f t="shared" si="69"/>
        <v>1.0607081421025641E-2</v>
      </c>
      <c r="F1526" s="9">
        <f t="shared" si="70"/>
        <v>0.127659661019181</v>
      </c>
      <c r="G1526" s="9">
        <f t="shared" si="71"/>
        <v>1.3831052703206352E-2</v>
      </c>
    </row>
    <row r="1527" spans="1:7" x14ac:dyDescent="0.2">
      <c r="A1527" s="12">
        <v>39353</v>
      </c>
      <c r="B1527" s="9">
        <v>3326.74</v>
      </c>
      <c r="C1527" s="9">
        <v>3305.38</v>
      </c>
      <c r="D1527" s="9">
        <v>3323.68</v>
      </c>
      <c r="E1527" s="9">
        <f t="shared" si="69"/>
        <v>2.3470717378875849E-4</v>
      </c>
      <c r="F1527" s="9">
        <f t="shared" si="70"/>
        <v>0.11602523642776714</v>
      </c>
      <c r="G1527" s="9">
        <f t="shared" si="71"/>
        <v>1.3773194603760584E-2</v>
      </c>
    </row>
    <row r="1528" spans="1:7" x14ac:dyDescent="0.2">
      <c r="A1528" s="12">
        <v>39356</v>
      </c>
      <c r="B1528" s="9">
        <v>3325.43</v>
      </c>
      <c r="C1528" s="9">
        <v>3283.04</v>
      </c>
      <c r="D1528" s="9">
        <v>3325.04</v>
      </c>
      <c r="E1528" s="9">
        <f t="shared" si="69"/>
        <v>4.0910130640731037E-4</v>
      </c>
      <c r="F1528" s="9">
        <f t="shared" si="70"/>
        <v>0.10055210248737484</v>
      </c>
      <c r="G1528" s="9">
        <f t="shared" si="71"/>
        <v>1.359633838228109E-2</v>
      </c>
    </row>
    <row r="1529" spans="1:7" x14ac:dyDescent="0.2">
      <c r="A1529" s="12">
        <v>39357</v>
      </c>
      <c r="B1529" s="9">
        <v>3360.58</v>
      </c>
      <c r="C1529" s="9">
        <v>3312.68</v>
      </c>
      <c r="D1529" s="9">
        <v>3319.54</v>
      </c>
      <c r="E1529" s="9">
        <f t="shared" si="69"/>
        <v>-1.6554849986372001E-3</v>
      </c>
      <c r="F1529" s="9">
        <f t="shared" si="70"/>
        <v>9.7291632720528196E-2</v>
      </c>
      <c r="G1529" s="9">
        <f t="shared" si="71"/>
        <v>1.362378609141445E-2</v>
      </c>
    </row>
    <row r="1530" spans="1:7" x14ac:dyDescent="0.2">
      <c r="A1530" s="12">
        <v>39358</v>
      </c>
      <c r="B1530" s="9">
        <v>3332.31</v>
      </c>
      <c r="C1530" s="9">
        <v>3298</v>
      </c>
      <c r="D1530" s="9">
        <v>3305.01</v>
      </c>
      <c r="E1530" s="9">
        <f t="shared" si="69"/>
        <v>-4.3867200943271539E-3</v>
      </c>
      <c r="F1530" s="9">
        <f t="shared" si="70"/>
        <v>6.6669881759044175E-2</v>
      </c>
      <c r="G1530" s="9">
        <f t="shared" si="71"/>
        <v>1.2973374547286505E-2</v>
      </c>
    </row>
    <row r="1531" spans="1:7" x14ac:dyDescent="0.2">
      <c r="A1531" s="12">
        <v>39359</v>
      </c>
      <c r="B1531" s="9">
        <v>3305.34</v>
      </c>
      <c r="C1531" s="9">
        <v>3245.09</v>
      </c>
      <c r="D1531" s="9">
        <v>3257.73</v>
      </c>
      <c r="E1531" s="9">
        <f t="shared" si="69"/>
        <v>-1.4408865200154643E-2</v>
      </c>
      <c r="F1531" s="9">
        <f t="shared" si="70"/>
        <v>5.0193197854679135E-2</v>
      </c>
      <c r="G1531" s="9">
        <f t="shared" si="71"/>
        <v>1.3324165700443709E-2</v>
      </c>
    </row>
    <row r="1532" spans="1:7" x14ac:dyDescent="0.2">
      <c r="A1532" s="12">
        <v>39360</v>
      </c>
      <c r="B1532" s="9">
        <v>3292.29</v>
      </c>
      <c r="C1532" s="9">
        <v>3258.02</v>
      </c>
      <c r="D1532" s="9">
        <v>3278.15</v>
      </c>
      <c r="E1532" s="9">
        <f t="shared" si="69"/>
        <v>6.248605066691254E-3</v>
      </c>
      <c r="F1532" s="9">
        <f t="shared" si="70"/>
        <v>5.1448239733498942E-2</v>
      </c>
      <c r="G1532" s="9">
        <f t="shared" si="71"/>
        <v>1.333691481502685E-2</v>
      </c>
    </row>
    <row r="1533" spans="1:7" x14ac:dyDescent="0.2">
      <c r="A1533" s="12">
        <v>39363</v>
      </c>
      <c r="B1533" s="9">
        <v>3297.14</v>
      </c>
      <c r="C1533" s="9">
        <v>3269.29</v>
      </c>
      <c r="D1533" s="9">
        <v>3269.88</v>
      </c>
      <c r="E1533" s="9">
        <f t="shared" si="69"/>
        <v>-2.5259518961217673E-3</v>
      </c>
      <c r="F1533" s="9">
        <f t="shared" si="70"/>
        <v>4.6074489106902129E-2</v>
      </c>
      <c r="G1533" s="9">
        <f t="shared" si="71"/>
        <v>1.3357246313012217E-2</v>
      </c>
    </row>
    <row r="1534" spans="1:7" x14ac:dyDescent="0.2">
      <c r="A1534" s="12">
        <v>39364</v>
      </c>
      <c r="B1534" s="9">
        <v>3297.47</v>
      </c>
      <c r="C1534" s="9">
        <v>3255.53</v>
      </c>
      <c r="D1534" s="9">
        <v>3297.05</v>
      </c>
      <c r="E1534" s="9">
        <f t="shared" si="69"/>
        <v>8.2748422882963166E-3</v>
      </c>
      <c r="F1534" s="9">
        <f t="shared" si="70"/>
        <v>7.3284031706008848E-2</v>
      </c>
      <c r="G1534" s="9">
        <f t="shared" si="71"/>
        <v>1.2832822442538231E-2</v>
      </c>
    </row>
    <row r="1535" spans="1:7" x14ac:dyDescent="0.2">
      <c r="A1535" s="12">
        <v>39365</v>
      </c>
      <c r="B1535" s="9">
        <v>3304.62</v>
      </c>
      <c r="C1535" s="9">
        <v>3280.94</v>
      </c>
      <c r="D1535" s="9">
        <v>3294.82</v>
      </c>
      <c r="E1535" s="9">
        <f t="shared" si="69"/>
        <v>-6.7659103867946885E-4</v>
      </c>
      <c r="F1535" s="9">
        <f t="shared" si="70"/>
        <v>5.7529475002334858E-2</v>
      </c>
      <c r="G1535" s="9">
        <f t="shared" si="71"/>
        <v>1.2618498067014181E-2</v>
      </c>
    </row>
    <row r="1536" spans="1:7" x14ac:dyDescent="0.2">
      <c r="A1536" s="12">
        <v>39366</v>
      </c>
      <c r="B1536" s="9">
        <v>3332.12</v>
      </c>
      <c r="C1536" s="9">
        <v>3294.82</v>
      </c>
      <c r="D1536" s="9">
        <v>3328.28</v>
      </c>
      <c r="E1536" s="9">
        <f t="shared" si="69"/>
        <v>1.0104115797516558E-2</v>
      </c>
      <c r="F1536" s="9">
        <f t="shared" si="70"/>
        <v>5.7389260995234774E-2</v>
      </c>
      <c r="G1536" s="9">
        <f t="shared" si="71"/>
        <v>1.2615333145339781E-2</v>
      </c>
    </row>
    <row r="1537" spans="1:7" x14ac:dyDescent="0.2">
      <c r="A1537" s="12">
        <v>39367</v>
      </c>
      <c r="B1537" s="9">
        <v>3328.28</v>
      </c>
      <c r="C1537" s="9">
        <v>3277.88</v>
      </c>
      <c r="D1537" s="9">
        <v>3301.6</v>
      </c>
      <c r="E1537" s="9">
        <f t="shared" si="69"/>
        <v>-8.0484545789936621E-3</v>
      </c>
      <c r="F1537" s="9">
        <f t="shared" si="70"/>
        <v>3.9162561221651529E-2</v>
      </c>
      <c r="G1537" s="9">
        <f t="shared" si="71"/>
        <v>1.2642421648583039E-2</v>
      </c>
    </row>
    <row r="1538" spans="1:7" x14ac:dyDescent="0.2">
      <c r="A1538" s="12">
        <v>39370</v>
      </c>
      <c r="B1538" s="9">
        <v>3308.26</v>
      </c>
      <c r="C1538" s="9">
        <v>3239.42</v>
      </c>
      <c r="D1538" s="9">
        <v>3239.88</v>
      </c>
      <c r="E1538" s="9">
        <f t="shared" si="69"/>
        <v>-1.8870907374921947E-2</v>
      </c>
      <c r="F1538" s="9">
        <f t="shared" si="70"/>
        <v>1.8450713660852189E-2</v>
      </c>
      <c r="G1538" s="9">
        <f t="shared" si="71"/>
        <v>1.3166823414053737E-2</v>
      </c>
    </row>
    <row r="1539" spans="1:7" x14ac:dyDescent="0.2">
      <c r="A1539" s="12">
        <v>39371</v>
      </c>
      <c r="B1539" s="9">
        <v>3239.44</v>
      </c>
      <c r="C1539" s="9">
        <v>3190.29</v>
      </c>
      <c r="D1539" s="9">
        <v>3210.56</v>
      </c>
      <c r="E1539" s="9">
        <f t="shared" si="69"/>
        <v>-9.0909153262021397E-3</v>
      </c>
      <c r="F1539" s="9">
        <f t="shared" si="70"/>
        <v>1.3901315382871826E-3</v>
      </c>
      <c r="G1539" s="9">
        <f t="shared" si="71"/>
        <v>1.320658703282148E-2</v>
      </c>
    </row>
    <row r="1540" spans="1:7" x14ac:dyDescent="0.2">
      <c r="A1540" s="12">
        <v>39372</v>
      </c>
      <c r="B1540" s="9">
        <v>3255.07</v>
      </c>
      <c r="C1540" s="9">
        <v>3210.05</v>
      </c>
      <c r="D1540" s="9">
        <v>3251.05</v>
      </c>
      <c r="E1540" s="9">
        <f t="shared" ref="E1540:E1603" si="72">LN(D1540/D1539)</f>
        <v>1.2532644331501145E-2</v>
      </c>
      <c r="F1540" s="9">
        <f t="shared" si="70"/>
        <v>2.7128329036085353E-2</v>
      </c>
      <c r="G1540" s="9">
        <f t="shared" si="71"/>
        <v>1.3151920935393789E-2</v>
      </c>
    </row>
    <row r="1541" spans="1:7" x14ac:dyDescent="0.2">
      <c r="A1541" s="12">
        <v>39373</v>
      </c>
      <c r="B1541" s="9">
        <v>3284.17</v>
      </c>
      <c r="C1541" s="9">
        <v>3245.45</v>
      </c>
      <c r="D1541" s="9">
        <v>3260.57</v>
      </c>
      <c r="E1541" s="9">
        <f t="shared" si="72"/>
        <v>2.9240056338814355E-3</v>
      </c>
      <c r="F1541" s="9">
        <f t="shared" si="70"/>
        <v>2.3107567044049818E-2</v>
      </c>
      <c r="G1541" s="9">
        <f t="shared" si="71"/>
        <v>1.3108658104943577E-2</v>
      </c>
    </row>
    <row r="1542" spans="1:7" x14ac:dyDescent="0.2">
      <c r="A1542" s="12">
        <v>39374</v>
      </c>
      <c r="B1542" s="9">
        <v>3297.62</v>
      </c>
      <c r="C1542" s="9">
        <v>3248.03</v>
      </c>
      <c r="D1542" s="9">
        <v>3258.6</v>
      </c>
      <c r="E1542" s="9">
        <f t="shared" si="72"/>
        <v>-6.0437143377599226E-4</v>
      </c>
      <c r="F1542" s="9">
        <f t="shared" si="70"/>
        <v>4.2871880472008496E-2</v>
      </c>
      <c r="G1542" s="9">
        <f t="shared" si="71"/>
        <v>1.2491769144658365E-2</v>
      </c>
    </row>
    <row r="1543" spans="1:7" x14ac:dyDescent="0.2">
      <c r="A1543" s="12">
        <v>39377</v>
      </c>
      <c r="B1543" s="9">
        <v>3258.29</v>
      </c>
      <c r="C1543" s="9">
        <v>3186.66</v>
      </c>
      <c r="D1543" s="9">
        <v>3192.56</v>
      </c>
      <c r="E1543" s="9">
        <f t="shared" si="72"/>
        <v>-2.0474552490214824E-2</v>
      </c>
      <c r="F1543" s="9">
        <f t="shared" si="70"/>
        <v>3.5650028960407296E-2</v>
      </c>
      <c r="G1543" s="9">
        <f t="shared" si="71"/>
        <v>1.284893697914884E-2</v>
      </c>
    </row>
    <row r="1544" spans="1:7" x14ac:dyDescent="0.2">
      <c r="A1544" s="12">
        <v>39378</v>
      </c>
      <c r="B1544" s="9">
        <v>3262.64</v>
      </c>
      <c r="C1544" s="9">
        <v>3192.34</v>
      </c>
      <c r="D1544" s="9">
        <v>3246.28</v>
      </c>
      <c r="E1544" s="9">
        <f t="shared" si="72"/>
        <v>1.6686622588038845E-2</v>
      </c>
      <c r="F1544" s="9">
        <f t="shared" si="70"/>
        <v>3.5997602401210943E-2</v>
      </c>
      <c r="G1544" s="9">
        <f t="shared" si="71"/>
        <v>1.2863218098848788E-2</v>
      </c>
    </row>
    <row r="1545" spans="1:7" x14ac:dyDescent="0.2">
      <c r="A1545" s="12">
        <v>39379</v>
      </c>
      <c r="B1545" s="9">
        <v>3291.06</v>
      </c>
      <c r="C1545" s="9">
        <v>3244.06</v>
      </c>
      <c r="D1545" s="9">
        <v>3244.21</v>
      </c>
      <c r="E1545" s="9">
        <f t="shared" si="72"/>
        <v>-6.3785633139672344E-4</v>
      </c>
      <c r="F1545" s="9">
        <f t="shared" si="70"/>
        <v>3.6554775656407294E-2</v>
      </c>
      <c r="G1545" s="9">
        <f t="shared" si="71"/>
        <v>1.2860042776330996E-2</v>
      </c>
    </row>
    <row r="1546" spans="1:7" x14ac:dyDescent="0.2">
      <c r="A1546" s="12">
        <v>39380</v>
      </c>
      <c r="B1546" s="9">
        <v>3306.75</v>
      </c>
      <c r="C1546" s="9">
        <v>3243.48</v>
      </c>
      <c r="D1546" s="9">
        <v>3288.28</v>
      </c>
      <c r="E1546" s="9">
        <f t="shared" si="72"/>
        <v>1.3492762665890863E-2</v>
      </c>
      <c r="F1546" s="9">
        <f t="shared" si="70"/>
        <v>4.6495397480566851E-2</v>
      </c>
      <c r="G1546" s="9">
        <f t="shared" si="71"/>
        <v>1.3048924164587972E-2</v>
      </c>
    </row>
    <row r="1547" spans="1:7" x14ac:dyDescent="0.2">
      <c r="A1547" s="12">
        <v>39381</v>
      </c>
      <c r="B1547" s="9">
        <v>3330.22</v>
      </c>
      <c r="C1547" s="9">
        <v>3268.87</v>
      </c>
      <c r="D1547" s="9">
        <v>3294.69</v>
      </c>
      <c r="E1547" s="9">
        <f t="shared" si="72"/>
        <v>1.9474498671145511E-3</v>
      </c>
      <c r="F1547" s="9">
        <f t="shared" si="70"/>
        <v>5.1819158954312675E-2</v>
      </c>
      <c r="G1547" s="9">
        <f t="shared" si="71"/>
        <v>1.3015778938277546E-2</v>
      </c>
    </row>
    <row r="1548" spans="1:7" x14ac:dyDescent="0.2">
      <c r="A1548" s="12">
        <v>39384</v>
      </c>
      <c r="B1548" s="9">
        <v>3347.02</v>
      </c>
      <c r="C1548" s="9">
        <v>3294.39</v>
      </c>
      <c r="D1548" s="9">
        <v>3330.72</v>
      </c>
      <c r="E1548" s="9">
        <f t="shared" si="72"/>
        <v>1.0876415251061129E-2</v>
      </c>
      <c r="F1548" s="9">
        <f t="shared" si="70"/>
        <v>7.46356018013761E-2</v>
      </c>
      <c r="G1548" s="9">
        <f t="shared" si="71"/>
        <v>1.2855244149385979E-2</v>
      </c>
    </row>
    <row r="1549" spans="1:7" x14ac:dyDescent="0.2">
      <c r="A1549" s="12">
        <v>39385</v>
      </c>
      <c r="B1549" s="9">
        <v>3351.47</v>
      </c>
      <c r="C1549" s="9">
        <v>3319.24</v>
      </c>
      <c r="D1549" s="9">
        <v>3330.77</v>
      </c>
      <c r="E1549" s="9">
        <f t="shared" si="72"/>
        <v>1.5011656551544604E-5</v>
      </c>
      <c r="F1549" s="9">
        <f t="shared" si="70"/>
        <v>6.4620787781826006E-2</v>
      </c>
      <c r="G1549" s="9">
        <f t="shared" si="71"/>
        <v>1.278246663604952E-2</v>
      </c>
    </row>
    <row r="1550" spans="1:7" x14ac:dyDescent="0.2">
      <c r="A1550" s="12">
        <v>39386</v>
      </c>
      <c r="B1550" s="9">
        <v>3361.01</v>
      </c>
      <c r="C1550" s="9">
        <v>3315.03</v>
      </c>
      <c r="D1550" s="9">
        <v>3356.3</v>
      </c>
      <c r="E1550" s="9">
        <f t="shared" si="72"/>
        <v>7.6356682494504264E-3</v>
      </c>
      <c r="F1550" s="9">
        <f t="shared" si="70"/>
        <v>3.3240122327447483E-2</v>
      </c>
      <c r="G1550" s="9">
        <f t="shared" si="71"/>
        <v>1.0790714338924191E-2</v>
      </c>
    </row>
    <row r="1551" spans="1:7" x14ac:dyDescent="0.2">
      <c r="A1551" s="12">
        <v>39387</v>
      </c>
      <c r="B1551" s="9">
        <v>3390.73</v>
      </c>
      <c r="C1551" s="9">
        <v>3311.19</v>
      </c>
      <c r="D1551" s="9">
        <v>3339.31</v>
      </c>
      <c r="E1551" s="9">
        <f t="shared" si="72"/>
        <v>-5.0749779229494413E-3</v>
      </c>
      <c r="F1551" s="9">
        <f t="shared" si="70"/>
        <v>3.541746687653502E-2</v>
      </c>
      <c r="G1551" s="9">
        <f t="shared" si="71"/>
        <v>1.0739745937313873E-2</v>
      </c>
    </row>
    <row r="1552" spans="1:7" x14ac:dyDescent="0.2">
      <c r="A1552" s="12">
        <v>39388</v>
      </c>
      <c r="B1552" s="9">
        <v>3347.78</v>
      </c>
      <c r="C1552" s="9">
        <v>3300.14</v>
      </c>
      <c r="D1552" s="9">
        <v>3337.75</v>
      </c>
      <c r="E1552" s="9">
        <f t="shared" si="72"/>
        <v>-4.6727153219665605E-4</v>
      </c>
      <c r="F1552" s="9">
        <f t="shared" si="70"/>
        <v>1.5011367387572656E-2</v>
      </c>
      <c r="G1552" s="9">
        <f t="shared" si="71"/>
        <v>1.0140199079597562E-2</v>
      </c>
    </row>
    <row r="1553" spans="1:7" x14ac:dyDescent="0.2">
      <c r="A1553" s="12">
        <v>39391</v>
      </c>
      <c r="B1553" s="9">
        <v>3337.42</v>
      </c>
      <c r="C1553" s="9">
        <v>3299.74</v>
      </c>
      <c r="D1553" s="9">
        <v>3312.22</v>
      </c>
      <c r="E1553" s="9">
        <f t="shared" si="72"/>
        <v>-7.6782678503318118E-3</v>
      </c>
      <c r="F1553" s="9">
        <f t="shared" si="70"/>
        <v>5.7832157721457575E-3</v>
      </c>
      <c r="G1553" s="9">
        <f t="shared" si="71"/>
        <v>1.0246674246345667E-2</v>
      </c>
    </row>
    <row r="1554" spans="1:7" x14ac:dyDescent="0.2">
      <c r="A1554" s="12">
        <v>39392</v>
      </c>
      <c r="B1554" s="9">
        <v>3362.02</v>
      </c>
      <c r="C1554" s="9">
        <v>3312.78</v>
      </c>
      <c r="D1554" s="9">
        <v>3349.84</v>
      </c>
      <c r="E1554" s="9">
        <f t="shared" si="72"/>
        <v>1.1293924064607637E-2</v>
      </c>
      <c r="F1554" s="9">
        <f t="shared" si="70"/>
        <v>3.6195179827450165E-2</v>
      </c>
      <c r="G1554" s="9">
        <f t="shared" si="71"/>
        <v>9.7632916991883117E-3</v>
      </c>
    </row>
    <row r="1555" spans="1:7" x14ac:dyDescent="0.2">
      <c r="A1555" s="12">
        <v>39393</v>
      </c>
      <c r="B1555" s="9">
        <v>3379.8</v>
      </c>
      <c r="C1555" s="9">
        <v>3316</v>
      </c>
      <c r="D1555" s="9">
        <v>3333.8</v>
      </c>
      <c r="E1555" s="9">
        <f t="shared" si="72"/>
        <v>-4.7997889754924725E-3</v>
      </c>
      <c r="F1555" s="9">
        <f t="shared" si="70"/>
        <v>1.38819803174276E-2</v>
      </c>
      <c r="G1555" s="9">
        <f t="shared" si="71"/>
        <v>9.3179444241685838E-3</v>
      </c>
    </row>
    <row r="1556" spans="1:7" x14ac:dyDescent="0.2">
      <c r="A1556" s="12">
        <v>39394</v>
      </c>
      <c r="B1556" s="9">
        <v>3334.41</v>
      </c>
      <c r="C1556" s="9">
        <v>3267.91</v>
      </c>
      <c r="D1556" s="9">
        <v>3292.02</v>
      </c>
      <c r="E1556" s="9">
        <f t="shared" si="72"/>
        <v>-1.2611436396338596E-2</v>
      </c>
      <c r="F1556" s="9">
        <f t="shared" si="70"/>
        <v>-9.3365374999366101E-3</v>
      </c>
      <c r="G1556" s="9">
        <f t="shared" si="71"/>
        <v>9.4101094946536547E-3</v>
      </c>
    </row>
    <row r="1557" spans="1:7" x14ac:dyDescent="0.2">
      <c r="A1557" s="12">
        <v>39395</v>
      </c>
      <c r="B1557" s="9">
        <v>3313.13</v>
      </c>
      <c r="C1557" s="9">
        <v>3207.84</v>
      </c>
      <c r="D1557" s="9">
        <v>3218.03</v>
      </c>
      <c r="E1557" s="9">
        <f t="shared" si="72"/>
        <v>-2.2731987043178619E-2</v>
      </c>
      <c r="F1557" s="9">
        <f t="shared" si="70"/>
        <v>-3.2303231716903989E-2</v>
      </c>
      <c r="G1557" s="9">
        <f t="shared" si="71"/>
        <v>1.0260008087847118E-2</v>
      </c>
    </row>
    <row r="1558" spans="1:7" x14ac:dyDescent="0.2">
      <c r="A1558" s="12">
        <v>39398</v>
      </c>
      <c r="B1558" s="9">
        <v>3227.63</v>
      </c>
      <c r="C1558" s="9">
        <v>3172.06</v>
      </c>
      <c r="D1558" s="9">
        <v>3190.77</v>
      </c>
      <c r="E1558" s="9">
        <f t="shared" si="72"/>
        <v>-8.5071041075339693E-3</v>
      </c>
      <c r="F1558" s="9">
        <f t="shared" si="70"/>
        <v>-4.1219437130845318E-2</v>
      </c>
      <c r="G1558" s="9">
        <f t="shared" si="71"/>
        <v>1.0344275826279815E-2</v>
      </c>
    </row>
    <row r="1559" spans="1:7" x14ac:dyDescent="0.2">
      <c r="A1559" s="12">
        <v>39399</v>
      </c>
      <c r="B1559" s="9">
        <v>3190.64</v>
      </c>
      <c r="C1559" s="9">
        <v>3121.12</v>
      </c>
      <c r="D1559" s="9">
        <v>3173.46</v>
      </c>
      <c r="E1559" s="9">
        <f t="shared" si="72"/>
        <v>-5.4397916748695077E-3</v>
      </c>
      <c r="F1559" s="9">
        <f t="shared" si="70"/>
        <v>-4.5003743807077619E-2</v>
      </c>
      <c r="G1559" s="9">
        <f t="shared" si="71"/>
        <v>1.0370866742911336E-2</v>
      </c>
    </row>
    <row r="1560" spans="1:7" x14ac:dyDescent="0.2">
      <c r="A1560" s="12">
        <v>39400</v>
      </c>
      <c r="B1560" s="9">
        <v>3228.33</v>
      </c>
      <c r="C1560" s="9">
        <v>3173.5</v>
      </c>
      <c r="D1560" s="9">
        <v>3188.68</v>
      </c>
      <c r="E1560" s="9">
        <f t="shared" si="72"/>
        <v>4.7845627523842183E-3</v>
      </c>
      <c r="F1560" s="9">
        <f t="shared" si="70"/>
        <v>-3.5832460960366207E-2</v>
      </c>
      <c r="G1560" s="9">
        <f t="shared" si="71"/>
        <v>1.0417909894391694E-2</v>
      </c>
    </row>
    <row r="1561" spans="1:7" x14ac:dyDescent="0.2">
      <c r="A1561" s="12">
        <v>39401</v>
      </c>
      <c r="B1561" s="9">
        <v>3191.52</v>
      </c>
      <c r="C1561" s="9">
        <v>3112.23</v>
      </c>
      <c r="D1561" s="9">
        <v>3139.52</v>
      </c>
      <c r="E1561" s="9">
        <f t="shared" si="72"/>
        <v>-1.5537116064425151E-2</v>
      </c>
      <c r="F1561" s="9">
        <f t="shared" si="70"/>
        <v>-3.6960711824636797E-2</v>
      </c>
      <c r="G1561" s="9">
        <f t="shared" si="71"/>
        <v>1.0469169017680153E-2</v>
      </c>
    </row>
    <row r="1562" spans="1:7" x14ac:dyDescent="0.2">
      <c r="A1562" s="12">
        <v>39402</v>
      </c>
      <c r="B1562" s="9">
        <v>3137.43</v>
      </c>
      <c r="C1562" s="9">
        <v>3084.83</v>
      </c>
      <c r="D1562" s="9">
        <v>3106.56</v>
      </c>
      <c r="E1562" s="9">
        <f t="shared" si="72"/>
        <v>-1.0553917316898861E-2</v>
      </c>
      <c r="F1562" s="9">
        <f t="shared" si="70"/>
        <v>-5.3763234208226832E-2</v>
      </c>
      <c r="G1562" s="9">
        <f t="shared" si="71"/>
        <v>1.0504561513860941E-2</v>
      </c>
    </row>
    <row r="1563" spans="1:7" x14ac:dyDescent="0.2">
      <c r="A1563" s="12">
        <v>39405</v>
      </c>
      <c r="B1563" s="9">
        <v>3144.78</v>
      </c>
      <c r="C1563" s="9">
        <v>3028.26</v>
      </c>
      <c r="D1563" s="9">
        <v>3031.38</v>
      </c>
      <c r="E1563" s="9">
        <f t="shared" si="72"/>
        <v>-2.4498043293999541E-2</v>
      </c>
      <c r="F1563" s="9">
        <f t="shared" si="70"/>
        <v>-7.5735325606104589E-2</v>
      </c>
      <c r="G1563" s="9">
        <f t="shared" si="71"/>
        <v>1.1293814477130631E-2</v>
      </c>
    </row>
    <row r="1564" spans="1:7" x14ac:dyDescent="0.2">
      <c r="A1564" s="12">
        <v>39406</v>
      </c>
      <c r="B1564" s="9">
        <v>3086.45</v>
      </c>
      <c r="C1564" s="9">
        <v>2999.69</v>
      </c>
      <c r="D1564" s="9">
        <v>3083.24</v>
      </c>
      <c r="E1564" s="9">
        <f t="shared" si="72"/>
        <v>1.6963030745809321E-2</v>
      </c>
      <c r="F1564" s="9">
        <f t="shared" si="70"/>
        <v>-6.7047137148591646E-2</v>
      </c>
      <c r="G1564" s="9">
        <f t="shared" si="71"/>
        <v>1.1684913959844308E-2</v>
      </c>
    </row>
    <row r="1565" spans="1:7" x14ac:dyDescent="0.2">
      <c r="A1565" s="12">
        <v>39407</v>
      </c>
      <c r="B1565" s="9">
        <v>3083.11</v>
      </c>
      <c r="C1565" s="9">
        <v>2971.69</v>
      </c>
      <c r="D1565" s="9">
        <v>2985.38</v>
      </c>
      <c r="E1565" s="9">
        <f t="shared" si="72"/>
        <v>-3.2253950203017481E-2</v>
      </c>
      <c r="F1565" s="9">
        <f t="shared" si="70"/>
        <v>-9.862449631292966E-2</v>
      </c>
      <c r="G1565" s="9">
        <f t="shared" si="71"/>
        <v>1.2898885703071957E-2</v>
      </c>
    </row>
    <row r="1566" spans="1:7" x14ac:dyDescent="0.2">
      <c r="A1566" s="12">
        <v>39408</v>
      </c>
      <c r="B1566" s="9">
        <v>3021.21</v>
      </c>
      <c r="C1566" s="9">
        <v>2971.45</v>
      </c>
      <c r="D1566" s="9">
        <v>2977.62</v>
      </c>
      <c r="E1566" s="9">
        <f t="shared" si="72"/>
        <v>-2.6027182225764295E-3</v>
      </c>
      <c r="F1566" s="9">
        <f t="shared" si="70"/>
        <v>-0.11133133033302257</v>
      </c>
      <c r="G1566" s="9">
        <f t="shared" si="71"/>
        <v>1.265021217910961E-2</v>
      </c>
    </row>
    <row r="1567" spans="1:7" x14ac:dyDescent="0.2">
      <c r="A1567" s="12">
        <v>39409</v>
      </c>
      <c r="B1567" s="9">
        <v>3022.41</v>
      </c>
      <c r="C1567" s="9">
        <v>2976.65</v>
      </c>
      <c r="D1567" s="9">
        <v>3005.76</v>
      </c>
      <c r="E1567" s="9">
        <f t="shared" si="72"/>
        <v>9.4061241218074999E-3</v>
      </c>
      <c r="F1567" s="9">
        <f t="shared" si="70"/>
        <v>-9.387675163222145E-2</v>
      </c>
      <c r="G1567" s="9">
        <f t="shared" si="71"/>
        <v>1.284375569141216E-2</v>
      </c>
    </row>
    <row r="1568" spans="1:7" x14ac:dyDescent="0.2">
      <c r="A1568" s="12">
        <v>39412</v>
      </c>
      <c r="B1568" s="9">
        <v>3090.33</v>
      </c>
      <c r="C1568" s="9">
        <v>3006.19</v>
      </c>
      <c r="D1568" s="9">
        <v>3028.27</v>
      </c>
      <c r="E1568" s="9">
        <f t="shared" si="72"/>
        <v>7.4610515434830804E-3</v>
      </c>
      <c r="F1568" s="9">
        <f t="shared" si="70"/>
        <v>-6.7544792713816484E-2</v>
      </c>
      <c r="G1568" s="9">
        <f t="shared" si="71"/>
        <v>1.2628840476551788E-2</v>
      </c>
    </row>
    <row r="1569" spans="1:7" x14ac:dyDescent="0.2">
      <c r="A1569" s="12">
        <v>39413</v>
      </c>
      <c r="B1569" s="9">
        <v>3024.58</v>
      </c>
      <c r="C1569" s="9">
        <v>2957.01</v>
      </c>
      <c r="D1569" s="9">
        <v>2981.97</v>
      </c>
      <c r="E1569" s="9">
        <f t="shared" si="72"/>
        <v>-1.5407343437728774E-2</v>
      </c>
      <c r="F1569" s="9">
        <f t="shared" ref="F1569:F1632" si="73">LN(D1569/D1539)</f>
        <v>-7.3861220825343063E-2</v>
      </c>
      <c r="G1569" s="9">
        <f t="shared" ref="G1569:G1632" si="74">STDEV(E1540:E1569)</f>
        <v>1.2798315533992823E-2</v>
      </c>
    </row>
    <row r="1570" spans="1:7" x14ac:dyDescent="0.2">
      <c r="A1570" s="12">
        <v>39414</v>
      </c>
      <c r="B1570" s="9">
        <v>3069.89</v>
      </c>
      <c r="C1570" s="9">
        <v>2962.29</v>
      </c>
      <c r="D1570" s="9">
        <v>3065.72</v>
      </c>
      <c r="E1570" s="9">
        <f t="shared" si="72"/>
        <v>2.7698296148632461E-2</v>
      </c>
      <c r="F1570" s="9">
        <f t="shared" si="73"/>
        <v>-5.8695569008211691E-2</v>
      </c>
      <c r="G1570" s="9">
        <f t="shared" si="74"/>
        <v>1.3680149610586416E-2</v>
      </c>
    </row>
    <row r="1571" spans="1:7" x14ac:dyDescent="0.2">
      <c r="A1571" s="12">
        <v>39415</v>
      </c>
      <c r="B1571" s="9">
        <v>3105.38</v>
      </c>
      <c r="C1571" s="9">
        <v>3056.56</v>
      </c>
      <c r="D1571" s="9">
        <v>3086.87</v>
      </c>
      <c r="E1571" s="9">
        <f t="shared" si="72"/>
        <v>6.8751804719548873E-3</v>
      </c>
      <c r="F1571" s="9">
        <f t="shared" si="73"/>
        <v>-5.4744394170138266E-2</v>
      </c>
      <c r="G1571" s="9">
        <f t="shared" si="74"/>
        <v>1.3747610838852103E-2</v>
      </c>
    </row>
    <row r="1572" spans="1:7" x14ac:dyDescent="0.2">
      <c r="A1572" s="12">
        <v>39416</v>
      </c>
      <c r="B1572" s="9">
        <v>3138.74</v>
      </c>
      <c r="C1572" s="9">
        <v>3086.63</v>
      </c>
      <c r="D1572" s="9">
        <v>3121.32</v>
      </c>
      <c r="E1572" s="9">
        <f t="shared" si="72"/>
        <v>1.1098356722306177E-2</v>
      </c>
      <c r="F1572" s="9">
        <f t="shared" si="73"/>
        <v>-4.3041666014056276E-2</v>
      </c>
      <c r="G1572" s="9">
        <f t="shared" si="74"/>
        <v>1.3948008166559347E-2</v>
      </c>
    </row>
    <row r="1573" spans="1:7" x14ac:dyDescent="0.2">
      <c r="A1573" s="12">
        <v>39419</v>
      </c>
      <c r="B1573" s="9">
        <v>3134.44</v>
      </c>
      <c r="C1573" s="9">
        <v>3091.69</v>
      </c>
      <c r="D1573" s="9">
        <v>3096.87</v>
      </c>
      <c r="E1573" s="9">
        <f t="shared" si="72"/>
        <v>-7.8640652685259462E-3</v>
      </c>
      <c r="F1573" s="9">
        <f t="shared" si="73"/>
        <v>-3.043117879236729E-2</v>
      </c>
      <c r="G1573" s="9">
        <f t="shared" si="74"/>
        <v>1.3538427459884315E-2</v>
      </c>
    </row>
    <row r="1574" spans="1:7" x14ac:dyDescent="0.2">
      <c r="A1574" s="12">
        <v>39420</v>
      </c>
      <c r="B1574" s="9">
        <v>3099.77</v>
      </c>
      <c r="C1574" s="9">
        <v>3018.9</v>
      </c>
      <c r="D1574" s="9">
        <v>3023.96</v>
      </c>
      <c r="E1574" s="9">
        <f t="shared" si="72"/>
        <v>-2.3824693287560584E-2</v>
      </c>
      <c r="F1574" s="9">
        <f t="shared" si="73"/>
        <v>-7.0942494667966746E-2</v>
      </c>
      <c r="G1574" s="9">
        <f t="shared" si="74"/>
        <v>1.3730988693412343E-2</v>
      </c>
    </row>
    <row r="1575" spans="1:7" x14ac:dyDescent="0.2">
      <c r="A1575" s="12">
        <v>39421</v>
      </c>
      <c r="B1575" s="9">
        <v>3078.61</v>
      </c>
      <c r="C1575" s="9">
        <v>3024.55</v>
      </c>
      <c r="D1575" s="9">
        <v>3072.26</v>
      </c>
      <c r="E1575" s="9">
        <f t="shared" si="72"/>
        <v>1.5846216404143031E-2</v>
      </c>
      <c r="F1575" s="9">
        <f t="shared" si="73"/>
        <v>-5.4458421932427017E-2</v>
      </c>
      <c r="G1575" s="9">
        <f t="shared" si="74"/>
        <v>1.4126596468541763E-2</v>
      </c>
    </row>
    <row r="1576" spans="1:7" x14ac:dyDescent="0.2">
      <c r="A1576" s="12">
        <v>39423</v>
      </c>
      <c r="B1576" s="9">
        <v>3136.14</v>
      </c>
      <c r="C1576" s="9">
        <v>3070.92</v>
      </c>
      <c r="D1576" s="9">
        <v>3127.17</v>
      </c>
      <c r="E1576" s="9">
        <f t="shared" si="72"/>
        <v>1.7714995083520202E-2</v>
      </c>
      <c r="F1576" s="9">
        <f t="shared" si="73"/>
        <v>-5.0236189514797684E-2</v>
      </c>
      <c r="G1576" s="9">
        <f t="shared" si="74"/>
        <v>1.4304282388638333E-2</v>
      </c>
    </row>
    <row r="1577" spans="1:7" x14ac:dyDescent="0.2">
      <c r="A1577" s="12">
        <v>39426</v>
      </c>
      <c r="B1577" s="9">
        <v>3138.84</v>
      </c>
      <c r="C1577" s="9">
        <v>3105.53</v>
      </c>
      <c r="D1577" s="9">
        <v>3131.11</v>
      </c>
      <c r="E1577" s="9">
        <f t="shared" si="72"/>
        <v>1.2591320684098724E-3</v>
      </c>
      <c r="F1577" s="9">
        <f t="shared" si="73"/>
        <v>-5.0924507313502246E-2</v>
      </c>
      <c r="G1577" s="9">
        <f t="shared" si="74"/>
        <v>1.4298823407031782E-2</v>
      </c>
    </row>
    <row r="1578" spans="1:7" x14ac:dyDescent="0.2">
      <c r="A1578" s="12">
        <v>39427</v>
      </c>
      <c r="B1578" s="9">
        <v>3150.51</v>
      </c>
      <c r="C1578" s="9">
        <v>3120.15</v>
      </c>
      <c r="D1578" s="9">
        <v>3128.54</v>
      </c>
      <c r="E1578" s="9">
        <f t="shared" si="72"/>
        <v>-8.211322180645248E-4</v>
      </c>
      <c r="F1578" s="9">
        <f t="shared" si="73"/>
        <v>-6.2622054782627945E-2</v>
      </c>
      <c r="G1578" s="9">
        <f t="shared" si="74"/>
        <v>1.4102259719481699E-2</v>
      </c>
    </row>
    <row r="1579" spans="1:7" x14ac:dyDescent="0.2">
      <c r="A1579" s="12">
        <v>39428</v>
      </c>
      <c r="B1579" s="9">
        <v>3128.88</v>
      </c>
      <c r="C1579" s="9">
        <v>3072.08</v>
      </c>
      <c r="D1579" s="9">
        <v>3117.44</v>
      </c>
      <c r="E1579" s="9">
        <f t="shared" si="72"/>
        <v>-3.5542898585972219E-3</v>
      </c>
      <c r="F1579" s="9">
        <f t="shared" si="73"/>
        <v>-6.6191356297776852E-2</v>
      </c>
      <c r="G1579" s="9">
        <f t="shared" si="74"/>
        <v>1.4098966825618493E-2</v>
      </c>
    </row>
    <row r="1580" spans="1:7" x14ac:dyDescent="0.2">
      <c r="A1580" s="12">
        <v>39429</v>
      </c>
      <c r="B1580" s="9">
        <v>3116.94</v>
      </c>
      <c r="C1580" s="9">
        <v>3030.28</v>
      </c>
      <c r="D1580" s="9">
        <v>3036.29</v>
      </c>
      <c r="E1580" s="9">
        <f t="shared" si="72"/>
        <v>-2.6375776802780242E-2</v>
      </c>
      <c r="F1580" s="9">
        <f t="shared" si="73"/>
        <v>-0.1002028013500075</v>
      </c>
      <c r="G1580" s="9">
        <f t="shared" si="74"/>
        <v>1.4637433999128275E-2</v>
      </c>
    </row>
    <row r="1581" spans="1:7" x14ac:dyDescent="0.2">
      <c r="A1581" s="12">
        <v>39430</v>
      </c>
      <c r="B1581" s="9">
        <v>3060.91</v>
      </c>
      <c r="C1581" s="9">
        <v>3001.02</v>
      </c>
      <c r="D1581" s="9">
        <v>3033.48</v>
      </c>
      <c r="E1581" s="9">
        <f t="shared" si="72"/>
        <v>-9.2590005906288079E-4</v>
      </c>
      <c r="F1581" s="9">
        <f t="shared" si="73"/>
        <v>-9.6053723486120943E-2</v>
      </c>
      <c r="G1581" s="9">
        <f t="shared" si="74"/>
        <v>1.4640077756822625E-2</v>
      </c>
    </row>
    <row r="1582" spans="1:7" x14ac:dyDescent="0.2">
      <c r="A1582" s="12">
        <v>39433</v>
      </c>
      <c r="B1582" s="9">
        <v>3032.98</v>
      </c>
      <c r="C1582" s="9">
        <v>2952.16</v>
      </c>
      <c r="D1582" s="9">
        <v>2958.5</v>
      </c>
      <c r="E1582" s="9">
        <f t="shared" si="72"/>
        <v>-2.5028092199531331E-2</v>
      </c>
      <c r="F1582" s="9">
        <f t="shared" si="73"/>
        <v>-0.12061454415345556</v>
      </c>
      <c r="G1582" s="9">
        <f t="shared" si="74"/>
        <v>1.5159413219907651E-2</v>
      </c>
    </row>
    <row r="1583" spans="1:7" x14ac:dyDescent="0.2">
      <c r="A1583" s="12">
        <v>39434</v>
      </c>
      <c r="B1583" s="9">
        <v>2974.78</v>
      </c>
      <c r="C1583" s="9">
        <v>2918.54</v>
      </c>
      <c r="D1583" s="9">
        <v>2943.84</v>
      </c>
      <c r="E1583" s="9">
        <f t="shared" si="72"/>
        <v>-4.9675315709654718E-3</v>
      </c>
      <c r="F1583" s="9">
        <f t="shared" si="73"/>
        <v>-0.11790380787408919</v>
      </c>
      <c r="G1583" s="9">
        <f t="shared" si="74"/>
        <v>1.5144930926612111E-2</v>
      </c>
    </row>
    <row r="1584" spans="1:7" x14ac:dyDescent="0.2">
      <c r="A1584" s="12">
        <v>39435</v>
      </c>
      <c r="B1584" s="9">
        <v>2955.3</v>
      </c>
      <c r="C1584" s="9">
        <v>2914.12</v>
      </c>
      <c r="D1584" s="9">
        <v>2929.54</v>
      </c>
      <c r="E1584" s="9">
        <f t="shared" si="72"/>
        <v>-4.8694374469553285E-3</v>
      </c>
      <c r="F1584" s="9">
        <f t="shared" si="73"/>
        <v>-0.13406716938565216</v>
      </c>
      <c r="G1584" s="9">
        <f t="shared" si="74"/>
        <v>1.4869664967115998E-2</v>
      </c>
    </row>
    <row r="1585" spans="1:7" x14ac:dyDescent="0.2">
      <c r="A1585" s="12">
        <v>39436</v>
      </c>
      <c r="B1585" s="9">
        <v>2949.81</v>
      </c>
      <c r="C1585" s="9">
        <v>2928.99</v>
      </c>
      <c r="D1585" s="9">
        <v>2931.83</v>
      </c>
      <c r="E1585" s="9">
        <f t="shared" si="72"/>
        <v>7.8138732634736128E-4</v>
      </c>
      <c r="F1585" s="9">
        <f t="shared" si="73"/>
        <v>-0.12848599308381226</v>
      </c>
      <c r="G1585" s="9">
        <f t="shared" si="74"/>
        <v>1.490026489660788E-2</v>
      </c>
    </row>
    <row r="1586" spans="1:7" x14ac:dyDescent="0.2">
      <c r="A1586" s="12">
        <v>39437</v>
      </c>
      <c r="B1586" s="9">
        <v>2997.87</v>
      </c>
      <c r="C1586" s="9">
        <v>2931.94</v>
      </c>
      <c r="D1586" s="9">
        <v>2995.42</v>
      </c>
      <c r="E1586" s="9">
        <f t="shared" si="72"/>
        <v>2.1457654015416463E-2</v>
      </c>
      <c r="F1586" s="9">
        <f t="shared" si="73"/>
        <v>-9.4416902672057171E-2</v>
      </c>
      <c r="G1586" s="9">
        <f t="shared" si="74"/>
        <v>1.5528658871233302E-2</v>
      </c>
    </row>
    <row r="1587" spans="1:7" x14ac:dyDescent="0.2">
      <c r="A1587" s="12">
        <v>39443</v>
      </c>
      <c r="B1587" s="9">
        <v>3021.72</v>
      </c>
      <c r="C1587" s="9">
        <v>2991.31</v>
      </c>
      <c r="D1587" s="9">
        <v>2997.62</v>
      </c>
      <c r="E1587" s="9">
        <f t="shared" si="72"/>
        <v>7.3418502089820314E-4</v>
      </c>
      <c r="F1587" s="9">
        <f t="shared" si="73"/>
        <v>-7.0950730607980517E-2</v>
      </c>
      <c r="G1587" s="9">
        <f t="shared" si="74"/>
        <v>1.5093028132176124E-2</v>
      </c>
    </row>
    <row r="1588" spans="1:7" x14ac:dyDescent="0.2">
      <c r="A1588" s="12">
        <v>39444</v>
      </c>
      <c r="B1588" s="9">
        <v>3015.19</v>
      </c>
      <c r="C1588" s="9">
        <v>2975.75</v>
      </c>
      <c r="D1588" s="9">
        <v>3010.11</v>
      </c>
      <c r="E1588" s="9">
        <f t="shared" si="72"/>
        <v>4.157982464183081E-3</v>
      </c>
      <c r="F1588" s="9">
        <f t="shared" si="73"/>
        <v>-5.8285644036263393E-2</v>
      </c>
      <c r="G1588" s="9">
        <f t="shared" si="74"/>
        <v>1.5092431430531216E-2</v>
      </c>
    </row>
    <row r="1589" spans="1:7" x14ac:dyDescent="0.2">
      <c r="A1589" s="12">
        <v>39449</v>
      </c>
      <c r="B1589" s="9">
        <v>3044.87</v>
      </c>
      <c r="C1589" s="9">
        <v>2995.24</v>
      </c>
      <c r="D1589" s="9">
        <v>2999.33</v>
      </c>
      <c r="E1589" s="9">
        <f t="shared" si="72"/>
        <v>-3.5876925513622414E-3</v>
      </c>
      <c r="F1589" s="9">
        <f t="shared" si="73"/>
        <v>-5.6433544912756164E-2</v>
      </c>
      <c r="G1589" s="9">
        <f t="shared" si="74"/>
        <v>1.5081417761748558E-2</v>
      </c>
    </row>
    <row r="1590" spans="1:7" x14ac:dyDescent="0.2">
      <c r="A1590" s="12">
        <v>39450</v>
      </c>
      <c r="B1590" s="9">
        <v>3018.92</v>
      </c>
      <c r="C1590" s="9">
        <v>2976.81</v>
      </c>
      <c r="D1590" s="9">
        <v>3000</v>
      </c>
      <c r="E1590" s="9">
        <f t="shared" si="72"/>
        <v>2.2335827593590211E-4</v>
      </c>
      <c r="F1590" s="9">
        <f t="shared" si="73"/>
        <v>-6.0994749389204378E-2</v>
      </c>
      <c r="G1590" s="9">
        <f t="shared" si="74"/>
        <v>1.5034821332180795E-2</v>
      </c>
    </row>
    <row r="1591" spans="1:7" x14ac:dyDescent="0.2">
      <c r="A1591" s="12">
        <v>39451</v>
      </c>
      <c r="B1591" s="9">
        <v>3024.47</v>
      </c>
      <c r="C1591" s="9">
        <v>2931.98</v>
      </c>
      <c r="D1591" s="9">
        <v>2935.39</v>
      </c>
      <c r="E1591" s="9">
        <f t="shared" si="72"/>
        <v>-2.1771965169691859E-2</v>
      </c>
      <c r="F1591" s="9">
        <f t="shared" si="73"/>
        <v>-6.7229598494471049E-2</v>
      </c>
      <c r="G1591" s="9">
        <f t="shared" si="74"/>
        <v>1.5269190938177371E-2</v>
      </c>
    </row>
    <row r="1592" spans="1:7" x14ac:dyDescent="0.2">
      <c r="A1592" s="12">
        <v>39454</v>
      </c>
      <c r="B1592" s="9">
        <v>2949.73</v>
      </c>
      <c r="C1592" s="9">
        <v>2852.2</v>
      </c>
      <c r="D1592" s="9">
        <v>2870.55</v>
      </c>
      <c r="E1592" s="9">
        <f t="shared" si="72"/>
        <v>-2.2336674456371226E-2</v>
      </c>
      <c r="F1592" s="9">
        <f t="shared" si="73"/>
        <v>-7.9012355633943404E-2</v>
      </c>
      <c r="G1592" s="9">
        <f t="shared" si="74"/>
        <v>1.5637489920454418E-2</v>
      </c>
    </row>
    <row r="1593" spans="1:7" x14ac:dyDescent="0.2">
      <c r="A1593" s="12">
        <v>39455</v>
      </c>
      <c r="B1593" s="9">
        <v>2914.44</v>
      </c>
      <c r="C1593" s="9">
        <v>2859.41</v>
      </c>
      <c r="D1593" s="9">
        <v>2886.55</v>
      </c>
      <c r="E1593" s="9">
        <f t="shared" si="72"/>
        <v>5.5583683430628092E-3</v>
      </c>
      <c r="F1593" s="9">
        <f t="shared" si="73"/>
        <v>-4.8955943996880996E-2</v>
      </c>
      <c r="G1593" s="9">
        <f t="shared" si="74"/>
        <v>1.514339722104116E-2</v>
      </c>
    </row>
    <row r="1594" spans="1:7" x14ac:dyDescent="0.2">
      <c r="A1594" s="12">
        <v>39456</v>
      </c>
      <c r="B1594" s="9">
        <v>2886.27</v>
      </c>
      <c r="C1594" s="9">
        <v>2812.06</v>
      </c>
      <c r="D1594" s="9">
        <v>2841.1</v>
      </c>
      <c r="E1594" s="9">
        <f t="shared" si="72"/>
        <v>-1.5870716258888553E-2</v>
      </c>
      <c r="F1594" s="9">
        <f t="shared" si="73"/>
        <v>-8.1789691001578846E-2</v>
      </c>
      <c r="G1594" s="9">
        <f t="shared" si="74"/>
        <v>1.4938253935038174E-2</v>
      </c>
    </row>
    <row r="1595" spans="1:7" x14ac:dyDescent="0.2">
      <c r="A1595" s="12">
        <v>39457</v>
      </c>
      <c r="B1595" s="9">
        <v>2880.94</v>
      </c>
      <c r="C1595" s="9">
        <v>2778.79</v>
      </c>
      <c r="D1595" s="9">
        <v>2782.26</v>
      </c>
      <c r="E1595" s="9">
        <f t="shared" si="72"/>
        <v>-2.0927754047966117E-2</v>
      </c>
      <c r="F1595" s="9">
        <f t="shared" si="73"/>
        <v>-7.0463494846527572E-2</v>
      </c>
      <c r="G1595" s="9">
        <f t="shared" si="74"/>
        <v>1.4295558415921649E-2</v>
      </c>
    </row>
    <row r="1596" spans="1:7" x14ac:dyDescent="0.2">
      <c r="A1596" s="12">
        <v>39458</v>
      </c>
      <c r="B1596" s="9">
        <v>2800.8</v>
      </c>
      <c r="C1596" s="9">
        <v>2761.68</v>
      </c>
      <c r="D1596" s="9">
        <v>2777.68</v>
      </c>
      <c r="E1596" s="9">
        <f t="shared" si="72"/>
        <v>-1.6475001658081976E-3</v>
      </c>
      <c r="F1596" s="9">
        <f t="shared" si="73"/>
        <v>-6.9508276789759321E-2</v>
      </c>
      <c r="G1596" s="9">
        <f t="shared" si="74"/>
        <v>1.4296037095419685E-2</v>
      </c>
    </row>
    <row r="1597" spans="1:7" x14ac:dyDescent="0.2">
      <c r="A1597" s="12">
        <v>39461</v>
      </c>
      <c r="B1597" s="9">
        <v>2819.97</v>
      </c>
      <c r="C1597" s="9">
        <v>2756.78</v>
      </c>
      <c r="D1597" s="9">
        <v>2812.99</v>
      </c>
      <c r="E1597" s="9">
        <f t="shared" si="72"/>
        <v>1.2631927665385066E-2</v>
      </c>
      <c r="F1597" s="9">
        <f t="shared" si="73"/>
        <v>-6.6282473246181778E-2</v>
      </c>
      <c r="G1597" s="9">
        <f t="shared" si="74"/>
        <v>1.4399012407080589E-2</v>
      </c>
    </row>
    <row r="1598" spans="1:7" x14ac:dyDescent="0.2">
      <c r="A1598" s="12">
        <v>39462</v>
      </c>
      <c r="B1598" s="9">
        <v>2825.47</v>
      </c>
      <c r="C1598" s="9">
        <v>2714.16</v>
      </c>
      <c r="D1598" s="9">
        <v>2729.26</v>
      </c>
      <c r="E1598" s="9">
        <f t="shared" si="72"/>
        <v>-3.0217464396043177E-2</v>
      </c>
      <c r="F1598" s="9">
        <f t="shared" si="73"/>
        <v>-0.10396098918570792</v>
      </c>
      <c r="G1598" s="9">
        <f t="shared" si="74"/>
        <v>1.5150083290968853E-2</v>
      </c>
    </row>
    <row r="1599" spans="1:7" x14ac:dyDescent="0.2">
      <c r="A1599" s="12">
        <v>39463</v>
      </c>
      <c r="B1599" s="9">
        <v>2727.41</v>
      </c>
      <c r="C1599" s="9">
        <v>2640.27</v>
      </c>
      <c r="D1599" s="9">
        <v>2678.99</v>
      </c>
      <c r="E1599" s="9">
        <f t="shared" si="72"/>
        <v>-1.8590652362379365E-2</v>
      </c>
      <c r="F1599" s="9">
        <f t="shared" si="73"/>
        <v>-0.1071442981103584</v>
      </c>
      <c r="G1599" s="9">
        <f t="shared" si="74"/>
        <v>1.5247443388398259E-2</v>
      </c>
    </row>
    <row r="1600" spans="1:7" x14ac:dyDescent="0.2">
      <c r="A1600" s="12">
        <v>39464</v>
      </c>
      <c r="B1600" s="9">
        <v>2729.56</v>
      </c>
      <c r="C1600" s="9">
        <v>2675.35</v>
      </c>
      <c r="D1600" s="9">
        <v>2675.49</v>
      </c>
      <c r="E1600" s="9">
        <f t="shared" si="72"/>
        <v>-1.3073166763087484E-3</v>
      </c>
      <c r="F1600" s="9">
        <f t="shared" si="73"/>
        <v>-0.13614991093529971</v>
      </c>
      <c r="G1600" s="9">
        <f t="shared" si="74"/>
        <v>1.4070432330367895E-2</v>
      </c>
    </row>
    <row r="1601" spans="1:7" x14ac:dyDescent="0.2">
      <c r="A1601" s="12">
        <v>39465</v>
      </c>
      <c r="B1601" s="9">
        <v>2718.55</v>
      </c>
      <c r="C1601" s="9">
        <v>2627.2</v>
      </c>
      <c r="D1601" s="9">
        <v>2635.67</v>
      </c>
      <c r="E1601" s="9">
        <f t="shared" si="72"/>
        <v>-1.4995122021057385E-2</v>
      </c>
      <c r="F1601" s="9">
        <f t="shared" si="73"/>
        <v>-0.15802021342831188</v>
      </c>
      <c r="G1601" s="9">
        <f t="shared" si="74"/>
        <v>1.4025183635206766E-2</v>
      </c>
    </row>
    <row r="1602" spans="1:7" x14ac:dyDescent="0.2">
      <c r="A1602" s="12">
        <v>39468</v>
      </c>
      <c r="B1602" s="9">
        <v>2635.41</v>
      </c>
      <c r="C1602" s="9">
        <v>2498.87</v>
      </c>
      <c r="D1602" s="9">
        <v>2498.92</v>
      </c>
      <c r="E1602" s="9">
        <f t="shared" si="72"/>
        <v>-5.3278780586770685E-2</v>
      </c>
      <c r="F1602" s="9">
        <f t="shared" si="73"/>
        <v>-0.22239735073738878</v>
      </c>
      <c r="G1602" s="9">
        <f t="shared" si="74"/>
        <v>1.6192359469836711E-2</v>
      </c>
    </row>
    <row r="1603" spans="1:7" x14ac:dyDescent="0.2">
      <c r="A1603" s="12">
        <v>39469</v>
      </c>
      <c r="B1603" s="9">
        <v>2578.59</v>
      </c>
      <c r="C1603" s="9">
        <v>2332.4299999999998</v>
      </c>
      <c r="D1603" s="9">
        <v>2561.65</v>
      </c>
      <c r="E1603" s="9">
        <f t="shared" si="72"/>
        <v>2.4792943585139931E-2</v>
      </c>
      <c r="F1603" s="9">
        <f t="shared" si="73"/>
        <v>-0.18974034188372299</v>
      </c>
      <c r="G1603" s="9">
        <f t="shared" si="74"/>
        <v>1.7225751228076149E-2</v>
      </c>
    </row>
    <row r="1604" spans="1:7" x14ac:dyDescent="0.2">
      <c r="A1604" s="12">
        <v>39470</v>
      </c>
      <c r="B1604" s="9">
        <v>2628.95</v>
      </c>
      <c r="C1604" s="9">
        <v>2470.9899999999998</v>
      </c>
      <c r="D1604" s="9">
        <v>2503.4299999999998</v>
      </c>
      <c r="E1604" s="9">
        <f t="shared" ref="E1604:E1667" si="75">LN(D1604/D1603)</f>
        <v>-2.2989790578265293E-2</v>
      </c>
      <c r="F1604" s="9">
        <f t="shared" si="73"/>
        <v>-0.1889054391744277</v>
      </c>
      <c r="G1604" s="9">
        <f t="shared" si="74"/>
        <v>1.7197153796830979E-2</v>
      </c>
    </row>
    <row r="1605" spans="1:7" x14ac:dyDescent="0.2">
      <c r="A1605" s="12">
        <v>39471</v>
      </c>
      <c r="B1605" s="9">
        <v>2689.82</v>
      </c>
      <c r="C1605" s="9">
        <v>2503.89</v>
      </c>
      <c r="D1605" s="9">
        <v>2682.71</v>
      </c>
      <c r="E1605" s="9">
        <f t="shared" si="75"/>
        <v>6.9165686098178011E-2</v>
      </c>
      <c r="F1605" s="9">
        <f t="shared" si="73"/>
        <v>-0.1355859694803927</v>
      </c>
      <c r="G1605" s="9">
        <f t="shared" si="74"/>
        <v>2.1724000776782829E-2</v>
      </c>
    </row>
    <row r="1606" spans="1:7" x14ac:dyDescent="0.2">
      <c r="A1606" s="12">
        <v>39472</v>
      </c>
      <c r="B1606" s="9">
        <v>2772.14</v>
      </c>
      <c r="C1606" s="9">
        <v>2683.47</v>
      </c>
      <c r="D1606" s="9">
        <v>2729.17</v>
      </c>
      <c r="E1606" s="9">
        <f t="shared" si="75"/>
        <v>1.717005602623561E-2</v>
      </c>
      <c r="F1606" s="9">
        <f t="shared" si="73"/>
        <v>-0.13613090853767743</v>
      </c>
      <c r="G1606" s="9">
        <f t="shared" si="74"/>
        <v>2.1704987681919929E-2</v>
      </c>
    </row>
    <row r="1607" spans="1:7" x14ac:dyDescent="0.2">
      <c r="A1607" s="12">
        <v>39475</v>
      </c>
      <c r="B1607" s="9">
        <v>2729.54</v>
      </c>
      <c r="C1607" s="9">
        <v>2642.53</v>
      </c>
      <c r="D1607" s="9">
        <v>2682.33</v>
      </c>
      <c r="E1607" s="9">
        <f t="shared" si="75"/>
        <v>-1.731171387058918E-2</v>
      </c>
      <c r="F1607" s="9">
        <f t="shared" si="73"/>
        <v>-0.15470175447667653</v>
      </c>
      <c r="G1607" s="9">
        <f t="shared" si="74"/>
        <v>2.1798580009251486E-2</v>
      </c>
    </row>
    <row r="1608" spans="1:7" x14ac:dyDescent="0.2">
      <c r="A1608" s="12">
        <v>39476</v>
      </c>
      <c r="B1608" s="9">
        <v>2736.46</v>
      </c>
      <c r="C1608" s="9">
        <v>2682.72</v>
      </c>
      <c r="D1608" s="9">
        <v>2732.52</v>
      </c>
      <c r="E1608" s="9">
        <f t="shared" si="75"/>
        <v>1.8538440550465191E-2</v>
      </c>
      <c r="F1608" s="9">
        <f t="shared" si="73"/>
        <v>-0.13534218170814677</v>
      </c>
      <c r="G1608" s="9">
        <f t="shared" si="74"/>
        <v>2.2213955718869822E-2</v>
      </c>
    </row>
    <row r="1609" spans="1:7" x14ac:dyDescent="0.2">
      <c r="A1609" s="12">
        <v>39477</v>
      </c>
      <c r="B1609" s="9">
        <v>2758.13</v>
      </c>
      <c r="C1609" s="9">
        <v>2714.93</v>
      </c>
      <c r="D1609" s="9">
        <v>2716.78</v>
      </c>
      <c r="E1609" s="9">
        <f t="shared" si="75"/>
        <v>-5.7769048405267205E-3</v>
      </c>
      <c r="F1609" s="9">
        <f t="shared" si="73"/>
        <v>-0.13756479669007615</v>
      </c>
      <c r="G1609" s="9">
        <f t="shared" si="74"/>
        <v>2.2214359894560162E-2</v>
      </c>
    </row>
    <row r="1610" spans="1:7" x14ac:dyDescent="0.2">
      <c r="A1610" s="12">
        <v>39478</v>
      </c>
      <c r="B1610" s="9">
        <v>2735.76</v>
      </c>
      <c r="C1610" s="9">
        <v>2641.27</v>
      </c>
      <c r="D1610" s="9">
        <v>2703.13</v>
      </c>
      <c r="E1610" s="9">
        <f t="shared" si="75"/>
        <v>-5.0369946585308804E-3</v>
      </c>
      <c r="F1610" s="9">
        <f t="shared" si="73"/>
        <v>-0.11622601454582676</v>
      </c>
      <c r="G1610" s="9">
        <f t="shared" si="74"/>
        <v>2.1830905848254645E-2</v>
      </c>
    </row>
    <row r="1611" spans="1:7" x14ac:dyDescent="0.2">
      <c r="A1611" s="12">
        <v>39479</v>
      </c>
      <c r="B1611" s="9">
        <v>2799.66</v>
      </c>
      <c r="C1611" s="9">
        <v>2696.53</v>
      </c>
      <c r="D1611" s="9">
        <v>2777.95</v>
      </c>
      <c r="E1611" s="9">
        <f t="shared" si="75"/>
        <v>2.7302884762681733E-2</v>
      </c>
      <c r="F1611" s="9">
        <f t="shared" si="73"/>
        <v>-8.7997229724082304E-2</v>
      </c>
      <c r="G1611" s="9">
        <f t="shared" si="74"/>
        <v>2.2558598850284335E-2</v>
      </c>
    </row>
    <row r="1612" spans="1:7" x14ac:dyDescent="0.2">
      <c r="A1612" s="12">
        <v>39482</v>
      </c>
      <c r="B1612" s="9">
        <v>2831.16</v>
      </c>
      <c r="C1612" s="9">
        <v>2778.01</v>
      </c>
      <c r="D1612" s="9">
        <v>2815.26</v>
      </c>
      <c r="E1612" s="9">
        <f t="shared" si="75"/>
        <v>1.3341374061036988E-2</v>
      </c>
      <c r="F1612" s="9">
        <f t="shared" si="73"/>
        <v>-4.962776346351401E-2</v>
      </c>
      <c r="G1612" s="9">
        <f t="shared" si="74"/>
        <v>2.234944098737697E-2</v>
      </c>
    </row>
    <row r="1613" spans="1:7" x14ac:dyDescent="0.2">
      <c r="A1613" s="12">
        <v>39483</v>
      </c>
      <c r="B1613" s="9">
        <v>2818.06</v>
      </c>
      <c r="C1613" s="9">
        <v>2685.08</v>
      </c>
      <c r="D1613" s="9">
        <v>2685.2</v>
      </c>
      <c r="E1613" s="9">
        <f t="shared" si="75"/>
        <v>-4.7299406588638286E-2</v>
      </c>
      <c r="F1613" s="9">
        <f t="shared" si="73"/>
        <v>-9.1959638481186892E-2</v>
      </c>
      <c r="G1613" s="9">
        <f t="shared" si="74"/>
        <v>2.3851694569516729E-2</v>
      </c>
    </row>
    <row r="1614" spans="1:7" x14ac:dyDescent="0.2">
      <c r="A1614" s="12">
        <v>39484</v>
      </c>
      <c r="B1614" s="9">
        <v>2720.34</v>
      </c>
      <c r="C1614" s="9">
        <v>2645.6</v>
      </c>
      <c r="D1614" s="9">
        <v>2716.87</v>
      </c>
      <c r="E1614" s="9">
        <f t="shared" si="75"/>
        <v>1.1725269327100296E-2</v>
      </c>
      <c r="F1614" s="9">
        <f t="shared" si="73"/>
        <v>-7.5364931707131447E-2</v>
      </c>
      <c r="G1614" s="9">
        <f t="shared" si="74"/>
        <v>2.4000376390949495E-2</v>
      </c>
    </row>
    <row r="1615" spans="1:7" x14ac:dyDescent="0.2">
      <c r="A1615" s="12">
        <v>39485</v>
      </c>
      <c r="B1615" s="9">
        <v>2716.6</v>
      </c>
      <c r="C1615" s="9">
        <v>2622.77</v>
      </c>
      <c r="D1615" s="9">
        <v>2661.39</v>
      </c>
      <c r="E1615" s="9">
        <f t="shared" si="75"/>
        <v>-2.0631939710019954E-2</v>
      </c>
      <c r="F1615" s="9">
        <f t="shared" si="73"/>
        <v>-9.677825874349881E-2</v>
      </c>
      <c r="G1615" s="9">
        <f t="shared" si="74"/>
        <v>2.4216493640198521E-2</v>
      </c>
    </row>
    <row r="1616" spans="1:7" x14ac:dyDescent="0.2">
      <c r="A1616" s="12">
        <v>39486</v>
      </c>
      <c r="B1616" s="9">
        <v>2701.6</v>
      </c>
      <c r="C1616" s="9">
        <v>2624.11</v>
      </c>
      <c r="D1616" s="9">
        <v>2653.94</v>
      </c>
      <c r="E1616" s="9">
        <f t="shared" si="75"/>
        <v>-2.8032144301537126E-3</v>
      </c>
      <c r="F1616" s="9">
        <f t="shared" si="73"/>
        <v>-0.12103912718906888</v>
      </c>
      <c r="G1616" s="9">
        <f t="shared" si="74"/>
        <v>2.3764648834801342E-2</v>
      </c>
    </row>
    <row r="1617" spans="1:7" x14ac:dyDescent="0.2">
      <c r="A1617" s="12">
        <v>39489</v>
      </c>
      <c r="B1617" s="9">
        <v>2673.75</v>
      </c>
      <c r="C1617" s="9">
        <v>2630.56</v>
      </c>
      <c r="D1617" s="9">
        <v>2643.95</v>
      </c>
      <c r="E1617" s="9">
        <f t="shared" si="75"/>
        <v>-3.7713172000574582E-3</v>
      </c>
      <c r="F1617" s="9">
        <f t="shared" si="73"/>
        <v>-0.12554462941002448</v>
      </c>
      <c r="G1617" s="9">
        <f t="shared" si="74"/>
        <v>2.3747702981488473E-2</v>
      </c>
    </row>
    <row r="1618" spans="1:7" x14ac:dyDescent="0.2">
      <c r="A1618" s="12">
        <v>39490</v>
      </c>
      <c r="B1618" s="9">
        <v>2750.69</v>
      </c>
      <c r="C1618" s="9">
        <v>2644.3</v>
      </c>
      <c r="D1618" s="9">
        <v>2748.16</v>
      </c>
      <c r="E1618" s="9">
        <f t="shared" si="75"/>
        <v>3.8657585758841255E-2</v>
      </c>
      <c r="F1618" s="9">
        <f t="shared" si="73"/>
        <v>-9.1045026115366245E-2</v>
      </c>
      <c r="G1618" s="9">
        <f t="shared" si="74"/>
        <v>2.4969528925666395E-2</v>
      </c>
    </row>
    <row r="1619" spans="1:7" x14ac:dyDescent="0.2">
      <c r="A1619" s="12">
        <v>39491</v>
      </c>
      <c r="B1619" s="9">
        <v>2764.08</v>
      </c>
      <c r="C1619" s="9">
        <v>2713.09</v>
      </c>
      <c r="D1619" s="9">
        <v>2757.15</v>
      </c>
      <c r="E1619" s="9">
        <f t="shared" si="75"/>
        <v>3.265940697576253E-3</v>
      </c>
      <c r="F1619" s="9">
        <f t="shared" si="73"/>
        <v>-8.4191392866427711E-2</v>
      </c>
      <c r="G1619" s="9">
        <f t="shared" si="74"/>
        <v>2.4995635644820467E-2</v>
      </c>
    </row>
    <row r="1620" spans="1:7" x14ac:dyDescent="0.2">
      <c r="A1620" s="12">
        <v>39492</v>
      </c>
      <c r="B1620" s="9">
        <v>2807.9</v>
      </c>
      <c r="C1620" s="9">
        <v>2757.53</v>
      </c>
      <c r="D1620" s="9">
        <v>2771.54</v>
      </c>
      <c r="E1620" s="9">
        <f t="shared" si="75"/>
        <v>5.2055848655432882E-3</v>
      </c>
      <c r="F1620" s="9">
        <f t="shared" si="73"/>
        <v>-7.9209166276820508E-2</v>
      </c>
      <c r="G1620" s="9">
        <f t="shared" si="74"/>
        <v>2.503298312681421E-2</v>
      </c>
    </row>
    <row r="1621" spans="1:7" x14ac:dyDescent="0.2">
      <c r="A1621" s="12">
        <v>39493</v>
      </c>
      <c r="B1621" s="9">
        <v>2786.76</v>
      </c>
      <c r="C1621" s="9">
        <v>2723.12</v>
      </c>
      <c r="D1621" s="9">
        <v>2736.98</v>
      </c>
      <c r="E1621" s="9">
        <f t="shared" si="75"/>
        <v>-1.2547999630179728E-2</v>
      </c>
      <c r="F1621" s="9">
        <f t="shared" si="73"/>
        <v>-6.9985200737308517E-2</v>
      </c>
      <c r="G1621" s="9">
        <f t="shared" si="74"/>
        <v>2.4845844052183021E-2</v>
      </c>
    </row>
    <row r="1622" spans="1:7" x14ac:dyDescent="0.2">
      <c r="A1622" s="12">
        <v>39496</v>
      </c>
      <c r="B1622" s="9">
        <v>2801.94</v>
      </c>
      <c r="C1622" s="9">
        <v>2737.12</v>
      </c>
      <c r="D1622" s="9">
        <v>2799.36</v>
      </c>
      <c r="E1622" s="9">
        <f t="shared" si="75"/>
        <v>2.2535696865047201E-2</v>
      </c>
      <c r="F1622" s="9">
        <f t="shared" si="73"/>
        <v>-2.511282941589011E-2</v>
      </c>
      <c r="G1622" s="9">
        <f t="shared" si="74"/>
        <v>2.49505276783526E-2</v>
      </c>
    </row>
    <row r="1623" spans="1:7" x14ac:dyDescent="0.2">
      <c r="A1623" s="12">
        <v>39497</v>
      </c>
      <c r="B1623" s="9">
        <v>2828.8</v>
      </c>
      <c r="C1623" s="9">
        <v>2765.23</v>
      </c>
      <c r="D1623" s="9">
        <v>2812.68</v>
      </c>
      <c r="E1623" s="9">
        <f t="shared" si="75"/>
        <v>4.7469458564691758E-3</v>
      </c>
      <c r="F1623" s="9">
        <f t="shared" si="73"/>
        <v>-2.5924251902483736E-2</v>
      </c>
      <c r="G1623" s="9">
        <f t="shared" si="74"/>
        <v>2.4943794561432104E-2</v>
      </c>
    </row>
    <row r="1624" spans="1:7" x14ac:dyDescent="0.2">
      <c r="A1624" s="12">
        <v>39498</v>
      </c>
      <c r="B1624" s="9">
        <v>2812.59</v>
      </c>
      <c r="C1624" s="9">
        <v>2779.57</v>
      </c>
      <c r="D1624" s="9">
        <v>2794.21</v>
      </c>
      <c r="E1624" s="9">
        <f t="shared" si="75"/>
        <v>-6.5883464128936005E-3</v>
      </c>
      <c r="F1624" s="9">
        <f t="shared" si="73"/>
        <v>-1.6641882056488835E-2</v>
      </c>
      <c r="G1624" s="9">
        <f t="shared" si="74"/>
        <v>2.4808432164294611E-2</v>
      </c>
    </row>
    <row r="1625" spans="1:7" x14ac:dyDescent="0.2">
      <c r="A1625" s="12">
        <v>39499</v>
      </c>
      <c r="B1625" s="9">
        <v>2846.13</v>
      </c>
      <c r="C1625" s="9">
        <v>2794.25</v>
      </c>
      <c r="D1625" s="9">
        <v>2808.75</v>
      </c>
      <c r="E1625" s="9">
        <f t="shared" si="75"/>
        <v>5.1901254476695528E-3</v>
      </c>
      <c r="F1625" s="9">
        <f t="shared" si="73"/>
        <v>9.475997439146927E-3</v>
      </c>
      <c r="G1625" s="9">
        <f t="shared" si="74"/>
        <v>2.4525494117906162E-2</v>
      </c>
    </row>
    <row r="1626" spans="1:7" x14ac:dyDescent="0.2">
      <c r="A1626" s="12">
        <v>39500</v>
      </c>
      <c r="B1626" s="9">
        <v>2811.53</v>
      </c>
      <c r="C1626" s="9">
        <v>2752.75</v>
      </c>
      <c r="D1626" s="9">
        <v>2757.21</v>
      </c>
      <c r="E1626" s="9">
        <f t="shared" si="75"/>
        <v>-1.8520245626782349E-2</v>
      </c>
      <c r="F1626" s="9">
        <f t="shared" si="73"/>
        <v>-7.39674802182723E-3</v>
      </c>
      <c r="G1626" s="9">
        <f t="shared" si="74"/>
        <v>2.4764372805410294E-2</v>
      </c>
    </row>
    <row r="1627" spans="1:7" x14ac:dyDescent="0.2">
      <c r="A1627" s="12">
        <v>39503</v>
      </c>
      <c r="B1627" s="9">
        <v>2812.41</v>
      </c>
      <c r="C1627" s="9">
        <v>2757.25</v>
      </c>
      <c r="D1627" s="9">
        <v>2811.56</v>
      </c>
      <c r="E1627" s="9">
        <f t="shared" si="75"/>
        <v>1.9520190553001956E-2</v>
      </c>
      <c r="F1627" s="9">
        <f t="shared" si="73"/>
        <v>-5.0848513421027758E-4</v>
      </c>
      <c r="G1627" s="9">
        <f t="shared" si="74"/>
        <v>2.4919344380595336E-2</v>
      </c>
    </row>
    <row r="1628" spans="1:7" x14ac:dyDescent="0.2">
      <c r="A1628" s="12">
        <v>39504</v>
      </c>
      <c r="B1628" s="9">
        <v>2853.52</v>
      </c>
      <c r="C1628" s="9">
        <v>2807.36</v>
      </c>
      <c r="D1628" s="9">
        <v>2848.86</v>
      </c>
      <c r="E1628" s="9">
        <f t="shared" si="75"/>
        <v>1.3179424815597975E-2</v>
      </c>
      <c r="F1628" s="9">
        <f t="shared" si="73"/>
        <v>4.288840407743081E-2</v>
      </c>
      <c r="G1628" s="9">
        <f t="shared" si="74"/>
        <v>2.4359049064711633E-2</v>
      </c>
    </row>
    <row r="1629" spans="1:7" x14ac:dyDescent="0.2">
      <c r="A1629" s="12">
        <v>39505</v>
      </c>
      <c r="B1629" s="9">
        <v>2861.36</v>
      </c>
      <c r="C1629" s="9">
        <v>2805.03</v>
      </c>
      <c r="D1629" s="9">
        <v>2854.95</v>
      </c>
      <c r="E1629" s="9">
        <f t="shared" si="75"/>
        <v>2.1354155605461289E-3</v>
      </c>
      <c r="F1629" s="9">
        <f t="shared" si="73"/>
        <v>6.3614472000356137E-2</v>
      </c>
      <c r="G1629" s="9">
        <f t="shared" si="74"/>
        <v>2.4063782333058718E-2</v>
      </c>
    </row>
    <row r="1630" spans="1:7" x14ac:dyDescent="0.2">
      <c r="A1630" s="12">
        <v>39506</v>
      </c>
      <c r="B1630" s="9">
        <v>2863.21</v>
      </c>
      <c r="C1630" s="9">
        <v>2820.21</v>
      </c>
      <c r="D1630" s="9">
        <v>2822.89</v>
      </c>
      <c r="E1630" s="9">
        <f t="shared" si="75"/>
        <v>-1.1293146946984302E-2</v>
      </c>
      <c r="F1630" s="9">
        <f t="shared" si="73"/>
        <v>5.3628641729680591E-2</v>
      </c>
      <c r="G1630" s="9">
        <f t="shared" si="74"/>
        <v>2.4181607956306868E-2</v>
      </c>
    </row>
    <row r="1631" spans="1:7" x14ac:dyDescent="0.2">
      <c r="A1631" s="12">
        <v>39507</v>
      </c>
      <c r="B1631" s="9">
        <v>2825.82</v>
      </c>
      <c r="C1631" s="9">
        <v>2757.28</v>
      </c>
      <c r="D1631" s="9">
        <v>2771.16</v>
      </c>
      <c r="E1631" s="9">
        <f t="shared" si="75"/>
        <v>-1.8495177771114694E-2</v>
      </c>
      <c r="F1631" s="9">
        <f t="shared" si="73"/>
        <v>5.0128585979623393E-2</v>
      </c>
      <c r="G1631" s="9">
        <f t="shared" si="74"/>
        <v>2.4273639637508473E-2</v>
      </c>
    </row>
    <row r="1632" spans="1:7" x14ac:dyDescent="0.2">
      <c r="A1632" s="12">
        <v>39510</v>
      </c>
      <c r="B1632" s="9">
        <v>2765.64</v>
      </c>
      <c r="C1632" s="9">
        <v>2699.11</v>
      </c>
      <c r="D1632" s="9">
        <v>2722.92</v>
      </c>
      <c r="E1632" s="9">
        <f t="shared" si="75"/>
        <v>-1.7561171202624782E-2</v>
      </c>
      <c r="F1632" s="9">
        <f t="shared" si="73"/>
        <v>8.5846195363769334E-2</v>
      </c>
      <c r="G1632" s="9">
        <f t="shared" si="74"/>
        <v>2.2279536246402228E-2</v>
      </c>
    </row>
    <row r="1633" spans="1:7" x14ac:dyDescent="0.2">
      <c r="A1633" s="12">
        <v>39511</v>
      </c>
      <c r="B1633" s="9">
        <v>2733.45</v>
      </c>
      <c r="C1633" s="9">
        <v>2667.04</v>
      </c>
      <c r="D1633" s="9">
        <v>2676.6</v>
      </c>
      <c r="E1633" s="9">
        <f t="shared" si="75"/>
        <v>-1.7157501518904814E-2</v>
      </c>
      <c r="F1633" s="9">
        <f t="shared" ref="F1633:F1696" si="76">LN(D1633/D1603)</f>
        <v>4.3895750259724586E-2</v>
      </c>
      <c r="G1633" s="9">
        <f t="shared" ref="G1633:G1696" si="77">STDEV(E1604:E1633)</f>
        <v>2.2171796735784517E-2</v>
      </c>
    </row>
    <row r="1634" spans="1:7" x14ac:dyDescent="0.2">
      <c r="A1634" s="12">
        <v>39512</v>
      </c>
      <c r="B1634" s="9">
        <v>2741.76</v>
      </c>
      <c r="C1634" s="9">
        <v>2682.68</v>
      </c>
      <c r="D1634" s="9">
        <v>2733.07</v>
      </c>
      <c r="E1634" s="9">
        <f t="shared" si="75"/>
        <v>2.0878187117409366E-2</v>
      </c>
      <c r="F1634" s="9">
        <f t="shared" si="76"/>
        <v>8.7763727955399287E-2</v>
      </c>
      <c r="G1634" s="9">
        <f t="shared" si="77"/>
        <v>2.1948934152359375E-2</v>
      </c>
    </row>
    <row r="1635" spans="1:7" x14ac:dyDescent="0.2">
      <c r="A1635" s="12">
        <v>39513</v>
      </c>
      <c r="B1635" s="9">
        <v>2745.78</v>
      </c>
      <c r="C1635" s="9">
        <v>2695.55</v>
      </c>
      <c r="D1635" s="9">
        <v>2704.09</v>
      </c>
      <c r="E1635" s="9">
        <f t="shared" si="75"/>
        <v>-1.0660077847060785E-2</v>
      </c>
      <c r="F1635" s="9">
        <f t="shared" si="76"/>
        <v>7.9379640101604875E-3</v>
      </c>
      <c r="G1635" s="9">
        <f t="shared" si="77"/>
        <v>1.8151953839599978E-2</v>
      </c>
    </row>
    <row r="1636" spans="1:7" x14ac:dyDescent="0.2">
      <c r="A1636" s="12">
        <v>39514</v>
      </c>
      <c r="B1636" s="9">
        <v>2716.1</v>
      </c>
      <c r="C1636" s="9">
        <v>2655.89</v>
      </c>
      <c r="D1636" s="9">
        <v>2693.87</v>
      </c>
      <c r="E1636" s="9">
        <f t="shared" si="75"/>
        <v>-3.7866202089728001E-3</v>
      </c>
      <c r="F1636" s="9">
        <f t="shared" si="76"/>
        <v>-1.3018712225047907E-2</v>
      </c>
      <c r="G1636" s="9">
        <f t="shared" si="77"/>
        <v>1.7880144930952975E-2</v>
      </c>
    </row>
    <row r="1637" spans="1:7" x14ac:dyDescent="0.2">
      <c r="A1637" s="12">
        <v>39517</v>
      </c>
      <c r="B1637" s="9">
        <v>2693.93</v>
      </c>
      <c r="C1637" s="9">
        <v>2620.81</v>
      </c>
      <c r="D1637" s="9">
        <v>2640.86</v>
      </c>
      <c r="E1637" s="9">
        <f t="shared" si="75"/>
        <v>-1.9874199755009245E-2</v>
      </c>
      <c r="F1637" s="9">
        <f t="shared" si="76"/>
        <v>-1.5581198109467993E-2</v>
      </c>
      <c r="G1637" s="9">
        <f t="shared" si="77"/>
        <v>1.7969450496288713E-2</v>
      </c>
    </row>
    <row r="1638" spans="1:7" x14ac:dyDescent="0.2">
      <c r="A1638" s="12">
        <v>39518</v>
      </c>
      <c r="B1638" s="9">
        <v>2686.03</v>
      </c>
      <c r="C1638" s="9">
        <v>2606.13</v>
      </c>
      <c r="D1638" s="9">
        <v>2669.19</v>
      </c>
      <c r="E1638" s="9">
        <f t="shared" si="75"/>
        <v>1.0670433912911861E-2</v>
      </c>
      <c r="F1638" s="9">
        <f t="shared" si="76"/>
        <v>-2.3449204747021245E-2</v>
      </c>
      <c r="G1638" s="9">
        <f t="shared" si="77"/>
        <v>1.7737629377986865E-2</v>
      </c>
    </row>
    <row r="1639" spans="1:7" x14ac:dyDescent="0.2">
      <c r="A1639" s="12">
        <v>39519</v>
      </c>
      <c r="B1639" s="9">
        <v>2722.65</v>
      </c>
      <c r="C1639" s="9">
        <v>2675.83</v>
      </c>
      <c r="D1639" s="9">
        <v>2700.16</v>
      </c>
      <c r="E1639" s="9">
        <f t="shared" si="75"/>
        <v>1.1535974914366739E-2</v>
      </c>
      <c r="F1639" s="9">
        <f t="shared" si="76"/>
        <v>-6.136324992127868E-3</v>
      </c>
      <c r="G1639" s="9">
        <f t="shared" si="77"/>
        <v>1.7850781071379097E-2</v>
      </c>
    </row>
    <row r="1640" spans="1:7" x14ac:dyDescent="0.2">
      <c r="A1640" s="12">
        <v>39520</v>
      </c>
      <c r="B1640" s="9">
        <v>2694.53</v>
      </c>
      <c r="C1640" s="9">
        <v>2629.22</v>
      </c>
      <c r="D1640" s="9">
        <v>2666.35</v>
      </c>
      <c r="E1640" s="9">
        <f t="shared" si="75"/>
        <v>-1.2600534553395364E-2</v>
      </c>
      <c r="F1640" s="9">
        <f t="shared" si="76"/>
        <v>-1.3699864886992395E-2</v>
      </c>
      <c r="G1640" s="9">
        <f t="shared" si="77"/>
        <v>1.7974370888498428E-2</v>
      </c>
    </row>
    <row r="1641" spans="1:7" x14ac:dyDescent="0.2">
      <c r="A1641" s="12">
        <v>39521</v>
      </c>
      <c r="B1641" s="9">
        <v>2703.15</v>
      </c>
      <c r="C1641" s="9">
        <v>2633.5</v>
      </c>
      <c r="D1641" s="9">
        <v>2647.08</v>
      </c>
      <c r="E1641" s="9">
        <f t="shared" si="75"/>
        <v>-7.2533502782828815E-3</v>
      </c>
      <c r="F1641" s="9">
        <f t="shared" si="76"/>
        <v>-4.8256099927956875E-2</v>
      </c>
      <c r="G1641" s="9">
        <f t="shared" si="77"/>
        <v>1.7225742898847891E-2</v>
      </c>
    </row>
    <row r="1642" spans="1:7" x14ac:dyDescent="0.2">
      <c r="A1642" s="12">
        <v>39525</v>
      </c>
      <c r="B1642" s="9">
        <v>2621.23</v>
      </c>
      <c r="C1642" s="9">
        <v>2531.7600000000002</v>
      </c>
      <c r="D1642" s="9">
        <v>2607.46</v>
      </c>
      <c r="E1642" s="9">
        <f t="shared" si="75"/>
        <v>-1.5080578271311569E-2</v>
      </c>
      <c r="F1642" s="9">
        <f t="shared" si="76"/>
        <v>-7.6678052260305385E-2</v>
      </c>
      <c r="G1642" s="9">
        <f t="shared" si="77"/>
        <v>1.7156610765680765E-2</v>
      </c>
    </row>
    <row r="1643" spans="1:7" x14ac:dyDescent="0.2">
      <c r="A1643" s="12">
        <v>39526</v>
      </c>
      <c r="B1643" s="9">
        <v>2635.79</v>
      </c>
      <c r="C1643" s="9">
        <v>2539.41</v>
      </c>
      <c r="D1643" s="9">
        <v>2578.4899999999998</v>
      </c>
      <c r="E1643" s="9">
        <f t="shared" si="75"/>
        <v>-1.1172611133209585E-2</v>
      </c>
      <c r="F1643" s="9">
        <f t="shared" si="76"/>
        <v>-4.0551256804876736E-2</v>
      </c>
      <c r="G1643" s="9">
        <f t="shared" si="77"/>
        <v>1.5045784739296705E-2</v>
      </c>
    </row>
    <row r="1644" spans="1:7" x14ac:dyDescent="0.2">
      <c r="A1644" s="12">
        <v>39527</v>
      </c>
      <c r="B1644" s="9">
        <v>2578.33</v>
      </c>
      <c r="C1644" s="9">
        <v>2523.9299999999998</v>
      </c>
      <c r="D1644" s="9">
        <v>2557.29</v>
      </c>
      <c r="E1644" s="9">
        <f t="shared" si="75"/>
        <v>-8.2558522422169472E-3</v>
      </c>
      <c r="F1644" s="9">
        <f t="shared" si="76"/>
        <v>-6.0532378374193743E-2</v>
      </c>
      <c r="G1644" s="9">
        <f t="shared" si="77"/>
        <v>1.488837221546721E-2</v>
      </c>
    </row>
    <row r="1645" spans="1:7" x14ac:dyDescent="0.2">
      <c r="A1645" s="12">
        <v>39532</v>
      </c>
      <c r="B1645" s="9">
        <v>2669.18</v>
      </c>
      <c r="C1645" s="9">
        <v>2557.54</v>
      </c>
      <c r="D1645" s="9">
        <v>2669.04</v>
      </c>
      <c r="E1645" s="9">
        <f t="shared" si="75"/>
        <v>4.2770753161193498E-2</v>
      </c>
      <c r="F1645" s="9">
        <f t="shared" si="76"/>
        <v>2.8703144970194613E-3</v>
      </c>
      <c r="G1645" s="9">
        <f t="shared" si="77"/>
        <v>1.6561036446081326E-2</v>
      </c>
    </row>
    <row r="1646" spans="1:7" x14ac:dyDescent="0.2">
      <c r="A1646" s="12">
        <v>39533</v>
      </c>
      <c r="B1646" s="9">
        <v>2692.88</v>
      </c>
      <c r="C1646" s="9">
        <v>2652.52</v>
      </c>
      <c r="D1646" s="9">
        <v>2684.4</v>
      </c>
      <c r="E1646" s="9">
        <f t="shared" si="75"/>
        <v>5.7383821053881463E-3</v>
      </c>
      <c r="F1646" s="9">
        <f t="shared" si="76"/>
        <v>1.1411911032561379E-2</v>
      </c>
      <c r="G1646" s="9">
        <f t="shared" si="77"/>
        <v>1.6582889500436744E-2</v>
      </c>
    </row>
    <row r="1647" spans="1:7" x14ac:dyDescent="0.2">
      <c r="A1647" s="12">
        <v>39534</v>
      </c>
      <c r="B1647" s="9">
        <v>2712.52</v>
      </c>
      <c r="C1647" s="9">
        <v>2658.57</v>
      </c>
      <c r="D1647" s="9">
        <v>2690.8</v>
      </c>
      <c r="E1647" s="9">
        <f t="shared" si="75"/>
        <v>2.3813078673665575E-3</v>
      </c>
      <c r="F1647" s="9">
        <f t="shared" si="76"/>
        <v>1.7564536099985366E-2</v>
      </c>
      <c r="G1647" s="9">
        <f t="shared" si="77"/>
        <v>1.6567812154374428E-2</v>
      </c>
    </row>
    <row r="1648" spans="1:7" x14ac:dyDescent="0.2">
      <c r="A1648" s="12">
        <v>39535</v>
      </c>
      <c r="B1648" s="9">
        <v>2705.11</v>
      </c>
      <c r="C1648" s="9">
        <v>2678.59</v>
      </c>
      <c r="D1648" s="9">
        <v>2686.52</v>
      </c>
      <c r="E1648" s="9">
        <f t="shared" si="75"/>
        <v>-1.5918713797255909E-3</v>
      </c>
      <c r="F1648" s="9">
        <f t="shared" si="76"/>
        <v>-2.2684921038581562E-2</v>
      </c>
      <c r="G1648" s="9">
        <f t="shared" si="77"/>
        <v>1.492687341508203E-2</v>
      </c>
    </row>
    <row r="1649" spans="1:7" x14ac:dyDescent="0.2">
      <c r="A1649" s="12">
        <v>39538</v>
      </c>
      <c r="B1649" s="9">
        <v>2697.2</v>
      </c>
      <c r="C1649" s="9">
        <v>2652.62</v>
      </c>
      <c r="D1649" s="9">
        <v>2687.76</v>
      </c>
      <c r="E1649" s="9">
        <f t="shared" si="75"/>
        <v>4.6145717082262636E-4</v>
      </c>
      <c r="F1649" s="9">
        <f t="shared" si="76"/>
        <v>-2.548940456533515E-2</v>
      </c>
      <c r="G1649" s="9">
        <f t="shared" si="77"/>
        <v>1.4909587348924868E-2</v>
      </c>
    </row>
    <row r="1650" spans="1:7" x14ac:dyDescent="0.2">
      <c r="A1650" s="12">
        <v>39539</v>
      </c>
      <c r="B1650" s="9">
        <v>2782.74</v>
      </c>
      <c r="C1650" s="9">
        <v>2680.65</v>
      </c>
      <c r="D1650" s="9">
        <v>2781.24</v>
      </c>
      <c r="E1650" s="9">
        <f t="shared" si="75"/>
        <v>3.4188738459920674E-2</v>
      </c>
      <c r="F1650" s="9">
        <f t="shared" si="76"/>
        <v>3.4937490290422504E-3</v>
      </c>
      <c r="G1650" s="9">
        <f t="shared" si="77"/>
        <v>1.6198765269737039E-2</v>
      </c>
    </row>
    <row r="1651" spans="1:7" x14ac:dyDescent="0.2">
      <c r="A1651" s="12">
        <v>39540</v>
      </c>
      <c r="B1651" s="9">
        <v>2791.4</v>
      </c>
      <c r="C1651" s="9">
        <v>2759.38</v>
      </c>
      <c r="D1651" s="9">
        <v>2783.25</v>
      </c>
      <c r="E1651" s="9">
        <f t="shared" si="75"/>
        <v>7.2243820634828183E-4</v>
      </c>
      <c r="F1651" s="9">
        <f t="shared" si="76"/>
        <v>1.6764186865570282E-2</v>
      </c>
      <c r="G1651" s="9">
        <f t="shared" si="77"/>
        <v>1.6021223486292233E-2</v>
      </c>
    </row>
    <row r="1652" spans="1:7" x14ac:dyDescent="0.2">
      <c r="A1652" s="12">
        <v>39541</v>
      </c>
      <c r="B1652" s="9">
        <v>2791.75</v>
      </c>
      <c r="C1652" s="9">
        <v>2720.2</v>
      </c>
      <c r="D1652" s="9">
        <v>2727.53</v>
      </c>
      <c r="E1652" s="9">
        <f t="shared" si="75"/>
        <v>-2.0222871878670497E-2</v>
      </c>
      <c r="F1652" s="9">
        <f t="shared" si="76"/>
        <v>-2.5994381878147538E-2</v>
      </c>
      <c r="G1652" s="9">
        <f t="shared" si="77"/>
        <v>1.5900184023546132E-2</v>
      </c>
    </row>
    <row r="1653" spans="1:7" x14ac:dyDescent="0.2">
      <c r="A1653" s="12">
        <v>39542</v>
      </c>
      <c r="B1653" s="9">
        <v>2731.19</v>
      </c>
      <c r="C1653" s="9">
        <v>2702.61</v>
      </c>
      <c r="D1653" s="9">
        <v>2721.32</v>
      </c>
      <c r="E1653" s="9">
        <f t="shared" si="75"/>
        <v>-2.2793810395629437E-3</v>
      </c>
      <c r="F1653" s="9">
        <f t="shared" si="76"/>
        <v>-3.302070877417973E-2</v>
      </c>
      <c r="G1653" s="9">
        <f t="shared" si="77"/>
        <v>1.5866359786282213E-2</v>
      </c>
    </row>
    <row r="1654" spans="1:7" x14ac:dyDescent="0.2">
      <c r="A1654" s="12">
        <v>39545</v>
      </c>
      <c r="B1654" s="9">
        <v>2777.88</v>
      </c>
      <c r="C1654" s="9">
        <v>2723.82</v>
      </c>
      <c r="D1654" s="9">
        <v>2757.74</v>
      </c>
      <c r="E1654" s="9">
        <f t="shared" si="75"/>
        <v>1.3294447007831431E-2</v>
      </c>
      <c r="F1654" s="9">
        <f t="shared" si="76"/>
        <v>-1.3137915353454615E-2</v>
      </c>
      <c r="G1654" s="9">
        <f t="shared" si="77"/>
        <v>1.6043505405890633E-2</v>
      </c>
    </row>
    <row r="1655" spans="1:7" x14ac:dyDescent="0.2">
      <c r="A1655" s="12">
        <v>39546</v>
      </c>
      <c r="B1655" s="9">
        <v>2754.96</v>
      </c>
      <c r="C1655" s="9">
        <v>2703.68</v>
      </c>
      <c r="D1655" s="9">
        <v>2727.97</v>
      </c>
      <c r="E1655" s="9">
        <f t="shared" si="75"/>
        <v>-1.0853760862978925E-2</v>
      </c>
      <c r="F1655" s="9">
        <f t="shared" si="76"/>
        <v>-2.9181801664103144E-2</v>
      </c>
      <c r="G1655" s="9">
        <f t="shared" si="77"/>
        <v>1.6116667538639787E-2</v>
      </c>
    </row>
    <row r="1656" spans="1:7" x14ac:dyDescent="0.2">
      <c r="A1656" s="12">
        <v>39547</v>
      </c>
      <c r="B1656" s="9">
        <v>2728.03</v>
      </c>
      <c r="C1656" s="9">
        <v>2687.59</v>
      </c>
      <c r="D1656" s="9">
        <v>2706.53</v>
      </c>
      <c r="E1656" s="9">
        <f t="shared" si="75"/>
        <v>-7.8903712334539838E-3</v>
      </c>
      <c r="F1656" s="9">
        <f t="shared" si="76"/>
        <v>-1.8551927270774798E-2</v>
      </c>
      <c r="G1656" s="9">
        <f t="shared" si="77"/>
        <v>1.5831912463750378E-2</v>
      </c>
    </row>
    <row r="1657" spans="1:7" x14ac:dyDescent="0.2">
      <c r="A1657" s="12">
        <v>39548</v>
      </c>
      <c r="B1657" s="9">
        <v>2706.7</v>
      </c>
      <c r="C1657" s="9">
        <v>2657.34</v>
      </c>
      <c r="D1657" s="9">
        <v>2689.14</v>
      </c>
      <c r="E1657" s="9">
        <f t="shared" si="75"/>
        <v>-6.4459317240993016E-3</v>
      </c>
      <c r="F1657" s="9">
        <f t="shared" si="76"/>
        <v>-4.4518049547876068E-2</v>
      </c>
      <c r="G1657" s="9">
        <f t="shared" si="77"/>
        <v>1.5396771815440779E-2</v>
      </c>
    </row>
    <row r="1658" spans="1:7" x14ac:dyDescent="0.2">
      <c r="A1658" s="12">
        <v>39549</v>
      </c>
      <c r="B1658" s="9">
        <v>2718.8</v>
      </c>
      <c r="C1658" s="9">
        <v>2653.98</v>
      </c>
      <c r="D1658" s="9">
        <v>2672.06</v>
      </c>
      <c r="E1658" s="9">
        <f t="shared" si="75"/>
        <v>-6.3717293836375649E-3</v>
      </c>
      <c r="F1658" s="9">
        <f t="shared" si="76"/>
        <v>-6.4069203747111544E-2</v>
      </c>
      <c r="G1658" s="9">
        <f t="shared" si="77"/>
        <v>1.516676461023502E-2</v>
      </c>
    </row>
    <row r="1659" spans="1:7" x14ac:dyDescent="0.2">
      <c r="A1659" s="12">
        <v>39552</v>
      </c>
      <c r="B1659" s="9">
        <v>2671.98</v>
      </c>
      <c r="C1659" s="9">
        <v>2629.33</v>
      </c>
      <c r="D1659" s="9">
        <v>2640.6</v>
      </c>
      <c r="E1659" s="9">
        <f t="shared" si="75"/>
        <v>-1.1843546449144184E-2</v>
      </c>
      <c r="F1659" s="9">
        <f t="shared" si="76"/>
        <v>-7.8048165756801985E-2</v>
      </c>
      <c r="G1659" s="9">
        <f t="shared" si="77"/>
        <v>1.524555280483925E-2</v>
      </c>
    </row>
    <row r="1660" spans="1:7" x14ac:dyDescent="0.2">
      <c r="A1660" s="12">
        <v>39553</v>
      </c>
      <c r="B1660" s="9">
        <v>2677.55</v>
      </c>
      <c r="C1660" s="9">
        <v>2627.14</v>
      </c>
      <c r="D1660" s="9">
        <v>2652.69</v>
      </c>
      <c r="E1660" s="9">
        <f t="shared" si="75"/>
        <v>4.568055414922079E-3</v>
      </c>
      <c r="F1660" s="9">
        <f t="shared" si="76"/>
        <v>-6.2186963394895489E-2</v>
      </c>
      <c r="G1660" s="9">
        <f t="shared" si="77"/>
        <v>1.5208725660711599E-2</v>
      </c>
    </row>
    <row r="1661" spans="1:7" x14ac:dyDescent="0.2">
      <c r="A1661" s="12">
        <v>39554</v>
      </c>
      <c r="B1661" s="9">
        <v>2726.27</v>
      </c>
      <c r="C1661" s="9">
        <v>2652.69</v>
      </c>
      <c r="D1661" s="9">
        <v>2725.09</v>
      </c>
      <c r="E1661" s="9">
        <f t="shared" si="75"/>
        <v>2.6927235614860823E-2</v>
      </c>
      <c r="F1661" s="9">
        <f t="shared" si="76"/>
        <v>-1.6764550008919941E-2</v>
      </c>
      <c r="G1661" s="9">
        <f t="shared" si="77"/>
        <v>1.5768145661183258E-2</v>
      </c>
    </row>
    <row r="1662" spans="1:7" x14ac:dyDescent="0.2">
      <c r="A1662" s="12">
        <v>39555</v>
      </c>
      <c r="B1662" s="9">
        <v>2745.34</v>
      </c>
      <c r="C1662" s="9">
        <v>2667.61</v>
      </c>
      <c r="D1662" s="9">
        <v>2667.83</v>
      </c>
      <c r="E1662" s="9">
        <f t="shared" si="75"/>
        <v>-2.1236047210385887E-2</v>
      </c>
      <c r="F1662" s="9">
        <f t="shared" si="76"/>
        <v>-2.0439426016681004E-2</v>
      </c>
      <c r="G1662" s="9">
        <f t="shared" si="77"/>
        <v>1.591834307786525E-2</v>
      </c>
    </row>
    <row r="1663" spans="1:7" x14ac:dyDescent="0.2">
      <c r="A1663" s="12">
        <v>39556</v>
      </c>
      <c r="B1663" s="9">
        <v>2717.74</v>
      </c>
      <c r="C1663" s="9">
        <v>2668.02</v>
      </c>
      <c r="D1663" s="9">
        <v>2708.21</v>
      </c>
      <c r="E1663" s="9">
        <f t="shared" si="75"/>
        <v>1.50224921668851E-2</v>
      </c>
      <c r="F1663" s="9">
        <f t="shared" si="76"/>
        <v>1.1740567669108868E-2</v>
      </c>
      <c r="G1663" s="9">
        <f t="shared" si="77"/>
        <v>1.5853904261969899E-2</v>
      </c>
    </row>
    <row r="1664" spans="1:7" x14ac:dyDescent="0.2">
      <c r="A1664" s="12">
        <v>39559</v>
      </c>
      <c r="B1664" s="9">
        <v>2722.2</v>
      </c>
      <c r="C1664" s="9">
        <v>2681.82</v>
      </c>
      <c r="D1664" s="9">
        <v>2701.77</v>
      </c>
      <c r="E1664" s="9">
        <f t="shared" si="75"/>
        <v>-2.3807862660872518E-3</v>
      </c>
      <c r="F1664" s="9">
        <f t="shared" si="76"/>
        <v>-1.1518405714387659E-2</v>
      </c>
      <c r="G1664" s="9">
        <f t="shared" si="77"/>
        <v>1.5379098913096231E-2</v>
      </c>
    </row>
    <row r="1665" spans="1:7" x14ac:dyDescent="0.2">
      <c r="A1665" s="12">
        <v>39560</v>
      </c>
      <c r="B1665" s="9">
        <v>2710.13</v>
      </c>
      <c r="C1665" s="9">
        <v>2670.55</v>
      </c>
      <c r="D1665" s="9">
        <v>2683.58</v>
      </c>
      <c r="E1665" s="9">
        <f t="shared" si="75"/>
        <v>-6.7553897798445046E-3</v>
      </c>
      <c r="F1665" s="9">
        <f t="shared" si="76"/>
        <v>-7.6137176471713988E-3</v>
      </c>
      <c r="G1665" s="9">
        <f t="shared" si="77"/>
        <v>1.5305477963619451E-2</v>
      </c>
    </row>
    <row r="1666" spans="1:7" x14ac:dyDescent="0.2">
      <c r="A1666" s="12">
        <v>39561</v>
      </c>
      <c r="B1666" s="9">
        <v>2693.89</v>
      </c>
      <c r="C1666" s="9">
        <v>2649</v>
      </c>
      <c r="D1666" s="9">
        <v>2689.06</v>
      </c>
      <c r="E1666" s="9">
        <f t="shared" si="75"/>
        <v>2.0399661620361872E-3</v>
      </c>
      <c r="F1666" s="9">
        <f t="shared" si="76"/>
        <v>-1.787131276162537E-3</v>
      </c>
      <c r="G1666" s="9">
        <f t="shared" si="77"/>
        <v>1.5296067573402442E-2</v>
      </c>
    </row>
    <row r="1667" spans="1:7" x14ac:dyDescent="0.2">
      <c r="A1667" s="12">
        <v>39562</v>
      </c>
      <c r="B1667" s="9">
        <v>2689.59</v>
      </c>
      <c r="C1667" s="9">
        <v>2641.85</v>
      </c>
      <c r="D1667" s="9">
        <v>2663.71</v>
      </c>
      <c r="E1667" s="9">
        <f t="shared" si="75"/>
        <v>-9.4718022716219156E-3</v>
      </c>
      <c r="F1667" s="9">
        <f t="shared" si="76"/>
        <v>8.6152662072248275E-3</v>
      </c>
      <c r="G1667" s="9">
        <f t="shared" si="77"/>
        <v>1.4945284578697452E-2</v>
      </c>
    </row>
    <row r="1668" spans="1:7" x14ac:dyDescent="0.2">
      <c r="A1668" s="12">
        <v>39563</v>
      </c>
      <c r="B1668" s="9">
        <v>2749.51</v>
      </c>
      <c r="C1668" s="9">
        <v>2663.98</v>
      </c>
      <c r="D1668" s="9">
        <v>2731.52</v>
      </c>
      <c r="E1668" s="9">
        <f t="shared" ref="E1668:E1731" si="78">LN(D1668/D1667)</f>
        <v>2.513834291735921E-2</v>
      </c>
      <c r="F1668" s="9">
        <f t="shared" si="76"/>
        <v>2.3083175211672156E-2</v>
      </c>
      <c r="G1668" s="9">
        <f t="shared" si="77"/>
        <v>1.5514482135684632E-2</v>
      </c>
    </row>
    <row r="1669" spans="1:7" x14ac:dyDescent="0.2">
      <c r="A1669" s="12">
        <v>39566</v>
      </c>
      <c r="B1669" s="9">
        <v>2755.28</v>
      </c>
      <c r="C1669" s="9">
        <v>2730.93</v>
      </c>
      <c r="D1669" s="9">
        <v>2744.73</v>
      </c>
      <c r="E1669" s="9">
        <f t="shared" si="78"/>
        <v>4.8244786569423929E-3</v>
      </c>
      <c r="F1669" s="9">
        <f t="shared" si="76"/>
        <v>1.6371678954247702E-2</v>
      </c>
      <c r="G1669" s="9">
        <f t="shared" si="77"/>
        <v>1.5401857369898237E-2</v>
      </c>
    </row>
    <row r="1670" spans="1:7" x14ac:dyDescent="0.2">
      <c r="A1670" s="12">
        <v>39567</v>
      </c>
      <c r="B1670" s="9">
        <v>2746.26</v>
      </c>
      <c r="C1670" s="9">
        <v>2713.8</v>
      </c>
      <c r="D1670" s="9">
        <v>2725.26</v>
      </c>
      <c r="E1670" s="9">
        <f t="shared" si="78"/>
        <v>-7.118873060301476E-3</v>
      </c>
      <c r="F1670" s="9">
        <f t="shared" si="76"/>
        <v>2.1853340447341631E-2</v>
      </c>
      <c r="G1670" s="9">
        <f t="shared" si="77"/>
        <v>1.527248984009438E-2</v>
      </c>
    </row>
    <row r="1671" spans="1:7" x14ac:dyDescent="0.2">
      <c r="A1671" s="12">
        <v>39568</v>
      </c>
      <c r="B1671" s="9">
        <v>2740.81</v>
      </c>
      <c r="C1671" s="9">
        <v>2712.29</v>
      </c>
      <c r="D1671" s="9">
        <v>2740.33</v>
      </c>
      <c r="E1671" s="9">
        <f t="shared" si="78"/>
        <v>5.5145146963864961E-3</v>
      </c>
      <c r="F1671" s="9">
        <f t="shared" si="76"/>
        <v>3.4621205422010956E-2</v>
      </c>
      <c r="G1671" s="9">
        <f t="shared" si="77"/>
        <v>1.5220203112850319E-2</v>
      </c>
    </row>
    <row r="1672" spans="1:7" x14ac:dyDescent="0.2">
      <c r="A1672" s="12">
        <v>39570</v>
      </c>
      <c r="B1672" s="9">
        <v>2803.76</v>
      </c>
      <c r="C1672" s="9">
        <v>2729.81</v>
      </c>
      <c r="D1672" s="9">
        <v>2792.88</v>
      </c>
      <c r="E1672" s="9">
        <f t="shared" si="78"/>
        <v>1.8994970381679258E-2</v>
      </c>
      <c r="F1672" s="9">
        <f t="shared" si="76"/>
        <v>6.8696754075001837E-2</v>
      </c>
      <c r="G1672" s="9">
        <f t="shared" si="77"/>
        <v>1.5238352350121987E-2</v>
      </c>
    </row>
    <row r="1673" spans="1:7" x14ac:dyDescent="0.2">
      <c r="A1673" s="12">
        <v>39573</v>
      </c>
      <c r="B1673" s="9">
        <v>2802.24</v>
      </c>
      <c r="C1673" s="9">
        <v>2777.26</v>
      </c>
      <c r="D1673" s="9">
        <v>2799.59</v>
      </c>
      <c r="E1673" s="9">
        <f t="shared" si="78"/>
        <v>2.3996564022256976E-3</v>
      </c>
      <c r="F1673" s="9">
        <f t="shared" si="76"/>
        <v>8.226902161043724E-2</v>
      </c>
      <c r="G1673" s="9">
        <f t="shared" si="77"/>
        <v>1.5024860933606806E-2</v>
      </c>
    </row>
    <row r="1674" spans="1:7" x14ac:dyDescent="0.2">
      <c r="A1674" s="12">
        <v>39574</v>
      </c>
      <c r="B1674" s="9">
        <v>2806.95</v>
      </c>
      <c r="C1674" s="9">
        <v>2772.97</v>
      </c>
      <c r="D1674" s="9">
        <v>2787.18</v>
      </c>
      <c r="E1674" s="9">
        <f t="shared" si="78"/>
        <v>-4.4426458978791437E-3</v>
      </c>
      <c r="F1674" s="9">
        <f t="shared" si="76"/>
        <v>8.6082227954774937E-2</v>
      </c>
      <c r="G1674" s="9">
        <f t="shared" si="77"/>
        <v>1.4944525396782392E-2</v>
      </c>
    </row>
    <row r="1675" spans="1:7" x14ac:dyDescent="0.2">
      <c r="A1675" s="12">
        <v>39575</v>
      </c>
      <c r="B1675" s="9">
        <v>2854.15</v>
      </c>
      <c r="C1675" s="9">
        <v>2787.08</v>
      </c>
      <c r="D1675" s="9">
        <v>2848.69</v>
      </c>
      <c r="E1675" s="9">
        <f t="shared" si="78"/>
        <v>2.1828907496571102E-2</v>
      </c>
      <c r="F1675" s="9">
        <f t="shared" si="76"/>
        <v>6.514038229015269E-2</v>
      </c>
      <c r="G1675" s="9">
        <f t="shared" si="77"/>
        <v>1.3428678655730063E-2</v>
      </c>
    </row>
    <row r="1676" spans="1:7" x14ac:dyDescent="0.2">
      <c r="A1676" s="12">
        <v>39576</v>
      </c>
      <c r="B1676" s="9">
        <v>2848.37</v>
      </c>
      <c r="C1676" s="9">
        <v>2818.61</v>
      </c>
      <c r="D1676" s="9">
        <v>2834.97</v>
      </c>
      <c r="E1676" s="9">
        <f t="shared" si="78"/>
        <v>-4.8278843735683127E-3</v>
      </c>
      <c r="F1676" s="9">
        <f t="shared" si="76"/>
        <v>5.4574115811196144E-2</v>
      </c>
      <c r="G1676" s="9">
        <f t="shared" si="77"/>
        <v>1.3470397749900442E-2</v>
      </c>
    </row>
    <row r="1677" spans="1:7" x14ac:dyDescent="0.2">
      <c r="A1677" s="12">
        <v>39577</v>
      </c>
      <c r="B1677" s="9">
        <v>2827.8</v>
      </c>
      <c r="C1677" s="9">
        <v>2788.49</v>
      </c>
      <c r="D1677" s="9">
        <v>2813.11</v>
      </c>
      <c r="E1677" s="9">
        <f t="shared" si="78"/>
        <v>-7.7407222107107052E-3</v>
      </c>
      <c r="F1677" s="9">
        <f t="shared" si="76"/>
        <v>4.4452085733118957E-2</v>
      </c>
      <c r="G1677" s="9">
        <f t="shared" si="77"/>
        <v>1.3582133984411094E-2</v>
      </c>
    </row>
    <row r="1678" spans="1:7" x14ac:dyDescent="0.2">
      <c r="A1678" s="12">
        <v>39580</v>
      </c>
      <c r="B1678" s="9">
        <v>2845.71</v>
      </c>
      <c r="C1678" s="9">
        <v>2807.98</v>
      </c>
      <c r="D1678" s="9">
        <v>2841.29</v>
      </c>
      <c r="E1678" s="9">
        <f t="shared" si="78"/>
        <v>9.9675414936874797E-3</v>
      </c>
      <c r="F1678" s="9">
        <f t="shared" si="76"/>
        <v>5.6011498606531936E-2</v>
      </c>
      <c r="G1678" s="9">
        <f t="shared" si="77"/>
        <v>1.3655697776098758E-2</v>
      </c>
    </row>
    <row r="1679" spans="1:7" x14ac:dyDescent="0.2">
      <c r="A1679" s="12">
        <v>39581</v>
      </c>
      <c r="B1679" s="9">
        <v>2859.97</v>
      </c>
      <c r="C1679" s="9">
        <v>2828.23</v>
      </c>
      <c r="D1679" s="9">
        <v>2851.18</v>
      </c>
      <c r="E1679" s="9">
        <f t="shared" si="78"/>
        <v>3.4747692832826317E-3</v>
      </c>
      <c r="F1679" s="9">
        <f t="shared" si="76"/>
        <v>5.9024810718992064E-2</v>
      </c>
      <c r="G1679" s="9">
        <f t="shared" si="77"/>
        <v>1.3656084627001625E-2</v>
      </c>
    </row>
    <row r="1680" spans="1:7" x14ac:dyDescent="0.2">
      <c r="A1680" s="12">
        <v>39582</v>
      </c>
      <c r="B1680" s="9">
        <v>2892.8</v>
      </c>
      <c r="C1680" s="9">
        <v>2850.62</v>
      </c>
      <c r="D1680" s="9">
        <v>2883.68</v>
      </c>
      <c r="E1680" s="9">
        <f t="shared" si="78"/>
        <v>1.1334312582955194E-2</v>
      </c>
      <c r="F1680" s="9">
        <f t="shared" si="76"/>
        <v>3.6170384842026441E-2</v>
      </c>
      <c r="G1680" s="9">
        <f t="shared" si="77"/>
        <v>1.2373899990764905E-2</v>
      </c>
    </row>
    <row r="1681" spans="1:7" x14ac:dyDescent="0.2">
      <c r="A1681" s="12">
        <v>39583</v>
      </c>
      <c r="B1681" s="9">
        <v>2883.49</v>
      </c>
      <c r="C1681" s="9">
        <v>2849.5</v>
      </c>
      <c r="D1681" s="9">
        <v>2864</v>
      </c>
      <c r="E1681" s="9">
        <f t="shared" si="78"/>
        <v>-6.8480071639587673E-3</v>
      </c>
      <c r="F1681" s="9">
        <f t="shared" si="76"/>
        <v>2.8599939471719592E-2</v>
      </c>
      <c r="G1681" s="9">
        <f t="shared" si="77"/>
        <v>1.2460982674224283E-2</v>
      </c>
    </row>
    <row r="1682" spans="1:7" x14ac:dyDescent="0.2">
      <c r="A1682" s="12">
        <v>39584</v>
      </c>
      <c r="B1682" s="9">
        <v>2922.29</v>
      </c>
      <c r="C1682" s="9">
        <v>2863.81</v>
      </c>
      <c r="D1682" s="9">
        <v>2898.31</v>
      </c>
      <c r="E1682" s="9">
        <f t="shared" si="78"/>
        <v>1.1908559403535893E-2</v>
      </c>
      <c r="F1682" s="9">
        <f t="shared" si="76"/>
        <v>6.0731370753925921E-2</v>
      </c>
      <c r="G1682" s="9">
        <f t="shared" si="77"/>
        <v>1.1948420371521549E-2</v>
      </c>
    </row>
    <row r="1683" spans="1:7" x14ac:dyDescent="0.2">
      <c r="A1683" s="12">
        <v>39587</v>
      </c>
      <c r="B1683" s="9">
        <v>2939.78</v>
      </c>
      <c r="C1683" s="9">
        <v>2898.21</v>
      </c>
      <c r="D1683" s="9">
        <v>2939.77</v>
      </c>
      <c r="E1683" s="9">
        <f t="shared" si="78"/>
        <v>1.4203538495911034E-2</v>
      </c>
      <c r="F1683" s="9">
        <f t="shared" si="76"/>
        <v>7.7214290289399912E-2</v>
      </c>
      <c r="G1683" s="9">
        <f t="shared" si="77"/>
        <v>1.2121413206231104E-2</v>
      </c>
    </row>
    <row r="1684" spans="1:7" x14ac:dyDescent="0.2">
      <c r="A1684" s="12">
        <v>39588</v>
      </c>
      <c r="B1684" s="9">
        <v>2937.24</v>
      </c>
      <c r="C1684" s="9">
        <v>2851.15</v>
      </c>
      <c r="D1684" s="9">
        <v>2861.13</v>
      </c>
      <c r="E1684" s="9">
        <f t="shared" si="78"/>
        <v>-2.711469530436544E-2</v>
      </c>
      <c r="F1684" s="9">
        <f t="shared" si="76"/>
        <v>3.6805147977202968E-2</v>
      </c>
      <c r="G1684" s="9">
        <f t="shared" si="77"/>
        <v>1.3095111471592922E-2</v>
      </c>
    </row>
    <row r="1685" spans="1:7" x14ac:dyDescent="0.2">
      <c r="A1685" s="12">
        <v>39589</v>
      </c>
      <c r="B1685" s="9">
        <v>2873.46</v>
      </c>
      <c r="C1685" s="9">
        <v>2841.07</v>
      </c>
      <c r="D1685" s="9">
        <v>2849.16</v>
      </c>
      <c r="E1685" s="9">
        <f t="shared" si="78"/>
        <v>-4.1924376984663753E-3</v>
      </c>
      <c r="F1685" s="9">
        <f t="shared" si="76"/>
        <v>4.3466471141715521E-2</v>
      </c>
      <c r="G1685" s="9">
        <f t="shared" si="77"/>
        <v>1.2938748218341851E-2</v>
      </c>
    </row>
    <row r="1686" spans="1:7" x14ac:dyDescent="0.2">
      <c r="A1686" s="12">
        <v>39590</v>
      </c>
      <c r="B1686" s="9">
        <v>2870.88</v>
      </c>
      <c r="C1686" s="9">
        <v>2819.72</v>
      </c>
      <c r="D1686" s="9">
        <v>2866.81</v>
      </c>
      <c r="E1686" s="9">
        <f t="shared" si="78"/>
        <v>6.1756993463797328E-3</v>
      </c>
      <c r="F1686" s="9">
        <f t="shared" si="76"/>
        <v>5.753254172154916E-2</v>
      </c>
      <c r="G1686" s="9">
        <f t="shared" si="77"/>
        <v>1.2843153220044404E-2</v>
      </c>
    </row>
    <row r="1687" spans="1:7" x14ac:dyDescent="0.2">
      <c r="A1687" s="12">
        <v>39591</v>
      </c>
      <c r="B1687" s="9">
        <v>2866.71</v>
      </c>
      <c r="C1687" s="9">
        <v>2810.51</v>
      </c>
      <c r="D1687" s="9">
        <v>2810.51</v>
      </c>
      <c r="E1687" s="9">
        <f t="shared" si="78"/>
        <v>-1.983395180198147E-2</v>
      </c>
      <c r="F1687" s="9">
        <f t="shared" si="76"/>
        <v>4.4144521643667112E-2</v>
      </c>
      <c r="G1687" s="9">
        <f t="shared" si="77"/>
        <v>1.3365758766672068E-2</v>
      </c>
    </row>
    <row r="1688" spans="1:7" x14ac:dyDescent="0.2">
      <c r="A1688" s="12">
        <v>39594</v>
      </c>
      <c r="B1688" s="9">
        <v>2808.41</v>
      </c>
      <c r="C1688" s="9">
        <v>2790.72</v>
      </c>
      <c r="D1688" s="9">
        <v>2797.11</v>
      </c>
      <c r="E1688" s="9">
        <f t="shared" si="78"/>
        <v>-4.7792202416403265E-3</v>
      </c>
      <c r="F1688" s="9">
        <f t="shared" si="76"/>
        <v>4.5737030785664323E-2</v>
      </c>
      <c r="G1688" s="9">
        <f t="shared" si="77"/>
        <v>1.3336665154480166E-2</v>
      </c>
    </row>
    <row r="1689" spans="1:7" x14ac:dyDescent="0.2">
      <c r="A1689" s="12">
        <v>39595</v>
      </c>
      <c r="B1689" s="9">
        <v>2804.42</v>
      </c>
      <c r="C1689" s="9">
        <v>2741.99</v>
      </c>
      <c r="D1689" s="9">
        <v>2777.65</v>
      </c>
      <c r="E1689" s="9">
        <f t="shared" si="78"/>
        <v>-6.9814948238232765E-3</v>
      </c>
      <c r="F1689" s="9">
        <f t="shared" si="76"/>
        <v>5.0599082410985416E-2</v>
      </c>
      <c r="G1689" s="9">
        <f t="shared" si="77"/>
        <v>1.3197428073363184E-2</v>
      </c>
    </row>
    <row r="1690" spans="1:7" x14ac:dyDescent="0.2">
      <c r="A1690" s="12">
        <v>39596</v>
      </c>
      <c r="B1690" s="9">
        <v>2808.08</v>
      </c>
      <c r="C1690" s="9">
        <v>2771.37</v>
      </c>
      <c r="D1690" s="9">
        <v>2802.45</v>
      </c>
      <c r="E1690" s="9">
        <f t="shared" si="78"/>
        <v>8.8887881178699741E-3</v>
      </c>
      <c r="F1690" s="9">
        <f t="shared" si="76"/>
        <v>5.491981511393329E-2</v>
      </c>
      <c r="G1690" s="9">
        <f t="shared" si="77"/>
        <v>1.3253414980024854E-2</v>
      </c>
    </row>
    <row r="1691" spans="1:7" x14ac:dyDescent="0.2">
      <c r="A1691" s="12">
        <v>39597</v>
      </c>
      <c r="B1691" s="9">
        <v>2831.58</v>
      </c>
      <c r="C1691" s="9">
        <v>2799.9</v>
      </c>
      <c r="D1691" s="9">
        <v>2825.18</v>
      </c>
      <c r="E1691" s="9">
        <f t="shared" si="78"/>
        <v>8.0780447909145434E-3</v>
      </c>
      <c r="F1691" s="9">
        <f t="shared" si="76"/>
        <v>3.607062428998685E-2</v>
      </c>
      <c r="G1691" s="9">
        <f t="shared" si="77"/>
        <v>1.2444755039753687E-2</v>
      </c>
    </row>
    <row r="1692" spans="1:7" x14ac:dyDescent="0.2">
      <c r="A1692" s="12">
        <v>39598</v>
      </c>
      <c r="B1692" s="9">
        <v>2850.64</v>
      </c>
      <c r="C1692" s="9">
        <v>2823.32</v>
      </c>
      <c r="D1692" s="9">
        <v>2841.2</v>
      </c>
      <c r="E1692" s="9">
        <f t="shared" si="78"/>
        <v>5.6544187587842798E-3</v>
      </c>
      <c r="F1692" s="9">
        <f t="shared" si="76"/>
        <v>6.2961090259157138E-2</v>
      </c>
      <c r="G1692" s="9">
        <f t="shared" si="77"/>
        <v>1.1720188443471953E-2</v>
      </c>
    </row>
    <row r="1693" spans="1:7" x14ac:dyDescent="0.2">
      <c r="A1693" s="12">
        <v>39601</v>
      </c>
      <c r="B1693" s="9">
        <v>2838.4</v>
      </c>
      <c r="C1693" s="9">
        <v>2803.82</v>
      </c>
      <c r="D1693" s="9">
        <v>2818.19</v>
      </c>
      <c r="E1693" s="9">
        <f t="shared" si="78"/>
        <v>-8.1316632331499931E-3</v>
      </c>
      <c r="F1693" s="9">
        <f t="shared" si="76"/>
        <v>3.9806934859121942E-2</v>
      </c>
      <c r="G1693" s="9">
        <f t="shared" si="77"/>
        <v>1.1601556476317465E-2</v>
      </c>
    </row>
    <row r="1694" spans="1:7" x14ac:dyDescent="0.2">
      <c r="A1694" s="12">
        <v>39602</v>
      </c>
      <c r="B1694" s="9">
        <v>2848.48</v>
      </c>
      <c r="C1694" s="9">
        <v>2816.69</v>
      </c>
      <c r="D1694" s="9">
        <v>2846.46</v>
      </c>
      <c r="E1694" s="9">
        <f t="shared" si="78"/>
        <v>9.9812820569115876E-3</v>
      </c>
      <c r="F1694" s="9">
        <f t="shared" si="76"/>
        <v>5.2169003182120845E-2</v>
      </c>
      <c r="G1694" s="9">
        <f t="shared" si="77"/>
        <v>1.168456790711859E-2</v>
      </c>
    </row>
    <row r="1695" spans="1:7" x14ac:dyDescent="0.2">
      <c r="A1695" s="12">
        <v>39603</v>
      </c>
      <c r="B1695" s="9">
        <v>2846.26</v>
      </c>
      <c r="C1695" s="9">
        <v>2793.04</v>
      </c>
      <c r="D1695" s="9">
        <v>2814.04</v>
      </c>
      <c r="E1695" s="9">
        <f t="shared" si="78"/>
        <v>-1.1454943733028815E-2</v>
      </c>
      <c r="F1695" s="9">
        <f t="shared" si="76"/>
        <v>4.7469449228936526E-2</v>
      </c>
      <c r="G1695" s="9">
        <f t="shared" si="77"/>
        <v>1.1832937192895169E-2</v>
      </c>
    </row>
    <row r="1696" spans="1:7" x14ac:dyDescent="0.2">
      <c r="A1696" s="12">
        <v>39604</v>
      </c>
      <c r="B1696" s="9">
        <v>2830.66</v>
      </c>
      <c r="C1696" s="9">
        <v>2796.11</v>
      </c>
      <c r="D1696" s="9">
        <v>2808.3</v>
      </c>
      <c r="E1696" s="9">
        <f t="shared" si="78"/>
        <v>-2.0418551685788887E-3</v>
      </c>
      <c r="F1696" s="9">
        <f t="shared" si="76"/>
        <v>4.3387627898321436E-2</v>
      </c>
      <c r="G1696" s="9">
        <f t="shared" si="77"/>
        <v>1.1850947095604133E-2</v>
      </c>
    </row>
    <row r="1697" spans="1:7" x14ac:dyDescent="0.2">
      <c r="A1697" s="12">
        <v>39605</v>
      </c>
      <c r="B1697" s="9">
        <v>2841.82</v>
      </c>
      <c r="C1697" s="9">
        <v>2742.92</v>
      </c>
      <c r="D1697" s="9">
        <v>2748.52</v>
      </c>
      <c r="E1697" s="9">
        <f t="shared" si="78"/>
        <v>-2.15167330751889E-2</v>
      </c>
      <c r="F1697" s="9">
        <f t="shared" ref="F1697:F1760" si="79">LN(D1697/D1667)</f>
        <v>3.1342697094754457E-2</v>
      </c>
      <c r="G1697" s="9">
        <f t="shared" ref="G1697:G1760" si="80">STDEV(E1668:E1697)</f>
        <v>1.2423784588987468E-2</v>
      </c>
    </row>
    <row r="1698" spans="1:7" x14ac:dyDescent="0.2">
      <c r="A1698" s="12">
        <v>39608</v>
      </c>
      <c r="B1698" s="9">
        <v>2749.13</v>
      </c>
      <c r="C1698" s="9">
        <v>2719.69</v>
      </c>
      <c r="D1698" s="9">
        <v>2722.27</v>
      </c>
      <c r="E1698" s="9">
        <f t="shared" si="78"/>
        <v>-9.5964939076300694E-3</v>
      </c>
      <c r="F1698" s="9">
        <f t="shared" si="79"/>
        <v>-3.3921397302347418E-3</v>
      </c>
      <c r="G1698" s="9">
        <f t="shared" si="80"/>
        <v>1.1698335613351873E-2</v>
      </c>
    </row>
    <row r="1699" spans="1:7" x14ac:dyDescent="0.2">
      <c r="A1699" s="12">
        <v>39609</v>
      </c>
      <c r="B1699" s="9">
        <v>2721.99</v>
      </c>
      <c r="C1699" s="9">
        <v>2678.21</v>
      </c>
      <c r="D1699" s="9">
        <v>2693.02</v>
      </c>
      <c r="E1699" s="9">
        <f t="shared" si="78"/>
        <v>-1.0802850617252818E-2</v>
      </c>
      <c r="F1699" s="9">
        <f t="shared" si="79"/>
        <v>-1.901946900442978E-2</v>
      </c>
      <c r="G1699" s="9">
        <f t="shared" si="80"/>
        <v>1.1818209447388447E-2</v>
      </c>
    </row>
    <row r="1700" spans="1:7" x14ac:dyDescent="0.2">
      <c r="A1700" s="12">
        <v>39610</v>
      </c>
      <c r="B1700" s="9">
        <v>2711.71</v>
      </c>
      <c r="C1700" s="9">
        <v>2625.24</v>
      </c>
      <c r="D1700" s="9">
        <v>2632.24</v>
      </c>
      <c r="E1700" s="9">
        <f t="shared" si="78"/>
        <v>-2.2828045747331636E-2</v>
      </c>
      <c r="F1700" s="9">
        <f t="shared" si="79"/>
        <v>-3.4728641691460026E-2</v>
      </c>
      <c r="G1700" s="9">
        <f t="shared" si="80"/>
        <v>1.2446754000016266E-2</v>
      </c>
    </row>
    <row r="1701" spans="1:7" x14ac:dyDescent="0.2">
      <c r="A1701" s="12">
        <v>39611</v>
      </c>
      <c r="B1701" s="9">
        <v>2641.1</v>
      </c>
      <c r="C1701" s="9">
        <v>2595.9</v>
      </c>
      <c r="D1701" s="9">
        <v>2619.15</v>
      </c>
      <c r="E1701" s="9">
        <f t="shared" si="78"/>
        <v>-4.9853570621590185E-3</v>
      </c>
      <c r="F1701" s="9">
        <f t="shared" si="79"/>
        <v>-4.5228513450005677E-2</v>
      </c>
      <c r="G1701" s="9">
        <f t="shared" si="80"/>
        <v>1.2400205948186577E-2</v>
      </c>
    </row>
    <row r="1702" spans="1:7" x14ac:dyDescent="0.2">
      <c r="A1702" s="12">
        <v>39612</v>
      </c>
      <c r="B1702" s="9">
        <v>2658.78</v>
      </c>
      <c r="C1702" s="9">
        <v>2592.0300000000002</v>
      </c>
      <c r="D1702" s="9">
        <v>2649.95</v>
      </c>
      <c r="E1702" s="9">
        <f t="shared" si="78"/>
        <v>1.1690934241491846E-2</v>
      </c>
      <c r="F1702" s="9">
        <f t="shared" si="79"/>
        <v>-5.2532549590193107E-2</v>
      </c>
      <c r="G1702" s="9">
        <f t="shared" si="80"/>
        <v>1.2050547969920842E-2</v>
      </c>
    </row>
    <row r="1703" spans="1:7" x14ac:dyDescent="0.2">
      <c r="A1703" s="12">
        <v>39615</v>
      </c>
      <c r="B1703" s="9">
        <v>2682.91</v>
      </c>
      <c r="C1703" s="9">
        <v>2639.69</v>
      </c>
      <c r="D1703" s="9">
        <v>2655.48</v>
      </c>
      <c r="E1703" s="9">
        <f t="shared" si="78"/>
        <v>2.0846574180370444E-3</v>
      </c>
      <c r="F1703" s="9">
        <f t="shared" si="79"/>
        <v>-5.284754857438189E-2</v>
      </c>
      <c r="G1703" s="9">
        <f t="shared" si="80"/>
        <v>1.204694329970778E-2</v>
      </c>
    </row>
    <row r="1704" spans="1:7" x14ac:dyDescent="0.2">
      <c r="A1704" s="12">
        <v>39616</v>
      </c>
      <c r="B1704" s="9">
        <v>2689.15</v>
      </c>
      <c r="C1704" s="9">
        <v>2652.22</v>
      </c>
      <c r="D1704" s="9">
        <v>2652.51</v>
      </c>
      <c r="E1704" s="9">
        <f t="shared" si="78"/>
        <v>-1.1190677864679754E-3</v>
      </c>
      <c r="F1704" s="9">
        <f t="shared" si="79"/>
        <v>-4.9523970462970739E-2</v>
      </c>
      <c r="G1704" s="9">
        <f t="shared" si="80"/>
        <v>1.2036715352627389E-2</v>
      </c>
    </row>
    <row r="1705" spans="1:7" x14ac:dyDescent="0.2">
      <c r="A1705" s="12">
        <v>39617</v>
      </c>
      <c r="B1705" s="9">
        <v>2653.66</v>
      </c>
      <c r="C1705" s="9">
        <v>2589.88</v>
      </c>
      <c r="D1705" s="9">
        <v>2603.61</v>
      </c>
      <c r="E1705" s="9">
        <f t="shared" si="78"/>
        <v>-1.8607417982684747E-2</v>
      </c>
      <c r="F1705" s="9">
        <f t="shared" si="79"/>
        <v>-8.9960295942226695E-2</v>
      </c>
      <c r="G1705" s="9">
        <f t="shared" si="80"/>
        <v>1.1571844655044124E-2</v>
      </c>
    </row>
    <row r="1706" spans="1:7" x14ac:dyDescent="0.2">
      <c r="A1706" s="12">
        <v>39618</v>
      </c>
      <c r="B1706" s="9">
        <v>2603.86</v>
      </c>
      <c r="C1706" s="9">
        <v>2562.0100000000002</v>
      </c>
      <c r="D1706" s="9">
        <v>2565.16</v>
      </c>
      <c r="E1706" s="9">
        <f t="shared" si="78"/>
        <v>-1.4878088699547988E-2</v>
      </c>
      <c r="F1706" s="9">
        <f t="shared" si="79"/>
        <v>-0.10001050026820628</v>
      </c>
      <c r="G1706" s="9">
        <f t="shared" si="80"/>
        <v>1.1770400658408842E-2</v>
      </c>
    </row>
    <row r="1707" spans="1:7" x14ac:dyDescent="0.2">
      <c r="A1707" s="12">
        <v>39622</v>
      </c>
      <c r="B1707" s="9">
        <v>2564.4699999999998</v>
      </c>
      <c r="C1707" s="9">
        <v>2489.12</v>
      </c>
      <c r="D1707" s="9">
        <v>2492.98</v>
      </c>
      <c r="E1707" s="9">
        <f t="shared" si="78"/>
        <v>-2.854207279859251E-2</v>
      </c>
      <c r="F1707" s="9">
        <f t="shared" si="79"/>
        <v>-0.12081185085608816</v>
      </c>
      <c r="G1707" s="9">
        <f t="shared" si="80"/>
        <v>1.2620925862682994E-2</v>
      </c>
    </row>
    <row r="1708" spans="1:7" x14ac:dyDescent="0.2">
      <c r="A1708" s="12">
        <v>39623</v>
      </c>
      <c r="B1708" s="9">
        <v>2519.3200000000002</v>
      </c>
      <c r="C1708" s="9">
        <v>2436.5500000000002</v>
      </c>
      <c r="D1708" s="9">
        <v>2473.7399999999998</v>
      </c>
      <c r="E1708" s="9">
        <f t="shared" si="78"/>
        <v>-7.7476065655565684E-3</v>
      </c>
      <c r="F1708" s="9">
        <f t="shared" si="79"/>
        <v>-0.13852699891533218</v>
      </c>
      <c r="G1708" s="9">
        <f t="shared" si="80"/>
        <v>1.2355199900234646E-2</v>
      </c>
    </row>
    <row r="1709" spans="1:7" x14ac:dyDescent="0.2">
      <c r="A1709" s="12">
        <v>39624</v>
      </c>
      <c r="B1709" s="9">
        <v>2530.12</v>
      </c>
      <c r="C1709" s="9">
        <v>2477.54</v>
      </c>
      <c r="D1709" s="9">
        <v>2522.59</v>
      </c>
      <c r="E1709" s="9">
        <f t="shared" si="78"/>
        <v>1.9554976018352564E-2</v>
      </c>
      <c r="F1709" s="9">
        <f t="shared" si="79"/>
        <v>-0.12244679218026214</v>
      </c>
      <c r="G1709" s="9">
        <f t="shared" si="80"/>
        <v>1.3047770041494638E-2</v>
      </c>
    </row>
    <row r="1710" spans="1:7" x14ac:dyDescent="0.2">
      <c r="A1710" s="12">
        <v>39625</v>
      </c>
      <c r="B1710" s="9">
        <v>2522.7399999999998</v>
      </c>
      <c r="C1710" s="9">
        <v>2460.3200000000002</v>
      </c>
      <c r="D1710" s="9">
        <v>2460.3200000000002</v>
      </c>
      <c r="E1710" s="9">
        <f t="shared" si="78"/>
        <v>-2.4994728713894923E-2</v>
      </c>
      <c r="F1710" s="9">
        <f t="shared" si="79"/>
        <v>-0.15877583347711216</v>
      </c>
      <c r="G1710" s="9">
        <f t="shared" si="80"/>
        <v>1.3251939347552697E-2</v>
      </c>
    </row>
    <row r="1711" spans="1:7" x14ac:dyDescent="0.2">
      <c r="A1711" s="12">
        <v>39626</v>
      </c>
      <c r="B1711" s="9">
        <v>2475.14</v>
      </c>
      <c r="C1711" s="9">
        <v>2414.36</v>
      </c>
      <c r="D1711" s="9">
        <v>2466.6</v>
      </c>
      <c r="E1711" s="9">
        <f t="shared" si="78"/>
        <v>2.5492613645048952E-3</v>
      </c>
      <c r="F1711" s="9">
        <f t="shared" si="79"/>
        <v>-0.14937856494864848</v>
      </c>
      <c r="G1711" s="9">
        <f t="shared" si="80"/>
        <v>1.3324767600647429E-2</v>
      </c>
    </row>
    <row r="1712" spans="1:7" x14ac:dyDescent="0.2">
      <c r="A1712" s="12">
        <v>39629</v>
      </c>
      <c r="B1712" s="9">
        <v>2475.86</v>
      </c>
      <c r="C1712" s="9">
        <v>2421</v>
      </c>
      <c r="D1712" s="9">
        <v>2469.06</v>
      </c>
      <c r="E1712" s="9">
        <f t="shared" si="78"/>
        <v>9.9682725459249535E-4</v>
      </c>
      <c r="F1712" s="9">
        <f t="shared" si="79"/>
        <v>-0.16029029709759177</v>
      </c>
      <c r="G1712" s="9">
        <f t="shared" si="80"/>
        <v>1.2992676016006901E-2</v>
      </c>
    </row>
    <row r="1713" spans="1:7" x14ac:dyDescent="0.2">
      <c r="A1713" s="12">
        <v>39630</v>
      </c>
      <c r="B1713" s="9">
        <v>2472.1799999999998</v>
      </c>
      <c r="C1713" s="9">
        <v>2387.5700000000002</v>
      </c>
      <c r="D1713" s="9">
        <v>2403.44</v>
      </c>
      <c r="E1713" s="9">
        <f t="shared" si="78"/>
        <v>-2.6936466958818205E-2</v>
      </c>
      <c r="F1713" s="9">
        <f t="shared" si="79"/>
        <v>-0.20143030255232108</v>
      </c>
      <c r="G1713" s="9">
        <f t="shared" si="80"/>
        <v>1.3029505556880401E-2</v>
      </c>
    </row>
    <row r="1714" spans="1:7" x14ac:dyDescent="0.2">
      <c r="A1714" s="12">
        <v>39631</v>
      </c>
      <c r="B1714" s="9">
        <v>2450.75</v>
      </c>
      <c r="C1714" s="9">
        <v>2379.62</v>
      </c>
      <c r="D1714" s="9">
        <v>2384.75</v>
      </c>
      <c r="E1714" s="9">
        <f t="shared" si="78"/>
        <v>-7.8067474023446257E-3</v>
      </c>
      <c r="F1714" s="9">
        <f t="shared" si="79"/>
        <v>-0.18212235465030027</v>
      </c>
      <c r="G1714" s="9">
        <f t="shared" si="80"/>
        <v>1.2451097257145939E-2</v>
      </c>
    </row>
    <row r="1715" spans="1:7" x14ac:dyDescent="0.2">
      <c r="A1715" s="12">
        <v>39632</v>
      </c>
      <c r="B1715" s="9">
        <v>2391.04</v>
      </c>
      <c r="C1715" s="9">
        <v>2319.87</v>
      </c>
      <c r="D1715" s="9">
        <v>2382.46</v>
      </c>
      <c r="E1715" s="9">
        <f t="shared" si="78"/>
        <v>-9.6072972499195645E-4</v>
      </c>
      <c r="F1715" s="9">
        <f t="shared" si="79"/>
        <v>-0.17889064667682589</v>
      </c>
      <c r="G1715" s="9">
        <f t="shared" si="80"/>
        <v>1.2481850205301306E-2</v>
      </c>
    </row>
    <row r="1716" spans="1:7" x14ac:dyDescent="0.2">
      <c r="A1716" s="12">
        <v>39633</v>
      </c>
      <c r="B1716" s="9">
        <v>2401.17</v>
      </c>
      <c r="C1716" s="9">
        <v>2350.9899999999998</v>
      </c>
      <c r="D1716" s="9">
        <v>2353.94</v>
      </c>
      <c r="E1716" s="9">
        <f t="shared" si="78"/>
        <v>-1.2043047335103028E-2</v>
      </c>
      <c r="F1716" s="9">
        <f t="shared" si="79"/>
        <v>-0.19710939335830852</v>
      </c>
      <c r="G1716" s="9">
        <f t="shared" si="80"/>
        <v>1.2312952290577233E-2</v>
      </c>
    </row>
    <row r="1717" spans="1:7" x14ac:dyDescent="0.2">
      <c r="A1717" s="12">
        <v>39636</v>
      </c>
      <c r="B1717" s="9">
        <v>2390.8000000000002</v>
      </c>
      <c r="C1717" s="9">
        <v>2355.91</v>
      </c>
      <c r="D1717" s="9">
        <v>2387.9699999999998</v>
      </c>
      <c r="E1717" s="9">
        <f t="shared" si="78"/>
        <v>1.435311265428693E-2</v>
      </c>
      <c r="F1717" s="9">
        <f t="shared" si="79"/>
        <v>-0.16292232890204014</v>
      </c>
      <c r="G1717" s="9">
        <f t="shared" si="80"/>
        <v>1.2621222072022721E-2</v>
      </c>
    </row>
    <row r="1718" spans="1:7" x14ac:dyDescent="0.2">
      <c r="A1718" s="12">
        <v>39637</v>
      </c>
      <c r="B1718" s="9">
        <v>2383.33</v>
      </c>
      <c r="C1718" s="9">
        <v>2316.5300000000002</v>
      </c>
      <c r="D1718" s="9">
        <v>2339</v>
      </c>
      <c r="E1718" s="9">
        <f t="shared" si="78"/>
        <v>-2.0720145035330463E-2</v>
      </c>
      <c r="F1718" s="9">
        <f t="shared" si="79"/>
        <v>-0.17886325369573022</v>
      </c>
      <c r="G1718" s="9">
        <f t="shared" si="80"/>
        <v>1.2924759727493674E-2</v>
      </c>
    </row>
    <row r="1719" spans="1:7" x14ac:dyDescent="0.2">
      <c r="A1719" s="12">
        <v>39638</v>
      </c>
      <c r="B1719" s="9">
        <v>2419.06</v>
      </c>
      <c r="C1719" s="9">
        <v>2343.9</v>
      </c>
      <c r="D1719" s="9">
        <v>2403.85</v>
      </c>
      <c r="E1719" s="9">
        <f t="shared" si="78"/>
        <v>2.7348131117551768E-2</v>
      </c>
      <c r="F1719" s="9">
        <f t="shared" si="79"/>
        <v>-0.14453362775435527</v>
      </c>
      <c r="G1719" s="9">
        <f t="shared" si="80"/>
        <v>1.4280058208931697E-2</v>
      </c>
    </row>
    <row r="1720" spans="1:7" x14ac:dyDescent="0.2">
      <c r="A1720" s="12">
        <v>39639</v>
      </c>
      <c r="B1720" s="9">
        <v>2400.2600000000002</v>
      </c>
      <c r="C1720" s="9">
        <v>2355.64</v>
      </c>
      <c r="D1720" s="9">
        <v>2362.9499999999998</v>
      </c>
      <c r="E1720" s="9">
        <f t="shared" si="78"/>
        <v>-1.7160780281643161E-2</v>
      </c>
      <c r="F1720" s="9">
        <f t="shared" si="79"/>
        <v>-0.17058319615386844</v>
      </c>
      <c r="G1720" s="9">
        <f t="shared" si="80"/>
        <v>1.4209687962948418E-2</v>
      </c>
    </row>
    <row r="1721" spans="1:7" x14ac:dyDescent="0.2">
      <c r="A1721" s="12">
        <v>39640</v>
      </c>
      <c r="B1721" s="9">
        <v>2398.42</v>
      </c>
      <c r="C1721" s="9">
        <v>2320.27</v>
      </c>
      <c r="D1721" s="9">
        <v>2320.7399999999998</v>
      </c>
      <c r="E1721" s="9">
        <f t="shared" si="78"/>
        <v>-1.8024738101176802E-2</v>
      </c>
      <c r="F1721" s="9">
        <f t="shared" si="79"/>
        <v>-0.19668597904595969</v>
      </c>
      <c r="G1721" s="9">
        <f t="shared" si="80"/>
        <v>1.4136794560171714E-2</v>
      </c>
    </row>
    <row r="1722" spans="1:7" x14ac:dyDescent="0.2">
      <c r="A1722" s="12">
        <v>39643</v>
      </c>
      <c r="B1722" s="9">
        <v>2370.1999999999998</v>
      </c>
      <c r="C1722" s="9">
        <v>2320.31</v>
      </c>
      <c r="D1722" s="9">
        <v>2326.41</v>
      </c>
      <c r="E1722" s="9">
        <f t="shared" si="78"/>
        <v>2.440206497983394E-3</v>
      </c>
      <c r="F1722" s="9">
        <f t="shared" si="79"/>
        <v>-0.19990019130676059</v>
      </c>
      <c r="G1722" s="9">
        <f t="shared" si="80"/>
        <v>1.4052992814807493E-2</v>
      </c>
    </row>
    <row r="1723" spans="1:7" x14ac:dyDescent="0.2">
      <c r="A1723" s="12">
        <v>39644</v>
      </c>
      <c r="B1723" s="9">
        <v>2323.04</v>
      </c>
      <c r="C1723" s="9">
        <v>2247.4299999999998</v>
      </c>
      <c r="D1723" s="9">
        <v>2279.17</v>
      </c>
      <c r="E1723" s="9">
        <f t="shared" si="78"/>
        <v>-2.051496523298486E-2</v>
      </c>
      <c r="F1723" s="9">
        <f t="shared" si="79"/>
        <v>-0.21228349330659552</v>
      </c>
      <c r="G1723" s="9">
        <f t="shared" si="80"/>
        <v>1.4277679253664808E-2</v>
      </c>
    </row>
    <row r="1724" spans="1:7" x14ac:dyDescent="0.2">
      <c r="A1724" s="12">
        <v>39645</v>
      </c>
      <c r="B1724" s="9">
        <v>2329.75</v>
      </c>
      <c r="C1724" s="9">
        <v>2266.19</v>
      </c>
      <c r="D1724" s="9">
        <v>2319.91</v>
      </c>
      <c r="E1724" s="9">
        <f t="shared" si="78"/>
        <v>1.7717050220525971E-2</v>
      </c>
      <c r="F1724" s="9">
        <f t="shared" si="79"/>
        <v>-0.20454772514298103</v>
      </c>
      <c r="G1724" s="9">
        <f t="shared" si="80"/>
        <v>1.4661071083214707E-2</v>
      </c>
    </row>
    <row r="1725" spans="1:7" x14ac:dyDescent="0.2">
      <c r="A1725" s="12">
        <v>39646</v>
      </c>
      <c r="B1725" s="9">
        <v>2402.4</v>
      </c>
      <c r="C1725" s="9">
        <v>2323.4299999999998</v>
      </c>
      <c r="D1725" s="9">
        <v>2379.13</v>
      </c>
      <c r="E1725" s="9">
        <f t="shared" si="78"/>
        <v>2.5206482814292264E-2</v>
      </c>
      <c r="F1725" s="9">
        <f t="shared" si="79"/>
        <v>-0.16788629859565984</v>
      </c>
      <c r="G1725" s="9">
        <f t="shared" si="80"/>
        <v>1.5748832776321296E-2</v>
      </c>
    </row>
    <row r="1726" spans="1:7" x14ac:dyDescent="0.2">
      <c r="A1726" s="12">
        <v>39647</v>
      </c>
      <c r="B1726" s="9">
        <v>2402.02</v>
      </c>
      <c r="C1726" s="9">
        <v>2353.87</v>
      </c>
      <c r="D1726" s="9">
        <v>2401.3000000000002</v>
      </c>
      <c r="E1726" s="9">
        <f t="shared" si="78"/>
        <v>9.275382735541007E-3</v>
      </c>
      <c r="F1726" s="9">
        <f t="shared" si="79"/>
        <v>-0.15656906069153992</v>
      </c>
      <c r="G1726" s="9">
        <f t="shared" si="80"/>
        <v>1.5970887072634075E-2</v>
      </c>
    </row>
    <row r="1727" spans="1:7" x14ac:dyDescent="0.2">
      <c r="A1727" s="12">
        <v>39650</v>
      </c>
      <c r="B1727" s="9">
        <v>2451.5</v>
      </c>
      <c r="C1727" s="9">
        <v>2379.02</v>
      </c>
      <c r="D1727" s="9">
        <v>2450.9899999999998</v>
      </c>
      <c r="E1727" s="9">
        <f t="shared" si="78"/>
        <v>2.0481767198160392E-2</v>
      </c>
      <c r="F1727" s="9">
        <f t="shared" si="79"/>
        <v>-0.11457056041819068</v>
      </c>
      <c r="G1727" s="9">
        <f t="shared" si="80"/>
        <v>1.6329709209451263E-2</v>
      </c>
    </row>
    <row r="1728" spans="1:7" x14ac:dyDescent="0.2">
      <c r="A1728" s="12">
        <v>39651</v>
      </c>
      <c r="B1728" s="9">
        <v>2446.54</v>
      </c>
      <c r="C1728" s="9">
        <v>2385.66</v>
      </c>
      <c r="D1728" s="9">
        <v>2408.75</v>
      </c>
      <c r="E1728" s="9">
        <f t="shared" si="78"/>
        <v>-1.7384083823852991E-2</v>
      </c>
      <c r="F1728" s="9">
        <f t="shared" si="79"/>
        <v>-0.12235815033441357</v>
      </c>
      <c r="G1728" s="9">
        <f t="shared" si="80"/>
        <v>1.648586950165612E-2</v>
      </c>
    </row>
    <row r="1729" spans="1:7" x14ac:dyDescent="0.2">
      <c r="A1729" s="12">
        <v>39652</v>
      </c>
      <c r="B1729" s="9">
        <v>2446.34</v>
      </c>
      <c r="C1729" s="9">
        <v>2406.46</v>
      </c>
      <c r="D1729" s="9">
        <v>2409.66</v>
      </c>
      <c r="E1729" s="9">
        <f t="shared" si="78"/>
        <v>3.7771796539493268E-4</v>
      </c>
      <c r="F1729" s="9">
        <f t="shared" si="79"/>
        <v>-0.11117758175176598</v>
      </c>
      <c r="G1729" s="9">
        <f t="shared" si="80"/>
        <v>1.6454964036586969E-2</v>
      </c>
    </row>
    <row r="1730" spans="1:7" x14ac:dyDescent="0.2">
      <c r="A1730" s="12">
        <v>39653</v>
      </c>
      <c r="B1730" s="9">
        <v>2424.96</v>
      </c>
      <c r="C1730" s="9">
        <v>2296.08</v>
      </c>
      <c r="D1730" s="9">
        <v>2302.27</v>
      </c>
      <c r="E1730" s="9">
        <f t="shared" si="78"/>
        <v>-4.5590065976356432E-2</v>
      </c>
      <c r="F1730" s="9">
        <f t="shared" si="79"/>
        <v>-0.13393960198079072</v>
      </c>
      <c r="G1730" s="9">
        <f t="shared" si="80"/>
        <v>1.7834067652368665E-2</v>
      </c>
    </row>
    <row r="1731" spans="1:7" x14ac:dyDescent="0.2">
      <c r="A1731" s="12">
        <v>39654</v>
      </c>
      <c r="B1731" s="9">
        <v>2312.08</v>
      </c>
      <c r="C1731" s="9">
        <v>2257.5100000000002</v>
      </c>
      <c r="D1731" s="9">
        <v>2300.13</v>
      </c>
      <c r="E1731" s="9">
        <f t="shared" si="78"/>
        <v>-9.2994965853622242E-4</v>
      </c>
      <c r="F1731" s="9">
        <f t="shared" si="79"/>
        <v>-0.12988419457716807</v>
      </c>
      <c r="G1731" s="9">
        <f t="shared" si="80"/>
        <v>1.7845350876354422E-2</v>
      </c>
    </row>
    <row r="1732" spans="1:7" x14ac:dyDescent="0.2">
      <c r="A1732" s="12">
        <v>39657</v>
      </c>
      <c r="B1732" s="9">
        <v>2303.64</v>
      </c>
      <c r="C1732" s="9">
        <v>2269.2399999999998</v>
      </c>
      <c r="D1732" s="9">
        <v>2271.67</v>
      </c>
      <c r="E1732" s="9">
        <f t="shared" ref="E1732:E1795" si="81">LN(D1732/D1731)</f>
        <v>-1.2450399246200783E-2</v>
      </c>
      <c r="F1732" s="9">
        <f t="shared" si="79"/>
        <v>-0.15402552806486058</v>
      </c>
      <c r="G1732" s="9">
        <f t="shared" si="80"/>
        <v>1.7641163732464979E-2</v>
      </c>
    </row>
    <row r="1733" spans="1:7" x14ac:dyDescent="0.2">
      <c r="A1733" s="12">
        <v>39658</v>
      </c>
      <c r="B1733" s="9">
        <v>2273.9299999999998</v>
      </c>
      <c r="C1733" s="9">
        <v>2237.92</v>
      </c>
      <c r="D1733" s="9">
        <v>2260.54</v>
      </c>
      <c r="E1733" s="9">
        <f t="shared" si="81"/>
        <v>-4.9115210345989004E-3</v>
      </c>
      <c r="F1733" s="9">
        <f t="shared" si="79"/>
        <v>-0.16102170651749642</v>
      </c>
      <c r="G1733" s="9">
        <f t="shared" si="80"/>
        <v>1.758860860821667E-2</v>
      </c>
    </row>
    <row r="1734" spans="1:7" x14ac:dyDescent="0.2">
      <c r="A1734" s="12">
        <v>39659</v>
      </c>
      <c r="B1734" s="9">
        <v>2317.77</v>
      </c>
      <c r="C1734" s="9">
        <v>2263.4899999999998</v>
      </c>
      <c r="D1734" s="9">
        <v>2316.44</v>
      </c>
      <c r="E1734" s="9">
        <f t="shared" si="81"/>
        <v>2.44278015990168E-2</v>
      </c>
      <c r="F1734" s="9">
        <f t="shared" si="79"/>
        <v>-0.13547483713201156</v>
      </c>
      <c r="G1734" s="9">
        <f t="shared" si="80"/>
        <v>1.8401054965193637E-2</v>
      </c>
    </row>
    <row r="1735" spans="1:7" x14ac:dyDescent="0.2">
      <c r="A1735" s="12">
        <v>39660</v>
      </c>
      <c r="B1735" s="9">
        <v>2333.77</v>
      </c>
      <c r="C1735" s="9">
        <v>2299.0700000000002</v>
      </c>
      <c r="D1735" s="9">
        <v>2323.4</v>
      </c>
      <c r="E1735" s="9">
        <f t="shared" si="81"/>
        <v>3.0001057020789031E-3</v>
      </c>
      <c r="F1735" s="9">
        <f t="shared" si="79"/>
        <v>-0.11386731344724771</v>
      </c>
      <c r="G1735" s="9">
        <f t="shared" si="80"/>
        <v>1.8252746040149804E-2</v>
      </c>
    </row>
    <row r="1736" spans="1:7" x14ac:dyDescent="0.2">
      <c r="A1736" s="12">
        <v>39661</v>
      </c>
      <c r="B1736" s="9">
        <v>2315.7199999999998</v>
      </c>
      <c r="C1736" s="9">
        <v>2276.59</v>
      </c>
      <c r="D1736" s="9">
        <v>2281.62</v>
      </c>
      <c r="E1736" s="9">
        <f t="shared" si="81"/>
        <v>-1.8145913119415765E-2</v>
      </c>
      <c r="F1736" s="9">
        <f t="shared" si="79"/>
        <v>-0.11713513786711556</v>
      </c>
      <c r="G1736" s="9">
        <f t="shared" si="80"/>
        <v>1.8330748170969188E-2</v>
      </c>
    </row>
    <row r="1737" spans="1:7" x14ac:dyDescent="0.2">
      <c r="A1737" s="12">
        <v>39664</v>
      </c>
      <c r="B1737" s="9">
        <v>2293.12</v>
      </c>
      <c r="C1737" s="9">
        <v>2254.61</v>
      </c>
      <c r="D1737" s="9">
        <v>2255.0300000000002</v>
      </c>
      <c r="E1737" s="9">
        <f t="shared" si="81"/>
        <v>-1.172244034227285E-2</v>
      </c>
      <c r="F1737" s="9">
        <f t="shared" si="79"/>
        <v>-0.10031550541079587</v>
      </c>
      <c r="G1737" s="9">
        <f t="shared" si="80"/>
        <v>1.7800768946873567E-2</v>
      </c>
    </row>
    <row r="1738" spans="1:7" x14ac:dyDescent="0.2">
      <c r="A1738" s="12">
        <v>39665</v>
      </c>
      <c r="B1738" s="9">
        <v>2323.02</v>
      </c>
      <c r="C1738" s="9">
        <v>2250.7600000000002</v>
      </c>
      <c r="D1738" s="9">
        <v>2322.92</v>
      </c>
      <c r="E1738" s="9">
        <f t="shared" si="81"/>
        <v>2.9661738333282686E-2</v>
      </c>
      <c r="F1738" s="9">
        <f t="shared" si="79"/>
        <v>-6.2906160511956605E-2</v>
      </c>
      <c r="G1738" s="9">
        <f t="shared" si="80"/>
        <v>1.8765780526724965E-2</v>
      </c>
    </row>
    <row r="1739" spans="1:7" x14ac:dyDescent="0.2">
      <c r="A1739" s="12">
        <v>39666</v>
      </c>
      <c r="B1739" s="9">
        <v>2349.3000000000002</v>
      </c>
      <c r="C1739" s="9">
        <v>2313.5100000000002</v>
      </c>
      <c r="D1739" s="9">
        <v>2346.4499999999998</v>
      </c>
      <c r="E1739" s="9">
        <f t="shared" si="81"/>
        <v>1.0078532724920305E-2</v>
      </c>
      <c r="F1739" s="9">
        <f t="shared" si="79"/>
        <v>-7.2382603805388857E-2</v>
      </c>
      <c r="G1739" s="9">
        <f t="shared" si="80"/>
        <v>1.8466115818493355E-2</v>
      </c>
    </row>
    <row r="1740" spans="1:7" x14ac:dyDescent="0.2">
      <c r="A1740" s="12">
        <v>39667</v>
      </c>
      <c r="B1740" s="9">
        <v>2378.0100000000002</v>
      </c>
      <c r="C1740" s="9">
        <v>2324.4699999999998</v>
      </c>
      <c r="D1740" s="9">
        <v>2342.64</v>
      </c>
      <c r="E1740" s="9">
        <f t="shared" si="81"/>
        <v>-1.6250491410696221E-3</v>
      </c>
      <c r="F1740" s="9">
        <f t="shared" si="79"/>
        <v>-4.9012924232563516E-2</v>
      </c>
      <c r="G1740" s="9">
        <f t="shared" si="80"/>
        <v>1.7966823554190818E-2</v>
      </c>
    </row>
    <row r="1741" spans="1:7" x14ac:dyDescent="0.2">
      <c r="A1741" s="12">
        <v>39668</v>
      </c>
      <c r="B1741" s="9">
        <v>2381.34</v>
      </c>
      <c r="C1741" s="9">
        <v>2325.56</v>
      </c>
      <c r="D1741" s="9">
        <v>2381.34</v>
      </c>
      <c r="E1741" s="9">
        <f t="shared" si="81"/>
        <v>1.6384855901559043E-2</v>
      </c>
      <c r="F1741" s="9">
        <f t="shared" si="79"/>
        <v>-3.5177329695509421E-2</v>
      </c>
      <c r="G1741" s="9">
        <f t="shared" si="80"/>
        <v>1.8253188561179894E-2</v>
      </c>
    </row>
    <row r="1742" spans="1:7" x14ac:dyDescent="0.2">
      <c r="A1742" s="12">
        <v>39671</v>
      </c>
      <c r="B1742" s="9">
        <v>2415.37</v>
      </c>
      <c r="C1742" s="9">
        <v>2381.92</v>
      </c>
      <c r="D1742" s="9">
        <v>2405.0700000000002</v>
      </c>
      <c r="E1742" s="9">
        <f t="shared" si="81"/>
        <v>9.9156547090171344E-3</v>
      </c>
      <c r="F1742" s="9">
        <f t="shared" si="79"/>
        <v>-2.6258502241084895E-2</v>
      </c>
      <c r="G1742" s="9">
        <f t="shared" si="80"/>
        <v>1.8362047581401576E-2</v>
      </c>
    </row>
    <row r="1743" spans="1:7" x14ac:dyDescent="0.2">
      <c r="A1743" s="12">
        <v>39672</v>
      </c>
      <c r="B1743" s="9">
        <v>2407.94</v>
      </c>
      <c r="C1743" s="9">
        <v>2373.6999999999998</v>
      </c>
      <c r="D1743" s="9">
        <v>2394.81</v>
      </c>
      <c r="E1743" s="9">
        <f t="shared" si="81"/>
        <v>-4.2751133888696297E-3</v>
      </c>
      <c r="F1743" s="9">
        <f t="shared" si="79"/>
        <v>-3.5971486711362543E-3</v>
      </c>
      <c r="G1743" s="9">
        <f t="shared" si="80"/>
        <v>1.7707425490660615E-2</v>
      </c>
    </row>
    <row r="1744" spans="1:7" x14ac:dyDescent="0.2">
      <c r="A1744" s="12">
        <v>39673</v>
      </c>
      <c r="B1744" s="9">
        <v>2394.02</v>
      </c>
      <c r="C1744" s="9">
        <v>2321.42</v>
      </c>
      <c r="D1744" s="9">
        <v>2324.87</v>
      </c>
      <c r="E1744" s="9">
        <f t="shared" si="81"/>
        <v>-2.9639772276808585E-2</v>
      </c>
      <c r="F1744" s="9">
        <f t="shared" si="79"/>
        <v>-2.5430173545600183E-2</v>
      </c>
      <c r="G1744" s="9">
        <f t="shared" si="80"/>
        <v>1.8466633714601808E-2</v>
      </c>
    </row>
    <row r="1745" spans="1:7" x14ac:dyDescent="0.2">
      <c r="A1745" s="12">
        <v>39674</v>
      </c>
      <c r="B1745" s="9">
        <v>2372.7600000000002</v>
      </c>
      <c r="C1745" s="9">
        <v>2326.44</v>
      </c>
      <c r="D1745" s="9">
        <v>2372.17</v>
      </c>
      <c r="E1745" s="9">
        <f t="shared" si="81"/>
        <v>2.0141024546999026E-2</v>
      </c>
      <c r="F1745" s="9">
        <f t="shared" si="79"/>
        <v>-4.328419273609308E-3</v>
      </c>
      <c r="G1745" s="9">
        <f t="shared" si="80"/>
        <v>1.8859873550939585E-2</v>
      </c>
    </row>
    <row r="1746" spans="1:7" x14ac:dyDescent="0.2">
      <c r="A1746" s="12">
        <v>39675</v>
      </c>
      <c r="B1746" s="9">
        <v>2396.66</v>
      </c>
      <c r="C1746" s="9">
        <v>2367.17</v>
      </c>
      <c r="D1746" s="9">
        <v>2396.0100000000002</v>
      </c>
      <c r="E1746" s="9">
        <f t="shared" si="81"/>
        <v>9.9997058226187329E-3</v>
      </c>
      <c r="F1746" s="9">
        <f t="shared" si="79"/>
        <v>1.7714333884112535E-2</v>
      </c>
      <c r="G1746" s="9">
        <f t="shared" si="80"/>
        <v>1.8809639672867799E-2</v>
      </c>
    </row>
    <row r="1747" spans="1:7" x14ac:dyDescent="0.2">
      <c r="A1747" s="12">
        <v>39678</v>
      </c>
      <c r="B1747" s="9">
        <v>2402.09</v>
      </c>
      <c r="C1747" s="9">
        <v>2373.58</v>
      </c>
      <c r="D1747" s="9">
        <v>2382.06</v>
      </c>
      <c r="E1747" s="9">
        <f t="shared" si="81"/>
        <v>-5.8391943344484887E-3</v>
      </c>
      <c r="F1747" s="9">
        <f t="shared" si="79"/>
        <v>-2.4779731046228964E-3</v>
      </c>
      <c r="G1747" s="9">
        <f t="shared" si="80"/>
        <v>1.8660869425872445E-2</v>
      </c>
    </row>
    <row r="1748" spans="1:7" x14ac:dyDescent="0.2">
      <c r="A1748" s="12">
        <v>39679</v>
      </c>
      <c r="B1748" s="9">
        <v>2379.5700000000002</v>
      </c>
      <c r="C1748" s="9">
        <v>2311.87</v>
      </c>
      <c r="D1748" s="9">
        <v>2316.79</v>
      </c>
      <c r="E1748" s="9">
        <f t="shared" si="81"/>
        <v>-2.7783052631147082E-2</v>
      </c>
      <c r="F1748" s="9">
        <f t="shared" si="79"/>
        <v>-9.5408807004395517E-3</v>
      </c>
      <c r="G1748" s="9">
        <f t="shared" si="80"/>
        <v>1.8972173257785861E-2</v>
      </c>
    </row>
    <row r="1749" spans="1:7" x14ac:dyDescent="0.2">
      <c r="A1749" s="12">
        <v>39680</v>
      </c>
      <c r="B1749" s="9">
        <v>2346.69</v>
      </c>
      <c r="C1749" s="9">
        <v>2315.77</v>
      </c>
      <c r="D1749" s="9">
        <v>2327.04</v>
      </c>
      <c r="E1749" s="9">
        <f t="shared" si="81"/>
        <v>4.4144667852105239E-3</v>
      </c>
      <c r="F1749" s="9">
        <f t="shared" si="79"/>
        <v>-3.247454503278082E-2</v>
      </c>
      <c r="G1749" s="9">
        <f t="shared" si="80"/>
        <v>1.8267934696888109E-2</v>
      </c>
    </row>
    <row r="1750" spans="1:7" x14ac:dyDescent="0.2">
      <c r="A1750" s="12">
        <v>39681</v>
      </c>
      <c r="B1750" s="9">
        <v>2338.58</v>
      </c>
      <c r="C1750" s="9">
        <v>2298.0500000000002</v>
      </c>
      <c r="D1750" s="9">
        <v>2320.4</v>
      </c>
      <c r="E1750" s="9">
        <f t="shared" si="81"/>
        <v>-2.8574890770406113E-3</v>
      </c>
      <c r="F1750" s="9">
        <f t="shared" si="79"/>
        <v>-1.8171253828178323E-2</v>
      </c>
      <c r="G1750" s="9">
        <f t="shared" si="80"/>
        <v>1.8018788363784795E-2</v>
      </c>
    </row>
    <row r="1751" spans="1:7" x14ac:dyDescent="0.2">
      <c r="A1751" s="12">
        <v>39682</v>
      </c>
      <c r="B1751" s="9">
        <v>2378.9</v>
      </c>
      <c r="C1751" s="9">
        <v>2322.11</v>
      </c>
      <c r="D1751" s="9">
        <v>2378.48</v>
      </c>
      <c r="E1751" s="9">
        <f t="shared" si="81"/>
        <v>2.4722043584153086E-2</v>
      </c>
      <c r="F1751" s="9">
        <f t="shared" si="79"/>
        <v>2.4575527857151721E-2</v>
      </c>
      <c r="G1751" s="9">
        <f t="shared" si="80"/>
        <v>1.8282069735662234E-2</v>
      </c>
    </row>
    <row r="1752" spans="1:7" x14ac:dyDescent="0.2">
      <c r="A1752" s="12">
        <v>39685</v>
      </c>
      <c r="B1752" s="9">
        <v>2382.0300000000002</v>
      </c>
      <c r="C1752" s="9">
        <v>2353.52</v>
      </c>
      <c r="D1752" s="9">
        <v>2361.5700000000002</v>
      </c>
      <c r="E1752" s="9">
        <f t="shared" si="81"/>
        <v>-7.1349761026284816E-3</v>
      </c>
      <c r="F1752" s="9">
        <f t="shared" si="79"/>
        <v>1.5000345256539602E-2</v>
      </c>
      <c r="G1752" s="9">
        <f t="shared" si="80"/>
        <v>1.833629616774754E-2</v>
      </c>
    </row>
    <row r="1753" spans="1:7" x14ac:dyDescent="0.2">
      <c r="A1753" s="12">
        <v>39686</v>
      </c>
      <c r="B1753" s="9">
        <v>2366.13</v>
      </c>
      <c r="C1753" s="9">
        <v>2328.85</v>
      </c>
      <c r="D1753" s="9">
        <v>2362.61</v>
      </c>
      <c r="E1753" s="9">
        <f t="shared" si="81"/>
        <v>4.4028805710219119E-4</v>
      </c>
      <c r="F1753" s="9">
        <f t="shared" si="79"/>
        <v>3.5955598546626812E-2</v>
      </c>
      <c r="G1753" s="9">
        <f t="shared" si="80"/>
        <v>1.7902138049429583E-2</v>
      </c>
    </row>
    <row r="1754" spans="1:7" x14ac:dyDescent="0.2">
      <c r="A1754" s="12">
        <v>39687</v>
      </c>
      <c r="B1754" s="9">
        <v>2363.66</v>
      </c>
      <c r="C1754" s="9">
        <v>2325.14</v>
      </c>
      <c r="D1754" s="9">
        <v>2355.77</v>
      </c>
      <c r="E1754" s="9">
        <f t="shared" si="81"/>
        <v>-2.8993022144858517E-3</v>
      </c>
      <c r="F1754" s="9">
        <f t="shared" si="79"/>
        <v>1.5339246111614972E-2</v>
      </c>
      <c r="G1754" s="9">
        <f t="shared" si="80"/>
        <v>1.7639955000481086E-2</v>
      </c>
    </row>
    <row r="1755" spans="1:7" x14ac:dyDescent="0.2">
      <c r="A1755" s="12">
        <v>39688</v>
      </c>
      <c r="B1755" s="9">
        <v>2388.86</v>
      </c>
      <c r="C1755" s="9">
        <v>2338.2600000000002</v>
      </c>
      <c r="D1755" s="9">
        <v>2384.1</v>
      </c>
      <c r="E1755" s="9">
        <f t="shared" si="81"/>
        <v>1.1954056698193024E-2</v>
      </c>
      <c r="F1755" s="9">
        <f t="shared" si="79"/>
        <v>2.0868199955157468E-3</v>
      </c>
      <c r="G1755" s="9">
        <f t="shared" si="80"/>
        <v>1.7159598678706089E-2</v>
      </c>
    </row>
    <row r="1756" spans="1:7" x14ac:dyDescent="0.2">
      <c r="A1756" s="12">
        <v>39689</v>
      </c>
      <c r="B1756" s="9">
        <v>2400.5</v>
      </c>
      <c r="C1756" s="9">
        <v>2376.5500000000002</v>
      </c>
      <c r="D1756" s="9">
        <v>2386.31</v>
      </c>
      <c r="E1756" s="9">
        <f t="shared" si="81"/>
        <v>9.2654516408625009E-4</v>
      </c>
      <c r="F1756" s="9">
        <f t="shared" si="79"/>
        <v>-6.2620175759391045E-3</v>
      </c>
      <c r="G1756" s="9">
        <f t="shared" si="80"/>
        <v>1.7072630651771781E-2</v>
      </c>
    </row>
    <row r="1757" spans="1:7" x14ac:dyDescent="0.2">
      <c r="A1757" s="12">
        <v>39692</v>
      </c>
      <c r="B1757" s="9">
        <v>2396.52</v>
      </c>
      <c r="C1757" s="9">
        <v>2362.4</v>
      </c>
      <c r="D1757" s="9">
        <v>2391.83</v>
      </c>
      <c r="E1757" s="9">
        <f t="shared" si="81"/>
        <v>2.3105235324702668E-3</v>
      </c>
      <c r="F1757" s="9">
        <f t="shared" si="79"/>
        <v>-2.4433261241629225E-2</v>
      </c>
      <c r="G1757" s="9">
        <f t="shared" si="80"/>
        <v>1.6629854910023431E-2</v>
      </c>
    </row>
    <row r="1758" spans="1:7" x14ac:dyDescent="0.2">
      <c r="A1758" s="12">
        <v>39693</v>
      </c>
      <c r="B1758" s="9">
        <v>2421.77</v>
      </c>
      <c r="C1758" s="9">
        <v>2371.69</v>
      </c>
      <c r="D1758" s="9">
        <v>2399.98</v>
      </c>
      <c r="E1758" s="9">
        <f t="shared" si="81"/>
        <v>3.401640657181289E-3</v>
      </c>
      <c r="F1758" s="9">
        <f t="shared" si="79"/>
        <v>-3.6475367605949272E-3</v>
      </c>
      <c r="G1758" s="9">
        <f t="shared" si="80"/>
        <v>1.6346286022662849E-2</v>
      </c>
    </row>
    <row r="1759" spans="1:7" x14ac:dyDescent="0.2">
      <c r="A1759" s="12">
        <v>39694</v>
      </c>
      <c r="B1759" s="9">
        <v>2397.48</v>
      </c>
      <c r="C1759" s="9">
        <v>2371.87</v>
      </c>
      <c r="D1759" s="9">
        <v>2378.44</v>
      </c>
      <c r="E1759" s="9">
        <f t="shared" si="81"/>
        <v>-9.0155933965877025E-3</v>
      </c>
      <c r="F1759" s="9">
        <f t="shared" si="79"/>
        <v>-1.3040848122577494E-2</v>
      </c>
      <c r="G1759" s="9">
        <f t="shared" si="80"/>
        <v>1.6426160676175389E-2</v>
      </c>
    </row>
    <row r="1760" spans="1:7" x14ac:dyDescent="0.2">
      <c r="A1760" s="12">
        <v>39695</v>
      </c>
      <c r="B1760" s="9">
        <v>2386.6</v>
      </c>
      <c r="C1760" s="9">
        <v>2293.71</v>
      </c>
      <c r="D1760" s="9">
        <v>2293.86</v>
      </c>
      <c r="E1760" s="9">
        <f t="shared" si="81"/>
        <v>-3.6208822515114876E-2</v>
      </c>
      <c r="F1760" s="9">
        <f t="shared" si="79"/>
        <v>-3.6596046613358887E-3</v>
      </c>
      <c r="G1760" s="9">
        <f t="shared" si="80"/>
        <v>1.5605691889936109E-2</v>
      </c>
    </row>
    <row r="1761" spans="1:7" x14ac:dyDescent="0.2">
      <c r="A1761" s="12">
        <v>39696</v>
      </c>
      <c r="B1761" s="9">
        <v>2292.15</v>
      </c>
      <c r="C1761" s="9">
        <v>2202.3200000000002</v>
      </c>
      <c r="D1761" s="9">
        <v>2207.27</v>
      </c>
      <c r="E1761" s="9">
        <f t="shared" si="81"/>
        <v>-3.8479530266821459E-2</v>
      </c>
      <c r="F1761" s="9">
        <f t="shared" ref="F1761:F1824" si="82">LN(D1761/D1731)</f>
        <v>-4.1209185269621071E-2</v>
      </c>
      <c r="G1761" s="9">
        <f t="shared" ref="G1761:G1824" si="83">STDEV(E1732:E1761)</f>
        <v>1.710640156768882E-2</v>
      </c>
    </row>
    <row r="1762" spans="1:7" x14ac:dyDescent="0.2">
      <c r="A1762" s="12">
        <v>39699</v>
      </c>
      <c r="B1762" s="9">
        <v>2309.11</v>
      </c>
      <c r="C1762" s="9">
        <v>2211.61</v>
      </c>
      <c r="D1762" s="9">
        <v>2280.58</v>
      </c>
      <c r="E1762" s="9">
        <f t="shared" si="81"/>
        <v>3.2673338773318149E-2</v>
      </c>
      <c r="F1762" s="9">
        <f t="shared" si="82"/>
        <v>3.9145527498978729E-3</v>
      </c>
      <c r="G1762" s="9">
        <f t="shared" si="83"/>
        <v>1.8056301472116874E-2</v>
      </c>
    </row>
    <row r="1763" spans="1:7" x14ac:dyDescent="0.2">
      <c r="A1763" s="12">
        <v>39700</v>
      </c>
      <c r="B1763" s="9">
        <v>2289.33</v>
      </c>
      <c r="C1763" s="9">
        <v>2234.3000000000002</v>
      </c>
      <c r="D1763" s="9">
        <v>2239.5</v>
      </c>
      <c r="E1763" s="9">
        <f t="shared" si="81"/>
        <v>-1.8177169915420632E-2</v>
      </c>
      <c r="F1763" s="9">
        <f t="shared" si="82"/>
        <v>-9.3510961309237958E-3</v>
      </c>
      <c r="G1763" s="9">
        <f t="shared" si="83"/>
        <v>1.8344174264659764E-2</v>
      </c>
    </row>
    <row r="1764" spans="1:7" x14ac:dyDescent="0.2">
      <c r="A1764" s="12">
        <v>39701</v>
      </c>
      <c r="B1764" s="9">
        <v>2267.11</v>
      </c>
      <c r="C1764" s="9">
        <v>2219.94</v>
      </c>
      <c r="D1764" s="9">
        <v>2234.4299999999998</v>
      </c>
      <c r="E1764" s="9">
        <f t="shared" si="81"/>
        <v>-2.2664646833205977E-3</v>
      </c>
      <c r="F1764" s="9">
        <f t="shared" si="82"/>
        <v>-3.6045362413261298E-2</v>
      </c>
      <c r="G1764" s="9">
        <f t="shared" si="83"/>
        <v>1.7740250701450033E-2</v>
      </c>
    </row>
    <row r="1765" spans="1:7" x14ac:dyDescent="0.2">
      <c r="A1765" s="12">
        <v>39702</v>
      </c>
      <c r="B1765" s="9">
        <v>2269.69</v>
      </c>
      <c r="C1765" s="9">
        <v>2203.19</v>
      </c>
      <c r="D1765" s="9">
        <v>2230.62</v>
      </c>
      <c r="E1765" s="9">
        <f t="shared" si="81"/>
        <v>-1.7065882463581409E-3</v>
      </c>
      <c r="F1765" s="9">
        <f t="shared" si="82"/>
        <v>-4.0752056361698381E-2</v>
      </c>
      <c r="G1765" s="9">
        <f t="shared" si="83"/>
        <v>1.7722615039428451E-2</v>
      </c>
    </row>
    <row r="1766" spans="1:7" x14ac:dyDescent="0.2">
      <c r="A1766" s="12">
        <v>39703</v>
      </c>
      <c r="B1766" s="9">
        <v>2276.29</v>
      </c>
      <c r="C1766" s="9">
        <v>2231.89</v>
      </c>
      <c r="D1766" s="9">
        <v>2272.11</v>
      </c>
      <c r="E1766" s="9">
        <f t="shared" si="81"/>
        <v>1.8429341444331591E-2</v>
      </c>
      <c r="F1766" s="9">
        <f t="shared" si="82"/>
        <v>-4.176801797951016E-3</v>
      </c>
      <c r="G1766" s="9">
        <f t="shared" si="83"/>
        <v>1.7785875878167129E-2</v>
      </c>
    </row>
    <row r="1767" spans="1:7" x14ac:dyDescent="0.2">
      <c r="A1767" s="12">
        <v>39706</v>
      </c>
      <c r="B1767" s="9">
        <v>2267.12</v>
      </c>
      <c r="C1767" s="9">
        <v>2173</v>
      </c>
      <c r="D1767" s="9">
        <v>2213.3000000000002</v>
      </c>
      <c r="E1767" s="9">
        <f t="shared" si="81"/>
        <v>-2.6224300714008157E-2</v>
      </c>
      <c r="F1767" s="9">
        <f t="shared" si="82"/>
        <v>-1.8678662169686295E-2</v>
      </c>
      <c r="G1767" s="9">
        <f t="shared" si="83"/>
        <v>1.8301153305760692E-2</v>
      </c>
    </row>
    <row r="1768" spans="1:7" x14ac:dyDescent="0.2">
      <c r="A1768" s="12">
        <v>39707</v>
      </c>
      <c r="B1768" s="9">
        <v>2212.0500000000002</v>
      </c>
      <c r="C1768" s="9">
        <v>2143.6</v>
      </c>
      <c r="D1768" s="9">
        <v>2172.16</v>
      </c>
      <c r="E1768" s="9">
        <f t="shared" si="81"/>
        <v>-1.876255028224743E-2</v>
      </c>
      <c r="F1768" s="9">
        <f t="shared" si="82"/>
        <v>-6.7102950785216414E-2</v>
      </c>
      <c r="G1768" s="9">
        <f t="shared" si="83"/>
        <v>1.7662335674934939E-2</v>
      </c>
    </row>
    <row r="1769" spans="1:7" x14ac:dyDescent="0.2">
      <c r="A1769" s="12">
        <v>39708</v>
      </c>
      <c r="B1769" s="9">
        <v>2212.38</v>
      </c>
      <c r="C1769" s="9">
        <v>2082.84</v>
      </c>
      <c r="D1769" s="9">
        <v>2086.27</v>
      </c>
      <c r="E1769" s="9">
        <f t="shared" si="81"/>
        <v>-4.0344281656868534E-2</v>
      </c>
      <c r="F1769" s="9">
        <f t="shared" si="82"/>
        <v>-0.1175257651670053</v>
      </c>
      <c r="G1769" s="9">
        <f t="shared" si="83"/>
        <v>1.8811728306744314E-2</v>
      </c>
    </row>
    <row r="1770" spans="1:7" x14ac:dyDescent="0.2">
      <c r="A1770" s="12">
        <v>39709</v>
      </c>
      <c r="B1770" s="9">
        <v>2106.92</v>
      </c>
      <c r="C1770" s="9">
        <v>2043.18</v>
      </c>
      <c r="D1770" s="9">
        <v>2050.29</v>
      </c>
      <c r="E1770" s="9">
        <f t="shared" si="81"/>
        <v>-1.7396535966800877E-2</v>
      </c>
      <c r="F1770" s="9">
        <f t="shared" si="82"/>
        <v>-0.13329725199273665</v>
      </c>
      <c r="G1770" s="9">
        <f t="shared" si="83"/>
        <v>1.8965203602907193E-2</v>
      </c>
    </row>
    <row r="1771" spans="1:7" x14ac:dyDescent="0.2">
      <c r="A1771" s="12">
        <v>39710</v>
      </c>
      <c r="B1771" s="9">
        <v>2249.79</v>
      </c>
      <c r="C1771" s="9">
        <v>2058.6999999999998</v>
      </c>
      <c r="D1771" s="9">
        <v>2249.79</v>
      </c>
      <c r="E1771" s="9">
        <f t="shared" si="81"/>
        <v>9.2855631967223129E-2</v>
      </c>
      <c r="F1771" s="9">
        <f t="shared" si="82"/>
        <v>-5.6826475927072406E-2</v>
      </c>
      <c r="G1771" s="9">
        <f t="shared" si="83"/>
        <v>2.5776910724964137E-2</v>
      </c>
    </row>
    <row r="1772" spans="1:7" x14ac:dyDescent="0.2">
      <c r="A1772" s="12">
        <v>39713</v>
      </c>
      <c r="B1772" s="9">
        <v>2267.5300000000002</v>
      </c>
      <c r="C1772" s="9">
        <v>2183.9899999999998</v>
      </c>
      <c r="D1772" s="9">
        <v>2193.46</v>
      </c>
      <c r="E1772" s="9">
        <f t="shared" si="81"/>
        <v>-2.5356672765685186E-2</v>
      </c>
      <c r="F1772" s="9">
        <f t="shared" si="82"/>
        <v>-9.2098803401774704E-2</v>
      </c>
      <c r="G1772" s="9">
        <f t="shared" si="83"/>
        <v>2.6022912499586551E-2</v>
      </c>
    </row>
    <row r="1773" spans="1:7" x14ac:dyDescent="0.2">
      <c r="A1773" s="12">
        <v>39714</v>
      </c>
      <c r="B1773" s="9">
        <v>2190.83</v>
      </c>
      <c r="C1773" s="9">
        <v>2110.3200000000002</v>
      </c>
      <c r="D1773" s="9">
        <v>2127.4</v>
      </c>
      <c r="E1773" s="9">
        <f t="shared" si="81"/>
        <v>-3.0579628926056143E-2</v>
      </c>
      <c r="F1773" s="9">
        <f t="shared" si="82"/>
        <v>-0.11840331893896121</v>
      </c>
      <c r="G1773" s="9">
        <f t="shared" si="83"/>
        <v>2.6503631830753108E-2</v>
      </c>
    </row>
    <row r="1774" spans="1:7" x14ac:dyDescent="0.2">
      <c r="A1774" s="12">
        <v>39715</v>
      </c>
      <c r="B1774" s="9">
        <v>2144.09</v>
      </c>
      <c r="C1774" s="9">
        <v>2105.02</v>
      </c>
      <c r="D1774" s="9">
        <v>2110.42</v>
      </c>
      <c r="E1774" s="9">
        <f t="shared" si="81"/>
        <v>-8.0135970229980834E-3</v>
      </c>
      <c r="F1774" s="9">
        <f t="shared" si="82"/>
        <v>-9.6777143685150793E-2</v>
      </c>
      <c r="G1774" s="9">
        <f t="shared" si="83"/>
        <v>2.6071289416198684E-2</v>
      </c>
    </row>
    <row r="1775" spans="1:7" x14ac:dyDescent="0.2">
      <c r="A1775" s="12">
        <v>39716</v>
      </c>
      <c r="B1775" s="9">
        <v>2147.21</v>
      </c>
      <c r="C1775" s="9">
        <v>2102.92</v>
      </c>
      <c r="D1775" s="9">
        <v>2138.37</v>
      </c>
      <c r="E1775" s="9">
        <f t="shared" si="81"/>
        <v>1.315687675103717E-2</v>
      </c>
      <c r="F1775" s="9">
        <f t="shared" si="82"/>
        <v>-0.10376129148111281</v>
      </c>
      <c r="G1775" s="9">
        <f t="shared" si="83"/>
        <v>2.5885962127847328E-2</v>
      </c>
    </row>
    <row r="1776" spans="1:7" x14ac:dyDescent="0.2">
      <c r="A1776" s="12">
        <v>39717</v>
      </c>
      <c r="B1776" s="9">
        <v>2133.11</v>
      </c>
      <c r="C1776" s="9">
        <v>2069.6999999999998</v>
      </c>
      <c r="D1776" s="9">
        <v>2083.9699999999998</v>
      </c>
      <c r="E1776" s="9">
        <f t="shared" si="81"/>
        <v>-2.5769128169434798E-2</v>
      </c>
      <c r="F1776" s="9">
        <f t="shared" si="82"/>
        <v>-0.1395301254731664</v>
      </c>
      <c r="G1776" s="9">
        <f t="shared" si="83"/>
        <v>2.6067807377843529E-2</v>
      </c>
    </row>
    <row r="1777" spans="1:7" x14ac:dyDescent="0.2">
      <c r="A1777" s="12">
        <v>39720</v>
      </c>
      <c r="B1777" s="9">
        <v>2096.34</v>
      </c>
      <c r="C1777" s="9">
        <v>1963.11</v>
      </c>
      <c r="D1777" s="9">
        <v>1967.84</v>
      </c>
      <c r="E1777" s="9">
        <f t="shared" si="81"/>
        <v>-5.7338233882068407E-2</v>
      </c>
      <c r="F1777" s="9">
        <f t="shared" si="82"/>
        <v>-0.19102916502078623</v>
      </c>
      <c r="G1777" s="9">
        <f t="shared" si="83"/>
        <v>2.7787689040997203E-2</v>
      </c>
    </row>
    <row r="1778" spans="1:7" x14ac:dyDescent="0.2">
      <c r="A1778" s="12">
        <v>39721</v>
      </c>
      <c r="B1778" s="9">
        <v>2007.16</v>
      </c>
      <c r="C1778" s="9">
        <v>1911.43</v>
      </c>
      <c r="D1778" s="9">
        <v>1980.27</v>
      </c>
      <c r="E1778" s="9">
        <f t="shared" si="81"/>
        <v>6.2967045341687979E-3</v>
      </c>
      <c r="F1778" s="9">
        <f t="shared" si="82"/>
        <v>-0.15694940785547037</v>
      </c>
      <c r="G1778" s="9">
        <f t="shared" si="83"/>
        <v>2.7577830627528985E-2</v>
      </c>
    </row>
    <row r="1779" spans="1:7" x14ac:dyDescent="0.2">
      <c r="A1779" s="12">
        <v>39722</v>
      </c>
      <c r="B1779" s="9">
        <v>2042.2</v>
      </c>
      <c r="C1779" s="9">
        <v>1962.66</v>
      </c>
      <c r="D1779" s="9">
        <v>1970.5</v>
      </c>
      <c r="E1779" s="9">
        <f t="shared" si="81"/>
        <v>-4.9458813932106108E-3</v>
      </c>
      <c r="F1779" s="9">
        <f t="shared" si="82"/>
        <v>-0.1663097560338915</v>
      </c>
      <c r="G1779" s="9">
        <f t="shared" si="83"/>
        <v>2.7517818137492517E-2</v>
      </c>
    </row>
    <row r="1780" spans="1:7" x14ac:dyDescent="0.2">
      <c r="A1780" s="12">
        <v>39723</v>
      </c>
      <c r="B1780" s="9">
        <v>1996.85</v>
      </c>
      <c r="C1780" s="9">
        <v>1925.23</v>
      </c>
      <c r="D1780" s="9">
        <v>1939.1</v>
      </c>
      <c r="E1780" s="9">
        <f t="shared" si="81"/>
        <v>-1.6063369746486107E-2</v>
      </c>
      <c r="F1780" s="9">
        <f t="shared" si="82"/>
        <v>-0.17951563670333709</v>
      </c>
      <c r="G1780" s="9">
        <f t="shared" si="83"/>
        <v>2.7578924223151578E-2</v>
      </c>
    </row>
    <row r="1781" spans="1:7" x14ac:dyDescent="0.2">
      <c r="A1781" s="12">
        <v>39724</v>
      </c>
      <c r="B1781" s="9">
        <v>1988.48</v>
      </c>
      <c r="C1781" s="9">
        <v>1928.13</v>
      </c>
      <c r="D1781" s="9">
        <v>1980.77</v>
      </c>
      <c r="E1781" s="9">
        <f t="shared" si="81"/>
        <v>2.126171009121236E-2</v>
      </c>
      <c r="F1781" s="9">
        <f t="shared" si="82"/>
        <v>-0.18297597019627787</v>
      </c>
      <c r="G1781" s="9">
        <f t="shared" si="83"/>
        <v>2.7453022106090689E-2</v>
      </c>
    </row>
    <row r="1782" spans="1:7" x14ac:dyDescent="0.2">
      <c r="A1782" s="12">
        <v>39727</v>
      </c>
      <c r="B1782" s="9">
        <v>1976.17</v>
      </c>
      <c r="C1782" s="9">
        <v>1798.08</v>
      </c>
      <c r="D1782" s="9">
        <v>1812</v>
      </c>
      <c r="E1782" s="9">
        <f t="shared" si="81"/>
        <v>-8.9054450376859981E-2</v>
      </c>
      <c r="F1782" s="9">
        <f t="shared" si="82"/>
        <v>-0.26489544447050922</v>
      </c>
      <c r="G1782" s="9">
        <f t="shared" si="83"/>
        <v>3.1356235596937301E-2</v>
      </c>
    </row>
    <row r="1783" spans="1:7" x14ac:dyDescent="0.2">
      <c r="A1783" s="12">
        <v>39728</v>
      </c>
      <c r="B1783" s="9">
        <v>1848.56</v>
      </c>
      <c r="C1783" s="9">
        <v>1737.79</v>
      </c>
      <c r="D1783" s="9">
        <v>1755.85</v>
      </c>
      <c r="E1783" s="9">
        <f t="shared" si="81"/>
        <v>-3.1478137468779997E-2</v>
      </c>
      <c r="F1783" s="9">
        <f t="shared" si="82"/>
        <v>-0.29681386999639153</v>
      </c>
      <c r="G1783" s="9">
        <f t="shared" si="83"/>
        <v>3.1571616381751814E-2</v>
      </c>
    </row>
    <row r="1784" spans="1:7" x14ac:dyDescent="0.2">
      <c r="A1784" s="12">
        <v>39729</v>
      </c>
      <c r="B1784" s="9">
        <v>1797.52</v>
      </c>
      <c r="C1784" s="9">
        <v>1649.17</v>
      </c>
      <c r="D1784" s="9">
        <v>1670.14</v>
      </c>
      <c r="E1784" s="9">
        <f t="shared" si="81"/>
        <v>-5.0045614901748227E-2</v>
      </c>
      <c r="F1784" s="9">
        <f t="shared" si="82"/>
        <v>-0.34396018268365397</v>
      </c>
      <c r="G1784" s="9">
        <f t="shared" si="83"/>
        <v>3.2374636210790814E-2</v>
      </c>
    </row>
    <row r="1785" spans="1:7" x14ac:dyDescent="0.2">
      <c r="A1785" s="12">
        <v>39730</v>
      </c>
      <c r="B1785" s="9">
        <v>1760.69</v>
      </c>
      <c r="C1785" s="9">
        <v>1654.53</v>
      </c>
      <c r="D1785" s="9">
        <v>1678.69</v>
      </c>
      <c r="E1785" s="9">
        <f t="shared" si="81"/>
        <v>5.1062720877005892E-3</v>
      </c>
      <c r="F1785" s="9">
        <f t="shared" si="82"/>
        <v>-0.35080796729414632</v>
      </c>
      <c r="G1785" s="9">
        <f t="shared" si="83"/>
        <v>3.2227629046727706E-2</v>
      </c>
    </row>
    <row r="1786" spans="1:7" x14ac:dyDescent="0.2">
      <c r="A1786" s="12">
        <v>39731</v>
      </c>
      <c r="B1786" s="9">
        <v>1670.67</v>
      </c>
      <c r="C1786" s="9">
        <v>1544.59</v>
      </c>
      <c r="D1786" s="9">
        <v>1616.48</v>
      </c>
      <c r="E1786" s="9">
        <f t="shared" si="81"/>
        <v>-3.7762781640674842E-2</v>
      </c>
      <c r="F1786" s="9">
        <f t="shared" si="82"/>
        <v>-0.38949729409890749</v>
      </c>
      <c r="G1786" s="9">
        <f t="shared" si="83"/>
        <v>3.247833279337925E-2</v>
      </c>
    </row>
    <row r="1787" spans="1:7" x14ac:dyDescent="0.2">
      <c r="A1787" s="12">
        <v>39734</v>
      </c>
      <c r="B1787" s="9">
        <v>1757.72</v>
      </c>
      <c r="C1787" s="9">
        <v>1622.92</v>
      </c>
      <c r="D1787" s="9">
        <v>1752.22</v>
      </c>
      <c r="E1787" s="9">
        <f t="shared" si="81"/>
        <v>8.0632609709820321E-2</v>
      </c>
      <c r="F1787" s="9">
        <f t="shared" si="82"/>
        <v>-0.31117520792155745</v>
      </c>
      <c r="G1787" s="9">
        <f t="shared" si="83"/>
        <v>3.6632363319705846E-2</v>
      </c>
    </row>
    <row r="1788" spans="1:7" x14ac:dyDescent="0.2">
      <c r="A1788" s="12">
        <v>39735</v>
      </c>
      <c r="B1788" s="9">
        <v>1889.21</v>
      </c>
      <c r="C1788" s="9">
        <v>1758.54</v>
      </c>
      <c r="D1788" s="9">
        <v>1800.5</v>
      </c>
      <c r="E1788" s="9">
        <f t="shared" si="81"/>
        <v>2.7180848699687434E-2</v>
      </c>
      <c r="F1788" s="9">
        <f t="shared" si="82"/>
        <v>-0.28739599987905129</v>
      </c>
      <c r="G1788" s="9">
        <f t="shared" si="83"/>
        <v>3.7193645289963849E-2</v>
      </c>
    </row>
    <row r="1789" spans="1:7" x14ac:dyDescent="0.2">
      <c r="A1789" s="12">
        <v>39736</v>
      </c>
      <c r="B1789" s="9">
        <v>1809.78</v>
      </c>
      <c r="C1789" s="9">
        <v>1686.14</v>
      </c>
      <c r="D1789" s="9">
        <v>1697.18</v>
      </c>
      <c r="E1789" s="9">
        <f t="shared" si="81"/>
        <v>-5.909635394520632E-2</v>
      </c>
      <c r="F1789" s="9">
        <f t="shared" si="82"/>
        <v>-0.33747676042766983</v>
      </c>
      <c r="G1789" s="9">
        <f t="shared" si="83"/>
        <v>3.8275593918511569E-2</v>
      </c>
    </row>
    <row r="1790" spans="1:7" x14ac:dyDescent="0.2">
      <c r="A1790" s="12">
        <v>39737</v>
      </c>
      <c r="B1790" s="9">
        <v>1706.43</v>
      </c>
      <c r="C1790" s="9">
        <v>1604.99</v>
      </c>
      <c r="D1790" s="9">
        <v>1625.52</v>
      </c>
      <c r="E1790" s="9">
        <f t="shared" si="81"/>
        <v>-4.3140285568965722E-2</v>
      </c>
      <c r="F1790" s="9">
        <f t="shared" si="82"/>
        <v>-0.34440822348152078</v>
      </c>
      <c r="G1790" s="9">
        <f t="shared" si="83"/>
        <v>3.8451971085258566E-2</v>
      </c>
    </row>
    <row r="1791" spans="1:7" x14ac:dyDescent="0.2">
      <c r="A1791" s="12">
        <v>39738</v>
      </c>
      <c r="B1791" s="9">
        <v>1708.18</v>
      </c>
      <c r="C1791" s="9">
        <v>1613.04</v>
      </c>
      <c r="D1791" s="9">
        <v>1668.67</v>
      </c>
      <c r="E1791" s="9">
        <f t="shared" si="81"/>
        <v>2.6199137349733326E-2</v>
      </c>
      <c r="F1791" s="9">
        <f t="shared" si="82"/>
        <v>-0.2797295558649659</v>
      </c>
      <c r="G1791" s="9">
        <f t="shared" si="83"/>
        <v>3.869839264718547E-2</v>
      </c>
    </row>
    <row r="1792" spans="1:7" x14ac:dyDescent="0.2">
      <c r="A1792" s="12">
        <v>39741</v>
      </c>
      <c r="B1792" s="9">
        <v>1733.45</v>
      </c>
      <c r="C1792" s="9">
        <v>1673.67</v>
      </c>
      <c r="D1792" s="9">
        <v>1726.25</v>
      </c>
      <c r="E1792" s="9">
        <f t="shared" si="81"/>
        <v>3.3924523799010599E-2</v>
      </c>
      <c r="F1792" s="9">
        <f t="shared" si="82"/>
        <v>-0.27847837083927357</v>
      </c>
      <c r="G1792" s="9">
        <f t="shared" si="83"/>
        <v>3.8745860367311986E-2</v>
      </c>
    </row>
    <row r="1793" spans="1:7" x14ac:dyDescent="0.2">
      <c r="A1793" s="12">
        <v>39742</v>
      </c>
      <c r="B1793" s="9">
        <v>1758.15</v>
      </c>
      <c r="C1793" s="9">
        <v>1687.99</v>
      </c>
      <c r="D1793" s="9">
        <v>1732.15</v>
      </c>
      <c r="E1793" s="9">
        <f t="shared" si="81"/>
        <v>3.4119857297066295E-3</v>
      </c>
      <c r="F1793" s="9">
        <f t="shared" si="82"/>
        <v>-0.25688921519414631</v>
      </c>
      <c r="G1793" s="9">
        <f t="shared" si="83"/>
        <v>3.8775442126496869E-2</v>
      </c>
    </row>
    <row r="1794" spans="1:7" x14ac:dyDescent="0.2">
      <c r="A1794" s="12">
        <v>39743</v>
      </c>
      <c r="B1794" s="9">
        <v>1728.6</v>
      </c>
      <c r="C1794" s="9">
        <v>1648.24</v>
      </c>
      <c r="D1794" s="9">
        <v>1653.86</v>
      </c>
      <c r="E1794" s="9">
        <f t="shared" si="81"/>
        <v>-4.6251461741013619E-2</v>
      </c>
      <c r="F1794" s="9">
        <f t="shared" si="82"/>
        <v>-0.30087421225183936</v>
      </c>
      <c r="G1794" s="9">
        <f t="shared" si="83"/>
        <v>3.9356373190930626E-2</v>
      </c>
    </row>
    <row r="1795" spans="1:7" x14ac:dyDescent="0.2">
      <c r="A1795" s="12">
        <v>39744</v>
      </c>
      <c r="B1795" s="9">
        <v>1670.68</v>
      </c>
      <c r="C1795" s="9">
        <v>1592.05</v>
      </c>
      <c r="D1795" s="9">
        <v>1646.59</v>
      </c>
      <c r="E1795" s="9">
        <f t="shared" si="81"/>
        <v>-4.4054669866799125E-3</v>
      </c>
      <c r="F1795" s="9">
        <f t="shared" si="82"/>
        <v>-0.30357309099216123</v>
      </c>
      <c r="G1795" s="9">
        <f t="shared" si="83"/>
        <v>3.933977422301646E-2</v>
      </c>
    </row>
    <row r="1796" spans="1:7" x14ac:dyDescent="0.2">
      <c r="A1796" s="12">
        <v>39745</v>
      </c>
      <c r="B1796" s="9">
        <v>1637.13</v>
      </c>
      <c r="C1796" s="9">
        <v>1508.95</v>
      </c>
      <c r="D1796" s="9">
        <v>1569.35</v>
      </c>
      <c r="E1796" s="9">
        <f t="shared" ref="E1796:E1859" si="84">LN(D1796/D1795)</f>
        <v>-4.8044961848950823E-2</v>
      </c>
      <c r="F1796" s="9">
        <f t="shared" si="82"/>
        <v>-0.37004739428544359</v>
      </c>
      <c r="G1796" s="9">
        <f t="shared" si="83"/>
        <v>3.9547867065369675E-2</v>
      </c>
    </row>
    <row r="1797" spans="1:7" x14ac:dyDescent="0.2">
      <c r="A1797" s="12">
        <v>39748</v>
      </c>
      <c r="B1797" s="9">
        <v>1576.24</v>
      </c>
      <c r="C1797" s="9">
        <v>1492.17</v>
      </c>
      <c r="D1797" s="9">
        <v>1544.86</v>
      </c>
      <c r="E1797" s="9">
        <f t="shared" si="84"/>
        <v>-1.5728229537226541E-2</v>
      </c>
      <c r="F1797" s="9">
        <f t="shared" si="82"/>
        <v>-0.359551323108662</v>
      </c>
      <c r="G1797" s="9">
        <f t="shared" si="83"/>
        <v>3.946709985234606E-2</v>
      </c>
    </row>
    <row r="1798" spans="1:7" x14ac:dyDescent="0.2">
      <c r="A1798" s="12">
        <v>39749</v>
      </c>
      <c r="B1798" s="9">
        <v>1619.56</v>
      </c>
      <c r="C1798" s="9">
        <v>1548.27</v>
      </c>
      <c r="D1798" s="9">
        <v>1563.72</v>
      </c>
      <c r="E1798" s="9">
        <f t="shared" si="84"/>
        <v>1.213430660547748E-2</v>
      </c>
      <c r="F1798" s="9">
        <f t="shared" si="82"/>
        <v>-0.32865446622093702</v>
      </c>
      <c r="G1798" s="9">
        <f t="shared" si="83"/>
        <v>3.9686658539548059E-2</v>
      </c>
    </row>
    <row r="1799" spans="1:7" x14ac:dyDescent="0.2">
      <c r="A1799" s="12">
        <v>39750</v>
      </c>
      <c r="B1799" s="9">
        <v>1660.32</v>
      </c>
      <c r="C1799" s="9">
        <v>1574.24</v>
      </c>
      <c r="D1799" s="9">
        <v>1654.19</v>
      </c>
      <c r="E1799" s="9">
        <f t="shared" si="84"/>
        <v>5.6243865076486287E-2</v>
      </c>
      <c r="F1799" s="9">
        <f t="shared" si="82"/>
        <v>-0.23206631948758225</v>
      </c>
      <c r="G1799" s="9">
        <f t="shared" si="83"/>
        <v>4.1112505772345979E-2</v>
      </c>
    </row>
    <row r="1800" spans="1:7" x14ac:dyDescent="0.2">
      <c r="A1800" s="12">
        <v>39751</v>
      </c>
      <c r="B1800" s="9">
        <v>1721.11</v>
      </c>
      <c r="C1800" s="9">
        <v>1656.43</v>
      </c>
      <c r="D1800" s="9">
        <v>1711.3</v>
      </c>
      <c r="E1800" s="9">
        <f t="shared" si="84"/>
        <v>3.3941852562104843E-2</v>
      </c>
      <c r="F1800" s="9">
        <f t="shared" si="82"/>
        <v>-0.1807279309586767</v>
      </c>
      <c r="G1800" s="9">
        <f t="shared" si="83"/>
        <v>4.1759872701913808E-2</v>
      </c>
    </row>
    <row r="1801" spans="1:7" x14ac:dyDescent="0.2">
      <c r="A1801" s="12">
        <v>39752</v>
      </c>
      <c r="B1801" s="9">
        <v>1736.67</v>
      </c>
      <c r="C1801" s="9">
        <v>1686.81</v>
      </c>
      <c r="D1801" s="9">
        <v>1732.84</v>
      </c>
      <c r="E1801" s="9">
        <f t="shared" si="84"/>
        <v>1.2508365422742064E-2</v>
      </c>
      <c r="F1801" s="9">
        <f t="shared" si="82"/>
        <v>-0.26107519750315772</v>
      </c>
      <c r="G1801" s="9">
        <f t="shared" si="83"/>
        <v>3.7565463366878701E-2</v>
      </c>
    </row>
    <row r="1802" spans="1:7" x14ac:dyDescent="0.2">
      <c r="A1802" s="12">
        <v>39755</v>
      </c>
      <c r="B1802" s="9">
        <v>1771.29</v>
      </c>
      <c r="C1802" s="9">
        <v>1713.66</v>
      </c>
      <c r="D1802" s="9">
        <v>1770.28</v>
      </c>
      <c r="E1802" s="9">
        <f t="shared" si="84"/>
        <v>2.1376045141072789E-2</v>
      </c>
      <c r="F1802" s="9">
        <f t="shared" si="82"/>
        <v>-0.21434247959639968</v>
      </c>
      <c r="G1802" s="9">
        <f t="shared" si="83"/>
        <v>3.7819132584070679E-2</v>
      </c>
    </row>
    <row r="1803" spans="1:7" x14ac:dyDescent="0.2">
      <c r="A1803" s="12">
        <v>39756</v>
      </c>
      <c r="B1803" s="9">
        <v>1873.47</v>
      </c>
      <c r="C1803" s="9">
        <v>1771.95</v>
      </c>
      <c r="D1803" s="9">
        <v>1873.37</v>
      </c>
      <c r="E1803" s="9">
        <f t="shared" si="84"/>
        <v>5.66012218345949E-2</v>
      </c>
      <c r="F1803" s="9">
        <f t="shared" si="82"/>
        <v>-0.12716162883574866</v>
      </c>
      <c r="G1803" s="9">
        <f t="shared" si="83"/>
        <v>3.9277668536644168E-2</v>
      </c>
    </row>
    <row r="1804" spans="1:7" x14ac:dyDescent="0.2">
      <c r="A1804" s="12">
        <v>39757</v>
      </c>
      <c r="B1804" s="9">
        <v>1877.67</v>
      </c>
      <c r="C1804" s="9">
        <v>1817.03</v>
      </c>
      <c r="D1804" s="9">
        <v>1844.23</v>
      </c>
      <c r="E1804" s="9">
        <f t="shared" si="84"/>
        <v>-1.5677101792947703E-2</v>
      </c>
      <c r="F1804" s="9">
        <f t="shared" si="82"/>
        <v>-0.13482513360569817</v>
      </c>
      <c r="G1804" s="9">
        <f t="shared" si="83"/>
        <v>3.9327954148556742E-2</v>
      </c>
    </row>
    <row r="1805" spans="1:7" x14ac:dyDescent="0.2">
      <c r="A1805" s="12">
        <v>39758</v>
      </c>
      <c r="B1805" s="9">
        <v>1840.19</v>
      </c>
      <c r="C1805" s="9">
        <v>1720.54</v>
      </c>
      <c r="D1805" s="9">
        <v>1720.54</v>
      </c>
      <c r="E1805" s="9">
        <f t="shared" si="84"/>
        <v>-6.9423651166081152E-2</v>
      </c>
      <c r="F1805" s="9">
        <f t="shared" si="82"/>
        <v>-0.21740566152281643</v>
      </c>
      <c r="G1805" s="9">
        <f t="shared" si="83"/>
        <v>4.0908186144851824E-2</v>
      </c>
    </row>
    <row r="1806" spans="1:7" x14ac:dyDescent="0.2">
      <c r="A1806" s="12">
        <v>39759</v>
      </c>
      <c r="B1806" s="9">
        <v>1762.37</v>
      </c>
      <c r="C1806" s="9">
        <v>1712.51</v>
      </c>
      <c r="D1806" s="9">
        <v>1745.64</v>
      </c>
      <c r="E1806" s="9">
        <f t="shared" si="84"/>
        <v>1.4483055550583945E-2</v>
      </c>
      <c r="F1806" s="9">
        <f t="shared" si="82"/>
        <v>-0.17715347780279775</v>
      </c>
      <c r="G1806" s="9">
        <f t="shared" si="83"/>
        <v>4.0939828686343299E-2</v>
      </c>
    </row>
    <row r="1807" spans="1:7" x14ac:dyDescent="0.2">
      <c r="A1807" s="12">
        <v>39762</v>
      </c>
      <c r="B1807" s="9">
        <v>1822.88</v>
      </c>
      <c r="C1807" s="9">
        <v>1749.54</v>
      </c>
      <c r="D1807" s="9">
        <v>1771.39</v>
      </c>
      <c r="E1807" s="9">
        <f t="shared" si="84"/>
        <v>1.4643298533834467E-2</v>
      </c>
      <c r="F1807" s="9">
        <f t="shared" si="82"/>
        <v>-0.10517194538689495</v>
      </c>
      <c r="G1807" s="9">
        <f t="shared" si="83"/>
        <v>3.9918096302658815E-2</v>
      </c>
    </row>
    <row r="1808" spans="1:7" x14ac:dyDescent="0.2">
      <c r="A1808" s="12">
        <v>39763</v>
      </c>
      <c r="B1808" s="9">
        <v>1768.05</v>
      </c>
      <c r="C1808" s="9">
        <v>1695.32</v>
      </c>
      <c r="D1808" s="9">
        <v>1704.83</v>
      </c>
      <c r="E1808" s="9">
        <f t="shared" si="84"/>
        <v>-3.8299150105504227E-2</v>
      </c>
      <c r="F1808" s="9">
        <f t="shared" si="82"/>
        <v>-0.14976780002656784</v>
      </c>
      <c r="G1808" s="9">
        <f t="shared" si="83"/>
        <v>4.0368295504814806E-2</v>
      </c>
    </row>
    <row r="1809" spans="1:7" x14ac:dyDescent="0.2">
      <c r="A1809" s="12">
        <v>39764</v>
      </c>
      <c r="B1809" s="9">
        <v>1735.67</v>
      </c>
      <c r="C1809" s="9">
        <v>1646.95</v>
      </c>
      <c r="D1809" s="9">
        <v>1652.99</v>
      </c>
      <c r="E1809" s="9">
        <f t="shared" si="84"/>
        <v>-3.0879629805751433E-2</v>
      </c>
      <c r="F1809" s="9">
        <f t="shared" si="82"/>
        <v>-0.17570154843910865</v>
      </c>
      <c r="G1809" s="9">
        <f t="shared" si="83"/>
        <v>4.0644002949851515E-2</v>
      </c>
    </row>
    <row r="1810" spans="1:7" x14ac:dyDescent="0.2">
      <c r="A1810" s="12">
        <v>39765</v>
      </c>
      <c r="B1810" s="9">
        <v>1664.53</v>
      </c>
      <c r="C1810" s="9">
        <v>1614.15</v>
      </c>
      <c r="D1810" s="9">
        <v>1634.53</v>
      </c>
      <c r="E1810" s="9">
        <f t="shared" si="84"/>
        <v>-1.1230467963351665E-2</v>
      </c>
      <c r="F1810" s="9">
        <f t="shared" si="82"/>
        <v>-0.17086864665597432</v>
      </c>
      <c r="G1810" s="9">
        <f t="shared" si="83"/>
        <v>4.0611717854069286E-2</v>
      </c>
    </row>
    <row r="1811" spans="1:7" x14ac:dyDescent="0.2">
      <c r="A1811" s="12">
        <v>39766</v>
      </c>
      <c r="B1811" s="9">
        <v>1695.9</v>
      </c>
      <c r="C1811" s="9">
        <v>1609.44</v>
      </c>
      <c r="D1811" s="9">
        <v>1622.57</v>
      </c>
      <c r="E1811" s="9">
        <f t="shared" si="84"/>
        <v>-7.3439892876176827E-3</v>
      </c>
      <c r="F1811" s="9">
        <f t="shared" si="82"/>
        <v>-0.19947434603480424</v>
      </c>
      <c r="G1811" s="9">
        <f t="shared" si="83"/>
        <v>4.029151547981813E-2</v>
      </c>
    </row>
    <row r="1812" spans="1:7" x14ac:dyDescent="0.2">
      <c r="A1812" s="12">
        <v>39769</v>
      </c>
      <c r="B1812" s="9">
        <v>1636.48</v>
      </c>
      <c r="C1812" s="9">
        <v>1569.91</v>
      </c>
      <c r="D1812" s="9">
        <v>1585.71</v>
      </c>
      <c r="E1812" s="9">
        <f t="shared" si="84"/>
        <v>-2.2979055406223133E-2</v>
      </c>
      <c r="F1812" s="9">
        <f t="shared" si="82"/>
        <v>-0.13339895106416744</v>
      </c>
      <c r="G1812" s="9">
        <f t="shared" si="83"/>
        <v>3.7328587568056765E-2</v>
      </c>
    </row>
    <row r="1813" spans="1:7" x14ac:dyDescent="0.2">
      <c r="A1813" s="12">
        <v>39770</v>
      </c>
      <c r="B1813" s="9">
        <v>1600.9</v>
      </c>
      <c r="C1813" s="9">
        <v>1546.25</v>
      </c>
      <c r="D1813" s="9">
        <v>1567.82</v>
      </c>
      <c r="E1813" s="9">
        <f t="shared" si="84"/>
        <v>-1.1346137136327235E-2</v>
      </c>
      <c r="F1813" s="9">
        <f t="shared" si="82"/>
        <v>-0.11326695073171464</v>
      </c>
      <c r="G1813" s="9">
        <f t="shared" si="83"/>
        <v>3.7005438091327593E-2</v>
      </c>
    </row>
    <row r="1814" spans="1:7" x14ac:dyDescent="0.2">
      <c r="A1814" s="12">
        <v>39771</v>
      </c>
      <c r="B1814" s="9">
        <v>1580.62</v>
      </c>
      <c r="C1814" s="9">
        <v>1509.92</v>
      </c>
      <c r="D1814" s="9">
        <v>1510.01</v>
      </c>
      <c r="E1814" s="9">
        <f t="shared" si="84"/>
        <v>-3.7569846098832488E-2</v>
      </c>
      <c r="F1814" s="9">
        <f t="shared" si="82"/>
        <v>-0.1007911819287988</v>
      </c>
      <c r="G1814" s="9">
        <f t="shared" si="83"/>
        <v>3.6534640510185304E-2</v>
      </c>
    </row>
    <row r="1815" spans="1:7" x14ac:dyDescent="0.2">
      <c r="A1815" s="12">
        <v>39772</v>
      </c>
      <c r="B1815" s="9">
        <v>1505.84</v>
      </c>
      <c r="C1815" s="9">
        <v>1435.01</v>
      </c>
      <c r="D1815" s="9">
        <v>1469.94</v>
      </c>
      <c r="E1815" s="9">
        <f t="shared" si="84"/>
        <v>-2.6894689690354991E-2</v>
      </c>
      <c r="F1815" s="9">
        <f t="shared" si="82"/>
        <v>-0.13279214370685452</v>
      </c>
      <c r="G1815" s="9">
        <f t="shared" si="83"/>
        <v>3.6745492823351031E-2</v>
      </c>
    </row>
    <row r="1816" spans="1:7" x14ac:dyDescent="0.2">
      <c r="A1816" s="12">
        <v>39773</v>
      </c>
      <c r="B1816" s="9">
        <v>1478.54</v>
      </c>
      <c r="C1816" s="9">
        <v>1407.81</v>
      </c>
      <c r="D1816" s="9">
        <v>1416.77</v>
      </c>
      <c r="E1816" s="9">
        <f t="shared" si="84"/>
        <v>-3.6841950846497329E-2</v>
      </c>
      <c r="F1816" s="9">
        <f t="shared" si="82"/>
        <v>-0.13187131291267698</v>
      </c>
      <c r="G1816" s="9">
        <f t="shared" si="83"/>
        <v>3.6717059542696988E-2</v>
      </c>
    </row>
    <row r="1817" spans="1:7" x14ac:dyDescent="0.2">
      <c r="A1817" s="12">
        <v>39776</v>
      </c>
      <c r="B1817" s="9">
        <v>1536.71</v>
      </c>
      <c r="C1817" s="9">
        <v>1419.69</v>
      </c>
      <c r="D1817" s="9">
        <v>1536.71</v>
      </c>
      <c r="E1817" s="9">
        <f t="shared" si="84"/>
        <v>8.1264134724399598E-2</v>
      </c>
      <c r="F1817" s="9">
        <f t="shared" si="82"/>
        <v>-0.13123978789809773</v>
      </c>
      <c r="G1817" s="9">
        <f t="shared" si="83"/>
        <v>3.6767635662614949E-2</v>
      </c>
    </row>
    <row r="1818" spans="1:7" x14ac:dyDescent="0.2">
      <c r="A1818" s="12">
        <v>39777</v>
      </c>
      <c r="B1818" s="9">
        <v>1564.43</v>
      </c>
      <c r="C1818" s="9">
        <v>1513.29</v>
      </c>
      <c r="D1818" s="9">
        <v>1554.23</v>
      </c>
      <c r="E1818" s="9">
        <f t="shared" si="84"/>
        <v>1.1336478632771863E-2</v>
      </c>
      <c r="F1818" s="9">
        <f t="shared" si="82"/>
        <v>-0.1470841579650134</v>
      </c>
      <c r="G1818" s="9">
        <f t="shared" si="83"/>
        <v>3.6410794893984799E-2</v>
      </c>
    </row>
    <row r="1819" spans="1:7" x14ac:dyDescent="0.2">
      <c r="A1819" s="12">
        <v>39778</v>
      </c>
      <c r="B1819" s="9">
        <v>1574.37</v>
      </c>
      <c r="C1819" s="9">
        <v>1521.45</v>
      </c>
      <c r="D1819" s="9">
        <v>1545.04</v>
      </c>
      <c r="E1819" s="9">
        <f t="shared" si="84"/>
        <v>-5.9304461595726101E-3</v>
      </c>
      <c r="F1819" s="9">
        <f t="shared" si="82"/>
        <v>-9.3918250179379659E-2</v>
      </c>
      <c r="G1819" s="9">
        <f t="shared" si="83"/>
        <v>3.4946524877054408E-2</v>
      </c>
    </row>
    <row r="1820" spans="1:7" x14ac:dyDescent="0.2">
      <c r="A1820" s="12">
        <v>39779</v>
      </c>
      <c r="B1820" s="9">
        <v>1611.41</v>
      </c>
      <c r="C1820" s="9">
        <v>1547.82</v>
      </c>
      <c r="D1820" s="9">
        <v>1609.76</v>
      </c>
      <c r="E1820" s="9">
        <f t="shared" si="84"/>
        <v>4.1035299579396729E-2</v>
      </c>
      <c r="F1820" s="9">
        <f t="shared" si="82"/>
        <v>-9.7426650310173373E-3</v>
      </c>
      <c r="G1820" s="9">
        <f t="shared" si="83"/>
        <v>3.5002560139990299E-2</v>
      </c>
    </row>
    <row r="1821" spans="1:7" x14ac:dyDescent="0.2">
      <c r="A1821" s="12">
        <v>39780</v>
      </c>
      <c r="B1821" s="9">
        <v>1614.26</v>
      </c>
      <c r="C1821" s="9">
        <v>1562.62</v>
      </c>
      <c r="D1821" s="9">
        <v>1600.26</v>
      </c>
      <c r="E1821" s="9">
        <f t="shared" si="84"/>
        <v>-5.9189835175627765E-3</v>
      </c>
      <c r="F1821" s="9">
        <f t="shared" si="82"/>
        <v>-4.1860785898313414E-2</v>
      </c>
      <c r="G1821" s="9">
        <f t="shared" si="83"/>
        <v>3.4652755266777392E-2</v>
      </c>
    </row>
    <row r="1822" spans="1:7" x14ac:dyDescent="0.2">
      <c r="A1822" s="12">
        <v>39783</v>
      </c>
      <c r="B1822" s="9">
        <v>1601.65</v>
      </c>
      <c r="C1822" s="9">
        <v>1491.64</v>
      </c>
      <c r="D1822" s="9">
        <v>1493.89</v>
      </c>
      <c r="E1822" s="9">
        <f t="shared" si="84"/>
        <v>-6.8782659888790121E-2</v>
      </c>
      <c r="F1822" s="9">
        <f t="shared" si="82"/>
        <v>-0.14456796958611423</v>
      </c>
      <c r="G1822" s="9">
        <f t="shared" si="83"/>
        <v>3.6086829459011198E-2</v>
      </c>
    </row>
    <row r="1823" spans="1:7" x14ac:dyDescent="0.2">
      <c r="A1823" s="12">
        <v>39784</v>
      </c>
      <c r="B1823" s="9">
        <v>1533.78</v>
      </c>
      <c r="C1823" s="9">
        <v>1449.54</v>
      </c>
      <c r="D1823" s="9">
        <v>1532.11</v>
      </c>
      <c r="E1823" s="9">
        <f t="shared" si="84"/>
        <v>2.5262414152119401E-2</v>
      </c>
      <c r="F1823" s="9">
        <f t="shared" si="82"/>
        <v>-0.12271754116370139</v>
      </c>
      <c r="G1823" s="9">
        <f t="shared" si="83"/>
        <v>3.6477079831471762E-2</v>
      </c>
    </row>
    <row r="1824" spans="1:7" x14ac:dyDescent="0.2">
      <c r="A1824" s="12">
        <v>39785</v>
      </c>
      <c r="B1824" s="9">
        <v>1537.59</v>
      </c>
      <c r="C1824" s="9">
        <v>1494.11</v>
      </c>
      <c r="D1824" s="9">
        <v>1533.52</v>
      </c>
      <c r="E1824" s="9">
        <f t="shared" si="84"/>
        <v>9.1987624039771164E-4</v>
      </c>
      <c r="F1824" s="9">
        <f t="shared" si="82"/>
        <v>-7.5546203182289995E-2</v>
      </c>
      <c r="G1824" s="9">
        <f t="shared" si="83"/>
        <v>3.5603243378745507E-2</v>
      </c>
    </row>
    <row r="1825" spans="1:7" x14ac:dyDescent="0.2">
      <c r="A1825" s="12">
        <v>39786</v>
      </c>
      <c r="B1825" s="9">
        <v>1566.59</v>
      </c>
      <c r="C1825" s="9">
        <v>1515.28</v>
      </c>
      <c r="D1825" s="9">
        <v>1524.76</v>
      </c>
      <c r="E1825" s="9">
        <f t="shared" si="84"/>
        <v>-5.7287259226404472E-3</v>
      </c>
      <c r="F1825" s="9">
        <f t="shared" ref="F1825:F1888" si="85">LN(D1825/D1795)</f>
        <v>-7.6869462118250506E-2</v>
      </c>
      <c r="G1825" s="9">
        <f t="shared" ref="G1825:G1888" si="86">STDEV(E1796:E1825)</f>
        <v>3.5606481659294101E-2</v>
      </c>
    </row>
    <row r="1826" spans="1:7" x14ac:dyDescent="0.2">
      <c r="A1826" s="12">
        <v>39787</v>
      </c>
      <c r="B1826" s="9">
        <v>1525.18</v>
      </c>
      <c r="C1826" s="9">
        <v>1446.49</v>
      </c>
      <c r="D1826" s="9">
        <v>1451.95</v>
      </c>
      <c r="E1826" s="9">
        <f t="shared" si="84"/>
        <v>-4.8929540077138171E-2</v>
      </c>
      <c r="F1826" s="9">
        <f t="shared" si="85"/>
        <v>-7.7754040346437819E-2</v>
      </c>
      <c r="G1826" s="9">
        <f t="shared" si="86"/>
        <v>3.5645789451058854E-2</v>
      </c>
    </row>
    <row r="1827" spans="1:7" x14ac:dyDescent="0.2">
      <c r="A1827" s="12">
        <v>39790</v>
      </c>
      <c r="B1827" s="9">
        <v>1534.27</v>
      </c>
      <c r="C1827" s="9">
        <v>1459.32</v>
      </c>
      <c r="D1827" s="9">
        <v>1531.38</v>
      </c>
      <c r="E1827" s="9">
        <f t="shared" si="84"/>
        <v>5.3261809118466813E-2</v>
      </c>
      <c r="F1827" s="9">
        <f t="shared" si="85"/>
        <v>-8.764001690744443E-3</v>
      </c>
      <c r="G1827" s="9">
        <f t="shared" si="86"/>
        <v>3.6969909822906967E-2</v>
      </c>
    </row>
    <row r="1828" spans="1:7" x14ac:dyDescent="0.2">
      <c r="A1828" s="12">
        <v>39791</v>
      </c>
      <c r="B1828" s="9">
        <v>1564.42</v>
      </c>
      <c r="C1828" s="9">
        <v>1498.91</v>
      </c>
      <c r="D1828" s="9">
        <v>1556.56</v>
      </c>
      <c r="E1828" s="9">
        <f t="shared" si="84"/>
        <v>1.6308968514527546E-2</v>
      </c>
      <c r="F1828" s="9">
        <f t="shared" si="85"/>
        <v>-4.5893397816944015E-3</v>
      </c>
      <c r="G1828" s="9">
        <f t="shared" si="86"/>
        <v>3.7026110071532461E-2</v>
      </c>
    </row>
    <row r="1829" spans="1:7" x14ac:dyDescent="0.2">
      <c r="A1829" s="12">
        <v>39792</v>
      </c>
      <c r="B1829" s="9">
        <v>1564.07</v>
      </c>
      <c r="C1829" s="9">
        <v>1542.96</v>
      </c>
      <c r="D1829" s="9">
        <v>1564.07</v>
      </c>
      <c r="E1829" s="9">
        <f t="shared" si="84"/>
        <v>4.8131399738177436E-3</v>
      </c>
      <c r="F1829" s="9">
        <f t="shared" si="85"/>
        <v>-5.6020064884362959E-2</v>
      </c>
      <c r="G1829" s="9">
        <f t="shared" si="86"/>
        <v>3.5483332538864827E-2</v>
      </c>
    </row>
    <row r="1830" spans="1:7" x14ac:dyDescent="0.2">
      <c r="A1830" s="12">
        <v>39793</v>
      </c>
      <c r="B1830" s="9">
        <v>1562.26</v>
      </c>
      <c r="C1830" s="9">
        <v>1490.92</v>
      </c>
      <c r="D1830" s="9">
        <v>1532.58</v>
      </c>
      <c r="E1830" s="9">
        <f t="shared" si="84"/>
        <v>-2.033880840521372E-2</v>
      </c>
      <c r="F1830" s="9">
        <f t="shared" si="85"/>
        <v>-0.11030072585168156</v>
      </c>
      <c r="G1830" s="9">
        <f t="shared" si="86"/>
        <v>3.4974682523375954E-2</v>
      </c>
    </row>
    <row r="1831" spans="1:7" x14ac:dyDescent="0.2">
      <c r="A1831" s="12">
        <v>39794</v>
      </c>
      <c r="B1831" s="9">
        <v>1526.31</v>
      </c>
      <c r="C1831" s="9">
        <v>1459.55</v>
      </c>
      <c r="D1831" s="9">
        <v>1490.07</v>
      </c>
      <c r="E1831" s="9">
        <f t="shared" si="84"/>
        <v>-2.8129491029967271E-2</v>
      </c>
      <c r="F1831" s="9">
        <f t="shared" si="85"/>
        <v>-0.15093858230439092</v>
      </c>
      <c r="G1831" s="9">
        <f t="shared" si="86"/>
        <v>3.511290147703925E-2</v>
      </c>
    </row>
    <row r="1832" spans="1:7" x14ac:dyDescent="0.2">
      <c r="A1832" s="12">
        <v>39797</v>
      </c>
      <c r="B1832" s="9">
        <v>1513.83</v>
      </c>
      <c r="C1832" s="9">
        <v>1473.56</v>
      </c>
      <c r="D1832" s="9">
        <v>1478.1</v>
      </c>
      <c r="E1832" s="9">
        <f t="shared" si="84"/>
        <v>-8.0656194837301805E-3</v>
      </c>
      <c r="F1832" s="9">
        <f t="shared" si="85"/>
        <v>-0.18038024692919394</v>
      </c>
      <c r="G1832" s="9">
        <f t="shared" si="86"/>
        <v>3.4759035526179267E-2</v>
      </c>
    </row>
    <row r="1833" spans="1:7" x14ac:dyDescent="0.2">
      <c r="A1833" s="12">
        <v>39798</v>
      </c>
      <c r="B1833" s="9">
        <v>1485.26</v>
      </c>
      <c r="C1833" s="9">
        <v>1458.7</v>
      </c>
      <c r="D1833" s="9">
        <v>1482.13</v>
      </c>
      <c r="E1833" s="9">
        <f t="shared" si="84"/>
        <v>2.7227630891381244E-3</v>
      </c>
      <c r="F1833" s="9">
        <f t="shared" si="85"/>
        <v>-0.23425870567465071</v>
      </c>
      <c r="G1833" s="9">
        <f t="shared" si="86"/>
        <v>3.2745924115691737E-2</v>
      </c>
    </row>
    <row r="1834" spans="1:7" x14ac:dyDescent="0.2">
      <c r="A1834" s="12">
        <v>39799</v>
      </c>
      <c r="B1834" s="9">
        <v>1497.96</v>
      </c>
      <c r="C1834" s="9">
        <v>1448.14</v>
      </c>
      <c r="D1834" s="9">
        <v>1478.91</v>
      </c>
      <c r="E1834" s="9">
        <f t="shared" si="84"/>
        <v>-2.1749123748966599E-3</v>
      </c>
      <c r="F1834" s="9">
        <f t="shared" si="85"/>
        <v>-0.22075651625659967</v>
      </c>
      <c r="G1834" s="9">
        <f t="shared" si="86"/>
        <v>3.2726831562714553E-2</v>
      </c>
    </row>
    <row r="1835" spans="1:7" x14ac:dyDescent="0.2">
      <c r="A1835" s="12">
        <v>39800</v>
      </c>
      <c r="B1835" s="9">
        <v>1491.78</v>
      </c>
      <c r="C1835" s="9">
        <v>1472.61</v>
      </c>
      <c r="D1835" s="9">
        <v>1482.37</v>
      </c>
      <c r="E1835" s="9">
        <f t="shared" si="84"/>
        <v>2.3368283813221518E-3</v>
      </c>
      <c r="F1835" s="9">
        <f t="shared" si="85"/>
        <v>-0.14899603670919637</v>
      </c>
      <c r="G1835" s="9">
        <f t="shared" si="86"/>
        <v>3.058655951315712E-2</v>
      </c>
    </row>
    <row r="1836" spans="1:7" x14ac:dyDescent="0.2">
      <c r="A1836" s="12">
        <v>39801</v>
      </c>
      <c r="B1836" s="9">
        <v>1488.5</v>
      </c>
      <c r="C1836" s="9">
        <v>1460.44</v>
      </c>
      <c r="D1836" s="9">
        <v>1479.85</v>
      </c>
      <c r="E1836" s="9">
        <f t="shared" si="84"/>
        <v>-1.7014270431765679E-3</v>
      </c>
      <c r="F1836" s="9">
        <f t="shared" si="85"/>
        <v>-0.16518051930295685</v>
      </c>
      <c r="G1836" s="9">
        <f t="shared" si="86"/>
        <v>3.0373669509786472E-2</v>
      </c>
    </row>
    <row r="1837" spans="1:7" x14ac:dyDescent="0.2">
      <c r="A1837" s="12">
        <v>39804</v>
      </c>
      <c r="B1837" s="9">
        <v>1480.4</v>
      </c>
      <c r="C1837" s="9">
        <v>1457.16</v>
      </c>
      <c r="D1837" s="9">
        <v>1462.16</v>
      </c>
      <c r="E1837" s="9">
        <f t="shared" si="84"/>
        <v>-1.2025936824227311E-2</v>
      </c>
      <c r="F1837" s="9">
        <f t="shared" si="85"/>
        <v>-0.19184975466101858</v>
      </c>
      <c r="G1837" s="9">
        <f t="shared" si="86"/>
        <v>3.0153080894917805E-2</v>
      </c>
    </row>
    <row r="1838" spans="1:7" x14ac:dyDescent="0.2">
      <c r="A1838" s="12">
        <v>39805</v>
      </c>
      <c r="B1838" s="9">
        <v>1479.16</v>
      </c>
      <c r="C1838" s="9">
        <v>1457.71</v>
      </c>
      <c r="D1838" s="9">
        <v>1464.05</v>
      </c>
      <c r="E1838" s="9">
        <f t="shared" si="84"/>
        <v>1.291773497333911E-3</v>
      </c>
      <c r="F1838" s="9">
        <f t="shared" si="85"/>
        <v>-0.15225883105818047</v>
      </c>
      <c r="G1838" s="9">
        <f t="shared" si="86"/>
        <v>2.9569324354372806E-2</v>
      </c>
    </row>
    <row r="1839" spans="1:7" x14ac:dyDescent="0.2">
      <c r="A1839" s="12">
        <v>39811</v>
      </c>
      <c r="B1839" s="9">
        <v>1477.93</v>
      </c>
      <c r="C1839" s="9">
        <v>1462.8</v>
      </c>
      <c r="D1839" s="9">
        <v>1473.69</v>
      </c>
      <c r="E1839" s="9">
        <f t="shared" si="84"/>
        <v>6.5628916110915606E-3</v>
      </c>
      <c r="F1839" s="9">
        <f t="shared" si="85"/>
        <v>-0.11481630964133732</v>
      </c>
      <c r="G1839" s="9">
        <f t="shared" si="86"/>
        <v>2.9230862039930468E-2</v>
      </c>
    </row>
    <row r="1840" spans="1:7" x14ac:dyDescent="0.2">
      <c r="A1840" s="12">
        <v>39812</v>
      </c>
      <c r="B1840" s="9">
        <v>1523.24</v>
      </c>
      <c r="C1840" s="9">
        <v>1476.47</v>
      </c>
      <c r="D1840" s="9">
        <v>1515.65</v>
      </c>
      <c r="E1840" s="9">
        <f t="shared" si="84"/>
        <v>2.8074930280558061E-2</v>
      </c>
      <c r="F1840" s="9">
        <f t="shared" si="85"/>
        <v>-7.5510911397427619E-2</v>
      </c>
      <c r="G1840" s="9">
        <f t="shared" si="86"/>
        <v>2.9763607018168919E-2</v>
      </c>
    </row>
    <row r="1841" spans="1:7" x14ac:dyDescent="0.2">
      <c r="A1841" s="12">
        <v>39815</v>
      </c>
      <c r="B1841" s="9">
        <v>1589.02</v>
      </c>
      <c r="C1841" s="9">
        <v>1516.77</v>
      </c>
      <c r="D1841" s="9">
        <v>1584.3</v>
      </c>
      <c r="E1841" s="9">
        <f t="shared" si="84"/>
        <v>4.4298279545826602E-2</v>
      </c>
      <c r="F1841" s="9">
        <f t="shared" si="85"/>
        <v>-2.3868642563983158E-2</v>
      </c>
      <c r="G1841" s="9">
        <f t="shared" si="86"/>
        <v>3.0944763372952218E-2</v>
      </c>
    </row>
    <row r="1842" spans="1:7" x14ac:dyDescent="0.2">
      <c r="A1842" s="12">
        <v>39818</v>
      </c>
      <c r="B1842" s="9">
        <v>1651.04</v>
      </c>
      <c r="C1842" s="9">
        <v>1587.09</v>
      </c>
      <c r="D1842" s="9">
        <v>1651.04</v>
      </c>
      <c r="E1842" s="9">
        <f t="shared" si="84"/>
        <v>4.1262722986407055E-2</v>
      </c>
      <c r="F1842" s="9">
        <f t="shared" si="85"/>
        <v>4.037313582864703E-2</v>
      </c>
      <c r="G1842" s="9">
        <f t="shared" si="86"/>
        <v>3.157312571058906E-2</v>
      </c>
    </row>
    <row r="1843" spans="1:7" x14ac:dyDescent="0.2">
      <c r="A1843" s="12">
        <v>39820</v>
      </c>
      <c r="B1843" s="9">
        <v>1675.76</v>
      </c>
      <c r="C1843" s="9">
        <v>1621.29</v>
      </c>
      <c r="D1843" s="9">
        <v>1629.54</v>
      </c>
      <c r="E1843" s="9">
        <f t="shared" si="84"/>
        <v>-1.3107625983890547E-2</v>
      </c>
      <c r="F1843" s="9">
        <f t="shared" si="85"/>
        <v>3.8611646981083617E-2</v>
      </c>
      <c r="G1843" s="9">
        <f t="shared" si="86"/>
        <v>3.1599169823109605E-2</v>
      </c>
    </row>
    <row r="1844" spans="1:7" x14ac:dyDescent="0.2">
      <c r="A1844" s="12">
        <v>39821</v>
      </c>
      <c r="B1844" s="9">
        <v>1627.59</v>
      </c>
      <c r="C1844" s="9">
        <v>1550.57</v>
      </c>
      <c r="D1844" s="9">
        <v>1579.73</v>
      </c>
      <c r="E1844" s="9">
        <f t="shared" si="84"/>
        <v>-3.104382004113965E-2</v>
      </c>
      <c r="F1844" s="9">
        <f t="shared" si="85"/>
        <v>4.5137673038776478E-2</v>
      </c>
      <c r="G1844" s="9">
        <f t="shared" si="86"/>
        <v>3.1343879981830525E-2</v>
      </c>
    </row>
    <row r="1845" spans="1:7" x14ac:dyDescent="0.2">
      <c r="A1845" s="12">
        <v>39822</v>
      </c>
      <c r="B1845" s="9">
        <v>1609.6</v>
      </c>
      <c r="C1845" s="9">
        <v>1570.39</v>
      </c>
      <c r="D1845" s="9">
        <v>1577.79</v>
      </c>
      <c r="E1845" s="9">
        <f t="shared" si="84"/>
        <v>-1.2288126403718588E-3</v>
      </c>
      <c r="F1845" s="9">
        <f t="shared" si="85"/>
        <v>7.0803550088759701E-2</v>
      </c>
      <c r="G1845" s="9">
        <f t="shared" si="86"/>
        <v>3.0888966950154258E-2</v>
      </c>
    </row>
    <row r="1846" spans="1:7" x14ac:dyDescent="0.2">
      <c r="A1846" s="12">
        <v>39825</v>
      </c>
      <c r="B1846" s="9">
        <v>1593.66</v>
      </c>
      <c r="C1846" s="9">
        <v>1570.68</v>
      </c>
      <c r="D1846" s="9">
        <v>1571.67</v>
      </c>
      <c r="E1846" s="9">
        <f t="shared" si="84"/>
        <v>-3.8863854140288121E-3</v>
      </c>
      <c r="F1846" s="9">
        <f t="shared" si="85"/>
        <v>0.10375911552122803</v>
      </c>
      <c r="G1846" s="9">
        <f t="shared" si="86"/>
        <v>3.0020529969195003E-2</v>
      </c>
    </row>
    <row r="1847" spans="1:7" x14ac:dyDescent="0.2">
      <c r="A1847" s="12">
        <v>39826</v>
      </c>
      <c r="B1847" s="9">
        <v>1570.14</v>
      </c>
      <c r="C1847" s="9">
        <v>1508.8</v>
      </c>
      <c r="D1847" s="9">
        <v>1521.9</v>
      </c>
      <c r="E1847" s="9">
        <f t="shared" si="84"/>
        <v>-3.2179194047219244E-2</v>
      </c>
      <c r="F1847" s="9">
        <f t="shared" si="85"/>
        <v>-9.6842132503907503E-3</v>
      </c>
      <c r="G1847" s="9">
        <f t="shared" si="86"/>
        <v>2.6860504468380578E-2</v>
      </c>
    </row>
    <row r="1848" spans="1:7" x14ac:dyDescent="0.2">
      <c r="A1848" s="12">
        <v>39827</v>
      </c>
      <c r="B1848" s="9">
        <v>1543.5</v>
      </c>
      <c r="C1848" s="9">
        <v>1447.14</v>
      </c>
      <c r="D1848" s="9">
        <v>1455.66</v>
      </c>
      <c r="E1848" s="9">
        <f t="shared" si="84"/>
        <v>-4.4500148236858536E-2</v>
      </c>
      <c r="F1848" s="9">
        <f t="shared" si="85"/>
        <v>-6.5520840120021032E-2</v>
      </c>
      <c r="G1848" s="9">
        <f t="shared" si="86"/>
        <v>2.7937669871180033E-2</v>
      </c>
    </row>
    <row r="1849" spans="1:7" x14ac:dyDescent="0.2">
      <c r="A1849" s="12">
        <v>39828</v>
      </c>
      <c r="B1849" s="9">
        <v>1467.04</v>
      </c>
      <c r="C1849" s="9">
        <v>1417.47</v>
      </c>
      <c r="D1849" s="9">
        <v>1442.98</v>
      </c>
      <c r="E1849" s="9">
        <f t="shared" si="84"/>
        <v>-8.7489863399354932E-3</v>
      </c>
      <c r="F1849" s="9">
        <f t="shared" si="85"/>
        <v>-6.8339380300383959E-2</v>
      </c>
      <c r="G1849" s="9">
        <f t="shared" si="86"/>
        <v>2.7955436680811761E-2</v>
      </c>
    </row>
    <row r="1850" spans="1:7" x14ac:dyDescent="0.2">
      <c r="A1850" s="12">
        <v>39829</v>
      </c>
      <c r="B1850" s="9">
        <v>1495.51</v>
      </c>
      <c r="C1850" s="9">
        <v>1446.6</v>
      </c>
      <c r="D1850" s="9">
        <v>1467.09</v>
      </c>
      <c r="E1850" s="9">
        <f t="shared" si="84"/>
        <v>1.657042729045783E-2</v>
      </c>
      <c r="F1850" s="9">
        <f t="shared" si="85"/>
        <v>-9.2804252589322817E-2</v>
      </c>
      <c r="G1850" s="9">
        <f t="shared" si="86"/>
        <v>2.6988476508228918E-2</v>
      </c>
    </row>
    <row r="1851" spans="1:7" x14ac:dyDescent="0.2">
      <c r="A1851" s="12">
        <v>39832</v>
      </c>
      <c r="B1851" s="9">
        <v>1481.91</v>
      </c>
      <c r="C1851" s="9">
        <v>1423.02</v>
      </c>
      <c r="D1851" s="9">
        <v>1436.28</v>
      </c>
      <c r="E1851" s="9">
        <f t="shared" si="84"/>
        <v>-2.1224409281138387E-2</v>
      </c>
      <c r="F1851" s="9">
        <f t="shared" si="85"/>
        <v>-0.10810967835289836</v>
      </c>
      <c r="G1851" s="9">
        <f t="shared" si="86"/>
        <v>2.7187659982529505E-2</v>
      </c>
    </row>
    <row r="1852" spans="1:7" x14ac:dyDescent="0.2">
      <c r="A1852" s="12">
        <v>39833</v>
      </c>
      <c r="B1852" s="9">
        <v>1456.61</v>
      </c>
      <c r="C1852" s="9">
        <v>1398.73</v>
      </c>
      <c r="D1852" s="9">
        <v>1405.78</v>
      </c>
      <c r="E1852" s="9">
        <f t="shared" si="84"/>
        <v>-2.1464128807466096E-2</v>
      </c>
      <c r="F1852" s="9">
        <f t="shared" si="85"/>
        <v>-6.0791147271574447E-2</v>
      </c>
      <c r="G1852" s="9">
        <f t="shared" si="86"/>
        <v>2.4517380155340052E-2</v>
      </c>
    </row>
    <row r="1853" spans="1:7" x14ac:dyDescent="0.2">
      <c r="A1853" s="12">
        <v>39834</v>
      </c>
      <c r="B1853" s="9">
        <v>1435.18</v>
      </c>
      <c r="C1853" s="9">
        <v>1368.83</v>
      </c>
      <c r="D1853" s="9">
        <v>1412.02</v>
      </c>
      <c r="E1853" s="9">
        <f t="shared" si="84"/>
        <v>4.4289943930103191E-3</v>
      </c>
      <c r="F1853" s="9">
        <f t="shared" si="85"/>
        <v>-8.1624567030683576E-2</v>
      </c>
      <c r="G1853" s="9">
        <f t="shared" si="86"/>
        <v>2.4007529114572334E-2</v>
      </c>
    </row>
    <row r="1854" spans="1:7" x14ac:dyDescent="0.2">
      <c r="A1854" s="12">
        <v>39835</v>
      </c>
      <c r="B1854" s="9">
        <v>1461.69</v>
      </c>
      <c r="C1854" s="9">
        <v>1389.89</v>
      </c>
      <c r="D1854" s="9">
        <v>1400.42</v>
      </c>
      <c r="E1854" s="9">
        <f t="shared" si="84"/>
        <v>-8.2491116464755293E-3</v>
      </c>
      <c r="F1854" s="9">
        <f t="shared" si="85"/>
        <v>-9.0793554917556904E-2</v>
      </c>
      <c r="G1854" s="9">
        <f t="shared" si="86"/>
        <v>2.4017943856956693E-2</v>
      </c>
    </row>
    <row r="1855" spans="1:7" x14ac:dyDescent="0.2">
      <c r="A1855" s="12">
        <v>39836</v>
      </c>
      <c r="B1855" s="9">
        <v>1401.81</v>
      </c>
      <c r="C1855" s="9">
        <v>1356.98</v>
      </c>
      <c r="D1855" s="9">
        <v>1394.25</v>
      </c>
      <c r="E1855" s="9">
        <f t="shared" si="84"/>
        <v>-4.4155553426849263E-3</v>
      </c>
      <c r="F1855" s="9">
        <f t="shared" si="85"/>
        <v>-8.948038433760129E-2</v>
      </c>
      <c r="G1855" s="9">
        <f t="shared" si="86"/>
        <v>2.4014045479960541E-2</v>
      </c>
    </row>
    <row r="1856" spans="1:7" x14ac:dyDescent="0.2">
      <c r="A1856" s="12">
        <v>39839</v>
      </c>
      <c r="B1856" s="9">
        <v>1442.23</v>
      </c>
      <c r="C1856" s="9">
        <v>1388.59</v>
      </c>
      <c r="D1856" s="9">
        <v>1429.71</v>
      </c>
      <c r="E1856" s="9">
        <f t="shared" si="84"/>
        <v>2.5114990215359356E-2</v>
      </c>
      <c r="F1856" s="9">
        <f t="shared" si="85"/>
        <v>-1.5435854045103725E-2</v>
      </c>
      <c r="G1856" s="9">
        <f t="shared" si="86"/>
        <v>2.2908490362636702E-2</v>
      </c>
    </row>
    <row r="1857" spans="1:7" x14ac:dyDescent="0.2">
      <c r="A1857" s="12">
        <v>39840</v>
      </c>
      <c r="B1857" s="9">
        <v>1447.02</v>
      </c>
      <c r="C1857" s="9">
        <v>1414.1</v>
      </c>
      <c r="D1857" s="9">
        <v>1433.25</v>
      </c>
      <c r="E1857" s="9">
        <f t="shared" si="84"/>
        <v>2.472966303469713E-3</v>
      </c>
      <c r="F1857" s="9">
        <f t="shared" si="85"/>
        <v>-6.6224696860101004E-2</v>
      </c>
      <c r="G1857" s="9">
        <f t="shared" si="86"/>
        <v>2.0552888947968258E-2</v>
      </c>
    </row>
    <row r="1858" spans="1:7" x14ac:dyDescent="0.2">
      <c r="A1858" s="12">
        <v>39841</v>
      </c>
      <c r="B1858" s="9">
        <v>1488.64</v>
      </c>
      <c r="C1858" s="9">
        <v>1433.94</v>
      </c>
      <c r="D1858" s="9">
        <v>1480.74</v>
      </c>
      <c r="E1858" s="9">
        <f t="shared" si="84"/>
        <v>3.2597370011319599E-2</v>
      </c>
      <c r="F1858" s="9">
        <f t="shared" si="85"/>
        <v>-4.9936295363308757E-2</v>
      </c>
      <c r="G1858" s="9">
        <f t="shared" si="86"/>
        <v>2.1261825420453153E-2</v>
      </c>
    </row>
    <row r="1859" spans="1:7" x14ac:dyDescent="0.2">
      <c r="A1859" s="12">
        <v>39842</v>
      </c>
      <c r="B1859" s="9">
        <v>1479.24</v>
      </c>
      <c r="C1859" s="9">
        <v>1440.95</v>
      </c>
      <c r="D1859" s="9">
        <v>1448.35</v>
      </c>
      <c r="E1859" s="9">
        <f t="shared" si="84"/>
        <v>-2.2116985354777748E-2</v>
      </c>
      <c r="F1859" s="9">
        <f t="shared" si="85"/>
        <v>-7.686642069190433E-2</v>
      </c>
      <c r="G1859" s="9">
        <f t="shared" si="86"/>
        <v>2.1545508380364054E-2</v>
      </c>
    </row>
    <row r="1860" spans="1:7" x14ac:dyDescent="0.2">
      <c r="A1860" s="12">
        <v>39843</v>
      </c>
      <c r="B1860" s="9">
        <v>1462.31</v>
      </c>
      <c r="C1860" s="9">
        <v>1425.73</v>
      </c>
      <c r="D1860" s="9">
        <v>1448.8</v>
      </c>
      <c r="E1860" s="9">
        <f t="shared" ref="E1860:E1923" si="87">LN(D1860/D1859)</f>
        <v>3.1065012416955912E-4</v>
      </c>
      <c r="F1860" s="9">
        <f t="shared" si="85"/>
        <v>-5.6216962162520916E-2</v>
      </c>
      <c r="G1860" s="9">
        <f t="shared" si="86"/>
        <v>2.1286301011929937E-2</v>
      </c>
    </row>
    <row r="1861" spans="1:7" x14ac:dyDescent="0.2">
      <c r="A1861" s="12">
        <v>39846</v>
      </c>
      <c r="B1861" s="9">
        <v>1448.06</v>
      </c>
      <c r="C1861" s="9">
        <v>1403.01</v>
      </c>
      <c r="D1861" s="9">
        <v>1410.78</v>
      </c>
      <c r="E1861" s="9">
        <f t="shared" si="87"/>
        <v>-2.6592884661633884E-2</v>
      </c>
      <c r="F1861" s="9">
        <f t="shared" si="85"/>
        <v>-5.4680355794187639E-2</v>
      </c>
      <c r="G1861" s="9">
        <f t="shared" si="86"/>
        <v>2.1222698604391937E-2</v>
      </c>
    </row>
    <row r="1862" spans="1:7" x14ac:dyDescent="0.2">
      <c r="A1862" s="12">
        <v>39847</v>
      </c>
      <c r="B1862" s="9">
        <v>1426.54</v>
      </c>
      <c r="C1862" s="9">
        <v>1390.39</v>
      </c>
      <c r="D1862" s="9">
        <v>1424.95</v>
      </c>
      <c r="E1862" s="9">
        <f t="shared" si="87"/>
        <v>9.9939824602945978E-3</v>
      </c>
      <c r="F1862" s="9">
        <f t="shared" si="85"/>
        <v>-3.6620753850162786E-2</v>
      </c>
      <c r="G1862" s="9">
        <f t="shared" si="86"/>
        <v>2.1295517311904766E-2</v>
      </c>
    </row>
    <row r="1863" spans="1:7" x14ac:dyDescent="0.2">
      <c r="A1863" s="12">
        <v>39848</v>
      </c>
      <c r="B1863" s="9">
        <v>1493.17</v>
      </c>
      <c r="C1863" s="9">
        <v>1426.58</v>
      </c>
      <c r="D1863" s="9">
        <v>1491.4</v>
      </c>
      <c r="E1863" s="9">
        <f t="shared" si="87"/>
        <v>4.5578550741830183E-2</v>
      </c>
      <c r="F1863" s="9">
        <f t="shared" si="85"/>
        <v>6.2350338025293842E-3</v>
      </c>
      <c r="G1863" s="9">
        <f t="shared" si="86"/>
        <v>2.2942860295496408E-2</v>
      </c>
    </row>
    <row r="1864" spans="1:7" x14ac:dyDescent="0.2">
      <c r="A1864" s="12">
        <v>39849</v>
      </c>
      <c r="B1864" s="9">
        <v>1488.67</v>
      </c>
      <c r="C1864" s="9">
        <v>1444.09</v>
      </c>
      <c r="D1864" s="9">
        <v>1475.23</v>
      </c>
      <c r="E1864" s="9">
        <f t="shared" si="87"/>
        <v>-1.0901366288546792E-2</v>
      </c>
      <c r="F1864" s="9">
        <f t="shared" si="85"/>
        <v>-2.4914201111208762E-3</v>
      </c>
      <c r="G1864" s="9">
        <f t="shared" si="86"/>
        <v>2.3029268341364161E-2</v>
      </c>
    </row>
    <row r="1865" spans="1:7" x14ac:dyDescent="0.2">
      <c r="A1865" s="12">
        <v>39850</v>
      </c>
      <c r="B1865" s="9">
        <v>1525.69</v>
      </c>
      <c r="C1865" s="9">
        <v>1477.51</v>
      </c>
      <c r="D1865" s="9">
        <v>1525.59</v>
      </c>
      <c r="E1865" s="9">
        <f t="shared" si="87"/>
        <v>3.356731064546651E-2</v>
      </c>
      <c r="F1865" s="9">
        <f t="shared" si="85"/>
        <v>2.8739062153023531E-2</v>
      </c>
      <c r="G1865" s="9">
        <f t="shared" si="86"/>
        <v>2.3834232241415971E-2</v>
      </c>
    </row>
    <row r="1866" spans="1:7" x14ac:dyDescent="0.2">
      <c r="A1866" s="12">
        <v>39853</v>
      </c>
      <c r="B1866" s="9">
        <v>1551.79</v>
      </c>
      <c r="C1866" s="9">
        <v>1504.79</v>
      </c>
      <c r="D1866" s="9">
        <v>1548.42</v>
      </c>
      <c r="E1866" s="9">
        <f t="shared" si="87"/>
        <v>1.4853835712489456E-2</v>
      </c>
      <c r="F1866" s="9">
        <f t="shared" si="85"/>
        <v>4.529432490868969E-2</v>
      </c>
      <c r="G1866" s="9">
        <f t="shared" si="86"/>
        <v>2.3961848276390443E-2</v>
      </c>
    </row>
    <row r="1867" spans="1:7" x14ac:dyDescent="0.2">
      <c r="A1867" s="12">
        <v>39854</v>
      </c>
      <c r="B1867" s="9">
        <v>1545.85</v>
      </c>
      <c r="C1867" s="9">
        <v>1495.98</v>
      </c>
      <c r="D1867" s="9">
        <v>1496.75</v>
      </c>
      <c r="E1867" s="9">
        <f t="shared" si="87"/>
        <v>-3.3938965373642292E-2</v>
      </c>
      <c r="F1867" s="9">
        <f t="shared" si="85"/>
        <v>2.338129635927463E-2</v>
      </c>
      <c r="G1867" s="9">
        <f t="shared" si="86"/>
        <v>2.4710969401609641E-2</v>
      </c>
    </row>
    <row r="1868" spans="1:7" x14ac:dyDescent="0.2">
      <c r="A1868" s="12">
        <v>39855</v>
      </c>
      <c r="B1868" s="9">
        <v>1503.59</v>
      </c>
      <c r="C1868" s="9">
        <v>1481.57</v>
      </c>
      <c r="D1868" s="9">
        <v>1488.86</v>
      </c>
      <c r="E1868" s="9">
        <f t="shared" si="87"/>
        <v>-5.2853643759931106E-3</v>
      </c>
      <c r="F1868" s="9">
        <f t="shared" si="85"/>
        <v>1.6804158485947667E-2</v>
      </c>
      <c r="G1868" s="9">
        <f t="shared" si="86"/>
        <v>2.4735430980520424E-2</v>
      </c>
    </row>
    <row r="1869" spans="1:7" x14ac:dyDescent="0.2">
      <c r="A1869" s="12">
        <v>39856</v>
      </c>
      <c r="B1869" s="9">
        <v>1490.34</v>
      </c>
      <c r="C1869" s="9">
        <v>1457.15</v>
      </c>
      <c r="D1869" s="9">
        <v>1472.53</v>
      </c>
      <c r="E1869" s="9">
        <f t="shared" si="87"/>
        <v>-1.1028716596832513E-2</v>
      </c>
      <c r="F1869" s="9">
        <f t="shared" si="85"/>
        <v>-7.8744972197657343E-4</v>
      </c>
      <c r="G1869" s="9">
        <f t="shared" si="86"/>
        <v>2.4796661246537233E-2</v>
      </c>
    </row>
    <row r="1870" spans="1:7" x14ac:dyDescent="0.2">
      <c r="A1870" s="12">
        <v>39857</v>
      </c>
      <c r="B1870" s="9">
        <v>1493.16</v>
      </c>
      <c r="C1870" s="9">
        <v>1466.66</v>
      </c>
      <c r="D1870" s="9">
        <v>1473.14</v>
      </c>
      <c r="E1870" s="9">
        <f t="shared" si="87"/>
        <v>4.1416724121843456E-4</v>
      </c>
      <c r="F1870" s="9">
        <f t="shared" si="85"/>
        <v>-2.8448212761316347E-2</v>
      </c>
      <c r="G1870" s="9">
        <f t="shared" si="86"/>
        <v>2.4223365508453099E-2</v>
      </c>
    </row>
    <row r="1871" spans="1:7" x14ac:dyDescent="0.2">
      <c r="A1871" s="12">
        <v>39860</v>
      </c>
      <c r="B1871" s="9">
        <v>1476.93</v>
      </c>
      <c r="C1871" s="9">
        <v>1458.99</v>
      </c>
      <c r="D1871" s="9">
        <v>1460.45</v>
      </c>
      <c r="E1871" s="9">
        <f t="shared" si="87"/>
        <v>-8.6515696831627204E-3</v>
      </c>
      <c r="F1871" s="9">
        <f t="shared" si="85"/>
        <v>-8.1398061990305762E-2</v>
      </c>
      <c r="G1871" s="9">
        <f t="shared" si="86"/>
        <v>2.2693615709016898E-2</v>
      </c>
    </row>
    <row r="1872" spans="1:7" x14ac:dyDescent="0.2">
      <c r="A1872" s="12">
        <v>39861</v>
      </c>
      <c r="B1872" s="9">
        <v>1458.33</v>
      </c>
      <c r="C1872" s="9">
        <v>1399.54</v>
      </c>
      <c r="D1872" s="9">
        <v>1402.06</v>
      </c>
      <c r="E1872" s="9">
        <f t="shared" si="87"/>
        <v>-4.0802023706172863E-2</v>
      </c>
      <c r="F1872" s="9">
        <f t="shared" si="85"/>
        <v>-0.1634628086828856</v>
      </c>
      <c r="G1872" s="9">
        <f t="shared" si="86"/>
        <v>2.214947933578898E-2</v>
      </c>
    </row>
    <row r="1873" spans="1:7" x14ac:dyDescent="0.2">
      <c r="A1873" s="12">
        <v>39862</v>
      </c>
      <c r="B1873" s="9">
        <v>1415.41</v>
      </c>
      <c r="C1873" s="9">
        <v>1377.77</v>
      </c>
      <c r="D1873" s="9">
        <v>1394.55</v>
      </c>
      <c r="E1873" s="9">
        <f t="shared" si="87"/>
        <v>-5.3708011145419676E-3</v>
      </c>
      <c r="F1873" s="9">
        <f t="shared" si="85"/>
        <v>-0.15572598381353711</v>
      </c>
      <c r="G1873" s="9">
        <f t="shared" si="86"/>
        <v>2.2102220346013508E-2</v>
      </c>
    </row>
    <row r="1874" spans="1:7" x14ac:dyDescent="0.2">
      <c r="A1874" s="12">
        <v>39863</v>
      </c>
      <c r="B1874" s="9">
        <v>1401.16</v>
      </c>
      <c r="C1874" s="9">
        <v>1369.29</v>
      </c>
      <c r="D1874" s="9">
        <v>1376.01</v>
      </c>
      <c r="E1874" s="9">
        <f t="shared" si="87"/>
        <v>-1.3383775661234852E-2</v>
      </c>
      <c r="F1874" s="9">
        <f t="shared" si="85"/>
        <v>-0.13806593943363227</v>
      </c>
      <c r="G1874" s="9">
        <f t="shared" si="86"/>
        <v>2.1619825525994313E-2</v>
      </c>
    </row>
    <row r="1875" spans="1:7" x14ac:dyDescent="0.2">
      <c r="A1875" s="12">
        <v>39864</v>
      </c>
      <c r="B1875" s="9">
        <v>1374.8</v>
      </c>
      <c r="C1875" s="9">
        <v>1324.62</v>
      </c>
      <c r="D1875" s="9">
        <v>1324.62</v>
      </c>
      <c r="E1875" s="9">
        <f t="shared" si="87"/>
        <v>-3.8062381074069424E-2</v>
      </c>
      <c r="F1875" s="9">
        <f t="shared" si="85"/>
        <v>-0.17489950786732991</v>
      </c>
      <c r="G1875" s="9">
        <f t="shared" si="86"/>
        <v>2.2451533405863144E-2</v>
      </c>
    </row>
    <row r="1876" spans="1:7" x14ac:dyDescent="0.2">
      <c r="A1876" s="12">
        <v>39867</v>
      </c>
      <c r="B1876" s="9">
        <v>1351.48</v>
      </c>
      <c r="C1876" s="9">
        <v>1293.8900000000001</v>
      </c>
      <c r="D1876" s="9">
        <v>1299.78</v>
      </c>
      <c r="E1876" s="9">
        <f t="shared" si="87"/>
        <v>-1.8930606475417326E-2</v>
      </c>
      <c r="F1876" s="9">
        <f t="shared" si="85"/>
        <v>-0.18994372892871825</v>
      </c>
      <c r="G1876" s="9">
        <f t="shared" si="86"/>
        <v>2.2574301589736282E-2</v>
      </c>
    </row>
    <row r="1877" spans="1:7" x14ac:dyDescent="0.2">
      <c r="A1877" s="12">
        <v>39868</v>
      </c>
      <c r="B1877" s="9">
        <v>1299.02</v>
      </c>
      <c r="C1877" s="9">
        <v>1265.5899999999999</v>
      </c>
      <c r="D1877" s="9">
        <v>1280.6400000000001</v>
      </c>
      <c r="E1877" s="9">
        <f t="shared" si="87"/>
        <v>-1.4835066403940916E-2</v>
      </c>
      <c r="F1877" s="9">
        <f t="shared" si="85"/>
        <v>-0.17259960128544011</v>
      </c>
      <c r="G1877" s="9">
        <f t="shared" si="86"/>
        <v>2.2106756860557672E-2</v>
      </c>
    </row>
    <row r="1878" spans="1:7" x14ac:dyDescent="0.2">
      <c r="A1878" s="12">
        <v>39869</v>
      </c>
      <c r="B1878" s="9">
        <v>1317.44</v>
      </c>
      <c r="C1878" s="9">
        <v>1250.8699999999999</v>
      </c>
      <c r="D1878" s="9">
        <v>1254.77</v>
      </c>
      <c r="E1878" s="9">
        <f t="shared" si="87"/>
        <v>-2.0407664117136945E-2</v>
      </c>
      <c r="F1878" s="9">
        <f t="shared" si="85"/>
        <v>-0.14850711716571846</v>
      </c>
      <c r="G1878" s="9">
        <f t="shared" si="86"/>
        <v>2.1063645027353375E-2</v>
      </c>
    </row>
    <row r="1879" spans="1:7" x14ac:dyDescent="0.2">
      <c r="A1879" s="12">
        <v>39870</v>
      </c>
      <c r="B1879" s="9">
        <v>1287.77</v>
      </c>
      <c r="C1879" s="9">
        <v>1256.29</v>
      </c>
      <c r="D1879" s="9">
        <v>1283.31</v>
      </c>
      <c r="E1879" s="9">
        <f t="shared" si="87"/>
        <v>2.2490388792070107E-2</v>
      </c>
      <c r="F1879" s="9">
        <f t="shared" si="85"/>
        <v>-0.11726774203371292</v>
      </c>
      <c r="G1879" s="9">
        <f t="shared" si="86"/>
        <v>2.1633837340031877E-2</v>
      </c>
    </row>
    <row r="1880" spans="1:7" x14ac:dyDescent="0.2">
      <c r="A1880" s="12">
        <v>39871</v>
      </c>
      <c r="B1880" s="9">
        <v>1281.19</v>
      </c>
      <c r="C1880" s="9">
        <v>1251.1300000000001</v>
      </c>
      <c r="D1880" s="9">
        <v>1266.21</v>
      </c>
      <c r="E1880" s="9">
        <f t="shared" si="87"/>
        <v>-1.3414490904905809E-2</v>
      </c>
      <c r="F1880" s="9">
        <f t="shared" si="85"/>
        <v>-0.14725266022907646</v>
      </c>
      <c r="G1880" s="9">
        <f t="shared" si="86"/>
        <v>2.1345795603528922E-2</v>
      </c>
    </row>
    <row r="1881" spans="1:7" x14ac:dyDescent="0.2">
      <c r="A1881" s="12">
        <v>39874</v>
      </c>
      <c r="B1881" s="9">
        <v>1262.72</v>
      </c>
      <c r="C1881" s="9">
        <v>1212.98</v>
      </c>
      <c r="D1881" s="9">
        <v>1214.27</v>
      </c>
      <c r="E1881" s="9">
        <f t="shared" si="87"/>
        <v>-4.1885113562455084E-2</v>
      </c>
      <c r="F1881" s="9">
        <f t="shared" si="85"/>
        <v>-0.16791336451039318</v>
      </c>
      <c r="G1881" s="9">
        <f t="shared" si="86"/>
        <v>2.2206307090036029E-2</v>
      </c>
    </row>
    <row r="1882" spans="1:7" x14ac:dyDescent="0.2">
      <c r="A1882" s="12">
        <v>39875</v>
      </c>
      <c r="B1882" s="9">
        <v>1226.97</v>
      </c>
      <c r="C1882" s="9">
        <v>1188.4000000000001</v>
      </c>
      <c r="D1882" s="9">
        <v>1189.51</v>
      </c>
      <c r="E1882" s="9">
        <f t="shared" si="87"/>
        <v>-2.0601615561558723E-2</v>
      </c>
      <c r="F1882" s="9">
        <f t="shared" si="85"/>
        <v>-0.16705085126448588</v>
      </c>
      <c r="G1882" s="9">
        <f t="shared" si="86"/>
        <v>2.2185604427130037E-2</v>
      </c>
    </row>
    <row r="1883" spans="1:7" x14ac:dyDescent="0.2">
      <c r="A1883" s="12">
        <v>39876</v>
      </c>
      <c r="B1883" s="9">
        <v>1242.55</v>
      </c>
      <c r="C1883" s="9">
        <v>1191.33</v>
      </c>
      <c r="D1883" s="9">
        <v>1242.55</v>
      </c>
      <c r="E1883" s="9">
        <f t="shared" si="87"/>
        <v>4.3624262008483169E-2</v>
      </c>
      <c r="F1883" s="9">
        <f t="shared" si="85"/>
        <v>-0.12785558364901298</v>
      </c>
      <c r="G1883" s="9">
        <f t="shared" si="86"/>
        <v>2.3883761907304249E-2</v>
      </c>
    </row>
    <row r="1884" spans="1:7" x14ac:dyDescent="0.2">
      <c r="A1884" s="12">
        <v>39877</v>
      </c>
      <c r="B1884" s="9">
        <v>1242.44</v>
      </c>
      <c r="C1884" s="9">
        <v>1206.1400000000001</v>
      </c>
      <c r="D1884" s="9">
        <v>1210.9000000000001</v>
      </c>
      <c r="E1884" s="9">
        <f t="shared" si="87"/>
        <v>-2.5801834849489821E-2</v>
      </c>
      <c r="F1884" s="9">
        <f t="shared" si="85"/>
        <v>-0.1454083068520273</v>
      </c>
      <c r="G1884" s="9">
        <f t="shared" si="86"/>
        <v>2.4197742171746084E-2</v>
      </c>
    </row>
    <row r="1885" spans="1:7" x14ac:dyDescent="0.2">
      <c r="A1885" s="12">
        <v>39878</v>
      </c>
      <c r="B1885" s="9">
        <v>1211.74</v>
      </c>
      <c r="C1885" s="9">
        <v>1186.21</v>
      </c>
      <c r="D1885" s="9">
        <v>1191.98</v>
      </c>
      <c r="E1885" s="9">
        <f t="shared" si="87"/>
        <v>-1.5748094799276489E-2</v>
      </c>
      <c r="F1885" s="9">
        <f t="shared" si="85"/>
        <v>-0.15674084630861887</v>
      </c>
      <c r="G1885" s="9">
        <f t="shared" si="86"/>
        <v>2.4279095010205084E-2</v>
      </c>
    </row>
    <row r="1886" spans="1:7" x14ac:dyDescent="0.2">
      <c r="A1886" s="12">
        <v>39881</v>
      </c>
      <c r="B1886" s="9">
        <v>1199.6099999999999</v>
      </c>
      <c r="C1886" s="9">
        <v>1168.28</v>
      </c>
      <c r="D1886" s="9">
        <v>1189.0899999999999</v>
      </c>
      <c r="E1886" s="9">
        <f t="shared" si="87"/>
        <v>-2.4274812745111707E-3</v>
      </c>
      <c r="F1886" s="9">
        <f t="shared" si="85"/>
        <v>-0.1842833177984895</v>
      </c>
      <c r="G1886" s="9">
        <f t="shared" si="86"/>
        <v>2.3603623944070853E-2</v>
      </c>
    </row>
    <row r="1887" spans="1:7" x14ac:dyDescent="0.2">
      <c r="A1887" s="12">
        <v>39882</v>
      </c>
      <c r="B1887" s="9">
        <v>1269.5899999999999</v>
      </c>
      <c r="C1887" s="9">
        <v>1187.02</v>
      </c>
      <c r="D1887" s="9">
        <v>1262.06</v>
      </c>
      <c r="E1887" s="9">
        <f t="shared" si="87"/>
        <v>5.9556997866081748E-2</v>
      </c>
      <c r="F1887" s="9">
        <f t="shared" si="85"/>
        <v>-0.12719928623587748</v>
      </c>
      <c r="G1887" s="9">
        <f t="shared" si="86"/>
        <v>2.645126337810998E-2</v>
      </c>
    </row>
    <row r="1888" spans="1:7" x14ac:dyDescent="0.2">
      <c r="A1888" s="12">
        <v>39883</v>
      </c>
      <c r="B1888" s="9">
        <v>1311.08</v>
      </c>
      <c r="C1888" s="9">
        <v>1259.31</v>
      </c>
      <c r="D1888" s="9">
        <v>1293.54</v>
      </c>
      <c r="E1888" s="9">
        <f t="shared" si="87"/>
        <v>2.4637339445356086E-2</v>
      </c>
      <c r="F1888" s="9">
        <f t="shared" si="85"/>
        <v>-0.13515931680184112</v>
      </c>
      <c r="G1888" s="9">
        <f t="shared" si="86"/>
        <v>2.6106682925599686E-2</v>
      </c>
    </row>
    <row r="1889" spans="1:7" x14ac:dyDescent="0.2">
      <c r="A1889" s="12">
        <v>39884</v>
      </c>
      <c r="B1889" s="9">
        <v>1295.54</v>
      </c>
      <c r="C1889" s="9">
        <v>1255.57</v>
      </c>
      <c r="D1889" s="9">
        <v>1294.51</v>
      </c>
      <c r="E1889" s="9">
        <f t="shared" si="87"/>
        <v>7.4959915412771807E-4</v>
      </c>
      <c r="F1889" s="9">
        <f t="shared" ref="F1889:F1952" si="88">LN(D1889/D1859)</f>
        <v>-0.11229273229293549</v>
      </c>
      <c r="G1889" s="9">
        <f t="shared" ref="G1889:G1952" si="89">STDEV(E1860:E1889)</f>
        <v>2.5907808394747031E-2</v>
      </c>
    </row>
    <row r="1890" spans="1:7" x14ac:dyDescent="0.2">
      <c r="A1890" s="12">
        <v>39885</v>
      </c>
      <c r="B1890" s="9">
        <v>1325.29</v>
      </c>
      <c r="C1890" s="9">
        <v>1286.52</v>
      </c>
      <c r="D1890" s="9">
        <v>1288.47</v>
      </c>
      <c r="E1890" s="9">
        <f t="shared" si="87"/>
        <v>-4.6767772178073173E-3</v>
      </c>
      <c r="F1890" s="9">
        <f t="shared" si="88"/>
        <v>-0.1172801596349124</v>
      </c>
      <c r="G1890" s="9">
        <f t="shared" si="89"/>
        <v>2.5896898591517958E-2</v>
      </c>
    </row>
    <row r="1891" spans="1:7" x14ac:dyDescent="0.2">
      <c r="A1891" s="12">
        <v>39888</v>
      </c>
      <c r="B1891" s="9">
        <v>1334.89</v>
      </c>
      <c r="C1891" s="9">
        <v>1292.08</v>
      </c>
      <c r="D1891" s="9">
        <v>1331.12</v>
      </c>
      <c r="E1891" s="9">
        <f t="shared" si="87"/>
        <v>3.2565225172960566E-2</v>
      </c>
      <c r="F1891" s="9">
        <f t="shared" si="88"/>
        <v>-5.8122049800318001E-2</v>
      </c>
      <c r="G1891" s="9">
        <f t="shared" si="89"/>
        <v>2.6358291128193972E-2</v>
      </c>
    </row>
    <row r="1892" spans="1:7" x14ac:dyDescent="0.2">
      <c r="A1892" s="12">
        <v>39889</v>
      </c>
      <c r="B1892" s="9">
        <v>1331.17</v>
      </c>
      <c r="C1892" s="9">
        <v>1302.5999999999999</v>
      </c>
      <c r="D1892" s="9">
        <v>1310.3399999999999</v>
      </c>
      <c r="E1892" s="9">
        <f t="shared" si="87"/>
        <v>-1.5734047602515958E-2</v>
      </c>
      <c r="F1892" s="9">
        <f t="shared" si="88"/>
        <v>-8.385007986312859E-2</v>
      </c>
      <c r="G1892" s="9">
        <f t="shared" si="89"/>
        <v>2.6375243716888718E-2</v>
      </c>
    </row>
    <row r="1893" spans="1:7" x14ac:dyDescent="0.2">
      <c r="A1893" s="12">
        <v>39890</v>
      </c>
      <c r="B1893" s="9">
        <v>1330.58</v>
      </c>
      <c r="C1893" s="9">
        <v>1285.9100000000001</v>
      </c>
      <c r="D1893" s="9">
        <v>1305.8399999999999</v>
      </c>
      <c r="E1893" s="9">
        <f t="shared" si="87"/>
        <v>-3.4401336589561919E-3</v>
      </c>
      <c r="F1893" s="9">
        <f t="shared" si="88"/>
        <v>-0.132868764263915</v>
      </c>
      <c r="G1893" s="9">
        <f t="shared" si="89"/>
        <v>2.4743004651982911E-2</v>
      </c>
    </row>
    <row r="1894" spans="1:7" x14ac:dyDescent="0.2">
      <c r="A1894" s="12">
        <v>39891</v>
      </c>
      <c r="B1894" s="9">
        <v>1356.48</v>
      </c>
      <c r="C1894" s="9">
        <v>1304.3800000000001</v>
      </c>
      <c r="D1894" s="9">
        <v>1340.08</v>
      </c>
      <c r="E1894" s="9">
        <f t="shared" si="87"/>
        <v>2.5882801809651551E-2</v>
      </c>
      <c r="F1894" s="9">
        <f t="shared" si="88"/>
        <v>-9.6084596165716504E-2</v>
      </c>
      <c r="G1894" s="9">
        <f t="shared" si="89"/>
        <v>2.5315989474749861E-2</v>
      </c>
    </row>
    <row r="1895" spans="1:7" x14ac:dyDescent="0.2">
      <c r="A1895" s="12">
        <v>39892</v>
      </c>
      <c r="B1895" s="9">
        <v>1336.77</v>
      </c>
      <c r="C1895" s="9">
        <v>1301.1300000000001</v>
      </c>
      <c r="D1895" s="9">
        <v>1320.12</v>
      </c>
      <c r="E1895" s="9">
        <f t="shared" si="87"/>
        <v>-1.5006672116086585E-2</v>
      </c>
      <c r="F1895" s="9">
        <f t="shared" si="88"/>
        <v>-0.14465857892726974</v>
      </c>
      <c r="G1895" s="9">
        <f t="shared" si="89"/>
        <v>2.4420681647892198E-2</v>
      </c>
    </row>
    <row r="1896" spans="1:7" x14ac:dyDescent="0.2">
      <c r="A1896" s="12">
        <v>39895</v>
      </c>
      <c r="B1896" s="9">
        <v>1346.85</v>
      </c>
      <c r="C1896" s="9">
        <v>1320.14</v>
      </c>
      <c r="D1896" s="9">
        <v>1346.64</v>
      </c>
      <c r="E1896" s="9">
        <f t="shared" si="87"/>
        <v>1.9889959571481711E-2</v>
      </c>
      <c r="F1896" s="9">
        <f t="shared" si="88"/>
        <v>-0.13962245506827736</v>
      </c>
      <c r="G1896" s="9">
        <f t="shared" si="89"/>
        <v>2.4577405948757278E-2</v>
      </c>
    </row>
    <row r="1897" spans="1:7" x14ac:dyDescent="0.2">
      <c r="A1897" s="12">
        <v>39896</v>
      </c>
      <c r="B1897" s="9">
        <v>1372.5</v>
      </c>
      <c r="C1897" s="9">
        <v>1315.87</v>
      </c>
      <c r="D1897" s="9">
        <v>1318.79</v>
      </c>
      <c r="E1897" s="9">
        <f t="shared" si="87"/>
        <v>-2.0897951592893569E-2</v>
      </c>
      <c r="F1897" s="9">
        <f t="shared" si="88"/>
        <v>-0.12658144128752866</v>
      </c>
      <c r="G1897" s="9">
        <f t="shared" si="89"/>
        <v>2.415325178229185E-2</v>
      </c>
    </row>
    <row r="1898" spans="1:7" x14ac:dyDescent="0.2">
      <c r="A1898" s="12">
        <v>39897</v>
      </c>
      <c r="B1898" s="9">
        <v>1343.61</v>
      </c>
      <c r="C1898" s="9">
        <v>1307.3</v>
      </c>
      <c r="D1898" s="9">
        <v>1338.85</v>
      </c>
      <c r="E1898" s="9">
        <f t="shared" si="87"/>
        <v>1.5096386999662344E-2</v>
      </c>
      <c r="F1898" s="9">
        <f t="shared" si="88"/>
        <v>-0.10619968991187312</v>
      </c>
      <c r="G1898" s="9">
        <f t="shared" si="89"/>
        <v>2.4407547570181591E-2</v>
      </c>
    </row>
    <row r="1899" spans="1:7" x14ac:dyDescent="0.2">
      <c r="A1899" s="12">
        <v>39898</v>
      </c>
      <c r="B1899" s="9">
        <v>1339.07</v>
      </c>
      <c r="C1899" s="9">
        <v>1311.78</v>
      </c>
      <c r="D1899" s="9">
        <v>1329.99</v>
      </c>
      <c r="E1899" s="9">
        <f t="shared" si="87"/>
        <v>-6.6396131270544832E-3</v>
      </c>
      <c r="F1899" s="9">
        <f t="shared" si="88"/>
        <v>-0.10181058644209504</v>
      </c>
      <c r="G1899" s="9">
        <f t="shared" si="89"/>
        <v>2.4374242670385106E-2</v>
      </c>
    </row>
    <row r="1900" spans="1:7" x14ac:dyDescent="0.2">
      <c r="A1900" s="12">
        <v>39899</v>
      </c>
      <c r="B1900" s="9">
        <v>1339.09</v>
      </c>
      <c r="C1900" s="9">
        <v>1308.43</v>
      </c>
      <c r="D1900" s="9">
        <v>1311.71</v>
      </c>
      <c r="E1900" s="9">
        <f t="shared" si="87"/>
        <v>-1.3839793904058522E-2</v>
      </c>
      <c r="F1900" s="9">
        <f t="shared" si="88"/>
        <v>-0.116064547587372</v>
      </c>
      <c r="G1900" s="9">
        <f t="shared" si="89"/>
        <v>2.4436304514329158E-2</v>
      </c>
    </row>
    <row r="1901" spans="1:7" x14ac:dyDescent="0.2">
      <c r="A1901" s="12">
        <v>39902</v>
      </c>
      <c r="B1901" s="9">
        <v>1309.52</v>
      </c>
      <c r="C1901" s="9">
        <v>1246.67</v>
      </c>
      <c r="D1901" s="9">
        <v>1250.95</v>
      </c>
      <c r="E1901" s="9">
        <f t="shared" si="87"/>
        <v>-4.7428366843893302E-2</v>
      </c>
      <c r="F1901" s="9">
        <f t="shared" si="88"/>
        <v>-0.15484134474810263</v>
      </c>
      <c r="G1901" s="9">
        <f t="shared" si="89"/>
        <v>2.5691333974394211E-2</v>
      </c>
    </row>
    <row r="1902" spans="1:7" x14ac:dyDescent="0.2">
      <c r="A1902" s="12">
        <v>39903</v>
      </c>
      <c r="B1902" s="9">
        <v>1274.6099999999999</v>
      </c>
      <c r="C1902" s="9">
        <v>1250.6500000000001</v>
      </c>
      <c r="D1902" s="9">
        <v>1272.3800000000001</v>
      </c>
      <c r="E1902" s="9">
        <f t="shared" si="87"/>
        <v>1.6985899781296079E-2</v>
      </c>
      <c r="F1902" s="9">
        <f t="shared" si="88"/>
        <v>-9.7053421260633627E-2</v>
      </c>
      <c r="G1902" s="9">
        <f t="shared" si="89"/>
        <v>2.508621417117976E-2</v>
      </c>
    </row>
    <row r="1903" spans="1:7" x14ac:dyDescent="0.2">
      <c r="A1903" s="12">
        <v>39904</v>
      </c>
      <c r="B1903" s="9">
        <v>1299.58</v>
      </c>
      <c r="C1903" s="9">
        <v>1249.0999999999999</v>
      </c>
      <c r="D1903" s="9">
        <v>1287.68</v>
      </c>
      <c r="E1903" s="9">
        <f t="shared" si="87"/>
        <v>1.1952987167325438E-2</v>
      </c>
      <c r="F1903" s="9">
        <f t="shared" si="88"/>
        <v>-7.9729632978766285E-2</v>
      </c>
      <c r="G1903" s="9">
        <f t="shared" si="89"/>
        <v>2.5234308591667639E-2</v>
      </c>
    </row>
    <row r="1904" spans="1:7" x14ac:dyDescent="0.2">
      <c r="A1904" s="12">
        <v>39905</v>
      </c>
      <c r="B1904" s="9">
        <v>1367.49</v>
      </c>
      <c r="C1904" s="9">
        <v>1291.8699999999999</v>
      </c>
      <c r="D1904" s="9">
        <v>1367.18</v>
      </c>
      <c r="E1904" s="9">
        <f t="shared" si="87"/>
        <v>5.990807466549139E-2</v>
      </c>
      <c r="F1904" s="9">
        <f t="shared" si="88"/>
        <v>-6.4377826520400517E-3</v>
      </c>
      <c r="G1904" s="9">
        <f t="shared" si="89"/>
        <v>2.7597291123339005E-2</v>
      </c>
    </row>
    <row r="1905" spans="1:7" x14ac:dyDescent="0.2">
      <c r="A1905" s="12">
        <v>39906</v>
      </c>
      <c r="B1905" s="9">
        <v>1395.98</v>
      </c>
      <c r="C1905" s="9">
        <v>1355.95</v>
      </c>
      <c r="D1905" s="9">
        <v>1373.06</v>
      </c>
      <c r="E1905" s="9">
        <f t="shared" si="87"/>
        <v>4.291601483622026E-3</v>
      </c>
      <c r="F1905" s="9">
        <f t="shared" si="88"/>
        <v>3.5916199905651459E-2</v>
      </c>
      <c r="G1905" s="9">
        <f t="shared" si="89"/>
        <v>2.6661841013710188E-2</v>
      </c>
    </row>
    <row r="1906" spans="1:7" x14ac:dyDescent="0.2">
      <c r="A1906" s="12">
        <v>39909</v>
      </c>
      <c r="B1906" s="9">
        <v>1408.69</v>
      </c>
      <c r="C1906" s="9">
        <v>1369.05</v>
      </c>
      <c r="D1906" s="9">
        <v>1377.89</v>
      </c>
      <c r="E1906" s="9">
        <f t="shared" si="87"/>
        <v>3.5115178124858369E-3</v>
      </c>
      <c r="F1906" s="9">
        <f t="shared" si="88"/>
        <v>5.8358324193554793E-2</v>
      </c>
      <c r="G1906" s="9">
        <f t="shared" si="89"/>
        <v>2.6391089207522853E-2</v>
      </c>
    </row>
    <row r="1907" spans="1:7" x14ac:dyDescent="0.2">
      <c r="A1907" s="12">
        <v>39910</v>
      </c>
      <c r="B1907" s="9">
        <v>1384.67</v>
      </c>
      <c r="C1907" s="9">
        <v>1339.13</v>
      </c>
      <c r="D1907" s="9">
        <v>1354.59</v>
      </c>
      <c r="E1907" s="9">
        <f t="shared" si="87"/>
        <v>-1.7054518052318994E-2</v>
      </c>
      <c r="F1907" s="9">
        <f t="shared" si="88"/>
        <v>5.6138872545176619E-2</v>
      </c>
      <c r="G1907" s="9">
        <f t="shared" si="89"/>
        <v>2.6442811543707926E-2</v>
      </c>
    </row>
    <row r="1908" spans="1:7" x14ac:dyDescent="0.2">
      <c r="A1908" s="12">
        <v>39911</v>
      </c>
      <c r="B1908" s="9">
        <v>1352.49</v>
      </c>
      <c r="C1908" s="9">
        <v>1307.75</v>
      </c>
      <c r="D1908" s="9">
        <v>1340.73</v>
      </c>
      <c r="E1908" s="9">
        <f t="shared" si="87"/>
        <v>-1.0284583772769657E-2</v>
      </c>
      <c r="F1908" s="9">
        <f t="shared" si="88"/>
        <v>6.6261952889544035E-2</v>
      </c>
      <c r="G1908" s="9">
        <f t="shared" si="89"/>
        <v>2.6212292227035958E-2</v>
      </c>
    </row>
    <row r="1909" spans="1:7" x14ac:dyDescent="0.2">
      <c r="A1909" s="12">
        <v>39912</v>
      </c>
      <c r="B1909" s="9">
        <v>1382.75</v>
      </c>
      <c r="C1909" s="9">
        <v>1341.04</v>
      </c>
      <c r="D1909" s="9">
        <v>1379.21</v>
      </c>
      <c r="E1909" s="9">
        <f t="shared" si="87"/>
        <v>2.8296629735468773E-2</v>
      </c>
      <c r="F1909" s="9">
        <f t="shared" si="88"/>
        <v>7.206819383294269E-2</v>
      </c>
      <c r="G1909" s="9">
        <f t="shared" si="89"/>
        <v>2.6388054188010004E-2</v>
      </c>
    </row>
    <row r="1910" spans="1:7" x14ac:dyDescent="0.2">
      <c r="A1910" s="12">
        <v>39917</v>
      </c>
      <c r="B1910" s="9">
        <v>1423.95</v>
      </c>
      <c r="C1910" s="9">
        <v>1377.22</v>
      </c>
      <c r="D1910" s="9">
        <v>1417.47</v>
      </c>
      <c r="E1910" s="9">
        <f t="shared" si="87"/>
        <v>2.7362720893592419E-2</v>
      </c>
      <c r="F1910" s="9">
        <f t="shared" si="88"/>
        <v>0.11284540563144073</v>
      </c>
      <c r="G1910" s="9">
        <f t="shared" si="89"/>
        <v>2.659464595187034E-2</v>
      </c>
    </row>
    <row r="1911" spans="1:7" x14ac:dyDescent="0.2">
      <c r="A1911" s="12">
        <v>39918</v>
      </c>
      <c r="B1911" s="9">
        <v>1417.51</v>
      </c>
      <c r="C1911" s="9">
        <v>1388.61</v>
      </c>
      <c r="D1911" s="9">
        <v>1396.93</v>
      </c>
      <c r="E1911" s="9">
        <f t="shared" si="87"/>
        <v>-1.4596620728178567E-2</v>
      </c>
      <c r="F1911" s="9">
        <f t="shared" si="88"/>
        <v>0.1401338984657173</v>
      </c>
      <c r="G1911" s="9">
        <f t="shared" si="89"/>
        <v>2.5420304858243214E-2</v>
      </c>
    </row>
    <row r="1912" spans="1:7" x14ac:dyDescent="0.2">
      <c r="A1912" s="12">
        <v>39919</v>
      </c>
      <c r="B1912" s="9">
        <v>1468.75</v>
      </c>
      <c r="C1912" s="9">
        <v>1394.84</v>
      </c>
      <c r="D1912" s="9">
        <v>1457.05</v>
      </c>
      <c r="E1912" s="9">
        <f t="shared" si="87"/>
        <v>4.2136872067694314E-2</v>
      </c>
      <c r="F1912" s="9">
        <f t="shared" si="88"/>
        <v>0.20287238609497038</v>
      </c>
      <c r="G1912" s="9">
        <f t="shared" si="89"/>
        <v>2.5846584055437289E-2</v>
      </c>
    </row>
    <row r="1913" spans="1:7" x14ac:dyDescent="0.2">
      <c r="A1913" s="12">
        <v>39920</v>
      </c>
      <c r="B1913" s="9">
        <v>1492.18</v>
      </c>
      <c r="C1913" s="9">
        <v>1459.42</v>
      </c>
      <c r="D1913" s="9">
        <v>1491.26</v>
      </c>
      <c r="E1913" s="9">
        <f t="shared" si="87"/>
        <v>2.3207556477082902E-2</v>
      </c>
      <c r="F1913" s="9">
        <f t="shared" si="88"/>
        <v>0.18245568056357023</v>
      </c>
      <c r="G1913" s="9">
        <f t="shared" si="89"/>
        <v>2.5100544993551653E-2</v>
      </c>
    </row>
    <row r="1914" spans="1:7" x14ac:dyDescent="0.2">
      <c r="A1914" s="12">
        <v>39923</v>
      </c>
      <c r="B1914" s="9">
        <v>1507.09</v>
      </c>
      <c r="C1914" s="9">
        <v>1414.99</v>
      </c>
      <c r="D1914" s="9">
        <v>1426.64</v>
      </c>
      <c r="E1914" s="9">
        <f t="shared" si="87"/>
        <v>-4.4299371029122743E-2</v>
      </c>
      <c r="F1914" s="9">
        <f t="shared" si="88"/>
        <v>0.16395814438393727</v>
      </c>
      <c r="G1914" s="9">
        <f t="shared" si="89"/>
        <v>2.6117358747796037E-2</v>
      </c>
    </row>
    <row r="1915" spans="1:7" x14ac:dyDescent="0.2">
      <c r="A1915" s="12">
        <v>39924</v>
      </c>
      <c r="B1915" s="9">
        <v>1442.72</v>
      </c>
      <c r="C1915" s="9">
        <v>1394.3</v>
      </c>
      <c r="D1915" s="9">
        <v>1436.84</v>
      </c>
      <c r="E1915" s="9">
        <f t="shared" si="87"/>
        <v>7.1242286598141797E-3</v>
      </c>
      <c r="F1915" s="9">
        <f t="shared" si="88"/>
        <v>0.18683046784302773</v>
      </c>
      <c r="G1915" s="9">
        <f t="shared" si="89"/>
        <v>2.5808768581365278E-2</v>
      </c>
    </row>
    <row r="1916" spans="1:7" x14ac:dyDescent="0.2">
      <c r="A1916" s="12">
        <v>39925</v>
      </c>
      <c r="B1916" s="9">
        <v>1491.34</v>
      </c>
      <c r="C1916" s="9">
        <v>1431.63</v>
      </c>
      <c r="D1916" s="9">
        <v>1491.09</v>
      </c>
      <c r="E1916" s="9">
        <f t="shared" si="87"/>
        <v>3.7061138311981906E-2</v>
      </c>
      <c r="F1916" s="9">
        <f t="shared" si="88"/>
        <v>0.22631908742952098</v>
      </c>
      <c r="G1916" s="9">
        <f t="shared" si="89"/>
        <v>2.6353364845595129E-2</v>
      </c>
    </row>
    <row r="1917" spans="1:7" x14ac:dyDescent="0.2">
      <c r="A1917" s="12">
        <v>39926</v>
      </c>
      <c r="B1917" s="9">
        <v>1528.97</v>
      </c>
      <c r="C1917" s="9">
        <v>1480.21</v>
      </c>
      <c r="D1917" s="9">
        <v>1506.84</v>
      </c>
      <c r="E1917" s="9">
        <f t="shared" si="87"/>
        <v>1.0507346672818763E-2</v>
      </c>
      <c r="F1917" s="9">
        <f t="shared" si="88"/>
        <v>0.17726943623625815</v>
      </c>
      <c r="G1917" s="9">
        <f t="shared" si="89"/>
        <v>2.446935184016967E-2</v>
      </c>
    </row>
    <row r="1918" spans="1:7" x14ac:dyDescent="0.2">
      <c r="A1918" s="12">
        <v>39927</v>
      </c>
      <c r="B1918" s="9">
        <v>1544.87</v>
      </c>
      <c r="C1918" s="9">
        <v>1502.13</v>
      </c>
      <c r="D1918" s="9">
        <v>1544.66</v>
      </c>
      <c r="E1918" s="9">
        <f t="shared" si="87"/>
        <v>2.4789078600259404E-2</v>
      </c>
      <c r="F1918" s="9">
        <f t="shared" si="88"/>
        <v>0.17742117539116142</v>
      </c>
      <c r="G1918" s="9">
        <f t="shared" si="89"/>
        <v>2.4473371956450499E-2</v>
      </c>
    </row>
    <row r="1919" spans="1:7" x14ac:dyDescent="0.2">
      <c r="A1919" s="12">
        <v>39930</v>
      </c>
      <c r="B1919" s="9">
        <v>1546.05</v>
      </c>
      <c r="C1919" s="9">
        <v>1511.37</v>
      </c>
      <c r="D1919" s="9">
        <v>1540.43</v>
      </c>
      <c r="E1919" s="9">
        <f t="shared" si="87"/>
        <v>-2.7422231771033734E-3</v>
      </c>
      <c r="F1919" s="9">
        <f t="shared" si="88"/>
        <v>0.17392935305993032</v>
      </c>
      <c r="G1919" s="9">
        <f t="shared" si="89"/>
        <v>2.450706099686438E-2</v>
      </c>
    </row>
    <row r="1920" spans="1:7" x14ac:dyDescent="0.2">
      <c r="A1920" s="12">
        <v>39931</v>
      </c>
      <c r="B1920" s="9">
        <v>1537.13</v>
      </c>
      <c r="C1920" s="9">
        <v>1490.11</v>
      </c>
      <c r="D1920" s="9">
        <v>1513.53</v>
      </c>
      <c r="E1920" s="9">
        <f t="shared" si="87"/>
        <v>-1.7616927341150834E-2</v>
      </c>
      <c r="F1920" s="9">
        <f t="shared" si="88"/>
        <v>0.16098920293658678</v>
      </c>
      <c r="G1920" s="9">
        <f t="shared" si="89"/>
        <v>2.4809781315898335E-2</v>
      </c>
    </row>
    <row r="1921" spans="1:7" x14ac:dyDescent="0.2">
      <c r="A1921" s="12">
        <v>39932</v>
      </c>
      <c r="B1921" s="9">
        <v>1568.1</v>
      </c>
      <c r="C1921" s="9">
        <v>1507.54</v>
      </c>
      <c r="D1921" s="9">
        <v>1564.33</v>
      </c>
      <c r="E1921" s="9">
        <f t="shared" si="87"/>
        <v>3.3012946420003984E-2</v>
      </c>
      <c r="F1921" s="9">
        <f t="shared" si="88"/>
        <v>0.16143692418363018</v>
      </c>
      <c r="G1921" s="9">
        <f t="shared" si="89"/>
        <v>2.4826835494306174E-2</v>
      </c>
    </row>
    <row r="1922" spans="1:7" x14ac:dyDescent="0.2">
      <c r="A1922" s="12">
        <v>39933</v>
      </c>
      <c r="B1922" s="9">
        <v>1610.75</v>
      </c>
      <c r="C1922" s="9">
        <v>1568.52</v>
      </c>
      <c r="D1922" s="9">
        <v>1596.81</v>
      </c>
      <c r="E1922" s="9">
        <f t="shared" si="87"/>
        <v>2.0550271771758055E-2</v>
      </c>
      <c r="F1922" s="9">
        <f t="shared" si="88"/>
        <v>0.19772124355790444</v>
      </c>
      <c r="G1922" s="9">
        <f t="shared" si="89"/>
        <v>2.4645864743463631E-2</v>
      </c>
    </row>
    <row r="1923" spans="1:7" x14ac:dyDescent="0.2">
      <c r="A1923" s="12">
        <v>39937</v>
      </c>
      <c r="B1923" s="9">
        <v>1684.64</v>
      </c>
      <c r="C1923" s="9">
        <v>1598.01</v>
      </c>
      <c r="D1923" s="9">
        <v>1680.9</v>
      </c>
      <c r="E1923" s="9">
        <f t="shared" si="87"/>
        <v>5.1321475176708584E-2</v>
      </c>
      <c r="F1923" s="9">
        <f t="shared" si="88"/>
        <v>0.25248285239356905</v>
      </c>
      <c r="G1923" s="9">
        <f t="shared" si="89"/>
        <v>2.5874633715707248E-2</v>
      </c>
    </row>
    <row r="1924" spans="1:7" x14ac:dyDescent="0.2">
      <c r="A1924" s="12">
        <v>39938</v>
      </c>
      <c r="B1924" s="9">
        <v>1691.21</v>
      </c>
      <c r="C1924" s="9">
        <v>1657.74</v>
      </c>
      <c r="D1924" s="9">
        <v>1668.26</v>
      </c>
      <c r="E1924" s="9">
        <f t="shared" ref="E1924:E1987" si="90">LN(D1924/D1923)</f>
        <v>-7.5481971681885677E-3</v>
      </c>
      <c r="F1924" s="9">
        <f t="shared" si="88"/>
        <v>0.21905185341572889</v>
      </c>
      <c r="G1924" s="9">
        <f t="shared" si="89"/>
        <v>2.5816275153325935E-2</v>
      </c>
    </row>
    <row r="1925" spans="1:7" x14ac:dyDescent="0.2">
      <c r="A1925" s="12">
        <v>39939</v>
      </c>
      <c r="B1925" s="9">
        <v>1725.43</v>
      </c>
      <c r="C1925" s="9">
        <v>1658.2</v>
      </c>
      <c r="D1925" s="9">
        <v>1713.95</v>
      </c>
      <c r="E1925" s="9">
        <f t="shared" si="90"/>
        <v>2.7019481132479661E-2</v>
      </c>
      <c r="F1925" s="9">
        <f t="shared" si="88"/>
        <v>0.26107800666429509</v>
      </c>
      <c r="G1925" s="9">
        <f t="shared" si="89"/>
        <v>2.5704000496598954E-2</v>
      </c>
    </row>
    <row r="1926" spans="1:7" x14ac:dyDescent="0.2">
      <c r="A1926" s="12">
        <v>39940</v>
      </c>
      <c r="B1926" s="9">
        <v>1780.21</v>
      </c>
      <c r="C1926" s="9">
        <v>1703.17</v>
      </c>
      <c r="D1926" s="9">
        <v>1711.52</v>
      </c>
      <c r="E1926" s="9">
        <f t="shared" si="90"/>
        <v>-1.4187836458190034E-3</v>
      </c>
      <c r="F1926" s="9">
        <f t="shared" si="88"/>
        <v>0.23976926344699434</v>
      </c>
      <c r="G1926" s="9">
        <f t="shared" si="89"/>
        <v>2.5678599427794248E-2</v>
      </c>
    </row>
    <row r="1927" spans="1:7" x14ac:dyDescent="0.2">
      <c r="A1927" s="12">
        <v>39941</v>
      </c>
      <c r="B1927" s="9">
        <v>1765.87</v>
      </c>
      <c r="C1927" s="9">
        <v>1713.63</v>
      </c>
      <c r="D1927" s="9">
        <v>1744.91</v>
      </c>
      <c r="E1927" s="9">
        <f t="shared" si="90"/>
        <v>1.9321113817390753E-2</v>
      </c>
      <c r="F1927" s="9">
        <f t="shared" si="88"/>
        <v>0.27998832885727865</v>
      </c>
      <c r="G1927" s="9">
        <f t="shared" si="89"/>
        <v>2.5162985377568503E-2</v>
      </c>
    </row>
    <row r="1928" spans="1:7" x14ac:dyDescent="0.2">
      <c r="A1928" s="12">
        <v>39944</v>
      </c>
      <c r="B1928" s="9">
        <v>1746.77</v>
      </c>
      <c r="C1928" s="9">
        <v>1660.07</v>
      </c>
      <c r="D1928" s="9">
        <v>1662.84</v>
      </c>
      <c r="E1928" s="9">
        <f t="shared" si="90"/>
        <v>-4.8175994476587415E-2</v>
      </c>
      <c r="F1928" s="9">
        <f t="shared" si="88"/>
        <v>0.2167159473810287</v>
      </c>
      <c r="G1928" s="9">
        <f t="shared" si="89"/>
        <v>2.7229999589600186E-2</v>
      </c>
    </row>
    <row r="1929" spans="1:7" x14ac:dyDescent="0.2">
      <c r="A1929" s="12">
        <v>39945</v>
      </c>
      <c r="B1929" s="9">
        <v>1686.06</v>
      </c>
      <c r="C1929" s="9">
        <v>1622.71</v>
      </c>
      <c r="D1929" s="9">
        <v>1628.97</v>
      </c>
      <c r="E1929" s="9">
        <f t="shared" si="90"/>
        <v>-2.0579070672420766E-2</v>
      </c>
      <c r="F1929" s="9">
        <f t="shared" si="88"/>
        <v>0.20277648983566257</v>
      </c>
      <c r="G1929" s="9">
        <f t="shared" si="89"/>
        <v>2.7591255302840279E-2</v>
      </c>
    </row>
    <row r="1930" spans="1:7" x14ac:dyDescent="0.2">
      <c r="A1930" s="12">
        <v>39946</v>
      </c>
      <c r="B1930" s="9">
        <v>1635.43</v>
      </c>
      <c r="C1930" s="9">
        <v>1562.64</v>
      </c>
      <c r="D1930" s="9">
        <v>1567.92</v>
      </c>
      <c r="E1930" s="9">
        <f t="shared" si="90"/>
        <v>-3.8198013025598561E-2</v>
      </c>
      <c r="F1930" s="9">
        <f t="shared" si="88"/>
        <v>0.17841827071412242</v>
      </c>
      <c r="G1930" s="9">
        <f t="shared" si="89"/>
        <v>2.8559737470452755E-2</v>
      </c>
    </row>
    <row r="1931" spans="1:7" x14ac:dyDescent="0.2">
      <c r="A1931" s="12">
        <v>39947</v>
      </c>
      <c r="B1931" s="9">
        <v>1594.1</v>
      </c>
      <c r="C1931" s="9">
        <v>1526.5</v>
      </c>
      <c r="D1931" s="9">
        <v>1592.69</v>
      </c>
      <c r="E1931" s="9">
        <f t="shared" si="90"/>
        <v>1.5674510391096335E-2</v>
      </c>
      <c r="F1931" s="9">
        <f t="shared" si="88"/>
        <v>0.24152114794911209</v>
      </c>
      <c r="G1931" s="9">
        <f t="shared" si="89"/>
        <v>2.6760126648353304E-2</v>
      </c>
    </row>
    <row r="1932" spans="1:7" x14ac:dyDescent="0.2">
      <c r="A1932" s="12">
        <v>39948</v>
      </c>
      <c r="B1932" s="9">
        <v>1634.12</v>
      </c>
      <c r="C1932" s="9">
        <v>1594.44</v>
      </c>
      <c r="D1932" s="9">
        <v>1625.64</v>
      </c>
      <c r="E1932" s="9">
        <f t="shared" si="90"/>
        <v>2.0477173788944467E-2</v>
      </c>
      <c r="F1932" s="9">
        <f t="shared" si="88"/>
        <v>0.24501242195676035</v>
      </c>
      <c r="G1932" s="9">
        <f t="shared" si="89"/>
        <v>2.6807873322573349E-2</v>
      </c>
    </row>
    <row r="1933" spans="1:7" x14ac:dyDescent="0.2">
      <c r="A1933" s="12">
        <v>39951</v>
      </c>
      <c r="B1933" s="9">
        <v>1654.62</v>
      </c>
      <c r="C1933" s="9">
        <v>1588.4</v>
      </c>
      <c r="D1933" s="9">
        <v>1654.21</v>
      </c>
      <c r="E1933" s="9">
        <f t="shared" si="90"/>
        <v>1.7421969077120885E-2</v>
      </c>
      <c r="F1933" s="9">
        <f t="shared" si="88"/>
        <v>0.25048140386655587</v>
      </c>
      <c r="G1933" s="9">
        <f t="shared" si="89"/>
        <v>2.6853063120039239E-2</v>
      </c>
    </row>
    <row r="1934" spans="1:7" x14ac:dyDescent="0.2">
      <c r="A1934" s="12">
        <v>39952</v>
      </c>
      <c r="B1934" s="9">
        <v>1702.28</v>
      </c>
      <c r="C1934" s="9">
        <v>1655.38</v>
      </c>
      <c r="D1934" s="9">
        <v>1676.92</v>
      </c>
      <c r="E1934" s="9">
        <f t="shared" si="90"/>
        <v>1.363522399380882E-2</v>
      </c>
      <c r="F1934" s="9">
        <f t="shared" si="88"/>
        <v>0.20420855319487324</v>
      </c>
      <c r="G1934" s="9">
        <f t="shared" si="89"/>
        <v>2.5058408716715327E-2</v>
      </c>
    </row>
    <row r="1935" spans="1:7" x14ac:dyDescent="0.2">
      <c r="A1935" s="12">
        <v>39953</v>
      </c>
      <c r="B1935" s="9">
        <v>1718</v>
      </c>
      <c r="C1935" s="9">
        <v>1678.53</v>
      </c>
      <c r="D1935" s="9">
        <v>1710.61</v>
      </c>
      <c r="E1935" s="9">
        <f t="shared" si="90"/>
        <v>1.9891254580041789E-2</v>
      </c>
      <c r="F1935" s="9">
        <f t="shared" si="88"/>
        <v>0.21980820629129291</v>
      </c>
      <c r="G1935" s="9">
        <f t="shared" si="89"/>
        <v>2.5166036176755627E-2</v>
      </c>
    </row>
    <row r="1936" spans="1:7" x14ac:dyDescent="0.2">
      <c r="A1936" s="12">
        <v>39955</v>
      </c>
      <c r="B1936" s="9">
        <v>1703.59</v>
      </c>
      <c r="C1936" s="9">
        <v>1640.41</v>
      </c>
      <c r="D1936" s="9">
        <v>1657.23</v>
      </c>
      <c r="E1936" s="9">
        <f t="shared" si="90"/>
        <v>-3.1702498168183504E-2</v>
      </c>
      <c r="F1936" s="9">
        <f t="shared" si="88"/>
        <v>0.18459419031062349</v>
      </c>
      <c r="G1936" s="9">
        <f t="shared" si="89"/>
        <v>2.6152047002330966E-2</v>
      </c>
    </row>
    <row r="1937" spans="1:7" x14ac:dyDescent="0.2">
      <c r="A1937" s="12">
        <v>39958</v>
      </c>
      <c r="B1937" s="9">
        <v>1673.59</v>
      </c>
      <c r="C1937" s="9">
        <v>1631.2</v>
      </c>
      <c r="D1937" s="9">
        <v>1668.93</v>
      </c>
      <c r="E1937" s="9">
        <f t="shared" si="90"/>
        <v>7.0351686366368592E-3</v>
      </c>
      <c r="F1937" s="9">
        <f t="shared" si="88"/>
        <v>0.20868387699957949</v>
      </c>
      <c r="G1937" s="9">
        <f t="shared" si="89"/>
        <v>2.578210829835121E-2</v>
      </c>
    </row>
    <row r="1938" spans="1:7" x14ac:dyDescent="0.2">
      <c r="A1938" s="12">
        <v>39959</v>
      </c>
      <c r="B1938" s="9">
        <v>1667.47</v>
      </c>
      <c r="C1938" s="9">
        <v>1613</v>
      </c>
      <c r="D1938" s="9">
        <v>1651.72</v>
      </c>
      <c r="E1938" s="9">
        <f t="shared" si="90"/>
        <v>-1.0365533309882165E-2</v>
      </c>
      <c r="F1938" s="9">
        <f t="shared" si="88"/>
        <v>0.20860292746246684</v>
      </c>
      <c r="G1938" s="9">
        <f t="shared" si="89"/>
        <v>2.5783979074694371E-2</v>
      </c>
    </row>
    <row r="1939" spans="1:7" x14ac:dyDescent="0.2">
      <c r="A1939" s="12">
        <v>39960</v>
      </c>
      <c r="B1939" s="9">
        <v>1675.36</v>
      </c>
      <c r="C1939" s="9">
        <v>1649.25</v>
      </c>
      <c r="D1939" s="9">
        <v>1666.71</v>
      </c>
      <c r="E1939" s="9">
        <f t="shared" si="90"/>
        <v>9.0344542199458765E-3</v>
      </c>
      <c r="F1939" s="9">
        <f t="shared" si="88"/>
        <v>0.18934075194694391</v>
      </c>
      <c r="G1939" s="9">
        <f t="shared" si="89"/>
        <v>2.5472110874313326E-2</v>
      </c>
    </row>
    <row r="1940" spans="1:7" x14ac:dyDescent="0.2">
      <c r="A1940" s="12">
        <v>39961</v>
      </c>
      <c r="B1940" s="9">
        <v>1664.95</v>
      </c>
      <c r="C1940" s="9">
        <v>1629.76</v>
      </c>
      <c r="D1940" s="9">
        <v>1658.07</v>
      </c>
      <c r="E1940" s="9">
        <f t="shared" si="90"/>
        <v>-5.1973480644966876E-3</v>
      </c>
      <c r="F1940" s="9">
        <f t="shared" si="88"/>
        <v>0.15678068298885475</v>
      </c>
      <c r="G1940" s="9">
        <f t="shared" si="89"/>
        <v>2.5236793335512486E-2</v>
      </c>
    </row>
    <row r="1941" spans="1:7" x14ac:dyDescent="0.2">
      <c r="A1941" s="12">
        <v>39962</v>
      </c>
      <c r="B1941" s="9">
        <v>1674.9</v>
      </c>
      <c r="C1941" s="9">
        <v>1647.2</v>
      </c>
      <c r="D1941" s="9">
        <v>1651.31</v>
      </c>
      <c r="E1941" s="9">
        <f t="shared" si="90"/>
        <v>-4.0853630602339375E-3</v>
      </c>
      <c r="F1941" s="9">
        <f t="shared" si="88"/>
        <v>0.16729194065679948</v>
      </c>
      <c r="G1941" s="9">
        <f t="shared" si="89"/>
        <v>2.5024166405373631E-2</v>
      </c>
    </row>
    <row r="1942" spans="1:7" x14ac:dyDescent="0.2">
      <c r="A1942" s="12">
        <v>39965</v>
      </c>
      <c r="B1942" s="9">
        <v>1718.44</v>
      </c>
      <c r="C1942" s="9">
        <v>1654.09</v>
      </c>
      <c r="D1942" s="9">
        <v>1717.39</v>
      </c>
      <c r="E1942" s="9">
        <f t="shared" si="90"/>
        <v>3.9236784180701284E-2</v>
      </c>
      <c r="F1942" s="9">
        <f t="shared" si="88"/>
        <v>0.16439185276980667</v>
      </c>
      <c r="G1942" s="9">
        <f t="shared" si="89"/>
        <v>2.4883266228540556E-2</v>
      </c>
    </row>
    <row r="1943" spans="1:7" x14ac:dyDescent="0.2">
      <c r="A1943" s="12">
        <v>39966</v>
      </c>
      <c r="B1943" s="9">
        <v>1726.59</v>
      </c>
      <c r="C1943" s="9">
        <v>1705.52</v>
      </c>
      <c r="D1943" s="9">
        <v>1713.07</v>
      </c>
      <c r="E1943" s="9">
        <f t="shared" si="90"/>
        <v>-2.5186139955748013E-3</v>
      </c>
      <c r="F1943" s="9">
        <f t="shared" si="88"/>
        <v>0.13866568229714885</v>
      </c>
      <c r="G1943" s="9">
        <f t="shared" si="89"/>
        <v>2.4693826959295069E-2</v>
      </c>
    </row>
    <row r="1944" spans="1:7" x14ac:dyDescent="0.2">
      <c r="A1944" s="12">
        <v>39967</v>
      </c>
      <c r="B1944" s="9">
        <v>1717.72</v>
      </c>
      <c r="C1944" s="9">
        <v>1648.33</v>
      </c>
      <c r="D1944" s="9">
        <v>1655.53</v>
      </c>
      <c r="E1944" s="9">
        <f t="shared" si="90"/>
        <v>-3.416588323394907E-2</v>
      </c>
      <c r="F1944" s="9">
        <f t="shared" si="88"/>
        <v>0.14879917009232255</v>
      </c>
      <c r="G1944" s="9">
        <f t="shared" si="89"/>
        <v>2.4062805889821001E-2</v>
      </c>
    </row>
    <row r="1945" spans="1:7" x14ac:dyDescent="0.2">
      <c r="A1945" s="12">
        <v>39968</v>
      </c>
      <c r="B1945" s="9">
        <v>1680.41</v>
      </c>
      <c r="C1945" s="9">
        <v>1638.91</v>
      </c>
      <c r="D1945" s="9">
        <v>1650.56</v>
      </c>
      <c r="E1945" s="9">
        <f t="shared" si="90"/>
        <v>-3.0065749836551609E-3</v>
      </c>
      <c r="F1945" s="9">
        <f t="shared" si="88"/>
        <v>0.13866836644885325</v>
      </c>
      <c r="G1945" s="9">
        <f t="shared" si="89"/>
        <v>2.4102440108357819E-2</v>
      </c>
    </row>
    <row r="1946" spans="1:7" x14ac:dyDescent="0.2">
      <c r="A1946" s="12">
        <v>39969</v>
      </c>
      <c r="B1946" s="9">
        <v>1670.74</v>
      </c>
      <c r="C1946" s="9">
        <v>1644.22</v>
      </c>
      <c r="D1946" s="9">
        <v>1648.46</v>
      </c>
      <c r="E1946" s="9">
        <f t="shared" si="90"/>
        <v>-1.2731055183899972E-3</v>
      </c>
      <c r="F1946" s="9">
        <f t="shared" si="88"/>
        <v>0.10033412261848126</v>
      </c>
      <c r="G1946" s="9">
        <f t="shared" si="89"/>
        <v>2.3327054814970983E-2</v>
      </c>
    </row>
    <row r="1947" spans="1:7" x14ac:dyDescent="0.2">
      <c r="A1947" s="12">
        <v>39972</v>
      </c>
      <c r="B1947" s="9">
        <v>1647.58</v>
      </c>
      <c r="C1947" s="9">
        <v>1620.41</v>
      </c>
      <c r="D1947" s="9">
        <v>1629.37</v>
      </c>
      <c r="E1947" s="9">
        <f t="shared" si="90"/>
        <v>-1.164808171277398E-2</v>
      </c>
      <c r="F1947" s="9">
        <f t="shared" si="88"/>
        <v>7.8178694232888521E-2</v>
      </c>
      <c r="G1947" s="9">
        <f t="shared" si="89"/>
        <v>2.3442887930903305E-2</v>
      </c>
    </row>
    <row r="1948" spans="1:7" x14ac:dyDescent="0.2">
      <c r="A1948" s="12">
        <v>39973</v>
      </c>
      <c r="B1948" s="9">
        <v>1656.05</v>
      </c>
      <c r="C1948" s="9">
        <v>1632.59</v>
      </c>
      <c r="D1948" s="9">
        <v>1647.9</v>
      </c>
      <c r="E1948" s="9">
        <f t="shared" si="90"/>
        <v>1.1308312994923264E-2</v>
      </c>
      <c r="F1948" s="9">
        <f t="shared" si="88"/>
        <v>6.4697928627552345E-2</v>
      </c>
      <c r="G1948" s="9">
        <f t="shared" si="89"/>
        <v>2.3130129061814216E-2</v>
      </c>
    </row>
    <row r="1949" spans="1:7" x14ac:dyDescent="0.2">
      <c r="A1949" s="12">
        <v>39974</v>
      </c>
      <c r="B1949" s="9">
        <v>1699.06</v>
      </c>
      <c r="C1949" s="9">
        <v>1650.24</v>
      </c>
      <c r="D1949" s="9">
        <v>1677.85</v>
      </c>
      <c r="E1949" s="9">
        <f t="shared" si="90"/>
        <v>1.8011461881259773E-2</v>
      </c>
      <c r="F1949" s="9">
        <f t="shared" si="88"/>
        <v>8.5451613685915473E-2</v>
      </c>
      <c r="G1949" s="9">
        <f t="shared" si="89"/>
        <v>2.3288375327263938E-2</v>
      </c>
    </row>
    <row r="1950" spans="1:7" x14ac:dyDescent="0.2">
      <c r="A1950" s="12">
        <v>39975</v>
      </c>
      <c r="B1950" s="9">
        <v>1700.95</v>
      </c>
      <c r="C1950" s="9">
        <v>1677.08</v>
      </c>
      <c r="D1950" s="9">
        <v>1700.6</v>
      </c>
      <c r="E1950" s="9">
        <f t="shared" si="90"/>
        <v>1.346791805374789E-2</v>
      </c>
      <c r="F1950" s="9">
        <f t="shared" si="88"/>
        <v>0.11653645908081418</v>
      </c>
      <c r="G1950" s="9">
        <f t="shared" si="89"/>
        <v>2.3036583167351014E-2</v>
      </c>
    </row>
    <row r="1951" spans="1:7" x14ac:dyDescent="0.2">
      <c r="A1951" s="12">
        <v>39976</v>
      </c>
      <c r="B1951" s="9">
        <v>1704.16</v>
      </c>
      <c r="C1951" s="9">
        <v>1684.85</v>
      </c>
      <c r="D1951" s="9">
        <v>1687.46</v>
      </c>
      <c r="E1951" s="9">
        <f t="shared" si="90"/>
        <v>-7.7566901896481133E-3</v>
      </c>
      <c r="F1951" s="9">
        <f t="shared" si="88"/>
        <v>7.5766822471161982E-2</v>
      </c>
      <c r="G1951" s="9">
        <f t="shared" si="89"/>
        <v>2.245416035361323E-2</v>
      </c>
    </row>
    <row r="1952" spans="1:7" x14ac:dyDescent="0.2">
      <c r="A1952" s="12">
        <v>39979</v>
      </c>
      <c r="B1952" s="9">
        <v>1686.24</v>
      </c>
      <c r="C1952" s="9">
        <v>1637.91</v>
      </c>
      <c r="D1952" s="9">
        <v>1640.75</v>
      </c>
      <c r="E1952" s="9">
        <f t="shared" si="90"/>
        <v>-2.8070985408211839E-2</v>
      </c>
      <c r="F1952" s="9">
        <f t="shared" si="88"/>
        <v>2.7145565291192154E-2</v>
      </c>
      <c r="G1952" s="9">
        <f t="shared" si="89"/>
        <v>2.2859350866701763E-2</v>
      </c>
    </row>
    <row r="1953" spans="1:7" x14ac:dyDescent="0.2">
      <c r="A1953" s="12">
        <v>39980</v>
      </c>
      <c r="B1953" s="9">
        <v>1664.09</v>
      </c>
      <c r="C1953" s="9">
        <v>1632.27</v>
      </c>
      <c r="D1953" s="9">
        <v>1647.08</v>
      </c>
      <c r="E1953" s="9">
        <f t="shared" si="90"/>
        <v>3.8505688074974612E-3</v>
      </c>
      <c r="F1953" s="9">
        <f t="shared" ref="F1953:F2016" si="91">LN(D1953/D1923)</f>
        <v>-2.032534107801889E-2</v>
      </c>
      <c r="G1953" s="9">
        <f t="shared" ref="G1953:G2016" si="92">STDEV(E1924:E1953)</f>
        <v>2.079926464164154E-2</v>
      </c>
    </row>
    <row r="1954" spans="1:7" x14ac:dyDescent="0.2">
      <c r="A1954" s="12">
        <v>39981</v>
      </c>
      <c r="B1954" s="9">
        <v>1646.35</v>
      </c>
      <c r="C1954" s="9">
        <v>1580.68</v>
      </c>
      <c r="D1954" s="9">
        <v>1582.71</v>
      </c>
      <c r="E1954" s="9">
        <f t="shared" si="90"/>
        <v>-3.9865455525252211E-2</v>
      </c>
      <c r="F1954" s="9">
        <f t="shared" si="91"/>
        <v>-5.2642599435082614E-2</v>
      </c>
      <c r="G1954" s="9">
        <f t="shared" si="92"/>
        <v>2.1971257099098588E-2</v>
      </c>
    </row>
    <row r="1955" spans="1:7" x14ac:dyDescent="0.2">
      <c r="A1955" s="12">
        <v>39982</v>
      </c>
      <c r="B1955" s="9">
        <v>1600.34</v>
      </c>
      <c r="C1955" s="9">
        <v>1570.32</v>
      </c>
      <c r="D1955" s="9">
        <v>1584.24</v>
      </c>
      <c r="E1955" s="9">
        <f t="shared" si="90"/>
        <v>9.6622941254773532E-4</v>
      </c>
      <c r="F1955" s="9">
        <f t="shared" si="91"/>
        <v>-7.8695851155014707E-2</v>
      </c>
      <c r="G1955" s="9">
        <f t="shared" si="92"/>
        <v>2.1299319614418648E-2</v>
      </c>
    </row>
    <row r="1956" spans="1:7" x14ac:dyDescent="0.2">
      <c r="A1956" s="12">
        <v>39986</v>
      </c>
      <c r="B1956" s="9">
        <v>1586.29</v>
      </c>
      <c r="C1956" s="9">
        <v>1550.44</v>
      </c>
      <c r="D1956" s="9">
        <v>1555.78</v>
      </c>
      <c r="E1956" s="9">
        <f t="shared" si="90"/>
        <v>-1.8127769481345646E-2</v>
      </c>
      <c r="F1956" s="9">
        <f t="shared" si="91"/>
        <v>-9.5404836990541267E-2</v>
      </c>
      <c r="G1956" s="9">
        <f t="shared" si="92"/>
        <v>2.148440039261322E-2</v>
      </c>
    </row>
    <row r="1957" spans="1:7" x14ac:dyDescent="0.2">
      <c r="A1957" s="12">
        <v>39987</v>
      </c>
      <c r="B1957" s="9">
        <v>1560.64</v>
      </c>
      <c r="C1957" s="9">
        <v>1533.45</v>
      </c>
      <c r="D1957" s="9">
        <v>1537.23</v>
      </c>
      <c r="E1957" s="9">
        <f t="shared" si="90"/>
        <v>-1.1994932063902709E-2</v>
      </c>
      <c r="F1957" s="9">
        <f t="shared" si="91"/>
        <v>-0.12672088287183467</v>
      </c>
      <c r="G1957" s="9">
        <f t="shared" si="92"/>
        <v>2.1110960814034258E-2</v>
      </c>
    </row>
    <row r="1958" spans="1:7" x14ac:dyDescent="0.2">
      <c r="A1958" s="12">
        <v>39988</v>
      </c>
      <c r="B1958" s="9">
        <v>1591.41</v>
      </c>
      <c r="C1958" s="9">
        <v>1538.26</v>
      </c>
      <c r="D1958" s="9">
        <v>1588.53</v>
      </c>
      <c r="E1958" s="9">
        <f t="shared" si="90"/>
        <v>3.2826964769125985E-2</v>
      </c>
      <c r="F1958" s="9">
        <f t="shared" si="91"/>
        <v>-4.571792362612119E-2</v>
      </c>
      <c r="G1958" s="9">
        <f t="shared" si="92"/>
        <v>2.0465945042145411E-2</v>
      </c>
    </row>
    <row r="1959" spans="1:7" x14ac:dyDescent="0.2">
      <c r="A1959" s="12">
        <v>39989</v>
      </c>
      <c r="B1959" s="9">
        <v>1597.42</v>
      </c>
      <c r="C1959" s="9">
        <v>1563.97</v>
      </c>
      <c r="D1959" s="9">
        <v>1576.38</v>
      </c>
      <c r="E1959" s="9">
        <f t="shared" si="90"/>
        <v>-7.677981167381373E-3</v>
      </c>
      <c r="F1959" s="9">
        <f t="shared" si="91"/>
        <v>-3.2816834121081814E-2</v>
      </c>
      <c r="G1959" s="9">
        <f t="shared" si="92"/>
        <v>2.0185363706209356E-2</v>
      </c>
    </row>
    <row r="1960" spans="1:7" x14ac:dyDescent="0.2">
      <c r="A1960" s="12">
        <v>39990</v>
      </c>
      <c r="B1960" s="9">
        <v>1607.38</v>
      </c>
      <c r="C1960" s="9">
        <v>1578.43</v>
      </c>
      <c r="D1960" s="9">
        <v>1594.04</v>
      </c>
      <c r="E1960" s="9">
        <f t="shared" si="90"/>
        <v>1.1140595033073023E-2</v>
      </c>
      <c r="F1960" s="9">
        <f t="shared" si="91"/>
        <v>1.6521773937589669E-2</v>
      </c>
      <c r="G1960" s="9">
        <f t="shared" si="92"/>
        <v>1.903521435026E-2</v>
      </c>
    </row>
    <row r="1961" spans="1:7" x14ac:dyDescent="0.2">
      <c r="A1961" s="12">
        <v>39993</v>
      </c>
      <c r="B1961" s="9">
        <v>1633.69</v>
      </c>
      <c r="C1961" s="9">
        <v>1592.61</v>
      </c>
      <c r="D1961" s="9">
        <v>1633.69</v>
      </c>
      <c r="E1961" s="9">
        <f t="shared" si="90"/>
        <v>2.4569585800673872E-2</v>
      </c>
      <c r="F1961" s="9">
        <f t="shared" si="91"/>
        <v>2.5416849347167338E-2</v>
      </c>
      <c r="G1961" s="9">
        <f t="shared" si="92"/>
        <v>1.9345659353334956E-2</v>
      </c>
    </row>
    <row r="1962" spans="1:7" x14ac:dyDescent="0.2">
      <c r="A1962" s="12">
        <v>39994</v>
      </c>
      <c r="B1962" s="9">
        <v>1642.69</v>
      </c>
      <c r="C1962" s="9">
        <v>1602.1</v>
      </c>
      <c r="D1962" s="9">
        <v>1602.21</v>
      </c>
      <c r="E1962" s="9">
        <f t="shared" si="90"/>
        <v>-1.9457333759279237E-2</v>
      </c>
      <c r="F1962" s="9">
        <f t="shared" si="91"/>
        <v>-1.4517658201056315E-2</v>
      </c>
      <c r="G1962" s="9">
        <f t="shared" si="92"/>
        <v>1.9322278717545494E-2</v>
      </c>
    </row>
    <row r="1963" spans="1:7" x14ac:dyDescent="0.2">
      <c r="A1963" s="12">
        <v>39995</v>
      </c>
      <c r="B1963" s="9">
        <v>1644.98</v>
      </c>
      <c r="C1963" s="9">
        <v>1603.08</v>
      </c>
      <c r="D1963" s="9">
        <v>1642.91</v>
      </c>
      <c r="E1963" s="9">
        <f t="shared" si="90"/>
        <v>2.508513351191332E-2</v>
      </c>
      <c r="F1963" s="9">
        <f t="shared" si="91"/>
        <v>-6.8544937662638203E-3</v>
      </c>
      <c r="G1963" s="9">
        <f t="shared" si="92"/>
        <v>1.9615582637689623E-2</v>
      </c>
    </row>
    <row r="1964" spans="1:7" x14ac:dyDescent="0.2">
      <c r="A1964" s="12">
        <v>39996</v>
      </c>
      <c r="B1964" s="9">
        <v>1640.69</v>
      </c>
      <c r="C1964" s="9">
        <v>1603.98</v>
      </c>
      <c r="D1964" s="9">
        <v>1603.98</v>
      </c>
      <c r="E1964" s="9">
        <f t="shared" si="90"/>
        <v>-2.3981019170709238E-2</v>
      </c>
      <c r="F1964" s="9">
        <f t="shared" si="91"/>
        <v>-4.4470736930781837E-2</v>
      </c>
      <c r="G1964" s="9">
        <f t="shared" si="92"/>
        <v>1.9899034736097158E-2</v>
      </c>
    </row>
    <row r="1965" spans="1:7" x14ac:dyDescent="0.2">
      <c r="A1965" s="12">
        <v>39997</v>
      </c>
      <c r="B1965" s="9">
        <v>1609.78</v>
      </c>
      <c r="C1965" s="9">
        <v>1581.28</v>
      </c>
      <c r="D1965" s="9">
        <v>1586.63</v>
      </c>
      <c r="E1965" s="9">
        <f t="shared" si="90"/>
        <v>-1.0875770474157234E-2</v>
      </c>
      <c r="F1965" s="9">
        <f t="shared" si="91"/>
        <v>-7.5237761984980792E-2</v>
      </c>
      <c r="G1965" s="9">
        <f t="shared" si="92"/>
        <v>1.9549254459621673E-2</v>
      </c>
    </row>
    <row r="1966" spans="1:7" x14ac:dyDescent="0.2">
      <c r="A1966" s="12">
        <v>40000</v>
      </c>
      <c r="B1966" s="9">
        <v>1587.49</v>
      </c>
      <c r="C1966" s="9">
        <v>1556.02</v>
      </c>
      <c r="D1966" s="9">
        <v>1565.38</v>
      </c>
      <c r="E1966" s="9">
        <f t="shared" si="90"/>
        <v>-1.3483664044726435E-2</v>
      </c>
      <c r="F1966" s="9">
        <f t="shared" si="91"/>
        <v>-5.7018927861523711E-2</v>
      </c>
      <c r="G1966" s="9">
        <f t="shared" si="92"/>
        <v>1.8882674699419812E-2</v>
      </c>
    </row>
    <row r="1967" spans="1:7" x14ac:dyDescent="0.2">
      <c r="A1967" s="12">
        <v>40001</v>
      </c>
      <c r="B1967" s="9">
        <v>1587.91</v>
      </c>
      <c r="C1967" s="9">
        <v>1559.81</v>
      </c>
      <c r="D1967" s="9">
        <v>1566.25</v>
      </c>
      <c r="E1967" s="9">
        <f t="shared" si="90"/>
        <v>5.5562120836866419E-4</v>
      </c>
      <c r="F1967" s="9">
        <f t="shared" si="91"/>
        <v>-6.3498475289791911E-2</v>
      </c>
      <c r="G1967" s="9">
        <f t="shared" si="92"/>
        <v>1.8813872254006398E-2</v>
      </c>
    </row>
    <row r="1968" spans="1:7" x14ac:dyDescent="0.2">
      <c r="A1968" s="12">
        <v>40002</v>
      </c>
      <c r="B1968" s="9">
        <v>1565.08</v>
      </c>
      <c r="C1968" s="9">
        <v>1534.8</v>
      </c>
      <c r="D1968" s="9">
        <v>1534.84</v>
      </c>
      <c r="E1968" s="9">
        <f t="shared" si="90"/>
        <v>-2.0258086149463794E-2</v>
      </c>
      <c r="F1968" s="9">
        <f t="shared" si="91"/>
        <v>-7.3391028129373592E-2</v>
      </c>
      <c r="G1968" s="9">
        <f t="shared" si="92"/>
        <v>1.9048665538647362E-2</v>
      </c>
    </row>
    <row r="1969" spans="1:7" x14ac:dyDescent="0.2">
      <c r="A1969" s="12">
        <v>40003</v>
      </c>
      <c r="B1969" s="9">
        <v>1557.29</v>
      </c>
      <c r="C1969" s="9">
        <v>1535.88</v>
      </c>
      <c r="D1969" s="9">
        <v>1540.14</v>
      </c>
      <c r="E1969" s="9">
        <f t="shared" si="90"/>
        <v>3.4471803057888515E-3</v>
      </c>
      <c r="F1969" s="9">
        <f t="shared" si="91"/>
        <v>-7.8978302043530624E-2</v>
      </c>
      <c r="G1969" s="9">
        <f t="shared" si="92"/>
        <v>1.8959650581352898E-2</v>
      </c>
    </row>
    <row r="1970" spans="1:7" x14ac:dyDescent="0.2">
      <c r="A1970" s="12">
        <v>40004</v>
      </c>
      <c r="B1970" s="9">
        <v>1546.37</v>
      </c>
      <c r="C1970" s="9">
        <v>1522.93</v>
      </c>
      <c r="D1970" s="9">
        <v>1522.99</v>
      </c>
      <c r="E1970" s="9">
        <f t="shared" si="90"/>
        <v>-1.1197813481178622E-2</v>
      </c>
      <c r="F1970" s="9">
        <f t="shared" si="91"/>
        <v>-8.4978767460212476E-2</v>
      </c>
      <c r="G1970" s="9">
        <f t="shared" si="92"/>
        <v>1.9019197920999147E-2</v>
      </c>
    </row>
    <row r="1971" spans="1:7" x14ac:dyDescent="0.2">
      <c r="A1971" s="12">
        <v>40007</v>
      </c>
      <c r="B1971" s="9">
        <v>1559.28</v>
      </c>
      <c r="C1971" s="9">
        <v>1517.54</v>
      </c>
      <c r="D1971" s="9">
        <v>1550.36</v>
      </c>
      <c r="E1971" s="9">
        <f t="shared" si="90"/>
        <v>1.7811654124655359E-2</v>
      </c>
      <c r="F1971" s="9">
        <f t="shared" si="91"/>
        <v>-6.3081750275323326E-2</v>
      </c>
      <c r="G1971" s="9">
        <f t="shared" si="92"/>
        <v>1.938609623097054E-2</v>
      </c>
    </row>
    <row r="1972" spans="1:7" x14ac:dyDescent="0.2">
      <c r="A1972" s="12">
        <v>40008</v>
      </c>
      <c r="B1972" s="9">
        <v>1579.84</v>
      </c>
      <c r="C1972" s="9">
        <v>1551.97</v>
      </c>
      <c r="D1972" s="9">
        <v>1570.6</v>
      </c>
      <c r="E1972" s="9">
        <f t="shared" si="90"/>
        <v>1.2970549930694559E-2</v>
      </c>
      <c r="F1972" s="9">
        <f t="shared" si="91"/>
        <v>-8.9347984525330104E-2</v>
      </c>
      <c r="G1972" s="9">
        <f t="shared" si="92"/>
        <v>1.79981344951382E-2</v>
      </c>
    </row>
    <row r="1973" spans="1:7" x14ac:dyDescent="0.2">
      <c r="A1973" s="12">
        <v>40009</v>
      </c>
      <c r="B1973" s="9">
        <v>1641.03</v>
      </c>
      <c r="C1973" s="9">
        <v>1574.41</v>
      </c>
      <c r="D1973" s="9">
        <v>1641.03</v>
      </c>
      <c r="E1973" s="9">
        <f t="shared" si="90"/>
        <v>4.3866381517860514E-2</v>
      </c>
      <c r="F1973" s="9">
        <f t="shared" si="91"/>
        <v>-4.2962989011894763E-2</v>
      </c>
      <c r="G1973" s="9">
        <f t="shared" si="92"/>
        <v>1.9927924716760453E-2</v>
      </c>
    </row>
    <row r="1974" spans="1:7" x14ac:dyDescent="0.2">
      <c r="A1974" s="12">
        <v>40010</v>
      </c>
      <c r="B1974" s="9">
        <v>1642.56</v>
      </c>
      <c r="C1974" s="9">
        <v>1602.04</v>
      </c>
      <c r="D1974" s="9">
        <v>1602.65</v>
      </c>
      <c r="E1974" s="9">
        <f t="shared" si="90"/>
        <v>-2.3665584300216865E-2</v>
      </c>
      <c r="F1974" s="9">
        <f t="shared" si="91"/>
        <v>-3.2462690078162569E-2</v>
      </c>
      <c r="G1974" s="9">
        <f t="shared" si="92"/>
        <v>1.9418881110884759E-2</v>
      </c>
    </row>
    <row r="1975" spans="1:7" x14ac:dyDescent="0.2">
      <c r="A1975" s="12">
        <v>40011</v>
      </c>
      <c r="B1975" s="9">
        <v>1618.05</v>
      </c>
      <c r="C1975" s="9">
        <v>1602.64</v>
      </c>
      <c r="D1975" s="9">
        <v>1611.34</v>
      </c>
      <c r="E1975" s="9">
        <f t="shared" si="90"/>
        <v>5.4076217887060558E-3</v>
      </c>
      <c r="F1975" s="9">
        <f t="shared" si="91"/>
        <v>-2.4048493305801392E-2</v>
      </c>
      <c r="G1975" s="9">
        <f t="shared" si="92"/>
        <v>1.9450864814151373E-2</v>
      </c>
    </row>
    <row r="1976" spans="1:7" x14ac:dyDescent="0.2">
      <c r="A1976" s="12">
        <v>40013</v>
      </c>
      <c r="B1976" s="9">
        <v>1618.05</v>
      </c>
      <c r="C1976" s="9">
        <v>1602.64</v>
      </c>
      <c r="D1976" s="9">
        <v>1611.34</v>
      </c>
      <c r="E1976" s="9">
        <f t="shared" si="90"/>
        <v>0</v>
      </c>
      <c r="F1976" s="9">
        <f t="shared" si="91"/>
        <v>-2.2775387787411464E-2</v>
      </c>
      <c r="G1976" s="9">
        <f t="shared" si="92"/>
        <v>1.9451189467147731E-2</v>
      </c>
    </row>
    <row r="1977" spans="1:7" x14ac:dyDescent="0.2">
      <c r="A1977" s="12">
        <v>40014</v>
      </c>
      <c r="B1977" s="9">
        <v>1640.04</v>
      </c>
      <c r="C1977" s="9">
        <v>1612.66</v>
      </c>
      <c r="D1977" s="9">
        <v>1636.45</v>
      </c>
      <c r="E1977" s="9">
        <f t="shared" si="90"/>
        <v>1.5463130517887346E-2</v>
      </c>
      <c r="F1977" s="9">
        <f t="shared" si="91"/>
        <v>4.3358244432498347E-3</v>
      </c>
      <c r="G1977" s="9">
        <f t="shared" si="92"/>
        <v>1.9557350624983195E-2</v>
      </c>
    </row>
    <row r="1978" spans="1:7" x14ac:dyDescent="0.2">
      <c r="A1978" s="12">
        <v>40015</v>
      </c>
      <c r="B1978" s="9">
        <v>1676.72</v>
      </c>
      <c r="C1978" s="9">
        <v>1633.43</v>
      </c>
      <c r="D1978" s="9">
        <v>1670.1</v>
      </c>
      <c r="E1978" s="9">
        <f t="shared" si="90"/>
        <v>2.0354243392560725E-2</v>
      </c>
      <c r="F1978" s="9">
        <f t="shared" si="91"/>
        <v>1.3381754840887203E-2</v>
      </c>
      <c r="G1978" s="9">
        <f t="shared" si="92"/>
        <v>1.9803590602895705E-2</v>
      </c>
    </row>
    <row r="1979" spans="1:7" x14ac:dyDescent="0.2">
      <c r="A1979" s="12">
        <v>40016</v>
      </c>
      <c r="B1979" s="9">
        <v>1692.55</v>
      </c>
      <c r="C1979" s="9">
        <v>1653.17</v>
      </c>
      <c r="D1979" s="9">
        <v>1690.62</v>
      </c>
      <c r="E1979" s="9">
        <f t="shared" si="90"/>
        <v>1.2211820686764463E-2</v>
      </c>
      <c r="F1979" s="9">
        <f t="shared" si="91"/>
        <v>7.5821136463918659E-3</v>
      </c>
      <c r="G1979" s="9">
        <f t="shared" si="92"/>
        <v>1.9653947915661035E-2</v>
      </c>
    </row>
    <row r="1980" spans="1:7" x14ac:dyDescent="0.2">
      <c r="A1980" s="12">
        <v>40017</v>
      </c>
      <c r="B1980" s="9">
        <v>1719.9</v>
      </c>
      <c r="C1980" s="9">
        <v>1687.41</v>
      </c>
      <c r="D1980" s="9">
        <v>1717.34</v>
      </c>
      <c r="E1980" s="9">
        <f t="shared" si="90"/>
        <v>1.5681256551786402E-2</v>
      </c>
      <c r="F1980" s="9">
        <f t="shared" si="91"/>
        <v>9.7954521444305678E-3</v>
      </c>
      <c r="G1980" s="9">
        <f t="shared" si="92"/>
        <v>1.9709342525323786E-2</v>
      </c>
    </row>
    <row r="1981" spans="1:7" x14ac:dyDescent="0.2">
      <c r="A1981" s="12">
        <v>40018</v>
      </c>
      <c r="B1981" s="9">
        <v>1740.56</v>
      </c>
      <c r="C1981" s="9">
        <v>1712.26</v>
      </c>
      <c r="D1981" s="9">
        <v>1729.77</v>
      </c>
      <c r="E1981" s="9">
        <f t="shared" si="90"/>
        <v>7.2118695804577037E-3</v>
      </c>
      <c r="F1981" s="9">
        <f t="shared" si="91"/>
        <v>2.4764011914536435E-2</v>
      </c>
      <c r="G1981" s="9">
        <f t="shared" si="92"/>
        <v>1.9687111666525065E-2</v>
      </c>
    </row>
    <row r="1982" spans="1:7" x14ac:dyDescent="0.2">
      <c r="A1982" s="12">
        <v>40019</v>
      </c>
      <c r="B1982" s="9">
        <v>1740.56</v>
      </c>
      <c r="C1982" s="9">
        <v>1712.26</v>
      </c>
      <c r="D1982" s="9">
        <v>1729.77</v>
      </c>
      <c r="E1982" s="9">
        <f t="shared" si="90"/>
        <v>0</v>
      </c>
      <c r="F1982" s="9">
        <f t="shared" si="91"/>
        <v>5.2834997322748226E-2</v>
      </c>
      <c r="G1982" s="9">
        <f t="shared" si="92"/>
        <v>1.8918426549675765E-2</v>
      </c>
    </row>
    <row r="1983" spans="1:7" x14ac:dyDescent="0.2">
      <c r="A1983" s="12">
        <v>40021</v>
      </c>
      <c r="B1983" s="9">
        <v>1748.87</v>
      </c>
      <c r="C1983" s="9">
        <v>1718.35</v>
      </c>
      <c r="D1983" s="9">
        <v>1727.62</v>
      </c>
      <c r="E1983" s="9">
        <f t="shared" si="90"/>
        <v>-1.24371290316626E-3</v>
      </c>
      <c r="F1983" s="9">
        <f t="shared" si="91"/>
        <v>4.7740715612084483E-2</v>
      </c>
      <c r="G1983" s="9">
        <f t="shared" si="92"/>
        <v>1.8921888139811917E-2</v>
      </c>
    </row>
    <row r="1984" spans="1:7" x14ac:dyDescent="0.2">
      <c r="A1984" s="12">
        <v>40022</v>
      </c>
      <c r="B1984" s="9">
        <v>1744.19</v>
      </c>
      <c r="C1984" s="9">
        <v>1707.68</v>
      </c>
      <c r="D1984" s="9">
        <v>1710.27</v>
      </c>
      <c r="E1984" s="9">
        <f t="shared" si="90"/>
        <v>-1.0093486003928457E-2</v>
      </c>
      <c r="F1984" s="9">
        <f t="shared" si="91"/>
        <v>7.7512685133408199E-2</v>
      </c>
      <c r="G1984" s="9">
        <f t="shared" si="92"/>
        <v>1.7391456721837475E-2</v>
      </c>
    </row>
    <row r="1985" spans="1:7" x14ac:dyDescent="0.2">
      <c r="A1985" s="12">
        <v>40023</v>
      </c>
      <c r="B1985" s="9">
        <v>1717.33</v>
      </c>
      <c r="C1985" s="9">
        <v>1702.56</v>
      </c>
      <c r="D1985" s="9">
        <v>1708.58</v>
      </c>
      <c r="E1985" s="9">
        <f t="shared" si="90"/>
        <v>-9.8863661035193695E-4</v>
      </c>
      <c r="F1985" s="9">
        <f t="shared" si="91"/>
        <v>7.5557819110508573E-2</v>
      </c>
      <c r="G1985" s="9">
        <f t="shared" si="92"/>
        <v>1.7401385650650185E-2</v>
      </c>
    </row>
    <row r="1986" spans="1:7" x14ac:dyDescent="0.2">
      <c r="A1986" s="12">
        <v>40024</v>
      </c>
      <c r="B1986" s="9">
        <v>1763.29</v>
      </c>
      <c r="C1986" s="9">
        <v>1709.46</v>
      </c>
      <c r="D1986" s="9">
        <v>1755.27</v>
      </c>
      <c r="E1986" s="9">
        <f t="shared" si="90"/>
        <v>2.6960075061572785E-2</v>
      </c>
      <c r="F1986" s="9">
        <f t="shared" si="91"/>
        <v>0.12064566365342697</v>
      </c>
      <c r="G1986" s="9">
        <f t="shared" si="92"/>
        <v>1.7503485699769623E-2</v>
      </c>
    </row>
    <row r="1987" spans="1:7" x14ac:dyDescent="0.2">
      <c r="A1987" s="12">
        <v>40025</v>
      </c>
      <c r="B1987" s="9">
        <v>1769.55</v>
      </c>
      <c r="C1987" s="9">
        <v>1740.12</v>
      </c>
      <c r="D1987" s="9">
        <v>1749.35</v>
      </c>
      <c r="E1987" s="9">
        <f t="shared" si="90"/>
        <v>-3.3784008712525442E-3</v>
      </c>
      <c r="F1987" s="9">
        <f t="shared" si="91"/>
        <v>0.12926219484607723</v>
      </c>
      <c r="G1987" s="9">
        <f t="shared" si="92"/>
        <v>1.730113168803328E-2</v>
      </c>
    </row>
    <row r="1988" spans="1:7" x14ac:dyDescent="0.2">
      <c r="A1988" s="12">
        <v>40028</v>
      </c>
      <c r="B1988" s="9">
        <v>1804.93</v>
      </c>
      <c r="C1988" s="9">
        <v>1753.09</v>
      </c>
      <c r="D1988" s="9">
        <v>1797.49</v>
      </c>
      <c r="E1988" s="9">
        <f t="shared" ref="E1988:E2051" si="93">LN(D1988/D1987)</f>
        <v>2.7146956947936157E-2</v>
      </c>
      <c r="F1988" s="9">
        <f t="shared" si="91"/>
        <v>0.1235821870248872</v>
      </c>
      <c r="G1988" s="9">
        <f t="shared" si="92"/>
        <v>1.7006859837101262E-2</v>
      </c>
    </row>
    <row r="1989" spans="1:7" x14ac:dyDescent="0.2">
      <c r="A1989" s="12">
        <v>40029</v>
      </c>
      <c r="B1989" s="9">
        <v>1805.24</v>
      </c>
      <c r="C1989" s="9">
        <v>1768.95</v>
      </c>
      <c r="D1989" s="9">
        <v>1778.49</v>
      </c>
      <c r="E1989" s="9">
        <f t="shared" si="93"/>
        <v>-1.0626557640459448E-2</v>
      </c>
      <c r="F1989" s="9">
        <f t="shared" si="91"/>
        <v>0.12063361055180916</v>
      </c>
      <c r="G1989" s="9">
        <f t="shared" si="92"/>
        <v>1.7085727519951081E-2</v>
      </c>
    </row>
    <row r="1990" spans="1:7" x14ac:dyDescent="0.2">
      <c r="A1990" s="12">
        <v>40030</v>
      </c>
      <c r="B1990" s="9">
        <v>1815.45</v>
      </c>
      <c r="C1990" s="9">
        <v>1777.17</v>
      </c>
      <c r="D1990" s="9">
        <v>1786.24</v>
      </c>
      <c r="E1990" s="9">
        <f t="shared" si="93"/>
        <v>4.3481622509719655E-3</v>
      </c>
      <c r="F1990" s="9">
        <f t="shared" si="91"/>
        <v>0.11384117776970826</v>
      </c>
      <c r="G1990" s="9">
        <f t="shared" si="92"/>
        <v>1.7033053661053947E-2</v>
      </c>
    </row>
    <row r="1991" spans="1:7" x14ac:dyDescent="0.2">
      <c r="A1991" s="12">
        <v>40031</v>
      </c>
      <c r="B1991" s="9">
        <v>1813.51</v>
      </c>
      <c r="C1991" s="9">
        <v>1773.6</v>
      </c>
      <c r="D1991" s="9">
        <v>1790.43</v>
      </c>
      <c r="E1991" s="9">
        <f t="shared" si="93"/>
        <v>2.3429625415489698E-3</v>
      </c>
      <c r="F1991" s="9">
        <f t="shared" si="91"/>
        <v>9.1614554510583299E-2</v>
      </c>
      <c r="G1991" s="9">
        <f t="shared" si="92"/>
        <v>1.657549821643876E-2</v>
      </c>
    </row>
    <row r="1992" spans="1:7" x14ac:dyDescent="0.2">
      <c r="A1992" s="12">
        <v>40032</v>
      </c>
      <c r="B1992" s="9">
        <v>1815.04</v>
      </c>
      <c r="C1992" s="9">
        <v>1762.47</v>
      </c>
      <c r="D1992" s="9">
        <v>1814.53</v>
      </c>
      <c r="E1992" s="9">
        <f t="shared" si="93"/>
        <v>1.3370666547294545E-2</v>
      </c>
      <c r="F1992" s="9">
        <f t="shared" si="91"/>
        <v>0.12444255481715714</v>
      </c>
      <c r="G1992" s="9">
        <f t="shared" si="92"/>
        <v>1.6115349166971764E-2</v>
      </c>
    </row>
    <row r="1993" spans="1:7" x14ac:dyDescent="0.2">
      <c r="A1993" s="12">
        <v>40035</v>
      </c>
      <c r="B1993" s="9">
        <v>1816.26</v>
      </c>
      <c r="C1993" s="9">
        <v>1789.8</v>
      </c>
      <c r="D1993" s="9">
        <v>1789.8</v>
      </c>
      <c r="E1993" s="9">
        <f t="shared" si="93"/>
        <v>-1.3722599247988335E-2</v>
      </c>
      <c r="F1993" s="9">
        <f t="shared" si="91"/>
        <v>8.5634822057255422E-2</v>
      </c>
      <c r="G1993" s="9">
        <f t="shared" si="92"/>
        <v>1.5933298373374375E-2</v>
      </c>
    </row>
    <row r="1994" spans="1:7" x14ac:dyDescent="0.2">
      <c r="A1994" s="12">
        <v>40036</v>
      </c>
      <c r="B1994" s="9">
        <v>1809.84</v>
      </c>
      <c r="C1994" s="9">
        <v>1763.16</v>
      </c>
      <c r="D1994" s="9">
        <v>1768.8</v>
      </c>
      <c r="E1994" s="9">
        <f t="shared" si="93"/>
        <v>-1.1802531205521298E-2</v>
      </c>
      <c r="F1994" s="9">
        <f t="shared" si="91"/>
        <v>9.7813310022443339E-2</v>
      </c>
      <c r="G1994" s="9">
        <f t="shared" si="92"/>
        <v>1.5371233411753955E-2</v>
      </c>
    </row>
    <row r="1995" spans="1:7" x14ac:dyDescent="0.2">
      <c r="A1995" s="12">
        <v>40037</v>
      </c>
      <c r="B1995" s="9">
        <v>1790.74</v>
      </c>
      <c r="C1995" s="9">
        <v>1757.54</v>
      </c>
      <c r="D1995" s="9">
        <v>1788.73</v>
      </c>
      <c r="E1995" s="9">
        <f t="shared" si="93"/>
        <v>1.1204520272603283E-2</v>
      </c>
      <c r="F1995" s="9">
        <f t="shared" si="91"/>
        <v>0.11989360076920387</v>
      </c>
      <c r="G1995" s="9">
        <f t="shared" si="92"/>
        <v>1.5198677547088381E-2</v>
      </c>
    </row>
    <row r="1996" spans="1:7" x14ac:dyDescent="0.2">
      <c r="A1996" s="12">
        <v>40038</v>
      </c>
      <c r="B1996" s="9">
        <v>1835.46</v>
      </c>
      <c r="C1996" s="9">
        <v>1788.14</v>
      </c>
      <c r="D1996" s="9">
        <v>1824.61</v>
      </c>
      <c r="E1996" s="9">
        <f t="shared" si="93"/>
        <v>1.9860394733809184E-2</v>
      </c>
      <c r="F1996" s="9">
        <f t="shared" si="91"/>
        <v>0.15323765954773966</v>
      </c>
      <c r="G1996" s="9">
        <f t="shared" si="92"/>
        <v>1.5095150434463658E-2</v>
      </c>
    </row>
    <row r="1997" spans="1:7" x14ac:dyDescent="0.2">
      <c r="A1997" s="12">
        <v>40039</v>
      </c>
      <c r="B1997" s="9">
        <v>1851.88</v>
      </c>
      <c r="C1997" s="9">
        <v>1821.56</v>
      </c>
      <c r="D1997" s="9">
        <v>1828.55</v>
      </c>
      <c r="E1997" s="9">
        <f t="shared" si="93"/>
        <v>2.1570374840810527E-3</v>
      </c>
      <c r="F1997" s="9">
        <f t="shared" si="91"/>
        <v>0.15483907582345202</v>
      </c>
      <c r="G1997" s="9">
        <f t="shared" si="92"/>
        <v>1.508132234328625E-2</v>
      </c>
    </row>
    <row r="1998" spans="1:7" x14ac:dyDescent="0.2">
      <c r="A1998" s="12">
        <v>40042</v>
      </c>
      <c r="B1998" s="9">
        <v>1828.17</v>
      </c>
      <c r="C1998" s="9">
        <v>1776.42</v>
      </c>
      <c r="D1998" s="9">
        <v>1779.1</v>
      </c>
      <c r="E1998" s="9">
        <f t="shared" si="93"/>
        <v>-2.741568459300037E-2</v>
      </c>
      <c r="F1998" s="9">
        <f t="shared" si="91"/>
        <v>0.14768147737991538</v>
      </c>
      <c r="G1998" s="9">
        <f t="shared" si="92"/>
        <v>1.5546758490167619E-2</v>
      </c>
    </row>
    <row r="1999" spans="1:7" x14ac:dyDescent="0.2">
      <c r="A1999" s="12">
        <v>40043</v>
      </c>
      <c r="B1999" s="9">
        <v>1804.36</v>
      </c>
      <c r="C1999" s="9">
        <v>1780.04</v>
      </c>
      <c r="D1999" s="9">
        <v>1793.83</v>
      </c>
      <c r="E1999" s="9">
        <f t="shared" si="93"/>
        <v>8.2453803758180538E-3</v>
      </c>
      <c r="F1999" s="9">
        <f t="shared" si="91"/>
        <v>0.1524796774499447</v>
      </c>
      <c r="G1999" s="9">
        <f t="shared" si="92"/>
        <v>1.5555733787848044E-2</v>
      </c>
    </row>
    <row r="2000" spans="1:7" x14ac:dyDescent="0.2">
      <c r="A2000" s="12">
        <v>40044</v>
      </c>
      <c r="B2000" s="9">
        <v>1798.34</v>
      </c>
      <c r="C2000" s="9">
        <v>1777.31</v>
      </c>
      <c r="D2000" s="9">
        <v>1793.94</v>
      </c>
      <c r="E2000" s="9">
        <f t="shared" si="93"/>
        <v>6.1319426849784089E-5</v>
      </c>
      <c r="F2000" s="9">
        <f t="shared" si="91"/>
        <v>0.16373881035797319</v>
      </c>
      <c r="G2000" s="9">
        <f t="shared" si="92"/>
        <v>1.5282827065809258E-2</v>
      </c>
    </row>
    <row r="2001" spans="1:7" x14ac:dyDescent="0.2">
      <c r="A2001" s="12">
        <v>40045</v>
      </c>
      <c r="B2001" s="9">
        <v>1831.82</v>
      </c>
      <c r="C2001" s="9">
        <v>1796.2</v>
      </c>
      <c r="D2001" s="9">
        <v>1822.8</v>
      </c>
      <c r="E2001" s="9">
        <f t="shared" si="93"/>
        <v>1.5959462146329831E-2</v>
      </c>
      <c r="F2001" s="9">
        <f t="shared" si="91"/>
        <v>0.16188661837964785</v>
      </c>
      <c r="G2001" s="9">
        <f t="shared" si="92"/>
        <v>1.5234865556059306E-2</v>
      </c>
    </row>
    <row r="2002" spans="1:7" x14ac:dyDescent="0.2">
      <c r="A2002" s="12">
        <v>40046</v>
      </c>
      <c r="B2002" s="9">
        <v>1872.3</v>
      </c>
      <c r="C2002" s="9">
        <v>1815.77</v>
      </c>
      <c r="D2002" s="9">
        <v>1871.69</v>
      </c>
      <c r="E2002" s="9">
        <f t="shared" si="93"/>
        <v>2.6467985644300866E-2</v>
      </c>
      <c r="F2002" s="9">
        <f t="shared" si="91"/>
        <v>0.17538405409325403</v>
      </c>
      <c r="G2002" s="9">
        <f t="shared" si="92"/>
        <v>1.5659643774732702E-2</v>
      </c>
    </row>
    <row r="2003" spans="1:7" x14ac:dyDescent="0.2">
      <c r="A2003" s="12">
        <v>40049</v>
      </c>
      <c r="B2003" s="9">
        <v>1910.05</v>
      </c>
      <c r="C2003" s="9">
        <v>1871.69</v>
      </c>
      <c r="D2003" s="9">
        <v>1907.93</v>
      </c>
      <c r="E2003" s="9">
        <f t="shared" si="93"/>
        <v>1.917711867016883E-2</v>
      </c>
      <c r="F2003" s="9">
        <f t="shared" si="91"/>
        <v>0.15069479124556232</v>
      </c>
      <c r="G2003" s="9">
        <f t="shared" si="92"/>
        <v>1.4170593862183367E-2</v>
      </c>
    </row>
    <row r="2004" spans="1:7" x14ac:dyDescent="0.2">
      <c r="A2004" s="12">
        <v>40050</v>
      </c>
      <c r="B2004" s="9">
        <v>1918.24</v>
      </c>
      <c r="C2004" s="9">
        <v>1884.91</v>
      </c>
      <c r="D2004" s="9">
        <v>1908.61</v>
      </c>
      <c r="E2004" s="9">
        <f t="shared" si="93"/>
        <v>3.5634370775377791E-4</v>
      </c>
      <c r="F2004" s="9">
        <f t="shared" si="91"/>
        <v>0.17471671925353305</v>
      </c>
      <c r="G2004" s="9">
        <f t="shared" si="92"/>
        <v>1.3134406277700296E-2</v>
      </c>
    </row>
    <row r="2005" spans="1:7" x14ac:dyDescent="0.2">
      <c r="A2005" s="12">
        <v>40051</v>
      </c>
      <c r="B2005" s="9">
        <v>1930.69</v>
      </c>
      <c r="C2005" s="9">
        <v>1886.13</v>
      </c>
      <c r="D2005" s="9">
        <v>1891.22</v>
      </c>
      <c r="E2005" s="9">
        <f t="shared" si="93"/>
        <v>-9.1531049599814958E-3</v>
      </c>
      <c r="F2005" s="9">
        <f t="shared" si="91"/>
        <v>0.16015599250484558</v>
      </c>
      <c r="G2005" s="9">
        <f t="shared" si="92"/>
        <v>1.3416325847931924E-2</v>
      </c>
    </row>
    <row r="2006" spans="1:7" x14ac:dyDescent="0.2">
      <c r="A2006" s="12">
        <v>40052</v>
      </c>
      <c r="B2006" s="9">
        <v>1919.03</v>
      </c>
      <c r="C2006" s="9">
        <v>1891.17</v>
      </c>
      <c r="D2006" s="9">
        <v>1902.58</v>
      </c>
      <c r="E2006" s="9">
        <f t="shared" si="93"/>
        <v>5.9887363340948973E-3</v>
      </c>
      <c r="F2006" s="9">
        <f t="shared" si="91"/>
        <v>0.16614472883894024</v>
      </c>
      <c r="G2006" s="9">
        <f t="shared" si="92"/>
        <v>1.3378654522963551E-2</v>
      </c>
    </row>
    <row r="2007" spans="1:7" x14ac:dyDescent="0.2">
      <c r="A2007" s="12">
        <v>40053</v>
      </c>
      <c r="B2007" s="9">
        <v>1942.88</v>
      </c>
      <c r="C2007" s="9">
        <v>1903.66</v>
      </c>
      <c r="D2007" s="9">
        <v>1927.38</v>
      </c>
      <c r="E2007" s="9">
        <f t="shared" si="93"/>
        <v>1.2950707904046363E-2</v>
      </c>
      <c r="F2007" s="9">
        <f t="shared" si="91"/>
        <v>0.16363230622509933</v>
      </c>
      <c r="G2007" s="9">
        <f t="shared" si="92"/>
        <v>1.3322128226888734E-2</v>
      </c>
    </row>
    <row r="2008" spans="1:7" x14ac:dyDescent="0.2">
      <c r="A2008" s="12">
        <v>40056</v>
      </c>
      <c r="B2008" s="9">
        <v>1927.38</v>
      </c>
      <c r="C2008" s="9">
        <v>1887.02</v>
      </c>
      <c r="D2008" s="9">
        <v>1896.82</v>
      </c>
      <c r="E2008" s="9">
        <f t="shared" si="93"/>
        <v>-1.5982767920272891E-2</v>
      </c>
      <c r="F2008" s="9">
        <f t="shared" si="91"/>
        <v>0.12729529491226599</v>
      </c>
      <c r="G2008" s="9">
        <f t="shared" si="92"/>
        <v>1.3570288130523613E-2</v>
      </c>
    </row>
    <row r="2009" spans="1:7" x14ac:dyDescent="0.2">
      <c r="A2009" s="12">
        <v>40057</v>
      </c>
      <c r="B2009" s="9">
        <v>1903.55</v>
      </c>
      <c r="C2009" s="9">
        <v>1853.79</v>
      </c>
      <c r="D2009" s="9">
        <v>1860.82</v>
      </c>
      <c r="E2009" s="9">
        <f t="shared" si="93"/>
        <v>-1.9161548997849463E-2</v>
      </c>
      <c r="F2009" s="9">
        <f t="shared" si="91"/>
        <v>9.5921925227651944E-2</v>
      </c>
      <c r="G2009" s="9">
        <f t="shared" si="92"/>
        <v>1.41322584680713E-2</v>
      </c>
    </row>
    <row r="2010" spans="1:7" x14ac:dyDescent="0.2">
      <c r="A2010" s="12">
        <v>40058</v>
      </c>
      <c r="B2010" s="9">
        <v>1861.57</v>
      </c>
      <c r="C2010" s="9">
        <v>1801.83</v>
      </c>
      <c r="D2010" s="9">
        <v>1814.55</v>
      </c>
      <c r="E2010" s="9">
        <f t="shared" si="93"/>
        <v>-2.517974769802124E-2</v>
      </c>
      <c r="F2010" s="9">
        <f t="shared" si="91"/>
        <v>5.5060920977844346E-2</v>
      </c>
      <c r="G2010" s="9">
        <f t="shared" si="92"/>
        <v>1.4838977949071148E-2</v>
      </c>
    </row>
    <row r="2011" spans="1:7" x14ac:dyDescent="0.2">
      <c r="A2011" s="12">
        <v>40059</v>
      </c>
      <c r="B2011" s="9">
        <v>1861.22</v>
      </c>
      <c r="C2011" s="9">
        <v>1817.75</v>
      </c>
      <c r="D2011" s="9">
        <v>1836.65</v>
      </c>
      <c r="E2011" s="9">
        <f t="shared" si="93"/>
        <v>1.210575695354758E-2</v>
      </c>
      <c r="F2011" s="9">
        <f t="shared" si="91"/>
        <v>5.9954808350934197E-2</v>
      </c>
      <c r="G2011" s="9">
        <f t="shared" si="92"/>
        <v>1.4926762070851805E-2</v>
      </c>
    </row>
    <row r="2012" spans="1:7" x14ac:dyDescent="0.2">
      <c r="A2012" s="12">
        <v>40060</v>
      </c>
      <c r="B2012" s="9">
        <v>1871.85</v>
      </c>
      <c r="C2012" s="9">
        <v>1839.47</v>
      </c>
      <c r="D2012" s="9">
        <v>1868.27</v>
      </c>
      <c r="E2012" s="9">
        <f t="shared" si="93"/>
        <v>1.7069608930990736E-2</v>
      </c>
      <c r="F2012" s="9">
        <f t="shared" si="91"/>
        <v>7.7024417281924981E-2</v>
      </c>
      <c r="G2012" s="9">
        <f t="shared" si="92"/>
        <v>1.5171287203541188E-2</v>
      </c>
    </row>
    <row r="2013" spans="1:7" x14ac:dyDescent="0.2">
      <c r="A2013" s="12">
        <v>40063</v>
      </c>
      <c r="B2013" s="9">
        <v>1914.51</v>
      </c>
      <c r="C2013" s="9">
        <v>1869.21</v>
      </c>
      <c r="D2013" s="9">
        <v>1911.27</v>
      </c>
      <c r="E2013" s="9">
        <f t="shared" si="93"/>
        <v>2.2755073585803816E-2</v>
      </c>
      <c r="F2013" s="9">
        <f t="shared" si="91"/>
        <v>0.10102320377089506</v>
      </c>
      <c r="G2013" s="9">
        <f t="shared" si="92"/>
        <v>1.5590322334502534E-2</v>
      </c>
    </row>
    <row r="2014" spans="1:7" x14ac:dyDescent="0.2">
      <c r="A2014" s="12">
        <v>40064</v>
      </c>
      <c r="B2014" s="9">
        <v>1933.24</v>
      </c>
      <c r="C2014" s="9">
        <v>1911.46</v>
      </c>
      <c r="D2014" s="9">
        <v>1924.78</v>
      </c>
      <c r="E2014" s="9">
        <f t="shared" si="93"/>
        <v>7.0437329321797722E-3</v>
      </c>
      <c r="F2014" s="9">
        <f t="shared" si="91"/>
        <v>0.11816042270700332</v>
      </c>
      <c r="G2014" s="9">
        <f t="shared" si="92"/>
        <v>1.539280562480364E-2</v>
      </c>
    </row>
    <row r="2015" spans="1:7" x14ac:dyDescent="0.2">
      <c r="A2015" s="12">
        <v>40065</v>
      </c>
      <c r="B2015" s="9">
        <v>1951.1</v>
      </c>
      <c r="C2015" s="9">
        <v>1916.86</v>
      </c>
      <c r="D2015" s="9">
        <v>1951.1</v>
      </c>
      <c r="E2015" s="9">
        <f t="shared" si="93"/>
        <v>1.3581640599363919E-2</v>
      </c>
      <c r="F2015" s="9">
        <f t="shared" si="91"/>
        <v>0.13273069991671924</v>
      </c>
      <c r="G2015" s="9">
        <f t="shared" si="92"/>
        <v>1.5461684868903858E-2</v>
      </c>
    </row>
    <row r="2016" spans="1:7" x14ac:dyDescent="0.2">
      <c r="A2016" s="12">
        <v>40066</v>
      </c>
      <c r="B2016" s="9">
        <v>1976.68</v>
      </c>
      <c r="C2016" s="9">
        <v>1941.01</v>
      </c>
      <c r="D2016" s="9">
        <v>1953.71</v>
      </c>
      <c r="E2016" s="9">
        <f t="shared" si="93"/>
        <v>1.3368130017529327E-3</v>
      </c>
      <c r="F2016" s="9">
        <f t="shared" si="91"/>
        <v>0.10710743785689956</v>
      </c>
      <c r="G2016" s="9">
        <f t="shared" si="92"/>
        <v>1.4870285738954585E-2</v>
      </c>
    </row>
    <row r="2017" spans="1:7" x14ac:dyDescent="0.2">
      <c r="A2017" s="12">
        <v>40067</v>
      </c>
      <c r="B2017" s="9">
        <v>1974.04</v>
      </c>
      <c r="C2017" s="9">
        <v>1954.27</v>
      </c>
      <c r="D2017" s="9">
        <v>1960.9</v>
      </c>
      <c r="E2017" s="9">
        <f t="shared" si="93"/>
        <v>3.6734224278651946E-3</v>
      </c>
      <c r="F2017" s="9">
        <f t="shared" ref="F2017:F2080" si="94">LN(D2017/D1987)</f>
        <v>0.11415926115601727</v>
      </c>
      <c r="G2017" s="9">
        <f t="shared" ref="G2017:G2080" si="95">STDEV(E1988:E2017)</f>
        <v>1.4812280388081595E-2</v>
      </c>
    </row>
    <row r="2018" spans="1:7" x14ac:dyDescent="0.2">
      <c r="A2018" s="12">
        <v>40070</v>
      </c>
      <c r="B2018" s="9">
        <v>1959.4</v>
      </c>
      <c r="C2018" s="9">
        <v>1914.84</v>
      </c>
      <c r="D2018" s="9">
        <v>1937.78</v>
      </c>
      <c r="E2018" s="9">
        <f t="shared" si="93"/>
        <v>-1.1860563590386616E-2</v>
      </c>
      <c r="F2018" s="9">
        <f t="shared" si="94"/>
        <v>7.5151740617694418E-2</v>
      </c>
      <c r="G2018" s="9">
        <f t="shared" si="95"/>
        <v>1.4398962265491477E-2</v>
      </c>
    </row>
    <row r="2019" spans="1:7" x14ac:dyDescent="0.2">
      <c r="A2019" s="12">
        <v>40071</v>
      </c>
      <c r="B2019" s="9">
        <v>1965.45</v>
      </c>
      <c r="C2019" s="9">
        <v>1934.84</v>
      </c>
      <c r="D2019" s="9">
        <v>1955.29</v>
      </c>
      <c r="E2019" s="9">
        <f t="shared" si="93"/>
        <v>8.9955320993562928E-3</v>
      </c>
      <c r="F2019" s="9">
        <f t="shared" si="94"/>
        <v>9.4773830357510164E-2</v>
      </c>
      <c r="G2019" s="9">
        <f t="shared" si="95"/>
        <v>1.4226524554071954E-2</v>
      </c>
    </row>
    <row r="2020" spans="1:7" x14ac:dyDescent="0.2">
      <c r="A2020" s="12">
        <v>40072</v>
      </c>
      <c r="B2020" s="9">
        <v>1994.88</v>
      </c>
      <c r="C2020" s="9">
        <v>1956.6</v>
      </c>
      <c r="D2020" s="9">
        <v>1985.74</v>
      </c>
      <c r="E2020" s="9">
        <f t="shared" si="93"/>
        <v>1.5453120605470855E-2</v>
      </c>
      <c r="F2020" s="9">
        <f t="shared" si="94"/>
        <v>0.10587878871200908</v>
      </c>
      <c r="G2020" s="9">
        <f t="shared" si="95"/>
        <v>1.4401920148094875E-2</v>
      </c>
    </row>
    <row r="2021" spans="1:7" x14ac:dyDescent="0.2">
      <c r="A2021" s="12">
        <v>40073</v>
      </c>
      <c r="B2021" s="9">
        <v>2013.05</v>
      </c>
      <c r="C2021" s="9">
        <v>1987.81</v>
      </c>
      <c r="D2021" s="9">
        <v>2002.79</v>
      </c>
      <c r="E2021" s="9">
        <f t="shared" si="93"/>
        <v>8.5495678136264432E-3</v>
      </c>
      <c r="F2021" s="9">
        <f t="shared" si="94"/>
        <v>0.11208539398408662</v>
      </c>
      <c r="G2021" s="9">
        <f t="shared" si="95"/>
        <v>1.4428845067439204E-2</v>
      </c>
    </row>
    <row r="2022" spans="1:7" x14ac:dyDescent="0.2">
      <c r="A2022" s="12">
        <v>40074</v>
      </c>
      <c r="B2022" s="9">
        <v>2002.23</v>
      </c>
      <c r="C2022" s="9">
        <v>1973.91</v>
      </c>
      <c r="D2022" s="9">
        <v>1996.71</v>
      </c>
      <c r="E2022" s="9">
        <f t="shared" si="93"/>
        <v>-3.0403823895926783E-3</v>
      </c>
      <c r="F2022" s="9">
        <f t="shared" si="94"/>
        <v>9.567434504719953E-2</v>
      </c>
      <c r="G2022" s="9">
        <f t="shared" si="95"/>
        <v>1.4361918722140057E-2</v>
      </c>
    </row>
    <row r="2023" spans="1:7" x14ac:dyDescent="0.2">
      <c r="A2023" s="12">
        <v>40077</v>
      </c>
      <c r="B2023" s="9">
        <v>1999.23</v>
      </c>
      <c r="C2023" s="9">
        <v>1964.65</v>
      </c>
      <c r="D2023" s="9">
        <v>1972.47</v>
      </c>
      <c r="E2023" s="9">
        <f t="shared" si="93"/>
        <v>-1.2214261565051445E-2</v>
      </c>
      <c r="F2023" s="9">
        <f t="shared" si="94"/>
        <v>9.7182682730136277E-2</v>
      </c>
      <c r="G2023" s="9">
        <f t="shared" si="95"/>
        <v>1.4303193008327711E-2</v>
      </c>
    </row>
    <row r="2024" spans="1:7" x14ac:dyDescent="0.2">
      <c r="A2024" s="12">
        <v>40078</v>
      </c>
      <c r="B2024" s="9">
        <v>1998.53</v>
      </c>
      <c r="C2024" s="9">
        <v>1972.66</v>
      </c>
      <c r="D2024" s="9">
        <v>1988.09</v>
      </c>
      <c r="E2024" s="9">
        <f t="shared" si="93"/>
        <v>7.8878143426745068E-3</v>
      </c>
      <c r="F2024" s="9">
        <f t="shared" si="94"/>
        <v>0.11687302827833218</v>
      </c>
      <c r="G2024" s="9">
        <f t="shared" si="95"/>
        <v>1.403847187520973E-2</v>
      </c>
    </row>
    <row r="2025" spans="1:7" x14ac:dyDescent="0.2">
      <c r="A2025" s="12">
        <v>40079</v>
      </c>
      <c r="B2025" s="9">
        <v>1998.28</v>
      </c>
      <c r="C2025" s="9">
        <v>1984.25</v>
      </c>
      <c r="D2025" s="9">
        <v>1992.57</v>
      </c>
      <c r="E2025" s="9">
        <f t="shared" si="93"/>
        <v>2.2508839697362214E-3</v>
      </c>
      <c r="F2025" s="9">
        <f t="shared" si="94"/>
        <v>0.10791939197546502</v>
      </c>
      <c r="G2025" s="9">
        <f t="shared" si="95"/>
        <v>1.3972753793204418E-2</v>
      </c>
    </row>
    <row r="2026" spans="1:7" x14ac:dyDescent="0.2">
      <c r="A2026" s="12">
        <v>40080</v>
      </c>
      <c r="B2026" s="9">
        <v>1992.57</v>
      </c>
      <c r="C2026" s="9">
        <v>1940.18</v>
      </c>
      <c r="D2026" s="9">
        <v>1941.21</v>
      </c>
      <c r="E2026" s="9">
        <f t="shared" si="93"/>
        <v>-2.6113772820802798E-2</v>
      </c>
      <c r="F2026" s="9">
        <f t="shared" si="94"/>
        <v>6.1945224420853019E-2</v>
      </c>
      <c r="G2026" s="9">
        <f t="shared" si="95"/>
        <v>1.4633104028251173E-2</v>
      </c>
    </row>
    <row r="2027" spans="1:7" x14ac:dyDescent="0.2">
      <c r="A2027" s="12">
        <v>40081</v>
      </c>
      <c r="B2027" s="9">
        <v>1944.84</v>
      </c>
      <c r="C2027" s="9">
        <v>1922.24</v>
      </c>
      <c r="D2027" s="9">
        <v>1929.14</v>
      </c>
      <c r="E2027" s="9">
        <f t="shared" si="93"/>
        <v>-6.2371822338278416E-3</v>
      </c>
      <c r="F2027" s="9">
        <f t="shared" si="94"/>
        <v>5.3551004702944167E-2</v>
      </c>
      <c r="G2027" s="9">
        <f t="shared" si="95"/>
        <v>1.4711326382279248E-2</v>
      </c>
    </row>
    <row r="2028" spans="1:7" x14ac:dyDescent="0.2">
      <c r="A2028" s="12">
        <v>40084</v>
      </c>
      <c r="B2028" s="9">
        <v>1965.94</v>
      </c>
      <c r="C2028" s="9">
        <v>1900.83</v>
      </c>
      <c r="D2028" s="9">
        <v>1965.65</v>
      </c>
      <c r="E2028" s="9">
        <f t="shared" si="93"/>
        <v>1.8748671672204342E-2</v>
      </c>
      <c r="F2028" s="9">
        <f t="shared" si="94"/>
        <v>9.9715360968148897E-2</v>
      </c>
      <c r="G2028" s="9">
        <f t="shared" si="95"/>
        <v>1.3946097486531306E-2</v>
      </c>
    </row>
    <row r="2029" spans="1:7" x14ac:dyDescent="0.2">
      <c r="A2029" s="12">
        <v>40085</v>
      </c>
      <c r="B2029" s="9">
        <v>1973.77</v>
      </c>
      <c r="C2029" s="9">
        <v>1940.48</v>
      </c>
      <c r="D2029" s="9">
        <v>1942.46</v>
      </c>
      <c r="E2029" s="9">
        <f t="shared" si="93"/>
        <v>-1.1867768399686625E-2</v>
      </c>
      <c r="F2029" s="9">
        <f t="shared" si="94"/>
        <v>7.9602212192644239E-2</v>
      </c>
      <c r="G2029" s="9">
        <f t="shared" si="95"/>
        <v>1.4182789977494781E-2</v>
      </c>
    </row>
    <row r="2030" spans="1:7" x14ac:dyDescent="0.2">
      <c r="A2030" s="12">
        <v>40086</v>
      </c>
      <c r="B2030" s="9">
        <v>1951.7</v>
      </c>
      <c r="C2030" s="9">
        <v>1917.75</v>
      </c>
      <c r="D2030" s="9">
        <v>1926.1</v>
      </c>
      <c r="E2030" s="9">
        <f t="shared" si="93"/>
        <v>-8.4579779190152495E-3</v>
      </c>
      <c r="F2030" s="9">
        <f t="shared" si="94"/>
        <v>7.1082914846779047E-2</v>
      </c>
      <c r="G2030" s="9">
        <f t="shared" si="95"/>
        <v>1.4321094992803466E-2</v>
      </c>
    </row>
    <row r="2031" spans="1:7" x14ac:dyDescent="0.2">
      <c r="A2031" s="12">
        <v>40087</v>
      </c>
      <c r="B2031" s="9">
        <v>1943</v>
      </c>
      <c r="C2031" s="9">
        <v>1891.57</v>
      </c>
      <c r="D2031" s="9">
        <v>1891.74</v>
      </c>
      <c r="E2031" s="9">
        <f t="shared" si="93"/>
        <v>-1.8000192640261238E-2</v>
      </c>
      <c r="F2031" s="9">
        <f t="shared" si="94"/>
        <v>3.7123260060187971E-2</v>
      </c>
      <c r="G2031" s="9">
        <f t="shared" si="95"/>
        <v>1.4550162624917019E-2</v>
      </c>
    </row>
    <row r="2032" spans="1:7" x14ac:dyDescent="0.2">
      <c r="A2032" s="12">
        <v>40088</v>
      </c>
      <c r="B2032" s="9">
        <v>1889.86</v>
      </c>
      <c r="C2032" s="9">
        <v>1828.22</v>
      </c>
      <c r="D2032" s="9">
        <v>1842.43</v>
      </c>
      <c r="E2032" s="9">
        <f t="shared" si="93"/>
        <v>-2.6411687967020033E-2</v>
      </c>
      <c r="F2032" s="9">
        <f t="shared" si="94"/>
        <v>-1.5756413551132911E-2</v>
      </c>
      <c r="G2032" s="9">
        <f t="shared" si="95"/>
        <v>1.4591205585586669E-2</v>
      </c>
    </row>
    <row r="2033" spans="1:7" x14ac:dyDescent="0.2">
      <c r="A2033" s="12">
        <v>40091</v>
      </c>
      <c r="B2033" s="9">
        <v>1871.49</v>
      </c>
      <c r="C2033" s="9">
        <v>1843.56</v>
      </c>
      <c r="D2033" s="9">
        <v>1865.86</v>
      </c>
      <c r="E2033" s="9">
        <f t="shared" si="93"/>
        <v>1.2636720314458975E-2</v>
      </c>
      <c r="F2033" s="9">
        <f t="shared" si="94"/>
        <v>-2.2296811906842798E-2</v>
      </c>
      <c r="G2033" s="9">
        <f t="shared" si="95"/>
        <v>1.4333255091666157E-2</v>
      </c>
    </row>
    <row r="2034" spans="1:7" x14ac:dyDescent="0.2">
      <c r="A2034" s="12">
        <v>40092</v>
      </c>
      <c r="B2034" s="9">
        <v>1918.41</v>
      </c>
      <c r="C2034" s="9">
        <v>1865.48</v>
      </c>
      <c r="D2034" s="9">
        <v>1918.23</v>
      </c>
      <c r="E2034" s="9">
        <f t="shared" si="93"/>
        <v>2.7680813036381636E-2</v>
      </c>
      <c r="F2034" s="9">
        <f t="shared" si="94"/>
        <v>5.0276574217849711E-3</v>
      </c>
      <c r="G2034" s="9">
        <f t="shared" si="95"/>
        <v>1.5244731469509462E-2</v>
      </c>
    </row>
    <row r="2035" spans="1:7" x14ac:dyDescent="0.2">
      <c r="A2035" s="12">
        <v>40093</v>
      </c>
      <c r="B2035" s="9">
        <v>1923.09</v>
      </c>
      <c r="C2035" s="9">
        <v>1889.23</v>
      </c>
      <c r="D2035" s="9">
        <v>1898.79</v>
      </c>
      <c r="E2035" s="9">
        <f t="shared" si="93"/>
        <v>-1.0186044654536036E-2</v>
      </c>
      <c r="F2035" s="9">
        <f t="shared" si="94"/>
        <v>3.9947177272304695E-3</v>
      </c>
      <c r="G2035" s="9">
        <f t="shared" si="95"/>
        <v>1.5267658083580184E-2</v>
      </c>
    </row>
    <row r="2036" spans="1:7" x14ac:dyDescent="0.2">
      <c r="A2036" s="12">
        <v>40094</v>
      </c>
      <c r="B2036" s="9">
        <v>1924.37</v>
      </c>
      <c r="C2036" s="9">
        <v>1900.67</v>
      </c>
      <c r="D2036" s="9">
        <v>1917.07</v>
      </c>
      <c r="E2036" s="9">
        <f t="shared" si="93"/>
        <v>9.5811375884021395E-3</v>
      </c>
      <c r="F2036" s="9">
        <f t="shared" si="94"/>
        <v>7.5871189815378765E-3</v>
      </c>
      <c r="G2036" s="9">
        <f t="shared" si="95"/>
        <v>1.5329132131383288E-2</v>
      </c>
    </row>
    <row r="2037" spans="1:7" x14ac:dyDescent="0.2">
      <c r="A2037" s="12">
        <v>40095</v>
      </c>
      <c r="B2037" s="9">
        <v>1932.21</v>
      </c>
      <c r="C2037" s="9">
        <v>1913.57</v>
      </c>
      <c r="D2037" s="9">
        <v>1925.17</v>
      </c>
      <c r="E2037" s="9">
        <f t="shared" si="93"/>
        <v>4.2162967433468914E-3</v>
      </c>
      <c r="F2037" s="9">
        <f t="shared" si="94"/>
        <v>-1.147292179161807E-3</v>
      </c>
      <c r="G2037" s="9">
        <f t="shared" si="95"/>
        <v>1.5161677785258506E-2</v>
      </c>
    </row>
    <row r="2038" spans="1:7" x14ac:dyDescent="0.2">
      <c r="A2038" s="12">
        <v>40098</v>
      </c>
      <c r="B2038" s="9">
        <v>1953.73</v>
      </c>
      <c r="C2038" s="9">
        <v>1928.84</v>
      </c>
      <c r="D2038" s="9">
        <v>1928.84</v>
      </c>
      <c r="E2038" s="9">
        <f t="shared" si="93"/>
        <v>1.9045104238475667E-3</v>
      </c>
      <c r="F2038" s="9">
        <f t="shared" si="94"/>
        <v>1.6739986164958674E-2</v>
      </c>
      <c r="G2038" s="9">
        <f t="shared" si="95"/>
        <v>1.486177576250601E-2</v>
      </c>
    </row>
    <row r="2039" spans="1:7" x14ac:dyDescent="0.2">
      <c r="A2039" s="12">
        <v>40099</v>
      </c>
      <c r="B2039" s="9">
        <v>1944.06</v>
      </c>
      <c r="C2039" s="9">
        <v>1912.72</v>
      </c>
      <c r="D2039" s="9">
        <v>1918.26</v>
      </c>
      <c r="E2039" s="9">
        <f t="shared" si="93"/>
        <v>-5.5002608057667709E-3</v>
      </c>
      <c r="F2039" s="9">
        <f t="shared" si="94"/>
        <v>3.0401274357041406E-2</v>
      </c>
      <c r="G2039" s="9">
        <f t="shared" si="95"/>
        <v>1.4440030426758335E-2</v>
      </c>
    </row>
    <row r="2040" spans="1:7" x14ac:dyDescent="0.2">
      <c r="A2040" s="12">
        <v>40100</v>
      </c>
      <c r="B2040" s="9">
        <v>1962.75</v>
      </c>
      <c r="C2040" s="9">
        <v>1922.97</v>
      </c>
      <c r="D2040" s="9">
        <v>1951.3</v>
      </c>
      <c r="E2040" s="9">
        <f t="shared" si="93"/>
        <v>1.7077291971923599E-2</v>
      </c>
      <c r="F2040" s="9">
        <f t="shared" si="94"/>
        <v>7.2658314026985985E-2</v>
      </c>
      <c r="G2040" s="9">
        <f t="shared" si="95"/>
        <v>1.3845661156361735E-2</v>
      </c>
    </row>
    <row r="2041" spans="1:7" x14ac:dyDescent="0.2">
      <c r="A2041" s="12">
        <v>40101</v>
      </c>
      <c r="B2041" s="9">
        <v>1971.53</v>
      </c>
      <c r="C2041" s="9">
        <v>1922.83</v>
      </c>
      <c r="D2041" s="9">
        <v>1929.56</v>
      </c>
      <c r="E2041" s="9">
        <f t="shared" si="93"/>
        <v>-1.1203819467858421E-2</v>
      </c>
      <c r="F2041" s="9">
        <f t="shared" si="94"/>
        <v>4.9348737605580194E-2</v>
      </c>
      <c r="G2041" s="9">
        <f t="shared" si="95"/>
        <v>1.393722580192655E-2</v>
      </c>
    </row>
    <row r="2042" spans="1:7" x14ac:dyDescent="0.2">
      <c r="A2042" s="12">
        <v>40102</v>
      </c>
      <c r="B2042" s="9">
        <v>1959.4</v>
      </c>
      <c r="C2042" s="9">
        <v>1929.03</v>
      </c>
      <c r="D2042" s="9">
        <v>1931.03</v>
      </c>
      <c r="E2042" s="9">
        <f t="shared" si="93"/>
        <v>7.6154166645173735E-4</v>
      </c>
      <c r="F2042" s="9">
        <f t="shared" si="94"/>
        <v>3.3040670341040898E-2</v>
      </c>
      <c r="G2042" s="9">
        <f t="shared" si="95"/>
        <v>1.3629502852401266E-2</v>
      </c>
    </row>
    <row r="2043" spans="1:7" x14ac:dyDescent="0.2">
      <c r="A2043" s="12">
        <v>40105</v>
      </c>
      <c r="B2043" s="9">
        <v>1954.35</v>
      </c>
      <c r="C2043" s="9">
        <v>1930.47</v>
      </c>
      <c r="D2043" s="9">
        <v>1950.74</v>
      </c>
      <c r="E2043" s="9">
        <f t="shared" si="93"/>
        <v>1.0155248450685165E-2</v>
      </c>
      <c r="F2043" s="9">
        <f t="shared" si="94"/>
        <v>2.0440845205922431E-2</v>
      </c>
      <c r="G2043" s="9">
        <f t="shared" si="95"/>
        <v>1.3123990554416124E-2</v>
      </c>
    </row>
    <row r="2044" spans="1:7" x14ac:dyDescent="0.2">
      <c r="A2044" s="12">
        <v>40106</v>
      </c>
      <c r="B2044" s="9">
        <v>1963.68</v>
      </c>
      <c r="C2044" s="9">
        <v>1937.44</v>
      </c>
      <c r="D2044" s="9">
        <v>1959.69</v>
      </c>
      <c r="E2044" s="9">
        <f t="shared" si="93"/>
        <v>4.577509699896995E-3</v>
      </c>
      <c r="F2044" s="9">
        <f t="shared" si="94"/>
        <v>1.7974621973639568E-2</v>
      </c>
      <c r="G2044" s="9">
        <f t="shared" si="95"/>
        <v>1.3090444228371526E-2</v>
      </c>
    </row>
    <row r="2045" spans="1:7" x14ac:dyDescent="0.2">
      <c r="A2045" s="12">
        <v>40107</v>
      </c>
      <c r="B2045" s="9">
        <v>1965.18</v>
      </c>
      <c r="C2045" s="9">
        <v>1928.34</v>
      </c>
      <c r="D2045" s="9">
        <v>1951.37</v>
      </c>
      <c r="E2045" s="9">
        <f t="shared" si="93"/>
        <v>-4.2546074723977144E-3</v>
      </c>
      <c r="F2045" s="9">
        <f t="shared" si="94"/>
        <v>1.3837390187786672E-4</v>
      </c>
      <c r="G2045" s="9">
        <f t="shared" si="95"/>
        <v>1.2883887057701854E-2</v>
      </c>
    </row>
    <row r="2046" spans="1:7" x14ac:dyDescent="0.2">
      <c r="A2046" s="12">
        <v>40108</v>
      </c>
      <c r="B2046" s="9">
        <v>1953.58</v>
      </c>
      <c r="C2046" s="9">
        <v>1918.74</v>
      </c>
      <c r="D2046" s="9">
        <v>1935.05</v>
      </c>
      <c r="E2046" s="9">
        <f t="shared" si="93"/>
        <v>-8.3985240544087805E-3</v>
      </c>
      <c r="F2046" s="9">
        <f t="shared" si="94"/>
        <v>-9.5969631542839225E-3</v>
      </c>
      <c r="G2046" s="9">
        <f t="shared" si="95"/>
        <v>1.2971481377345922E-2</v>
      </c>
    </row>
    <row r="2047" spans="1:7" x14ac:dyDescent="0.2">
      <c r="A2047" s="12">
        <v>40109</v>
      </c>
      <c r="B2047" s="9">
        <v>1955.88</v>
      </c>
      <c r="C2047" s="9">
        <v>1928.02</v>
      </c>
      <c r="D2047" s="9">
        <v>1928.02</v>
      </c>
      <c r="E2047" s="9">
        <f t="shared" si="93"/>
        <v>-3.6395963626516033E-3</v>
      </c>
      <c r="F2047" s="9">
        <f t="shared" si="94"/>
        <v>-1.69099819448006E-2</v>
      </c>
      <c r="G2047" s="9">
        <f t="shared" si="95"/>
        <v>1.2962561006618191E-2</v>
      </c>
    </row>
    <row r="2048" spans="1:7" x14ac:dyDescent="0.2">
      <c r="A2048" s="12">
        <v>40112</v>
      </c>
      <c r="B2048" s="9">
        <v>1944.89</v>
      </c>
      <c r="C2048" s="9">
        <v>1892.93</v>
      </c>
      <c r="D2048" s="9">
        <v>1894.48</v>
      </c>
      <c r="E2048" s="9">
        <f t="shared" si="93"/>
        <v>-1.754917503290418E-2</v>
      </c>
      <c r="F2048" s="9">
        <f t="shared" si="94"/>
        <v>-2.2598593387318171E-2</v>
      </c>
      <c r="G2048" s="9">
        <f t="shared" si="95"/>
        <v>1.3173406587134536E-2</v>
      </c>
    </row>
    <row r="2049" spans="1:7" x14ac:dyDescent="0.2">
      <c r="A2049" s="12">
        <v>40113</v>
      </c>
      <c r="B2049" s="9">
        <v>1916.37</v>
      </c>
      <c r="C2049" s="9">
        <v>1882.21</v>
      </c>
      <c r="D2049" s="9">
        <v>1888.28</v>
      </c>
      <c r="E2049" s="9">
        <f t="shared" si="93"/>
        <v>-3.2780327336865461E-3</v>
      </c>
      <c r="F2049" s="9">
        <f t="shared" si="94"/>
        <v>-3.4872158220360959E-2</v>
      </c>
      <c r="G2049" s="9">
        <f t="shared" si="95"/>
        <v>1.3050213535725176E-2</v>
      </c>
    </row>
    <row r="2050" spans="1:7" x14ac:dyDescent="0.2">
      <c r="A2050" s="12">
        <v>40114</v>
      </c>
      <c r="B2050" s="9">
        <v>1897.54</v>
      </c>
      <c r="C2050" s="9">
        <v>1839.8</v>
      </c>
      <c r="D2050" s="9">
        <v>1842.33</v>
      </c>
      <c r="E2050" s="9">
        <f t="shared" si="93"/>
        <v>-2.4635286930364406E-2</v>
      </c>
      <c r="F2050" s="9">
        <f t="shared" si="94"/>
        <v>-7.4960565756196224E-2</v>
      </c>
      <c r="G2050" s="9">
        <f t="shared" si="95"/>
        <v>1.3339422068107254E-2</v>
      </c>
    </row>
    <row r="2051" spans="1:7" x14ac:dyDescent="0.2">
      <c r="A2051" s="12">
        <v>40115</v>
      </c>
      <c r="B2051" s="9">
        <v>1887.81</v>
      </c>
      <c r="C2051" s="9">
        <v>1829.83</v>
      </c>
      <c r="D2051" s="9">
        <v>1879.2</v>
      </c>
      <c r="E2051" s="9">
        <f t="shared" si="93"/>
        <v>1.9815079480987683E-2</v>
      </c>
      <c r="F2051" s="9">
        <f t="shared" si="94"/>
        <v>-6.369505408883526E-2</v>
      </c>
      <c r="G2051" s="9">
        <f t="shared" si="95"/>
        <v>1.3811383445104892E-2</v>
      </c>
    </row>
    <row r="2052" spans="1:7" x14ac:dyDescent="0.2">
      <c r="A2052" s="12">
        <v>40116</v>
      </c>
      <c r="B2052" s="9">
        <v>1911.54</v>
      </c>
      <c r="C2052" s="9">
        <v>1842.17</v>
      </c>
      <c r="D2052" s="9">
        <v>1845.48</v>
      </c>
      <c r="E2052" s="9">
        <f t="shared" ref="E2052:E2115" si="96">LN(D2052/D2051)</f>
        <v>-1.8106748104870569E-2</v>
      </c>
      <c r="F2052" s="9">
        <f t="shared" si="94"/>
        <v>-7.8761419804113109E-2</v>
      </c>
      <c r="G2052" s="9">
        <f t="shared" si="95"/>
        <v>1.4116439537689544E-2</v>
      </c>
    </row>
    <row r="2053" spans="1:7" x14ac:dyDescent="0.2">
      <c r="A2053" s="12">
        <v>40119</v>
      </c>
      <c r="B2053" s="9">
        <v>1875.55</v>
      </c>
      <c r="C2053" s="9">
        <v>1835.87</v>
      </c>
      <c r="D2053" s="9">
        <v>1856.93</v>
      </c>
      <c r="E2053" s="9">
        <f t="shared" si="96"/>
        <v>6.1851801950674693E-3</v>
      </c>
      <c r="F2053" s="9">
        <f t="shared" si="94"/>
        <v>-6.0361978043994062E-2</v>
      </c>
      <c r="G2053" s="9">
        <f t="shared" si="95"/>
        <v>1.4085131300015064E-2</v>
      </c>
    </row>
    <row r="2054" spans="1:7" x14ac:dyDescent="0.2">
      <c r="A2054" s="12">
        <v>40120</v>
      </c>
      <c r="B2054" s="9">
        <v>1857.02</v>
      </c>
      <c r="C2054" s="9">
        <v>1820.71</v>
      </c>
      <c r="D2054" s="9">
        <v>1834.6</v>
      </c>
      <c r="E2054" s="9">
        <f t="shared" si="96"/>
        <v>-1.2098112359344874E-2</v>
      </c>
      <c r="F2054" s="9">
        <f t="shared" si="94"/>
        <v>-8.0347904746013527E-2</v>
      </c>
      <c r="G2054" s="9">
        <f t="shared" si="95"/>
        <v>1.4073382697370851E-2</v>
      </c>
    </row>
    <row r="2055" spans="1:7" x14ac:dyDescent="0.2">
      <c r="A2055" s="12">
        <v>40121</v>
      </c>
      <c r="B2055" s="9">
        <v>1870.64</v>
      </c>
      <c r="C2055" s="9">
        <v>1836.95</v>
      </c>
      <c r="D2055" s="9">
        <v>1867.35</v>
      </c>
      <c r="E2055" s="9">
        <f t="shared" si="96"/>
        <v>1.7693839420349376E-2</v>
      </c>
      <c r="F2055" s="9">
        <f t="shared" si="94"/>
        <v>-6.4904949295400305E-2</v>
      </c>
      <c r="G2055" s="9">
        <f t="shared" si="95"/>
        <v>1.4534761545607155E-2</v>
      </c>
    </row>
    <row r="2056" spans="1:7" x14ac:dyDescent="0.2">
      <c r="A2056" s="12">
        <v>40122</v>
      </c>
      <c r="B2056" s="9">
        <v>1888.75</v>
      </c>
      <c r="C2056" s="9">
        <v>1842.3</v>
      </c>
      <c r="D2056" s="9">
        <v>1879.72</v>
      </c>
      <c r="E2056" s="9">
        <f t="shared" si="96"/>
        <v>6.602516065784777E-3</v>
      </c>
      <c r="F2056" s="9">
        <f t="shared" si="94"/>
        <v>-3.2188660408812693E-2</v>
      </c>
      <c r="G2056" s="9">
        <f t="shared" si="95"/>
        <v>1.3888805145485603E-2</v>
      </c>
    </row>
    <row r="2057" spans="1:7" x14ac:dyDescent="0.2">
      <c r="A2057" s="12">
        <v>40123</v>
      </c>
      <c r="B2057" s="9">
        <v>1899.41</v>
      </c>
      <c r="C2057" s="9">
        <v>1864.44</v>
      </c>
      <c r="D2057" s="9">
        <v>1883.88</v>
      </c>
      <c r="E2057" s="9">
        <f t="shared" si="96"/>
        <v>2.2106502785370265E-3</v>
      </c>
      <c r="F2057" s="9">
        <f t="shared" si="94"/>
        <v>-2.3740827896447832E-2</v>
      </c>
      <c r="G2057" s="9">
        <f t="shared" si="95"/>
        <v>1.3866111389359472E-2</v>
      </c>
    </row>
    <row r="2058" spans="1:7" x14ac:dyDescent="0.2">
      <c r="A2058" s="12">
        <v>40126</v>
      </c>
      <c r="B2058" s="9">
        <v>1929.35</v>
      </c>
      <c r="C2058" s="9">
        <v>1887.31</v>
      </c>
      <c r="D2058" s="9">
        <v>1928.18</v>
      </c>
      <c r="E2058" s="9">
        <f t="shared" si="96"/>
        <v>2.3243072968248561E-2</v>
      </c>
      <c r="F2058" s="9">
        <f t="shared" si="94"/>
        <v>-1.9246426600403571E-2</v>
      </c>
      <c r="G2058" s="9">
        <f t="shared" si="95"/>
        <v>1.4106699465002256E-2</v>
      </c>
    </row>
    <row r="2059" spans="1:7" x14ac:dyDescent="0.2">
      <c r="A2059" s="12">
        <v>40127</v>
      </c>
      <c r="B2059" s="9">
        <v>1930.94</v>
      </c>
      <c r="C2059" s="9">
        <v>1914.83</v>
      </c>
      <c r="D2059" s="9">
        <v>1921.82</v>
      </c>
      <c r="E2059" s="9">
        <f t="shared" si="96"/>
        <v>-3.3038991092707868E-3</v>
      </c>
      <c r="F2059" s="9">
        <f t="shared" si="94"/>
        <v>-1.0682557309987623E-2</v>
      </c>
      <c r="G2059" s="9">
        <f t="shared" si="95"/>
        <v>1.3957553317222362E-2</v>
      </c>
    </row>
    <row r="2060" spans="1:7" x14ac:dyDescent="0.2">
      <c r="A2060" s="12">
        <v>40128</v>
      </c>
      <c r="B2060" s="9">
        <v>1963.91</v>
      </c>
      <c r="C2060" s="9">
        <v>1923.75</v>
      </c>
      <c r="D2060" s="9">
        <v>1951.45</v>
      </c>
      <c r="E2060" s="9">
        <f t="shared" si="96"/>
        <v>1.5300032276298163E-2</v>
      </c>
      <c r="F2060" s="9">
        <f t="shared" si="94"/>
        <v>1.3075452885325866E-2</v>
      </c>
      <c r="G2060" s="9">
        <f t="shared" si="95"/>
        <v>1.4154619236385713E-2</v>
      </c>
    </row>
    <row r="2061" spans="1:7" x14ac:dyDescent="0.2">
      <c r="A2061" s="12">
        <v>40129</v>
      </c>
      <c r="B2061" s="9">
        <v>1978.53</v>
      </c>
      <c r="C2061" s="9">
        <v>1951.15</v>
      </c>
      <c r="D2061" s="9">
        <v>1963.35</v>
      </c>
      <c r="E2061" s="9">
        <f t="shared" si="96"/>
        <v>6.0795119303354607E-3</v>
      </c>
      <c r="F2061" s="9">
        <f t="shared" si="94"/>
        <v>3.7155157455922627E-2</v>
      </c>
      <c r="G2061" s="9">
        <f t="shared" si="95"/>
        <v>1.3750084281115233E-2</v>
      </c>
    </row>
    <row r="2062" spans="1:7" x14ac:dyDescent="0.2">
      <c r="A2062" s="12">
        <v>40130</v>
      </c>
      <c r="B2062" s="9">
        <v>1969.29</v>
      </c>
      <c r="C2062" s="9">
        <v>1952.45</v>
      </c>
      <c r="D2062" s="9">
        <v>1964.66</v>
      </c>
      <c r="E2062" s="9">
        <f t="shared" si="96"/>
        <v>6.6700443663216848E-4</v>
      </c>
      <c r="F2062" s="9">
        <f t="shared" si="94"/>
        <v>6.4233849859574796E-2</v>
      </c>
      <c r="G2062" s="9">
        <f t="shared" si="95"/>
        <v>1.2722815902221858E-2</v>
      </c>
    </row>
    <row r="2063" spans="1:7" x14ac:dyDescent="0.2">
      <c r="A2063" s="12">
        <v>40133</v>
      </c>
      <c r="B2063" s="9">
        <v>2009.83</v>
      </c>
      <c r="C2063" s="9">
        <v>1965.73</v>
      </c>
      <c r="D2063" s="9">
        <v>2004.21</v>
      </c>
      <c r="E2063" s="9">
        <f t="shared" si="96"/>
        <v>1.9930765791314465E-2</v>
      </c>
      <c r="F2063" s="9">
        <f t="shared" si="94"/>
        <v>7.1527895336430392E-2</v>
      </c>
      <c r="G2063" s="9">
        <f t="shared" si="95"/>
        <v>1.2997044230617488E-2</v>
      </c>
    </row>
    <row r="2064" spans="1:7" x14ac:dyDescent="0.2">
      <c r="A2064" s="12">
        <v>40134</v>
      </c>
      <c r="B2064" s="9">
        <v>2005.28</v>
      </c>
      <c r="C2064" s="9">
        <v>1976.62</v>
      </c>
      <c r="D2064" s="9">
        <v>1976.62</v>
      </c>
      <c r="E2064" s="9">
        <f t="shared" si="96"/>
        <v>-1.3861652857786044E-2</v>
      </c>
      <c r="F2064" s="9">
        <f t="shared" si="94"/>
        <v>2.9985429442262759E-2</v>
      </c>
      <c r="G2064" s="9">
        <f t="shared" si="95"/>
        <v>1.2408645587155799E-2</v>
      </c>
    </row>
    <row r="2065" spans="1:7" x14ac:dyDescent="0.2">
      <c r="A2065" s="12">
        <v>40135</v>
      </c>
      <c r="B2065" s="9">
        <v>2016.43</v>
      </c>
      <c r="C2065" s="9">
        <v>1976.83</v>
      </c>
      <c r="D2065" s="9">
        <v>2001.18</v>
      </c>
      <c r="E2065" s="9">
        <f t="shared" si="96"/>
        <v>1.2348691284513082E-2</v>
      </c>
      <c r="F2065" s="9">
        <f t="shared" si="94"/>
        <v>5.2520165381312114E-2</v>
      </c>
      <c r="G2065" s="9">
        <f t="shared" si="95"/>
        <v>1.2390235335258395E-2</v>
      </c>
    </row>
    <row r="2066" spans="1:7" x14ac:dyDescent="0.2">
      <c r="A2066" s="12">
        <v>40136</v>
      </c>
      <c r="B2066" s="9">
        <v>2001.12</v>
      </c>
      <c r="C2066" s="9">
        <v>1955.8</v>
      </c>
      <c r="D2066" s="9">
        <v>1959.15</v>
      </c>
      <c r="E2066" s="9">
        <f t="shared" si="96"/>
        <v>-2.1226300868871822E-2</v>
      </c>
      <c r="F2066" s="9">
        <f t="shared" si="94"/>
        <v>2.1712726924037914E-2</v>
      </c>
      <c r="G2066" s="9">
        <f t="shared" si="95"/>
        <v>1.2981430386301739E-2</v>
      </c>
    </row>
    <row r="2067" spans="1:7" x14ac:dyDescent="0.2">
      <c r="A2067" s="12">
        <v>40137</v>
      </c>
      <c r="B2067" s="9">
        <v>1979.43</v>
      </c>
      <c r="C2067" s="9">
        <v>1943.24</v>
      </c>
      <c r="D2067" s="9">
        <v>1954.34</v>
      </c>
      <c r="E2067" s="9">
        <f t="shared" si="96"/>
        <v>-2.4581651784293429E-3</v>
      </c>
      <c r="F2067" s="9">
        <f t="shared" si="94"/>
        <v>1.5038265002261799E-2</v>
      </c>
      <c r="G2067" s="9">
        <f t="shared" si="95"/>
        <v>1.2976703749297627E-2</v>
      </c>
    </row>
    <row r="2068" spans="1:7" x14ac:dyDescent="0.2">
      <c r="A2068" s="12">
        <v>40140</v>
      </c>
      <c r="B2068" s="9">
        <v>1999.04</v>
      </c>
      <c r="C2068" s="9">
        <v>1955.84</v>
      </c>
      <c r="D2068" s="9">
        <v>1995.94</v>
      </c>
      <c r="E2068" s="9">
        <f t="shared" si="96"/>
        <v>2.1062576786143723E-2</v>
      </c>
      <c r="F2068" s="9">
        <f t="shared" si="94"/>
        <v>3.4196331364558075E-2</v>
      </c>
      <c r="G2068" s="9">
        <f t="shared" si="95"/>
        <v>1.3508635838732463E-2</v>
      </c>
    </row>
    <row r="2069" spans="1:7" x14ac:dyDescent="0.2">
      <c r="A2069" s="12">
        <v>40141</v>
      </c>
      <c r="B2069" s="9">
        <v>1995.3</v>
      </c>
      <c r="C2069" s="9">
        <v>1972.76</v>
      </c>
      <c r="D2069" s="9">
        <v>1973.74</v>
      </c>
      <c r="E2069" s="9">
        <f t="shared" si="96"/>
        <v>-1.1184897240120607E-2</v>
      </c>
      <c r="F2069" s="9">
        <f t="shared" si="94"/>
        <v>2.8511694930204307E-2</v>
      </c>
      <c r="G2069" s="9">
        <f t="shared" si="95"/>
        <v>1.3644179626663496E-2</v>
      </c>
    </row>
    <row r="2070" spans="1:7" x14ac:dyDescent="0.2">
      <c r="A2070" s="12">
        <v>40142</v>
      </c>
      <c r="B2070" s="9">
        <v>1992.54</v>
      </c>
      <c r="C2070" s="9">
        <v>1964.13</v>
      </c>
      <c r="D2070" s="9">
        <v>1971.88</v>
      </c>
      <c r="E2070" s="9">
        <f t="shared" si="96"/>
        <v>-9.4281767518421527E-4</v>
      </c>
      <c r="F2070" s="9">
        <f t="shared" si="94"/>
        <v>1.0491585283096497E-2</v>
      </c>
      <c r="G2070" s="9">
        <f t="shared" si="95"/>
        <v>1.3302098110108289E-2</v>
      </c>
    </row>
    <row r="2071" spans="1:7" x14ac:dyDescent="0.2">
      <c r="A2071" s="12">
        <v>40143</v>
      </c>
      <c r="B2071" s="9">
        <v>1971.46</v>
      </c>
      <c r="C2071" s="9">
        <v>1904.28</v>
      </c>
      <c r="D2071" s="9">
        <v>1906.15</v>
      </c>
      <c r="E2071" s="9">
        <f t="shared" si="96"/>
        <v>-3.390190142074339E-2</v>
      </c>
      <c r="F2071" s="9">
        <f t="shared" si="94"/>
        <v>-1.2206496669788557E-2</v>
      </c>
      <c r="G2071" s="9">
        <f t="shared" si="95"/>
        <v>1.456725715837782E-2</v>
      </c>
    </row>
    <row r="2072" spans="1:7" x14ac:dyDescent="0.2">
      <c r="A2072" s="12">
        <v>40144</v>
      </c>
      <c r="B2072" s="9">
        <v>1938.25</v>
      </c>
      <c r="C2072" s="9">
        <v>1872.97</v>
      </c>
      <c r="D2072" s="9">
        <v>1934.46</v>
      </c>
      <c r="E2072" s="9">
        <f t="shared" si="96"/>
        <v>1.4742716785920665E-2</v>
      </c>
      <c r="F2072" s="9">
        <f t="shared" si="94"/>
        <v>1.7746784496803999E-3</v>
      </c>
      <c r="G2072" s="9">
        <f t="shared" si="95"/>
        <v>1.4827251054152085E-2</v>
      </c>
    </row>
    <row r="2073" spans="1:7" x14ac:dyDescent="0.2">
      <c r="A2073" s="12">
        <v>40147</v>
      </c>
      <c r="B2073" s="9">
        <v>1952.62</v>
      </c>
      <c r="C2073" s="9">
        <v>1903.13</v>
      </c>
      <c r="D2073" s="9">
        <v>1903.13</v>
      </c>
      <c r="E2073" s="9">
        <f t="shared" si="96"/>
        <v>-1.632831859661624E-2</v>
      </c>
      <c r="F2073" s="9">
        <f t="shared" si="94"/>
        <v>-2.4708888597621211E-2</v>
      </c>
      <c r="G2073" s="9">
        <f t="shared" si="95"/>
        <v>1.4992886552631833E-2</v>
      </c>
    </row>
    <row r="2074" spans="1:7" x14ac:dyDescent="0.2">
      <c r="A2074" s="12">
        <v>40148</v>
      </c>
      <c r="B2074" s="9">
        <v>1947.54</v>
      </c>
      <c r="C2074" s="9">
        <v>1904.84</v>
      </c>
      <c r="D2074" s="9">
        <v>1947.43</v>
      </c>
      <c r="E2074" s="9">
        <f t="shared" si="96"/>
        <v>2.3010655428979499E-2</v>
      </c>
      <c r="F2074" s="9">
        <f t="shared" si="94"/>
        <v>-6.2757428685387669E-3</v>
      </c>
      <c r="G2074" s="9">
        <f t="shared" si="95"/>
        <v>1.5587779892514676E-2</v>
      </c>
    </row>
    <row r="2075" spans="1:7" x14ac:dyDescent="0.2">
      <c r="A2075" s="12">
        <v>40149</v>
      </c>
      <c r="B2075" s="9">
        <v>1963.87</v>
      </c>
      <c r="C2075" s="9">
        <v>1942.76</v>
      </c>
      <c r="D2075" s="9">
        <v>1959.11</v>
      </c>
      <c r="E2075" s="9">
        <f t="shared" si="96"/>
        <v>5.9797338840358897E-3</v>
      </c>
      <c r="F2075" s="9">
        <f t="shared" si="94"/>
        <v>3.9585984878945622E-3</v>
      </c>
      <c r="G2075" s="9">
        <f t="shared" si="95"/>
        <v>1.5608169381138407E-2</v>
      </c>
    </row>
    <row r="2076" spans="1:7" x14ac:dyDescent="0.2">
      <c r="A2076" s="12">
        <v>40150</v>
      </c>
      <c r="B2076" s="9">
        <v>1977.3</v>
      </c>
      <c r="C2076" s="9">
        <v>1947.21</v>
      </c>
      <c r="D2076" s="9">
        <v>1952.18</v>
      </c>
      <c r="E2076" s="9">
        <f t="shared" si="96"/>
        <v>-3.5435916292015923E-3</v>
      </c>
      <c r="F2076" s="9">
        <f t="shared" si="94"/>
        <v>8.8135309131019066E-3</v>
      </c>
      <c r="G2076" s="9">
        <f t="shared" si="95"/>
        <v>1.5541699746516608E-2</v>
      </c>
    </row>
    <row r="2077" spans="1:7" x14ac:dyDescent="0.2">
      <c r="A2077" s="12">
        <v>40151</v>
      </c>
      <c r="B2077" s="9">
        <v>1982.43</v>
      </c>
      <c r="C2077" s="9">
        <v>1939.16</v>
      </c>
      <c r="D2077" s="9">
        <v>1961.86</v>
      </c>
      <c r="E2077" s="9">
        <f t="shared" si="96"/>
        <v>4.9463059835118568E-3</v>
      </c>
      <c r="F2077" s="9">
        <f t="shared" si="94"/>
        <v>1.7399433259265344E-2</v>
      </c>
      <c r="G2077" s="9">
        <f t="shared" si="95"/>
        <v>1.5545822939913712E-2</v>
      </c>
    </row>
    <row r="2078" spans="1:7" x14ac:dyDescent="0.2">
      <c r="A2078" s="12">
        <v>40154</v>
      </c>
      <c r="B2078" s="9">
        <v>1962.86</v>
      </c>
      <c r="C2078" s="9">
        <v>1940.52</v>
      </c>
      <c r="D2078" s="9">
        <v>1956.44</v>
      </c>
      <c r="E2078" s="9">
        <f t="shared" si="96"/>
        <v>-2.766507647122201E-3</v>
      </c>
      <c r="F2078" s="9">
        <f t="shared" si="94"/>
        <v>3.2182100645047375E-2</v>
      </c>
      <c r="G2078" s="9">
        <f t="shared" si="95"/>
        <v>1.5181379427407616E-2</v>
      </c>
    </row>
    <row r="2079" spans="1:7" x14ac:dyDescent="0.2">
      <c r="A2079" s="12">
        <v>40155</v>
      </c>
      <c r="B2079" s="9">
        <v>1966.16</v>
      </c>
      <c r="C2079" s="9">
        <v>1934.67</v>
      </c>
      <c r="D2079" s="9">
        <v>1938.63</v>
      </c>
      <c r="E2079" s="9">
        <f t="shared" si="96"/>
        <v>-9.1449571489309826E-3</v>
      </c>
      <c r="F2079" s="9">
        <f t="shared" si="94"/>
        <v>2.6315176229802971E-2</v>
      </c>
      <c r="G2079" s="9">
        <f t="shared" si="95"/>
        <v>1.5276846207031269E-2</v>
      </c>
    </row>
    <row r="2080" spans="1:7" x14ac:dyDescent="0.2">
      <c r="A2080" s="12">
        <v>40156</v>
      </c>
      <c r="B2080" s="9">
        <v>1945.28</v>
      </c>
      <c r="C2080" s="9">
        <v>1918.95</v>
      </c>
      <c r="D2080" s="9">
        <v>1923.03</v>
      </c>
      <c r="E2080" s="9">
        <f t="shared" si="96"/>
        <v>-8.0794709327664388E-3</v>
      </c>
      <c r="F2080" s="9">
        <f t="shared" si="94"/>
        <v>4.2870992227400692E-2</v>
      </c>
      <c r="G2080" s="9">
        <f t="shared" si="95"/>
        <v>1.4607837107193612E-2</v>
      </c>
    </row>
    <row r="2081" spans="1:7" x14ac:dyDescent="0.2">
      <c r="A2081" s="12">
        <v>40157</v>
      </c>
      <c r="B2081" s="9">
        <v>1948.81</v>
      </c>
      <c r="C2081" s="9">
        <v>1922.88</v>
      </c>
      <c r="D2081" s="9">
        <v>1938.41</v>
      </c>
      <c r="E2081" s="9">
        <f t="shared" si="96"/>
        <v>7.9659822918258603E-3</v>
      </c>
      <c r="F2081" s="9">
        <f t="shared" ref="F2081:F2144" si="97">LN(D2081/D2051)</f>
        <v>3.1021895038239142E-2</v>
      </c>
      <c r="G2081" s="9">
        <f t="shared" ref="G2081:G2144" si="98">STDEV(E2052:E2081)</f>
        <v>1.4249359585554454E-2</v>
      </c>
    </row>
    <row r="2082" spans="1:7" x14ac:dyDescent="0.2">
      <c r="A2082" s="12">
        <v>40158</v>
      </c>
      <c r="B2082" s="9">
        <v>1967.46</v>
      </c>
      <c r="C2082" s="9">
        <v>1939.7</v>
      </c>
      <c r="D2082" s="9">
        <v>1960.37</v>
      </c>
      <c r="E2082" s="9">
        <f t="shared" si="96"/>
        <v>1.1265181535970387E-2</v>
      </c>
      <c r="F2082" s="9">
        <f t="shared" si="97"/>
        <v>6.0393824679079902E-2</v>
      </c>
      <c r="G2082" s="9">
        <f t="shared" si="98"/>
        <v>1.3893475680274365E-2</v>
      </c>
    </row>
    <row r="2083" spans="1:7" x14ac:dyDescent="0.2">
      <c r="A2083" s="12">
        <v>40161</v>
      </c>
      <c r="B2083" s="9">
        <v>1977.05</v>
      </c>
      <c r="C2083" s="9">
        <v>1961.7</v>
      </c>
      <c r="D2083" s="9">
        <v>1963.01</v>
      </c>
      <c r="E2083" s="9">
        <f t="shared" si="96"/>
        <v>1.3457785880777802E-3</v>
      </c>
      <c r="F2083" s="9">
        <f t="shared" si="97"/>
        <v>5.5554423072090367E-2</v>
      </c>
      <c r="G2083" s="9">
        <f t="shared" si="98"/>
        <v>1.3871441759818894E-2</v>
      </c>
    </row>
    <row r="2084" spans="1:7" x14ac:dyDescent="0.2">
      <c r="A2084" s="12">
        <v>40162</v>
      </c>
      <c r="B2084" s="9">
        <v>1973.28</v>
      </c>
      <c r="C2084" s="9">
        <v>1943.78</v>
      </c>
      <c r="D2084" s="9">
        <v>1959.41</v>
      </c>
      <c r="E2084" s="9">
        <f t="shared" si="96"/>
        <v>-1.8356020063278404E-3</v>
      </c>
      <c r="F2084" s="9">
        <f t="shared" si="97"/>
        <v>6.5816933425107305E-2</v>
      </c>
      <c r="G2084" s="9">
        <f t="shared" si="98"/>
        <v>1.3640173866781203E-2</v>
      </c>
    </row>
    <row r="2085" spans="1:7" x14ac:dyDescent="0.2">
      <c r="A2085" s="12">
        <v>40163</v>
      </c>
      <c r="B2085" s="9">
        <v>1969.56</v>
      </c>
      <c r="C2085" s="9">
        <v>1958.76</v>
      </c>
      <c r="D2085" s="9">
        <v>1967.84</v>
      </c>
      <c r="E2085" s="9">
        <f t="shared" si="96"/>
        <v>4.2930869934379133E-3</v>
      </c>
      <c r="F2085" s="9">
        <f t="shared" si="97"/>
        <v>5.2416180998195637E-2</v>
      </c>
      <c r="G2085" s="9">
        <f t="shared" si="98"/>
        <v>1.3330996223950339E-2</v>
      </c>
    </row>
    <row r="2086" spans="1:7" x14ac:dyDescent="0.2">
      <c r="A2086" s="12">
        <v>40164</v>
      </c>
      <c r="B2086" s="9">
        <v>1970.61</v>
      </c>
      <c r="C2086" s="9">
        <v>1955.87</v>
      </c>
      <c r="D2086" s="9">
        <v>1958.14</v>
      </c>
      <c r="E2086" s="9">
        <f t="shared" si="96"/>
        <v>-4.9414514275815591E-3</v>
      </c>
      <c r="F2086" s="9">
        <f t="shared" si="97"/>
        <v>4.0872213504829398E-2</v>
      </c>
      <c r="G2086" s="9">
        <f t="shared" si="98"/>
        <v>1.3352605772166952E-2</v>
      </c>
    </row>
    <row r="2087" spans="1:7" x14ac:dyDescent="0.2">
      <c r="A2087" s="12">
        <v>40165</v>
      </c>
      <c r="B2087" s="9">
        <v>1973.52</v>
      </c>
      <c r="C2087" s="9">
        <v>1948.3</v>
      </c>
      <c r="D2087" s="9">
        <v>1948.3</v>
      </c>
      <c r="E2087" s="9">
        <f t="shared" si="96"/>
        <v>-5.037845614677277E-3</v>
      </c>
      <c r="F2087" s="9">
        <f t="shared" si="97"/>
        <v>3.3623717611615006E-2</v>
      </c>
      <c r="G2087" s="9">
        <f t="shared" si="98"/>
        <v>1.340221637414451E-2</v>
      </c>
    </row>
    <row r="2088" spans="1:7" x14ac:dyDescent="0.2">
      <c r="A2088" s="12">
        <v>40168</v>
      </c>
      <c r="B2088" s="9">
        <v>1974.61</v>
      </c>
      <c r="C2088" s="9">
        <v>1947.23</v>
      </c>
      <c r="D2088" s="9">
        <v>1969.68</v>
      </c>
      <c r="E2088" s="9">
        <f t="shared" si="96"/>
        <v>1.0913895537724417E-2</v>
      </c>
      <c r="F2088" s="9">
        <f t="shared" si="97"/>
        <v>2.1294540181090914E-2</v>
      </c>
      <c r="G2088" s="9">
        <f t="shared" si="98"/>
        <v>1.2879287409867688E-2</v>
      </c>
    </row>
    <row r="2089" spans="1:7" x14ac:dyDescent="0.2">
      <c r="A2089" s="12">
        <v>40169</v>
      </c>
      <c r="B2089" s="9">
        <v>1999.27</v>
      </c>
      <c r="C2089" s="9">
        <v>1970.54</v>
      </c>
      <c r="D2089" s="9">
        <v>1998.01</v>
      </c>
      <c r="E2089" s="9">
        <f t="shared" si="96"/>
        <v>1.4280592211412967E-2</v>
      </c>
      <c r="F2089" s="9">
        <f t="shared" si="97"/>
        <v>3.8879031501774582E-2</v>
      </c>
      <c r="G2089" s="9">
        <f t="shared" si="98"/>
        <v>1.3088760806896936E-2</v>
      </c>
    </row>
    <row r="2090" spans="1:7" x14ac:dyDescent="0.2">
      <c r="A2090" s="12">
        <v>40170</v>
      </c>
      <c r="B2090" s="9">
        <v>2009.97</v>
      </c>
      <c r="C2090" s="9">
        <v>1993.36</v>
      </c>
      <c r="D2090" s="9">
        <v>2000.74</v>
      </c>
      <c r="E2090" s="9">
        <f t="shared" si="96"/>
        <v>1.3654269079830922E-3</v>
      </c>
      <c r="F2090" s="9">
        <f t="shared" si="97"/>
        <v>2.494442613345953E-2</v>
      </c>
      <c r="G2090" s="9">
        <f t="shared" si="98"/>
        <v>1.2819129944980939E-2</v>
      </c>
    </row>
    <row r="2091" spans="1:7" x14ac:dyDescent="0.2">
      <c r="A2091" s="12">
        <v>40175</v>
      </c>
      <c r="B2091" s="9">
        <v>2016.05</v>
      </c>
      <c r="C2091" s="9">
        <v>2001.77</v>
      </c>
      <c r="D2091" s="9">
        <v>2006.84</v>
      </c>
      <c r="E2091" s="9">
        <f t="shared" si="96"/>
        <v>3.0442335329081017E-3</v>
      </c>
      <c r="F2091" s="9">
        <f t="shared" si="97"/>
        <v>2.1909147736032319E-2</v>
      </c>
      <c r="G2091" s="9">
        <f t="shared" si="98"/>
        <v>1.2788221993669288E-2</v>
      </c>
    </row>
    <row r="2092" spans="1:7" x14ac:dyDescent="0.2">
      <c r="A2092" s="12">
        <v>40176</v>
      </c>
      <c r="B2092" s="9">
        <v>2028.25</v>
      </c>
      <c r="C2092" s="9">
        <v>2005.47</v>
      </c>
      <c r="D2092" s="9">
        <v>2027.71</v>
      </c>
      <c r="E2092" s="9">
        <f t="shared" si="96"/>
        <v>1.0345731816397532E-2</v>
      </c>
      <c r="F2092" s="9">
        <f t="shared" si="97"/>
        <v>3.1587875115797408E-2</v>
      </c>
      <c r="G2092" s="9">
        <f t="shared" si="98"/>
        <v>1.2908096718939728E-2</v>
      </c>
    </row>
    <row r="2093" spans="1:7" x14ac:dyDescent="0.2">
      <c r="A2093" s="12">
        <v>40177</v>
      </c>
      <c r="B2093" s="9">
        <v>2042.26</v>
      </c>
      <c r="C2093" s="9">
        <v>2023.25</v>
      </c>
      <c r="D2093" s="9">
        <v>2032.59</v>
      </c>
      <c r="E2093" s="9">
        <f t="shared" si="96"/>
        <v>2.4037644261526024E-3</v>
      </c>
      <c r="F2093" s="9">
        <f t="shared" si="97"/>
        <v>1.406087375063542E-2</v>
      </c>
      <c r="G2093" s="9">
        <f t="shared" si="98"/>
        <v>1.2411288031518029E-2</v>
      </c>
    </row>
    <row r="2094" spans="1:7" x14ac:dyDescent="0.2">
      <c r="A2094" s="12">
        <v>40182</v>
      </c>
      <c r="B2094" s="9">
        <v>2078.69</v>
      </c>
      <c r="C2094" s="9">
        <v>2034.94</v>
      </c>
      <c r="D2094" s="9">
        <v>2078.69</v>
      </c>
      <c r="E2094" s="9">
        <f t="shared" si="96"/>
        <v>2.242704570645913E-2</v>
      </c>
      <c r="F2094" s="9">
        <f t="shared" si="97"/>
        <v>5.0349572314880686E-2</v>
      </c>
      <c r="G2094" s="9">
        <f t="shared" si="98"/>
        <v>1.2730734777422203E-2</v>
      </c>
    </row>
    <row r="2095" spans="1:7" x14ac:dyDescent="0.2">
      <c r="A2095" s="12">
        <v>40183</v>
      </c>
      <c r="B2095" s="9">
        <v>2092.48</v>
      </c>
      <c r="C2095" s="9">
        <v>2072.62</v>
      </c>
      <c r="D2095" s="9">
        <v>2084.56</v>
      </c>
      <c r="E2095" s="9">
        <f t="shared" si="96"/>
        <v>2.8199141967509404E-3</v>
      </c>
      <c r="F2095" s="9">
        <f t="shared" si="97"/>
        <v>4.0820795227118352E-2</v>
      </c>
      <c r="G2095" s="9">
        <f t="shared" si="98"/>
        <v>1.2573228868439076E-2</v>
      </c>
    </row>
    <row r="2096" spans="1:7" x14ac:dyDescent="0.2">
      <c r="A2096" s="12">
        <v>40185</v>
      </c>
      <c r="B2096" s="9">
        <v>2097.7399999999998</v>
      </c>
      <c r="C2096" s="9">
        <v>2069.31</v>
      </c>
      <c r="D2096" s="9">
        <v>2097.5300000000002</v>
      </c>
      <c r="E2096" s="9">
        <f t="shared" si="96"/>
        <v>6.2026601928067242E-3</v>
      </c>
      <c r="F2096" s="9">
        <f t="shared" si="97"/>
        <v>6.8249756288796939E-2</v>
      </c>
      <c r="G2096" s="9">
        <f t="shared" si="98"/>
        <v>1.1850637291715834E-2</v>
      </c>
    </row>
    <row r="2097" spans="1:7" x14ac:dyDescent="0.2">
      <c r="A2097" s="12">
        <v>40186</v>
      </c>
      <c r="B2097" s="9">
        <v>2114.7199999999998</v>
      </c>
      <c r="C2097" s="9">
        <v>2089.83</v>
      </c>
      <c r="D2097" s="9">
        <v>2108.11</v>
      </c>
      <c r="E2097" s="9">
        <f t="shared" si="96"/>
        <v>5.0313494825623218E-3</v>
      </c>
      <c r="F2097" s="9">
        <f t="shared" si="97"/>
        <v>7.5739270949788662E-2</v>
      </c>
      <c r="G2097" s="9">
        <f t="shared" si="98"/>
        <v>1.182635206665256E-2</v>
      </c>
    </row>
    <row r="2098" spans="1:7" x14ac:dyDescent="0.2">
      <c r="A2098" s="12">
        <v>40189</v>
      </c>
      <c r="B2098" s="9">
        <v>2126.7800000000002</v>
      </c>
      <c r="C2098" s="9">
        <v>2088.88</v>
      </c>
      <c r="D2098" s="9">
        <v>2090.7399999999998</v>
      </c>
      <c r="E2098" s="9">
        <f t="shared" si="96"/>
        <v>-8.2737411854200762E-3</v>
      </c>
      <c r="F2098" s="9">
        <f t="shared" si="97"/>
        <v>4.6402952978224811E-2</v>
      </c>
      <c r="G2098" s="9">
        <f t="shared" si="98"/>
        <v>1.1447448517438522E-2</v>
      </c>
    </row>
    <row r="2099" spans="1:7" x14ac:dyDescent="0.2">
      <c r="A2099" s="12">
        <v>40190</v>
      </c>
      <c r="B2099" s="9">
        <v>2099.11</v>
      </c>
      <c r="C2099" s="9">
        <v>2036.37</v>
      </c>
      <c r="D2099" s="9">
        <v>2050.2399999999998</v>
      </c>
      <c r="E2099" s="9">
        <f t="shared" si="96"/>
        <v>-1.9561210826922495E-2</v>
      </c>
      <c r="F2099" s="9">
        <f t="shared" si="97"/>
        <v>3.802663939142284E-2</v>
      </c>
      <c r="G2099" s="9">
        <f t="shared" si="98"/>
        <v>1.186328865942606E-2</v>
      </c>
    </row>
    <row r="2100" spans="1:7" x14ac:dyDescent="0.2">
      <c r="A2100" s="12">
        <v>40191</v>
      </c>
      <c r="B2100" s="9">
        <v>2073.96</v>
      </c>
      <c r="C2100" s="9">
        <v>2041.26</v>
      </c>
      <c r="D2100" s="9">
        <v>2061.91</v>
      </c>
      <c r="E2100" s="9">
        <f t="shared" si="96"/>
        <v>5.6758782289789986E-3</v>
      </c>
      <c r="F2100" s="9">
        <f t="shared" si="97"/>
        <v>4.464533529558623E-2</v>
      </c>
      <c r="G2100" s="9">
        <f t="shared" si="98"/>
        <v>1.1882293767080835E-2</v>
      </c>
    </row>
    <row r="2101" spans="1:7" x14ac:dyDescent="0.2">
      <c r="A2101" s="12">
        <v>40192</v>
      </c>
      <c r="B2101" s="9">
        <v>2088.92</v>
      </c>
      <c r="C2101" s="9">
        <v>2062.98</v>
      </c>
      <c r="D2101" s="9">
        <v>2077.44</v>
      </c>
      <c r="E2101" s="9">
        <f t="shared" si="96"/>
        <v>7.5036287664813402E-3</v>
      </c>
      <c r="F2101" s="9">
        <f t="shared" si="97"/>
        <v>8.6050865482810907E-2</v>
      </c>
      <c r="G2101" s="9">
        <f t="shared" si="98"/>
        <v>9.8629556404800037E-3</v>
      </c>
    </row>
    <row r="2102" spans="1:7" x14ac:dyDescent="0.2">
      <c r="A2102" s="12">
        <v>40193</v>
      </c>
      <c r="B2102" s="9">
        <v>2093.79</v>
      </c>
      <c r="C2102" s="9">
        <v>2055.5700000000002</v>
      </c>
      <c r="D2102" s="9">
        <v>2057.9499999999998</v>
      </c>
      <c r="E2102" s="9">
        <f t="shared" si="96"/>
        <v>-9.4260247797197157E-3</v>
      </c>
      <c r="F2102" s="9">
        <f t="shared" si="97"/>
        <v>6.1882123917170753E-2</v>
      </c>
      <c r="G2102" s="9">
        <f t="shared" si="98"/>
        <v>9.8466511774989995E-3</v>
      </c>
    </row>
    <row r="2103" spans="1:7" x14ac:dyDescent="0.2">
      <c r="A2103" s="12">
        <v>40196</v>
      </c>
      <c r="B2103" s="9">
        <v>2081.8000000000002</v>
      </c>
      <c r="C2103" s="9">
        <v>2057.41</v>
      </c>
      <c r="D2103" s="9">
        <v>2079.2399999999998</v>
      </c>
      <c r="E2103" s="9">
        <f t="shared" si="96"/>
        <v>1.0292100644358149E-2</v>
      </c>
      <c r="F2103" s="9">
        <f t="shared" si="97"/>
        <v>8.8502543158145278E-2</v>
      </c>
      <c r="G2103" s="9">
        <f t="shared" si="98"/>
        <v>9.3174096609542813E-3</v>
      </c>
    </row>
    <row r="2104" spans="1:7" x14ac:dyDescent="0.2">
      <c r="A2104" s="12">
        <v>40197</v>
      </c>
      <c r="B2104" s="9">
        <v>2090.2800000000002</v>
      </c>
      <c r="C2104" s="9">
        <v>2059.1</v>
      </c>
      <c r="D2104" s="9">
        <v>2087.33</v>
      </c>
      <c r="E2104" s="9">
        <f t="shared" si="96"/>
        <v>3.8832949723236667E-3</v>
      </c>
      <c r="F2104" s="9">
        <f t="shared" si="97"/>
        <v>6.9375182701489568E-2</v>
      </c>
      <c r="G2104" s="9">
        <f t="shared" si="98"/>
        <v>8.5174440674767975E-3</v>
      </c>
    </row>
    <row r="2105" spans="1:7" x14ac:dyDescent="0.2">
      <c r="A2105" s="12">
        <v>40198</v>
      </c>
      <c r="B2105" s="9">
        <v>2093.9</v>
      </c>
      <c r="C2105" s="9">
        <v>2059.64</v>
      </c>
      <c r="D2105" s="9">
        <v>2059.64</v>
      </c>
      <c r="E2105" s="9">
        <f t="shared" si="96"/>
        <v>-1.3354527052838915E-2</v>
      </c>
      <c r="F2105" s="9">
        <f t="shared" si="97"/>
        <v>5.0040921764614804E-2</v>
      </c>
      <c r="G2105" s="9">
        <f t="shared" si="98"/>
        <v>8.9508344106835405E-3</v>
      </c>
    </row>
    <row r="2106" spans="1:7" x14ac:dyDescent="0.2">
      <c r="A2106" s="12">
        <v>40199</v>
      </c>
      <c r="B2106" s="9">
        <v>2090.02</v>
      </c>
      <c r="C2106" s="9">
        <v>2051.23</v>
      </c>
      <c r="D2106" s="9">
        <v>2059.2399999999998</v>
      </c>
      <c r="E2106" s="9">
        <f t="shared" si="96"/>
        <v>-1.9422755761647567E-4</v>
      </c>
      <c r="F2106" s="9">
        <f t="shared" si="97"/>
        <v>5.3390285836199917E-2</v>
      </c>
      <c r="G2106" s="9">
        <f t="shared" si="98"/>
        <v>8.9043552300005682E-3</v>
      </c>
    </row>
    <row r="2107" spans="1:7" x14ac:dyDescent="0.2">
      <c r="A2107" s="12">
        <v>40200</v>
      </c>
      <c r="B2107" s="9">
        <v>2062.13</v>
      </c>
      <c r="C2107" s="9">
        <v>2023.82</v>
      </c>
      <c r="D2107" s="9">
        <v>2035.32</v>
      </c>
      <c r="E2107" s="9">
        <f t="shared" si="96"/>
        <v>-1.1683928000875927E-2</v>
      </c>
      <c r="F2107" s="9">
        <f t="shared" si="97"/>
        <v>3.6760051851812026E-2</v>
      </c>
      <c r="G2107" s="9">
        <f t="shared" si="98"/>
        <v>9.2127366684870374E-3</v>
      </c>
    </row>
    <row r="2108" spans="1:7" x14ac:dyDescent="0.2">
      <c r="A2108" s="12">
        <v>40203</v>
      </c>
      <c r="B2108" s="9">
        <v>2055.91</v>
      </c>
      <c r="C2108" s="9">
        <v>2024.81</v>
      </c>
      <c r="D2108" s="9">
        <v>2031.99</v>
      </c>
      <c r="E2108" s="9">
        <f t="shared" si="96"/>
        <v>-1.6374462453273451E-3</v>
      </c>
      <c r="F2108" s="9">
        <f t="shared" si="97"/>
        <v>3.7889113253606811E-2</v>
      </c>
      <c r="G2108" s="9">
        <f t="shared" si="98"/>
        <v>9.1981617479621382E-3</v>
      </c>
    </row>
    <row r="2109" spans="1:7" x14ac:dyDescent="0.2">
      <c r="A2109" s="12">
        <v>40204</v>
      </c>
      <c r="B2109" s="9">
        <v>2034.81</v>
      </c>
      <c r="C2109" s="9">
        <v>1997.96</v>
      </c>
      <c r="D2109" s="9">
        <v>2010.98</v>
      </c>
      <c r="E2109" s="9">
        <f t="shared" si="96"/>
        <v>-1.0393443004068692E-2</v>
      </c>
      <c r="F2109" s="9">
        <f t="shared" si="97"/>
        <v>3.6640627398469079E-2</v>
      </c>
      <c r="G2109" s="9">
        <f t="shared" si="98"/>
        <v>9.2495559393217467E-3</v>
      </c>
    </row>
    <row r="2110" spans="1:7" x14ac:dyDescent="0.2">
      <c r="A2110" s="12">
        <v>40205</v>
      </c>
      <c r="B2110" s="9">
        <v>2039.72</v>
      </c>
      <c r="C2110" s="9">
        <v>1991.42</v>
      </c>
      <c r="D2110" s="9">
        <v>2022.52</v>
      </c>
      <c r="E2110" s="9">
        <f t="shared" si="96"/>
        <v>5.7220932129465078E-3</v>
      </c>
      <c r="F2110" s="9">
        <f t="shared" si="97"/>
        <v>5.0442191544182356E-2</v>
      </c>
      <c r="G2110" s="9">
        <f t="shared" si="98"/>
        <v>9.1132267087263158E-3</v>
      </c>
    </row>
    <row r="2111" spans="1:7" x14ac:dyDescent="0.2">
      <c r="A2111" s="12">
        <v>40206</v>
      </c>
      <c r="B2111" s="9">
        <v>2083.5700000000002</v>
      </c>
      <c r="C2111" s="9">
        <v>2026.38</v>
      </c>
      <c r="D2111" s="9">
        <v>2034.91</v>
      </c>
      <c r="E2111" s="9">
        <f t="shared" si="96"/>
        <v>6.1073332191704851E-3</v>
      </c>
      <c r="F2111" s="9">
        <f t="shared" si="97"/>
        <v>4.8583542471526998E-2</v>
      </c>
      <c r="G2111" s="9">
        <f t="shared" si="98"/>
        <v>9.0752674735178653E-3</v>
      </c>
    </row>
    <row r="2112" spans="1:7" x14ac:dyDescent="0.2">
      <c r="A2112" s="12">
        <v>40207</v>
      </c>
      <c r="B2112" s="9">
        <v>2069.06</v>
      </c>
      <c r="C2112" s="9">
        <v>2035.17</v>
      </c>
      <c r="D2112" s="9">
        <v>2057.1799999999998</v>
      </c>
      <c r="E2112" s="9">
        <f t="shared" si="96"/>
        <v>1.0884521046865511E-2</v>
      </c>
      <c r="F2112" s="9">
        <f t="shared" si="97"/>
        <v>4.8202881982422084E-2</v>
      </c>
      <c r="G2112" s="9">
        <f t="shared" si="98"/>
        <v>9.0615719261251601E-3</v>
      </c>
    </row>
    <row r="2113" spans="1:7" x14ac:dyDescent="0.2">
      <c r="A2113" s="12">
        <v>40210</v>
      </c>
      <c r="B2113" s="9">
        <v>2087.44</v>
      </c>
      <c r="C2113" s="9">
        <v>2050.15</v>
      </c>
      <c r="D2113" s="9">
        <v>2082.0700000000002</v>
      </c>
      <c r="E2113" s="9">
        <f t="shared" si="96"/>
        <v>1.2026478226160426E-2</v>
      </c>
      <c r="F2113" s="9">
        <f t="shared" si="97"/>
        <v>5.8883581620504853E-2</v>
      </c>
      <c r="G2113" s="9">
        <f t="shared" si="98"/>
        <v>9.2586404518439653E-3</v>
      </c>
    </row>
    <row r="2114" spans="1:7" x14ac:dyDescent="0.2">
      <c r="A2114" s="12">
        <v>40211</v>
      </c>
      <c r="B2114" s="9">
        <v>2105.4299999999998</v>
      </c>
      <c r="C2114" s="9">
        <v>2081.86</v>
      </c>
      <c r="D2114" s="9">
        <v>2094.12</v>
      </c>
      <c r="E2114" s="9">
        <f t="shared" si="96"/>
        <v>5.770826251284996E-3</v>
      </c>
      <c r="F2114" s="9">
        <f t="shared" si="97"/>
        <v>6.6490009878117595E-2</v>
      </c>
      <c r="G2114" s="9">
        <f t="shared" si="98"/>
        <v>9.2551851153668905E-3</v>
      </c>
    </row>
    <row r="2115" spans="1:7" x14ac:dyDescent="0.2">
      <c r="A2115" s="12">
        <v>40212</v>
      </c>
      <c r="B2115" s="9">
        <v>2101.5700000000002</v>
      </c>
      <c r="C2115" s="9">
        <v>2084.75</v>
      </c>
      <c r="D2115" s="9">
        <v>2087.58</v>
      </c>
      <c r="E2115" s="9">
        <f t="shared" si="96"/>
        <v>-3.1279170347970528E-3</v>
      </c>
      <c r="F2115" s="9">
        <f t="shared" si="97"/>
        <v>5.9069005849882568E-2</v>
      </c>
      <c r="G2115" s="9">
        <f t="shared" si="98"/>
        <v>9.2968431704917621E-3</v>
      </c>
    </row>
    <row r="2116" spans="1:7" x14ac:dyDescent="0.2">
      <c r="A2116" s="12">
        <v>40213</v>
      </c>
      <c r="B2116" s="9">
        <v>2102.04</v>
      </c>
      <c r="C2116" s="9">
        <v>2043.33</v>
      </c>
      <c r="D2116" s="9">
        <v>2043.33</v>
      </c>
      <c r="E2116" s="9">
        <f t="shared" ref="E2116:E2179" si="99">LN(D2116/D2115)</f>
        <v>-2.1424670404536567E-2</v>
      </c>
      <c r="F2116" s="9">
        <f t="shared" si="97"/>
        <v>4.2585786872927689E-2</v>
      </c>
      <c r="G2116" s="9">
        <f t="shared" si="98"/>
        <v>1.0165796826671285E-2</v>
      </c>
    </row>
    <row r="2117" spans="1:7" x14ac:dyDescent="0.2">
      <c r="A2117" s="12">
        <v>40214</v>
      </c>
      <c r="B2117" s="9">
        <v>2044.33</v>
      </c>
      <c r="C2117" s="9">
        <v>1997.34</v>
      </c>
      <c r="D2117" s="9">
        <v>2001.93</v>
      </c>
      <c r="E2117" s="9">
        <f t="shared" si="99"/>
        <v>-2.0469114710536602E-2</v>
      </c>
      <c r="F2117" s="9">
        <f t="shared" si="97"/>
        <v>2.7154517777068229E-2</v>
      </c>
      <c r="G2117" s="9">
        <f t="shared" si="98"/>
        <v>1.0869820305442139E-2</v>
      </c>
    </row>
    <row r="2118" spans="1:7" x14ac:dyDescent="0.2">
      <c r="A2118" s="12">
        <v>40217</v>
      </c>
      <c r="B2118" s="9">
        <v>2019.76</v>
      </c>
      <c r="C2118" s="9">
        <v>1966.09</v>
      </c>
      <c r="D2118" s="9">
        <v>1982.94</v>
      </c>
      <c r="E2118" s="9">
        <f t="shared" si="99"/>
        <v>-9.5311233529533374E-3</v>
      </c>
      <c r="F2118" s="9">
        <f t="shared" si="97"/>
        <v>6.7094988863904779E-3</v>
      </c>
      <c r="G2118" s="9">
        <f t="shared" si="98"/>
        <v>1.0861581068541178E-2</v>
      </c>
    </row>
    <row r="2119" spans="1:7" x14ac:dyDescent="0.2">
      <c r="A2119" s="12">
        <v>40218</v>
      </c>
      <c r="B2119" s="9">
        <v>2007.35</v>
      </c>
      <c r="C2119" s="9">
        <v>1975.56</v>
      </c>
      <c r="D2119" s="9">
        <v>1996.87</v>
      </c>
      <c r="E2119" s="9">
        <f t="shared" si="99"/>
        <v>7.0003627744452115E-3</v>
      </c>
      <c r="F2119" s="9">
        <f t="shared" si="97"/>
        <v>-5.7073055057717346E-4</v>
      </c>
      <c r="G2119" s="9">
        <f t="shared" si="98"/>
        <v>1.0615219786588161E-2</v>
      </c>
    </row>
    <row r="2120" spans="1:7" x14ac:dyDescent="0.2">
      <c r="A2120" s="12">
        <v>40219</v>
      </c>
      <c r="B2120" s="9">
        <v>2019.55</v>
      </c>
      <c r="C2120" s="9">
        <v>1988.82</v>
      </c>
      <c r="D2120" s="9">
        <v>1997.52</v>
      </c>
      <c r="E2120" s="9">
        <f t="shared" si="99"/>
        <v>3.254564555476601E-4</v>
      </c>
      <c r="F2120" s="9">
        <f t="shared" si="97"/>
        <v>-1.610701003012684E-3</v>
      </c>
      <c r="G2120" s="9">
        <f t="shared" si="98"/>
        <v>1.0612240416160032E-2</v>
      </c>
    </row>
    <row r="2121" spans="1:7" x14ac:dyDescent="0.2">
      <c r="A2121" s="12">
        <v>40220</v>
      </c>
      <c r="B2121" s="9">
        <v>2034.17</v>
      </c>
      <c r="C2121" s="9">
        <v>1993.86</v>
      </c>
      <c r="D2121" s="9">
        <v>2010</v>
      </c>
      <c r="E2121" s="9">
        <f t="shared" si="99"/>
        <v>6.2283109471720343E-3</v>
      </c>
      <c r="F2121" s="9">
        <f t="shared" si="97"/>
        <v>1.5733764112512514E-3</v>
      </c>
      <c r="G2121" s="9">
        <f t="shared" si="98"/>
        <v>1.0660106446050132E-2</v>
      </c>
    </row>
    <row r="2122" spans="1:7" x14ac:dyDescent="0.2">
      <c r="A2122" s="12">
        <v>40221</v>
      </c>
      <c r="B2122" s="9">
        <v>2032.52</v>
      </c>
      <c r="C2122" s="9">
        <v>1982.4</v>
      </c>
      <c r="D2122" s="9">
        <v>1989.4</v>
      </c>
      <c r="E2122" s="9">
        <f t="shared" si="99"/>
        <v>-1.0301636334807813E-2</v>
      </c>
      <c r="F2122" s="9">
        <f t="shared" si="97"/>
        <v>-1.9073991739954051E-2</v>
      </c>
      <c r="G2122" s="9">
        <f t="shared" si="98"/>
        <v>1.0639132445452951E-2</v>
      </c>
    </row>
    <row r="2123" spans="1:7" x14ac:dyDescent="0.2">
      <c r="A2123" s="12">
        <v>40224</v>
      </c>
      <c r="B2123" s="9">
        <v>2003.97</v>
      </c>
      <c r="C2123" s="9">
        <v>1983.84</v>
      </c>
      <c r="D2123" s="9">
        <v>1988.93</v>
      </c>
      <c r="E2123" s="9">
        <f t="shared" si="99"/>
        <v>-2.3628004825471531E-4</v>
      </c>
      <c r="F2123" s="9">
        <f t="shared" si="97"/>
        <v>-2.1714036214361333E-2</v>
      </c>
      <c r="G2123" s="9">
        <f t="shared" si="98"/>
        <v>1.0624031598029816E-2</v>
      </c>
    </row>
    <row r="2124" spans="1:7" x14ac:dyDescent="0.2">
      <c r="A2124" s="12">
        <v>40225</v>
      </c>
      <c r="B2124" s="9">
        <v>2015.39</v>
      </c>
      <c r="C2124" s="9">
        <v>1990.4</v>
      </c>
      <c r="D2124" s="9">
        <v>2015.04</v>
      </c>
      <c r="E2124" s="9">
        <f t="shared" si="99"/>
        <v>1.3042240630318933E-2</v>
      </c>
      <c r="F2124" s="9">
        <f t="shared" si="97"/>
        <v>-3.1098841290501431E-2</v>
      </c>
      <c r="G2124" s="9">
        <f t="shared" si="98"/>
        <v>1.0041015456716502E-2</v>
      </c>
    </row>
    <row r="2125" spans="1:7" x14ac:dyDescent="0.2">
      <c r="A2125" s="12">
        <v>40226</v>
      </c>
      <c r="B2125" s="9">
        <v>2050.4899999999998</v>
      </c>
      <c r="C2125" s="9">
        <v>2026.88</v>
      </c>
      <c r="D2125" s="9">
        <v>2046.29</v>
      </c>
      <c r="E2125" s="9">
        <f t="shared" si="99"/>
        <v>1.538935114748159E-2</v>
      </c>
      <c r="F2125" s="9">
        <f t="shared" si="97"/>
        <v>-1.8529404339770687E-2</v>
      </c>
      <c r="G2125" s="9">
        <f t="shared" si="98"/>
        <v>1.0460947518901056E-2</v>
      </c>
    </row>
    <row r="2126" spans="1:7" x14ac:dyDescent="0.2">
      <c r="A2126" s="12">
        <v>40227</v>
      </c>
      <c r="B2126" s="9">
        <v>2061.71</v>
      </c>
      <c r="C2126" s="9">
        <v>2041.02</v>
      </c>
      <c r="D2126" s="9">
        <v>2061.5300000000002</v>
      </c>
      <c r="E2126" s="9">
        <f t="shared" si="99"/>
        <v>7.4200281035166809E-3</v>
      </c>
      <c r="F2126" s="9">
        <f t="shared" si="97"/>
        <v>-1.7312036429060752E-2</v>
      </c>
      <c r="G2126" s="9">
        <f t="shared" si="98"/>
        <v>1.0490635393335602E-2</v>
      </c>
    </row>
    <row r="2127" spans="1:7" x14ac:dyDescent="0.2">
      <c r="A2127" s="12">
        <v>40228</v>
      </c>
      <c r="B2127" s="9">
        <v>2065.2800000000002</v>
      </c>
      <c r="C2127" s="9">
        <v>2035.12</v>
      </c>
      <c r="D2127" s="9">
        <v>2064.13</v>
      </c>
      <c r="E2127" s="9">
        <f t="shared" si="99"/>
        <v>1.2604045627613127E-3</v>
      </c>
      <c r="F2127" s="9">
        <f t="shared" si="97"/>
        <v>-2.1082981348861753E-2</v>
      </c>
      <c r="G2127" s="9">
        <f t="shared" si="98"/>
        <v>1.0443604636869852E-2</v>
      </c>
    </row>
    <row r="2128" spans="1:7" x14ac:dyDescent="0.2">
      <c r="A2128" s="12">
        <v>40231</v>
      </c>
      <c r="B2128" s="9">
        <v>2087.7800000000002</v>
      </c>
      <c r="C2128" s="9">
        <v>2068.75</v>
      </c>
      <c r="D2128" s="9">
        <v>2076.39</v>
      </c>
      <c r="E2128" s="9">
        <f t="shared" si="99"/>
        <v>5.9219787995990411E-3</v>
      </c>
      <c r="F2128" s="9">
        <f t="shared" si="97"/>
        <v>-6.8872613638426396E-3</v>
      </c>
      <c r="G2128" s="9">
        <f t="shared" si="98"/>
        <v>1.0410286282472312E-2</v>
      </c>
    </row>
    <row r="2129" spans="1:7" x14ac:dyDescent="0.2">
      <c r="A2129" s="12">
        <v>40232</v>
      </c>
      <c r="B2129" s="9">
        <v>2100.1799999999998</v>
      </c>
      <c r="C2129" s="9">
        <v>2063.98</v>
      </c>
      <c r="D2129" s="9">
        <v>2065.23</v>
      </c>
      <c r="E2129" s="9">
        <f t="shared" si="99"/>
        <v>-5.3892085756327554E-3</v>
      </c>
      <c r="F2129" s="9">
        <f t="shared" si="97"/>
        <v>7.2847408874470382E-3</v>
      </c>
      <c r="G2129" s="9">
        <f t="shared" si="98"/>
        <v>9.8068635091177435E-3</v>
      </c>
    </row>
    <row r="2130" spans="1:7" x14ac:dyDescent="0.2">
      <c r="A2130" s="12">
        <v>40233</v>
      </c>
      <c r="B2130" s="9">
        <v>2081.15</v>
      </c>
      <c r="C2130" s="9">
        <v>2058.56</v>
      </c>
      <c r="D2130" s="9">
        <v>2074.75</v>
      </c>
      <c r="E2130" s="9">
        <f t="shared" si="99"/>
        <v>4.5990641404536278E-3</v>
      </c>
      <c r="F2130" s="9">
        <f t="shared" si="97"/>
        <v>6.2079267989217628E-3</v>
      </c>
      <c r="G2130" s="9">
        <f t="shared" si="98"/>
        <v>9.788245387410131E-3</v>
      </c>
    </row>
    <row r="2131" spans="1:7" x14ac:dyDescent="0.2">
      <c r="A2131" s="12">
        <v>40234</v>
      </c>
      <c r="B2131" s="9">
        <v>2082.21</v>
      </c>
      <c r="C2131" s="9">
        <v>2047.36</v>
      </c>
      <c r="D2131" s="9">
        <v>2049.65</v>
      </c>
      <c r="E2131" s="9">
        <f t="shared" si="99"/>
        <v>-1.2171617629737638E-2</v>
      </c>
      <c r="F2131" s="9">
        <f t="shared" si="97"/>
        <v>-1.3467319597297208E-2</v>
      </c>
      <c r="G2131" s="9">
        <f t="shared" si="98"/>
        <v>9.9404528877956415E-3</v>
      </c>
    </row>
    <row r="2132" spans="1:7" x14ac:dyDescent="0.2">
      <c r="A2132" s="12">
        <v>40235</v>
      </c>
      <c r="B2132" s="9">
        <v>2072.9</v>
      </c>
      <c r="C2132" s="9">
        <v>2053.08</v>
      </c>
      <c r="D2132" s="9">
        <v>2071.79</v>
      </c>
      <c r="E2132" s="9">
        <f t="shared" si="99"/>
        <v>1.0743921042807171E-2</v>
      </c>
      <c r="F2132" s="9">
        <f t="shared" si="97"/>
        <v>6.7026262252297174E-3</v>
      </c>
      <c r="G2132" s="9">
        <f t="shared" si="98"/>
        <v>9.9943009927444277E-3</v>
      </c>
    </row>
    <row r="2133" spans="1:7" x14ac:dyDescent="0.2">
      <c r="A2133" s="12">
        <v>40238</v>
      </c>
      <c r="B2133" s="9">
        <v>2108.41</v>
      </c>
      <c r="C2133" s="9">
        <v>2083.13</v>
      </c>
      <c r="D2133" s="9">
        <v>2108.39</v>
      </c>
      <c r="E2133" s="9">
        <f t="shared" si="99"/>
        <v>1.7511655145147118E-2</v>
      </c>
      <c r="F2133" s="9">
        <f t="shared" si="97"/>
        <v>1.3922180726018737E-2</v>
      </c>
      <c r="G2133" s="9">
        <f t="shared" si="98"/>
        <v>1.0326502313115804E-2</v>
      </c>
    </row>
    <row r="2134" spans="1:7" x14ac:dyDescent="0.2">
      <c r="A2134" s="12">
        <v>40239</v>
      </c>
      <c r="B2134" s="9">
        <v>2122.7399999999998</v>
      </c>
      <c r="C2134" s="9">
        <v>2097.39</v>
      </c>
      <c r="D2134" s="9">
        <v>2122.1999999999998</v>
      </c>
      <c r="E2134" s="9">
        <f t="shared" si="99"/>
        <v>6.528663402715712E-3</v>
      </c>
      <c r="F2134" s="9">
        <f t="shared" si="97"/>
        <v>1.6567549156410656E-2</v>
      </c>
      <c r="G2134" s="9">
        <f t="shared" si="98"/>
        <v>1.0367917631425368E-2</v>
      </c>
    </row>
    <row r="2135" spans="1:7" x14ac:dyDescent="0.2">
      <c r="A2135" s="12">
        <v>40240</v>
      </c>
      <c r="B2135" s="9">
        <v>2150.94</v>
      </c>
      <c r="C2135" s="9">
        <v>2116.04</v>
      </c>
      <c r="D2135" s="9">
        <v>2150.2600000000002</v>
      </c>
      <c r="E2135" s="9">
        <f t="shared" si="99"/>
        <v>1.3135478603305759E-2</v>
      </c>
      <c r="F2135" s="9">
        <f t="shared" si="97"/>
        <v>4.3057554812555361E-2</v>
      </c>
      <c r="G2135" s="9">
        <f t="shared" si="98"/>
        <v>1.0270255329793332E-2</v>
      </c>
    </row>
    <row r="2136" spans="1:7" x14ac:dyDescent="0.2">
      <c r="A2136" s="12">
        <v>40241</v>
      </c>
      <c r="B2136" s="9">
        <v>2164.42</v>
      </c>
      <c r="C2136" s="9">
        <v>2136.75</v>
      </c>
      <c r="D2136" s="9">
        <v>2157.21</v>
      </c>
      <c r="E2136" s="9">
        <f t="shared" si="99"/>
        <v>3.2269550483228727E-3</v>
      </c>
      <c r="F2136" s="9">
        <f t="shared" si="97"/>
        <v>4.6478737418494648E-2</v>
      </c>
      <c r="G2136" s="9">
        <f t="shared" si="98"/>
        <v>1.0270532067139959E-2</v>
      </c>
    </row>
    <row r="2137" spans="1:7" x14ac:dyDescent="0.2">
      <c r="A2137" s="12">
        <v>40242</v>
      </c>
      <c r="B2137" s="9">
        <v>2175.33</v>
      </c>
      <c r="C2137" s="9">
        <v>2151.36</v>
      </c>
      <c r="D2137" s="9">
        <v>2171.35</v>
      </c>
      <c r="E2137" s="9">
        <f t="shared" si="99"/>
        <v>6.5333738227453452E-3</v>
      </c>
      <c r="F2137" s="9">
        <f t="shared" si="97"/>
        <v>6.4696039242115824E-2</v>
      </c>
      <c r="G2137" s="9">
        <f t="shared" si="98"/>
        <v>9.9960193638999779E-3</v>
      </c>
    </row>
    <row r="2138" spans="1:7" x14ac:dyDescent="0.2">
      <c r="A2138" s="12">
        <v>40245</v>
      </c>
      <c r="B2138" s="9">
        <v>2191.44</v>
      </c>
      <c r="C2138" s="9">
        <v>2176.31</v>
      </c>
      <c r="D2138" s="9">
        <v>2186.33</v>
      </c>
      <c r="E2138" s="9">
        <f t="shared" si="99"/>
        <v>6.8752450879439727E-3</v>
      </c>
      <c r="F2138" s="9">
        <f t="shared" si="97"/>
        <v>7.3208730575387085E-2</v>
      </c>
      <c r="G2138" s="9">
        <f t="shared" si="98"/>
        <v>1.0005426281966288E-2</v>
      </c>
    </row>
    <row r="2139" spans="1:7" x14ac:dyDescent="0.2">
      <c r="A2139" s="12">
        <v>40246</v>
      </c>
      <c r="B2139" s="9">
        <v>2198.65</v>
      </c>
      <c r="C2139" s="9">
        <v>2170.54</v>
      </c>
      <c r="D2139" s="9">
        <v>2188.09</v>
      </c>
      <c r="E2139" s="9">
        <f t="shared" si="99"/>
        <v>8.0467814931715551E-4</v>
      </c>
      <c r="F2139" s="9">
        <f t="shared" si="97"/>
        <v>8.4406851728772825E-2</v>
      </c>
      <c r="G2139" s="9">
        <f t="shared" si="98"/>
        <v>9.7147926084554283E-3</v>
      </c>
    </row>
    <row r="2140" spans="1:7" x14ac:dyDescent="0.2">
      <c r="A2140" s="12">
        <v>40247</v>
      </c>
      <c r="B2140" s="9">
        <v>2209.77</v>
      </c>
      <c r="C2140" s="9">
        <v>2183.73</v>
      </c>
      <c r="D2140" s="9">
        <v>2209.73</v>
      </c>
      <c r="E2140" s="9">
        <f t="shared" si="99"/>
        <v>9.8413189513723957E-3</v>
      </c>
      <c r="F2140" s="9">
        <f t="shared" si="97"/>
        <v>8.8526077467198677E-2</v>
      </c>
      <c r="G2140" s="9">
        <f t="shared" si="98"/>
        <v>9.7861670191363315E-3</v>
      </c>
    </row>
    <row r="2141" spans="1:7" x14ac:dyDescent="0.2">
      <c r="A2141" s="12">
        <v>40248</v>
      </c>
      <c r="B2141" s="9">
        <v>2206.96</v>
      </c>
      <c r="C2141" s="9">
        <v>2187.65</v>
      </c>
      <c r="D2141" s="9">
        <v>2195.14</v>
      </c>
      <c r="E2141" s="9">
        <f t="shared" si="99"/>
        <v>-6.6245103059829101E-3</v>
      </c>
      <c r="F2141" s="9">
        <f t="shared" si="97"/>
        <v>7.5794233942045153E-2</v>
      </c>
      <c r="G2141" s="9">
        <f t="shared" si="98"/>
        <v>9.9197194476911797E-3</v>
      </c>
    </row>
    <row r="2142" spans="1:7" x14ac:dyDescent="0.2">
      <c r="A2142" s="12">
        <v>40249</v>
      </c>
      <c r="B2142" s="9">
        <v>2248.96</v>
      </c>
      <c r="C2142" s="9">
        <v>2198.77</v>
      </c>
      <c r="D2142" s="9">
        <v>2238.46</v>
      </c>
      <c r="E2142" s="9">
        <f t="shared" si="99"/>
        <v>1.9542303616073325E-2</v>
      </c>
      <c r="F2142" s="9">
        <f t="shared" si="97"/>
        <v>8.4452016511253031E-2</v>
      </c>
      <c r="G2142" s="9">
        <f t="shared" si="98"/>
        <v>1.0290281838980871E-2</v>
      </c>
    </row>
    <row r="2143" spans="1:7" x14ac:dyDescent="0.2">
      <c r="A2143" s="12">
        <v>40252</v>
      </c>
      <c r="B2143" s="9">
        <v>2240.6799999999998</v>
      </c>
      <c r="C2143" s="9">
        <v>2219.38</v>
      </c>
      <c r="D2143" s="9">
        <v>2221.86</v>
      </c>
      <c r="E2143" s="9">
        <f t="shared" si="99"/>
        <v>-7.4434464986225983E-3</v>
      </c>
      <c r="F2143" s="9">
        <f t="shared" si="97"/>
        <v>6.4982091786469881E-2</v>
      </c>
      <c r="G2143" s="9">
        <f t="shared" si="98"/>
        <v>1.030326059543645E-2</v>
      </c>
    </row>
    <row r="2144" spans="1:7" x14ac:dyDescent="0.2">
      <c r="A2144" s="12">
        <v>40253</v>
      </c>
      <c r="B2144" s="9">
        <v>2247.39</v>
      </c>
      <c r="C2144" s="9">
        <v>2227.9299999999998</v>
      </c>
      <c r="D2144" s="9">
        <v>2244.87</v>
      </c>
      <c r="E2144" s="9">
        <f t="shared" si="99"/>
        <v>1.0302930126948516E-2</v>
      </c>
      <c r="F2144" s="9">
        <f t="shared" si="97"/>
        <v>6.951419566213346E-2</v>
      </c>
      <c r="G2144" s="9">
        <f t="shared" si="98"/>
        <v>1.0390791264690565E-2</v>
      </c>
    </row>
    <row r="2145" spans="1:7" x14ac:dyDescent="0.2">
      <c r="A2145" s="12">
        <v>40254</v>
      </c>
      <c r="B2145" s="9">
        <v>2264.7600000000002</v>
      </c>
      <c r="C2145" s="9">
        <v>2253.7399999999998</v>
      </c>
      <c r="D2145" s="9">
        <v>2258.9499999999998</v>
      </c>
      <c r="E2145" s="9">
        <f t="shared" si="99"/>
        <v>6.2524904946636836E-3</v>
      </c>
      <c r="F2145" s="9">
        <f t="shared" ref="F2145:F2208" si="100">LN(D2145/D2115)</f>
        <v>7.8894603191594248E-2</v>
      </c>
      <c r="G2145" s="9">
        <f t="shared" ref="G2145:G2208" si="101">STDEV(E2116:E2145)</f>
        <v>1.0362387259934085E-2</v>
      </c>
    </row>
    <row r="2146" spans="1:7" x14ac:dyDescent="0.2">
      <c r="A2146" s="12">
        <v>40255</v>
      </c>
      <c r="B2146" s="9">
        <v>2259.09</v>
      </c>
      <c r="C2146" s="9">
        <v>2235.65</v>
      </c>
      <c r="D2146" s="9">
        <v>2240.2199999999998</v>
      </c>
      <c r="E2146" s="9">
        <f t="shared" si="99"/>
        <v>-8.3260282234846258E-3</v>
      </c>
      <c r="F2146" s="9">
        <f t="shared" si="100"/>
        <v>9.1993245372646165E-2</v>
      </c>
      <c r="G2146" s="9">
        <f t="shared" si="101"/>
        <v>9.5586861983933246E-3</v>
      </c>
    </row>
    <row r="2147" spans="1:7" x14ac:dyDescent="0.2">
      <c r="A2147" s="12">
        <v>40256</v>
      </c>
      <c r="B2147" s="9">
        <v>2253.7199999999998</v>
      </c>
      <c r="C2147" s="9">
        <v>2211.1799999999998</v>
      </c>
      <c r="D2147" s="9">
        <v>2213.96</v>
      </c>
      <c r="E2147" s="9">
        <f t="shared" si="99"/>
        <v>-1.1791308054052877E-2</v>
      </c>
      <c r="F2147" s="9">
        <f t="shared" si="100"/>
        <v>0.10067105202912982</v>
      </c>
      <c r="G2147" s="9">
        <f t="shared" si="101"/>
        <v>8.9327104133192295E-3</v>
      </c>
    </row>
    <row r="2148" spans="1:7" x14ac:dyDescent="0.2">
      <c r="A2148" s="12">
        <v>40259</v>
      </c>
      <c r="B2148" s="9">
        <v>2234.9299999999998</v>
      </c>
      <c r="C2148" s="9">
        <v>2193.9299999999998</v>
      </c>
      <c r="D2148" s="9">
        <v>2234.9299999999998</v>
      </c>
      <c r="E2148" s="9">
        <f t="shared" si="99"/>
        <v>9.4271403886364499E-3</v>
      </c>
      <c r="F2148" s="9">
        <f t="shared" si="100"/>
        <v>0.11962931577071946</v>
      </c>
      <c r="G2148" s="9">
        <f t="shared" si="101"/>
        <v>8.6559083380646183E-3</v>
      </c>
    </row>
    <row r="2149" spans="1:7" x14ac:dyDescent="0.2">
      <c r="A2149" s="12">
        <v>40260</v>
      </c>
      <c r="B2149" s="9">
        <v>2249.9499999999998</v>
      </c>
      <c r="C2149" s="9">
        <v>2231.5700000000002</v>
      </c>
      <c r="D2149" s="9">
        <v>2246.81</v>
      </c>
      <c r="E2149" s="9">
        <f t="shared" si="99"/>
        <v>5.3015247761318204E-3</v>
      </c>
      <c r="F2149" s="9">
        <f t="shared" si="100"/>
        <v>0.11793047777240594</v>
      </c>
      <c r="G2149" s="9">
        <f t="shared" si="101"/>
        <v>8.6410634156963827E-3</v>
      </c>
    </row>
    <row r="2150" spans="1:7" x14ac:dyDescent="0.2">
      <c r="A2150" s="12">
        <v>40261</v>
      </c>
      <c r="B2150" s="9">
        <v>2263.12</v>
      </c>
      <c r="C2150" s="9">
        <v>2230.9899999999998</v>
      </c>
      <c r="D2150" s="9">
        <v>2247.34</v>
      </c>
      <c r="E2150" s="9">
        <f t="shared" si="99"/>
        <v>2.3586217747828997E-4</v>
      </c>
      <c r="F2150" s="9">
        <f t="shared" si="100"/>
        <v>0.11784088349433672</v>
      </c>
      <c r="G2150" s="9">
        <f t="shared" si="101"/>
        <v>8.6423679031480613E-3</v>
      </c>
    </row>
    <row r="2151" spans="1:7" x14ac:dyDescent="0.2">
      <c r="A2151" s="12">
        <v>40262</v>
      </c>
      <c r="B2151" s="9">
        <v>2282.81</v>
      </c>
      <c r="C2151" s="9">
        <v>2245.02</v>
      </c>
      <c r="D2151" s="9">
        <v>2280.4299999999998</v>
      </c>
      <c r="E2151" s="9">
        <f t="shared" si="99"/>
        <v>1.4616727057345891E-2</v>
      </c>
      <c r="F2151" s="9">
        <f t="shared" si="100"/>
        <v>0.12622929960451049</v>
      </c>
      <c r="G2151" s="9">
        <f t="shared" si="101"/>
        <v>8.8525013225586695E-3</v>
      </c>
    </row>
    <row r="2152" spans="1:7" x14ac:dyDescent="0.2">
      <c r="A2152" s="12">
        <v>40263</v>
      </c>
      <c r="B2152" s="9">
        <v>2279.6799999999998</v>
      </c>
      <c r="C2152" s="9">
        <v>2264.23</v>
      </c>
      <c r="D2152" s="9">
        <v>2275.33</v>
      </c>
      <c r="E2152" s="9">
        <f t="shared" si="99"/>
        <v>-2.238924846977553E-3</v>
      </c>
      <c r="F2152" s="9">
        <f t="shared" si="100"/>
        <v>0.13429201109234085</v>
      </c>
      <c r="G2152" s="9">
        <f t="shared" si="101"/>
        <v>8.5126857563157105E-3</v>
      </c>
    </row>
    <row r="2153" spans="1:7" x14ac:dyDescent="0.2">
      <c r="A2153" s="12">
        <v>40266</v>
      </c>
      <c r="B2153" s="9">
        <v>2291.7600000000002</v>
      </c>
      <c r="C2153" s="9">
        <v>2255.86</v>
      </c>
      <c r="D2153" s="9">
        <v>2263.44</v>
      </c>
      <c r="E2153" s="9">
        <f t="shared" si="99"/>
        <v>-5.2393169069153605E-3</v>
      </c>
      <c r="F2153" s="9">
        <f t="shared" si="100"/>
        <v>0.12928897423368024</v>
      </c>
      <c r="G2153" s="9">
        <f t="shared" si="101"/>
        <v>8.6559929495526617E-3</v>
      </c>
    </row>
    <row r="2154" spans="1:7" x14ac:dyDescent="0.2">
      <c r="A2154" s="12">
        <v>40267</v>
      </c>
      <c r="B2154" s="9">
        <v>2274.89</v>
      </c>
      <c r="C2154" s="9">
        <v>2246.2600000000002</v>
      </c>
      <c r="D2154" s="9">
        <v>2247.92</v>
      </c>
      <c r="E2154" s="9">
        <f t="shared" si="99"/>
        <v>-6.880435712008459E-3</v>
      </c>
      <c r="F2154" s="9">
        <f t="shared" si="100"/>
        <v>0.10936629789135278</v>
      </c>
      <c r="G2154" s="9">
        <f t="shared" si="101"/>
        <v>8.7268688359788075E-3</v>
      </c>
    </row>
    <row r="2155" spans="1:7" x14ac:dyDescent="0.2">
      <c r="A2155" s="12">
        <v>40268</v>
      </c>
      <c r="B2155" s="9">
        <v>2255.63</v>
      </c>
      <c r="C2155" s="9">
        <v>2234.8200000000002</v>
      </c>
      <c r="D2155" s="9">
        <v>2246.04</v>
      </c>
      <c r="E2155" s="9">
        <f t="shared" si="99"/>
        <v>-8.3667861292564794E-4</v>
      </c>
      <c r="F2155" s="9">
        <f t="shared" si="100"/>
        <v>9.3140268130945419E-2</v>
      </c>
      <c r="G2155" s="9">
        <f t="shared" si="101"/>
        <v>8.4730528336311815E-3</v>
      </c>
    </row>
    <row r="2156" spans="1:7" x14ac:dyDescent="0.2">
      <c r="A2156" s="12">
        <v>40269</v>
      </c>
      <c r="B2156" s="9">
        <v>2282.56</v>
      </c>
      <c r="C2156" s="9">
        <v>2252.9499999999998</v>
      </c>
      <c r="D2156" s="9">
        <v>2281.56</v>
      </c>
      <c r="E2156" s="9">
        <f t="shared" si="99"/>
        <v>1.5690753930690068E-2</v>
      </c>
      <c r="F2156" s="9">
        <f t="shared" si="100"/>
        <v>0.10141099395811895</v>
      </c>
      <c r="G2156" s="9">
        <f t="shared" si="101"/>
        <v>8.748385155902625E-3</v>
      </c>
    </row>
    <row r="2157" spans="1:7" x14ac:dyDescent="0.2">
      <c r="A2157" s="12">
        <v>40274</v>
      </c>
      <c r="B2157" s="9">
        <v>2307.67</v>
      </c>
      <c r="C2157" s="9">
        <v>2285.2199999999998</v>
      </c>
      <c r="D2157" s="9">
        <v>2296.92</v>
      </c>
      <c r="E2157" s="9">
        <f t="shared" si="99"/>
        <v>6.7096755365237256E-3</v>
      </c>
      <c r="F2157" s="9">
        <f t="shared" si="100"/>
        <v>0.10686026493188129</v>
      </c>
      <c r="G2157" s="9">
        <f t="shared" si="101"/>
        <v>8.7594151989431775E-3</v>
      </c>
    </row>
    <row r="2158" spans="1:7" x14ac:dyDescent="0.2">
      <c r="A2158" s="12">
        <v>40275</v>
      </c>
      <c r="B2158" s="9">
        <v>2308.11</v>
      </c>
      <c r="C2158" s="9">
        <v>2293.9</v>
      </c>
      <c r="D2158" s="9">
        <v>2297.87</v>
      </c>
      <c r="E2158" s="9">
        <f t="shared" si="99"/>
        <v>4.1351183124228988E-4</v>
      </c>
      <c r="F2158" s="9">
        <f t="shared" si="100"/>
        <v>0.10135179796352445</v>
      </c>
      <c r="G2158" s="9">
        <f t="shared" si="101"/>
        <v>8.7659714708880256E-3</v>
      </c>
    </row>
    <row r="2159" spans="1:7" x14ac:dyDescent="0.2">
      <c r="A2159" s="12">
        <v>40276</v>
      </c>
      <c r="B2159" s="9">
        <v>2283.84</v>
      </c>
      <c r="C2159" s="9">
        <v>2253.91</v>
      </c>
      <c r="D2159" s="9">
        <v>2266.96</v>
      </c>
      <c r="E2159" s="9">
        <f t="shared" si="99"/>
        <v>-1.3542879989446715E-2</v>
      </c>
      <c r="F2159" s="9">
        <f t="shared" si="100"/>
        <v>9.3198126549710367E-2</v>
      </c>
      <c r="G2159" s="9">
        <f t="shared" si="101"/>
        <v>9.1645267894526275E-3</v>
      </c>
    </row>
    <row r="2160" spans="1:7" x14ac:dyDescent="0.2">
      <c r="A2160" s="12">
        <v>40277</v>
      </c>
      <c r="B2160" s="9">
        <v>2284.9499999999998</v>
      </c>
      <c r="C2160" s="9">
        <v>2271.71</v>
      </c>
      <c r="D2160" s="9">
        <v>2278.0500000000002</v>
      </c>
      <c r="E2160" s="9">
        <f t="shared" si="99"/>
        <v>4.8800869565745831E-3</v>
      </c>
      <c r="F2160" s="9">
        <f t="shared" si="100"/>
        <v>9.3479149365831349E-2</v>
      </c>
      <c r="G2160" s="9">
        <f t="shared" si="101"/>
        <v>9.1662483562142041E-3</v>
      </c>
    </row>
    <row r="2161" spans="1:7" x14ac:dyDescent="0.2">
      <c r="A2161" s="12">
        <v>40280</v>
      </c>
      <c r="B2161" s="9">
        <v>2290.9899999999998</v>
      </c>
      <c r="C2161" s="9">
        <v>2275.9499999999998</v>
      </c>
      <c r="D2161" s="9">
        <v>2281.54</v>
      </c>
      <c r="E2161" s="9">
        <f t="shared" si="99"/>
        <v>1.5308396946037757E-3</v>
      </c>
      <c r="F2161" s="9">
        <f t="shared" si="100"/>
        <v>0.10718160669017264</v>
      </c>
      <c r="G2161" s="9">
        <f t="shared" si="101"/>
        <v>8.7081547957745618E-3</v>
      </c>
    </row>
    <row r="2162" spans="1:7" x14ac:dyDescent="0.2">
      <c r="A2162" s="12">
        <v>40281</v>
      </c>
      <c r="B2162" s="9">
        <v>2287.8200000000002</v>
      </c>
      <c r="C2162" s="9">
        <v>2268.4</v>
      </c>
      <c r="D2162" s="9">
        <v>2277.17</v>
      </c>
      <c r="E2162" s="9">
        <f t="shared" si="99"/>
        <v>-1.9172096222680121E-3</v>
      </c>
      <c r="F2162" s="9">
        <f t="shared" si="100"/>
        <v>9.45204760250975E-2</v>
      </c>
      <c r="G2162" s="9">
        <f t="shared" si="101"/>
        <v>8.6552686220035639E-3</v>
      </c>
    </row>
    <row r="2163" spans="1:7" x14ac:dyDescent="0.2">
      <c r="A2163" s="12">
        <v>40282</v>
      </c>
      <c r="B2163" s="9">
        <v>2290.52</v>
      </c>
      <c r="C2163" s="9">
        <v>2270.3000000000002</v>
      </c>
      <c r="D2163" s="9">
        <v>2283.17</v>
      </c>
      <c r="E2163" s="9">
        <f t="shared" si="99"/>
        <v>2.6313842661254013E-3</v>
      </c>
      <c r="F2163" s="9">
        <f t="shared" si="100"/>
        <v>7.9640205146075643E-2</v>
      </c>
      <c r="G2163" s="9">
        <f t="shared" si="101"/>
        <v>8.2192959684569064E-3</v>
      </c>
    </row>
    <row r="2164" spans="1:7" x14ac:dyDescent="0.2">
      <c r="A2164" s="12">
        <v>40283</v>
      </c>
      <c r="B2164" s="9">
        <v>2298.89</v>
      </c>
      <c r="C2164" s="9">
        <v>2272.6799999999998</v>
      </c>
      <c r="D2164" s="9">
        <v>2284.6</v>
      </c>
      <c r="E2164" s="9">
        <f t="shared" si="99"/>
        <v>6.2612611699675426E-4</v>
      </c>
      <c r="F2164" s="9">
        <f t="shared" si="100"/>
        <v>7.3737667860356806E-2</v>
      </c>
      <c r="G2164" s="9">
        <f t="shared" si="101"/>
        <v>8.1939713657199556E-3</v>
      </c>
    </row>
    <row r="2165" spans="1:7" x14ac:dyDescent="0.2">
      <c r="A2165" s="12">
        <v>40284</v>
      </c>
      <c r="B2165" s="9">
        <v>2285.79</v>
      </c>
      <c r="C2165" s="9">
        <v>2243.34</v>
      </c>
      <c r="D2165" s="9">
        <v>2244.54</v>
      </c>
      <c r="E2165" s="9">
        <f t="shared" si="99"/>
        <v>-1.7690353895602216E-2</v>
      </c>
      <c r="F2165" s="9">
        <f t="shared" si="100"/>
        <v>4.2911835361448873E-2</v>
      </c>
      <c r="G2165" s="9">
        <f t="shared" si="101"/>
        <v>8.7244449678584683E-3</v>
      </c>
    </row>
    <row r="2166" spans="1:7" x14ac:dyDescent="0.2">
      <c r="A2166" s="12">
        <v>40287</v>
      </c>
      <c r="B2166" s="9">
        <v>2245.54</v>
      </c>
      <c r="C2166" s="9">
        <v>2216.17</v>
      </c>
      <c r="D2166" s="9">
        <v>2233.66</v>
      </c>
      <c r="E2166" s="9">
        <f t="shared" si="99"/>
        <v>-4.8591047327973353E-3</v>
      </c>
      <c r="F2166" s="9">
        <f t="shared" si="100"/>
        <v>3.4825775580328719E-2</v>
      </c>
      <c r="G2166" s="9">
        <f t="shared" si="101"/>
        <v>8.7916750437058554E-3</v>
      </c>
    </row>
    <row r="2167" spans="1:7" x14ac:dyDescent="0.2">
      <c r="A2167" s="12">
        <v>40288</v>
      </c>
      <c r="B2167" s="9">
        <v>2291.9899999999998</v>
      </c>
      <c r="C2167" s="9">
        <v>2250.69</v>
      </c>
      <c r="D2167" s="9">
        <v>2286.91</v>
      </c>
      <c r="E2167" s="9">
        <f t="shared" si="99"/>
        <v>2.3560065712975756E-2</v>
      </c>
      <c r="F2167" s="9">
        <f t="shared" si="100"/>
        <v>5.1852467470559126E-2</v>
      </c>
      <c r="G2167" s="9">
        <f t="shared" si="101"/>
        <v>9.6574250222916467E-3</v>
      </c>
    </row>
    <row r="2168" spans="1:7" x14ac:dyDescent="0.2">
      <c r="A2168" s="12">
        <v>40289</v>
      </c>
      <c r="B2168" s="9">
        <v>2290.62</v>
      </c>
      <c r="C2168" s="9">
        <v>2265.75</v>
      </c>
      <c r="D2168" s="9">
        <v>2267.23</v>
      </c>
      <c r="E2168" s="9">
        <f t="shared" si="99"/>
        <v>-8.642739354887994E-3</v>
      </c>
      <c r="F2168" s="9">
        <f t="shared" si="100"/>
        <v>3.6334483027727266E-2</v>
      </c>
      <c r="G2168" s="9">
        <f t="shared" si="101"/>
        <v>9.7869616934946734E-3</v>
      </c>
    </row>
    <row r="2169" spans="1:7" x14ac:dyDescent="0.2">
      <c r="A2169" s="12">
        <v>40290</v>
      </c>
      <c r="B2169" s="9">
        <v>2297.13</v>
      </c>
      <c r="C2169" s="9">
        <v>2212.86</v>
      </c>
      <c r="D2169" s="9">
        <v>2225.44</v>
      </c>
      <c r="E2169" s="9">
        <f t="shared" si="99"/>
        <v>-1.860417317071484E-2</v>
      </c>
      <c r="F2169" s="9">
        <f t="shared" si="100"/>
        <v>1.6925631707695302E-2</v>
      </c>
      <c r="G2169" s="9">
        <f t="shared" si="101"/>
        <v>1.0434820626797268E-2</v>
      </c>
    </row>
    <row r="2170" spans="1:7" x14ac:dyDescent="0.2">
      <c r="A2170" s="12">
        <v>40291</v>
      </c>
      <c r="B2170" s="9">
        <v>2254.8200000000002</v>
      </c>
      <c r="C2170" s="9">
        <v>2218.17</v>
      </c>
      <c r="D2170" s="9">
        <v>2250.92</v>
      </c>
      <c r="E2170" s="9">
        <f t="shared" si="99"/>
        <v>1.1384372656253429E-2</v>
      </c>
      <c r="F2170" s="9">
        <f t="shared" si="100"/>
        <v>1.8468685412576374E-2</v>
      </c>
      <c r="G2170" s="9">
        <f t="shared" si="101"/>
        <v>1.0485804583095693E-2</v>
      </c>
    </row>
    <row r="2171" spans="1:7" x14ac:dyDescent="0.2">
      <c r="A2171" s="12">
        <v>40294</v>
      </c>
      <c r="B2171" s="9">
        <v>2281.94</v>
      </c>
      <c r="C2171" s="9">
        <v>2260.67</v>
      </c>
      <c r="D2171" s="9">
        <v>2274.4699999999998</v>
      </c>
      <c r="E2171" s="9">
        <f t="shared" si="99"/>
        <v>1.0408036695975599E-2</v>
      </c>
      <c r="F2171" s="9">
        <f t="shared" si="100"/>
        <v>3.5501232414534858E-2</v>
      </c>
      <c r="G2171" s="9">
        <f t="shared" si="101"/>
        <v>1.0541236629279109E-2</v>
      </c>
    </row>
    <row r="2172" spans="1:7" x14ac:dyDescent="0.2">
      <c r="A2172" s="12">
        <v>40295</v>
      </c>
      <c r="B2172" s="9">
        <v>2274.6</v>
      </c>
      <c r="C2172" s="9">
        <v>2203.27</v>
      </c>
      <c r="D2172" s="9">
        <v>2203.27</v>
      </c>
      <c r="E2172" s="9">
        <f t="shared" si="99"/>
        <v>-3.1804437773330509E-2</v>
      </c>
      <c r="F2172" s="9">
        <f t="shared" si="100"/>
        <v>-1.5845508974868999E-2</v>
      </c>
      <c r="G2172" s="9">
        <f t="shared" si="101"/>
        <v>1.1575352774282123E-2</v>
      </c>
    </row>
    <row r="2173" spans="1:7" x14ac:dyDescent="0.2">
      <c r="A2173" s="12">
        <v>40296</v>
      </c>
      <c r="B2173" s="9">
        <v>2217.36</v>
      </c>
      <c r="C2173" s="9">
        <v>2152.08</v>
      </c>
      <c r="D2173" s="9">
        <v>2182.64</v>
      </c>
      <c r="E2173" s="9">
        <f t="shared" si="99"/>
        <v>-9.4074671604202111E-3</v>
      </c>
      <c r="F2173" s="9">
        <f t="shared" si="100"/>
        <v>-1.7809529636666582E-2</v>
      </c>
      <c r="G2173" s="9">
        <f t="shared" si="101"/>
        <v>1.1621275376395268E-2</v>
      </c>
    </row>
    <row r="2174" spans="1:7" x14ac:dyDescent="0.2">
      <c r="A2174" s="12">
        <v>40297</v>
      </c>
      <c r="B2174" s="9">
        <v>2231.5100000000002</v>
      </c>
      <c r="C2174" s="9">
        <v>2179.13</v>
      </c>
      <c r="D2174" s="9">
        <v>2223.67</v>
      </c>
      <c r="E2174" s="9">
        <f t="shared" si="99"/>
        <v>1.8623830788617235E-2</v>
      </c>
      <c r="F2174" s="9">
        <f t="shared" si="100"/>
        <v>-9.4886289749980014E-3</v>
      </c>
      <c r="G2174" s="9">
        <f t="shared" si="101"/>
        <v>1.1983948190517256E-2</v>
      </c>
    </row>
    <row r="2175" spans="1:7" x14ac:dyDescent="0.2">
      <c r="A2175" s="12">
        <v>40298</v>
      </c>
      <c r="B2175" s="9">
        <v>2254.56</v>
      </c>
      <c r="C2175" s="9">
        <v>2225.6999999999998</v>
      </c>
      <c r="D2175" s="9">
        <v>2248.71</v>
      </c>
      <c r="E2175" s="9">
        <f t="shared" si="99"/>
        <v>1.119773438081402E-2</v>
      </c>
      <c r="F2175" s="9">
        <f t="shared" si="100"/>
        <v>-4.5433850888475921E-3</v>
      </c>
      <c r="G2175" s="9">
        <f t="shared" si="101"/>
        <v>1.2110759092869018E-2</v>
      </c>
    </row>
    <row r="2176" spans="1:7" x14ac:dyDescent="0.2">
      <c r="A2176" s="12">
        <v>40301</v>
      </c>
      <c r="B2176" s="9">
        <v>2250.9499999999998</v>
      </c>
      <c r="C2176" s="9">
        <v>2229.02</v>
      </c>
      <c r="D2176" s="9">
        <v>2245.8200000000002</v>
      </c>
      <c r="E2176" s="9">
        <f t="shared" si="99"/>
        <v>-1.2860078354328642E-3</v>
      </c>
      <c r="F2176" s="9">
        <f t="shared" si="100"/>
        <v>2.4966352992042691E-3</v>
      </c>
      <c r="G2176" s="9">
        <f t="shared" si="101"/>
        <v>1.2014725826475467E-2</v>
      </c>
    </row>
    <row r="2177" spans="1:7" x14ac:dyDescent="0.2">
      <c r="A2177" s="12">
        <v>40302</v>
      </c>
      <c r="B2177" s="9">
        <v>2251.04</v>
      </c>
      <c r="C2177" s="9">
        <v>2165.77</v>
      </c>
      <c r="D2177" s="9">
        <v>2165.77</v>
      </c>
      <c r="E2177" s="9">
        <f t="shared" si="99"/>
        <v>-3.6294754207477284E-2</v>
      </c>
      <c r="F2177" s="9">
        <f t="shared" si="100"/>
        <v>-2.2006810854220158E-2</v>
      </c>
      <c r="G2177" s="9">
        <f t="shared" si="101"/>
        <v>1.358065834322441E-2</v>
      </c>
    </row>
    <row r="2178" spans="1:7" x14ac:dyDescent="0.2">
      <c r="A2178" s="12">
        <v>40303</v>
      </c>
      <c r="B2178" s="9">
        <v>2171.87</v>
      </c>
      <c r="C2178" s="9">
        <v>2108.29</v>
      </c>
      <c r="D2178" s="9">
        <v>2118.65</v>
      </c>
      <c r="E2178" s="9">
        <f t="shared" si="99"/>
        <v>-2.199686302902068E-2</v>
      </c>
      <c r="F2178" s="9">
        <f t="shared" si="100"/>
        <v>-5.3430814271877188E-2</v>
      </c>
      <c r="G2178" s="9">
        <f t="shared" si="101"/>
        <v>1.3976046936184693E-2</v>
      </c>
    </row>
    <row r="2179" spans="1:7" x14ac:dyDescent="0.2">
      <c r="A2179" s="12">
        <v>40304</v>
      </c>
      <c r="B2179" s="9">
        <v>2135.46</v>
      </c>
      <c r="C2179" s="9">
        <v>2078.89</v>
      </c>
      <c r="D2179" s="9">
        <v>2086.61</v>
      </c>
      <c r="E2179" s="9">
        <f t="shared" si="99"/>
        <v>-1.5238353867030785E-2</v>
      </c>
      <c r="F2179" s="9">
        <f t="shared" si="100"/>
        <v>-7.3970692915039729E-2</v>
      </c>
      <c r="G2179" s="9">
        <f t="shared" si="101"/>
        <v>1.4119491253716783E-2</v>
      </c>
    </row>
    <row r="2180" spans="1:7" x14ac:dyDescent="0.2">
      <c r="A2180" s="12">
        <v>40305</v>
      </c>
      <c r="B2180" s="9">
        <v>2060.2399999999998</v>
      </c>
      <c r="C2180" s="9">
        <v>1979.14</v>
      </c>
      <c r="D2180" s="9">
        <v>2001.08</v>
      </c>
      <c r="E2180" s="9">
        <f t="shared" ref="E2180:E2243" si="102">LN(D2180/D2179)</f>
        <v>-4.185370471321901E-2</v>
      </c>
      <c r="F2180" s="9">
        <f t="shared" si="100"/>
        <v>-0.11606025980573703</v>
      </c>
      <c r="G2180" s="9">
        <f t="shared" si="101"/>
        <v>1.582937824024501E-2</v>
      </c>
    </row>
    <row r="2181" spans="1:7" x14ac:dyDescent="0.2">
      <c r="A2181" s="12">
        <v>40308</v>
      </c>
      <c r="B2181" s="9">
        <v>2172.84</v>
      </c>
      <c r="C2181" s="9">
        <v>2080.16</v>
      </c>
      <c r="D2181" s="9">
        <v>2167.31</v>
      </c>
      <c r="E2181" s="9">
        <f t="shared" si="102"/>
        <v>7.9799732425059833E-2</v>
      </c>
      <c r="F2181" s="9">
        <f t="shared" si="100"/>
        <v>-5.0877254438022892E-2</v>
      </c>
      <c r="G2181" s="9">
        <f t="shared" si="101"/>
        <v>2.1801274978681034E-2</v>
      </c>
    </row>
    <row r="2182" spans="1:7" x14ac:dyDescent="0.2">
      <c r="A2182" s="12">
        <v>40309</v>
      </c>
      <c r="B2182" s="9">
        <v>2156.87</v>
      </c>
      <c r="C2182" s="9">
        <v>2116.1</v>
      </c>
      <c r="D2182" s="9">
        <v>2143.66</v>
      </c>
      <c r="E2182" s="9">
        <f t="shared" si="102"/>
        <v>-1.0972118693937818E-2</v>
      </c>
      <c r="F2182" s="9">
        <f t="shared" si="100"/>
        <v>-5.96104482849832E-2</v>
      </c>
      <c r="G2182" s="9">
        <f t="shared" si="101"/>
        <v>2.186698270828066E-2</v>
      </c>
    </row>
    <row r="2183" spans="1:7" x14ac:dyDescent="0.2">
      <c r="A2183" s="12">
        <v>40310</v>
      </c>
      <c r="B2183" s="9">
        <v>2205.59</v>
      </c>
      <c r="C2183" s="9">
        <v>2129.33</v>
      </c>
      <c r="D2183" s="9">
        <v>2201.35</v>
      </c>
      <c r="E2183" s="9">
        <f t="shared" si="102"/>
        <v>2.6556159986564961E-2</v>
      </c>
      <c r="F2183" s="9">
        <f t="shared" si="100"/>
        <v>-2.7814971391502862E-2</v>
      </c>
      <c r="G2183" s="9">
        <f t="shared" si="101"/>
        <v>2.2466235205879904E-2</v>
      </c>
    </row>
    <row r="2184" spans="1:7" x14ac:dyDescent="0.2">
      <c r="A2184" s="12">
        <v>40312</v>
      </c>
      <c r="B2184" s="9">
        <v>2200.0100000000002</v>
      </c>
      <c r="C2184" s="9">
        <v>2124.7600000000002</v>
      </c>
      <c r="D2184" s="9">
        <v>2125.48</v>
      </c>
      <c r="E2184" s="9">
        <f t="shared" si="102"/>
        <v>-3.5073149308355436E-2</v>
      </c>
      <c r="F2184" s="9">
        <f t="shared" si="100"/>
        <v>-5.6007684987849825E-2</v>
      </c>
      <c r="G2184" s="9">
        <f t="shared" si="101"/>
        <v>2.3298092621449183E-2</v>
      </c>
    </row>
    <row r="2185" spans="1:7" x14ac:dyDescent="0.2">
      <c r="A2185" s="12">
        <v>40315</v>
      </c>
      <c r="B2185" s="9">
        <v>2166.1</v>
      </c>
      <c r="C2185" s="9">
        <v>2115.34</v>
      </c>
      <c r="D2185" s="9">
        <v>2128.2600000000002</v>
      </c>
      <c r="E2185" s="9">
        <f t="shared" si="102"/>
        <v>1.3070852453586578E-3</v>
      </c>
      <c r="F2185" s="9">
        <f t="shared" si="100"/>
        <v>-5.3863921129565472E-2</v>
      </c>
      <c r="G2185" s="9">
        <f t="shared" si="101"/>
        <v>2.3304648202537231E-2</v>
      </c>
    </row>
    <row r="2186" spans="1:7" x14ac:dyDescent="0.2">
      <c r="A2186" s="12">
        <v>40316</v>
      </c>
      <c r="B2186" s="9">
        <v>2176.96</v>
      </c>
      <c r="C2186" s="9">
        <v>2150.16</v>
      </c>
      <c r="D2186" s="9">
        <v>2164.84</v>
      </c>
      <c r="E2186" s="9">
        <f t="shared" si="102"/>
        <v>1.7041711254079887E-2</v>
      </c>
      <c r="F2186" s="9">
        <f t="shared" si="100"/>
        <v>-5.2512963806175594E-2</v>
      </c>
      <c r="G2186" s="9">
        <f t="shared" si="101"/>
        <v>2.334087928301349E-2</v>
      </c>
    </row>
    <row r="2187" spans="1:7" x14ac:dyDescent="0.2">
      <c r="A2187" s="12">
        <v>40317</v>
      </c>
      <c r="B2187" s="9">
        <v>2143.29</v>
      </c>
      <c r="C2187" s="9">
        <v>2082.8000000000002</v>
      </c>
      <c r="D2187" s="9">
        <v>2085.41</v>
      </c>
      <c r="E2187" s="9">
        <f t="shared" si="102"/>
        <v>-3.7380977116205083E-2</v>
      </c>
      <c r="F2187" s="9">
        <f t="shared" si="100"/>
        <v>-9.6603616458904376E-2</v>
      </c>
      <c r="G2187" s="9">
        <f t="shared" si="101"/>
        <v>2.4163427421787082E-2</v>
      </c>
    </row>
    <row r="2188" spans="1:7" x14ac:dyDescent="0.2">
      <c r="A2188" s="12">
        <v>40318</v>
      </c>
      <c r="B2188" s="9">
        <v>2113.1999999999998</v>
      </c>
      <c r="C2188" s="9">
        <v>2011.34</v>
      </c>
      <c r="D2188" s="9">
        <v>2042.29</v>
      </c>
      <c r="E2188" s="9">
        <f t="shared" si="102"/>
        <v>-2.0893751316277635E-2</v>
      </c>
      <c r="F2188" s="9">
        <f t="shared" si="100"/>
        <v>-0.11791087960642427</v>
      </c>
      <c r="G2188" s="9">
        <f t="shared" si="101"/>
        <v>2.4365242445266836E-2</v>
      </c>
    </row>
    <row r="2189" spans="1:7" x14ac:dyDescent="0.2">
      <c r="A2189" s="12">
        <v>40319</v>
      </c>
      <c r="B2189" s="9">
        <v>2054.2399999999998</v>
      </c>
      <c r="C2189" s="9">
        <v>1991.68</v>
      </c>
      <c r="D2189" s="9">
        <v>2037.32</v>
      </c>
      <c r="E2189" s="9">
        <f t="shared" si="102"/>
        <v>-2.4365086166231727E-3</v>
      </c>
      <c r="F2189" s="9">
        <f t="shared" si="100"/>
        <v>-0.10680450823360063</v>
      </c>
      <c r="G2189" s="9">
        <f t="shared" si="101"/>
        <v>2.4298435835328695E-2</v>
      </c>
    </row>
    <row r="2190" spans="1:7" x14ac:dyDescent="0.2">
      <c r="A2190" s="12">
        <v>40322</v>
      </c>
      <c r="B2190" s="9">
        <v>2066.06</v>
      </c>
      <c r="C2190" s="9">
        <v>2016.86</v>
      </c>
      <c r="D2190" s="9">
        <v>2036.11</v>
      </c>
      <c r="E2190" s="9">
        <f t="shared" si="102"/>
        <v>-5.9409393832176541E-4</v>
      </c>
      <c r="F2190" s="9">
        <f t="shared" si="100"/>
        <v>-0.11227868912849692</v>
      </c>
      <c r="G2190" s="9">
        <f t="shared" si="101"/>
        <v>2.425337981025073E-2</v>
      </c>
    </row>
    <row r="2191" spans="1:7" x14ac:dyDescent="0.2">
      <c r="A2191" s="12">
        <v>40323</v>
      </c>
      <c r="B2191" s="9">
        <v>1993.3</v>
      </c>
      <c r="C2191" s="9">
        <v>1954.24</v>
      </c>
      <c r="D2191" s="9">
        <v>1979.65</v>
      </c>
      <c r="E2191" s="9">
        <f t="shared" si="102"/>
        <v>-2.8121063329325645E-2</v>
      </c>
      <c r="F2191" s="9">
        <f t="shared" si="100"/>
        <v>-0.14193059215242632</v>
      </c>
      <c r="G2191" s="9">
        <f t="shared" si="101"/>
        <v>2.4632301217704402E-2</v>
      </c>
    </row>
    <row r="2192" spans="1:7" x14ac:dyDescent="0.2">
      <c r="A2192" s="12">
        <v>40324</v>
      </c>
      <c r="B2192" s="9">
        <v>2057.21</v>
      </c>
      <c r="C2192" s="9">
        <v>2015.16</v>
      </c>
      <c r="D2192" s="9">
        <v>2040.81</v>
      </c>
      <c r="E2192" s="9">
        <f t="shared" si="102"/>
        <v>3.0426726468230719E-2</v>
      </c>
      <c r="F2192" s="9">
        <f t="shared" si="100"/>
        <v>-0.10958665606192769</v>
      </c>
      <c r="G2192" s="9">
        <f t="shared" si="101"/>
        <v>2.5453836659079253E-2</v>
      </c>
    </row>
    <row r="2193" spans="1:7" x14ac:dyDescent="0.2">
      <c r="A2193" s="12">
        <v>40325</v>
      </c>
      <c r="B2193" s="9">
        <v>2100.08</v>
      </c>
      <c r="C2193" s="9">
        <v>2043.6</v>
      </c>
      <c r="D2193" s="9">
        <v>2100.08</v>
      </c>
      <c r="E2193" s="9">
        <f t="shared" si="102"/>
        <v>2.8628651369207732E-2</v>
      </c>
      <c r="F2193" s="9">
        <f t="shared" si="100"/>
        <v>-8.358938895884542E-2</v>
      </c>
      <c r="G2193" s="9">
        <f t="shared" si="101"/>
        <v>2.6109262035261985E-2</v>
      </c>
    </row>
    <row r="2194" spans="1:7" x14ac:dyDescent="0.2">
      <c r="A2194" s="12">
        <v>40326</v>
      </c>
      <c r="B2194" s="9">
        <v>2122.7399999999998</v>
      </c>
      <c r="C2194" s="9">
        <v>2096.34</v>
      </c>
      <c r="D2194" s="9">
        <v>2102.5300000000002</v>
      </c>
      <c r="E2194" s="9">
        <f t="shared" si="102"/>
        <v>1.1659422490066815E-3</v>
      </c>
      <c r="F2194" s="9">
        <f t="shared" si="100"/>
        <v>-8.3049572826835671E-2</v>
      </c>
      <c r="G2194" s="9">
        <f t="shared" si="101"/>
        <v>2.611188078393591E-2</v>
      </c>
    </row>
    <row r="2195" spans="1:7" x14ac:dyDescent="0.2">
      <c r="A2195" s="12">
        <v>40329</v>
      </c>
      <c r="B2195" s="9">
        <v>2118.73</v>
      </c>
      <c r="C2195" s="9">
        <v>2098.06</v>
      </c>
      <c r="D2195" s="9">
        <v>2100.7800000000002</v>
      </c>
      <c r="E2195" s="9">
        <f t="shared" si="102"/>
        <v>-8.3267715258385081E-4</v>
      </c>
      <c r="F2195" s="9">
        <f t="shared" si="100"/>
        <v>-6.6191896083817356E-2</v>
      </c>
      <c r="G2195" s="9">
        <f t="shared" si="101"/>
        <v>2.59606373802218E-2</v>
      </c>
    </row>
    <row r="2196" spans="1:7" x14ac:dyDescent="0.2">
      <c r="A2196" s="12">
        <v>40330</v>
      </c>
      <c r="B2196" s="9">
        <v>2116</v>
      </c>
      <c r="C2196" s="9">
        <v>2054.2800000000002</v>
      </c>
      <c r="D2196" s="9">
        <v>2107.59</v>
      </c>
      <c r="E2196" s="9">
        <f t="shared" si="102"/>
        <v>3.236410270101422E-3</v>
      </c>
      <c r="F2196" s="9">
        <f t="shared" si="100"/>
        <v>-5.809638108091858E-2</v>
      </c>
      <c r="G2196" s="9">
        <f t="shared" si="101"/>
        <v>2.5974184006176602E-2</v>
      </c>
    </row>
    <row r="2197" spans="1:7" x14ac:dyDescent="0.2">
      <c r="A2197" s="12">
        <v>40331</v>
      </c>
      <c r="B2197" s="9">
        <v>2128.77</v>
      </c>
      <c r="C2197" s="9">
        <v>2081.4699999999998</v>
      </c>
      <c r="D2197" s="9">
        <v>2127.4699999999998</v>
      </c>
      <c r="E2197" s="9">
        <f t="shared" si="102"/>
        <v>9.388365700000352E-3</v>
      </c>
      <c r="F2197" s="9">
        <f t="shared" si="100"/>
        <v>-7.2268081093893904E-2</v>
      </c>
      <c r="G2197" s="9">
        <f t="shared" si="101"/>
        <v>2.5620957648922783E-2</v>
      </c>
    </row>
    <row r="2198" spans="1:7" x14ac:dyDescent="0.2">
      <c r="A2198" s="12">
        <v>40332</v>
      </c>
      <c r="B2198" s="9">
        <v>2172.66</v>
      </c>
      <c r="C2198" s="9">
        <v>2150.1</v>
      </c>
      <c r="D2198" s="9">
        <v>2151.91</v>
      </c>
      <c r="E2198" s="9">
        <f t="shared" si="102"/>
        <v>1.1422339555261894E-2</v>
      </c>
      <c r="F2198" s="9">
        <f t="shared" si="100"/>
        <v>-5.2203002183744011E-2</v>
      </c>
      <c r="G2198" s="9">
        <f t="shared" si="101"/>
        <v>2.5714342092921057E-2</v>
      </c>
    </row>
    <row r="2199" spans="1:7" x14ac:dyDescent="0.2">
      <c r="A2199" s="12">
        <v>40333</v>
      </c>
      <c r="B2199" s="9">
        <v>2179.7399999999998</v>
      </c>
      <c r="C2199" s="9">
        <v>2108.9</v>
      </c>
      <c r="D2199" s="9">
        <v>2109.37</v>
      </c>
      <c r="E2199" s="9">
        <f t="shared" si="102"/>
        <v>-1.9966495158075886E-2</v>
      </c>
      <c r="F2199" s="9">
        <f t="shared" si="100"/>
        <v>-5.3565324171105114E-2</v>
      </c>
      <c r="G2199" s="9">
        <f t="shared" si="101"/>
        <v>2.5746333479301241E-2</v>
      </c>
    </row>
    <row r="2200" spans="1:7" x14ac:dyDescent="0.2">
      <c r="A2200" s="12">
        <v>40336</v>
      </c>
      <c r="B2200" s="9">
        <v>2118.71</v>
      </c>
      <c r="C2200" s="9">
        <v>2071.14</v>
      </c>
      <c r="D2200" s="9">
        <v>2089.34</v>
      </c>
      <c r="E2200" s="9">
        <f t="shared" si="102"/>
        <v>-9.5410980745377939E-3</v>
      </c>
      <c r="F2200" s="9">
        <f t="shared" si="100"/>
        <v>-7.4490794901896376E-2</v>
      </c>
      <c r="G2200" s="9">
        <f t="shared" si="101"/>
        <v>2.5660545590794726E-2</v>
      </c>
    </row>
    <row r="2201" spans="1:7" x14ac:dyDescent="0.2">
      <c r="A2201" s="12">
        <v>40337</v>
      </c>
      <c r="B2201" s="9">
        <v>2117.0100000000002</v>
      </c>
      <c r="C2201" s="9">
        <v>2062.2399999999998</v>
      </c>
      <c r="D2201" s="9">
        <v>2082.1</v>
      </c>
      <c r="E2201" s="9">
        <f t="shared" si="102"/>
        <v>-3.4712268520285519E-3</v>
      </c>
      <c r="F2201" s="9">
        <f t="shared" si="100"/>
        <v>-8.8370058449900507E-2</v>
      </c>
      <c r="G2201" s="9">
        <f t="shared" si="101"/>
        <v>2.5544970689514463E-2</v>
      </c>
    </row>
    <row r="2202" spans="1:7" x14ac:dyDescent="0.2">
      <c r="A2202" s="12">
        <v>40338</v>
      </c>
      <c r="B2202" s="9">
        <v>2123.1</v>
      </c>
      <c r="C2202" s="9">
        <v>2084.96</v>
      </c>
      <c r="D2202" s="9">
        <v>2123.1</v>
      </c>
      <c r="E2202" s="9">
        <f t="shared" si="102"/>
        <v>1.9500284988700295E-2</v>
      </c>
      <c r="F2202" s="9">
        <f t="shared" si="100"/>
        <v>-3.7065335687869919E-2</v>
      </c>
      <c r="G2202" s="9">
        <f t="shared" si="101"/>
        <v>2.5262124724010307E-2</v>
      </c>
    </row>
    <row r="2203" spans="1:7" x14ac:dyDescent="0.2">
      <c r="A2203" s="12">
        <v>40339</v>
      </c>
      <c r="B2203" s="9">
        <v>2174.92</v>
      </c>
      <c r="C2203" s="9">
        <v>2099.7800000000002</v>
      </c>
      <c r="D2203" s="9">
        <v>2170.15</v>
      </c>
      <c r="E2203" s="9">
        <f t="shared" si="102"/>
        <v>2.1919004819636805E-2</v>
      </c>
      <c r="F2203" s="9">
        <f t="shared" si="100"/>
        <v>-5.7388637078128616E-3</v>
      </c>
      <c r="G2203" s="9">
        <f t="shared" si="101"/>
        <v>2.5558393299775498E-2</v>
      </c>
    </row>
    <row r="2204" spans="1:7" x14ac:dyDescent="0.2">
      <c r="A2204" s="12">
        <v>40340</v>
      </c>
      <c r="B2204" s="9">
        <v>2185.6</v>
      </c>
      <c r="C2204" s="9">
        <v>2143</v>
      </c>
      <c r="D2204" s="9">
        <v>2173.2800000000002</v>
      </c>
      <c r="E2204" s="9">
        <f t="shared" si="102"/>
        <v>1.4412575046953075E-3</v>
      </c>
      <c r="F2204" s="9">
        <f t="shared" si="100"/>
        <v>-2.292143699173485E-2</v>
      </c>
      <c r="G2204" s="9">
        <f t="shared" si="101"/>
        <v>2.5313569665183659E-2</v>
      </c>
    </row>
    <row r="2205" spans="1:7" x14ac:dyDescent="0.2">
      <c r="A2205" s="12">
        <v>40343</v>
      </c>
      <c r="B2205" s="9">
        <v>2216.08</v>
      </c>
      <c r="C2205" s="9">
        <v>2191.83</v>
      </c>
      <c r="D2205" s="9">
        <v>2216.08</v>
      </c>
      <c r="E2205" s="9">
        <f t="shared" si="102"/>
        <v>1.9502322224397718E-2</v>
      </c>
      <c r="F2205" s="9">
        <f t="shared" si="100"/>
        <v>-1.4616849148151072E-2</v>
      </c>
      <c r="G2205" s="9">
        <f t="shared" si="101"/>
        <v>2.5493657166973542E-2</v>
      </c>
    </row>
    <row r="2206" spans="1:7" x14ac:dyDescent="0.2">
      <c r="A2206" s="12">
        <v>40344</v>
      </c>
      <c r="B2206" s="9">
        <v>2242.7199999999998</v>
      </c>
      <c r="C2206" s="9">
        <v>2192.6999999999998</v>
      </c>
      <c r="D2206" s="9">
        <v>2242.0500000000002</v>
      </c>
      <c r="E2206" s="9">
        <f t="shared" si="102"/>
        <v>1.1650756601354881E-2</v>
      </c>
      <c r="F2206" s="9">
        <f t="shared" si="100"/>
        <v>-1.6800847113634962E-3</v>
      </c>
      <c r="G2206" s="9">
        <f t="shared" si="101"/>
        <v>2.5588914681708916E-2</v>
      </c>
    </row>
    <row r="2207" spans="1:7" x14ac:dyDescent="0.2">
      <c r="A2207" s="12">
        <v>40345</v>
      </c>
      <c r="B2207" s="9">
        <v>2256.9499999999998</v>
      </c>
      <c r="C2207" s="9">
        <v>2188.1999999999998</v>
      </c>
      <c r="D2207" s="9">
        <v>2211.21</v>
      </c>
      <c r="E2207" s="9">
        <f t="shared" si="102"/>
        <v>-1.3850748905549643E-2</v>
      </c>
      <c r="F2207" s="9">
        <f t="shared" si="100"/>
        <v>2.076392059056428E-2</v>
      </c>
      <c r="G2207" s="9">
        <f t="shared" si="101"/>
        <v>2.4809092387870661E-2</v>
      </c>
    </row>
    <row r="2208" spans="1:7" x14ac:dyDescent="0.2">
      <c r="A2208" s="12">
        <v>40346</v>
      </c>
      <c r="B2208" s="9">
        <v>2216.85</v>
      </c>
      <c r="C2208" s="9">
        <v>2192.25</v>
      </c>
      <c r="D2208" s="9">
        <v>2206.4</v>
      </c>
      <c r="E2208" s="9">
        <f t="shared" si="102"/>
        <v>-2.1776489553462356E-3</v>
      </c>
      <c r="F2208" s="9">
        <f t="shared" si="100"/>
        <v>4.0583134664238553E-2</v>
      </c>
      <c r="G2208" s="9">
        <f t="shared" si="101"/>
        <v>2.4445289167980649E-2</v>
      </c>
    </row>
    <row r="2209" spans="1:7" x14ac:dyDescent="0.2">
      <c r="A2209" s="12">
        <v>40347</v>
      </c>
      <c r="B2209" s="9">
        <v>2229.7199999999998</v>
      </c>
      <c r="C2209" s="9">
        <v>2209.15</v>
      </c>
      <c r="D2209" s="9">
        <v>2224.09</v>
      </c>
      <c r="E2209" s="9">
        <f t="shared" si="102"/>
        <v>7.985615138542632E-3</v>
      </c>
      <c r="F2209" s="9">
        <f t="shared" ref="F2209:F2272" si="103">LN(D2209/D2179)</f>
        <v>6.3807103669811918E-2</v>
      </c>
      <c r="G2209" s="9">
        <f t="shared" ref="G2209:G2272" si="104">STDEV(E2180:E2209)</f>
        <v>2.4268855789010002E-2</v>
      </c>
    </row>
    <row r="2210" spans="1:7" x14ac:dyDescent="0.2">
      <c r="A2210" s="12">
        <v>40350</v>
      </c>
      <c r="B2210" s="9">
        <v>2261.1999999999998</v>
      </c>
      <c r="C2210" s="9">
        <v>2236.06</v>
      </c>
      <c r="D2210" s="9">
        <v>2241.64</v>
      </c>
      <c r="E2210" s="9">
        <f t="shared" si="102"/>
        <v>7.8598976428124034E-3</v>
      </c>
      <c r="F2210" s="9">
        <f t="shared" si="103"/>
        <v>0.11352070602584348</v>
      </c>
      <c r="G2210" s="9">
        <f t="shared" si="104"/>
        <v>2.2816007233829105E-2</v>
      </c>
    </row>
    <row r="2211" spans="1:7" x14ac:dyDescent="0.2">
      <c r="A2211" s="12">
        <v>40351</v>
      </c>
      <c r="B2211" s="9">
        <v>2245.64</v>
      </c>
      <c r="C2211" s="9">
        <v>2213.8000000000002</v>
      </c>
      <c r="D2211" s="9">
        <v>2231.1999999999998</v>
      </c>
      <c r="E2211" s="9">
        <f t="shared" si="102"/>
        <v>-4.6681835071134617E-3</v>
      </c>
      <c r="F2211" s="9">
        <f t="shared" si="103"/>
        <v>2.9052790093670119E-2</v>
      </c>
      <c r="G2211" s="9">
        <f t="shared" si="104"/>
        <v>1.7764512838241178E-2</v>
      </c>
    </row>
    <row r="2212" spans="1:7" x14ac:dyDescent="0.2">
      <c r="A2212" s="12">
        <v>40352</v>
      </c>
      <c r="B2212" s="9">
        <v>2230.79</v>
      </c>
      <c r="C2212" s="9">
        <v>2196.06</v>
      </c>
      <c r="D2212" s="9">
        <v>2204.38</v>
      </c>
      <c r="E2212" s="9">
        <f t="shared" si="102"/>
        <v>-1.2093267108920346E-2</v>
      </c>
      <c r="F2212" s="9">
        <f t="shared" si="103"/>
        <v>2.7931641678687499E-2</v>
      </c>
      <c r="G2212" s="9">
        <f t="shared" si="104"/>
        <v>1.7791657184675593E-2</v>
      </c>
    </row>
    <row r="2213" spans="1:7" x14ac:dyDescent="0.2">
      <c r="A2213" s="12">
        <v>40353</v>
      </c>
      <c r="B2213" s="9">
        <v>2216.11</v>
      </c>
      <c r="C2213" s="9">
        <v>2148.31</v>
      </c>
      <c r="D2213" s="9">
        <v>2152.9499999999998</v>
      </c>
      <c r="E2213" s="9">
        <f t="shared" si="102"/>
        <v>-2.3607295518859851E-2</v>
      </c>
      <c r="F2213" s="9">
        <f t="shared" si="103"/>
        <v>-2.2231813826737255E-2</v>
      </c>
      <c r="G2213" s="9">
        <f t="shared" si="104"/>
        <v>1.7657033797358695E-2</v>
      </c>
    </row>
    <row r="2214" spans="1:7" x14ac:dyDescent="0.2">
      <c r="A2214" s="12">
        <v>40357</v>
      </c>
      <c r="B2214" s="9">
        <v>2170.65</v>
      </c>
      <c r="C2214" s="9">
        <v>2139.17</v>
      </c>
      <c r="D2214" s="9">
        <v>2166.13</v>
      </c>
      <c r="E2214" s="9">
        <f t="shared" si="102"/>
        <v>6.1031705416216856E-3</v>
      </c>
      <c r="F2214" s="9">
        <f t="shared" si="103"/>
        <v>1.8944506023239636E-2</v>
      </c>
      <c r="G2214" s="9">
        <f t="shared" si="104"/>
        <v>1.6455781183010217E-2</v>
      </c>
    </row>
    <row r="2215" spans="1:7" x14ac:dyDescent="0.2">
      <c r="A2215" s="12">
        <v>40358</v>
      </c>
      <c r="B2215" s="9">
        <v>2149.31</v>
      </c>
      <c r="C2215" s="9">
        <v>2090.46</v>
      </c>
      <c r="D2215" s="9">
        <v>2095.36</v>
      </c>
      <c r="E2215" s="9">
        <f t="shared" si="102"/>
        <v>-3.3216788924459791E-2</v>
      </c>
      <c r="F2215" s="9">
        <f t="shared" si="103"/>
        <v>-1.5579368146578792E-2</v>
      </c>
      <c r="G2215" s="9">
        <f t="shared" si="104"/>
        <v>1.7575951906450234E-2</v>
      </c>
    </row>
    <row r="2216" spans="1:7" x14ac:dyDescent="0.2">
      <c r="A2216" s="12">
        <v>40359</v>
      </c>
      <c r="B2216" s="9">
        <v>2113.4899999999998</v>
      </c>
      <c r="C2216" s="9">
        <v>2080.3200000000002</v>
      </c>
      <c r="D2216" s="9">
        <v>2094.5300000000002</v>
      </c>
      <c r="E2216" s="9">
        <f t="shared" si="102"/>
        <v>-3.9619179064698061E-4</v>
      </c>
      <c r="F2216" s="9">
        <f t="shared" si="103"/>
        <v>-3.3017271191305611E-2</v>
      </c>
      <c r="G2216" s="9">
        <f t="shared" si="104"/>
        <v>1.7260676928711034E-2</v>
      </c>
    </row>
    <row r="2217" spans="1:7" x14ac:dyDescent="0.2">
      <c r="A2217" s="12">
        <v>40360</v>
      </c>
      <c r="B2217" s="9">
        <v>2098.66</v>
      </c>
      <c r="C2217" s="9">
        <v>2044.39</v>
      </c>
      <c r="D2217" s="9">
        <v>2051.71</v>
      </c>
      <c r="E2217" s="9">
        <f t="shared" si="102"/>
        <v>-2.0655592744810543E-2</v>
      </c>
      <c r="F2217" s="9">
        <f t="shared" si="103"/>
        <v>-1.6291886819911137E-2</v>
      </c>
      <c r="G2217" s="9">
        <f t="shared" si="104"/>
        <v>1.6291318422038122E-2</v>
      </c>
    </row>
    <row r="2218" spans="1:7" x14ac:dyDescent="0.2">
      <c r="A2218" s="12">
        <v>40361</v>
      </c>
      <c r="B2218" s="9">
        <v>2086.16</v>
      </c>
      <c r="C2218" s="9">
        <v>2055.12</v>
      </c>
      <c r="D2218" s="9">
        <v>2060.41</v>
      </c>
      <c r="E2218" s="9">
        <f t="shared" si="102"/>
        <v>4.231400338968086E-3</v>
      </c>
      <c r="F2218" s="9">
        <f t="shared" si="103"/>
        <v>8.8332648353346421E-3</v>
      </c>
      <c r="G2218" s="9">
        <f t="shared" si="104"/>
        <v>1.5848862855213704E-2</v>
      </c>
    </row>
    <row r="2219" spans="1:7" x14ac:dyDescent="0.2">
      <c r="A2219" s="12">
        <v>40364</v>
      </c>
      <c r="B2219" s="9">
        <v>2076.85</v>
      </c>
      <c r="C2219" s="9">
        <v>2049.69</v>
      </c>
      <c r="D2219" s="9">
        <v>2049.69</v>
      </c>
      <c r="E2219" s="9">
        <f t="shared" si="102"/>
        <v>-5.2164299207358373E-3</v>
      </c>
      <c r="F2219" s="9">
        <f t="shared" si="103"/>
        <v>6.0533435312219094E-3</v>
      </c>
      <c r="G2219" s="9">
        <f t="shared" si="104"/>
        <v>1.5873488177267501E-2</v>
      </c>
    </row>
    <row r="2220" spans="1:7" x14ac:dyDescent="0.2">
      <c r="A2220" s="12">
        <v>40365</v>
      </c>
      <c r="B2220" s="9">
        <v>2118.3200000000002</v>
      </c>
      <c r="C2220" s="9">
        <v>2057.69</v>
      </c>
      <c r="D2220" s="9">
        <v>2107.69</v>
      </c>
      <c r="E2220" s="9">
        <f t="shared" si="102"/>
        <v>2.7903998838079078E-2</v>
      </c>
      <c r="F2220" s="9">
        <f t="shared" si="103"/>
        <v>3.4551436307622758E-2</v>
      </c>
      <c r="G2220" s="9">
        <f t="shared" si="104"/>
        <v>1.6657575085989421E-2</v>
      </c>
    </row>
    <row r="2221" spans="1:7" x14ac:dyDescent="0.2">
      <c r="A2221" s="12">
        <v>40366</v>
      </c>
      <c r="B2221" s="9">
        <v>2122.61</v>
      </c>
      <c r="C2221" s="9">
        <v>2065.9299999999998</v>
      </c>
      <c r="D2221" s="9">
        <v>2117.6999999999998</v>
      </c>
      <c r="E2221" s="9">
        <f t="shared" si="102"/>
        <v>4.7380330460215468E-3</v>
      </c>
      <c r="F2221" s="9">
        <f t="shared" si="103"/>
        <v>6.7410532682969884E-2</v>
      </c>
      <c r="G2221" s="9">
        <f t="shared" si="104"/>
        <v>1.5720341431318605E-2</v>
      </c>
    </row>
    <row r="2222" spans="1:7" x14ac:dyDescent="0.2">
      <c r="A2222" s="12">
        <v>40367</v>
      </c>
      <c r="B2222" s="9">
        <v>2145.13</v>
      </c>
      <c r="C2222" s="9">
        <v>2119.2600000000002</v>
      </c>
      <c r="D2222" s="9">
        <v>2130.98</v>
      </c>
      <c r="E2222" s="9">
        <f t="shared" si="102"/>
        <v>6.2513737199054367E-3</v>
      </c>
      <c r="F2222" s="9">
        <f t="shared" si="103"/>
        <v>4.3235179934644791E-2</v>
      </c>
      <c r="G2222" s="9">
        <f t="shared" si="104"/>
        <v>1.481984015111548E-2</v>
      </c>
    </row>
    <row r="2223" spans="1:7" x14ac:dyDescent="0.2">
      <c r="A2223" s="12">
        <v>40368</v>
      </c>
      <c r="B2223" s="9">
        <v>2157.5300000000002</v>
      </c>
      <c r="C2223" s="9">
        <v>2139.4899999999998</v>
      </c>
      <c r="D2223" s="9">
        <v>2156.1799999999998</v>
      </c>
      <c r="E2223" s="9">
        <f t="shared" si="102"/>
        <v>1.1756169695152819E-2</v>
      </c>
      <c r="F2223" s="9">
        <f t="shared" si="103"/>
        <v>2.6362698260589828E-2</v>
      </c>
      <c r="G2223" s="9">
        <f t="shared" si="104"/>
        <v>1.4052798238787681E-2</v>
      </c>
    </row>
    <row r="2224" spans="1:7" x14ac:dyDescent="0.2">
      <c r="A2224" s="12">
        <v>40371</v>
      </c>
      <c r="B2224" s="9">
        <v>2175.5700000000002</v>
      </c>
      <c r="C2224" s="9">
        <v>2148.58</v>
      </c>
      <c r="D2224" s="9">
        <v>2157.5500000000002</v>
      </c>
      <c r="E2224" s="9">
        <f t="shared" si="102"/>
        <v>6.3518117548444996E-4</v>
      </c>
      <c r="F2224" s="9">
        <f t="shared" si="103"/>
        <v>2.5831937187067989E-2</v>
      </c>
      <c r="G2224" s="9">
        <f t="shared" si="104"/>
        <v>1.40527583192741E-2</v>
      </c>
    </row>
    <row r="2225" spans="1:7" x14ac:dyDescent="0.2">
      <c r="A2225" s="12">
        <v>40372</v>
      </c>
      <c r="B2225" s="9">
        <v>2206.91</v>
      </c>
      <c r="C2225" s="9">
        <v>2158.1999999999998</v>
      </c>
      <c r="D2225" s="9">
        <v>2204.5300000000002</v>
      </c>
      <c r="E2225" s="9">
        <f t="shared" si="102"/>
        <v>2.1541015573329207E-2</v>
      </c>
      <c r="F2225" s="9">
        <f t="shared" si="103"/>
        <v>4.8205629912980996E-2</v>
      </c>
      <c r="G2225" s="9">
        <f t="shared" si="104"/>
        <v>1.4544848615862293E-2</v>
      </c>
    </row>
    <row r="2226" spans="1:7" x14ac:dyDescent="0.2">
      <c r="A2226" s="12">
        <v>40373</v>
      </c>
      <c r="B2226" s="9">
        <v>2226.02</v>
      </c>
      <c r="C2226" s="9">
        <v>2187.4</v>
      </c>
      <c r="D2226" s="9">
        <v>2202.34</v>
      </c>
      <c r="E2226" s="9">
        <f t="shared" si="102"/>
        <v>-9.9390278373603664E-4</v>
      </c>
      <c r="F2226" s="9">
        <f t="shared" si="103"/>
        <v>4.3975316859143611E-2</v>
      </c>
      <c r="G2226" s="9">
        <f t="shared" si="104"/>
        <v>1.4549011085263075E-2</v>
      </c>
    </row>
    <row r="2227" spans="1:7" x14ac:dyDescent="0.2">
      <c r="A2227" s="12">
        <v>40374</v>
      </c>
      <c r="B2227" s="9">
        <v>2215.5700000000002</v>
      </c>
      <c r="C2227" s="9">
        <v>2174.64</v>
      </c>
      <c r="D2227" s="9">
        <v>2182.3200000000002</v>
      </c>
      <c r="E2227" s="9">
        <f t="shared" si="102"/>
        <v>-9.1319003639049948E-3</v>
      </c>
      <c r="F2227" s="9">
        <f t="shared" si="103"/>
        <v>2.5455050795238163E-2</v>
      </c>
      <c r="G2227" s="9">
        <f t="shared" si="104"/>
        <v>1.4594106596341453E-2</v>
      </c>
    </row>
    <row r="2228" spans="1:7" x14ac:dyDescent="0.2">
      <c r="A2228" s="12">
        <v>40375</v>
      </c>
      <c r="B2228" s="9">
        <v>2198.34</v>
      </c>
      <c r="C2228" s="9">
        <v>2135.98</v>
      </c>
      <c r="D2228" s="9">
        <v>2135.98</v>
      </c>
      <c r="E2228" s="9">
        <f t="shared" si="102"/>
        <v>-2.1462973345397804E-2</v>
      </c>
      <c r="F2228" s="9">
        <f t="shared" si="103"/>
        <v>-7.4302621054214285E-3</v>
      </c>
      <c r="G2228" s="9">
        <f t="shared" si="104"/>
        <v>1.5001836919087403E-2</v>
      </c>
    </row>
    <row r="2229" spans="1:7" x14ac:dyDescent="0.2">
      <c r="A2229" s="12">
        <v>40378</v>
      </c>
      <c r="B2229" s="9">
        <v>2154.63</v>
      </c>
      <c r="C2229" s="9">
        <v>2122.1</v>
      </c>
      <c r="D2229" s="9">
        <v>2131.4</v>
      </c>
      <c r="E2229" s="9">
        <f t="shared" si="102"/>
        <v>-2.1465169535135197E-3</v>
      </c>
      <c r="F2229" s="9">
        <f t="shared" si="103"/>
        <v>1.0389716099140852E-2</v>
      </c>
      <c r="G2229" s="9">
        <f t="shared" si="104"/>
        <v>1.453982273533265E-2</v>
      </c>
    </row>
    <row r="2230" spans="1:7" x14ac:dyDescent="0.2">
      <c r="A2230" s="12">
        <v>40379</v>
      </c>
      <c r="B2230" s="9">
        <v>2151.5500000000002</v>
      </c>
      <c r="C2230" s="9">
        <v>2119.7800000000002</v>
      </c>
      <c r="D2230" s="9">
        <v>2136.23</v>
      </c>
      <c r="E2230" s="9">
        <f t="shared" si="102"/>
        <v>2.2635523990021614E-3</v>
      </c>
      <c r="F2230" s="9">
        <f t="shared" si="103"/>
        <v>2.2194366572680872E-2</v>
      </c>
      <c r="G2230" s="9">
        <f t="shared" si="104"/>
        <v>1.4422272729895352E-2</v>
      </c>
    </row>
    <row r="2231" spans="1:7" x14ac:dyDescent="0.2">
      <c r="A2231" s="12">
        <v>40380</v>
      </c>
      <c r="B2231" s="9">
        <v>2186.6799999999998</v>
      </c>
      <c r="C2231" s="9">
        <v>2145.6999999999998</v>
      </c>
      <c r="D2231" s="9">
        <v>2168.3200000000002</v>
      </c>
      <c r="E2231" s="9">
        <f t="shared" si="102"/>
        <v>1.4910080957667646E-2</v>
      </c>
      <c r="F2231" s="9">
        <f t="shared" si="103"/>
        <v>4.0575674382377129E-2</v>
      </c>
      <c r="G2231" s="9">
        <f t="shared" si="104"/>
        <v>1.4626213855126455E-2</v>
      </c>
    </row>
    <row r="2232" spans="1:7" x14ac:dyDescent="0.2">
      <c r="A2232" s="12">
        <v>40381</v>
      </c>
      <c r="B2232" s="9">
        <v>2209.0700000000002</v>
      </c>
      <c r="C2232" s="9">
        <v>2158.5500000000002</v>
      </c>
      <c r="D2232" s="9">
        <v>2207.25</v>
      </c>
      <c r="E2232" s="9">
        <f t="shared" si="102"/>
        <v>1.7794722638166355E-2</v>
      </c>
      <c r="F2232" s="9">
        <f t="shared" si="103"/>
        <v>3.8870112031843207E-2</v>
      </c>
      <c r="G2232" s="9">
        <f t="shared" si="104"/>
        <v>1.4556389185584129E-2</v>
      </c>
    </row>
    <row r="2233" spans="1:7" x14ac:dyDescent="0.2">
      <c r="A2233" s="12">
        <v>40382</v>
      </c>
      <c r="B2233" s="9">
        <v>2236.15</v>
      </c>
      <c r="C2233" s="9">
        <v>2212.04</v>
      </c>
      <c r="D2233" s="9">
        <v>2227.23</v>
      </c>
      <c r="E2233" s="9">
        <f t="shared" si="102"/>
        <v>9.0112640952775495E-3</v>
      </c>
      <c r="F2233" s="9">
        <f t="shared" si="103"/>
        <v>2.5962371307483998E-2</v>
      </c>
      <c r="G2233" s="9">
        <f t="shared" si="104"/>
        <v>1.4109693808888634E-2</v>
      </c>
    </row>
    <row r="2234" spans="1:7" x14ac:dyDescent="0.2">
      <c r="A2234" s="12">
        <v>40385</v>
      </c>
      <c r="B2234" s="9">
        <v>2251.9699999999998</v>
      </c>
      <c r="C2234" s="9">
        <v>2229.9699999999998</v>
      </c>
      <c r="D2234" s="9">
        <v>2243.38</v>
      </c>
      <c r="E2234" s="9">
        <f t="shared" si="102"/>
        <v>7.2249962547425786E-3</v>
      </c>
      <c r="F2234" s="9">
        <f t="shared" si="103"/>
        <v>3.1746110057531154E-2</v>
      </c>
      <c r="G2234" s="9">
        <f t="shared" si="104"/>
        <v>1.4157266900978557E-2</v>
      </c>
    </row>
    <row r="2235" spans="1:7" x14ac:dyDescent="0.2">
      <c r="A2235" s="12">
        <v>40386</v>
      </c>
      <c r="B2235" s="9">
        <v>2269.84</v>
      </c>
      <c r="C2235" s="9">
        <v>2243.8000000000002</v>
      </c>
      <c r="D2235" s="9">
        <v>2247.69</v>
      </c>
      <c r="E2235" s="9">
        <f t="shared" si="102"/>
        <v>1.9193650168696206E-3</v>
      </c>
      <c r="F2235" s="9">
        <f t="shared" si="103"/>
        <v>1.4163152850003007E-2</v>
      </c>
      <c r="G2235" s="9">
        <f t="shared" si="104"/>
        <v>1.372471809959718E-2</v>
      </c>
    </row>
    <row r="2236" spans="1:7" x14ac:dyDescent="0.2">
      <c r="A2236" s="12">
        <v>40387</v>
      </c>
      <c r="B2236" s="9">
        <v>2265.31</v>
      </c>
      <c r="C2236" s="9">
        <v>2238.12</v>
      </c>
      <c r="D2236" s="9">
        <v>2247.31</v>
      </c>
      <c r="E2236" s="9">
        <f t="shared" si="102"/>
        <v>-1.6907675234940838E-4</v>
      </c>
      <c r="F2236" s="9">
        <f t="shared" si="103"/>
        <v>2.343319496298697E-3</v>
      </c>
      <c r="G2236" s="9">
        <f t="shared" si="104"/>
        <v>1.3561431920715834E-2</v>
      </c>
    </row>
    <row r="2237" spans="1:7" x14ac:dyDescent="0.2">
      <c r="A2237" s="12">
        <v>40388</v>
      </c>
      <c r="B2237" s="9">
        <v>2274.83</v>
      </c>
      <c r="C2237" s="9">
        <v>2237.0100000000002</v>
      </c>
      <c r="D2237" s="9">
        <v>2251.15</v>
      </c>
      <c r="E2237" s="9">
        <f t="shared" si="102"/>
        <v>1.7072513405505573E-3</v>
      </c>
      <c r="F2237" s="9">
        <f t="shared" si="103"/>
        <v>1.7901319742398832E-2</v>
      </c>
      <c r="G2237" s="9">
        <f t="shared" si="104"/>
        <v>1.330547363161449E-2</v>
      </c>
    </row>
    <row r="2238" spans="1:7" x14ac:dyDescent="0.2">
      <c r="A2238" s="12">
        <v>40389</v>
      </c>
      <c r="B2238" s="9">
        <v>2252.6799999999998</v>
      </c>
      <c r="C2238" s="9">
        <v>2214.38</v>
      </c>
      <c r="D2238" s="9">
        <v>2231.87</v>
      </c>
      <c r="E2238" s="9">
        <f t="shared" si="102"/>
        <v>-8.601397659411366E-3</v>
      </c>
      <c r="F2238" s="9">
        <f t="shared" si="103"/>
        <v>1.1477571038333663E-2</v>
      </c>
      <c r="G2238" s="9">
        <f t="shared" si="104"/>
        <v>1.3402992291646322E-2</v>
      </c>
    </row>
    <row r="2239" spans="1:7" x14ac:dyDescent="0.2">
      <c r="A2239" s="12">
        <v>40392</v>
      </c>
      <c r="B2239" s="9">
        <v>2295.23</v>
      </c>
      <c r="C2239" s="9">
        <v>2254.46</v>
      </c>
      <c r="D2239" s="9">
        <v>2294.86</v>
      </c>
      <c r="E2239" s="9">
        <f t="shared" si="102"/>
        <v>2.7832040377916697E-2</v>
      </c>
      <c r="F2239" s="9">
        <f t="shared" si="103"/>
        <v>3.1323996277707676E-2</v>
      </c>
      <c r="G2239" s="9">
        <f t="shared" si="104"/>
        <v>1.4253980715611278E-2</v>
      </c>
    </row>
    <row r="2240" spans="1:7" x14ac:dyDescent="0.2">
      <c r="A2240" s="12">
        <v>40393</v>
      </c>
      <c r="B2240" s="9">
        <v>2308.44</v>
      </c>
      <c r="C2240" s="9">
        <v>2286.9</v>
      </c>
      <c r="D2240" s="9">
        <v>2300.9499999999998</v>
      </c>
      <c r="E2240" s="9">
        <f t="shared" si="102"/>
        <v>2.6502416612383733E-3</v>
      </c>
      <c r="F2240" s="9">
        <f t="shared" si="103"/>
        <v>2.6114340296133708E-2</v>
      </c>
      <c r="G2240" s="9">
        <f t="shared" si="104"/>
        <v>1.4199712571990398E-2</v>
      </c>
    </row>
    <row r="2241" spans="1:7" x14ac:dyDescent="0.2">
      <c r="A2241" s="12">
        <v>40394</v>
      </c>
      <c r="B2241" s="9">
        <v>2305.2399999999998</v>
      </c>
      <c r="C2241" s="9">
        <v>2273.37</v>
      </c>
      <c r="D2241" s="9">
        <v>2296.34</v>
      </c>
      <c r="E2241" s="9">
        <f t="shared" si="102"/>
        <v>-2.0055300166732489E-3</v>
      </c>
      <c r="F2241" s="9">
        <f t="shared" si="103"/>
        <v>2.8776993786573807E-2</v>
      </c>
      <c r="G2241" s="9">
        <f t="shared" si="104"/>
        <v>1.4172194246841248E-2</v>
      </c>
    </row>
    <row r="2242" spans="1:7" x14ac:dyDescent="0.2">
      <c r="A2242" s="12">
        <v>40395</v>
      </c>
      <c r="B2242" s="9">
        <v>2328.44</v>
      </c>
      <c r="C2242" s="9">
        <v>2303.65</v>
      </c>
      <c r="D2242" s="9">
        <v>2313.62</v>
      </c>
      <c r="E2242" s="9">
        <f t="shared" si="102"/>
        <v>7.4968463638815808E-3</v>
      </c>
      <c r="F2242" s="9">
        <f t="shared" si="103"/>
        <v>4.8367107259375673E-2</v>
      </c>
      <c r="G2242" s="9">
        <f t="shared" si="104"/>
        <v>1.4000322421899161E-2</v>
      </c>
    </row>
    <row r="2243" spans="1:7" x14ac:dyDescent="0.2">
      <c r="A2243" s="12">
        <v>40396</v>
      </c>
      <c r="B2243" s="9">
        <v>2333.96</v>
      </c>
      <c r="C2243" s="9">
        <v>2285.9299999999998</v>
      </c>
      <c r="D2243" s="9">
        <v>2295.4499999999998</v>
      </c>
      <c r="E2243" s="9">
        <f t="shared" si="102"/>
        <v>-7.8844947585796979E-3</v>
      </c>
      <c r="F2243" s="9">
        <f t="shared" si="103"/>
        <v>6.4089908019655847E-2</v>
      </c>
      <c r="G2243" s="9">
        <f t="shared" si="104"/>
        <v>1.3300485719204162E-2</v>
      </c>
    </row>
    <row r="2244" spans="1:7" x14ac:dyDescent="0.2">
      <c r="A2244" s="12">
        <v>40399</v>
      </c>
      <c r="B2244" s="9">
        <v>2329.31</v>
      </c>
      <c r="C2244" s="9">
        <v>2310.6799999999998</v>
      </c>
      <c r="D2244" s="9">
        <v>2325.59</v>
      </c>
      <c r="E2244" s="9">
        <f t="shared" ref="E2244:E2307" si="105">LN(D2244/D2243)</f>
        <v>1.3044867564666216E-2</v>
      </c>
      <c r="F2244" s="9">
        <f t="shared" si="103"/>
        <v>7.1031605042700563E-2</v>
      </c>
      <c r="G2244" s="9">
        <f t="shared" si="104"/>
        <v>1.3431613270315675E-2</v>
      </c>
    </row>
    <row r="2245" spans="1:7" x14ac:dyDescent="0.2">
      <c r="A2245" s="12">
        <v>40400</v>
      </c>
      <c r="B2245" s="9">
        <v>2318.13</v>
      </c>
      <c r="C2245" s="9">
        <v>2286.4899999999998</v>
      </c>
      <c r="D2245" s="9">
        <v>2292.96</v>
      </c>
      <c r="E2245" s="9">
        <f t="shared" si="105"/>
        <v>-1.4130210960059605E-2</v>
      </c>
      <c r="F2245" s="9">
        <f t="shared" si="103"/>
        <v>9.0118183007100588E-2</v>
      </c>
      <c r="G2245" s="9">
        <f t="shared" si="104"/>
        <v>1.2071082589787499E-2</v>
      </c>
    </row>
    <row r="2246" spans="1:7" x14ac:dyDescent="0.2">
      <c r="A2246" s="12">
        <v>40401</v>
      </c>
      <c r="B2246" s="9">
        <v>2286.9299999999998</v>
      </c>
      <c r="C2246" s="9">
        <v>2229.65</v>
      </c>
      <c r="D2246" s="9">
        <v>2231.35</v>
      </c>
      <c r="E2246" s="9">
        <f t="shared" si="105"/>
        <v>-2.7236775858934678E-2</v>
      </c>
      <c r="F2246" s="9">
        <f t="shared" si="103"/>
        <v>6.3277598938812837E-2</v>
      </c>
      <c r="G2246" s="9">
        <f t="shared" si="104"/>
        <v>1.3267208840905103E-2</v>
      </c>
    </row>
    <row r="2247" spans="1:7" x14ac:dyDescent="0.2">
      <c r="A2247" s="12">
        <v>40402</v>
      </c>
      <c r="B2247" s="9">
        <v>2257.06</v>
      </c>
      <c r="C2247" s="9">
        <v>2217.08</v>
      </c>
      <c r="D2247" s="9">
        <v>2233.79</v>
      </c>
      <c r="E2247" s="9">
        <f t="shared" si="105"/>
        <v>1.0929109693637719E-3</v>
      </c>
      <c r="F2247" s="9">
        <f t="shared" si="103"/>
        <v>8.5026102652987268E-2</v>
      </c>
      <c r="G2247" s="9">
        <f t="shared" si="104"/>
        <v>1.2555496444867285E-2</v>
      </c>
    </row>
    <row r="2248" spans="1:7" x14ac:dyDescent="0.2">
      <c r="A2248" s="12">
        <v>40403</v>
      </c>
      <c r="B2248" s="9">
        <v>2263.6799999999998</v>
      </c>
      <c r="C2248" s="9">
        <v>2223.71</v>
      </c>
      <c r="D2248" s="9">
        <v>2258.7199999999998</v>
      </c>
      <c r="E2248" s="9">
        <f t="shared" si="105"/>
        <v>1.1098586715698952E-2</v>
      </c>
      <c r="F2248" s="9">
        <f t="shared" si="103"/>
        <v>9.1893289029717981E-2</v>
      </c>
      <c r="G2248" s="9">
        <f t="shared" si="104"/>
        <v>1.2644134756825812E-2</v>
      </c>
    </row>
    <row r="2249" spans="1:7" x14ac:dyDescent="0.2">
      <c r="A2249" s="12">
        <v>40406</v>
      </c>
      <c r="B2249" s="9">
        <v>2269.81</v>
      </c>
      <c r="C2249" s="9">
        <v>2230.1799999999998</v>
      </c>
      <c r="D2249" s="9">
        <v>2248.71</v>
      </c>
      <c r="E2249" s="9">
        <f t="shared" si="105"/>
        <v>-4.4415626891598278E-3</v>
      </c>
      <c r="F2249" s="9">
        <f t="shared" si="103"/>
        <v>9.2668156261294085E-2</v>
      </c>
      <c r="G2249" s="9">
        <f t="shared" si="104"/>
        <v>1.2627418834424241E-2</v>
      </c>
    </row>
    <row r="2250" spans="1:7" x14ac:dyDescent="0.2">
      <c r="A2250" s="12">
        <v>40407</v>
      </c>
      <c r="B2250" s="9">
        <v>2287.62</v>
      </c>
      <c r="C2250" s="9">
        <v>2252.94</v>
      </c>
      <c r="D2250" s="9">
        <v>2287.62</v>
      </c>
      <c r="E2250" s="9">
        <f t="shared" si="105"/>
        <v>1.7155257343414144E-2</v>
      </c>
      <c r="F2250" s="9">
        <f t="shared" si="103"/>
        <v>8.1919414766629062E-2</v>
      </c>
      <c r="G2250" s="9">
        <f t="shared" si="104"/>
        <v>1.2037760147721075E-2</v>
      </c>
    </row>
    <row r="2251" spans="1:7" x14ac:dyDescent="0.2">
      <c r="A2251" s="12">
        <v>40408</v>
      </c>
      <c r="B2251" s="9">
        <v>2292.79</v>
      </c>
      <c r="C2251" s="9">
        <v>2270.5500000000002</v>
      </c>
      <c r="D2251" s="9">
        <v>2285.19</v>
      </c>
      <c r="E2251" s="9">
        <f t="shared" si="105"/>
        <v>-1.0628039340073916E-3</v>
      </c>
      <c r="F2251" s="9">
        <f t="shared" si="103"/>
        <v>7.6118577786600153E-2</v>
      </c>
      <c r="G2251" s="9">
        <f t="shared" si="104"/>
        <v>1.2050985691482483E-2</v>
      </c>
    </row>
    <row r="2252" spans="1:7" x14ac:dyDescent="0.2">
      <c r="A2252" s="12">
        <v>40409</v>
      </c>
      <c r="B2252" s="9">
        <v>2309.06</v>
      </c>
      <c r="C2252" s="9">
        <v>2259.08</v>
      </c>
      <c r="D2252" s="9">
        <v>2259.17</v>
      </c>
      <c r="E2252" s="9">
        <f t="shared" si="105"/>
        <v>-1.1451682682207769E-2</v>
      </c>
      <c r="F2252" s="9">
        <f t="shared" si="103"/>
        <v>5.84155213844871E-2</v>
      </c>
      <c r="G2252" s="9">
        <f t="shared" si="104"/>
        <v>1.2293833070894621E-2</v>
      </c>
    </row>
    <row r="2253" spans="1:7" x14ac:dyDescent="0.2">
      <c r="A2253" s="12">
        <v>40410</v>
      </c>
      <c r="B2253" s="9">
        <v>2268.8200000000002</v>
      </c>
      <c r="C2253" s="9">
        <v>2214.27</v>
      </c>
      <c r="D2253" s="9">
        <v>2222.34</v>
      </c>
      <c r="E2253" s="9">
        <f t="shared" si="105"/>
        <v>-1.6436794378470228E-2</v>
      </c>
      <c r="F2253" s="9">
        <f t="shared" si="103"/>
        <v>3.0222557310863998E-2</v>
      </c>
      <c r="G2253" s="9">
        <f t="shared" si="104"/>
        <v>1.2592103854265492E-2</v>
      </c>
    </row>
    <row r="2254" spans="1:7" x14ac:dyDescent="0.2">
      <c r="A2254" s="12">
        <v>40413</v>
      </c>
      <c r="B2254" s="9">
        <v>2237.86</v>
      </c>
      <c r="C2254" s="9">
        <v>2213.2600000000002</v>
      </c>
      <c r="D2254" s="9">
        <v>2222.96</v>
      </c>
      <c r="E2254" s="9">
        <f t="shared" si="105"/>
        <v>2.7894630464545981E-4</v>
      </c>
      <c r="F2254" s="9">
        <f t="shared" si="103"/>
        <v>2.9866322440024875E-2</v>
      </c>
      <c r="G2254" s="9">
        <f t="shared" si="104"/>
        <v>1.2592634938151019E-2</v>
      </c>
    </row>
    <row r="2255" spans="1:7" x14ac:dyDescent="0.2">
      <c r="A2255" s="12">
        <v>40414</v>
      </c>
      <c r="B2255" s="9">
        <v>2211.4899999999998</v>
      </c>
      <c r="C2255" s="9">
        <v>2166.08</v>
      </c>
      <c r="D2255" s="9">
        <v>2181.87</v>
      </c>
      <c r="E2255" s="9">
        <f t="shared" si="105"/>
        <v>-1.8657333850418508E-2</v>
      </c>
      <c r="F2255" s="9">
        <f t="shared" si="103"/>
        <v>-1.0332026983722832E-2</v>
      </c>
      <c r="G2255" s="9">
        <f t="shared" si="104"/>
        <v>1.2469154800195954E-2</v>
      </c>
    </row>
    <row r="2256" spans="1:7" x14ac:dyDescent="0.2">
      <c r="A2256" s="12">
        <v>40415</v>
      </c>
      <c r="B2256" s="9">
        <v>2197.7199999999998</v>
      </c>
      <c r="C2256" s="9">
        <v>2144.56</v>
      </c>
      <c r="D2256" s="9">
        <v>2163.65</v>
      </c>
      <c r="E2256" s="9">
        <f t="shared" si="105"/>
        <v>-8.3856968873421145E-3</v>
      </c>
      <c r="F2256" s="9">
        <f t="shared" si="103"/>
        <v>-1.7723821087328891E-2</v>
      </c>
      <c r="G2256" s="9">
        <f t="shared" si="104"/>
        <v>1.25551667103801E-2</v>
      </c>
    </row>
    <row r="2257" spans="1:7" x14ac:dyDescent="0.2">
      <c r="A2257" s="12">
        <v>40416</v>
      </c>
      <c r="B2257" s="9">
        <v>2190.44</v>
      </c>
      <c r="C2257" s="9">
        <v>2169.88</v>
      </c>
      <c r="D2257" s="9">
        <v>2182.3000000000002</v>
      </c>
      <c r="E2257" s="9">
        <f t="shared" si="105"/>
        <v>8.5827561226109669E-3</v>
      </c>
      <c r="F2257" s="9">
        <f t="shared" si="103"/>
        <v>-9.1646008129901005E-6</v>
      </c>
      <c r="G2257" s="9">
        <f t="shared" si="104"/>
        <v>1.2556187300236214E-2</v>
      </c>
    </row>
    <row r="2258" spans="1:7" x14ac:dyDescent="0.2">
      <c r="A2258" s="12">
        <v>40417</v>
      </c>
      <c r="B2258" s="9">
        <v>2196.11</v>
      </c>
      <c r="C2258" s="9">
        <v>2157.94</v>
      </c>
      <c r="D2258" s="9">
        <v>2196.11</v>
      </c>
      <c r="E2258" s="9">
        <f t="shared" si="105"/>
        <v>6.3082469646323375E-3</v>
      </c>
      <c r="F2258" s="9">
        <f t="shared" si="103"/>
        <v>2.7762055709217082E-2</v>
      </c>
      <c r="G2258" s="9">
        <f t="shared" si="104"/>
        <v>1.1927252257307935E-2</v>
      </c>
    </row>
    <row r="2259" spans="1:7" x14ac:dyDescent="0.2">
      <c r="A2259" s="12">
        <v>40420</v>
      </c>
      <c r="B2259" s="9">
        <v>2211.84</v>
      </c>
      <c r="C2259" s="9">
        <v>2190.83</v>
      </c>
      <c r="D2259" s="9">
        <v>2198.59</v>
      </c>
      <c r="E2259" s="9">
        <f t="shared" si="105"/>
        <v>1.1286323358838471E-3</v>
      </c>
      <c r="F2259" s="9">
        <f t="shared" si="103"/>
        <v>3.1037204998614541E-2</v>
      </c>
      <c r="G2259" s="9">
        <f t="shared" si="104"/>
        <v>1.1913145607782597E-2</v>
      </c>
    </row>
    <row r="2260" spans="1:7" x14ac:dyDescent="0.2">
      <c r="A2260" s="12">
        <v>40421</v>
      </c>
      <c r="B2260" s="9">
        <v>2210.1</v>
      </c>
      <c r="C2260" s="9">
        <v>2169.77</v>
      </c>
      <c r="D2260" s="9">
        <v>2209.9299999999998</v>
      </c>
      <c r="E2260" s="9">
        <f t="shared" si="105"/>
        <v>5.1445950165449721E-3</v>
      </c>
      <c r="F2260" s="9">
        <f t="shared" si="103"/>
        <v>3.3918247616157395E-2</v>
      </c>
      <c r="G2260" s="9">
        <f t="shared" si="104"/>
        <v>1.1934986698645343E-2</v>
      </c>
    </row>
    <row r="2261" spans="1:7" x14ac:dyDescent="0.2">
      <c r="A2261" s="12">
        <v>40422</v>
      </c>
      <c r="B2261" s="9">
        <v>2277.83</v>
      </c>
      <c r="C2261" s="9">
        <v>2209.35</v>
      </c>
      <c r="D2261" s="9">
        <v>2277.66</v>
      </c>
      <c r="E2261" s="9">
        <f t="shared" si="105"/>
        <v>3.0187759334322325E-2</v>
      </c>
      <c r="F2261" s="9">
        <f t="shared" si="103"/>
        <v>4.9195925992811973E-2</v>
      </c>
      <c r="G2261" s="9">
        <f t="shared" si="104"/>
        <v>1.283521184459481E-2</v>
      </c>
    </row>
    <row r="2262" spans="1:7" x14ac:dyDescent="0.2">
      <c r="A2262" s="12">
        <v>40423</v>
      </c>
      <c r="B2262" s="9">
        <v>2292.8200000000002</v>
      </c>
      <c r="C2262" s="9">
        <v>2275.14</v>
      </c>
      <c r="D2262" s="9">
        <v>2283.4499999999998</v>
      </c>
      <c r="E2262" s="9">
        <f t="shared" si="105"/>
        <v>2.5388570370351955E-3</v>
      </c>
      <c r="F2262" s="9">
        <f t="shared" si="103"/>
        <v>3.3940060391680828E-2</v>
      </c>
      <c r="G2262" s="9">
        <f t="shared" si="104"/>
        <v>1.2470113124626375E-2</v>
      </c>
    </row>
    <row r="2263" spans="1:7" x14ac:dyDescent="0.2">
      <c r="A2263" s="12">
        <v>40424</v>
      </c>
      <c r="B2263" s="9">
        <v>2304.15</v>
      </c>
      <c r="C2263" s="9">
        <v>2274</v>
      </c>
      <c r="D2263" s="9">
        <v>2289.4299999999998</v>
      </c>
      <c r="E2263" s="9">
        <f t="shared" si="105"/>
        <v>2.6154210951578141E-3</v>
      </c>
      <c r="F2263" s="9">
        <f t="shared" si="103"/>
        <v>2.7544217391561123E-2</v>
      </c>
      <c r="G2263" s="9">
        <f t="shared" si="104"/>
        <v>1.2385132343834348E-2</v>
      </c>
    </row>
    <row r="2264" spans="1:7" x14ac:dyDescent="0.2">
      <c r="A2264" s="12">
        <v>40427</v>
      </c>
      <c r="B2264" s="9">
        <v>2308.88</v>
      </c>
      <c r="C2264" s="9">
        <v>2286.64</v>
      </c>
      <c r="D2264" s="9">
        <v>2289.64</v>
      </c>
      <c r="E2264" s="9">
        <f t="shared" si="105"/>
        <v>9.1721681541202189E-5</v>
      </c>
      <c r="F2264" s="9">
        <f t="shared" si="103"/>
        <v>2.0410942818359593E-2</v>
      </c>
      <c r="G2264" s="9">
        <f t="shared" si="104"/>
        <v>1.2328218278208666E-2</v>
      </c>
    </row>
    <row r="2265" spans="1:7" x14ac:dyDescent="0.2">
      <c r="A2265" s="12">
        <v>40428</v>
      </c>
      <c r="B2265" s="9">
        <v>2299.7399999999998</v>
      </c>
      <c r="C2265" s="9">
        <v>2268.3200000000002</v>
      </c>
      <c r="D2265" s="9">
        <v>2279.6</v>
      </c>
      <c r="E2265" s="9">
        <f t="shared" si="105"/>
        <v>-4.3946109892272246E-3</v>
      </c>
      <c r="F2265" s="9">
        <f t="shared" si="103"/>
        <v>1.4096966812262909E-2</v>
      </c>
      <c r="G2265" s="9">
        <f t="shared" si="104"/>
        <v>1.2360191093730516E-2</v>
      </c>
    </row>
    <row r="2266" spans="1:7" x14ac:dyDescent="0.2">
      <c r="A2266" s="12">
        <v>40429</v>
      </c>
      <c r="B2266" s="9">
        <v>2313.5</v>
      </c>
      <c r="C2266" s="9">
        <v>2266.63</v>
      </c>
      <c r="D2266" s="9">
        <v>2310.02</v>
      </c>
      <c r="E2266" s="9">
        <f t="shared" si="105"/>
        <v>1.3256193526172536E-2</v>
      </c>
      <c r="F2266" s="9">
        <f t="shared" si="103"/>
        <v>2.7522237090784822E-2</v>
      </c>
      <c r="G2266" s="9">
        <f t="shared" si="104"/>
        <v>1.2577385978457428E-2</v>
      </c>
    </row>
    <row r="2267" spans="1:7" x14ac:dyDescent="0.2">
      <c r="A2267" s="12">
        <v>40430</v>
      </c>
      <c r="B2267" s="9">
        <v>2337.75</v>
      </c>
      <c r="C2267" s="9">
        <v>2299.79</v>
      </c>
      <c r="D2267" s="9">
        <v>2333.15</v>
      </c>
      <c r="E2267" s="9">
        <f t="shared" si="105"/>
        <v>9.9631033668561072E-3</v>
      </c>
      <c r="F2267" s="9">
        <f t="shared" si="103"/>
        <v>3.577808911709035E-2</v>
      </c>
      <c r="G2267" s="9">
        <f t="shared" si="104"/>
        <v>1.2685122004081263E-2</v>
      </c>
    </row>
    <row r="2268" spans="1:7" x14ac:dyDescent="0.2">
      <c r="A2268" s="12">
        <v>40431</v>
      </c>
      <c r="B2268" s="9">
        <v>2374.1999999999998</v>
      </c>
      <c r="C2268" s="9">
        <v>2342.4699999999998</v>
      </c>
      <c r="D2268" s="9">
        <v>2352.67</v>
      </c>
      <c r="E2268" s="9">
        <f t="shared" si="105"/>
        <v>8.3315675441928902E-3</v>
      </c>
      <c r="F2268" s="9">
        <f t="shared" si="103"/>
        <v>5.2711054320694575E-2</v>
      </c>
      <c r="G2268" s="9">
        <f t="shared" si="104"/>
        <v>1.2610808369157629E-2</v>
      </c>
    </row>
    <row r="2269" spans="1:7" x14ac:dyDescent="0.2">
      <c r="A2269" s="12">
        <v>40434</v>
      </c>
      <c r="B2269" s="9">
        <v>2384.15</v>
      </c>
      <c r="C2269" s="9">
        <v>2365.94</v>
      </c>
      <c r="D2269" s="9">
        <v>2375.2199999999998</v>
      </c>
      <c r="E2269" s="9">
        <f t="shared" si="105"/>
        <v>9.539211359583296E-3</v>
      </c>
      <c r="F2269" s="9">
        <f t="shared" si="103"/>
        <v>3.4418225302361383E-2</v>
      </c>
      <c r="G2269" s="9">
        <f t="shared" si="104"/>
        <v>1.171713195984889E-2</v>
      </c>
    </row>
    <row r="2270" spans="1:7" x14ac:dyDescent="0.2">
      <c r="A2270" s="12">
        <v>40435</v>
      </c>
      <c r="B2270" s="9">
        <v>2382.31</v>
      </c>
      <c r="C2270" s="9">
        <v>2344.88</v>
      </c>
      <c r="D2270" s="9">
        <v>2359.9899999999998</v>
      </c>
      <c r="E2270" s="9">
        <f t="shared" si="105"/>
        <v>-6.432683035106369E-3</v>
      </c>
      <c r="F2270" s="9">
        <f t="shared" si="103"/>
        <v>2.5335300606016607E-2</v>
      </c>
      <c r="G2270" s="9">
        <f t="shared" si="104"/>
        <v>1.1794053316893788E-2</v>
      </c>
    </row>
    <row r="2271" spans="1:7" x14ac:dyDescent="0.2">
      <c r="A2271" s="12">
        <v>40436</v>
      </c>
      <c r="B2271" s="9">
        <v>2369.4</v>
      </c>
      <c r="C2271" s="9">
        <v>2345.63</v>
      </c>
      <c r="D2271" s="9">
        <v>2362.52</v>
      </c>
      <c r="E2271" s="9">
        <f t="shared" si="105"/>
        <v>1.0714642179876026E-3</v>
      </c>
      <c r="F2271" s="9">
        <f t="shared" si="103"/>
        <v>2.8412294840677435E-2</v>
      </c>
      <c r="G2271" s="9">
        <f t="shared" si="104"/>
        <v>1.1781786497570506E-2</v>
      </c>
    </row>
    <row r="2272" spans="1:7" x14ac:dyDescent="0.2">
      <c r="A2272" s="12">
        <v>40437</v>
      </c>
      <c r="B2272" s="9">
        <v>2372.0100000000002</v>
      </c>
      <c r="C2272" s="9">
        <v>2352.7199999999998</v>
      </c>
      <c r="D2272" s="9">
        <v>2362.8000000000002</v>
      </c>
      <c r="E2272" s="9">
        <f t="shared" si="105"/>
        <v>1.1851049254981004E-4</v>
      </c>
      <c r="F2272" s="9">
        <f t="shared" si="103"/>
        <v>2.1033958969345658E-2</v>
      </c>
      <c r="G2272" s="9">
        <f t="shared" si="104"/>
        <v>1.1717179656672154E-2</v>
      </c>
    </row>
    <row r="2273" spans="1:7" x14ac:dyDescent="0.2">
      <c r="A2273" s="12">
        <v>40438</v>
      </c>
      <c r="B2273" s="9">
        <v>2404.71</v>
      </c>
      <c r="C2273" s="9">
        <v>2358.4699999999998</v>
      </c>
      <c r="D2273" s="9">
        <v>2372.21</v>
      </c>
      <c r="E2273" s="9">
        <f t="shared" si="105"/>
        <v>3.9746536493738688E-3</v>
      </c>
      <c r="F2273" s="9">
        <f t="shared" ref="F2273:F2336" si="106">LN(D2273/D2243)</f>
        <v>3.2893107377299301E-2</v>
      </c>
      <c r="G2273" s="9">
        <f t="shared" ref="G2273:G2336" si="107">STDEV(E2244:E2273)</f>
        <v>1.1617156830679183E-2</v>
      </c>
    </row>
    <row r="2274" spans="1:7" x14ac:dyDescent="0.2">
      <c r="A2274" s="12">
        <v>40441</v>
      </c>
      <c r="B2274" s="9">
        <v>2405.65</v>
      </c>
      <c r="C2274" s="9">
        <v>2373.9</v>
      </c>
      <c r="D2274" s="9">
        <v>2404.62</v>
      </c>
      <c r="E2274" s="9">
        <f t="shared" si="105"/>
        <v>1.3569876815431224E-2</v>
      </c>
      <c r="F2274" s="9">
        <f t="shared" si="106"/>
        <v>3.3418116628064244E-2</v>
      </c>
      <c r="G2274" s="9">
        <f t="shared" si="107"/>
        <v>1.1636156748164594E-2</v>
      </c>
    </row>
    <row r="2275" spans="1:7" x14ac:dyDescent="0.2">
      <c r="A2275" s="12">
        <v>40442</v>
      </c>
      <c r="B2275" s="9">
        <v>2417.35</v>
      </c>
      <c r="C2275" s="9">
        <v>2392.5300000000002</v>
      </c>
      <c r="D2275" s="9">
        <v>2396.7800000000002</v>
      </c>
      <c r="E2275" s="9">
        <f t="shared" si="105"/>
        <v>-3.2657170690791057E-3</v>
      </c>
      <c r="F2275" s="9">
        <f t="shared" si="106"/>
        <v>4.4282610519044724E-2</v>
      </c>
      <c r="G2275" s="9">
        <f t="shared" si="107"/>
        <v>1.1309847579468546E-2</v>
      </c>
    </row>
    <row r="2276" spans="1:7" x14ac:dyDescent="0.2">
      <c r="A2276" s="12">
        <v>40443</v>
      </c>
      <c r="B2276" s="9">
        <v>2399.69</v>
      </c>
      <c r="C2276" s="9">
        <v>2361.0300000000002</v>
      </c>
      <c r="D2276" s="9">
        <v>2363.67</v>
      </c>
      <c r="E2276" s="9">
        <f t="shared" si="105"/>
        <v>-1.3910673955583281E-2</v>
      </c>
      <c r="F2276" s="9">
        <f t="shared" si="106"/>
        <v>5.7608712422396263E-2</v>
      </c>
      <c r="G2276" s="9">
        <f t="shared" si="107"/>
        <v>1.0365512005268123E-2</v>
      </c>
    </row>
    <row r="2277" spans="1:7" x14ac:dyDescent="0.2">
      <c r="A2277" s="12">
        <v>40444</v>
      </c>
      <c r="B2277" s="9">
        <v>2378.2399999999998</v>
      </c>
      <c r="C2277" s="9">
        <v>2320.21</v>
      </c>
      <c r="D2277" s="9">
        <v>2340.9</v>
      </c>
      <c r="E2277" s="9">
        <f t="shared" si="105"/>
        <v>-9.6800250823976114E-3</v>
      </c>
      <c r="F2277" s="9">
        <f t="shared" si="106"/>
        <v>4.6835776370634692E-2</v>
      </c>
      <c r="G2277" s="9">
        <f t="shared" si="107"/>
        <v>1.0579559927144379E-2</v>
      </c>
    </row>
    <row r="2278" spans="1:7" x14ac:dyDescent="0.2">
      <c r="A2278" s="12">
        <v>40445</v>
      </c>
      <c r="B2278" s="9">
        <v>2382.87</v>
      </c>
      <c r="C2278" s="9">
        <v>2329.3200000000002</v>
      </c>
      <c r="D2278" s="9">
        <v>2382.14</v>
      </c>
      <c r="E2278" s="9">
        <f t="shared" si="105"/>
        <v>1.7463772536666741E-2</v>
      </c>
      <c r="F2278" s="9">
        <f t="shared" si="106"/>
        <v>5.3200962191602585E-2</v>
      </c>
      <c r="G2278" s="9">
        <f t="shared" si="107"/>
        <v>1.0838095650321381E-2</v>
      </c>
    </row>
    <row r="2279" spans="1:7" x14ac:dyDescent="0.2">
      <c r="A2279" s="12">
        <v>40448</v>
      </c>
      <c r="B2279" s="9">
        <v>2392.59</v>
      </c>
      <c r="C2279" s="9">
        <v>2368.8200000000002</v>
      </c>
      <c r="D2279" s="9">
        <v>2370.89</v>
      </c>
      <c r="E2279" s="9">
        <f t="shared" si="105"/>
        <v>-4.7338312649312739E-3</v>
      </c>
      <c r="F2279" s="9">
        <f t="shared" si="106"/>
        <v>5.2908693615831212E-2</v>
      </c>
      <c r="G2279" s="9">
        <f t="shared" si="107"/>
        <v>1.0844004592340457E-2</v>
      </c>
    </row>
    <row r="2280" spans="1:7" x14ac:dyDescent="0.2">
      <c r="A2280" s="12">
        <v>40449</v>
      </c>
      <c r="B2280" s="9">
        <v>2399.34</v>
      </c>
      <c r="C2280" s="9">
        <v>2358.73</v>
      </c>
      <c r="D2280" s="9">
        <v>2399.34</v>
      </c>
      <c r="E2280" s="9">
        <f t="shared" si="105"/>
        <v>1.1928287454042561E-2</v>
      </c>
      <c r="F2280" s="9">
        <f t="shared" si="106"/>
        <v>4.7681723726459686E-2</v>
      </c>
      <c r="G2280" s="9">
        <f t="shared" si="107"/>
        <v>1.0628017497979531E-2</v>
      </c>
    </row>
    <row r="2281" spans="1:7" x14ac:dyDescent="0.2">
      <c r="A2281" s="12">
        <v>40450</v>
      </c>
      <c r="B2281" s="9">
        <v>2415.17</v>
      </c>
      <c r="C2281" s="9">
        <v>2393.33</v>
      </c>
      <c r="D2281" s="9">
        <v>2403.38</v>
      </c>
      <c r="E2281" s="9">
        <f t="shared" si="105"/>
        <v>1.682380381493181E-3</v>
      </c>
      <c r="F2281" s="9">
        <f t="shared" si="106"/>
        <v>5.0426908041960289E-2</v>
      </c>
      <c r="G2281" s="9">
        <f t="shared" si="107"/>
        <v>1.0616206269527955E-2</v>
      </c>
    </row>
    <row r="2282" spans="1:7" x14ac:dyDescent="0.2">
      <c r="A2282" s="12">
        <v>40451</v>
      </c>
      <c r="B2282" s="9">
        <v>2437.19</v>
      </c>
      <c r="C2282" s="9">
        <v>2396.13</v>
      </c>
      <c r="D2282" s="9">
        <v>2414.67</v>
      </c>
      <c r="E2282" s="9">
        <f t="shared" si="105"/>
        <v>4.6865518889335593E-3</v>
      </c>
      <c r="F2282" s="9">
        <f t="shared" si="106"/>
        <v>6.6565142613101383E-2</v>
      </c>
      <c r="G2282" s="9">
        <f t="shared" si="107"/>
        <v>1.0332905464755737E-2</v>
      </c>
    </row>
    <row r="2283" spans="1:7" x14ac:dyDescent="0.2">
      <c r="A2283" s="12">
        <v>40452</v>
      </c>
      <c r="B2283" s="9">
        <v>2438.7199999999998</v>
      </c>
      <c r="C2283" s="9">
        <v>2410.7199999999998</v>
      </c>
      <c r="D2283" s="9">
        <v>2420.4</v>
      </c>
      <c r="E2283" s="9">
        <f t="shared" si="105"/>
        <v>2.3701839611363893E-3</v>
      </c>
      <c r="F2283" s="9">
        <f t="shared" si="106"/>
        <v>8.5372120952708089E-2</v>
      </c>
      <c r="G2283" s="9">
        <f t="shared" si="107"/>
        <v>9.7140128550684147E-3</v>
      </c>
    </row>
    <row r="2284" spans="1:7" x14ac:dyDescent="0.2">
      <c r="A2284" s="12">
        <v>40455</v>
      </c>
      <c r="B2284" s="9">
        <v>2430.1999999999998</v>
      </c>
      <c r="C2284" s="9">
        <v>2399.64</v>
      </c>
      <c r="D2284" s="9">
        <v>2400.11</v>
      </c>
      <c r="E2284" s="9">
        <f t="shared" si="105"/>
        <v>-8.4182461291111912E-3</v>
      </c>
      <c r="F2284" s="9">
        <f t="shared" si="106"/>
        <v>7.6674928518951468E-2</v>
      </c>
      <c r="G2284" s="9">
        <f t="shared" si="107"/>
        <v>9.9208364195488095E-3</v>
      </c>
    </row>
    <row r="2285" spans="1:7" x14ac:dyDescent="0.2">
      <c r="A2285" s="12">
        <v>40456</v>
      </c>
      <c r="B2285" s="9">
        <v>2438.2399999999998</v>
      </c>
      <c r="C2285" s="9">
        <v>2392.6999999999998</v>
      </c>
      <c r="D2285" s="9">
        <v>2431.58</v>
      </c>
      <c r="E2285" s="9">
        <f t="shared" si="105"/>
        <v>1.3026682184673625E-2</v>
      </c>
      <c r="F2285" s="9">
        <f t="shared" si="106"/>
        <v>0.10835894455404364</v>
      </c>
      <c r="G2285" s="9">
        <f t="shared" si="107"/>
        <v>9.2483822721917391E-3</v>
      </c>
    </row>
    <row r="2286" spans="1:7" x14ac:dyDescent="0.2">
      <c r="A2286" s="12">
        <v>40457</v>
      </c>
      <c r="B2286" s="9">
        <v>2460.04</v>
      </c>
      <c r="C2286" s="9">
        <v>2437.41</v>
      </c>
      <c r="D2286" s="9">
        <v>2444.25</v>
      </c>
      <c r="E2286" s="9">
        <f t="shared" si="105"/>
        <v>5.1970755820517842E-3</v>
      </c>
      <c r="F2286" s="9">
        <f t="shared" si="106"/>
        <v>0.12194171702343748</v>
      </c>
      <c r="G2286" s="9">
        <f t="shared" si="107"/>
        <v>8.9690341444641983E-3</v>
      </c>
    </row>
    <row r="2287" spans="1:7" x14ac:dyDescent="0.2">
      <c r="A2287" s="12">
        <v>40458</v>
      </c>
      <c r="B2287" s="9">
        <v>2468.75</v>
      </c>
      <c r="C2287" s="9">
        <v>2433.1</v>
      </c>
      <c r="D2287" s="9">
        <v>2460.02</v>
      </c>
      <c r="E2287" s="9">
        <f t="shared" si="105"/>
        <v>6.4311525888797409E-3</v>
      </c>
      <c r="F2287" s="9">
        <f t="shared" si="106"/>
        <v>0.11979011348970606</v>
      </c>
      <c r="G2287" s="9">
        <f t="shared" si="107"/>
        <v>8.9402165509757103E-3</v>
      </c>
    </row>
    <row r="2288" spans="1:7" x14ac:dyDescent="0.2">
      <c r="A2288" s="12">
        <v>40459</v>
      </c>
      <c r="B2288" s="9">
        <v>2468.5100000000002</v>
      </c>
      <c r="C2288" s="9">
        <v>2446.63</v>
      </c>
      <c r="D2288" s="9">
        <v>2466.8200000000002</v>
      </c>
      <c r="E2288" s="9">
        <f t="shared" si="105"/>
        <v>2.7603917796661451E-3</v>
      </c>
      <c r="F2288" s="9">
        <f t="shared" si="106"/>
        <v>0.11624225830473987</v>
      </c>
      <c r="G2288" s="9">
        <f t="shared" si="107"/>
        <v>8.9319961333361175E-3</v>
      </c>
    </row>
    <row r="2289" spans="1:7" x14ac:dyDescent="0.2">
      <c r="A2289" s="12">
        <v>40462</v>
      </c>
      <c r="B2289" s="9">
        <v>2492.71</v>
      </c>
      <c r="C2289" s="9">
        <v>2470.9899999999998</v>
      </c>
      <c r="D2289" s="9">
        <v>2488.63</v>
      </c>
      <c r="E2289" s="9">
        <f t="shared" si="105"/>
        <v>8.8024864852101151E-3</v>
      </c>
      <c r="F2289" s="9">
        <f t="shared" si="106"/>
        <v>0.12391611245406621</v>
      </c>
      <c r="G2289" s="9">
        <f t="shared" si="107"/>
        <v>8.9604777939109176E-3</v>
      </c>
    </row>
    <row r="2290" spans="1:7" x14ac:dyDescent="0.2">
      <c r="A2290" s="12">
        <v>40463</v>
      </c>
      <c r="B2290" s="9">
        <v>2487.81</v>
      </c>
      <c r="C2290" s="9">
        <v>2458.15</v>
      </c>
      <c r="D2290" s="9">
        <v>2484.59</v>
      </c>
      <c r="E2290" s="9">
        <f t="shared" si="105"/>
        <v>-1.6247022607826201E-3</v>
      </c>
      <c r="F2290" s="9">
        <f t="shared" si="106"/>
        <v>0.11714681517673871</v>
      </c>
      <c r="G2290" s="9">
        <f t="shared" si="107"/>
        <v>9.0191018108650815E-3</v>
      </c>
    </row>
    <row r="2291" spans="1:7" x14ac:dyDescent="0.2">
      <c r="A2291" s="12">
        <v>40464</v>
      </c>
      <c r="B2291" s="9">
        <v>2526.0700000000002</v>
      </c>
      <c r="C2291" s="9">
        <v>2493.36</v>
      </c>
      <c r="D2291" s="9">
        <v>2519.38</v>
      </c>
      <c r="E2291" s="9">
        <f t="shared" si="105"/>
        <v>1.3905183509908112E-2</v>
      </c>
      <c r="F2291" s="9">
        <f t="shared" si="106"/>
        <v>0.1008642393523245</v>
      </c>
      <c r="G2291" s="9">
        <f t="shared" si="107"/>
        <v>7.788942410723242E-3</v>
      </c>
    </row>
    <row r="2292" spans="1:7" x14ac:dyDescent="0.2">
      <c r="A2292" s="12">
        <v>40465</v>
      </c>
      <c r="B2292" s="9">
        <v>2530.56</v>
      </c>
      <c r="C2292" s="9">
        <v>2475.9499999999998</v>
      </c>
      <c r="D2292" s="9">
        <v>2476.54</v>
      </c>
      <c r="E2292" s="9">
        <f t="shared" si="105"/>
        <v>-1.7150414763633638E-2</v>
      </c>
      <c r="F2292" s="9">
        <f t="shared" si="106"/>
        <v>8.1174967551655847E-2</v>
      </c>
      <c r="G2292" s="9">
        <f t="shared" si="107"/>
        <v>8.6433670098258857E-3</v>
      </c>
    </row>
    <row r="2293" spans="1:7" x14ac:dyDescent="0.2">
      <c r="A2293" s="12">
        <v>40466</v>
      </c>
      <c r="B2293" s="9">
        <v>2486.3000000000002</v>
      </c>
      <c r="C2293" s="9">
        <v>2437.9</v>
      </c>
      <c r="D2293" s="9">
        <v>2449.88</v>
      </c>
      <c r="E2293" s="9">
        <f t="shared" si="105"/>
        <v>-1.0823380977631865E-2</v>
      </c>
      <c r="F2293" s="9">
        <f t="shared" si="106"/>
        <v>6.7736165478866031E-2</v>
      </c>
      <c r="G2293" s="9">
        <f t="shared" si="107"/>
        <v>8.9895291473735539E-3</v>
      </c>
    </row>
    <row r="2294" spans="1:7" x14ac:dyDescent="0.2">
      <c r="A2294" s="12">
        <v>40469</v>
      </c>
      <c r="B2294" s="9">
        <v>2457.89</v>
      </c>
      <c r="C2294" s="9">
        <v>2431.89</v>
      </c>
      <c r="D2294" s="9">
        <v>2441.7600000000002</v>
      </c>
      <c r="E2294" s="9">
        <f t="shared" si="105"/>
        <v>-3.3199530048319574E-3</v>
      </c>
      <c r="F2294" s="9">
        <f t="shared" si="106"/>
        <v>6.4324490792492986E-2</v>
      </c>
      <c r="G2294" s="9">
        <f t="shared" si="107"/>
        <v>9.0393189706521014E-3</v>
      </c>
    </row>
    <row r="2295" spans="1:7" x14ac:dyDescent="0.2">
      <c r="A2295" s="12">
        <v>40470</v>
      </c>
      <c r="B2295" s="9">
        <v>2464.17</v>
      </c>
      <c r="C2295" s="9">
        <v>2424.52</v>
      </c>
      <c r="D2295" s="9">
        <v>2427</v>
      </c>
      <c r="E2295" s="9">
        <f t="shared" si="105"/>
        <v>-6.0631640159633316E-3</v>
      </c>
      <c r="F2295" s="9">
        <f t="shared" si="106"/>
        <v>6.2655937765756925E-2</v>
      </c>
      <c r="G2295" s="9">
        <f t="shared" si="107"/>
        <v>9.0859519093923879E-3</v>
      </c>
    </row>
    <row r="2296" spans="1:7" x14ac:dyDescent="0.2">
      <c r="A2296" s="12">
        <v>40471</v>
      </c>
      <c r="B2296" s="9">
        <v>2452.1799999999998</v>
      </c>
      <c r="C2296" s="9">
        <v>2419.94</v>
      </c>
      <c r="D2296" s="9">
        <v>2451.64</v>
      </c>
      <c r="E2296" s="9">
        <f t="shared" si="105"/>
        <v>1.0101261627219508E-2</v>
      </c>
      <c r="F2296" s="9">
        <f t="shared" si="106"/>
        <v>5.9501005866804089E-2</v>
      </c>
      <c r="G2296" s="9">
        <f t="shared" si="107"/>
        <v>8.9697509322735451E-3</v>
      </c>
    </row>
    <row r="2297" spans="1:7" x14ac:dyDescent="0.2">
      <c r="A2297" s="12">
        <v>40472</v>
      </c>
      <c r="B2297" s="9">
        <v>2521.04</v>
      </c>
      <c r="C2297" s="9">
        <v>2450.2199999999998</v>
      </c>
      <c r="D2297" s="9">
        <v>2515.2600000000002</v>
      </c>
      <c r="E2297" s="9">
        <f t="shared" si="105"/>
        <v>2.5618989558373648E-2</v>
      </c>
      <c r="F2297" s="9">
        <f t="shared" si="106"/>
        <v>7.5156892058321656E-2</v>
      </c>
      <c r="G2297" s="9">
        <f t="shared" si="107"/>
        <v>9.8611616466629647E-3</v>
      </c>
    </row>
    <row r="2298" spans="1:7" x14ac:dyDescent="0.2">
      <c r="A2298" s="12">
        <v>40473</v>
      </c>
      <c r="B2298" s="9">
        <v>2510.4299999999998</v>
      </c>
      <c r="C2298" s="9">
        <v>2495.39</v>
      </c>
      <c r="D2298" s="9">
        <v>2503.4699999999998</v>
      </c>
      <c r="E2298" s="9">
        <f t="shared" si="105"/>
        <v>-4.698408437481638E-3</v>
      </c>
      <c r="F2298" s="9">
        <f t="shared" si="106"/>
        <v>6.2126916076647165E-2</v>
      </c>
      <c r="G2298" s="9">
        <f t="shared" si="107"/>
        <v>9.8826207780120696E-3</v>
      </c>
    </row>
    <row r="2299" spans="1:7" x14ac:dyDescent="0.2">
      <c r="A2299" s="12">
        <v>40476</v>
      </c>
      <c r="B2299" s="9">
        <v>2543.41</v>
      </c>
      <c r="C2299" s="9">
        <v>2516.2800000000002</v>
      </c>
      <c r="D2299" s="9">
        <v>2532.77</v>
      </c>
      <c r="E2299" s="9">
        <f t="shared" si="105"/>
        <v>1.1635795983024114E-2</v>
      </c>
      <c r="F2299" s="9">
        <f t="shared" si="106"/>
        <v>6.4223500700087907E-2</v>
      </c>
      <c r="G2299" s="9">
        <f t="shared" si="107"/>
        <v>9.9444745703231724E-3</v>
      </c>
    </row>
    <row r="2300" spans="1:7" x14ac:dyDescent="0.2">
      <c r="A2300" s="12">
        <v>40477</v>
      </c>
      <c r="B2300" s="9">
        <v>2531.59</v>
      </c>
      <c r="C2300" s="9">
        <v>2502.8000000000002</v>
      </c>
      <c r="D2300" s="9">
        <v>2507.19</v>
      </c>
      <c r="E2300" s="9">
        <f t="shared" si="105"/>
        <v>-1.0150961377016991E-2</v>
      </c>
      <c r="F2300" s="9">
        <f t="shared" si="106"/>
        <v>6.0505222358177117E-2</v>
      </c>
      <c r="G2300" s="9">
        <f t="shared" si="107"/>
        <v>1.0077298607323783E-2</v>
      </c>
    </row>
    <row r="2301" spans="1:7" x14ac:dyDescent="0.2">
      <c r="A2301" s="12">
        <v>40478</v>
      </c>
      <c r="B2301" s="9">
        <v>2521.4</v>
      </c>
      <c r="C2301" s="9">
        <v>2491.5700000000002</v>
      </c>
      <c r="D2301" s="9">
        <v>2495.52</v>
      </c>
      <c r="E2301" s="9">
        <f t="shared" si="105"/>
        <v>-4.665479777204661E-3</v>
      </c>
      <c r="F2301" s="9">
        <f t="shared" si="106"/>
        <v>5.4768278362985055E-2</v>
      </c>
      <c r="G2301" s="9">
        <f t="shared" si="107"/>
        <v>1.0150028122922206E-2</v>
      </c>
    </row>
    <row r="2302" spans="1:7" x14ac:dyDescent="0.2">
      <c r="A2302" s="12">
        <v>40479</v>
      </c>
      <c r="B2302" s="9">
        <v>2504.52</v>
      </c>
      <c r="C2302" s="9">
        <v>2469.12</v>
      </c>
      <c r="D2302" s="9">
        <v>2472.84</v>
      </c>
      <c r="E2302" s="9">
        <f t="shared" si="105"/>
        <v>-9.1298366216150083E-3</v>
      </c>
      <c r="F2302" s="9">
        <f t="shared" si="106"/>
        <v>4.5519931248820089E-2</v>
      </c>
      <c r="G2302" s="9">
        <f t="shared" si="107"/>
        <v>1.0342289482496067E-2</v>
      </c>
    </row>
    <row r="2303" spans="1:7" x14ac:dyDescent="0.2">
      <c r="A2303" s="12">
        <v>40480</v>
      </c>
      <c r="B2303" s="9">
        <v>2477.62</v>
      </c>
      <c r="C2303" s="9">
        <v>2443.11</v>
      </c>
      <c r="D2303" s="9">
        <v>2450.09</v>
      </c>
      <c r="E2303" s="9">
        <f t="shared" si="105"/>
        <v>-9.242529123952405E-3</v>
      </c>
      <c r="F2303" s="9">
        <f t="shared" si="106"/>
        <v>3.2302748475493741E-2</v>
      </c>
      <c r="G2303" s="9">
        <f t="shared" si="107"/>
        <v>1.0514093376158603E-2</v>
      </c>
    </row>
    <row r="2304" spans="1:7" x14ac:dyDescent="0.2">
      <c r="A2304" s="12">
        <v>40483</v>
      </c>
      <c r="B2304" s="9">
        <v>2476.58</v>
      </c>
      <c r="C2304" s="9">
        <v>2451.9899999999998</v>
      </c>
      <c r="D2304" s="9">
        <v>2465.6999999999998</v>
      </c>
      <c r="E2304" s="9">
        <f t="shared" si="105"/>
        <v>6.3509842646159295E-3</v>
      </c>
      <c r="F2304" s="9">
        <f t="shared" si="106"/>
        <v>2.5083855924678624E-2</v>
      </c>
      <c r="G2304" s="9">
        <f t="shared" si="107"/>
        <v>1.0298712666230421E-2</v>
      </c>
    </row>
    <row r="2305" spans="1:7" x14ac:dyDescent="0.2">
      <c r="A2305" s="12">
        <v>40484</v>
      </c>
      <c r="B2305" s="9">
        <v>2474.29</v>
      </c>
      <c r="C2305" s="9">
        <v>2462.5300000000002</v>
      </c>
      <c r="D2305" s="9">
        <v>2467.23</v>
      </c>
      <c r="E2305" s="9">
        <f t="shared" si="105"/>
        <v>6.2032100559390279E-4</v>
      </c>
      <c r="F2305" s="9">
        <f t="shared" si="106"/>
        <v>2.8969893999351511E-2</v>
      </c>
      <c r="G2305" s="9">
        <f t="shared" si="107"/>
        <v>1.0269739703968803E-2</v>
      </c>
    </row>
    <row r="2306" spans="1:7" x14ac:dyDescent="0.2">
      <c r="A2306" s="12">
        <v>40485</v>
      </c>
      <c r="B2306" s="9">
        <v>2480.02</v>
      </c>
      <c r="C2306" s="9">
        <v>2444.4499999999998</v>
      </c>
      <c r="D2306" s="9">
        <v>2449.9499999999998</v>
      </c>
      <c r="E2306" s="9">
        <f t="shared" si="105"/>
        <v>-7.0284476608999035E-3</v>
      </c>
      <c r="F2306" s="9">
        <f t="shared" si="106"/>
        <v>3.5852120294035068E-2</v>
      </c>
      <c r="G2306" s="9">
        <f t="shared" si="107"/>
        <v>9.9992769076722426E-3</v>
      </c>
    </row>
    <row r="2307" spans="1:7" x14ac:dyDescent="0.2">
      <c r="A2307" s="12">
        <v>40486</v>
      </c>
      <c r="B2307" s="9">
        <v>2510.4899999999998</v>
      </c>
      <c r="C2307" s="9">
        <v>2477.09</v>
      </c>
      <c r="D2307" s="9">
        <v>2504.8000000000002</v>
      </c>
      <c r="E2307" s="9">
        <f t="shared" si="105"/>
        <v>2.2141274844938188E-2</v>
      </c>
      <c r="F2307" s="9">
        <f t="shared" si="106"/>
        <v>6.7673420221370809E-2</v>
      </c>
      <c r="G2307" s="9">
        <f t="shared" si="107"/>
        <v>1.0482009566389941E-2</v>
      </c>
    </row>
    <row r="2308" spans="1:7" x14ac:dyDescent="0.2">
      <c r="A2308" s="12">
        <v>40487</v>
      </c>
      <c r="B2308" s="9">
        <v>2517.75</v>
      </c>
      <c r="C2308" s="9">
        <v>2483.37</v>
      </c>
      <c r="D2308" s="9">
        <v>2503.44</v>
      </c>
      <c r="E2308" s="9">
        <f t="shared" ref="E2308:E2371" si="108">LN(D2308/D2307)</f>
        <v>-5.431049763706306E-4</v>
      </c>
      <c r="F2308" s="9">
        <f t="shared" si="106"/>
        <v>4.9666542708333324E-2</v>
      </c>
      <c r="G2308" s="9">
        <f t="shared" si="107"/>
        <v>1.0089334932021993E-2</v>
      </c>
    </row>
    <row r="2309" spans="1:7" x14ac:dyDescent="0.2">
      <c r="A2309" s="12">
        <v>40490</v>
      </c>
      <c r="B2309" s="9">
        <v>2505.75</v>
      </c>
      <c r="C2309" s="9">
        <v>2480.19</v>
      </c>
      <c r="D2309" s="9">
        <v>2486.02</v>
      </c>
      <c r="E2309" s="9">
        <f t="shared" si="108"/>
        <v>-6.9827479452374205E-3</v>
      </c>
      <c r="F2309" s="9">
        <f t="shared" si="106"/>
        <v>4.7417626028027272E-2</v>
      </c>
      <c r="G2309" s="9">
        <f t="shared" si="107"/>
        <v>1.0146637151512396E-2</v>
      </c>
    </row>
    <row r="2310" spans="1:7" x14ac:dyDescent="0.2">
      <c r="A2310" s="12">
        <v>40491</v>
      </c>
      <c r="B2310" s="9">
        <v>2532.33</v>
      </c>
      <c r="C2310" s="9">
        <v>2484.9299999999998</v>
      </c>
      <c r="D2310" s="9">
        <v>2531.69</v>
      </c>
      <c r="E2310" s="9">
        <f t="shared" si="108"/>
        <v>1.8204025818564756E-2</v>
      </c>
      <c r="F2310" s="9">
        <f t="shared" si="106"/>
        <v>5.3693364392549472E-2</v>
      </c>
      <c r="G2310" s="9">
        <f t="shared" si="107"/>
        <v>1.0428118645538203E-2</v>
      </c>
    </row>
    <row r="2311" spans="1:7" x14ac:dyDescent="0.2">
      <c r="A2311" s="12">
        <v>40492</v>
      </c>
      <c r="B2311" s="9">
        <v>2535.39</v>
      </c>
      <c r="C2311" s="9">
        <v>2509.16</v>
      </c>
      <c r="D2311" s="9">
        <v>2517.7600000000002</v>
      </c>
      <c r="E2311" s="9">
        <f t="shared" si="108"/>
        <v>-5.517446588567898E-3</v>
      </c>
      <c r="F2311" s="9">
        <f t="shared" si="106"/>
        <v>4.6493537422488324E-2</v>
      </c>
      <c r="G2311" s="9">
        <f t="shared" si="107"/>
        <v>1.0513177589426962E-2</v>
      </c>
    </row>
    <row r="2312" spans="1:7" x14ac:dyDescent="0.2">
      <c r="A2312" s="12">
        <v>40493</v>
      </c>
      <c r="B2312" s="9">
        <v>2523.88</v>
      </c>
      <c r="C2312" s="9">
        <v>2490.56</v>
      </c>
      <c r="D2312" s="9">
        <v>2499.91</v>
      </c>
      <c r="E2312" s="9">
        <f t="shared" si="108"/>
        <v>-7.1148861123084715E-3</v>
      </c>
      <c r="F2312" s="9">
        <f t="shared" si="106"/>
        <v>3.4692099421246403E-2</v>
      </c>
      <c r="G2312" s="9">
        <f t="shared" si="107"/>
        <v>1.0612086362876923E-2</v>
      </c>
    </row>
    <row r="2313" spans="1:7" x14ac:dyDescent="0.2">
      <c r="A2313" s="12">
        <v>40494</v>
      </c>
      <c r="B2313" s="9">
        <v>2492.5</v>
      </c>
      <c r="C2313" s="9">
        <v>2453.75</v>
      </c>
      <c r="D2313" s="9">
        <v>2479.48</v>
      </c>
      <c r="E2313" s="9">
        <f t="shared" si="108"/>
        <v>-8.2058704539868712E-3</v>
      </c>
      <c r="F2313" s="9">
        <f t="shared" si="106"/>
        <v>2.4116045006123261E-2</v>
      </c>
      <c r="G2313" s="9">
        <f t="shared" si="107"/>
        <v>1.074520808670339E-2</v>
      </c>
    </row>
    <row r="2314" spans="1:7" x14ac:dyDescent="0.2">
      <c r="A2314" s="12">
        <v>40497</v>
      </c>
      <c r="B2314" s="9">
        <v>2510.56</v>
      </c>
      <c r="C2314" s="9">
        <v>2464.79</v>
      </c>
      <c r="D2314" s="9">
        <v>2509.89</v>
      </c>
      <c r="E2314" s="9">
        <f t="shared" si="108"/>
        <v>1.219006671001429E-2</v>
      </c>
      <c r="F2314" s="9">
        <f t="shared" si="106"/>
        <v>4.4724357845248801E-2</v>
      </c>
      <c r="G2314" s="9">
        <f t="shared" si="107"/>
        <v>1.079394271580451E-2</v>
      </c>
    </row>
    <row r="2315" spans="1:7" x14ac:dyDescent="0.2">
      <c r="A2315" s="12">
        <v>40498</v>
      </c>
      <c r="B2315" s="9">
        <v>2499.52</v>
      </c>
      <c r="C2315" s="9">
        <v>2441.6799999999998</v>
      </c>
      <c r="D2315" s="9">
        <v>2446.7600000000002</v>
      </c>
      <c r="E2315" s="9">
        <f t="shared" si="108"/>
        <v>-2.5474227112471392E-2</v>
      </c>
      <c r="F2315" s="9">
        <f t="shared" si="106"/>
        <v>6.2234485481036366E-3</v>
      </c>
      <c r="G2315" s="9">
        <f t="shared" si="107"/>
        <v>1.1631397967800498E-2</v>
      </c>
    </row>
    <row r="2316" spans="1:7" x14ac:dyDescent="0.2">
      <c r="A2316" s="12">
        <v>40499</v>
      </c>
      <c r="B2316" s="9">
        <v>2463.96</v>
      </c>
      <c r="C2316" s="9">
        <v>2437.59</v>
      </c>
      <c r="D2316" s="9">
        <v>2460.2399999999998</v>
      </c>
      <c r="E2316" s="9">
        <f t="shared" si="108"/>
        <v>5.4942057914230775E-3</v>
      </c>
      <c r="F2316" s="9">
        <f t="shared" si="106"/>
        <v>6.5205787574750627E-3</v>
      </c>
      <c r="G2316" s="9">
        <f t="shared" si="107"/>
        <v>1.1635918859386871E-2</v>
      </c>
    </row>
    <row r="2317" spans="1:7" x14ac:dyDescent="0.2">
      <c r="A2317" s="12">
        <v>40500</v>
      </c>
      <c r="B2317" s="9">
        <v>2498.4499999999998</v>
      </c>
      <c r="C2317" s="9">
        <v>2473.46</v>
      </c>
      <c r="D2317" s="9">
        <v>2496.0700000000002</v>
      </c>
      <c r="E2317" s="9">
        <f t="shared" si="108"/>
        <v>1.4458588824607476E-2</v>
      </c>
      <c r="F2317" s="9">
        <f t="shared" si="106"/>
        <v>1.4548014993202829E-2</v>
      </c>
      <c r="G2317" s="9">
        <f t="shared" si="107"/>
        <v>1.1873611905482938E-2</v>
      </c>
    </row>
    <row r="2318" spans="1:7" x14ac:dyDescent="0.2">
      <c r="A2318" s="12">
        <v>40501</v>
      </c>
      <c r="B2318" s="9">
        <v>2504.06</v>
      </c>
      <c r="C2318" s="9">
        <v>2476.0500000000002</v>
      </c>
      <c r="D2318" s="9">
        <v>2490.44</v>
      </c>
      <c r="E2318" s="9">
        <f t="shared" si="108"/>
        <v>-2.2580932926130454E-3</v>
      </c>
      <c r="F2318" s="9">
        <f t="shared" si="106"/>
        <v>9.5295299209236031E-3</v>
      </c>
      <c r="G2318" s="9">
        <f t="shared" si="107"/>
        <v>1.1875799956083699E-2</v>
      </c>
    </row>
    <row r="2319" spans="1:7" x14ac:dyDescent="0.2">
      <c r="A2319" s="12">
        <v>40504</v>
      </c>
      <c r="B2319" s="9">
        <v>2504.48</v>
      </c>
      <c r="C2319" s="9">
        <v>2458.4499999999998</v>
      </c>
      <c r="D2319" s="9">
        <v>2468.62</v>
      </c>
      <c r="E2319" s="9">
        <f t="shared" si="108"/>
        <v>-8.8001116401594248E-3</v>
      </c>
      <c r="F2319" s="9">
        <f t="shared" si="106"/>
        <v>-8.0730682044457946E-3</v>
      </c>
      <c r="G2319" s="9">
        <f t="shared" si="107"/>
        <v>1.1876979898168669E-2</v>
      </c>
    </row>
    <row r="2320" spans="1:7" x14ac:dyDescent="0.2">
      <c r="A2320" s="12">
        <v>40505</v>
      </c>
      <c r="B2320" s="9">
        <v>2459.14</v>
      </c>
      <c r="C2320" s="9">
        <v>2430.58</v>
      </c>
      <c r="D2320" s="9">
        <v>2430.58</v>
      </c>
      <c r="E2320" s="9">
        <f t="shared" si="108"/>
        <v>-1.5529378053210472E-2</v>
      </c>
      <c r="F2320" s="9">
        <f t="shared" si="106"/>
        <v>-2.197774399687381E-2</v>
      </c>
      <c r="G2320" s="9">
        <f t="shared" si="107"/>
        <v>1.2198658196602104E-2</v>
      </c>
    </row>
    <row r="2321" spans="1:7" x14ac:dyDescent="0.2">
      <c r="A2321" s="12">
        <v>40506</v>
      </c>
      <c r="B2321" s="9">
        <v>2474.6799999999998</v>
      </c>
      <c r="C2321" s="9">
        <v>2422.4499999999998</v>
      </c>
      <c r="D2321" s="9">
        <v>2470.96</v>
      </c>
      <c r="E2321" s="9">
        <f t="shared" si="108"/>
        <v>1.6476827097478979E-2</v>
      </c>
      <c r="F2321" s="9">
        <f t="shared" si="106"/>
        <v>-1.9406100409302969E-2</v>
      </c>
      <c r="G2321" s="9">
        <f t="shared" si="107"/>
        <v>1.2313561038691943E-2</v>
      </c>
    </row>
    <row r="2322" spans="1:7" x14ac:dyDescent="0.2">
      <c r="A2322" s="12">
        <v>40507</v>
      </c>
      <c r="B2322" s="9">
        <v>2498.38</v>
      </c>
      <c r="C2322" s="9">
        <v>2472.94</v>
      </c>
      <c r="D2322" s="9">
        <v>2495.15</v>
      </c>
      <c r="E2322" s="9">
        <f t="shared" si="108"/>
        <v>9.7421085395917369E-3</v>
      </c>
      <c r="F2322" s="9">
        <f t="shared" si="106"/>
        <v>7.486422893922433E-3</v>
      </c>
      <c r="G2322" s="9">
        <f t="shared" si="107"/>
        <v>1.204667179281692E-2</v>
      </c>
    </row>
    <row r="2323" spans="1:7" x14ac:dyDescent="0.2">
      <c r="A2323" s="12">
        <v>40508</v>
      </c>
      <c r="B2323" s="9">
        <v>2502.92</v>
      </c>
      <c r="C2323" s="9">
        <v>2467.9</v>
      </c>
      <c r="D2323" s="9">
        <v>2484.6</v>
      </c>
      <c r="E2323" s="9">
        <f t="shared" si="108"/>
        <v>-4.2371668393743232E-3</v>
      </c>
      <c r="F2323" s="9">
        <f t="shared" si="106"/>
        <v>1.407263703217994E-2</v>
      </c>
      <c r="G2323" s="9">
        <f t="shared" si="107"/>
        <v>1.1897002894228237E-2</v>
      </c>
    </row>
    <row r="2324" spans="1:7" x14ac:dyDescent="0.2">
      <c r="A2324" s="12">
        <v>40511</v>
      </c>
      <c r="B2324" s="9">
        <v>2503.65</v>
      </c>
      <c r="C2324" s="9">
        <v>2436.4299999999998</v>
      </c>
      <c r="D2324" s="9">
        <v>2437.44</v>
      </c>
      <c r="E2324" s="9">
        <f t="shared" si="108"/>
        <v>-1.9163372595153171E-2</v>
      </c>
      <c r="F2324" s="9">
        <f t="shared" si="106"/>
        <v>-1.7707825581413511E-3</v>
      </c>
      <c r="G2324" s="9">
        <f t="shared" si="107"/>
        <v>1.2411523011889284E-2</v>
      </c>
    </row>
    <row r="2325" spans="1:7" x14ac:dyDescent="0.2">
      <c r="A2325" s="12">
        <v>40512</v>
      </c>
      <c r="B2325" s="9">
        <v>2451.9899999999998</v>
      </c>
      <c r="C2325" s="9">
        <v>2417.9299999999998</v>
      </c>
      <c r="D2325" s="9">
        <v>2430.2800000000002</v>
      </c>
      <c r="E2325" s="9">
        <f t="shared" si="108"/>
        <v>-2.9418311504250489E-3</v>
      </c>
      <c r="F2325" s="9">
        <f t="shared" si="106"/>
        <v>1.3505503073969151E-3</v>
      </c>
      <c r="G2325" s="9">
        <f t="shared" si="107"/>
        <v>1.2372476874404726E-2</v>
      </c>
    </row>
    <row r="2326" spans="1:7" x14ac:dyDescent="0.2">
      <c r="A2326" s="12">
        <v>40513</v>
      </c>
      <c r="B2326" s="9">
        <v>2494.83</v>
      </c>
      <c r="C2326" s="9">
        <v>2442.7199999999998</v>
      </c>
      <c r="D2326" s="9">
        <v>2494.83</v>
      </c>
      <c r="E2326" s="9">
        <f t="shared" si="108"/>
        <v>2.6214113557694398E-2</v>
      </c>
      <c r="F2326" s="9">
        <f t="shared" si="106"/>
        <v>1.7463402237871867E-2</v>
      </c>
      <c r="G2326" s="9">
        <f t="shared" si="107"/>
        <v>1.314941550860972E-2</v>
      </c>
    </row>
    <row r="2327" spans="1:7" x14ac:dyDescent="0.2">
      <c r="A2327" s="12">
        <v>40514</v>
      </c>
      <c r="B2327" s="9">
        <v>2551.88</v>
      </c>
      <c r="C2327" s="9">
        <v>2499.6799999999998</v>
      </c>
      <c r="D2327" s="9">
        <v>2551.7399999999998</v>
      </c>
      <c r="E2327" s="9">
        <f t="shared" si="108"/>
        <v>2.2554888805035578E-2</v>
      </c>
      <c r="F2327" s="9">
        <f t="shared" si="106"/>
        <v>1.4399301484533854E-2</v>
      </c>
      <c r="G2327" s="9">
        <f t="shared" si="107"/>
        <v>1.2958756129761995E-2</v>
      </c>
    </row>
    <row r="2328" spans="1:7" x14ac:dyDescent="0.2">
      <c r="A2328" s="12">
        <v>40515</v>
      </c>
      <c r="B2328" s="9">
        <v>2563.38</v>
      </c>
      <c r="C2328" s="9">
        <v>2518.4299999999998</v>
      </c>
      <c r="D2328" s="9">
        <v>2546.4</v>
      </c>
      <c r="E2328" s="9">
        <f t="shared" si="108"/>
        <v>-2.0948824288451735E-3</v>
      </c>
      <c r="F2328" s="9">
        <f t="shared" si="106"/>
        <v>1.7002827493170222E-2</v>
      </c>
      <c r="G2328" s="9">
        <f t="shared" si="107"/>
        <v>1.2931570209459587E-2</v>
      </c>
    </row>
    <row r="2329" spans="1:7" x14ac:dyDescent="0.2">
      <c r="A2329" s="12">
        <v>40519</v>
      </c>
      <c r="B2329" s="9">
        <v>2581.63</v>
      </c>
      <c r="C2329" s="9">
        <v>2540.75</v>
      </c>
      <c r="D2329" s="9">
        <v>2573.4699999999998</v>
      </c>
      <c r="E2329" s="9">
        <f t="shared" si="108"/>
        <v>1.0574585780896314E-2</v>
      </c>
      <c r="F2329" s="9">
        <f t="shared" si="106"/>
        <v>1.5941617291042515E-2</v>
      </c>
      <c r="G2329" s="9">
        <f t="shared" si="107"/>
        <v>1.2901664175858855E-2</v>
      </c>
    </row>
    <row r="2330" spans="1:7" x14ac:dyDescent="0.2">
      <c r="A2330" s="12">
        <v>40520</v>
      </c>
      <c r="B2330" s="9">
        <v>2588.0300000000002</v>
      </c>
      <c r="C2330" s="9">
        <v>2562.84</v>
      </c>
      <c r="D2330" s="9">
        <v>2571.54</v>
      </c>
      <c r="E2330" s="9">
        <f t="shared" si="108"/>
        <v>-7.502415313193941E-4</v>
      </c>
      <c r="F2330" s="9">
        <f t="shared" si="106"/>
        <v>2.5342337136740098E-2</v>
      </c>
      <c r="G2330" s="9">
        <f t="shared" si="107"/>
        <v>1.274649300316673E-2</v>
      </c>
    </row>
    <row r="2331" spans="1:7" x14ac:dyDescent="0.2">
      <c r="A2331" s="12">
        <v>40521</v>
      </c>
      <c r="B2331" s="9">
        <v>2591.8200000000002</v>
      </c>
      <c r="C2331" s="9">
        <v>2541.19</v>
      </c>
      <c r="D2331" s="9">
        <v>2544.89</v>
      </c>
      <c r="E2331" s="9">
        <f t="shared" si="108"/>
        <v>-1.0417514170863959E-2</v>
      </c>
      <c r="F2331" s="9">
        <f t="shared" si="106"/>
        <v>1.9590302743080799E-2</v>
      </c>
      <c r="G2331" s="9">
        <f t="shared" si="107"/>
        <v>1.287485181541119E-2</v>
      </c>
    </row>
    <row r="2332" spans="1:7" x14ac:dyDescent="0.2">
      <c r="A2332" s="12">
        <v>40522</v>
      </c>
      <c r="B2332" s="9">
        <v>2550.65</v>
      </c>
      <c r="C2332" s="9">
        <v>2530.38</v>
      </c>
      <c r="D2332" s="9">
        <v>2538.4299999999998</v>
      </c>
      <c r="E2332" s="9">
        <f t="shared" si="108"/>
        <v>-2.5416473791213165E-3</v>
      </c>
      <c r="F2332" s="9">
        <f t="shared" si="106"/>
        <v>2.617849198557446E-2</v>
      </c>
      <c r="G2332" s="9">
        <f t="shared" si="107"/>
        <v>1.275788790138078E-2</v>
      </c>
    </row>
    <row r="2333" spans="1:7" x14ac:dyDescent="0.2">
      <c r="A2333" s="12">
        <v>40525</v>
      </c>
      <c r="B2333" s="9">
        <v>2563.9299999999998</v>
      </c>
      <c r="C2333" s="9">
        <v>2545.46</v>
      </c>
      <c r="D2333" s="9">
        <v>2560.58</v>
      </c>
      <c r="E2333" s="9">
        <f t="shared" si="108"/>
        <v>8.688015644726127E-3</v>
      </c>
      <c r="F2333" s="9">
        <f t="shared" si="106"/>
        <v>4.4109036754252956E-2</v>
      </c>
      <c r="G2333" s="9">
        <f t="shared" si="107"/>
        <v>1.268748349997138E-2</v>
      </c>
    </row>
    <row r="2334" spans="1:7" x14ac:dyDescent="0.2">
      <c r="A2334" s="12">
        <v>40526</v>
      </c>
      <c r="B2334" s="9">
        <v>2561.21</v>
      </c>
      <c r="C2334" s="9">
        <v>2543.19</v>
      </c>
      <c r="D2334" s="9">
        <v>2560.9699999999998</v>
      </c>
      <c r="E2334" s="9">
        <f t="shared" si="108"/>
        <v>1.5229764456210459E-4</v>
      </c>
      <c r="F2334" s="9">
        <f t="shared" si="106"/>
        <v>3.7910350134199092E-2</v>
      </c>
      <c r="G2334" s="9">
        <f t="shared" si="107"/>
        <v>1.2655692688407369E-2</v>
      </c>
    </row>
    <row r="2335" spans="1:7" x14ac:dyDescent="0.2">
      <c r="A2335" s="12">
        <v>40527</v>
      </c>
      <c r="B2335" s="9">
        <v>2573.4</v>
      </c>
      <c r="C2335" s="9">
        <v>2543.12</v>
      </c>
      <c r="D2335" s="9">
        <v>2569.69</v>
      </c>
      <c r="E2335" s="9">
        <f t="shared" si="108"/>
        <v>3.3991760889220753E-3</v>
      </c>
      <c r="F2335" s="9">
        <f t="shared" si="106"/>
        <v>4.0689205217527377E-2</v>
      </c>
      <c r="G2335" s="9">
        <f t="shared" si="107"/>
        <v>1.2660989782740507E-2</v>
      </c>
    </row>
    <row r="2336" spans="1:7" x14ac:dyDescent="0.2">
      <c r="A2336" s="12">
        <v>40528</v>
      </c>
      <c r="B2336" s="9">
        <v>2581.85</v>
      </c>
      <c r="C2336" s="9">
        <v>2565.35</v>
      </c>
      <c r="D2336" s="9">
        <v>2577.5700000000002</v>
      </c>
      <c r="E2336" s="9">
        <f t="shared" si="108"/>
        <v>3.0618255755884747E-3</v>
      </c>
      <c r="F2336" s="9">
        <f t="shared" si="106"/>
        <v>5.0779478454015724E-2</v>
      </c>
      <c r="G2336" s="9">
        <f t="shared" si="107"/>
        <v>1.2564221376390535E-2</v>
      </c>
    </row>
    <row r="2337" spans="1:7" x14ac:dyDescent="0.2">
      <c r="A2337" s="12">
        <v>40529</v>
      </c>
      <c r="B2337" s="9">
        <v>2590.36</v>
      </c>
      <c r="C2337" s="9">
        <v>2569.69</v>
      </c>
      <c r="D2337" s="9">
        <v>2569.69</v>
      </c>
      <c r="E2337" s="9">
        <f t="shared" si="108"/>
        <v>-3.0618255755885896E-3</v>
      </c>
      <c r="F2337" s="9">
        <f t="shared" ref="F2337:F2400" si="109">LN(D2337/D2307)</f>
        <v>2.5576378033489174E-2</v>
      </c>
      <c r="G2337" s="9">
        <f t="shared" ref="G2337:G2400" si="110">STDEV(E2308:E2337)</f>
        <v>1.1978739269012885E-2</v>
      </c>
    </row>
    <row r="2338" spans="1:7" x14ac:dyDescent="0.2">
      <c r="A2338" s="12">
        <v>40532</v>
      </c>
      <c r="B2338" s="9">
        <v>2600.98</v>
      </c>
      <c r="C2338" s="9">
        <v>2570.8200000000002</v>
      </c>
      <c r="D2338" s="9">
        <v>2593.04</v>
      </c>
      <c r="E2338" s="9">
        <f t="shared" si="108"/>
        <v>9.045663521317247E-3</v>
      </c>
      <c r="F2338" s="9">
        <f t="shared" si="109"/>
        <v>3.5165146531176888E-2</v>
      </c>
      <c r="G2338" s="9">
        <f t="shared" si="110"/>
        <v>1.2067811500674739E-2</v>
      </c>
    </row>
    <row r="2339" spans="1:7" x14ac:dyDescent="0.2">
      <c r="A2339" s="12">
        <v>40533</v>
      </c>
      <c r="B2339" s="9">
        <v>2641.06</v>
      </c>
      <c r="C2339" s="9">
        <v>2613.86</v>
      </c>
      <c r="D2339" s="9">
        <v>2638.39</v>
      </c>
      <c r="E2339" s="9">
        <f t="shared" si="108"/>
        <v>1.7337950055285264E-2</v>
      </c>
      <c r="F2339" s="9">
        <f t="shared" si="109"/>
        <v>5.9485844531699542E-2</v>
      </c>
      <c r="G2339" s="9">
        <f t="shared" si="110"/>
        <v>1.2315456080533881E-2</v>
      </c>
    </row>
    <row r="2340" spans="1:7" x14ac:dyDescent="0.2">
      <c r="A2340" s="12">
        <v>40534</v>
      </c>
      <c r="B2340" s="9">
        <v>2655.89</v>
      </c>
      <c r="C2340" s="9">
        <v>2641.08</v>
      </c>
      <c r="D2340" s="9">
        <v>2647.9</v>
      </c>
      <c r="E2340" s="9">
        <f t="shared" si="108"/>
        <v>3.5979903710670535E-3</v>
      </c>
      <c r="F2340" s="9">
        <f t="shared" si="109"/>
        <v>4.4879809084201867E-2</v>
      </c>
      <c r="G2340" s="9">
        <f t="shared" si="110"/>
        <v>1.1934901810540001E-2</v>
      </c>
    </row>
    <row r="2341" spans="1:7" x14ac:dyDescent="0.2">
      <c r="A2341" s="12">
        <v>40535</v>
      </c>
      <c r="B2341" s="9">
        <v>2651.35</v>
      </c>
      <c r="C2341" s="9">
        <v>2640.48</v>
      </c>
      <c r="D2341" s="9">
        <v>2646.74</v>
      </c>
      <c r="E2341" s="9">
        <f t="shared" si="108"/>
        <v>-4.3817899557307602E-4</v>
      </c>
      <c r="F2341" s="9">
        <f t="shared" si="109"/>
        <v>4.9959076677196602E-2</v>
      </c>
      <c r="G2341" s="9">
        <f t="shared" si="110"/>
        <v>1.1867816913188665E-2</v>
      </c>
    </row>
    <row r="2342" spans="1:7" x14ac:dyDescent="0.2">
      <c r="A2342" s="12">
        <v>40539</v>
      </c>
      <c r="B2342" s="9">
        <v>2644.8</v>
      </c>
      <c r="C2342" s="9">
        <v>2630.47</v>
      </c>
      <c r="D2342" s="9">
        <v>2636.17</v>
      </c>
      <c r="E2342" s="9">
        <f t="shared" si="108"/>
        <v>-4.0015878008598828E-3</v>
      </c>
      <c r="F2342" s="9">
        <f t="shared" si="109"/>
        <v>5.3072374988645248E-2</v>
      </c>
      <c r="G2342" s="9">
        <f t="shared" si="110"/>
        <v>1.1801820601784333E-2</v>
      </c>
    </row>
    <row r="2343" spans="1:7" x14ac:dyDescent="0.2">
      <c r="A2343" s="12">
        <v>40540</v>
      </c>
      <c r="B2343" s="9">
        <v>2646.34</v>
      </c>
      <c r="C2343" s="9">
        <v>2635.69</v>
      </c>
      <c r="D2343" s="9">
        <v>2638.57</v>
      </c>
      <c r="E2343" s="9">
        <f t="shared" si="108"/>
        <v>9.0999752238758074E-4</v>
      </c>
      <c r="F2343" s="9">
        <f t="shared" si="109"/>
        <v>6.2188242965019729E-2</v>
      </c>
      <c r="G2343" s="9">
        <f t="shared" si="110"/>
        <v>1.1652548262119112E-2</v>
      </c>
    </row>
    <row r="2344" spans="1:7" x14ac:dyDescent="0.2">
      <c r="A2344" s="12">
        <v>40541</v>
      </c>
      <c r="B2344" s="9">
        <v>2655.05</v>
      </c>
      <c r="C2344" s="9">
        <v>2642.79</v>
      </c>
      <c r="D2344" s="9">
        <v>2645.36</v>
      </c>
      <c r="E2344" s="9">
        <f t="shared" si="108"/>
        <v>2.5700581716416883E-3</v>
      </c>
      <c r="F2344" s="9">
        <f t="shared" si="109"/>
        <v>5.256823442664707E-2</v>
      </c>
      <c r="G2344" s="9">
        <f t="shared" si="110"/>
        <v>1.1495847273277567E-2</v>
      </c>
    </row>
    <row r="2345" spans="1:7" x14ac:dyDescent="0.2">
      <c r="A2345" s="12">
        <v>40542</v>
      </c>
      <c r="B2345" s="9">
        <v>2652.14</v>
      </c>
      <c r="C2345" s="9">
        <v>2628.48</v>
      </c>
      <c r="D2345" s="9">
        <v>2628.48</v>
      </c>
      <c r="E2345" s="9">
        <f t="shared" si="108"/>
        <v>-6.4014295628119751E-3</v>
      </c>
      <c r="F2345" s="9">
        <f t="shared" si="109"/>
        <v>7.1641031976306446E-2</v>
      </c>
      <c r="G2345" s="9">
        <f t="shared" si="110"/>
        <v>1.041476970426246E-2</v>
      </c>
    </row>
    <row r="2346" spans="1:7" x14ac:dyDescent="0.2">
      <c r="A2346" s="12">
        <v>40546</v>
      </c>
      <c r="B2346" s="9">
        <v>2684.79</v>
      </c>
      <c r="C2346" s="9">
        <v>2639.42</v>
      </c>
      <c r="D2346" s="9">
        <v>2679.92</v>
      </c>
      <c r="E2346" s="9">
        <f t="shared" si="108"/>
        <v>1.9381210984952366E-2</v>
      </c>
      <c r="F2346" s="9">
        <f t="shared" si="109"/>
        <v>8.5528037169835661E-2</v>
      </c>
      <c r="G2346" s="9">
        <f t="shared" si="110"/>
        <v>1.0856821889135778E-2</v>
      </c>
    </row>
    <row r="2347" spans="1:7" x14ac:dyDescent="0.2">
      <c r="A2347" s="12">
        <v>40547</v>
      </c>
      <c r="B2347" s="9">
        <v>2692.89</v>
      </c>
      <c r="C2347" s="9">
        <v>2663.86</v>
      </c>
      <c r="D2347" s="9">
        <v>2664.63</v>
      </c>
      <c r="E2347" s="9">
        <f t="shared" si="108"/>
        <v>-5.7217321248464077E-3</v>
      </c>
      <c r="F2347" s="9">
        <f t="shared" si="109"/>
        <v>6.5347716220381796E-2</v>
      </c>
      <c r="G2347" s="9">
        <f t="shared" si="110"/>
        <v>1.0737342181217019E-2</v>
      </c>
    </row>
    <row r="2348" spans="1:7" x14ac:dyDescent="0.2">
      <c r="A2348" s="12">
        <v>40548</v>
      </c>
      <c r="B2348" s="9">
        <v>2670.31</v>
      </c>
      <c r="C2348" s="9">
        <v>2638.7</v>
      </c>
      <c r="D2348" s="9">
        <v>2651.1</v>
      </c>
      <c r="E2348" s="9">
        <f t="shared" si="108"/>
        <v>-5.0905629961764988E-3</v>
      </c>
      <c r="F2348" s="9">
        <f t="shared" si="109"/>
        <v>6.2515246516818196E-2</v>
      </c>
      <c r="G2348" s="9">
        <f t="shared" si="110"/>
        <v>1.0790021105544839E-2</v>
      </c>
    </row>
    <row r="2349" spans="1:7" x14ac:dyDescent="0.2">
      <c r="A2349" s="12">
        <v>40550</v>
      </c>
      <c r="B2349" s="9">
        <v>2675.42</v>
      </c>
      <c r="C2349" s="9">
        <v>2641.21</v>
      </c>
      <c r="D2349" s="9">
        <v>2665.15</v>
      </c>
      <c r="E2349" s="9">
        <f t="shared" si="108"/>
        <v>5.2856930021616694E-3</v>
      </c>
      <c r="F2349" s="9">
        <f t="shared" si="109"/>
        <v>7.6601051159139497E-2</v>
      </c>
      <c r="G2349" s="9">
        <f t="shared" si="110"/>
        <v>1.0604959576350151E-2</v>
      </c>
    </row>
    <row r="2350" spans="1:7" x14ac:dyDescent="0.2">
      <c r="A2350" s="12">
        <v>40553</v>
      </c>
      <c r="B2350" s="9">
        <v>2661.22</v>
      </c>
      <c r="C2350" s="9">
        <v>2612.7600000000002</v>
      </c>
      <c r="D2350" s="9">
        <v>2613.06</v>
      </c>
      <c r="E2350" s="9">
        <f t="shared" si="108"/>
        <v>-1.9738392824728553E-2</v>
      </c>
      <c r="F2350" s="9">
        <f t="shared" si="109"/>
        <v>7.2392036387621359E-2</v>
      </c>
      <c r="G2350" s="9">
        <f t="shared" si="110"/>
        <v>1.0876796297136991E-2</v>
      </c>
    </row>
    <row r="2351" spans="1:7" x14ac:dyDescent="0.2">
      <c r="A2351" s="12">
        <v>40554</v>
      </c>
      <c r="B2351" s="9">
        <v>2664.95</v>
      </c>
      <c r="C2351" s="9">
        <v>2622.02</v>
      </c>
      <c r="D2351" s="9">
        <v>2663.17</v>
      </c>
      <c r="E2351" s="9">
        <f t="shared" si="108"/>
        <v>1.899519418382983E-2</v>
      </c>
      <c r="F2351" s="9">
        <f t="shared" si="109"/>
        <v>7.4910403473972237E-2</v>
      </c>
      <c r="G2351" s="9">
        <f t="shared" si="110"/>
        <v>1.0998122749947716E-2</v>
      </c>
    </row>
    <row r="2352" spans="1:7" x14ac:dyDescent="0.2">
      <c r="A2352" s="12">
        <v>40555</v>
      </c>
      <c r="B2352" s="9">
        <v>2706.06</v>
      </c>
      <c r="C2352" s="9">
        <v>2665.66</v>
      </c>
      <c r="D2352" s="9">
        <v>2706.06</v>
      </c>
      <c r="E2352" s="9">
        <f t="shared" si="108"/>
        <v>1.5976559880588041E-2</v>
      </c>
      <c r="F2352" s="9">
        <f t="shared" si="109"/>
        <v>8.1144854814968609E-2</v>
      </c>
      <c r="G2352" s="9">
        <f t="shared" si="110"/>
        <v>1.1196849268969203E-2</v>
      </c>
    </row>
    <row r="2353" spans="1:7" x14ac:dyDescent="0.2">
      <c r="A2353" s="12">
        <v>40556</v>
      </c>
      <c r="B2353" s="9">
        <v>2706.67</v>
      </c>
      <c r="C2353" s="9">
        <v>2676.83</v>
      </c>
      <c r="D2353" s="9">
        <v>2681.93</v>
      </c>
      <c r="E2353" s="9">
        <f t="shared" si="108"/>
        <v>-8.9570178583333587E-3</v>
      </c>
      <c r="F2353" s="9">
        <f t="shared" si="109"/>
        <v>7.642500379600943E-2</v>
      </c>
      <c r="G2353" s="9">
        <f t="shared" si="110"/>
        <v>1.133012214635595E-2</v>
      </c>
    </row>
    <row r="2354" spans="1:7" x14ac:dyDescent="0.2">
      <c r="A2354" s="12">
        <v>40557</v>
      </c>
      <c r="B2354" s="9">
        <v>2687.47</v>
      </c>
      <c r="C2354" s="9">
        <v>2655.02</v>
      </c>
      <c r="D2354" s="9">
        <v>2684.61</v>
      </c>
      <c r="E2354" s="9">
        <f t="shared" si="108"/>
        <v>9.9878142072543563E-4</v>
      </c>
      <c r="F2354" s="9">
        <f t="shared" si="109"/>
        <v>9.6587157811887925E-2</v>
      </c>
      <c r="G2354" s="9">
        <f t="shared" si="110"/>
        <v>1.0570395366352939E-2</v>
      </c>
    </row>
    <row r="2355" spans="1:7" x14ac:dyDescent="0.2">
      <c r="A2355" s="12">
        <v>40560</v>
      </c>
      <c r="B2355" s="9">
        <v>2689.9</v>
      </c>
      <c r="C2355" s="9">
        <v>2667.39</v>
      </c>
      <c r="D2355" s="9">
        <v>2674.95</v>
      </c>
      <c r="E2355" s="9">
        <f t="shared" si="108"/>
        <v>-3.6047774296794986E-3</v>
      </c>
      <c r="F2355" s="9">
        <f t="shared" si="109"/>
        <v>9.592421153263353E-2</v>
      </c>
      <c r="G2355" s="9">
        <f t="shared" si="110"/>
        <v>1.0584404099597001E-2</v>
      </c>
    </row>
    <row r="2356" spans="1:7" x14ac:dyDescent="0.2">
      <c r="A2356" s="12">
        <v>40561</v>
      </c>
      <c r="B2356" s="9">
        <v>2699.24</v>
      </c>
      <c r="C2356" s="9">
        <v>2676.15</v>
      </c>
      <c r="D2356" s="9">
        <v>2696.57</v>
      </c>
      <c r="E2356" s="9">
        <f t="shared" si="108"/>
        <v>8.0499064509355293E-3</v>
      </c>
      <c r="F2356" s="9">
        <f t="shared" si="109"/>
        <v>7.7760004425874898E-2</v>
      </c>
      <c r="G2356" s="9">
        <f t="shared" si="110"/>
        <v>9.7053862413942586E-3</v>
      </c>
    </row>
    <row r="2357" spans="1:7" x14ac:dyDescent="0.2">
      <c r="A2357" s="12">
        <v>40562</v>
      </c>
      <c r="B2357" s="9">
        <v>2700.91</v>
      </c>
      <c r="C2357" s="9">
        <v>2640.51</v>
      </c>
      <c r="D2357" s="9">
        <v>2640.51</v>
      </c>
      <c r="E2357" s="9">
        <f t="shared" si="108"/>
        <v>-2.1008514716228405E-2</v>
      </c>
      <c r="F2357" s="9">
        <f t="shared" si="109"/>
        <v>3.4196600904610706E-2</v>
      </c>
      <c r="G2357" s="9">
        <f t="shared" si="110"/>
        <v>9.8730729500185726E-3</v>
      </c>
    </row>
    <row r="2358" spans="1:7" x14ac:dyDescent="0.2">
      <c r="A2358" s="12">
        <v>40563</v>
      </c>
      <c r="B2358" s="9">
        <v>2639.08</v>
      </c>
      <c r="C2358" s="9">
        <v>2600.23</v>
      </c>
      <c r="D2358" s="9">
        <v>2611.9</v>
      </c>
      <c r="E2358" s="9">
        <f t="shared" si="108"/>
        <v>-1.089415447710417E-2</v>
      </c>
      <c r="F2358" s="9">
        <f t="shared" si="109"/>
        <v>2.5397328856351813E-2</v>
      </c>
      <c r="G2358" s="9">
        <f t="shared" si="110"/>
        <v>1.0100568478724424E-2</v>
      </c>
    </row>
    <row r="2359" spans="1:7" x14ac:dyDescent="0.2">
      <c r="A2359" s="12">
        <v>40564</v>
      </c>
      <c r="B2359" s="9">
        <v>2678.18</v>
      </c>
      <c r="C2359" s="9">
        <v>2616.56</v>
      </c>
      <c r="D2359" s="9">
        <v>2648.58</v>
      </c>
      <c r="E2359" s="9">
        <f t="shared" si="108"/>
        <v>1.3945721481015957E-2</v>
      </c>
      <c r="F2359" s="9">
        <f t="shared" si="109"/>
        <v>2.8768464556471543E-2</v>
      </c>
      <c r="G2359" s="9">
        <f t="shared" si="110"/>
        <v>1.023044414166123E-2</v>
      </c>
    </row>
    <row r="2360" spans="1:7" x14ac:dyDescent="0.2">
      <c r="A2360" s="12">
        <v>40567</v>
      </c>
      <c r="B2360" s="9">
        <v>2674.19</v>
      </c>
      <c r="C2360" s="9">
        <v>2633.49</v>
      </c>
      <c r="D2360" s="9">
        <v>2650.78</v>
      </c>
      <c r="E2360" s="9">
        <f t="shared" si="108"/>
        <v>8.3028898825006944E-4</v>
      </c>
      <c r="F2360" s="9">
        <f t="shared" si="109"/>
        <v>3.0348995076040941E-2</v>
      </c>
      <c r="G2360" s="9">
        <f t="shared" si="110"/>
        <v>1.0225407141729094E-2</v>
      </c>
    </row>
    <row r="2361" spans="1:7" x14ac:dyDescent="0.2">
      <c r="A2361" s="12">
        <v>40568</v>
      </c>
      <c r="B2361" s="9">
        <v>2684.57</v>
      </c>
      <c r="C2361" s="9">
        <v>2649.14</v>
      </c>
      <c r="D2361" s="9">
        <v>2655.85</v>
      </c>
      <c r="E2361" s="9">
        <f t="shared" si="108"/>
        <v>1.9108178043850104E-3</v>
      </c>
      <c r="F2361" s="9">
        <f t="shared" si="109"/>
        <v>4.2677327051290036E-2</v>
      </c>
      <c r="G2361" s="9">
        <f t="shared" si="110"/>
        <v>9.9953893686909063E-3</v>
      </c>
    </row>
    <row r="2362" spans="1:7" x14ac:dyDescent="0.2">
      <c r="A2362" s="12">
        <v>40569</v>
      </c>
      <c r="B2362" s="9">
        <v>2687.19</v>
      </c>
      <c r="C2362" s="9">
        <v>2667.03</v>
      </c>
      <c r="D2362" s="9">
        <v>2672.59</v>
      </c>
      <c r="E2362" s="9">
        <f t="shared" si="108"/>
        <v>6.2832855673007554E-3</v>
      </c>
      <c r="F2362" s="9">
        <f t="shared" si="109"/>
        <v>5.1502259997712269E-2</v>
      </c>
      <c r="G2362" s="9">
        <f t="shared" si="110"/>
        <v>1.0004553914391898E-2</v>
      </c>
    </row>
    <row r="2363" spans="1:7" x14ac:dyDescent="0.2">
      <c r="A2363" s="12">
        <v>40570</v>
      </c>
      <c r="B2363" s="9">
        <v>2694.81</v>
      </c>
      <c r="C2363" s="9">
        <v>2660.05</v>
      </c>
      <c r="D2363" s="9">
        <v>2687.37</v>
      </c>
      <c r="E2363" s="9">
        <f t="shared" si="108"/>
        <v>5.5149805077406942E-3</v>
      </c>
      <c r="F2363" s="9">
        <f t="shared" si="109"/>
        <v>4.8329224860726751E-2</v>
      </c>
      <c r="G2363" s="9">
        <f t="shared" si="110"/>
        <v>9.9449072501678355E-3</v>
      </c>
    </row>
    <row r="2364" spans="1:7" x14ac:dyDescent="0.2">
      <c r="A2364" s="12">
        <v>40571</v>
      </c>
      <c r="B2364" s="9">
        <v>2715.08</v>
      </c>
      <c r="C2364" s="9">
        <v>2681.98</v>
      </c>
      <c r="D2364" s="9">
        <v>2685.98</v>
      </c>
      <c r="E2364" s="9">
        <f t="shared" si="108"/>
        <v>-5.1736813384763202E-4</v>
      </c>
      <c r="F2364" s="9">
        <f t="shared" si="109"/>
        <v>4.7659559082316984E-2</v>
      </c>
      <c r="G2364" s="9">
        <f t="shared" si="110"/>
        <v>9.9490449750580245E-3</v>
      </c>
    </row>
    <row r="2365" spans="1:7" x14ac:dyDescent="0.2">
      <c r="A2365" s="12">
        <v>40574</v>
      </c>
      <c r="B2365" s="9">
        <v>2684.04</v>
      </c>
      <c r="C2365" s="9">
        <v>2661.06</v>
      </c>
      <c r="D2365" s="9">
        <v>2676.66</v>
      </c>
      <c r="E2365" s="9">
        <f t="shared" si="108"/>
        <v>-3.4759034295089456E-3</v>
      </c>
      <c r="F2365" s="9">
        <f t="shared" si="109"/>
        <v>4.078447956388602E-2</v>
      </c>
      <c r="G2365" s="9">
        <f t="shared" si="110"/>
        <v>9.9850190338395279E-3</v>
      </c>
    </row>
    <row r="2366" spans="1:7" x14ac:dyDescent="0.2">
      <c r="A2366" s="12">
        <v>40575</v>
      </c>
      <c r="B2366" s="9">
        <v>2720.98</v>
      </c>
      <c r="C2366" s="9">
        <v>2690.93</v>
      </c>
      <c r="D2366" s="9">
        <v>2710.72</v>
      </c>
      <c r="E2366" s="9">
        <f t="shared" si="108"/>
        <v>1.2644533633615045E-2</v>
      </c>
      <c r="F2366" s="9">
        <f t="shared" si="109"/>
        <v>5.0367187621912446E-2</v>
      </c>
      <c r="G2366" s="9">
        <f t="shared" si="110"/>
        <v>1.0192476957218529E-2</v>
      </c>
    </row>
    <row r="2367" spans="1:7" x14ac:dyDescent="0.2">
      <c r="A2367" s="12">
        <v>40576</v>
      </c>
      <c r="B2367" s="9">
        <v>2716.7</v>
      </c>
      <c r="C2367" s="9">
        <v>2664.81</v>
      </c>
      <c r="D2367" s="9">
        <v>2670.4</v>
      </c>
      <c r="E2367" s="9">
        <f t="shared" si="108"/>
        <v>-1.4986008335615388E-2</v>
      </c>
      <c r="F2367" s="9">
        <f t="shared" si="109"/>
        <v>3.8443004861885677E-2</v>
      </c>
      <c r="G2367" s="9">
        <f t="shared" si="110"/>
        <v>1.0607766041530575E-2</v>
      </c>
    </row>
    <row r="2368" spans="1:7" x14ac:dyDescent="0.2">
      <c r="A2368" s="12">
        <v>40577</v>
      </c>
      <c r="B2368" s="9">
        <v>2689.13</v>
      </c>
      <c r="C2368" s="9">
        <v>2653.97</v>
      </c>
      <c r="D2368" s="9">
        <v>2662.65</v>
      </c>
      <c r="E2368" s="9">
        <f t="shared" si="108"/>
        <v>-2.9064064486481371E-3</v>
      </c>
      <c r="F2368" s="9">
        <f t="shared" si="109"/>
        <v>2.649093489192015E-2</v>
      </c>
      <c r="G2368" s="9">
        <f t="shared" si="110"/>
        <v>1.0530267236863256E-2</v>
      </c>
    </row>
    <row r="2369" spans="1:7" x14ac:dyDescent="0.2">
      <c r="A2369" s="12">
        <v>40578</v>
      </c>
      <c r="B2369" s="9">
        <v>2681.92</v>
      </c>
      <c r="C2369" s="9">
        <v>2656.02</v>
      </c>
      <c r="D2369" s="9">
        <v>2668.02</v>
      </c>
      <c r="E2369" s="9">
        <f t="shared" si="108"/>
        <v>2.0147568003691368E-3</v>
      </c>
      <c r="F2369" s="9">
        <f t="shared" si="109"/>
        <v>1.1167741637004177E-2</v>
      </c>
      <c r="G2369" s="9">
        <f t="shared" si="110"/>
        <v>1.00659876032429E-2</v>
      </c>
    </row>
    <row r="2370" spans="1:7" x14ac:dyDescent="0.2">
      <c r="A2370" s="12">
        <v>40581</v>
      </c>
      <c r="B2370" s="9">
        <v>2706.09</v>
      </c>
      <c r="C2370" s="9">
        <v>2680.49</v>
      </c>
      <c r="D2370" s="9">
        <v>2700.25</v>
      </c>
      <c r="E2370" s="9">
        <f t="shared" si="108"/>
        <v>1.2007737039291958E-2</v>
      </c>
      <c r="F2370" s="9">
        <f t="shared" si="109"/>
        <v>1.9577488305228961E-2</v>
      </c>
      <c r="G2370" s="9">
        <f t="shared" si="110"/>
        <v>1.0273871525171273E-2</v>
      </c>
    </row>
    <row r="2371" spans="1:7" x14ac:dyDescent="0.2">
      <c r="A2371" s="12">
        <v>40582</v>
      </c>
      <c r="B2371" s="9">
        <v>2707.44</v>
      </c>
      <c r="C2371" s="9">
        <v>2679.82</v>
      </c>
      <c r="D2371" s="9">
        <v>2696.04</v>
      </c>
      <c r="E2371" s="9">
        <f t="shared" si="108"/>
        <v>-1.5603315811978417E-3</v>
      </c>
      <c r="F2371" s="9">
        <f t="shared" si="109"/>
        <v>1.8455335719604001E-2</v>
      </c>
      <c r="G2371" s="9">
        <f t="shared" si="110"/>
        <v>1.028002063299243E-2</v>
      </c>
    </row>
    <row r="2372" spans="1:7" x14ac:dyDescent="0.2">
      <c r="A2372" s="12">
        <v>40583</v>
      </c>
      <c r="B2372" s="9">
        <v>2712.5</v>
      </c>
      <c r="C2372" s="9">
        <v>2692.66</v>
      </c>
      <c r="D2372" s="9">
        <v>2705.56</v>
      </c>
      <c r="E2372" s="9">
        <f t="shared" ref="E2372:E2435" si="111">LN(D2372/D2371)</f>
        <v>3.5248851662537223E-3</v>
      </c>
      <c r="F2372" s="9">
        <f t="shared" si="109"/>
        <v>2.5981808686717661E-2</v>
      </c>
      <c r="G2372" s="9">
        <f t="shared" si="110"/>
        <v>1.0255275368896071E-2</v>
      </c>
    </row>
    <row r="2373" spans="1:7" x14ac:dyDescent="0.2">
      <c r="A2373" s="12">
        <v>40584</v>
      </c>
      <c r="B2373" s="9">
        <v>2707.76</v>
      </c>
      <c r="C2373" s="9">
        <v>2675.41</v>
      </c>
      <c r="D2373" s="9">
        <v>2685.58</v>
      </c>
      <c r="E2373" s="9">
        <f t="shared" si="111"/>
        <v>-7.4121953709538951E-3</v>
      </c>
      <c r="F2373" s="9">
        <f t="shared" si="109"/>
        <v>1.7659615793376309E-2</v>
      </c>
      <c r="G2373" s="9">
        <f t="shared" si="110"/>
        <v>1.0366006231156018E-2</v>
      </c>
    </row>
    <row r="2374" spans="1:7" x14ac:dyDescent="0.2">
      <c r="A2374" s="12">
        <v>40585</v>
      </c>
      <c r="B2374" s="9">
        <v>2684.57</v>
      </c>
      <c r="C2374" s="9">
        <v>2647.35</v>
      </c>
      <c r="D2374" s="9">
        <v>2666.77</v>
      </c>
      <c r="E2374" s="9">
        <f t="shared" si="111"/>
        <v>-7.0287172695840958E-3</v>
      </c>
      <c r="F2374" s="9">
        <f t="shared" si="109"/>
        <v>8.0608403521504578E-3</v>
      </c>
      <c r="G2374" s="9">
        <f t="shared" si="110"/>
        <v>1.045053312266498E-2</v>
      </c>
    </row>
    <row r="2375" spans="1:7" x14ac:dyDescent="0.2">
      <c r="A2375" s="12">
        <v>40588</v>
      </c>
      <c r="B2375" s="9">
        <v>2671.69</v>
      </c>
      <c r="C2375" s="9">
        <v>2661.39</v>
      </c>
      <c r="D2375" s="9">
        <v>2664.68</v>
      </c>
      <c r="E2375" s="9">
        <f t="shared" si="111"/>
        <v>-7.8402689964642935E-4</v>
      </c>
      <c r="F2375" s="9">
        <f t="shared" si="109"/>
        <v>1.3678243015315904E-2</v>
      </c>
      <c r="G2375" s="9">
        <f t="shared" si="110"/>
        <v>1.037696630107306E-2</v>
      </c>
    </row>
    <row r="2376" spans="1:7" x14ac:dyDescent="0.2">
      <c r="A2376" s="12">
        <v>40589</v>
      </c>
      <c r="B2376" s="9">
        <v>2663.42</v>
      </c>
      <c r="C2376" s="9">
        <v>2637.39</v>
      </c>
      <c r="D2376" s="9">
        <v>2644.07</v>
      </c>
      <c r="E2376" s="9">
        <f t="shared" si="111"/>
        <v>-7.7645786845141097E-3</v>
      </c>
      <c r="F2376" s="9">
        <f t="shared" si="109"/>
        <v>-1.346754665415055E-2</v>
      </c>
      <c r="G2376" s="9">
        <f t="shared" si="110"/>
        <v>9.8394166009003955E-3</v>
      </c>
    </row>
    <row r="2377" spans="1:7" x14ac:dyDescent="0.2">
      <c r="A2377" s="12">
        <v>40590</v>
      </c>
      <c r="B2377" s="9">
        <v>2659.9</v>
      </c>
      <c r="C2377" s="9">
        <v>2649.58</v>
      </c>
      <c r="D2377" s="9">
        <v>2655.11</v>
      </c>
      <c r="E2377" s="9">
        <f t="shared" si="111"/>
        <v>4.1666884206175521E-3</v>
      </c>
      <c r="F2377" s="9">
        <f t="shared" si="109"/>
        <v>-3.5791261086864944E-3</v>
      </c>
      <c r="G2377" s="9">
        <f t="shared" si="110"/>
        <v>9.8223028210225483E-3</v>
      </c>
    </row>
    <row r="2378" spans="1:7" x14ac:dyDescent="0.2">
      <c r="A2378" s="12">
        <v>40591</v>
      </c>
      <c r="B2378" s="9">
        <v>2660.09</v>
      </c>
      <c r="C2378" s="9">
        <v>2624.97</v>
      </c>
      <c r="D2378" s="9">
        <v>2630.66</v>
      </c>
      <c r="E2378" s="9">
        <f t="shared" si="111"/>
        <v>-9.2513198202335192E-3</v>
      </c>
      <c r="F2378" s="9">
        <f t="shared" si="109"/>
        <v>-7.7398829327434346E-3</v>
      </c>
      <c r="G2378" s="9">
        <f t="shared" si="110"/>
        <v>9.9237690638091878E-3</v>
      </c>
    </row>
    <row r="2379" spans="1:7" x14ac:dyDescent="0.2">
      <c r="A2379" s="12">
        <v>40592</v>
      </c>
      <c r="B2379" s="9">
        <v>2652.72</v>
      </c>
      <c r="C2379" s="9">
        <v>2628.57</v>
      </c>
      <c r="D2379" s="9">
        <v>2645.98</v>
      </c>
      <c r="E2379" s="9">
        <f t="shared" si="111"/>
        <v>5.8067418080226373E-3</v>
      </c>
      <c r="F2379" s="9">
        <f t="shared" si="109"/>
        <v>-7.2188341268824919E-3</v>
      </c>
      <c r="G2379" s="9">
        <f t="shared" si="110"/>
        <v>9.9342564545240233E-3</v>
      </c>
    </row>
    <row r="2380" spans="1:7" x14ac:dyDescent="0.2">
      <c r="A2380" s="12">
        <v>40595</v>
      </c>
      <c r="B2380" s="9">
        <v>2658.75</v>
      </c>
      <c r="C2380" s="9">
        <v>2618.0500000000002</v>
      </c>
      <c r="D2380" s="9">
        <v>2619.12</v>
      </c>
      <c r="E2380" s="9">
        <f t="shared" si="111"/>
        <v>-1.0203123594403642E-2</v>
      </c>
      <c r="F2380" s="9">
        <f t="shared" si="109"/>
        <v>2.3164351034424581E-3</v>
      </c>
      <c r="G2380" s="9">
        <f t="shared" si="110"/>
        <v>9.4285916186398096E-3</v>
      </c>
    </row>
    <row r="2381" spans="1:7" x14ac:dyDescent="0.2">
      <c r="A2381" s="12">
        <v>40596</v>
      </c>
      <c r="B2381" s="9">
        <v>2624.52</v>
      </c>
      <c r="C2381" s="9">
        <v>2583.7199999999998</v>
      </c>
      <c r="D2381" s="9">
        <v>2617.65</v>
      </c>
      <c r="E2381" s="9">
        <f t="shared" si="111"/>
        <v>-5.614147799541619E-4</v>
      </c>
      <c r="F2381" s="9">
        <f t="shared" si="109"/>
        <v>-1.7240173860341441E-2</v>
      </c>
      <c r="G2381" s="9">
        <f t="shared" si="110"/>
        <v>8.7253515908285693E-3</v>
      </c>
    </row>
    <row r="2382" spans="1:7" x14ac:dyDescent="0.2">
      <c r="A2382" s="12">
        <v>40597</v>
      </c>
      <c r="B2382" s="9">
        <v>2607.13</v>
      </c>
      <c r="C2382" s="9">
        <v>2554.79</v>
      </c>
      <c r="D2382" s="9">
        <v>2562.5300000000002</v>
      </c>
      <c r="E2382" s="9">
        <f t="shared" si="111"/>
        <v>-2.1281916997783153E-2</v>
      </c>
      <c r="F2382" s="9">
        <f t="shared" si="109"/>
        <v>-5.4498650738712635E-2</v>
      </c>
      <c r="G2382" s="9">
        <f t="shared" si="110"/>
        <v>8.9373192746347967E-3</v>
      </c>
    </row>
    <row r="2383" spans="1:7" x14ac:dyDescent="0.2">
      <c r="A2383" s="12">
        <v>40598</v>
      </c>
      <c r="B2383" s="9">
        <v>2566.36</v>
      </c>
      <c r="C2383" s="9">
        <v>2530.11</v>
      </c>
      <c r="D2383" s="9">
        <v>2553.2199999999998</v>
      </c>
      <c r="E2383" s="9">
        <f t="shared" si="111"/>
        <v>-3.6397440367624836E-3</v>
      </c>
      <c r="F2383" s="9">
        <f t="shared" si="109"/>
        <v>-4.9181376917141681E-2</v>
      </c>
      <c r="G2383" s="9">
        <f t="shared" si="110"/>
        <v>8.8430581963438223E-3</v>
      </c>
    </row>
    <row r="2384" spans="1:7" x14ac:dyDescent="0.2">
      <c r="A2384" s="12">
        <v>40599</v>
      </c>
      <c r="B2384" s="9">
        <v>2591.04</v>
      </c>
      <c r="C2384" s="9">
        <v>2561.4499999999998</v>
      </c>
      <c r="D2384" s="9">
        <v>2581.9699999999998</v>
      </c>
      <c r="E2384" s="9">
        <f t="shared" si="111"/>
        <v>1.1197365780566125E-2</v>
      </c>
      <c r="F2384" s="9">
        <f t="shared" si="109"/>
        <v>-3.8982792557301048E-2</v>
      </c>
      <c r="G2384" s="9">
        <f t="shared" si="110"/>
        <v>9.139051793947521E-3</v>
      </c>
    </row>
    <row r="2385" spans="1:7" x14ac:dyDescent="0.2">
      <c r="A2385" s="12">
        <v>40602</v>
      </c>
      <c r="B2385" s="9">
        <v>2612.1999999999998</v>
      </c>
      <c r="C2385" s="9">
        <v>2576.4</v>
      </c>
      <c r="D2385" s="9">
        <v>2601.08</v>
      </c>
      <c r="E2385" s="9">
        <f t="shared" si="111"/>
        <v>7.3740699376416271E-3</v>
      </c>
      <c r="F2385" s="9">
        <f t="shared" si="109"/>
        <v>-2.8003945189979951E-2</v>
      </c>
      <c r="G2385" s="9">
        <f t="shared" si="110"/>
        <v>9.2625363743917589E-3</v>
      </c>
    </row>
    <row r="2386" spans="1:7" x14ac:dyDescent="0.2">
      <c r="A2386" s="12">
        <v>40603</v>
      </c>
      <c r="B2386" s="9">
        <v>2632.54</v>
      </c>
      <c r="C2386" s="9">
        <v>2598.4</v>
      </c>
      <c r="D2386" s="9">
        <v>2605.62</v>
      </c>
      <c r="E2386" s="9">
        <f t="shared" si="111"/>
        <v>1.743907331166329E-3</v>
      </c>
      <c r="F2386" s="9">
        <f t="shared" si="109"/>
        <v>-3.4309944309749145E-2</v>
      </c>
      <c r="G2386" s="9">
        <f t="shared" si="110"/>
        <v>9.1221304674446464E-3</v>
      </c>
    </row>
    <row r="2387" spans="1:7" x14ac:dyDescent="0.2">
      <c r="A2387" s="12">
        <v>40604</v>
      </c>
      <c r="B2387" s="9">
        <v>2592.94</v>
      </c>
      <c r="C2387" s="9">
        <v>2568.17</v>
      </c>
      <c r="D2387" s="9">
        <v>2578.44</v>
      </c>
      <c r="E2387" s="9">
        <f t="shared" si="111"/>
        <v>-1.0486085830181105E-2</v>
      </c>
      <c r="F2387" s="9">
        <f t="shared" si="109"/>
        <v>-2.3787515423701829E-2</v>
      </c>
      <c r="G2387" s="9">
        <f t="shared" si="110"/>
        <v>8.5140097839340612E-3</v>
      </c>
    </row>
    <row r="2388" spans="1:7" x14ac:dyDescent="0.2">
      <c r="A2388" s="12">
        <v>40605</v>
      </c>
      <c r="B2388" s="9">
        <v>2605.6999999999998</v>
      </c>
      <c r="C2388" s="9">
        <v>2584.2199999999998</v>
      </c>
      <c r="D2388" s="9">
        <v>2597.34</v>
      </c>
      <c r="E2388" s="9">
        <f t="shared" si="111"/>
        <v>7.3032795084430517E-3</v>
      </c>
      <c r="F2388" s="9">
        <f t="shared" si="109"/>
        <v>-5.5900814381545632E-3</v>
      </c>
      <c r="G2388" s="9">
        <f t="shared" si="110"/>
        <v>8.4172190124832593E-3</v>
      </c>
    </row>
    <row r="2389" spans="1:7" x14ac:dyDescent="0.2">
      <c r="A2389" s="12">
        <v>40606</v>
      </c>
      <c r="B2389" s="9">
        <v>2603.4899999999998</v>
      </c>
      <c r="C2389" s="9">
        <v>2564.21</v>
      </c>
      <c r="D2389" s="9">
        <v>2568.4</v>
      </c>
      <c r="E2389" s="9">
        <f t="shared" si="111"/>
        <v>-1.1204707466186912E-2</v>
      </c>
      <c r="F2389" s="9">
        <f t="shared" si="109"/>
        <v>-3.074051038535754E-2</v>
      </c>
      <c r="G2389" s="9">
        <f t="shared" si="110"/>
        <v>8.2110992111120683E-3</v>
      </c>
    </row>
    <row r="2390" spans="1:7" x14ac:dyDescent="0.2">
      <c r="A2390" s="12">
        <v>40609</v>
      </c>
      <c r="B2390" s="9">
        <v>2602.1</v>
      </c>
      <c r="C2390" s="9">
        <v>2550.5100000000002</v>
      </c>
      <c r="D2390" s="9">
        <v>2576.42</v>
      </c>
      <c r="E2390" s="9">
        <f t="shared" si="111"/>
        <v>3.1177014924683561E-3</v>
      </c>
      <c r="F2390" s="9">
        <f t="shared" si="109"/>
        <v>-2.8453097881139235E-2</v>
      </c>
      <c r="G2390" s="9">
        <f t="shared" si="110"/>
        <v>8.2394893969891057E-3</v>
      </c>
    </row>
    <row r="2391" spans="1:7" x14ac:dyDescent="0.2">
      <c r="A2391" s="12">
        <v>40610</v>
      </c>
      <c r="B2391" s="9">
        <v>2602.1</v>
      </c>
      <c r="C2391" s="9">
        <v>2574.21</v>
      </c>
      <c r="D2391" s="9">
        <v>2587.0300000000002</v>
      </c>
      <c r="E2391" s="9">
        <f t="shared" si="111"/>
        <v>4.1096611501863474E-3</v>
      </c>
      <c r="F2391" s="9">
        <f t="shared" si="109"/>
        <v>-2.625425453533782E-2</v>
      </c>
      <c r="G2391" s="9">
        <f t="shared" si="110"/>
        <v>8.2755023464950155E-3</v>
      </c>
    </row>
    <row r="2392" spans="1:7" x14ac:dyDescent="0.2">
      <c r="A2392" s="12">
        <v>40611</v>
      </c>
      <c r="B2392" s="9">
        <v>2626.69</v>
      </c>
      <c r="C2392" s="9">
        <v>2596.0300000000002</v>
      </c>
      <c r="D2392" s="9">
        <v>2614.5</v>
      </c>
      <c r="E2392" s="9">
        <f t="shared" si="111"/>
        <v>1.0562375065637127E-2</v>
      </c>
      <c r="F2392" s="9">
        <f t="shared" si="109"/>
        <v>-2.1975165037001542E-2</v>
      </c>
      <c r="G2392" s="9">
        <f t="shared" si="110"/>
        <v>8.4384129693254699E-3</v>
      </c>
    </row>
    <row r="2393" spans="1:7" x14ac:dyDescent="0.2">
      <c r="A2393" s="12">
        <v>40612</v>
      </c>
      <c r="B2393" s="9">
        <v>2612.0100000000002</v>
      </c>
      <c r="C2393" s="9">
        <v>2580.14</v>
      </c>
      <c r="D2393" s="9">
        <v>2583.1799999999998</v>
      </c>
      <c r="E2393" s="9">
        <f t="shared" si="111"/>
        <v>-1.2051676549180199E-2</v>
      </c>
      <c r="F2393" s="9">
        <f t="shared" si="109"/>
        <v>-3.9541822093922374E-2</v>
      </c>
      <c r="G2393" s="9">
        <f t="shared" si="110"/>
        <v>8.5979225509275285E-3</v>
      </c>
    </row>
    <row r="2394" spans="1:7" x14ac:dyDescent="0.2">
      <c r="A2394" s="12">
        <v>40613</v>
      </c>
      <c r="B2394" s="9">
        <v>2574.3000000000002</v>
      </c>
      <c r="C2394" s="9">
        <v>2537.25</v>
      </c>
      <c r="D2394" s="9">
        <v>2537.25</v>
      </c>
      <c r="E2394" s="9">
        <f t="shared" si="111"/>
        <v>-1.7940380750077554E-2</v>
      </c>
      <c r="F2394" s="9">
        <f t="shared" si="109"/>
        <v>-5.6964834710152339E-2</v>
      </c>
      <c r="G2394" s="9">
        <f t="shared" si="110"/>
        <v>9.1148715073400711E-3</v>
      </c>
    </row>
    <row r="2395" spans="1:7" x14ac:dyDescent="0.2">
      <c r="A2395" s="12">
        <v>40616</v>
      </c>
      <c r="B2395" s="9">
        <v>2527.54</v>
      </c>
      <c r="C2395" s="9">
        <v>2496.9299999999998</v>
      </c>
      <c r="D2395" s="9">
        <v>2500.5300000000002</v>
      </c>
      <c r="E2395" s="9">
        <f t="shared" si="111"/>
        <v>-1.4578107941459762E-2</v>
      </c>
      <c r="F2395" s="9">
        <f t="shared" si="109"/>
        <v>-6.806703922210329E-2</v>
      </c>
      <c r="G2395" s="9">
        <f t="shared" si="110"/>
        <v>9.4019696040010762E-3</v>
      </c>
    </row>
    <row r="2396" spans="1:7" x14ac:dyDescent="0.2">
      <c r="A2396" s="12">
        <v>40617</v>
      </c>
      <c r="B2396" s="9">
        <v>2480.54</v>
      </c>
      <c r="C2396" s="9">
        <v>2388.6799999999998</v>
      </c>
      <c r="D2396" s="9">
        <v>2476.44</v>
      </c>
      <c r="E2396" s="9">
        <f t="shared" si="111"/>
        <v>-9.6806643934349186E-3</v>
      </c>
      <c r="F2396" s="9">
        <f t="shared" si="109"/>
        <v>-9.0392237249153309E-2</v>
      </c>
      <c r="G2396" s="9">
        <f t="shared" si="110"/>
        <v>9.0580956652443062E-3</v>
      </c>
    </row>
    <row r="2397" spans="1:7" x14ac:dyDescent="0.2">
      <c r="A2397" s="12">
        <v>40618</v>
      </c>
      <c r="B2397" s="9">
        <v>2514.8000000000002</v>
      </c>
      <c r="C2397" s="9">
        <v>2451.14</v>
      </c>
      <c r="D2397" s="9">
        <v>2451.14</v>
      </c>
      <c r="E2397" s="9">
        <f t="shared" si="111"/>
        <v>-1.0268822554135561E-2</v>
      </c>
      <c r="F2397" s="9">
        <f t="shared" si="109"/>
        <v>-8.5675051467673513E-2</v>
      </c>
      <c r="G2397" s="9">
        <f t="shared" si="110"/>
        <v>8.8823281026771238E-3</v>
      </c>
    </row>
    <row r="2398" spans="1:7" x14ac:dyDescent="0.2">
      <c r="A2398" s="12">
        <v>40619</v>
      </c>
      <c r="B2398" s="9">
        <v>2505.31</v>
      </c>
      <c r="C2398" s="9">
        <v>2463.41</v>
      </c>
      <c r="D2398" s="9">
        <v>2497.8200000000002</v>
      </c>
      <c r="E2398" s="9">
        <f t="shared" si="111"/>
        <v>1.8865129003231985E-2</v>
      </c>
      <c r="F2398" s="9">
        <f t="shared" si="109"/>
        <v>-6.3903516015793221E-2</v>
      </c>
      <c r="G2398" s="9">
        <f t="shared" si="110"/>
        <v>9.7272715691303288E-3</v>
      </c>
    </row>
    <row r="2399" spans="1:7" x14ac:dyDescent="0.2">
      <c r="A2399" s="12">
        <v>40620</v>
      </c>
      <c r="B2399" s="9">
        <v>2537.2600000000002</v>
      </c>
      <c r="C2399" s="9">
        <v>2513.37</v>
      </c>
      <c r="D2399" s="9">
        <v>2518.91</v>
      </c>
      <c r="E2399" s="9">
        <f t="shared" si="111"/>
        <v>8.4079168075281482E-3</v>
      </c>
      <c r="F2399" s="9">
        <f t="shared" si="109"/>
        <v>-5.7510356008634363E-2</v>
      </c>
      <c r="G2399" s="9">
        <f t="shared" si="110"/>
        <v>9.8898804375193942E-3</v>
      </c>
    </row>
    <row r="2400" spans="1:7" x14ac:dyDescent="0.2">
      <c r="A2400" s="12">
        <v>40623</v>
      </c>
      <c r="B2400" s="9">
        <v>2577.86</v>
      </c>
      <c r="C2400" s="9">
        <v>2549.69</v>
      </c>
      <c r="D2400" s="9">
        <v>2575.09</v>
      </c>
      <c r="E2400" s="9">
        <f t="shared" si="111"/>
        <v>2.2058216692701926E-2</v>
      </c>
      <c r="F2400" s="9">
        <f t="shared" si="109"/>
        <v>-4.7459876355224195E-2</v>
      </c>
      <c r="G2400" s="9">
        <f t="shared" si="110"/>
        <v>1.0527514357698239E-2</v>
      </c>
    </row>
    <row r="2401" spans="1:7" x14ac:dyDescent="0.2">
      <c r="A2401" s="12">
        <v>40624</v>
      </c>
      <c r="B2401" s="9">
        <v>2593.2600000000002</v>
      </c>
      <c r="C2401" s="9">
        <v>2551.14</v>
      </c>
      <c r="D2401" s="9">
        <v>2566.02</v>
      </c>
      <c r="E2401" s="9">
        <f t="shared" si="111"/>
        <v>-3.5284245658844015E-3</v>
      </c>
      <c r="F2401" s="9">
        <f t="shared" ref="F2401:F2464" si="112">LN(D2401/D2371)</f>
        <v>-4.9427969339910671E-2</v>
      </c>
      <c r="G2401" s="9">
        <f t="shared" ref="G2401:G2464" si="113">STDEV(E2372:E2401)</f>
        <v>1.0533505164209013E-2</v>
      </c>
    </row>
    <row r="2402" spans="1:7" x14ac:dyDescent="0.2">
      <c r="A2402" s="12">
        <v>40625</v>
      </c>
      <c r="B2402" s="9">
        <v>2580.04</v>
      </c>
      <c r="C2402" s="9">
        <v>2549.86</v>
      </c>
      <c r="D2402" s="9">
        <v>2579.38</v>
      </c>
      <c r="E2402" s="9">
        <f t="shared" si="111"/>
        <v>5.192999581575485E-3</v>
      </c>
      <c r="F2402" s="9">
        <f t="shared" si="112"/>
        <v>-4.7759854924589153E-2</v>
      </c>
      <c r="G2402" s="9">
        <f t="shared" si="113"/>
        <v>1.056610332244253E-2</v>
      </c>
    </row>
    <row r="2403" spans="1:7" x14ac:dyDescent="0.2">
      <c r="A2403" s="12">
        <v>40626</v>
      </c>
      <c r="B2403" s="9">
        <v>2608.79</v>
      </c>
      <c r="C2403" s="9">
        <v>2567.6999999999998</v>
      </c>
      <c r="D2403" s="9">
        <v>2608.79</v>
      </c>
      <c r="E2403" s="9">
        <f t="shared" si="111"/>
        <v>1.1337452328706296E-2</v>
      </c>
      <c r="F2403" s="9">
        <f t="shared" si="112"/>
        <v>-2.9010207224929037E-2</v>
      </c>
      <c r="G2403" s="9">
        <f t="shared" si="113"/>
        <v>1.0762660893250566E-2</v>
      </c>
    </row>
    <row r="2404" spans="1:7" x14ac:dyDescent="0.2">
      <c r="A2404" s="12">
        <v>40627</v>
      </c>
      <c r="B2404" s="9">
        <v>2620.0700000000002</v>
      </c>
      <c r="C2404" s="9">
        <v>2598.66</v>
      </c>
      <c r="D2404" s="9">
        <v>2617.25</v>
      </c>
      <c r="E2404" s="9">
        <f t="shared" si="111"/>
        <v>3.237635911707757E-3</v>
      </c>
      <c r="F2404" s="9">
        <f t="shared" si="112"/>
        <v>-1.8743854043637143E-2</v>
      </c>
      <c r="G2404" s="9">
        <f t="shared" si="113"/>
        <v>1.0726429873965495E-2</v>
      </c>
    </row>
    <row r="2405" spans="1:7" x14ac:dyDescent="0.2">
      <c r="A2405" s="12">
        <v>40630</v>
      </c>
      <c r="B2405" s="9">
        <v>2633.34</v>
      </c>
      <c r="C2405" s="9">
        <v>2607.39</v>
      </c>
      <c r="D2405" s="9">
        <v>2626.6</v>
      </c>
      <c r="E2405" s="9">
        <f t="shared" si="111"/>
        <v>3.5660859515951613E-3</v>
      </c>
      <c r="F2405" s="9">
        <f t="shared" si="112"/>
        <v>-1.4393741192395516E-2</v>
      </c>
      <c r="G2405" s="9">
        <f t="shared" si="113"/>
        <v>1.0753571955385354E-2</v>
      </c>
    </row>
    <row r="2406" spans="1:7" x14ac:dyDescent="0.2">
      <c r="A2406" s="12">
        <v>40631</v>
      </c>
      <c r="B2406" s="9">
        <v>2637.67</v>
      </c>
      <c r="C2406" s="9">
        <v>2610.61</v>
      </c>
      <c r="D2406" s="9">
        <v>2628.38</v>
      </c>
      <c r="E2406" s="9">
        <f t="shared" si="111"/>
        <v>6.7745265179948303E-4</v>
      </c>
      <c r="F2406" s="9">
        <f t="shared" si="112"/>
        <v>-5.9517098560818551E-3</v>
      </c>
      <c r="G2406" s="9">
        <f t="shared" si="113"/>
        <v>1.0666472569682742E-2</v>
      </c>
    </row>
    <row r="2407" spans="1:7" x14ac:dyDescent="0.2">
      <c r="A2407" s="12">
        <v>40632</v>
      </c>
      <c r="B2407" s="9">
        <v>2659.56</v>
      </c>
      <c r="C2407" s="9">
        <v>2645.27</v>
      </c>
      <c r="D2407" s="9">
        <v>2649.86</v>
      </c>
      <c r="E2407" s="9">
        <f t="shared" si="111"/>
        <v>8.1391215931660727E-3</v>
      </c>
      <c r="F2407" s="9">
        <f t="shared" si="112"/>
        <v>-1.9792766835333847E-3</v>
      </c>
      <c r="G2407" s="9">
        <f t="shared" si="113"/>
        <v>1.0746883526386653E-2</v>
      </c>
    </row>
    <row r="2408" spans="1:7" x14ac:dyDescent="0.2">
      <c r="A2408" s="12">
        <v>40633</v>
      </c>
      <c r="B2408" s="9">
        <v>2653.18</v>
      </c>
      <c r="C2408" s="9">
        <v>2634.7</v>
      </c>
      <c r="D2408" s="9">
        <v>2637.82</v>
      </c>
      <c r="E2408" s="9">
        <f t="shared" si="111"/>
        <v>-4.5539899570120222E-3</v>
      </c>
      <c r="F2408" s="9">
        <f t="shared" si="112"/>
        <v>2.7180531796881253E-3</v>
      </c>
      <c r="G2408" s="9">
        <f t="shared" si="113"/>
        <v>1.0642150888667191E-2</v>
      </c>
    </row>
    <row r="2409" spans="1:7" x14ac:dyDescent="0.2">
      <c r="A2409" s="12">
        <v>40634</v>
      </c>
      <c r="B2409" s="9">
        <v>2660.35</v>
      </c>
      <c r="C2409" s="9">
        <v>2627.02</v>
      </c>
      <c r="D2409" s="9">
        <v>2659.15</v>
      </c>
      <c r="E2409" s="9">
        <f t="shared" si="111"/>
        <v>8.0537043979311985E-3</v>
      </c>
      <c r="F2409" s="9">
        <f t="shared" si="112"/>
        <v>4.9650157695966162E-3</v>
      </c>
      <c r="G2409" s="9">
        <f t="shared" si="113"/>
        <v>1.0691560226772433E-2</v>
      </c>
    </row>
    <row r="2410" spans="1:7" x14ac:dyDescent="0.2">
      <c r="A2410" s="12">
        <v>40637</v>
      </c>
      <c r="B2410" s="9">
        <v>2677.41</v>
      </c>
      <c r="C2410" s="9">
        <v>2656.92</v>
      </c>
      <c r="D2410" s="9">
        <v>2677.07</v>
      </c>
      <c r="E2410" s="9">
        <f t="shared" si="111"/>
        <v>6.7163900154262263E-3</v>
      </c>
      <c r="F2410" s="9">
        <f t="shared" si="112"/>
        <v>2.18845293794265E-2</v>
      </c>
      <c r="G2410" s="9">
        <f t="shared" si="113"/>
        <v>1.0571330451619482E-2</v>
      </c>
    </row>
    <row r="2411" spans="1:7" x14ac:dyDescent="0.2">
      <c r="A2411" s="12">
        <v>40638</v>
      </c>
      <c r="B2411" s="9">
        <v>2680.17</v>
      </c>
      <c r="C2411" s="9">
        <v>2658.41</v>
      </c>
      <c r="D2411" s="9">
        <v>2680.17</v>
      </c>
      <c r="E2411" s="9">
        <f t="shared" si="111"/>
        <v>1.1573124765753371E-3</v>
      </c>
      <c r="F2411" s="9">
        <f t="shared" si="112"/>
        <v>2.3603256635956089E-2</v>
      </c>
      <c r="G2411" s="9">
        <f t="shared" si="113"/>
        <v>1.0568750206716734E-2</v>
      </c>
    </row>
    <row r="2412" spans="1:7" x14ac:dyDescent="0.2">
      <c r="A2412" s="12">
        <v>40639</v>
      </c>
      <c r="B2412" s="9">
        <v>2682.22</v>
      </c>
      <c r="C2412" s="9">
        <v>2664.8</v>
      </c>
      <c r="D2412" s="9">
        <v>2677.83</v>
      </c>
      <c r="E2412" s="9">
        <f t="shared" si="111"/>
        <v>-8.7346030189328018E-4</v>
      </c>
      <c r="F2412" s="9">
        <f t="shared" si="112"/>
        <v>4.4011713331846086E-2</v>
      </c>
      <c r="G2412" s="9">
        <f t="shared" si="113"/>
        <v>9.7221780752388635E-3</v>
      </c>
    </row>
    <row r="2413" spans="1:7" x14ac:dyDescent="0.2">
      <c r="A2413" s="12">
        <v>40640</v>
      </c>
      <c r="B2413" s="9">
        <v>2679.41</v>
      </c>
      <c r="C2413" s="9">
        <v>2647.27</v>
      </c>
      <c r="D2413" s="9">
        <v>2650.48</v>
      </c>
      <c r="E2413" s="9">
        <f t="shared" si="111"/>
        <v>-1.026600937374688E-2</v>
      </c>
      <c r="F2413" s="9">
        <f t="shared" si="112"/>
        <v>3.7385447994861508E-2</v>
      </c>
      <c r="G2413" s="9">
        <f t="shared" si="113"/>
        <v>9.9155459632017853E-3</v>
      </c>
    </row>
    <row r="2414" spans="1:7" x14ac:dyDescent="0.2">
      <c r="A2414" s="12">
        <v>40641</v>
      </c>
      <c r="B2414" s="9">
        <v>2663.63</v>
      </c>
      <c r="C2414" s="9">
        <v>2650.91</v>
      </c>
      <c r="D2414" s="9">
        <v>2659.6</v>
      </c>
      <c r="E2414" s="9">
        <f t="shared" si="111"/>
        <v>3.4349798749939483E-3</v>
      </c>
      <c r="F2414" s="9">
        <f t="shared" si="112"/>
        <v>2.9623062089289453E-2</v>
      </c>
      <c r="G2414" s="9">
        <f t="shared" si="113"/>
        <v>9.7467585843766698E-3</v>
      </c>
    </row>
    <row r="2415" spans="1:7" x14ac:dyDescent="0.2">
      <c r="A2415" s="12">
        <v>40644</v>
      </c>
      <c r="B2415" s="9">
        <v>2663.62</v>
      </c>
      <c r="C2415" s="9">
        <v>2645.31</v>
      </c>
      <c r="D2415" s="9">
        <v>2663.62</v>
      </c>
      <c r="E2415" s="9">
        <f t="shared" si="111"/>
        <v>1.5103643149079998E-3</v>
      </c>
      <c r="F2415" s="9">
        <f t="shared" si="112"/>
        <v>2.3759356466555845E-2</v>
      </c>
      <c r="G2415" s="9">
        <f t="shared" si="113"/>
        <v>9.6727809300023691E-3</v>
      </c>
    </row>
    <row r="2416" spans="1:7" x14ac:dyDescent="0.2">
      <c r="A2416" s="12">
        <v>40645</v>
      </c>
      <c r="B2416" s="9">
        <v>2648.35</v>
      </c>
      <c r="C2416" s="9">
        <v>2607.86</v>
      </c>
      <c r="D2416" s="9">
        <v>2612.3200000000002</v>
      </c>
      <c r="E2416" s="9">
        <f t="shared" si="111"/>
        <v>-1.9447384465353396E-2</v>
      </c>
      <c r="F2416" s="9">
        <f t="shared" si="112"/>
        <v>2.5680646700359977E-3</v>
      </c>
      <c r="G2416" s="9">
        <f t="shared" si="113"/>
        <v>1.0350869787246532E-2</v>
      </c>
    </row>
    <row r="2417" spans="1:7" x14ac:dyDescent="0.2">
      <c r="A2417" s="12">
        <v>40646</v>
      </c>
      <c r="B2417" s="9">
        <v>2643.57</v>
      </c>
      <c r="C2417" s="9">
        <v>2615.71</v>
      </c>
      <c r="D2417" s="9">
        <v>2635.87</v>
      </c>
      <c r="E2417" s="9">
        <f t="shared" si="111"/>
        <v>8.974582881220234E-3</v>
      </c>
      <c r="F2417" s="9">
        <f t="shared" si="112"/>
        <v>2.2028733381437286E-2</v>
      </c>
      <c r="G2417" s="9">
        <f t="shared" si="113"/>
        <v>1.0275018459254711E-2</v>
      </c>
    </row>
    <row r="2418" spans="1:7" x14ac:dyDescent="0.2">
      <c r="A2418" s="12">
        <v>40647</v>
      </c>
      <c r="B2418" s="9">
        <v>2639.48</v>
      </c>
      <c r="C2418" s="9">
        <v>2599.09</v>
      </c>
      <c r="D2418" s="9">
        <v>2611.73</v>
      </c>
      <c r="E2418" s="9">
        <f t="shared" si="111"/>
        <v>-9.2004612715529017E-3</v>
      </c>
      <c r="F2418" s="9">
        <f t="shared" si="112"/>
        <v>5.5249926014415141E-3</v>
      </c>
      <c r="G2418" s="9">
        <f t="shared" si="113"/>
        <v>1.0352698643468525E-2</v>
      </c>
    </row>
    <row r="2419" spans="1:7" x14ac:dyDescent="0.2">
      <c r="A2419" s="12">
        <v>40648</v>
      </c>
      <c r="B2419" s="9">
        <v>2605.17</v>
      </c>
      <c r="C2419" s="9">
        <v>2580.67</v>
      </c>
      <c r="D2419" s="9">
        <v>2594.15</v>
      </c>
      <c r="E2419" s="9">
        <f t="shared" si="111"/>
        <v>-6.7539270312419663E-3</v>
      </c>
      <c r="F2419" s="9">
        <f t="shared" si="112"/>
        <v>9.9757730363863682E-3</v>
      </c>
      <c r="G2419" s="9">
        <f t="shared" si="113"/>
        <v>1.0214835533523973E-2</v>
      </c>
    </row>
    <row r="2420" spans="1:7" x14ac:dyDescent="0.2">
      <c r="A2420" s="12">
        <v>40651</v>
      </c>
      <c r="B2420" s="9">
        <v>2595.66</v>
      </c>
      <c r="C2420" s="9">
        <v>2544.84</v>
      </c>
      <c r="D2420" s="9">
        <v>2555.1799999999998</v>
      </c>
      <c r="E2420" s="9">
        <f t="shared" si="111"/>
        <v>-1.5136238702119111E-2</v>
      </c>
      <c r="F2420" s="9">
        <f t="shared" si="112"/>
        <v>-8.2781671582013178E-3</v>
      </c>
      <c r="G2420" s="9">
        <f t="shared" si="113"/>
        <v>1.058033582184679E-2</v>
      </c>
    </row>
    <row r="2421" spans="1:7" x14ac:dyDescent="0.2">
      <c r="A2421" s="12">
        <v>40652</v>
      </c>
      <c r="B2421" s="9">
        <v>2586.9899999999998</v>
      </c>
      <c r="C2421" s="9">
        <v>2557.34</v>
      </c>
      <c r="D2421" s="9">
        <v>2578.44</v>
      </c>
      <c r="E2421" s="9">
        <f t="shared" si="111"/>
        <v>9.061893623476763E-3</v>
      </c>
      <c r="F2421" s="9">
        <f t="shared" si="112"/>
        <v>-3.3259346849109856E-3</v>
      </c>
      <c r="G2421" s="9">
        <f t="shared" si="113"/>
        <v>1.0689191799703804E-2</v>
      </c>
    </row>
    <row r="2422" spans="1:7" x14ac:dyDescent="0.2">
      <c r="A2422" s="12">
        <v>40653</v>
      </c>
      <c r="B2422" s="9">
        <v>2619.79</v>
      </c>
      <c r="C2422" s="9">
        <v>2583.9499999999998</v>
      </c>
      <c r="D2422" s="9">
        <v>2616.63</v>
      </c>
      <c r="E2422" s="9">
        <f t="shared" si="111"/>
        <v>1.4702665393674281E-2</v>
      </c>
      <c r="F2422" s="9">
        <f t="shared" si="112"/>
        <v>8.1435564312640912E-4</v>
      </c>
      <c r="G2422" s="9">
        <f t="shared" si="113"/>
        <v>1.0857155662733216E-2</v>
      </c>
    </row>
    <row r="2423" spans="1:7" x14ac:dyDescent="0.2">
      <c r="A2423" s="12">
        <v>40654</v>
      </c>
      <c r="B2423" s="9">
        <v>2627.22</v>
      </c>
      <c r="C2423" s="9">
        <v>2606.2399999999998</v>
      </c>
      <c r="D2423" s="9">
        <v>2615.46</v>
      </c>
      <c r="E2423" s="9">
        <f t="shared" si="111"/>
        <v>-4.4724002052811643E-4</v>
      </c>
      <c r="F2423" s="9">
        <f t="shared" si="112"/>
        <v>1.241879217177839E-2</v>
      </c>
      <c r="G2423" s="9">
        <f t="shared" si="113"/>
        <v>1.0616018127014536E-2</v>
      </c>
    </row>
    <row r="2424" spans="1:7" x14ac:dyDescent="0.2">
      <c r="A2424" s="12">
        <v>40659</v>
      </c>
      <c r="B2424" s="9">
        <v>2625.26</v>
      </c>
      <c r="C2424" s="9">
        <v>2606.0500000000002</v>
      </c>
      <c r="D2424" s="9">
        <v>2622.26</v>
      </c>
      <c r="E2424" s="9">
        <f t="shared" si="111"/>
        <v>2.5965511025829633E-3</v>
      </c>
      <c r="F2424" s="9">
        <f t="shared" si="112"/>
        <v>3.2955724024438984E-2</v>
      </c>
      <c r="G2424" s="9">
        <f t="shared" si="113"/>
        <v>1.0038062773776762E-2</v>
      </c>
    </row>
    <row r="2425" spans="1:7" x14ac:dyDescent="0.2">
      <c r="A2425" s="12">
        <v>40660</v>
      </c>
      <c r="B2425" s="9">
        <v>2633.83</v>
      </c>
      <c r="C2425" s="9">
        <v>2614.38</v>
      </c>
      <c r="D2425" s="9">
        <v>2628.37</v>
      </c>
      <c r="E2425" s="9">
        <f t="shared" si="111"/>
        <v>2.3273408173527001E-3</v>
      </c>
      <c r="F2425" s="9">
        <f t="shared" si="112"/>
        <v>4.9861172783251459E-2</v>
      </c>
      <c r="G2425" s="9">
        <f t="shared" si="113"/>
        <v>9.5922834418003117E-3</v>
      </c>
    </row>
    <row r="2426" spans="1:7" x14ac:dyDescent="0.2">
      <c r="A2426" s="12">
        <v>40661</v>
      </c>
      <c r="B2426" s="9">
        <v>2637.6</v>
      </c>
      <c r="C2426" s="9">
        <v>2623.81</v>
      </c>
      <c r="D2426" s="9">
        <v>2635.27</v>
      </c>
      <c r="E2426" s="9">
        <f t="shared" si="111"/>
        <v>2.621761348549123E-3</v>
      </c>
      <c r="F2426" s="9">
        <f t="shared" si="112"/>
        <v>6.2163598525235619E-2</v>
      </c>
      <c r="G2426" s="9">
        <f t="shared" si="113"/>
        <v>9.3505749451383759E-3</v>
      </c>
    </row>
    <row r="2427" spans="1:7" x14ac:dyDescent="0.2">
      <c r="A2427" s="12">
        <v>40662</v>
      </c>
      <c r="B2427" s="9">
        <v>2638.93</v>
      </c>
      <c r="C2427" s="9">
        <v>2628.46</v>
      </c>
      <c r="D2427" s="9">
        <v>2637.4</v>
      </c>
      <c r="E2427" s="9">
        <f t="shared" si="111"/>
        <v>8.0793985433042263E-4</v>
      </c>
      <c r="F2427" s="9">
        <f t="shared" si="112"/>
        <v>7.3240360933701454E-2</v>
      </c>
      <c r="G2427" s="9">
        <f t="shared" si="113"/>
        <v>9.060664833562106E-3</v>
      </c>
    </row>
    <row r="2428" spans="1:7" x14ac:dyDescent="0.2">
      <c r="A2428" s="12">
        <v>40665</v>
      </c>
      <c r="B2428" s="9">
        <v>2653.37</v>
      </c>
      <c r="C2428" s="9">
        <v>2645.15</v>
      </c>
      <c r="D2428" s="9">
        <v>2650.5</v>
      </c>
      <c r="E2428" s="9">
        <f t="shared" si="111"/>
        <v>4.9547180542620518E-3</v>
      </c>
      <c r="F2428" s="9">
        <f t="shared" si="112"/>
        <v>5.9329949984731616E-2</v>
      </c>
      <c r="G2428" s="9">
        <f t="shared" si="113"/>
        <v>8.5316856853957963E-3</v>
      </c>
    </row>
    <row r="2429" spans="1:7" x14ac:dyDescent="0.2">
      <c r="A2429" s="12">
        <v>40666</v>
      </c>
      <c r="B2429" s="9">
        <v>2651.7</v>
      </c>
      <c r="C2429" s="9">
        <v>2607.63</v>
      </c>
      <c r="D2429" s="9">
        <v>2614.12</v>
      </c>
      <c r="E2429" s="9">
        <f t="shared" si="111"/>
        <v>-1.3820780640906714E-2</v>
      </c>
      <c r="F2429" s="9">
        <f t="shared" si="112"/>
        <v>3.7101252536296758E-2</v>
      </c>
      <c r="G2429" s="9">
        <f t="shared" si="113"/>
        <v>8.910807860469494E-3</v>
      </c>
    </row>
    <row r="2430" spans="1:7" x14ac:dyDescent="0.2">
      <c r="A2430" s="12">
        <v>40667</v>
      </c>
      <c r="B2430" s="9">
        <v>2596.77</v>
      </c>
      <c r="C2430" s="9">
        <v>2551.89</v>
      </c>
      <c r="D2430" s="9">
        <v>2555.84</v>
      </c>
      <c r="E2430" s="9">
        <f t="shared" si="111"/>
        <v>-2.2546584057929864E-2</v>
      </c>
      <c r="F2430" s="9">
        <f t="shared" si="112"/>
        <v>-7.50354821433513E-3</v>
      </c>
      <c r="G2430" s="9">
        <f t="shared" si="113"/>
        <v>9.0372077448383457E-3</v>
      </c>
    </row>
    <row r="2431" spans="1:7" x14ac:dyDescent="0.2">
      <c r="A2431" s="12">
        <v>40668</v>
      </c>
      <c r="B2431" s="9">
        <v>2575.4</v>
      </c>
      <c r="C2431" s="9">
        <v>2534.06</v>
      </c>
      <c r="D2431" s="9">
        <v>2540.89</v>
      </c>
      <c r="E2431" s="9">
        <f t="shared" si="111"/>
        <v>-5.8665233891911795E-3</v>
      </c>
      <c r="F2431" s="9">
        <f t="shared" si="112"/>
        <v>-9.8416470376419402E-3</v>
      </c>
      <c r="G2431" s="9">
        <f t="shared" si="113"/>
        <v>9.0764513071789465E-3</v>
      </c>
    </row>
    <row r="2432" spans="1:7" x14ac:dyDescent="0.2">
      <c r="A2432" s="12">
        <v>40669</v>
      </c>
      <c r="B2432" s="9">
        <v>2580.15</v>
      </c>
      <c r="C2432" s="9">
        <v>2516.48</v>
      </c>
      <c r="D2432" s="9">
        <v>2577.13</v>
      </c>
      <c r="E2432" s="9">
        <f t="shared" si="111"/>
        <v>1.4161963295498181E-2</v>
      </c>
      <c r="F2432" s="9">
        <f t="shared" si="112"/>
        <v>-8.7268332371916353E-4</v>
      </c>
      <c r="G2432" s="9">
        <f t="shared" si="113"/>
        <v>9.4062969664663165E-3</v>
      </c>
    </row>
    <row r="2433" spans="1:7" x14ac:dyDescent="0.2">
      <c r="A2433" s="12">
        <v>40672</v>
      </c>
      <c r="B2433" s="9">
        <v>2595.9699999999998</v>
      </c>
      <c r="C2433" s="9">
        <v>2559.85</v>
      </c>
      <c r="D2433" s="9">
        <v>2579.42</v>
      </c>
      <c r="E2433" s="9">
        <f t="shared" si="111"/>
        <v>8.8819080607974957E-4</v>
      </c>
      <c r="F2433" s="9">
        <f t="shared" si="112"/>
        <v>-1.1321944846345642E-2</v>
      </c>
      <c r="G2433" s="9">
        <f t="shared" si="113"/>
        <v>9.1611582958447488E-3</v>
      </c>
    </row>
    <row r="2434" spans="1:7" x14ac:dyDescent="0.2">
      <c r="A2434" s="12">
        <v>40673</v>
      </c>
      <c r="B2434" s="9">
        <v>2607.7800000000002</v>
      </c>
      <c r="C2434" s="9">
        <v>2576.21</v>
      </c>
      <c r="D2434" s="9">
        <v>2607.6799999999998</v>
      </c>
      <c r="E2434" s="9">
        <f t="shared" si="111"/>
        <v>1.0896369690444042E-2</v>
      </c>
      <c r="F2434" s="9">
        <f t="shared" si="112"/>
        <v>-3.6632110676094645E-3</v>
      </c>
      <c r="G2434" s="9">
        <f t="shared" si="113"/>
        <v>9.3697090481898691E-3</v>
      </c>
    </row>
    <row r="2435" spans="1:7" x14ac:dyDescent="0.2">
      <c r="A2435" s="12">
        <v>40674</v>
      </c>
      <c r="B2435" s="9">
        <v>2624.46</v>
      </c>
      <c r="C2435" s="9">
        <v>2600.37</v>
      </c>
      <c r="D2435" s="9">
        <v>2611.8200000000002</v>
      </c>
      <c r="E2435" s="9">
        <f t="shared" si="111"/>
        <v>1.5863591793102577E-3</v>
      </c>
      <c r="F2435" s="9">
        <f t="shared" si="112"/>
        <v>-5.6429378398943552E-3</v>
      </c>
      <c r="G2435" s="9">
        <f t="shared" si="113"/>
        <v>9.3497878035012447E-3</v>
      </c>
    </row>
    <row r="2436" spans="1:7" x14ac:dyDescent="0.2">
      <c r="A2436" s="12">
        <v>40675</v>
      </c>
      <c r="B2436" s="9">
        <v>2605.11</v>
      </c>
      <c r="C2436" s="9">
        <v>2574.38</v>
      </c>
      <c r="D2436" s="9">
        <v>2593.52</v>
      </c>
      <c r="E2436" s="9">
        <f t="shared" ref="E2436:E2499" si="114">LN(D2436/D2435)</f>
        <v>-7.0312699627854691E-3</v>
      </c>
      <c r="F2436" s="9">
        <f t="shared" si="112"/>
        <v>-1.3351660454479298E-2</v>
      </c>
      <c r="G2436" s="9">
        <f t="shared" si="113"/>
        <v>9.4307575286432226E-3</v>
      </c>
    </row>
    <row r="2437" spans="1:7" x14ac:dyDescent="0.2">
      <c r="A2437" s="12">
        <v>40676</v>
      </c>
      <c r="B2437" s="9">
        <v>2613.84</v>
      </c>
      <c r="C2437" s="9">
        <v>2582.7199999999998</v>
      </c>
      <c r="D2437" s="9">
        <v>2587.7800000000002</v>
      </c>
      <c r="E2437" s="9">
        <f t="shared" si="114"/>
        <v>-2.2156610689253618E-3</v>
      </c>
      <c r="F2437" s="9">
        <f t="shared" si="112"/>
        <v>-2.370644311657083E-2</v>
      </c>
      <c r="G2437" s="9">
        <f t="shared" si="113"/>
        <v>9.2942498712546406E-3</v>
      </c>
    </row>
    <row r="2438" spans="1:7" x14ac:dyDescent="0.2">
      <c r="A2438" s="12">
        <v>40679</v>
      </c>
      <c r="B2438" s="9">
        <v>2585.46</v>
      </c>
      <c r="C2438" s="9">
        <v>2556.63</v>
      </c>
      <c r="D2438" s="9">
        <v>2581.15</v>
      </c>
      <c r="E2438" s="9">
        <f t="shared" si="114"/>
        <v>-2.565329240657064E-3</v>
      </c>
      <c r="F2438" s="9">
        <f t="shared" si="112"/>
        <v>-2.1717782400215838E-2</v>
      </c>
      <c r="G2438" s="9">
        <f t="shared" si="113"/>
        <v>9.2735488527820615E-3</v>
      </c>
    </row>
    <row r="2439" spans="1:7" x14ac:dyDescent="0.2">
      <c r="A2439" s="12">
        <v>40680</v>
      </c>
      <c r="B2439" s="9">
        <v>2598.6999999999998</v>
      </c>
      <c r="C2439" s="9">
        <v>2564.56</v>
      </c>
      <c r="D2439" s="9">
        <v>2564.81</v>
      </c>
      <c r="E2439" s="9">
        <f t="shared" si="114"/>
        <v>-6.3506342516211943E-3</v>
      </c>
      <c r="F2439" s="9">
        <f t="shared" si="112"/>
        <v>-3.6122121049768217E-2</v>
      </c>
      <c r="G2439" s="9">
        <f t="shared" si="113"/>
        <v>9.1757916575372425E-3</v>
      </c>
    </row>
    <row r="2440" spans="1:7" x14ac:dyDescent="0.2">
      <c r="A2440" s="12">
        <v>40681</v>
      </c>
      <c r="B2440" s="9">
        <v>2588.17</v>
      </c>
      <c r="C2440" s="9">
        <v>2567.2800000000002</v>
      </c>
      <c r="D2440" s="9">
        <v>2571.31</v>
      </c>
      <c r="E2440" s="9">
        <f t="shared" si="114"/>
        <v>2.5310948615511362E-3</v>
      </c>
      <c r="F2440" s="9">
        <f t="shared" si="112"/>
        <v>-4.0307416203643309E-2</v>
      </c>
      <c r="G2440" s="9">
        <f t="shared" si="113"/>
        <v>9.082558688737058E-3</v>
      </c>
    </row>
    <row r="2441" spans="1:7" x14ac:dyDescent="0.2">
      <c r="A2441" s="12">
        <v>40682</v>
      </c>
      <c r="B2441" s="9">
        <v>2592.39</v>
      </c>
      <c r="C2441" s="9">
        <v>2565.2399999999998</v>
      </c>
      <c r="D2441" s="9">
        <v>2587.0700000000002</v>
      </c>
      <c r="E2441" s="9">
        <f t="shared" si="114"/>
        <v>6.1104645399976181E-3</v>
      </c>
      <c r="F2441" s="9">
        <f t="shared" si="112"/>
        <v>-3.5354264140221019E-2</v>
      </c>
      <c r="G2441" s="9">
        <f t="shared" si="113"/>
        <v>9.174146261810413E-3</v>
      </c>
    </row>
    <row r="2442" spans="1:7" x14ac:dyDescent="0.2">
      <c r="A2442" s="12">
        <v>40683</v>
      </c>
      <c r="B2442" s="9">
        <v>2606.0500000000002</v>
      </c>
      <c r="C2442" s="9">
        <v>2573.0300000000002</v>
      </c>
      <c r="D2442" s="9">
        <v>2578.27</v>
      </c>
      <c r="E2442" s="9">
        <f t="shared" si="114"/>
        <v>-3.4073298229826935E-3</v>
      </c>
      <c r="F2442" s="9">
        <f t="shared" si="112"/>
        <v>-3.7888133661310351E-2</v>
      </c>
      <c r="G2442" s="9">
        <f t="shared" si="113"/>
        <v>9.1829012212450781E-3</v>
      </c>
    </row>
    <row r="2443" spans="1:7" x14ac:dyDescent="0.2">
      <c r="A2443" s="12">
        <v>40686</v>
      </c>
      <c r="B2443" s="9">
        <v>2555.16</v>
      </c>
      <c r="C2443" s="9">
        <v>2523.33</v>
      </c>
      <c r="D2443" s="9">
        <v>2527.04</v>
      </c>
      <c r="E2443" s="9">
        <f t="shared" si="114"/>
        <v>-2.0069974056526267E-2</v>
      </c>
      <c r="F2443" s="9">
        <f t="shared" si="112"/>
        <v>-4.7692098344089676E-2</v>
      </c>
      <c r="G2443" s="9">
        <f t="shared" si="113"/>
        <v>9.6755824228724144E-3</v>
      </c>
    </row>
    <row r="2444" spans="1:7" x14ac:dyDescent="0.2">
      <c r="A2444" s="12">
        <v>40687</v>
      </c>
      <c r="B2444" s="9">
        <v>2554.8000000000002</v>
      </c>
      <c r="C2444" s="9">
        <v>2529.44</v>
      </c>
      <c r="D2444" s="9">
        <v>2529.44</v>
      </c>
      <c r="E2444" s="9">
        <f t="shared" si="114"/>
        <v>9.4927703866149566E-4</v>
      </c>
      <c r="F2444" s="9">
        <f t="shared" si="112"/>
        <v>-5.0177801180422275E-2</v>
      </c>
      <c r="G2444" s="9">
        <f t="shared" si="113"/>
        <v>9.641653204021626E-3</v>
      </c>
    </row>
    <row r="2445" spans="1:7" x14ac:dyDescent="0.2">
      <c r="A2445" s="12">
        <v>40688</v>
      </c>
      <c r="B2445" s="9">
        <v>2537.6999999999998</v>
      </c>
      <c r="C2445" s="9">
        <v>2510.31</v>
      </c>
      <c r="D2445" s="9">
        <v>2537.4299999999998</v>
      </c>
      <c r="E2445" s="9">
        <f t="shared" si="114"/>
        <v>3.153823414762039E-3</v>
      </c>
      <c r="F2445" s="9">
        <f t="shared" si="112"/>
        <v>-4.8534342080568019E-2</v>
      </c>
      <c r="G2445" s="9">
        <f t="shared" si="113"/>
        <v>9.6650023924395867E-3</v>
      </c>
    </row>
    <row r="2446" spans="1:7" x14ac:dyDescent="0.2">
      <c r="A2446" s="12">
        <v>40689</v>
      </c>
      <c r="B2446" s="9">
        <v>2552.39</v>
      </c>
      <c r="C2446" s="9">
        <v>2517.4</v>
      </c>
      <c r="D2446" s="9">
        <v>2520.86</v>
      </c>
      <c r="E2446" s="9">
        <f t="shared" si="114"/>
        <v>-6.5516446352078678E-3</v>
      </c>
      <c r="F2446" s="9">
        <f t="shared" si="112"/>
        <v>-3.5638602250422487E-2</v>
      </c>
      <c r="G2446" s="9">
        <f t="shared" si="113"/>
        <v>9.1158474439892289E-3</v>
      </c>
    </row>
    <row r="2447" spans="1:7" x14ac:dyDescent="0.2">
      <c r="A2447" s="12">
        <v>40690</v>
      </c>
      <c r="B2447" s="9">
        <v>2544.2199999999998</v>
      </c>
      <c r="C2447" s="9">
        <v>2529.44</v>
      </c>
      <c r="D2447" s="9">
        <v>2537.4499999999998</v>
      </c>
      <c r="E2447" s="9">
        <f t="shared" si="114"/>
        <v>6.5595265949783352E-3</v>
      </c>
      <c r="F2447" s="9">
        <f t="shared" si="112"/>
        <v>-3.8053658536664287E-2</v>
      </c>
      <c r="G2447" s="9">
        <f t="shared" si="113"/>
        <v>9.0332975039351462E-3</v>
      </c>
    </row>
    <row r="2448" spans="1:7" x14ac:dyDescent="0.2">
      <c r="A2448" s="12">
        <v>40693</v>
      </c>
      <c r="B2448" s="9">
        <v>2552.34</v>
      </c>
      <c r="C2448" s="9">
        <v>2539.9</v>
      </c>
      <c r="D2448" s="9">
        <v>2543.19</v>
      </c>
      <c r="E2448" s="9">
        <f t="shared" si="114"/>
        <v>2.2595588123471184E-3</v>
      </c>
      <c r="F2448" s="9">
        <f t="shared" si="112"/>
        <v>-2.6593638452764353E-2</v>
      </c>
      <c r="G2448" s="9">
        <f t="shared" si="113"/>
        <v>8.9279991178266589E-3</v>
      </c>
    </row>
    <row r="2449" spans="1:7" x14ac:dyDescent="0.2">
      <c r="A2449" s="12">
        <v>40694</v>
      </c>
      <c r="B2449" s="9">
        <v>2575.54</v>
      </c>
      <c r="C2449" s="9">
        <v>2517.91</v>
      </c>
      <c r="D2449" s="9">
        <v>2522.89</v>
      </c>
      <c r="E2449" s="9">
        <f t="shared" si="114"/>
        <v>-8.0141287343689759E-3</v>
      </c>
      <c r="F2449" s="9">
        <f t="shared" si="112"/>
        <v>-2.7853840155891332E-2</v>
      </c>
      <c r="G2449" s="9">
        <f t="shared" si="113"/>
        <v>8.9594670562741768E-3</v>
      </c>
    </row>
    <row r="2450" spans="1:7" x14ac:dyDescent="0.2">
      <c r="A2450" s="12">
        <v>40695</v>
      </c>
      <c r="B2450" s="9">
        <v>2526.39</v>
      </c>
      <c r="C2450" s="9">
        <v>2491.16</v>
      </c>
      <c r="D2450" s="9">
        <v>2507.85</v>
      </c>
      <c r="E2450" s="9">
        <f t="shared" si="114"/>
        <v>-5.9792574486236712E-3</v>
      </c>
      <c r="F2450" s="9">
        <f t="shared" si="112"/>
        <v>-1.8696858902395783E-2</v>
      </c>
      <c r="G2450" s="9">
        <f t="shared" si="113"/>
        <v>8.6078233092696937E-3</v>
      </c>
    </row>
    <row r="2451" spans="1:7" x14ac:dyDescent="0.2">
      <c r="A2451" s="12">
        <v>40697</v>
      </c>
      <c r="B2451" s="9">
        <v>2497.16</v>
      </c>
      <c r="C2451" s="9">
        <v>2448.9899999999998</v>
      </c>
      <c r="D2451" s="9">
        <v>2459.4499999999998</v>
      </c>
      <c r="E2451" s="9">
        <f t="shared" si="114"/>
        <v>-1.9488064658244753E-2</v>
      </c>
      <c r="F2451" s="9">
        <f t="shared" si="112"/>
        <v>-4.724681718411728E-2</v>
      </c>
      <c r="G2451" s="9">
        <f t="shared" si="113"/>
        <v>9.0661448350979092E-3</v>
      </c>
    </row>
    <row r="2452" spans="1:7" x14ac:dyDescent="0.2">
      <c r="A2452" s="12">
        <v>40700</v>
      </c>
      <c r="B2452" s="9">
        <v>2461.3000000000002</v>
      </c>
      <c r="C2452" s="9">
        <v>2434.0500000000002</v>
      </c>
      <c r="D2452" s="9">
        <v>2442.81</v>
      </c>
      <c r="E2452" s="9">
        <f t="shared" si="114"/>
        <v>-6.7887316899096122E-3</v>
      </c>
      <c r="F2452" s="9">
        <f t="shared" si="112"/>
        <v>-6.8738214267701325E-2</v>
      </c>
      <c r="G2452" s="9">
        <f t="shared" si="113"/>
        <v>8.5711698909400023E-3</v>
      </c>
    </row>
    <row r="2453" spans="1:7" x14ac:dyDescent="0.2">
      <c r="A2453" s="12">
        <v>40701</v>
      </c>
      <c r="B2453" s="9">
        <v>2463.34</v>
      </c>
      <c r="C2453" s="9">
        <v>2439.5700000000002</v>
      </c>
      <c r="D2453" s="9">
        <v>2447.4499999999998</v>
      </c>
      <c r="E2453" s="9">
        <f t="shared" si="114"/>
        <v>1.8976501831870051E-3</v>
      </c>
      <c r="F2453" s="9">
        <f t="shared" si="112"/>
        <v>-6.639332406398625E-2</v>
      </c>
      <c r="G2453" s="9">
        <f t="shared" si="113"/>
        <v>8.5992120441178745E-3</v>
      </c>
    </row>
    <row r="2454" spans="1:7" x14ac:dyDescent="0.2">
      <c r="A2454" s="12">
        <v>40702</v>
      </c>
      <c r="B2454" s="9">
        <v>2439.7199999999998</v>
      </c>
      <c r="C2454" s="9">
        <v>2389.36</v>
      </c>
      <c r="D2454" s="9">
        <v>2392.6799999999998</v>
      </c>
      <c r="E2454" s="9">
        <f t="shared" si="114"/>
        <v>-2.2632589579989062E-2</v>
      </c>
      <c r="F2454" s="9">
        <f t="shared" si="112"/>
        <v>-9.1622464746558302E-2</v>
      </c>
      <c r="G2454" s="9">
        <f t="shared" si="113"/>
        <v>9.3163783604195173E-3</v>
      </c>
    </row>
    <row r="2455" spans="1:7" x14ac:dyDescent="0.2">
      <c r="A2455" s="12">
        <v>40703</v>
      </c>
      <c r="B2455" s="9">
        <v>2432.0700000000002</v>
      </c>
      <c r="C2455" s="9">
        <v>2390.1799999999998</v>
      </c>
      <c r="D2455" s="9">
        <v>2430.66</v>
      </c>
      <c r="E2455" s="9">
        <f t="shared" si="114"/>
        <v>1.5748748788113661E-2</v>
      </c>
      <c r="F2455" s="9">
        <f t="shared" si="112"/>
        <v>-7.8201056775797528E-2</v>
      </c>
      <c r="G2455" s="9">
        <f t="shared" si="113"/>
        <v>9.8884023537341593E-3</v>
      </c>
    </row>
    <row r="2456" spans="1:7" x14ac:dyDescent="0.2">
      <c r="A2456" s="12">
        <v>40704</v>
      </c>
      <c r="B2456" s="9">
        <v>2429.1799999999998</v>
      </c>
      <c r="C2456" s="9">
        <v>2383.6</v>
      </c>
      <c r="D2456" s="9">
        <v>2390.14</v>
      </c>
      <c r="E2456" s="9">
        <f t="shared" si="114"/>
        <v>-1.6810883779097032E-2</v>
      </c>
      <c r="F2456" s="9">
        <f t="shared" si="112"/>
        <v>-9.763370190344349E-2</v>
      </c>
      <c r="G2456" s="9">
        <f t="shared" si="113"/>
        <v>1.0166661028332875E-2</v>
      </c>
    </row>
    <row r="2457" spans="1:7" x14ac:dyDescent="0.2">
      <c r="A2457" s="12">
        <v>40707</v>
      </c>
      <c r="B2457" s="9">
        <v>2397.66</v>
      </c>
      <c r="C2457" s="9">
        <v>2373.41</v>
      </c>
      <c r="D2457" s="9">
        <v>2379.11</v>
      </c>
      <c r="E2457" s="9">
        <f t="shared" si="114"/>
        <v>-4.62547346671609E-3</v>
      </c>
      <c r="F2457" s="9">
        <f t="shared" si="112"/>
        <v>-0.10306711522449012</v>
      </c>
      <c r="G2457" s="9">
        <f t="shared" si="113"/>
        <v>1.0140158218785011E-2</v>
      </c>
    </row>
    <row r="2458" spans="1:7" x14ac:dyDescent="0.2">
      <c r="A2458" s="12">
        <v>40708</v>
      </c>
      <c r="B2458" s="9">
        <v>2404.19</v>
      </c>
      <c r="C2458" s="9">
        <v>2374.39</v>
      </c>
      <c r="D2458" s="9">
        <v>2384.65</v>
      </c>
      <c r="E2458" s="9">
        <f t="shared" si="114"/>
        <v>2.3258948803122691E-3</v>
      </c>
      <c r="F2458" s="9">
        <f t="shared" si="112"/>
        <v>-0.1056959383984399</v>
      </c>
      <c r="G2458" s="9">
        <f t="shared" si="113"/>
        <v>1.0076309937226699E-2</v>
      </c>
    </row>
    <row r="2459" spans="1:7" x14ac:dyDescent="0.2">
      <c r="A2459" s="12">
        <v>40709</v>
      </c>
      <c r="B2459" s="9">
        <v>2385.84</v>
      </c>
      <c r="C2459" s="9">
        <v>2342.0700000000002</v>
      </c>
      <c r="D2459" s="9">
        <v>2348.31</v>
      </c>
      <c r="E2459" s="9">
        <f t="shared" si="114"/>
        <v>-1.5356442539024894E-2</v>
      </c>
      <c r="F2459" s="9">
        <f t="shared" si="112"/>
        <v>-0.10723160029655815</v>
      </c>
      <c r="G2459" s="9">
        <f t="shared" si="113"/>
        <v>1.0134161238511633E-2</v>
      </c>
    </row>
    <row r="2460" spans="1:7" x14ac:dyDescent="0.2">
      <c r="A2460" s="12">
        <v>40710</v>
      </c>
      <c r="B2460" s="9">
        <v>2333.1799999999998</v>
      </c>
      <c r="C2460" s="9">
        <v>2287.1999999999998</v>
      </c>
      <c r="D2460" s="9">
        <v>2313.1</v>
      </c>
      <c r="E2460" s="9">
        <f t="shared" si="114"/>
        <v>-1.5107304298140826E-2</v>
      </c>
      <c r="F2460" s="9">
        <f t="shared" si="112"/>
        <v>-9.9792320536769008E-2</v>
      </c>
      <c r="G2460" s="9">
        <f t="shared" si="113"/>
        <v>9.7371571452130688E-3</v>
      </c>
    </row>
    <row r="2461" spans="1:7" x14ac:dyDescent="0.2">
      <c r="A2461" s="12">
        <v>40711</v>
      </c>
      <c r="B2461" s="9">
        <v>2353.0300000000002</v>
      </c>
      <c r="C2461" s="9">
        <v>2292.73</v>
      </c>
      <c r="D2461" s="9">
        <v>2345.19</v>
      </c>
      <c r="E2461" s="9">
        <f t="shared" si="114"/>
        <v>1.37778058600595E-2</v>
      </c>
      <c r="F2461" s="9">
        <f t="shared" si="112"/>
        <v>-8.0147991287518289E-2</v>
      </c>
      <c r="G2461" s="9">
        <f t="shared" si="113"/>
        <v>1.0209517833714633E-2</v>
      </c>
    </row>
    <row r="2462" spans="1:7" x14ac:dyDescent="0.2">
      <c r="A2462" s="12">
        <v>40714</v>
      </c>
      <c r="B2462" s="9">
        <v>2319.5700000000002</v>
      </c>
      <c r="C2462" s="9">
        <v>2277.25</v>
      </c>
      <c r="D2462" s="9">
        <v>2279.2199999999998</v>
      </c>
      <c r="E2462" s="9">
        <f t="shared" si="114"/>
        <v>-2.8533142898341517E-2</v>
      </c>
      <c r="F2462" s="9">
        <f t="shared" si="112"/>
        <v>-0.12284309748135787</v>
      </c>
      <c r="G2462" s="9">
        <f t="shared" si="113"/>
        <v>1.0743853972151106E-2</v>
      </c>
    </row>
    <row r="2463" spans="1:7" x14ac:dyDescent="0.2">
      <c r="A2463" s="12">
        <v>40715</v>
      </c>
      <c r="B2463" s="9">
        <v>2320.6799999999998</v>
      </c>
      <c r="C2463" s="9">
        <v>2285.4</v>
      </c>
      <c r="D2463" s="9">
        <v>2320.6799999999998</v>
      </c>
      <c r="E2463" s="9">
        <f t="shared" si="114"/>
        <v>1.8026967008234043E-2</v>
      </c>
      <c r="F2463" s="9">
        <f t="shared" si="112"/>
        <v>-0.10570432127920359</v>
      </c>
      <c r="G2463" s="9">
        <f t="shared" si="113"/>
        <v>1.1450390204269408E-2</v>
      </c>
    </row>
    <row r="2464" spans="1:7" x14ac:dyDescent="0.2">
      <c r="A2464" s="12">
        <v>40716</v>
      </c>
      <c r="B2464" s="9">
        <v>2338.41</v>
      </c>
      <c r="C2464" s="9">
        <v>2305.9499999999998</v>
      </c>
      <c r="D2464" s="9">
        <v>2307.21</v>
      </c>
      <c r="E2464" s="9">
        <f t="shared" si="114"/>
        <v>-5.8212438229952078E-3</v>
      </c>
      <c r="F2464" s="9">
        <f t="shared" si="112"/>
        <v>-0.12242193479264278</v>
      </c>
      <c r="G2464" s="9">
        <f t="shared" si="113"/>
        <v>1.1126643120674696E-2</v>
      </c>
    </row>
    <row r="2465" spans="1:7" x14ac:dyDescent="0.2">
      <c r="A2465" s="12">
        <v>40717</v>
      </c>
      <c r="B2465" s="9">
        <v>2299.67</v>
      </c>
      <c r="C2465" s="9">
        <v>2264.5700000000002</v>
      </c>
      <c r="D2465" s="9">
        <v>2266.02</v>
      </c>
      <c r="E2465" s="9">
        <f t="shared" si="114"/>
        <v>-1.8014013664879567E-2</v>
      </c>
      <c r="F2465" s="9">
        <f t="shared" ref="F2465:F2528" si="115">LN(D2465/D2435)</f>
        <v>-0.14202230763683266</v>
      </c>
      <c r="G2465" s="9">
        <f t="shared" ref="G2465:G2528" si="116">STDEV(E2436:E2465)</f>
        <v>1.1355506115212641E-2</v>
      </c>
    </row>
    <row r="2466" spans="1:7" x14ac:dyDescent="0.2">
      <c r="A2466" s="12">
        <v>40721</v>
      </c>
      <c r="B2466" s="9">
        <v>2261.9699999999998</v>
      </c>
      <c r="C2466" s="9">
        <v>2240.33</v>
      </c>
      <c r="D2466" s="9">
        <v>2253.91</v>
      </c>
      <c r="E2466" s="9">
        <f t="shared" si="114"/>
        <v>-5.358502886879701E-3</v>
      </c>
      <c r="F2466" s="9">
        <f t="shared" si="115"/>
        <v>-0.14034954056092677</v>
      </c>
      <c r="G2466" s="9">
        <f t="shared" si="116"/>
        <v>1.1347941625757477E-2</v>
      </c>
    </row>
    <row r="2467" spans="1:7" x14ac:dyDescent="0.2">
      <c r="A2467" s="12">
        <v>40722</v>
      </c>
      <c r="B2467" s="9">
        <v>2278.69</v>
      </c>
      <c r="C2467" s="9">
        <v>2240.12</v>
      </c>
      <c r="D2467" s="9">
        <v>2256.96</v>
      </c>
      <c r="E2467" s="9">
        <f t="shared" si="114"/>
        <v>1.3522892323614042E-3</v>
      </c>
      <c r="F2467" s="9">
        <f t="shared" si="115"/>
        <v>-0.1367815902596399</v>
      </c>
      <c r="G2467" s="9">
        <f t="shared" si="116"/>
        <v>1.1393247845134043E-2</v>
      </c>
    </row>
    <row r="2468" spans="1:7" x14ac:dyDescent="0.2">
      <c r="A2468" s="12">
        <v>40723</v>
      </c>
      <c r="B2468" s="9">
        <v>2341.4499999999998</v>
      </c>
      <c r="C2468" s="9">
        <v>2269.2800000000002</v>
      </c>
      <c r="D2468" s="9">
        <v>2341.4499999999998</v>
      </c>
      <c r="E2468" s="9">
        <f t="shared" si="114"/>
        <v>3.6751620542772513E-2</v>
      </c>
      <c r="F2468" s="9">
        <f t="shared" si="115"/>
        <v>-9.7464640476210188E-2</v>
      </c>
      <c r="G2468" s="9">
        <f t="shared" si="116"/>
        <v>1.3665300134810578E-2</v>
      </c>
    </row>
    <row r="2469" spans="1:7" x14ac:dyDescent="0.2">
      <c r="A2469" s="12">
        <v>40724</v>
      </c>
      <c r="B2469" s="9">
        <v>2392.73</v>
      </c>
      <c r="C2469" s="9">
        <v>2353.96</v>
      </c>
      <c r="D2469" s="9">
        <v>2392.73</v>
      </c>
      <c r="E2469" s="9">
        <f t="shared" si="114"/>
        <v>2.1664577895275657E-2</v>
      </c>
      <c r="F2469" s="9">
        <f t="shared" si="115"/>
        <v>-6.9449428329313515E-2</v>
      </c>
      <c r="G2469" s="9">
        <f t="shared" si="116"/>
        <v>1.4384338810015291E-2</v>
      </c>
    </row>
    <row r="2470" spans="1:7" x14ac:dyDescent="0.2">
      <c r="A2470" s="12">
        <v>40725</v>
      </c>
      <c r="B2470" s="9">
        <v>2411.91</v>
      </c>
      <c r="C2470" s="9">
        <v>2373.2199999999998</v>
      </c>
      <c r="D2470" s="9">
        <v>2409.83</v>
      </c>
      <c r="E2470" s="9">
        <f t="shared" si="114"/>
        <v>7.1212321197291102E-3</v>
      </c>
      <c r="F2470" s="9">
        <f t="shared" si="115"/>
        <v>-6.4859291071135597E-2</v>
      </c>
      <c r="G2470" s="9">
        <f t="shared" si="116"/>
        <v>1.4461866910186198E-2</v>
      </c>
    </row>
    <row r="2471" spans="1:7" x14ac:dyDescent="0.2">
      <c r="A2471" s="12">
        <v>40728</v>
      </c>
      <c r="B2471" s="9">
        <v>2420.88</v>
      </c>
      <c r="C2471" s="9">
        <v>2406.63</v>
      </c>
      <c r="D2471" s="9">
        <v>2415.5</v>
      </c>
      <c r="E2471" s="9">
        <f t="shared" si="114"/>
        <v>2.3500994168697341E-3</v>
      </c>
      <c r="F2471" s="9">
        <f t="shared" si="115"/>
        <v>-6.8619656194263717E-2</v>
      </c>
      <c r="G2471" s="9">
        <f t="shared" si="116"/>
        <v>1.4403874533529979E-2</v>
      </c>
    </row>
    <row r="2472" spans="1:7" x14ac:dyDescent="0.2">
      <c r="A2472" s="12">
        <v>40729</v>
      </c>
      <c r="B2472" s="9">
        <v>2419.36</v>
      </c>
      <c r="C2472" s="9">
        <v>2403.3200000000002</v>
      </c>
      <c r="D2472" s="9">
        <v>2407.52</v>
      </c>
      <c r="E2472" s="9">
        <f t="shared" si="114"/>
        <v>-3.309132983893398E-3</v>
      </c>
      <c r="F2472" s="9">
        <f t="shared" si="115"/>
        <v>-6.8521459355174411E-2</v>
      </c>
      <c r="G2472" s="9">
        <f t="shared" si="116"/>
        <v>1.4403622394563829E-2</v>
      </c>
    </row>
    <row r="2473" spans="1:7" x14ac:dyDescent="0.2">
      <c r="A2473" s="12">
        <v>40730</v>
      </c>
      <c r="B2473" s="9">
        <v>2409.08</v>
      </c>
      <c r="C2473" s="9">
        <v>2390.56</v>
      </c>
      <c r="D2473" s="9">
        <v>2396.2199999999998</v>
      </c>
      <c r="E2473" s="9">
        <f t="shared" si="114"/>
        <v>-4.7046762908994925E-3</v>
      </c>
      <c r="F2473" s="9">
        <f t="shared" si="115"/>
        <v>-5.3156161589547703E-2</v>
      </c>
      <c r="G2473" s="9">
        <f t="shared" si="116"/>
        <v>1.4017373892083808E-2</v>
      </c>
    </row>
    <row r="2474" spans="1:7" x14ac:dyDescent="0.2">
      <c r="A2474" s="12">
        <v>40731</v>
      </c>
      <c r="B2474" s="9">
        <v>2433.5</v>
      </c>
      <c r="C2474" s="9">
        <v>2400.2399999999998</v>
      </c>
      <c r="D2474" s="9">
        <v>2426.4299999999998</v>
      </c>
      <c r="E2474" s="9">
        <f t="shared" si="114"/>
        <v>1.2528545574312865E-2</v>
      </c>
      <c r="F2474" s="9">
        <f t="shared" si="115"/>
        <v>-4.1576893053896356E-2</v>
      </c>
      <c r="G2474" s="9">
        <f t="shared" si="116"/>
        <v>1.4252337171547199E-2</v>
      </c>
    </row>
    <row r="2475" spans="1:7" x14ac:dyDescent="0.2">
      <c r="A2475" s="12">
        <v>40732</v>
      </c>
      <c r="B2475" s="9">
        <v>2437.29</v>
      </c>
      <c r="C2475" s="9">
        <v>2377.33</v>
      </c>
      <c r="D2475" s="9">
        <v>2377.65</v>
      </c>
      <c r="E2475" s="9">
        <f t="shared" si="114"/>
        <v>-2.030843638196991E-2</v>
      </c>
      <c r="F2475" s="9">
        <f t="shared" si="115"/>
        <v>-6.5039152850628335E-2</v>
      </c>
      <c r="G2475" s="9">
        <f t="shared" si="116"/>
        <v>1.4633274008378697E-2</v>
      </c>
    </row>
    <row r="2476" spans="1:7" x14ac:dyDescent="0.2">
      <c r="A2476" s="12">
        <v>40735</v>
      </c>
      <c r="B2476" s="9">
        <v>2358.83</v>
      </c>
      <c r="C2476" s="9">
        <v>2315.17</v>
      </c>
      <c r="D2476" s="9">
        <v>2320.92</v>
      </c>
      <c r="E2476" s="9">
        <f t="shared" si="114"/>
        <v>-2.4148946133372522E-2</v>
      </c>
      <c r="F2476" s="9">
        <f t="shared" si="115"/>
        <v>-8.2636454348793034E-2</v>
      </c>
      <c r="G2476" s="9">
        <f t="shared" si="116"/>
        <v>1.5158328787259541E-2</v>
      </c>
    </row>
    <row r="2477" spans="1:7" x14ac:dyDescent="0.2">
      <c r="A2477" s="12">
        <v>40736</v>
      </c>
      <c r="B2477" s="9">
        <v>2299.77</v>
      </c>
      <c r="C2477" s="9">
        <v>2239.7399999999998</v>
      </c>
      <c r="D2477" s="9">
        <v>2292.7800000000002</v>
      </c>
      <c r="E2477" s="9">
        <f t="shared" si="114"/>
        <v>-1.2198603701604135E-2</v>
      </c>
      <c r="F2477" s="9">
        <f t="shared" si="115"/>
        <v>-0.10139458464537569</v>
      </c>
      <c r="G2477" s="9">
        <f t="shared" si="116"/>
        <v>1.5147757642832214E-2</v>
      </c>
    </row>
    <row r="2478" spans="1:7" x14ac:dyDescent="0.2">
      <c r="A2478" s="12">
        <v>40737</v>
      </c>
      <c r="B2478" s="9">
        <v>2328.4</v>
      </c>
      <c r="C2478" s="9">
        <v>2284.31</v>
      </c>
      <c r="D2478" s="9">
        <v>2326.1</v>
      </c>
      <c r="E2478" s="9">
        <f t="shared" si="114"/>
        <v>1.4427990338827291E-2</v>
      </c>
      <c r="F2478" s="9">
        <f t="shared" si="115"/>
        <v>-8.9226153118895521E-2</v>
      </c>
      <c r="G2478" s="9">
        <f t="shared" si="116"/>
        <v>1.5463596961820791E-2</v>
      </c>
    </row>
    <row r="2479" spans="1:7" x14ac:dyDescent="0.2">
      <c r="A2479" s="12">
        <v>40738</v>
      </c>
      <c r="B2479" s="9">
        <v>2318.39</v>
      </c>
      <c r="C2479" s="9">
        <v>2285.65</v>
      </c>
      <c r="D2479" s="9">
        <v>2294.64</v>
      </c>
      <c r="E2479" s="9">
        <f t="shared" si="114"/>
        <v>-1.361707697056159E-2</v>
      </c>
      <c r="F2479" s="9">
        <f t="shared" si="115"/>
        <v>-9.4829101355088069E-2</v>
      </c>
      <c r="G2479" s="9">
        <f t="shared" si="116"/>
        <v>1.5560101005790816E-2</v>
      </c>
    </row>
    <row r="2480" spans="1:7" x14ac:dyDescent="0.2">
      <c r="A2480" s="12">
        <v>40739</v>
      </c>
      <c r="B2480" s="9">
        <v>2282.15</v>
      </c>
      <c r="C2480" s="9">
        <v>2257.9699999999998</v>
      </c>
      <c r="D2480" s="9">
        <v>2266</v>
      </c>
      <c r="E2480" s="9">
        <f t="shared" si="114"/>
        <v>-1.2559805857348649E-2</v>
      </c>
      <c r="F2480" s="9">
        <f t="shared" si="115"/>
        <v>-0.10140964976381305</v>
      </c>
      <c r="G2480" s="9">
        <f t="shared" si="116"/>
        <v>1.5647339173191388E-2</v>
      </c>
    </row>
    <row r="2481" spans="1:7" x14ac:dyDescent="0.2">
      <c r="A2481" s="12">
        <v>40742</v>
      </c>
      <c r="B2481" s="9">
        <v>2261.42</v>
      </c>
      <c r="C2481" s="9">
        <v>2194.91</v>
      </c>
      <c r="D2481" s="9">
        <v>2200.37</v>
      </c>
      <c r="E2481" s="9">
        <f t="shared" si="114"/>
        <v>-2.9390634564339171E-2</v>
      </c>
      <c r="F2481" s="9">
        <f t="shared" si="115"/>
        <v>-0.11131221966990752</v>
      </c>
      <c r="G2481" s="9">
        <f t="shared" si="116"/>
        <v>1.6096846734875034E-2</v>
      </c>
    </row>
    <row r="2482" spans="1:7" x14ac:dyDescent="0.2">
      <c r="A2482" s="12">
        <v>40743</v>
      </c>
      <c r="B2482" s="9">
        <v>2226.7399999999998</v>
      </c>
      <c r="C2482" s="9">
        <v>2198.2399999999998</v>
      </c>
      <c r="D2482" s="9">
        <v>2221.5100000000002</v>
      </c>
      <c r="E2482" s="9">
        <f t="shared" si="114"/>
        <v>9.5616168051946004E-3</v>
      </c>
      <c r="F2482" s="9">
        <f t="shared" si="115"/>
        <v>-9.4961871174803189E-2</v>
      </c>
      <c r="G2482" s="9">
        <f t="shared" si="116"/>
        <v>1.626494557591996E-2</v>
      </c>
    </row>
    <row r="2483" spans="1:7" x14ac:dyDescent="0.2">
      <c r="A2483" s="12">
        <v>40744</v>
      </c>
      <c r="B2483" s="9">
        <v>2271.06</v>
      </c>
      <c r="C2483" s="9">
        <v>2240.0500000000002</v>
      </c>
      <c r="D2483" s="9">
        <v>2265.9699999999998</v>
      </c>
      <c r="E2483" s="9">
        <f t="shared" si="114"/>
        <v>1.9815778483509055E-2</v>
      </c>
      <c r="F2483" s="9">
        <f t="shared" si="115"/>
        <v>-7.7043742874481014E-2</v>
      </c>
      <c r="G2483" s="9">
        <f t="shared" si="116"/>
        <v>1.6778170484185027E-2</v>
      </c>
    </row>
    <row r="2484" spans="1:7" x14ac:dyDescent="0.2">
      <c r="A2484" s="12">
        <v>40745</v>
      </c>
      <c r="B2484" s="9">
        <v>2283.94</v>
      </c>
      <c r="C2484" s="9">
        <v>2226.9</v>
      </c>
      <c r="D2484" s="9">
        <v>2272.58</v>
      </c>
      <c r="E2484" s="9">
        <f t="shared" si="114"/>
        <v>2.9128266400403314E-3</v>
      </c>
      <c r="F2484" s="9">
        <f t="shared" si="115"/>
        <v>-5.1498326654451636E-2</v>
      </c>
      <c r="G2484" s="9">
        <f t="shared" si="116"/>
        <v>1.6367976453861045E-2</v>
      </c>
    </row>
    <row r="2485" spans="1:7" x14ac:dyDescent="0.2">
      <c r="A2485" s="12">
        <v>40746</v>
      </c>
      <c r="B2485" s="9">
        <v>2305.46</v>
      </c>
      <c r="C2485" s="9">
        <v>2275.16</v>
      </c>
      <c r="D2485" s="9">
        <v>2286.6</v>
      </c>
      <c r="E2485" s="9">
        <f t="shared" si="114"/>
        <v>6.150248155512913E-3</v>
      </c>
      <c r="F2485" s="9">
        <f t="shared" si="115"/>
        <v>-6.1096827287052236E-2</v>
      </c>
      <c r="G2485" s="9">
        <f t="shared" si="116"/>
        <v>1.6106527467454126E-2</v>
      </c>
    </row>
    <row r="2486" spans="1:7" x14ac:dyDescent="0.2">
      <c r="A2486" s="12">
        <v>40749</v>
      </c>
      <c r="B2486" s="9">
        <v>2282.0100000000002</v>
      </c>
      <c r="C2486" s="9">
        <v>2262.75</v>
      </c>
      <c r="D2486" s="9">
        <v>2272.12</v>
      </c>
      <c r="E2486" s="9">
        <f t="shared" si="114"/>
        <v>-6.3526817601825781E-3</v>
      </c>
      <c r="F2486" s="9">
        <f t="shared" si="115"/>
        <v>-5.063862526813788E-2</v>
      </c>
      <c r="G2486" s="9">
        <f t="shared" si="116"/>
        <v>1.5887415392792276E-2</v>
      </c>
    </row>
    <row r="2487" spans="1:7" x14ac:dyDescent="0.2">
      <c r="A2487" s="12">
        <v>40750</v>
      </c>
      <c r="B2487" s="9">
        <v>2283.65</v>
      </c>
      <c r="C2487" s="9">
        <v>2247.4</v>
      </c>
      <c r="D2487" s="9">
        <v>2257.87</v>
      </c>
      <c r="E2487" s="9">
        <f t="shared" si="114"/>
        <v>-6.2914253689890717E-3</v>
      </c>
      <c r="F2487" s="9">
        <f t="shared" si="115"/>
        <v>-5.2304577170410795E-2</v>
      </c>
      <c r="G2487" s="9">
        <f t="shared" si="116"/>
        <v>1.5900942806879752E-2</v>
      </c>
    </row>
    <row r="2488" spans="1:7" x14ac:dyDescent="0.2">
      <c r="A2488" s="12">
        <v>40751</v>
      </c>
      <c r="B2488" s="9">
        <v>2251.9899999999998</v>
      </c>
      <c r="C2488" s="9">
        <v>2218.4899999999998</v>
      </c>
      <c r="D2488" s="9">
        <v>2227.67</v>
      </c>
      <c r="E2488" s="9">
        <f t="shared" si="114"/>
        <v>-1.3465694802875188E-2</v>
      </c>
      <c r="F2488" s="9">
        <f t="shared" si="115"/>
        <v>-6.8096166853598122E-2</v>
      </c>
      <c r="G2488" s="9">
        <f t="shared" si="116"/>
        <v>1.6022502846918855E-2</v>
      </c>
    </row>
    <row r="2489" spans="1:7" x14ac:dyDescent="0.2">
      <c r="A2489" s="12">
        <v>40752</v>
      </c>
      <c r="B2489" s="9">
        <v>2217.15</v>
      </c>
      <c r="C2489" s="9">
        <v>2177.58</v>
      </c>
      <c r="D2489" s="9">
        <v>2199.87</v>
      </c>
      <c r="E2489" s="9">
        <f t="shared" si="114"/>
        <v>-1.2557928484443022E-2</v>
      </c>
      <c r="F2489" s="9">
        <f t="shared" si="115"/>
        <v>-6.5297652799016212E-2</v>
      </c>
      <c r="G2489" s="9">
        <f t="shared" si="116"/>
        <v>1.5951674920066179E-2</v>
      </c>
    </row>
    <row r="2490" spans="1:7" x14ac:dyDescent="0.2">
      <c r="A2490" s="12">
        <v>40753</v>
      </c>
      <c r="B2490" s="9">
        <v>2197.31</v>
      </c>
      <c r="C2490" s="9">
        <v>2155.64</v>
      </c>
      <c r="D2490" s="9">
        <v>2185.11</v>
      </c>
      <c r="E2490" s="9">
        <f t="shared" si="114"/>
        <v>-6.7320971794400221E-3</v>
      </c>
      <c r="F2490" s="9">
        <f t="shared" si="115"/>
        <v>-5.6922445680315542E-2</v>
      </c>
      <c r="G2490" s="9">
        <f t="shared" si="116"/>
        <v>1.5790037409577441E-2</v>
      </c>
    </row>
    <row r="2491" spans="1:7" x14ac:dyDescent="0.2">
      <c r="A2491" s="12">
        <v>40756</v>
      </c>
      <c r="B2491" s="9">
        <v>2233.1799999999998</v>
      </c>
      <c r="C2491" s="9">
        <v>2111.37</v>
      </c>
      <c r="D2491" s="9">
        <v>2112.92</v>
      </c>
      <c r="E2491" s="9">
        <f t="shared" si="114"/>
        <v>-3.3595293473957975E-2</v>
      </c>
      <c r="F2491" s="9">
        <f t="shared" si="115"/>
        <v>-0.10429554501433312</v>
      </c>
      <c r="G2491" s="9">
        <f t="shared" si="116"/>
        <v>1.6520279185713242E-2</v>
      </c>
    </row>
    <row r="2492" spans="1:7" x14ac:dyDescent="0.2">
      <c r="A2492" s="12">
        <v>40757</v>
      </c>
      <c r="B2492" s="9">
        <v>2117.34</v>
      </c>
      <c r="C2492" s="9">
        <v>2048.7399999999998</v>
      </c>
      <c r="D2492" s="9">
        <v>2049.6799999999998</v>
      </c>
      <c r="E2492" s="9">
        <f t="shared" si="114"/>
        <v>-3.0387193650995785E-2</v>
      </c>
      <c r="F2492" s="9">
        <f t="shared" si="115"/>
        <v>-0.10614959576698743</v>
      </c>
      <c r="G2492" s="9">
        <f t="shared" si="116"/>
        <v>1.6620411770748061E-2</v>
      </c>
    </row>
    <row r="2493" spans="1:7" x14ac:dyDescent="0.2">
      <c r="A2493" s="12">
        <v>40758</v>
      </c>
      <c r="B2493" s="9">
        <v>2035.11</v>
      </c>
      <c r="C2493" s="9">
        <v>1969.62</v>
      </c>
      <c r="D2493" s="9">
        <v>1986</v>
      </c>
      <c r="E2493" s="9">
        <f t="shared" si="114"/>
        <v>-3.1561117781867952E-2</v>
      </c>
      <c r="F2493" s="9">
        <f t="shared" si="115"/>
        <v>-0.15573768055708948</v>
      </c>
      <c r="G2493" s="9">
        <f t="shared" si="116"/>
        <v>1.6865752079266112E-2</v>
      </c>
    </row>
    <row r="2494" spans="1:7" x14ac:dyDescent="0.2">
      <c r="A2494" s="12">
        <v>40759</v>
      </c>
      <c r="B2494" s="9">
        <v>2019.87</v>
      </c>
      <c r="C2494" s="9">
        <v>1885.71</v>
      </c>
      <c r="D2494" s="9">
        <v>1885.71</v>
      </c>
      <c r="E2494" s="9">
        <f t="shared" si="114"/>
        <v>-5.1818157815824384E-2</v>
      </c>
      <c r="F2494" s="9">
        <f t="shared" si="115"/>
        <v>-0.20173459454991854</v>
      </c>
      <c r="G2494" s="9">
        <f t="shared" si="116"/>
        <v>1.8893806154819046E-2</v>
      </c>
    </row>
    <row r="2495" spans="1:7" x14ac:dyDescent="0.2">
      <c r="A2495" s="12">
        <v>40760</v>
      </c>
      <c r="B2495" s="9">
        <v>1926.15</v>
      </c>
      <c r="C2495" s="9">
        <v>1787.72</v>
      </c>
      <c r="D2495" s="9">
        <v>1869.22</v>
      </c>
      <c r="E2495" s="9">
        <f t="shared" si="114"/>
        <v>-8.7831762556593203E-3</v>
      </c>
      <c r="F2495" s="9">
        <f t="shared" si="115"/>
        <v>-0.19250375714069837</v>
      </c>
      <c r="G2495" s="9">
        <f t="shared" si="116"/>
        <v>1.8778422981456648E-2</v>
      </c>
    </row>
    <row r="2496" spans="1:7" x14ac:dyDescent="0.2">
      <c r="A2496" s="12">
        <v>40763</v>
      </c>
      <c r="B2496" s="9">
        <v>1907.4</v>
      </c>
      <c r="C2496" s="9">
        <v>1785.45</v>
      </c>
      <c r="D2496" s="9">
        <v>1790.73</v>
      </c>
      <c r="E2496" s="9">
        <f t="shared" si="114"/>
        <v>-4.2897873606258283E-2</v>
      </c>
      <c r="F2496" s="9">
        <f t="shared" si="115"/>
        <v>-0.23004312786007688</v>
      </c>
      <c r="G2496" s="9">
        <f t="shared" si="116"/>
        <v>1.9921416121635029E-2</v>
      </c>
    </row>
    <row r="2497" spans="1:7" x14ac:dyDescent="0.2">
      <c r="A2497" s="12">
        <v>40764</v>
      </c>
      <c r="B2497" s="9">
        <v>1869.19</v>
      </c>
      <c r="C2497" s="9">
        <v>1717.93</v>
      </c>
      <c r="D2497" s="9">
        <v>1869.19</v>
      </c>
      <c r="E2497" s="9">
        <f t="shared" si="114"/>
        <v>4.2881824002281813E-2</v>
      </c>
      <c r="F2497" s="9">
        <f t="shared" si="115"/>
        <v>-0.18851359309015658</v>
      </c>
      <c r="G2497" s="9">
        <f t="shared" si="116"/>
        <v>2.1913198244599516E-2</v>
      </c>
    </row>
    <row r="2498" spans="1:7" x14ac:dyDescent="0.2">
      <c r="A2498" s="12">
        <v>40765</v>
      </c>
      <c r="B2498" s="9">
        <v>1936.79</v>
      </c>
      <c r="C2498" s="9">
        <v>1806.48</v>
      </c>
      <c r="D2498" s="9">
        <v>1812.37</v>
      </c>
      <c r="E2498" s="9">
        <f t="shared" si="114"/>
        <v>-3.08698009110581E-2</v>
      </c>
      <c r="F2498" s="9">
        <f t="shared" si="115"/>
        <v>-0.25613501454398729</v>
      </c>
      <c r="G2498" s="9">
        <f t="shared" si="116"/>
        <v>2.0782505431101085E-2</v>
      </c>
    </row>
    <row r="2499" spans="1:7" x14ac:dyDescent="0.2">
      <c r="A2499" s="12">
        <v>40766</v>
      </c>
      <c r="B2499" s="9">
        <v>1905.49</v>
      </c>
      <c r="C2499" s="9">
        <v>1799.1</v>
      </c>
      <c r="D2499" s="9">
        <v>1902.48</v>
      </c>
      <c r="E2499" s="9">
        <f t="shared" si="114"/>
        <v>4.8522917178410424E-2</v>
      </c>
      <c r="F2499" s="9">
        <f t="shared" si="115"/>
        <v>-0.22927667526085235</v>
      </c>
      <c r="G2499" s="9">
        <f t="shared" si="116"/>
        <v>2.2625253954884125E-2</v>
      </c>
    </row>
    <row r="2500" spans="1:7" x14ac:dyDescent="0.2">
      <c r="A2500" s="12">
        <v>40767</v>
      </c>
      <c r="B2500" s="9">
        <v>1970.77</v>
      </c>
      <c r="C2500" s="9">
        <v>1859.28</v>
      </c>
      <c r="D2500" s="9">
        <v>1964.97</v>
      </c>
      <c r="E2500" s="9">
        <f t="shared" ref="E2500:E2563" si="117">LN(D2500/D2499)</f>
        <v>3.2318679814234412E-2</v>
      </c>
      <c r="F2500" s="9">
        <f t="shared" si="115"/>
        <v>-0.20407922756634708</v>
      </c>
      <c r="G2500" s="9">
        <f t="shared" si="116"/>
        <v>2.3637294164401267E-2</v>
      </c>
    </row>
    <row r="2501" spans="1:7" x14ac:dyDescent="0.2">
      <c r="A2501" s="12">
        <v>40770</v>
      </c>
      <c r="B2501" s="9">
        <v>2019.46</v>
      </c>
      <c r="C2501" s="9">
        <v>1956.82</v>
      </c>
      <c r="D2501" s="9">
        <v>2007.34</v>
      </c>
      <c r="E2501" s="9">
        <f t="shared" si="117"/>
        <v>2.1333484512571957E-2</v>
      </c>
      <c r="F2501" s="9">
        <f t="shared" si="115"/>
        <v>-0.18509584247064484</v>
      </c>
      <c r="G2501" s="9">
        <f t="shared" si="116"/>
        <v>2.4139526313575032E-2</v>
      </c>
    </row>
    <row r="2502" spans="1:7" x14ac:dyDescent="0.2">
      <c r="A2502" s="12">
        <v>40771</v>
      </c>
      <c r="B2502" s="9">
        <v>2017.78</v>
      </c>
      <c r="C2502" s="9">
        <v>1949.94</v>
      </c>
      <c r="D2502" s="9">
        <v>1982.22</v>
      </c>
      <c r="E2502" s="9">
        <f t="shared" si="117"/>
        <v>-1.2593033802897131E-2</v>
      </c>
      <c r="F2502" s="9">
        <f t="shared" si="115"/>
        <v>-0.19437974328964852</v>
      </c>
      <c r="G2502" s="9">
        <f t="shared" si="116"/>
        <v>2.41610869373831E-2</v>
      </c>
    </row>
    <row r="2503" spans="1:7" x14ac:dyDescent="0.2">
      <c r="A2503" s="12">
        <v>40772</v>
      </c>
      <c r="B2503" s="9">
        <v>2012.15</v>
      </c>
      <c r="C2503" s="9">
        <v>1937.8</v>
      </c>
      <c r="D2503" s="9">
        <v>1995.57</v>
      </c>
      <c r="E2503" s="9">
        <f t="shared" si="117"/>
        <v>6.7122950802050163E-3</v>
      </c>
      <c r="F2503" s="9">
        <f t="shared" si="115"/>
        <v>-0.18296277191854401</v>
      </c>
      <c r="G2503" s="9">
        <f t="shared" si="116"/>
        <v>2.4279628247471517E-2</v>
      </c>
    </row>
    <row r="2504" spans="1:7" x14ac:dyDescent="0.2">
      <c r="A2504" s="12">
        <v>40773</v>
      </c>
      <c r="B2504" s="9">
        <v>1971.13</v>
      </c>
      <c r="C2504" s="9">
        <v>1854.25</v>
      </c>
      <c r="D2504" s="9">
        <v>1866.87</v>
      </c>
      <c r="E2504" s="9">
        <f t="shared" si="117"/>
        <v>-6.6666492106850994E-2</v>
      </c>
      <c r="F2504" s="9">
        <f t="shared" si="115"/>
        <v>-0.26215780959970786</v>
      </c>
      <c r="G2504" s="9">
        <f t="shared" si="116"/>
        <v>2.6397441160813006E-2</v>
      </c>
    </row>
    <row r="2505" spans="1:7" x14ac:dyDescent="0.2">
      <c r="A2505" s="12">
        <v>40774</v>
      </c>
      <c r="B2505" s="9">
        <v>1893.94</v>
      </c>
      <c r="C2505" s="9">
        <v>1792.31</v>
      </c>
      <c r="D2505" s="9">
        <v>1860.15</v>
      </c>
      <c r="E2505" s="9">
        <f t="shared" si="117"/>
        <v>-3.6061020773823158E-3</v>
      </c>
      <c r="F2505" s="9">
        <f t="shared" si="115"/>
        <v>-0.24545547529512027</v>
      </c>
      <c r="G2505" s="9">
        <f t="shared" si="116"/>
        <v>2.6321031561875659E-2</v>
      </c>
    </row>
    <row r="2506" spans="1:7" x14ac:dyDescent="0.2">
      <c r="A2506" s="12">
        <v>40777</v>
      </c>
      <c r="B2506" s="9">
        <v>1903.83</v>
      </c>
      <c r="C2506" s="9">
        <v>1839.41</v>
      </c>
      <c r="D2506" s="9">
        <v>1868.11</v>
      </c>
      <c r="E2506" s="9">
        <f t="shared" si="117"/>
        <v>4.2700949477903283E-3</v>
      </c>
      <c r="F2506" s="9">
        <f t="shared" si="115"/>
        <v>-0.21703643421395746</v>
      </c>
      <c r="G2506" s="9">
        <f t="shared" si="116"/>
        <v>2.6237828509989205E-2</v>
      </c>
    </row>
    <row r="2507" spans="1:7" x14ac:dyDescent="0.2">
      <c r="A2507" s="12">
        <v>40778</v>
      </c>
      <c r="B2507" s="9">
        <v>1928.59</v>
      </c>
      <c r="C2507" s="9">
        <v>1869.34</v>
      </c>
      <c r="D2507" s="9">
        <v>1885.29</v>
      </c>
      <c r="E2507" s="9">
        <f t="shared" si="117"/>
        <v>9.1544306381700618E-3</v>
      </c>
      <c r="F2507" s="9">
        <f t="shared" si="115"/>
        <v>-0.19568339987418323</v>
      </c>
      <c r="G2507" s="9">
        <f t="shared" si="116"/>
        <v>2.6387721846832614E-2</v>
      </c>
    </row>
    <row r="2508" spans="1:7" x14ac:dyDescent="0.2">
      <c r="A2508" s="12">
        <v>40779</v>
      </c>
      <c r="B2508" s="9">
        <v>1939.56</v>
      </c>
      <c r="C2508" s="9">
        <v>1880.94</v>
      </c>
      <c r="D2508" s="9">
        <v>1912.16</v>
      </c>
      <c r="E2508" s="9">
        <f t="shared" si="117"/>
        <v>1.4151837915719541E-2</v>
      </c>
      <c r="F2508" s="9">
        <f t="shared" si="115"/>
        <v>-0.19595955229729092</v>
      </c>
      <c r="G2508" s="9">
        <f t="shared" si="116"/>
        <v>2.6380208470769211E-2</v>
      </c>
    </row>
    <row r="2509" spans="1:7" x14ac:dyDescent="0.2">
      <c r="A2509" s="12">
        <v>40780</v>
      </c>
      <c r="B2509" s="9">
        <v>1951.67</v>
      </c>
      <c r="C2509" s="9">
        <v>1892.52</v>
      </c>
      <c r="D2509" s="9">
        <v>1899.56</v>
      </c>
      <c r="E2509" s="9">
        <f t="shared" si="117"/>
        <v>-6.6112127299524674E-3</v>
      </c>
      <c r="F2509" s="9">
        <f t="shared" si="115"/>
        <v>-0.18895368805668178</v>
      </c>
      <c r="G2509" s="9">
        <f t="shared" si="116"/>
        <v>2.6346313128592588E-2</v>
      </c>
    </row>
    <row r="2510" spans="1:7" x14ac:dyDescent="0.2">
      <c r="A2510" s="12">
        <v>40781</v>
      </c>
      <c r="B2510" s="9">
        <v>1900.18</v>
      </c>
      <c r="C2510" s="9">
        <v>1839.33</v>
      </c>
      <c r="D2510" s="9">
        <v>1891.49</v>
      </c>
      <c r="E2510" s="9">
        <f t="shared" si="117"/>
        <v>-4.2574021389202056E-3</v>
      </c>
      <c r="F2510" s="9">
        <f t="shared" si="115"/>
        <v>-0.18065128433825348</v>
      </c>
      <c r="G2510" s="9">
        <f t="shared" si="116"/>
        <v>2.6321868440865842E-2</v>
      </c>
    </row>
    <row r="2511" spans="1:7" x14ac:dyDescent="0.2">
      <c r="A2511" s="12">
        <v>40784</v>
      </c>
      <c r="B2511" s="9">
        <v>1954.91</v>
      </c>
      <c r="C2511" s="9">
        <v>1906.09</v>
      </c>
      <c r="D2511" s="9">
        <v>1948.44</v>
      </c>
      <c r="E2511" s="9">
        <f t="shared" si="117"/>
        <v>2.9664174137325191E-2</v>
      </c>
      <c r="F2511" s="9">
        <f t="shared" si="115"/>
        <v>-0.12159647563658914</v>
      </c>
      <c r="G2511" s="9">
        <f t="shared" si="116"/>
        <v>2.6719170828863867E-2</v>
      </c>
    </row>
    <row r="2512" spans="1:7" x14ac:dyDescent="0.2">
      <c r="A2512" s="12">
        <v>40785</v>
      </c>
      <c r="B2512" s="9">
        <v>1971.92</v>
      </c>
      <c r="C2512" s="9">
        <v>1935.15</v>
      </c>
      <c r="D2512" s="9">
        <v>1968.91</v>
      </c>
      <c r="E2512" s="9">
        <f t="shared" si="117"/>
        <v>1.0451037725975131E-2</v>
      </c>
      <c r="F2512" s="9">
        <f t="shared" si="115"/>
        <v>-0.12070705471580868</v>
      </c>
      <c r="G2512" s="9">
        <f t="shared" si="116"/>
        <v>2.6735287245103618E-2</v>
      </c>
    </row>
    <row r="2513" spans="1:7" x14ac:dyDescent="0.2">
      <c r="A2513" s="12">
        <v>40786</v>
      </c>
      <c r="B2513" s="9">
        <v>2043.86</v>
      </c>
      <c r="C2513" s="9">
        <v>1990.12</v>
      </c>
      <c r="D2513" s="9">
        <v>2033.42</v>
      </c>
      <c r="E2513" s="9">
        <f t="shared" si="117"/>
        <v>3.2239014422782104E-2</v>
      </c>
      <c r="F2513" s="9">
        <f t="shared" si="115"/>
        <v>-0.10828381877653573</v>
      </c>
      <c r="G2513" s="9">
        <f t="shared" si="116"/>
        <v>2.7209283300422694E-2</v>
      </c>
    </row>
    <row r="2514" spans="1:7" x14ac:dyDescent="0.2">
      <c r="A2514" s="12">
        <v>40787</v>
      </c>
      <c r="B2514" s="9">
        <v>2044.02</v>
      </c>
      <c r="C2514" s="9">
        <v>1989.93</v>
      </c>
      <c r="D2514" s="9">
        <v>2038.29</v>
      </c>
      <c r="E2514" s="9">
        <f t="shared" si="117"/>
        <v>2.3921164927108293E-3</v>
      </c>
      <c r="F2514" s="9">
        <f t="shared" si="115"/>
        <v>-0.10880452892386518</v>
      </c>
      <c r="G2514" s="9">
        <f t="shared" si="116"/>
        <v>2.7205144982926702E-2</v>
      </c>
    </row>
    <row r="2515" spans="1:7" x14ac:dyDescent="0.2">
      <c r="A2515" s="12">
        <v>40788</v>
      </c>
      <c r="B2515" s="9">
        <v>2016.67</v>
      </c>
      <c r="C2515" s="9">
        <v>1958.2</v>
      </c>
      <c r="D2515" s="9">
        <v>1969.68</v>
      </c>
      <c r="E2515" s="9">
        <f t="shared" si="117"/>
        <v>-3.424012803892542E-2</v>
      </c>
      <c r="F2515" s="9">
        <f t="shared" si="115"/>
        <v>-0.14919490511830352</v>
      </c>
      <c r="G2515" s="9">
        <f t="shared" si="116"/>
        <v>2.7699546762861283E-2</v>
      </c>
    </row>
    <row r="2516" spans="1:7" x14ac:dyDescent="0.2">
      <c r="A2516" s="12">
        <v>40791</v>
      </c>
      <c r="B2516" s="9">
        <v>1939.74</v>
      </c>
      <c r="C2516" s="9">
        <v>1872.37</v>
      </c>
      <c r="D2516" s="9">
        <v>1883.17</v>
      </c>
      <c r="E2516" s="9">
        <f t="shared" si="117"/>
        <v>-4.4914565941793654E-2</v>
      </c>
      <c r="F2516" s="9">
        <f t="shared" si="115"/>
        <v>-0.18775678929991457</v>
      </c>
      <c r="G2516" s="9">
        <f t="shared" si="116"/>
        <v>2.8644387484316709E-2</v>
      </c>
    </row>
    <row r="2517" spans="1:7" x14ac:dyDescent="0.2">
      <c r="A2517" s="12">
        <v>40792</v>
      </c>
      <c r="B2517" s="9">
        <v>1903.37</v>
      </c>
      <c r="C2517" s="9">
        <v>1853.61</v>
      </c>
      <c r="D2517" s="9">
        <v>1870.45</v>
      </c>
      <c r="E2517" s="9">
        <f t="shared" si="117"/>
        <v>-6.7774834374824608E-3</v>
      </c>
      <c r="F2517" s="9">
        <f t="shared" si="115"/>
        <v>-0.18824284736840796</v>
      </c>
      <c r="G2517" s="9">
        <f t="shared" si="116"/>
        <v>2.8644544177439609E-2</v>
      </c>
    </row>
    <row r="2518" spans="1:7" x14ac:dyDescent="0.2">
      <c r="A2518" s="12">
        <v>40793</v>
      </c>
      <c r="B2518" s="9">
        <v>1952.51</v>
      </c>
      <c r="C2518" s="9">
        <v>1901.7</v>
      </c>
      <c r="D2518" s="9">
        <v>1952.51</v>
      </c>
      <c r="E2518" s="9">
        <f t="shared" si="117"/>
        <v>4.2936680729359966E-2</v>
      </c>
      <c r="F2518" s="9">
        <f t="shared" si="115"/>
        <v>-0.13184047183617276</v>
      </c>
      <c r="G2518" s="9">
        <f t="shared" si="116"/>
        <v>2.9976314226809891E-2</v>
      </c>
    </row>
    <row r="2519" spans="1:7" x14ac:dyDescent="0.2">
      <c r="A2519" s="12">
        <v>40794</v>
      </c>
      <c r="B2519" s="9">
        <v>1978.19</v>
      </c>
      <c r="C2519" s="9">
        <v>1930.51</v>
      </c>
      <c r="D2519" s="9">
        <v>1964.05</v>
      </c>
      <c r="E2519" s="9">
        <f t="shared" si="117"/>
        <v>5.8929434991781288E-3</v>
      </c>
      <c r="F2519" s="9">
        <f t="shared" si="115"/>
        <v>-0.1133895998525517</v>
      </c>
      <c r="G2519" s="9">
        <f t="shared" si="116"/>
        <v>2.9992327674871175E-2</v>
      </c>
    </row>
    <row r="2520" spans="1:7" x14ac:dyDescent="0.2">
      <c r="A2520" s="12">
        <v>40795</v>
      </c>
      <c r="B2520" s="9">
        <v>1959.61</v>
      </c>
      <c r="C2520" s="9">
        <v>1886.08</v>
      </c>
      <c r="D2520" s="9">
        <v>1886.83</v>
      </c>
      <c r="E2520" s="9">
        <f t="shared" si="117"/>
        <v>-4.0110495618723811E-2</v>
      </c>
      <c r="F2520" s="9">
        <f t="shared" si="115"/>
        <v>-0.14676799829183546</v>
      </c>
      <c r="G2520" s="9">
        <f t="shared" si="116"/>
        <v>3.071601165559101E-2</v>
      </c>
    </row>
    <row r="2521" spans="1:7" x14ac:dyDescent="0.2">
      <c r="A2521" s="12">
        <v>40798</v>
      </c>
      <c r="B2521" s="9">
        <v>1852.06</v>
      </c>
      <c r="C2521" s="9">
        <v>1810.01</v>
      </c>
      <c r="D2521" s="9">
        <v>1828.5</v>
      </c>
      <c r="E2521" s="9">
        <f t="shared" si="117"/>
        <v>-3.1402213630668266E-2</v>
      </c>
      <c r="F2521" s="9">
        <f t="shared" si="115"/>
        <v>-0.14457491844854573</v>
      </c>
      <c r="G2521" s="9">
        <f t="shared" si="116"/>
        <v>3.0647878369881653E-2</v>
      </c>
    </row>
    <row r="2522" spans="1:7" x14ac:dyDescent="0.2">
      <c r="A2522" s="12">
        <v>40799</v>
      </c>
      <c r="B2522" s="9">
        <v>1858.75</v>
      </c>
      <c r="C2522" s="9">
        <v>1790.46</v>
      </c>
      <c r="D2522" s="9">
        <v>1838.04</v>
      </c>
      <c r="E2522" s="9">
        <f t="shared" si="117"/>
        <v>5.2038278750270442E-3</v>
      </c>
      <c r="F2522" s="9">
        <f t="shared" si="115"/>
        <v>-0.10898389692252297</v>
      </c>
      <c r="G2522" s="9">
        <f t="shared" si="116"/>
        <v>3.0311027470826826E-2</v>
      </c>
    </row>
    <row r="2523" spans="1:7" x14ac:dyDescent="0.2">
      <c r="A2523" s="12">
        <v>40800</v>
      </c>
      <c r="B2523" s="9">
        <v>1866.48</v>
      </c>
      <c r="C2523" s="9">
        <v>1821.74</v>
      </c>
      <c r="D2523" s="9">
        <v>1862.39</v>
      </c>
      <c r="E2523" s="9">
        <f t="shared" si="117"/>
        <v>1.3160822642432868E-2</v>
      </c>
      <c r="F2523" s="9">
        <f t="shared" si="115"/>
        <v>-6.426195649822207E-2</v>
      </c>
      <c r="G2523" s="9">
        <f t="shared" si="116"/>
        <v>2.998813519703776E-2</v>
      </c>
    </row>
    <row r="2524" spans="1:7" x14ac:dyDescent="0.2">
      <c r="A2524" s="12">
        <v>40801</v>
      </c>
      <c r="B2524" s="9">
        <v>1934</v>
      </c>
      <c r="C2524" s="9">
        <v>1874.27</v>
      </c>
      <c r="D2524" s="9">
        <v>1924.2</v>
      </c>
      <c r="E2524" s="9">
        <f t="shared" si="117"/>
        <v>3.2649687820268336E-2</v>
      </c>
      <c r="F2524" s="9">
        <f t="shared" si="115"/>
        <v>2.0205889137870647E-2</v>
      </c>
      <c r="G2524" s="9">
        <f t="shared" si="116"/>
        <v>2.9115870774156977E-2</v>
      </c>
    </row>
    <row r="2525" spans="1:7" x14ac:dyDescent="0.2">
      <c r="A2525" s="12">
        <v>40802</v>
      </c>
      <c r="B2525" s="9">
        <v>1962.7</v>
      </c>
      <c r="C2525" s="9">
        <v>1913.38</v>
      </c>
      <c r="D2525" s="9">
        <v>1944.96</v>
      </c>
      <c r="E2525" s="9">
        <f t="shared" si="117"/>
        <v>1.073111436120939E-2</v>
      </c>
      <c r="F2525" s="9">
        <f t="shared" si="115"/>
        <v>3.9720179754739397E-2</v>
      </c>
      <c r="G2525" s="9">
        <f t="shared" si="116"/>
        <v>2.9115297636077283E-2</v>
      </c>
    </row>
    <row r="2526" spans="1:7" x14ac:dyDescent="0.2">
      <c r="A2526" s="12">
        <v>40805</v>
      </c>
      <c r="B2526" s="9">
        <v>1923.95</v>
      </c>
      <c r="C2526" s="9">
        <v>1879.4</v>
      </c>
      <c r="D2526" s="9">
        <v>1885.21</v>
      </c>
      <c r="E2526" s="9">
        <f t="shared" si="117"/>
        <v>-3.1202190775887848E-2</v>
      </c>
      <c r="F2526" s="9">
        <f t="shared" si="115"/>
        <v>5.141586258510969E-2</v>
      </c>
      <c r="G2526" s="9">
        <f t="shared" si="116"/>
        <v>2.857605420533393E-2</v>
      </c>
    </row>
    <row r="2527" spans="1:7" x14ac:dyDescent="0.2">
      <c r="A2527" s="12">
        <v>40806</v>
      </c>
      <c r="B2527" s="9">
        <v>1922.18</v>
      </c>
      <c r="C2527" s="9">
        <v>1868.61</v>
      </c>
      <c r="D2527" s="9">
        <v>1921.98</v>
      </c>
      <c r="E2527" s="9">
        <f t="shared" si="117"/>
        <v>1.9316684136347777E-2</v>
      </c>
      <c r="F2527" s="9">
        <f t="shared" si="115"/>
        <v>2.7850722719175647E-2</v>
      </c>
      <c r="G2527" s="9">
        <f t="shared" si="116"/>
        <v>2.7716348389261781E-2</v>
      </c>
    </row>
    <row r="2528" spans="1:7" x14ac:dyDescent="0.2">
      <c r="A2528" s="12">
        <v>40807</v>
      </c>
      <c r="B2528" s="9">
        <v>1932.85</v>
      </c>
      <c r="C2528" s="9">
        <v>1890.86</v>
      </c>
      <c r="D2528" s="9">
        <v>1897.15</v>
      </c>
      <c r="E2528" s="9">
        <f t="shared" si="117"/>
        <v>-1.3003144620568792E-2</v>
      </c>
      <c r="F2528" s="9">
        <f t="shared" si="115"/>
        <v>4.5717379009664903E-2</v>
      </c>
      <c r="G2528" s="9">
        <f t="shared" si="116"/>
        <v>2.7196606259184981E-2</v>
      </c>
    </row>
    <row r="2529" spans="1:7" x14ac:dyDescent="0.2">
      <c r="A2529" s="12">
        <v>40808</v>
      </c>
      <c r="B2529" s="9">
        <v>1855.45</v>
      </c>
      <c r="C2529" s="9">
        <v>1792.01</v>
      </c>
      <c r="D2529" s="9">
        <v>1792.01</v>
      </c>
      <c r="E2529" s="9">
        <f t="shared" si="117"/>
        <v>-5.7014865151816238E-2</v>
      </c>
      <c r="F2529" s="9">
        <f t="shared" ref="F2529:F2592" si="118">LN(D2529/D2499)</f>
        <v>-5.982040332056162E-2</v>
      </c>
      <c r="G2529" s="9">
        <f t="shared" ref="G2529:G2592" si="119">STDEV(E2500:E2529)</f>
        <v>2.7728122365940536E-2</v>
      </c>
    </row>
    <row r="2530" spans="1:7" x14ac:dyDescent="0.2">
      <c r="A2530" s="12">
        <v>40809</v>
      </c>
      <c r="B2530" s="9">
        <v>1814.59</v>
      </c>
      <c r="C2530" s="9">
        <v>1726.82</v>
      </c>
      <c r="D2530" s="9">
        <v>1771.61</v>
      </c>
      <c r="E2530" s="9">
        <f t="shared" si="117"/>
        <v>-1.1449157228298961E-2</v>
      </c>
      <c r="F2530" s="9">
        <f t="shared" si="118"/>
        <v>-0.10358824036309498</v>
      </c>
      <c r="G2530" s="9">
        <f t="shared" si="119"/>
        <v>2.7002425839285301E-2</v>
      </c>
    </row>
    <row r="2531" spans="1:7" x14ac:dyDescent="0.2">
      <c r="A2531" s="12">
        <v>40812</v>
      </c>
      <c r="B2531" s="9">
        <v>1823.7</v>
      </c>
      <c r="C2531" s="9">
        <v>1736.87</v>
      </c>
      <c r="D2531" s="9">
        <v>1793.14</v>
      </c>
      <c r="E2531" s="9">
        <f t="shared" si="117"/>
        <v>1.2079535336562053E-2</v>
      </c>
      <c r="F2531" s="9">
        <f t="shared" si="118"/>
        <v>-0.11284218953910496</v>
      </c>
      <c r="G2531" s="9">
        <f t="shared" si="119"/>
        <v>2.6761291810001045E-2</v>
      </c>
    </row>
    <row r="2532" spans="1:7" x14ac:dyDescent="0.2">
      <c r="A2532" s="12">
        <v>40813</v>
      </c>
      <c r="B2532" s="9">
        <v>1892.86</v>
      </c>
      <c r="C2532" s="9">
        <v>1830.77</v>
      </c>
      <c r="D2532" s="9">
        <v>1892.86</v>
      </c>
      <c r="E2532" s="9">
        <f t="shared" si="117"/>
        <v>5.4120639807166394E-2</v>
      </c>
      <c r="F2532" s="9">
        <f t="shared" si="118"/>
        <v>-4.6128515929041471E-2</v>
      </c>
      <c r="G2532" s="9">
        <f t="shared" si="119"/>
        <v>2.870348526171132E-2</v>
      </c>
    </row>
    <row r="2533" spans="1:7" x14ac:dyDescent="0.2">
      <c r="A2533" s="12">
        <v>40814</v>
      </c>
      <c r="B2533" s="9">
        <v>1893.27</v>
      </c>
      <c r="C2533" s="9">
        <v>1849.88</v>
      </c>
      <c r="D2533" s="9">
        <v>1866.56</v>
      </c>
      <c r="E2533" s="9">
        <f t="shared" si="117"/>
        <v>-1.3991748226605242E-2</v>
      </c>
      <c r="F2533" s="9">
        <f t="shared" si="118"/>
        <v>-6.6832559235851727E-2</v>
      </c>
      <c r="G2533" s="9">
        <f t="shared" si="119"/>
        <v>2.8747154381329323E-2</v>
      </c>
    </row>
    <row r="2534" spans="1:7" x14ac:dyDescent="0.2">
      <c r="A2534" s="12">
        <v>40815</v>
      </c>
      <c r="B2534" s="9">
        <v>1897.56</v>
      </c>
      <c r="C2534" s="9">
        <v>1851.61</v>
      </c>
      <c r="D2534" s="9">
        <v>1896.35</v>
      </c>
      <c r="E2534" s="9">
        <f t="shared" si="117"/>
        <v>1.5833821369484767E-2</v>
      </c>
      <c r="F2534" s="9">
        <f t="shared" si="118"/>
        <v>1.5667754240484093E-2</v>
      </c>
      <c r="G2534" s="9">
        <f t="shared" si="119"/>
        <v>2.6203816610268226E-2</v>
      </c>
    </row>
    <row r="2535" spans="1:7" x14ac:dyDescent="0.2">
      <c r="A2535" s="12">
        <v>40816</v>
      </c>
      <c r="B2535" s="9">
        <v>1894.78</v>
      </c>
      <c r="C2535" s="9">
        <v>1841.4</v>
      </c>
      <c r="D2535" s="9">
        <v>1853.21</v>
      </c>
      <c r="E2535" s="9">
        <f t="shared" si="117"/>
        <v>-2.3011715335163191E-2</v>
      </c>
      <c r="F2535" s="9">
        <f t="shared" si="118"/>
        <v>-3.7378590172966464E-3</v>
      </c>
      <c r="G2535" s="9">
        <f t="shared" si="119"/>
        <v>2.6546518774063943E-2</v>
      </c>
    </row>
    <row r="2536" spans="1:7" x14ac:dyDescent="0.2">
      <c r="A2536" s="12">
        <v>40819</v>
      </c>
      <c r="B2536" s="9">
        <v>1857.67</v>
      </c>
      <c r="C2536" s="9">
        <v>1804.42</v>
      </c>
      <c r="D2536" s="9">
        <v>1844.1</v>
      </c>
      <c r="E2536" s="9">
        <f t="shared" si="117"/>
        <v>-4.9279170185209994E-3</v>
      </c>
      <c r="F2536" s="9">
        <f t="shared" si="118"/>
        <v>-1.2935870983607973E-2</v>
      </c>
      <c r="G2536" s="9">
        <f t="shared" si="119"/>
        <v>2.6547128291112894E-2</v>
      </c>
    </row>
    <row r="2537" spans="1:7" x14ac:dyDescent="0.2">
      <c r="A2537" s="12">
        <v>40820</v>
      </c>
      <c r="B2537" s="9">
        <v>1824.32</v>
      </c>
      <c r="C2537" s="9">
        <v>1738.31</v>
      </c>
      <c r="D2537" s="9">
        <v>1758.65</v>
      </c>
      <c r="E2537" s="9">
        <f t="shared" si="117"/>
        <v>-4.7444884333305279E-2</v>
      </c>
      <c r="F2537" s="9">
        <f t="shared" si="118"/>
        <v>-6.9535185955083248E-2</v>
      </c>
      <c r="G2537" s="9">
        <f t="shared" si="119"/>
        <v>2.7822944223594083E-2</v>
      </c>
    </row>
    <row r="2538" spans="1:7" x14ac:dyDescent="0.2">
      <c r="A2538" s="12">
        <v>40821</v>
      </c>
      <c r="B2538" s="9">
        <v>1828.03</v>
      </c>
      <c r="C2538" s="9">
        <v>1775.03</v>
      </c>
      <c r="D2538" s="9">
        <v>1827.05</v>
      </c>
      <c r="E2538" s="9">
        <f t="shared" si="117"/>
        <v>3.8156175024508299E-2</v>
      </c>
      <c r="F2538" s="9">
        <f t="shared" si="118"/>
        <v>-4.5530848846294457E-2</v>
      </c>
      <c r="G2538" s="9">
        <f t="shared" si="119"/>
        <v>2.8645911528636232E-2</v>
      </c>
    </row>
    <row r="2539" spans="1:7" x14ac:dyDescent="0.2">
      <c r="A2539" s="12">
        <v>40822</v>
      </c>
      <c r="B2539" s="9">
        <v>1892.47</v>
      </c>
      <c r="C2539" s="9">
        <v>1841.47</v>
      </c>
      <c r="D2539" s="9">
        <v>1892.47</v>
      </c>
      <c r="E2539" s="9">
        <f t="shared" si="117"/>
        <v>3.5180209866126279E-2</v>
      </c>
      <c r="F2539" s="9">
        <f t="shared" si="118"/>
        <v>-3.7394262502157979E-3</v>
      </c>
      <c r="G2539" s="9">
        <f t="shared" si="119"/>
        <v>2.9396008428280506E-2</v>
      </c>
    </row>
    <row r="2540" spans="1:7" x14ac:dyDescent="0.2">
      <c r="A2540" s="12">
        <v>40823</v>
      </c>
      <c r="B2540" s="9">
        <v>1913.88</v>
      </c>
      <c r="C2540" s="9">
        <v>1866.98</v>
      </c>
      <c r="D2540" s="9">
        <v>1886.78</v>
      </c>
      <c r="E2540" s="9">
        <f t="shared" si="117"/>
        <v>-3.0111817420762472E-3</v>
      </c>
      <c r="F2540" s="9">
        <f t="shared" si="118"/>
        <v>-2.4932058533716677E-3</v>
      </c>
      <c r="G2540" s="9">
        <f t="shared" si="119"/>
        <v>2.9390846970840209E-2</v>
      </c>
    </row>
    <row r="2541" spans="1:7" x14ac:dyDescent="0.2">
      <c r="A2541" s="12">
        <v>40826</v>
      </c>
      <c r="B2541" s="9">
        <v>1943.79</v>
      </c>
      <c r="C2541" s="9">
        <v>1881.67</v>
      </c>
      <c r="D2541" s="9">
        <v>1943.69</v>
      </c>
      <c r="E2541" s="9">
        <f t="shared" si="117"/>
        <v>2.9716555887583661E-2</v>
      </c>
      <c r="F2541" s="9">
        <f t="shared" si="118"/>
        <v>-2.4408241031133901E-3</v>
      </c>
      <c r="G2541" s="9">
        <f t="shared" si="119"/>
        <v>2.9392676642385714E-2</v>
      </c>
    </row>
    <row r="2542" spans="1:7" x14ac:dyDescent="0.2">
      <c r="A2542" s="12">
        <v>40827</v>
      </c>
      <c r="B2542" s="9">
        <v>1956.3</v>
      </c>
      <c r="C2542" s="9">
        <v>1922.46</v>
      </c>
      <c r="D2542" s="9">
        <v>1946.38</v>
      </c>
      <c r="E2542" s="9">
        <f t="shared" si="117"/>
        <v>1.3830087524217376E-3</v>
      </c>
      <c r="F2542" s="9">
        <f t="shared" si="118"/>
        <v>-1.1508853076666667E-2</v>
      </c>
      <c r="G2542" s="9">
        <f t="shared" si="119"/>
        <v>2.932718272658489E-2</v>
      </c>
    </row>
    <row r="2543" spans="1:7" x14ac:dyDescent="0.2">
      <c r="A2543" s="12">
        <v>40828</v>
      </c>
      <c r="B2543" s="9">
        <v>1998.52</v>
      </c>
      <c r="C2543" s="9">
        <v>1916.26</v>
      </c>
      <c r="D2543" s="9">
        <v>1997.77</v>
      </c>
      <c r="E2543" s="9">
        <f t="shared" si="117"/>
        <v>2.6060321430798585E-2</v>
      </c>
      <c r="F2543" s="9">
        <f t="shared" si="118"/>
        <v>-1.7687546068650174E-2</v>
      </c>
      <c r="G2543" s="9">
        <f t="shared" si="119"/>
        <v>2.9111082656500378E-2</v>
      </c>
    </row>
    <row r="2544" spans="1:7" x14ac:dyDescent="0.2">
      <c r="A2544" s="12">
        <v>40829</v>
      </c>
      <c r="B2544" s="9">
        <v>2027.65</v>
      </c>
      <c r="C2544" s="9">
        <v>1976.96</v>
      </c>
      <c r="D2544" s="9">
        <v>1981.38</v>
      </c>
      <c r="E2544" s="9">
        <f t="shared" si="117"/>
        <v>-8.2379868521629991E-3</v>
      </c>
      <c r="F2544" s="9">
        <f t="shared" si="118"/>
        <v>-2.8317649413523969E-2</v>
      </c>
      <c r="G2544" s="9">
        <f t="shared" si="119"/>
        <v>2.91382198015443E-2</v>
      </c>
    </row>
    <row r="2545" spans="1:7" x14ac:dyDescent="0.2">
      <c r="A2545" s="12">
        <v>40830</v>
      </c>
      <c r="B2545" s="9">
        <v>2026.2</v>
      </c>
      <c r="C2545" s="9">
        <v>1977.6</v>
      </c>
      <c r="D2545" s="9">
        <v>2006.69</v>
      </c>
      <c r="E2545" s="9">
        <f t="shared" si="117"/>
        <v>1.2693026859162798E-2</v>
      </c>
      <c r="F2545" s="9">
        <f t="shared" si="118"/>
        <v>1.8615505484564334E-2</v>
      </c>
      <c r="G2545" s="9">
        <f t="shared" si="119"/>
        <v>2.8542735480798161E-2</v>
      </c>
    </row>
    <row r="2546" spans="1:7" x14ac:dyDescent="0.2">
      <c r="A2546" s="12">
        <v>40833</v>
      </c>
      <c r="B2546" s="9">
        <v>2042.59</v>
      </c>
      <c r="C2546" s="9">
        <v>1930.06</v>
      </c>
      <c r="D2546" s="9">
        <v>1939.08</v>
      </c>
      <c r="E2546" s="9">
        <f t="shared" si="117"/>
        <v>-3.4272964701973448E-2</v>
      </c>
      <c r="F2546" s="9">
        <f t="shared" si="118"/>
        <v>2.9257106724384342E-2</v>
      </c>
      <c r="G2546" s="9">
        <f t="shared" si="119"/>
        <v>2.8018639863256669E-2</v>
      </c>
    </row>
    <row r="2547" spans="1:7" x14ac:dyDescent="0.2">
      <c r="A2547" s="12">
        <v>40834</v>
      </c>
      <c r="B2547" s="9">
        <v>1959.28</v>
      </c>
      <c r="C2547" s="9">
        <v>1901.24</v>
      </c>
      <c r="D2547" s="9">
        <v>1951.11</v>
      </c>
      <c r="E2547" s="9">
        <f t="shared" si="117"/>
        <v>6.1848076044872602E-3</v>
      </c>
      <c r="F2547" s="9">
        <f t="shared" si="118"/>
        <v>4.2219397766354111E-2</v>
      </c>
      <c r="G2547" s="9">
        <f t="shared" si="119"/>
        <v>2.7994898222845076E-2</v>
      </c>
    </row>
    <row r="2548" spans="1:7" x14ac:dyDescent="0.2">
      <c r="A2548" s="12">
        <v>40835</v>
      </c>
      <c r="B2548" s="9">
        <v>1964.75</v>
      </c>
      <c r="C2548" s="9">
        <v>1926.58</v>
      </c>
      <c r="D2548" s="9">
        <v>1938.87</v>
      </c>
      <c r="E2548" s="9">
        <f t="shared" si="117"/>
        <v>-6.2931122500888949E-3</v>
      </c>
      <c r="F2548" s="9">
        <f t="shared" si="118"/>
        <v>-7.010395213094797E-3</v>
      </c>
      <c r="G2548" s="9">
        <f t="shared" si="119"/>
        <v>2.6897979611780528E-2</v>
      </c>
    </row>
    <row r="2549" spans="1:7" x14ac:dyDescent="0.2">
      <c r="A2549" s="12">
        <v>40836</v>
      </c>
      <c r="B2549" s="9">
        <v>1967.64</v>
      </c>
      <c r="C2549" s="9">
        <v>1904.01</v>
      </c>
      <c r="D2549" s="9">
        <v>1915.78</v>
      </c>
      <c r="E2549" s="9">
        <f t="shared" si="117"/>
        <v>-1.1980478735335471E-2</v>
      </c>
      <c r="F2549" s="9">
        <f t="shared" si="118"/>
        <v>-2.4883817447608321E-2</v>
      </c>
      <c r="G2549" s="9">
        <f t="shared" si="119"/>
        <v>2.6955481202353776E-2</v>
      </c>
    </row>
    <row r="2550" spans="1:7" x14ac:dyDescent="0.2">
      <c r="A2550" s="12">
        <v>40837</v>
      </c>
      <c r="B2550" s="9">
        <v>1964.38</v>
      </c>
      <c r="C2550" s="9">
        <v>1919.96</v>
      </c>
      <c r="D2550" s="9">
        <v>1963.47</v>
      </c>
      <c r="E2550" s="9">
        <f t="shared" si="117"/>
        <v>2.4588465671313692E-2</v>
      </c>
      <c r="F2550" s="9">
        <f t="shared" si="118"/>
        <v>3.9815143842429186E-2</v>
      </c>
      <c r="G2550" s="9">
        <f t="shared" si="119"/>
        <v>2.6284176731418703E-2</v>
      </c>
    </row>
    <row r="2551" spans="1:7" x14ac:dyDescent="0.2">
      <c r="A2551" s="12">
        <v>40840</v>
      </c>
      <c r="B2551" s="9">
        <v>2029.81</v>
      </c>
      <c r="C2551" s="9">
        <v>1984.14</v>
      </c>
      <c r="D2551" s="9">
        <v>2027.72</v>
      </c>
      <c r="E2551" s="9">
        <f t="shared" si="117"/>
        <v>3.2198693055262219E-2</v>
      </c>
      <c r="F2551" s="9">
        <f t="shared" si="118"/>
        <v>0.10341605052835992</v>
      </c>
      <c r="G2551" s="9">
        <f t="shared" si="119"/>
        <v>2.6117693038299927E-2</v>
      </c>
    </row>
    <row r="2552" spans="1:7" x14ac:dyDescent="0.2">
      <c r="A2552" s="12">
        <v>40841</v>
      </c>
      <c r="B2552" s="9">
        <v>2045.91</v>
      </c>
      <c r="C2552" s="9">
        <v>2000.64</v>
      </c>
      <c r="D2552" s="9">
        <v>2018.69</v>
      </c>
      <c r="E2552" s="9">
        <f t="shared" si="117"/>
        <v>-4.4632229507465763E-3</v>
      </c>
      <c r="F2552" s="9">
        <f t="shared" si="118"/>
        <v>9.3748999702586336E-2</v>
      </c>
      <c r="G2552" s="9">
        <f t="shared" si="119"/>
        <v>2.6154881406059715E-2</v>
      </c>
    </row>
    <row r="2553" spans="1:7" x14ac:dyDescent="0.2">
      <c r="A2553" s="12">
        <v>40842</v>
      </c>
      <c r="B2553" s="9">
        <v>2059.75</v>
      </c>
      <c r="C2553" s="9">
        <v>2010.03</v>
      </c>
      <c r="D2553" s="9">
        <v>2027.82</v>
      </c>
      <c r="E2553" s="9">
        <f t="shared" si="117"/>
        <v>4.5125382084041828E-3</v>
      </c>
      <c r="F2553" s="9">
        <f t="shared" si="118"/>
        <v>8.5100715268557461E-2</v>
      </c>
      <c r="G2553" s="9">
        <f t="shared" si="119"/>
        <v>2.60880278228647E-2</v>
      </c>
    </row>
    <row r="2554" spans="1:7" x14ac:dyDescent="0.2">
      <c r="A2554" s="12">
        <v>40843</v>
      </c>
      <c r="B2554" s="9">
        <v>2145.85</v>
      </c>
      <c r="C2554" s="9">
        <v>2089.75</v>
      </c>
      <c r="D2554" s="9">
        <v>2143.84</v>
      </c>
      <c r="E2554" s="9">
        <f t="shared" si="117"/>
        <v>5.5637289164844735E-2</v>
      </c>
      <c r="F2554" s="9">
        <f t="shared" si="118"/>
        <v>0.10808831661313371</v>
      </c>
      <c r="G2554" s="9">
        <f t="shared" si="119"/>
        <v>2.7303179527780736E-2</v>
      </c>
    </row>
    <row r="2555" spans="1:7" x14ac:dyDescent="0.2">
      <c r="A2555" s="12">
        <v>40844</v>
      </c>
      <c r="B2555" s="9">
        <v>2173.06</v>
      </c>
      <c r="C2555" s="9">
        <v>2111.12</v>
      </c>
      <c r="D2555" s="9">
        <v>2125.39</v>
      </c>
      <c r="E2555" s="9">
        <f t="shared" si="117"/>
        <v>-8.6432986094782567E-3</v>
      </c>
      <c r="F2555" s="9">
        <f t="shared" si="118"/>
        <v>8.8713903642446107E-2</v>
      </c>
      <c r="G2555" s="9">
        <f t="shared" si="119"/>
        <v>2.7357840794915982E-2</v>
      </c>
    </row>
    <row r="2556" spans="1:7" x14ac:dyDescent="0.2">
      <c r="A2556" s="12">
        <v>40847</v>
      </c>
      <c r="B2556" s="9">
        <v>2112.3000000000002</v>
      </c>
      <c r="C2556" s="9">
        <v>2027.15</v>
      </c>
      <c r="D2556" s="9">
        <v>2027.15</v>
      </c>
      <c r="E2556" s="9">
        <f t="shared" si="117"/>
        <v>-4.7324449230077774E-2</v>
      </c>
      <c r="F2556" s="9">
        <f t="shared" si="118"/>
        <v>7.2591645188256268E-2</v>
      </c>
      <c r="G2556" s="9">
        <f t="shared" si="119"/>
        <v>2.8197460091760201E-2</v>
      </c>
    </row>
    <row r="2557" spans="1:7" x14ac:dyDescent="0.2">
      <c r="A2557" s="12">
        <v>40848</v>
      </c>
      <c r="B2557" s="9">
        <v>1985.69</v>
      </c>
      <c r="C2557" s="9">
        <v>1925.9</v>
      </c>
      <c r="D2557" s="9">
        <v>1949.49</v>
      </c>
      <c r="E2557" s="9">
        <f t="shared" si="117"/>
        <v>-3.9063065811635794E-2</v>
      </c>
      <c r="F2557" s="9">
        <f t="shared" si="118"/>
        <v>1.421189524027267E-2</v>
      </c>
      <c r="G2557" s="9">
        <f t="shared" si="119"/>
        <v>2.899435956081161E-2</v>
      </c>
    </row>
    <row r="2558" spans="1:7" x14ac:dyDescent="0.2">
      <c r="A2558" s="12">
        <v>40849</v>
      </c>
      <c r="B2558" s="9">
        <v>1988.5</v>
      </c>
      <c r="C2558" s="9">
        <v>1924.87</v>
      </c>
      <c r="D2558" s="9">
        <v>1982.32</v>
      </c>
      <c r="E2558" s="9">
        <f t="shared" si="117"/>
        <v>1.670007604638089E-2</v>
      </c>
      <c r="F2558" s="9">
        <f t="shared" si="118"/>
        <v>4.3915115907222371E-2</v>
      </c>
      <c r="G2558" s="9">
        <f t="shared" si="119"/>
        <v>2.9025418404150839E-2</v>
      </c>
    </row>
    <row r="2559" spans="1:7" x14ac:dyDescent="0.2">
      <c r="A2559" s="12">
        <v>40850</v>
      </c>
      <c r="B2559" s="9">
        <v>2048.38</v>
      </c>
      <c r="C2559" s="9">
        <v>1936.73</v>
      </c>
      <c r="D2559" s="9">
        <v>2041.71</v>
      </c>
      <c r="E2559" s="9">
        <f t="shared" si="117"/>
        <v>2.9519816073890506E-2</v>
      </c>
      <c r="F2559" s="9">
        <f t="shared" si="118"/>
        <v>0.13044979713292923</v>
      </c>
      <c r="G2559" s="9">
        <f t="shared" si="119"/>
        <v>2.7259635086487374E-2</v>
      </c>
    </row>
    <row r="2560" spans="1:7" x14ac:dyDescent="0.2">
      <c r="A2560" s="12">
        <v>40851</v>
      </c>
      <c r="B2560" s="9">
        <v>2061.98</v>
      </c>
      <c r="C2560" s="9">
        <v>1983.79</v>
      </c>
      <c r="D2560" s="9">
        <v>1995.92</v>
      </c>
      <c r="E2560" s="9">
        <f t="shared" si="117"/>
        <v>-2.268259510152008E-2</v>
      </c>
      <c r="F2560" s="9">
        <f t="shared" si="118"/>
        <v>0.11921635925970808</v>
      </c>
      <c r="G2560" s="9">
        <f t="shared" si="119"/>
        <v>2.7559620224684143E-2</v>
      </c>
    </row>
    <row r="2561" spans="1:7" x14ac:dyDescent="0.2">
      <c r="A2561" s="12">
        <v>40854</v>
      </c>
      <c r="B2561" s="9">
        <v>2032.93</v>
      </c>
      <c r="C2561" s="9">
        <v>1965.85</v>
      </c>
      <c r="D2561" s="9">
        <v>2004.2</v>
      </c>
      <c r="E2561" s="9">
        <f t="shared" si="117"/>
        <v>4.1398817163708548E-3</v>
      </c>
      <c r="F2561" s="9">
        <f t="shared" si="118"/>
        <v>0.11127670563951682</v>
      </c>
      <c r="G2561" s="9">
        <f t="shared" si="119"/>
        <v>2.7517187079024688E-2</v>
      </c>
    </row>
    <row r="2562" spans="1:7" x14ac:dyDescent="0.2">
      <c r="A2562" s="12">
        <v>40855</v>
      </c>
      <c r="B2562" s="9">
        <v>2044.02</v>
      </c>
      <c r="C2562" s="9">
        <v>2005.79</v>
      </c>
      <c r="D2562" s="9">
        <v>2010.4</v>
      </c>
      <c r="E2562" s="9">
        <f t="shared" si="117"/>
        <v>3.0887286051540386E-3</v>
      </c>
      <c r="F2562" s="9">
        <f t="shared" si="118"/>
        <v>6.024479443750444E-2</v>
      </c>
      <c r="G2562" s="9">
        <f t="shared" si="119"/>
        <v>2.5818289125376204E-2</v>
      </c>
    </row>
    <row r="2563" spans="1:7" x14ac:dyDescent="0.2">
      <c r="A2563" s="12">
        <v>40856</v>
      </c>
      <c r="B2563" s="9">
        <v>2038.45</v>
      </c>
      <c r="C2563" s="9">
        <v>1944.26</v>
      </c>
      <c r="D2563" s="9">
        <v>1960.5</v>
      </c>
      <c r="E2563" s="9">
        <f t="shared" si="117"/>
        <v>-2.5134164496996146E-2</v>
      </c>
      <c r="F2563" s="9">
        <f t="shared" si="118"/>
        <v>4.910237816711354E-2</v>
      </c>
      <c r="G2563" s="9">
        <f t="shared" si="119"/>
        <v>2.6134603703335219E-2</v>
      </c>
    </row>
    <row r="2564" spans="1:7" x14ac:dyDescent="0.2">
      <c r="A2564" s="12">
        <v>40857</v>
      </c>
      <c r="B2564" s="9">
        <v>1989.71</v>
      </c>
      <c r="C2564" s="9">
        <v>1919.83</v>
      </c>
      <c r="D2564" s="9">
        <v>1943.92</v>
      </c>
      <c r="E2564" s="9">
        <f t="shared" ref="E2564:E2627" si="120">LN(D2564/D2563)</f>
        <v>-8.4929898221540283E-3</v>
      </c>
      <c r="F2564" s="9">
        <f t="shared" si="118"/>
        <v>2.4775566975474703E-2</v>
      </c>
      <c r="G2564" s="9">
        <f t="shared" si="119"/>
        <v>2.605619652881359E-2</v>
      </c>
    </row>
    <row r="2565" spans="1:7" x14ac:dyDescent="0.2">
      <c r="A2565" s="12">
        <v>40858</v>
      </c>
      <c r="B2565" s="9">
        <v>2017.19</v>
      </c>
      <c r="C2565" s="9">
        <v>1944.45</v>
      </c>
      <c r="D2565" s="9">
        <v>2015.22</v>
      </c>
      <c r="E2565" s="9">
        <f t="shared" si="120"/>
        <v>3.6021817652163259E-2</v>
      </c>
      <c r="F2565" s="9">
        <f t="shared" si="118"/>
        <v>8.3809099962801115E-2</v>
      </c>
      <c r="G2565" s="9">
        <f t="shared" si="119"/>
        <v>2.6420470796362411E-2</v>
      </c>
    </row>
    <row r="2566" spans="1:7" x14ac:dyDescent="0.2">
      <c r="A2566" s="12">
        <v>40861</v>
      </c>
      <c r="B2566" s="9">
        <v>2045.19</v>
      </c>
      <c r="C2566" s="9">
        <v>1980.21</v>
      </c>
      <c r="D2566" s="9">
        <v>1989.8</v>
      </c>
      <c r="E2566" s="9">
        <f t="shared" si="120"/>
        <v>-1.2694239407136178E-2</v>
      </c>
      <c r="F2566" s="9">
        <f t="shared" si="118"/>
        <v>7.6042777574185885E-2</v>
      </c>
      <c r="G2566" s="9">
        <f t="shared" si="119"/>
        <v>2.6536532024309289E-2</v>
      </c>
    </row>
    <row r="2567" spans="1:7" x14ac:dyDescent="0.2">
      <c r="A2567" s="12">
        <v>40862</v>
      </c>
      <c r="B2567" s="9">
        <v>1989.5</v>
      </c>
      <c r="C2567" s="9">
        <v>1945.23</v>
      </c>
      <c r="D2567" s="9">
        <v>1967.74</v>
      </c>
      <c r="E2567" s="9">
        <f t="shared" si="120"/>
        <v>-1.1148455091998388E-2</v>
      </c>
      <c r="F2567" s="9">
        <f t="shared" si="118"/>
        <v>0.11233920681549282</v>
      </c>
      <c r="G2567" s="9">
        <f t="shared" si="119"/>
        <v>2.4959822644626397E-2</v>
      </c>
    </row>
    <row r="2568" spans="1:7" x14ac:dyDescent="0.2">
      <c r="A2568" s="12">
        <v>40863</v>
      </c>
      <c r="B2568" s="9">
        <v>1990.13</v>
      </c>
      <c r="C2568" s="9">
        <v>1948.98</v>
      </c>
      <c r="D2568" s="9">
        <v>1963.61</v>
      </c>
      <c r="E2568" s="9">
        <f t="shared" si="120"/>
        <v>-2.1010602054295988E-3</v>
      </c>
      <c r="F2568" s="9">
        <f t="shared" si="118"/>
        <v>7.2081971585554849E-2</v>
      </c>
      <c r="G2568" s="9">
        <f t="shared" si="119"/>
        <v>2.4113801051875348E-2</v>
      </c>
    </row>
    <row r="2569" spans="1:7" x14ac:dyDescent="0.2">
      <c r="A2569" s="12">
        <v>40864</v>
      </c>
      <c r="B2569" s="9">
        <v>1963.96</v>
      </c>
      <c r="C2569" s="9">
        <v>1920.06</v>
      </c>
      <c r="D2569" s="9">
        <v>1926.62</v>
      </c>
      <c r="E2569" s="9">
        <f t="shared" si="120"/>
        <v>-1.9017443606149237E-2</v>
      </c>
      <c r="F2569" s="9">
        <f t="shared" si="118"/>
        <v>1.7884318113279469E-2</v>
      </c>
      <c r="G2569" s="9">
        <f t="shared" si="119"/>
        <v>2.3598169631517094E-2</v>
      </c>
    </row>
    <row r="2570" spans="1:7" x14ac:dyDescent="0.2">
      <c r="A2570" s="12">
        <v>40865</v>
      </c>
      <c r="B2570" s="9">
        <v>1920.16</v>
      </c>
      <c r="C2570" s="9">
        <v>1893.96</v>
      </c>
      <c r="D2570" s="9">
        <v>1898.44</v>
      </c>
      <c r="E2570" s="9">
        <f t="shared" si="120"/>
        <v>-1.4734675977052778E-2</v>
      </c>
      <c r="F2570" s="9">
        <f t="shared" si="118"/>
        <v>6.1608238783028967E-3</v>
      </c>
      <c r="G2570" s="9">
        <f t="shared" si="119"/>
        <v>2.3756505160336672E-2</v>
      </c>
    </row>
    <row r="2571" spans="1:7" x14ac:dyDescent="0.2">
      <c r="A2571" s="12">
        <v>40868</v>
      </c>
      <c r="B2571" s="9">
        <v>1897.79</v>
      </c>
      <c r="C2571" s="9">
        <v>1820.28</v>
      </c>
      <c r="D2571" s="9">
        <v>1821.95</v>
      </c>
      <c r="E2571" s="9">
        <f t="shared" si="120"/>
        <v>-4.1125140202295185E-2</v>
      </c>
      <c r="F2571" s="9">
        <f t="shared" si="118"/>
        <v>-6.4680872211575993E-2</v>
      </c>
      <c r="G2571" s="9">
        <f t="shared" si="119"/>
        <v>2.423789381362209E-2</v>
      </c>
    </row>
    <row r="2572" spans="1:7" x14ac:dyDescent="0.2">
      <c r="A2572" s="12">
        <v>40869</v>
      </c>
      <c r="B2572" s="9">
        <v>1843.46</v>
      </c>
      <c r="C2572" s="9">
        <v>1805.94</v>
      </c>
      <c r="D2572" s="9">
        <v>1811.2</v>
      </c>
      <c r="E2572" s="9">
        <f t="shared" si="120"/>
        <v>-5.9177470634702439E-3</v>
      </c>
      <c r="F2572" s="9">
        <f t="shared" si="118"/>
        <v>-7.1981628027467937E-2</v>
      </c>
      <c r="G2572" s="9">
        <f t="shared" si="119"/>
        <v>2.423778642405779E-2</v>
      </c>
    </row>
    <row r="2573" spans="1:7" x14ac:dyDescent="0.2">
      <c r="A2573" s="12">
        <v>40870</v>
      </c>
      <c r="B2573" s="9">
        <v>1829.59</v>
      </c>
      <c r="C2573" s="9">
        <v>1781.26</v>
      </c>
      <c r="D2573" s="9">
        <v>1783.32</v>
      </c>
      <c r="E2573" s="9">
        <f t="shared" si="120"/>
        <v>-1.5512813450385519E-2</v>
      </c>
      <c r="F2573" s="9">
        <f t="shared" si="118"/>
        <v>-0.113554762908652</v>
      </c>
      <c r="G2573" s="9">
        <f t="shared" si="119"/>
        <v>2.3737816823828219E-2</v>
      </c>
    </row>
    <row r="2574" spans="1:7" x14ac:dyDescent="0.2">
      <c r="A2574" s="12">
        <v>40871</v>
      </c>
      <c r="B2574" s="9">
        <v>1828.1</v>
      </c>
      <c r="C2574" s="9">
        <v>1776.71</v>
      </c>
      <c r="D2574" s="9">
        <v>1802.06</v>
      </c>
      <c r="E2574" s="9">
        <f t="shared" si="120"/>
        <v>1.0453659392896995E-2</v>
      </c>
      <c r="F2574" s="9">
        <f t="shared" si="118"/>
        <v>-9.486311666359204E-2</v>
      </c>
      <c r="G2574" s="9">
        <f t="shared" si="119"/>
        <v>2.3861890567701331E-2</v>
      </c>
    </row>
    <row r="2575" spans="1:7" x14ac:dyDescent="0.2">
      <c r="A2575" s="12">
        <v>40872</v>
      </c>
      <c r="B2575" s="9">
        <v>1817.61</v>
      </c>
      <c r="C2575" s="9">
        <v>1773.01</v>
      </c>
      <c r="D2575" s="9">
        <v>1801.32</v>
      </c>
      <c r="E2575" s="9">
        <f t="shared" si="120"/>
        <v>-4.1072549129032447E-4</v>
      </c>
      <c r="F2575" s="9">
        <f t="shared" si="118"/>
        <v>-0.1079668690140452</v>
      </c>
      <c r="G2575" s="9">
        <f t="shared" si="119"/>
        <v>2.3680900294278991E-2</v>
      </c>
    </row>
    <row r="2576" spans="1:7" x14ac:dyDescent="0.2">
      <c r="A2576" s="12">
        <v>40875</v>
      </c>
      <c r="B2576" s="9">
        <v>1919.49</v>
      </c>
      <c r="C2576" s="9">
        <v>1823.97</v>
      </c>
      <c r="D2576" s="9">
        <v>1916.18</v>
      </c>
      <c r="E2576" s="9">
        <f t="shared" si="120"/>
        <v>6.181389137834855E-2</v>
      </c>
      <c r="F2576" s="9">
        <f t="shared" si="118"/>
        <v>-1.1880012933723141E-2</v>
      </c>
      <c r="G2576" s="9">
        <f t="shared" si="119"/>
        <v>2.5792904788077307E-2</v>
      </c>
    </row>
    <row r="2577" spans="1:7" x14ac:dyDescent="0.2">
      <c r="A2577" s="12">
        <v>40876</v>
      </c>
      <c r="B2577" s="9">
        <v>1934.24</v>
      </c>
      <c r="C2577" s="9">
        <v>1886.58</v>
      </c>
      <c r="D2577" s="9">
        <v>1921.91</v>
      </c>
      <c r="E2577" s="9">
        <f t="shared" si="120"/>
        <v>2.9858623727376907E-3</v>
      </c>
      <c r="F2577" s="9">
        <f t="shared" si="118"/>
        <v>-1.5078958165472745E-2</v>
      </c>
      <c r="G2577" s="9">
        <f t="shared" si="119"/>
        <v>2.5771364112309104E-2</v>
      </c>
    </row>
    <row r="2578" spans="1:7" x14ac:dyDescent="0.2">
      <c r="A2578" s="12">
        <v>40877</v>
      </c>
      <c r="B2578" s="9">
        <v>2002.08</v>
      </c>
      <c r="C2578" s="9">
        <v>1885.33</v>
      </c>
      <c r="D2578" s="9">
        <v>1997.73</v>
      </c>
      <c r="E2578" s="9">
        <f t="shared" si="120"/>
        <v>3.8692052730617363E-2</v>
      </c>
      <c r="F2578" s="9">
        <f t="shared" si="118"/>
        <v>2.9906206815233399E-2</v>
      </c>
      <c r="G2578" s="9">
        <f t="shared" si="119"/>
        <v>2.671430662804122E-2</v>
      </c>
    </row>
    <row r="2579" spans="1:7" x14ac:dyDescent="0.2">
      <c r="A2579" s="12">
        <v>40878</v>
      </c>
      <c r="B2579" s="9">
        <v>2002.53</v>
      </c>
      <c r="C2579" s="9">
        <v>1963.2</v>
      </c>
      <c r="D2579" s="9">
        <v>1971.16</v>
      </c>
      <c r="E2579" s="9">
        <f t="shared" si="120"/>
        <v>-1.338933401626982E-2</v>
      </c>
      <c r="F2579" s="9">
        <f t="shared" si="118"/>
        <v>2.8497351534299109E-2</v>
      </c>
      <c r="G2579" s="9">
        <f t="shared" si="119"/>
        <v>2.6739133347628067E-2</v>
      </c>
    </row>
    <row r="2580" spans="1:7" x14ac:dyDescent="0.2">
      <c r="A2580" s="12">
        <v>40879</v>
      </c>
      <c r="B2580" s="9">
        <v>2009.25</v>
      </c>
      <c r="C2580" s="9">
        <v>1967.8</v>
      </c>
      <c r="D2580" s="9">
        <v>1974.35</v>
      </c>
      <c r="E2580" s="9">
        <f t="shared" si="120"/>
        <v>1.6170283157794475E-3</v>
      </c>
      <c r="F2580" s="9">
        <f t="shared" si="118"/>
        <v>5.5259141787649679E-3</v>
      </c>
      <c r="G2580" s="9">
        <f t="shared" si="119"/>
        <v>2.636516154815876E-2</v>
      </c>
    </row>
    <row r="2581" spans="1:7" x14ac:dyDescent="0.2">
      <c r="A2581" s="12">
        <v>40882</v>
      </c>
      <c r="B2581" s="9">
        <v>2012.41</v>
      </c>
      <c r="C2581" s="9">
        <v>1990.31</v>
      </c>
      <c r="D2581" s="9">
        <v>2007.01</v>
      </c>
      <c r="E2581" s="9">
        <f t="shared" si="120"/>
        <v>1.6406822103663326E-2</v>
      </c>
      <c r="F2581" s="9">
        <f t="shared" si="118"/>
        <v>-1.0265956772834118E-2</v>
      </c>
      <c r="G2581" s="9">
        <f t="shared" si="119"/>
        <v>2.5856676186770306E-2</v>
      </c>
    </row>
    <row r="2582" spans="1:7" x14ac:dyDescent="0.2">
      <c r="A2582" s="12">
        <v>40884</v>
      </c>
      <c r="B2582" s="9">
        <v>2023.26</v>
      </c>
      <c r="C2582" s="9">
        <v>1939.72</v>
      </c>
      <c r="D2582" s="9">
        <v>1965.98</v>
      </c>
      <c r="E2582" s="9">
        <f t="shared" si="120"/>
        <v>-2.0655203629574105E-2</v>
      </c>
      <c r="F2582" s="9">
        <f t="shared" si="118"/>
        <v>-2.6457937451661605E-2</v>
      </c>
      <c r="G2582" s="9">
        <f t="shared" si="119"/>
        <v>2.6113386308939463E-2</v>
      </c>
    </row>
    <row r="2583" spans="1:7" x14ac:dyDescent="0.2">
      <c r="A2583" s="12">
        <v>40885</v>
      </c>
      <c r="B2583" s="9">
        <v>1981</v>
      </c>
      <c r="C2583" s="9">
        <v>1902.15</v>
      </c>
      <c r="D2583" s="9">
        <v>1902.15</v>
      </c>
      <c r="E2583" s="9">
        <f t="shared" si="120"/>
        <v>-3.3006023366369173E-2</v>
      </c>
      <c r="F2583" s="9">
        <f t="shared" si="118"/>
        <v>-6.3976499026434874E-2</v>
      </c>
      <c r="G2583" s="9">
        <f t="shared" si="119"/>
        <v>2.6737094836987722E-2</v>
      </c>
    </row>
    <row r="2584" spans="1:7" x14ac:dyDescent="0.2">
      <c r="A2584" s="12">
        <v>40886</v>
      </c>
      <c r="B2584" s="9">
        <v>1945.72</v>
      </c>
      <c r="C2584" s="9">
        <v>1886.53</v>
      </c>
      <c r="D2584" s="9">
        <v>1919.58</v>
      </c>
      <c r="E2584" s="9">
        <f t="shared" si="120"/>
        <v>9.1215867435379457E-3</v>
      </c>
      <c r="F2584" s="9">
        <f t="shared" si="118"/>
        <v>-0.1104922014477417</v>
      </c>
      <c r="G2584" s="9">
        <f t="shared" si="119"/>
        <v>2.4528992390669795E-2</v>
      </c>
    </row>
    <row r="2585" spans="1:7" x14ac:dyDescent="0.2">
      <c r="A2585" s="12">
        <v>40889</v>
      </c>
      <c r="B2585" s="9">
        <v>1920.16</v>
      </c>
      <c r="C2585" s="9">
        <v>1858.97</v>
      </c>
      <c r="D2585" s="9">
        <v>1860.94</v>
      </c>
      <c r="E2585" s="9">
        <f t="shared" si="120"/>
        <v>-3.1024675700838833E-2</v>
      </c>
      <c r="F2585" s="9">
        <f t="shared" si="118"/>
        <v>-0.13287357853910226</v>
      </c>
      <c r="G2585" s="9">
        <f t="shared" si="119"/>
        <v>2.502049808741897E-2</v>
      </c>
    </row>
    <row r="2586" spans="1:7" x14ac:dyDescent="0.2">
      <c r="A2586" s="12">
        <v>40890</v>
      </c>
      <c r="B2586" s="9">
        <v>1888.72</v>
      </c>
      <c r="C2586" s="9">
        <v>1838.9</v>
      </c>
      <c r="D2586" s="9">
        <v>1866.3</v>
      </c>
      <c r="E2586" s="9">
        <f t="shared" si="120"/>
        <v>2.8761247973664869E-3</v>
      </c>
      <c r="F2586" s="9">
        <f t="shared" si="118"/>
        <v>-8.2673004511658252E-2</v>
      </c>
      <c r="G2586" s="9">
        <f t="shared" si="119"/>
        <v>2.3696419355063711E-2</v>
      </c>
    </row>
    <row r="2587" spans="1:7" x14ac:dyDescent="0.2">
      <c r="A2587" s="12">
        <v>40891</v>
      </c>
      <c r="B2587" s="9">
        <v>1873.55</v>
      </c>
      <c r="C2587" s="9">
        <v>1814.87</v>
      </c>
      <c r="D2587" s="9">
        <v>1816.59</v>
      </c>
      <c r="E2587" s="9">
        <f t="shared" si="120"/>
        <v>-2.6996743925288665E-2</v>
      </c>
      <c r="F2587" s="9">
        <f t="shared" si="118"/>
        <v>-7.0606682625310974E-2</v>
      </c>
      <c r="G2587" s="9">
        <f t="shared" si="119"/>
        <v>2.3155129188264473E-2</v>
      </c>
    </row>
    <row r="2588" spans="1:7" x14ac:dyDescent="0.2">
      <c r="A2588" s="12">
        <v>40892</v>
      </c>
      <c r="B2588" s="9">
        <v>1844.88</v>
      </c>
      <c r="C2588" s="9">
        <v>1811.04</v>
      </c>
      <c r="D2588" s="9">
        <v>1830.59</v>
      </c>
      <c r="E2588" s="9">
        <f t="shared" si="120"/>
        <v>7.6772019821346946E-3</v>
      </c>
      <c r="F2588" s="9">
        <f t="shared" si="118"/>
        <v>-7.9629556689557207E-2</v>
      </c>
      <c r="G2588" s="9">
        <f t="shared" si="119"/>
        <v>2.2956857357398341E-2</v>
      </c>
    </row>
    <row r="2589" spans="1:7" x14ac:dyDescent="0.2">
      <c r="A2589" s="12">
        <v>40893</v>
      </c>
      <c r="B2589" s="9">
        <v>1841.41</v>
      </c>
      <c r="C2589" s="9">
        <v>1813.99</v>
      </c>
      <c r="D2589" s="9">
        <v>1822.96</v>
      </c>
      <c r="E2589" s="9">
        <f t="shared" si="120"/>
        <v>-4.1767656620795082E-3</v>
      </c>
      <c r="F2589" s="9">
        <f t="shared" si="118"/>
        <v>-0.11332613842552731</v>
      </c>
      <c r="G2589" s="9">
        <f t="shared" si="119"/>
        <v>2.2138121236108223E-2</v>
      </c>
    </row>
    <row r="2590" spans="1:7" x14ac:dyDescent="0.2">
      <c r="A2590" s="12">
        <v>40896</v>
      </c>
      <c r="B2590" s="9">
        <v>1840.33</v>
      </c>
      <c r="C2590" s="9">
        <v>1804.65</v>
      </c>
      <c r="D2590" s="9">
        <v>1810.2</v>
      </c>
      <c r="E2590" s="9">
        <f t="shared" si="120"/>
        <v>-7.0242171907799814E-3</v>
      </c>
      <c r="F2590" s="9">
        <f t="shared" si="118"/>
        <v>-9.766776051478715E-2</v>
      </c>
      <c r="G2590" s="9">
        <f t="shared" si="119"/>
        <v>2.1859869433279E-2</v>
      </c>
    </row>
    <row r="2591" spans="1:7" x14ac:dyDescent="0.2">
      <c r="A2591" s="12">
        <v>40897</v>
      </c>
      <c r="B2591" s="9">
        <v>1885.1</v>
      </c>
      <c r="C2591" s="9">
        <v>1803.19</v>
      </c>
      <c r="D2591" s="9">
        <v>1884.55</v>
      </c>
      <c r="E2591" s="9">
        <f t="shared" si="120"/>
        <v>4.0251729198813639E-2</v>
      </c>
      <c r="F2591" s="9">
        <f t="shared" si="118"/>
        <v>-6.1555913032344436E-2</v>
      </c>
      <c r="G2591" s="9">
        <f t="shared" si="119"/>
        <v>2.3232325854925327E-2</v>
      </c>
    </row>
    <row r="2592" spans="1:7" x14ac:dyDescent="0.2">
      <c r="A2592" s="12">
        <v>40898</v>
      </c>
      <c r="B2592" s="9">
        <v>1921.35</v>
      </c>
      <c r="C2592" s="9">
        <v>1862.04</v>
      </c>
      <c r="D2592" s="9">
        <v>1871.74</v>
      </c>
      <c r="E2592" s="9">
        <f t="shared" si="120"/>
        <v>-6.8205860891904484E-3</v>
      </c>
      <c r="F2592" s="9">
        <f t="shared" si="118"/>
        <v>-7.146522772668884E-2</v>
      </c>
      <c r="G2592" s="9">
        <f t="shared" si="119"/>
        <v>2.3227161453408068E-2</v>
      </c>
    </row>
    <row r="2593" spans="1:7" x14ac:dyDescent="0.2">
      <c r="A2593" s="12">
        <v>40899</v>
      </c>
      <c r="B2593" s="9">
        <v>1901.68</v>
      </c>
      <c r="C2593" s="9">
        <v>1877.44</v>
      </c>
      <c r="D2593" s="9">
        <v>1901.68</v>
      </c>
      <c r="E2593" s="9">
        <f t="shared" si="120"/>
        <v>1.5869226494307442E-2</v>
      </c>
      <c r="F2593" s="9">
        <f t="shared" ref="F2593:F2656" si="121">LN(D2593/D2563)</f>
        <v>-3.0461836735385221E-2</v>
      </c>
      <c r="G2593" s="9">
        <f t="shared" ref="G2593:G2656" si="122">STDEV(E2564:E2593)</f>
        <v>2.3047887040128563E-2</v>
      </c>
    </row>
    <row r="2594" spans="1:7" x14ac:dyDescent="0.2">
      <c r="A2594" s="12">
        <v>40900</v>
      </c>
      <c r="B2594" s="9">
        <v>1924.01</v>
      </c>
      <c r="C2594" s="9">
        <v>1909.18</v>
      </c>
      <c r="D2594" s="9">
        <v>1920.2</v>
      </c>
      <c r="E2594" s="9">
        <f t="shared" si="120"/>
        <v>9.6916412665222235E-3</v>
      </c>
      <c r="F2594" s="9">
        <f t="shared" si="121"/>
        <v>-1.2277205646708894E-2</v>
      </c>
      <c r="G2594" s="9">
        <f t="shared" si="122"/>
        <v>2.3083544896769777E-2</v>
      </c>
    </row>
    <row r="2595" spans="1:7" x14ac:dyDescent="0.2">
      <c r="A2595" s="12">
        <v>40904</v>
      </c>
      <c r="B2595" s="9">
        <v>1927.56</v>
      </c>
      <c r="C2595" s="9">
        <v>1903.11</v>
      </c>
      <c r="D2595" s="9">
        <v>1908.61</v>
      </c>
      <c r="E2595" s="9">
        <f t="shared" si="120"/>
        <v>-6.0541188515725632E-3</v>
      </c>
      <c r="F2595" s="9">
        <f t="shared" si="121"/>
        <v>-5.4353142150444692E-2</v>
      </c>
      <c r="G2595" s="9">
        <f t="shared" si="122"/>
        <v>2.2048755669297117E-2</v>
      </c>
    </row>
    <row r="2596" spans="1:7" x14ac:dyDescent="0.2">
      <c r="A2596" s="12">
        <v>40905</v>
      </c>
      <c r="B2596" s="9">
        <v>1922.88</v>
      </c>
      <c r="C2596" s="9">
        <v>1892.6</v>
      </c>
      <c r="D2596" s="9">
        <v>1899.55</v>
      </c>
      <c r="E2596" s="9">
        <f t="shared" si="120"/>
        <v>-4.7582124142028807E-3</v>
      </c>
      <c r="F2596" s="9">
        <f t="shared" si="121"/>
        <v>-4.6417115157511381E-2</v>
      </c>
      <c r="G2596" s="9">
        <f t="shared" si="122"/>
        <v>2.1961121779302678E-2</v>
      </c>
    </row>
    <row r="2597" spans="1:7" x14ac:dyDescent="0.2">
      <c r="A2597" s="12">
        <v>40906</v>
      </c>
      <c r="B2597" s="9">
        <v>1916.41</v>
      </c>
      <c r="C2597" s="9">
        <v>1893.09</v>
      </c>
      <c r="D2597" s="9">
        <v>1916.41</v>
      </c>
      <c r="E2597" s="9">
        <f t="shared" si="120"/>
        <v>8.8366281149081394E-3</v>
      </c>
      <c r="F2597" s="9">
        <f t="shared" si="121"/>
        <v>-2.6432031950604905E-2</v>
      </c>
      <c r="G2597" s="9">
        <f t="shared" si="122"/>
        <v>2.1962949244053037E-2</v>
      </c>
    </row>
    <row r="2598" spans="1:7" x14ac:dyDescent="0.2">
      <c r="A2598" s="12">
        <v>40907</v>
      </c>
      <c r="B2598" s="9">
        <v>1942.06</v>
      </c>
      <c r="C2598" s="9">
        <v>1910.42</v>
      </c>
      <c r="D2598" s="9">
        <v>1942.06</v>
      </c>
      <c r="E2598" s="9">
        <f t="shared" si="120"/>
        <v>1.3295621244865219E-2</v>
      </c>
      <c r="F2598" s="9">
        <f t="shared" si="121"/>
        <v>-1.103535050031006E-2</v>
      </c>
      <c r="G2598" s="9">
        <f t="shared" si="122"/>
        <v>2.211283856094845E-2</v>
      </c>
    </row>
    <row r="2599" spans="1:7" x14ac:dyDescent="0.2">
      <c r="A2599" s="12">
        <v>40910</v>
      </c>
      <c r="B2599" s="9">
        <v>1996.57</v>
      </c>
      <c r="C2599" s="9">
        <v>1943.04</v>
      </c>
      <c r="D2599" s="9">
        <v>1991.33</v>
      </c>
      <c r="E2599" s="9">
        <f t="shared" si="120"/>
        <v>2.5053491828701736E-2</v>
      </c>
      <c r="F2599" s="9">
        <f t="shared" si="121"/>
        <v>3.3035584934540972E-2</v>
      </c>
      <c r="G2599" s="9">
        <f t="shared" si="122"/>
        <v>2.2294306145350284E-2</v>
      </c>
    </row>
    <row r="2600" spans="1:7" x14ac:dyDescent="0.2">
      <c r="A2600" s="12">
        <v>40911</v>
      </c>
      <c r="B2600" s="9">
        <v>2022.45</v>
      </c>
      <c r="C2600" s="9">
        <v>1985</v>
      </c>
      <c r="D2600" s="9">
        <v>2022.45</v>
      </c>
      <c r="E2600" s="9">
        <f t="shared" si="120"/>
        <v>1.5506890561970341E-2</v>
      </c>
      <c r="F2600" s="9">
        <f t="shared" si="121"/>
        <v>6.3277151473563997E-2</v>
      </c>
      <c r="G2600" s="9">
        <f t="shared" si="122"/>
        <v>2.223720958971695E-2</v>
      </c>
    </row>
    <row r="2601" spans="1:7" x14ac:dyDescent="0.2">
      <c r="A2601" s="12">
        <v>40912</v>
      </c>
      <c r="B2601" s="9">
        <v>2018.46</v>
      </c>
      <c r="C2601" s="9">
        <v>1984.59</v>
      </c>
      <c r="D2601" s="9">
        <v>1994.36</v>
      </c>
      <c r="E2601" s="9">
        <f t="shared" si="120"/>
        <v>-1.3986450897212947E-2</v>
      </c>
      <c r="F2601" s="9">
        <f t="shared" si="121"/>
        <v>9.0415840778646353E-2</v>
      </c>
      <c r="G2601" s="9">
        <f t="shared" si="122"/>
        <v>2.0931432113751189E-2</v>
      </c>
    </row>
    <row r="2602" spans="1:7" x14ac:dyDescent="0.2">
      <c r="A2602" s="12">
        <v>40913</v>
      </c>
      <c r="B2602" s="9">
        <v>2010.78</v>
      </c>
      <c r="C2602" s="9">
        <v>1977.96</v>
      </c>
      <c r="D2602" s="9">
        <v>1988.87</v>
      </c>
      <c r="E2602" s="9">
        <f t="shared" si="120"/>
        <v>-2.7565586101561458E-3</v>
      </c>
      <c r="F2602" s="9">
        <f t="shared" si="121"/>
        <v>9.357702923196054E-2</v>
      </c>
      <c r="G2602" s="9">
        <f t="shared" si="122"/>
        <v>2.0892839619404854E-2</v>
      </c>
    </row>
    <row r="2603" spans="1:7" x14ac:dyDescent="0.2">
      <c r="A2603" s="12">
        <v>40917</v>
      </c>
      <c r="B2603" s="9">
        <v>2006.58</v>
      </c>
      <c r="C2603" s="9">
        <v>1970.93</v>
      </c>
      <c r="D2603" s="9">
        <v>1975.34</v>
      </c>
      <c r="E2603" s="9">
        <f t="shared" si="120"/>
        <v>-6.8261028233055788E-3</v>
      </c>
      <c r="F2603" s="9">
        <f t="shared" si="121"/>
        <v>0.1022637398590403</v>
      </c>
      <c r="G2603" s="9">
        <f t="shared" si="122"/>
        <v>2.0684871118468253E-2</v>
      </c>
    </row>
    <row r="2604" spans="1:7" x14ac:dyDescent="0.2">
      <c r="A2604" s="12">
        <v>40918</v>
      </c>
      <c r="B2604" s="9">
        <v>2031.11</v>
      </c>
      <c r="C2604" s="9">
        <v>1989.78</v>
      </c>
      <c r="D2604" s="9">
        <v>2031.11</v>
      </c>
      <c r="E2604" s="9">
        <f t="shared" si="120"/>
        <v>2.7841906208301317E-2</v>
      </c>
      <c r="F2604" s="9">
        <f t="shared" si="121"/>
        <v>0.11965198667444479</v>
      </c>
      <c r="G2604" s="9">
        <f t="shared" si="122"/>
        <v>2.1127952940490045E-2</v>
      </c>
    </row>
    <row r="2605" spans="1:7" x14ac:dyDescent="0.2">
      <c r="A2605" s="12">
        <v>40919</v>
      </c>
      <c r="B2605" s="9">
        <v>2049.63</v>
      </c>
      <c r="C2605" s="9">
        <v>2007.45</v>
      </c>
      <c r="D2605" s="9">
        <v>2012.84</v>
      </c>
      <c r="E2605" s="9">
        <f t="shared" si="120"/>
        <v>-9.0357815031700695E-3</v>
      </c>
      <c r="F2605" s="9">
        <f t="shared" si="121"/>
        <v>0.11102693066256503</v>
      </c>
      <c r="G2605" s="9">
        <f t="shared" si="122"/>
        <v>2.1248219998132024E-2</v>
      </c>
    </row>
    <row r="2606" spans="1:7" x14ac:dyDescent="0.2">
      <c r="A2606" s="12">
        <v>40920</v>
      </c>
      <c r="B2606" s="9">
        <v>2055.35</v>
      </c>
      <c r="C2606" s="9">
        <v>2015.21</v>
      </c>
      <c r="D2606" s="9">
        <v>2025.75</v>
      </c>
      <c r="E2606" s="9">
        <f t="shared" si="120"/>
        <v>6.3933422181846073E-3</v>
      </c>
      <c r="F2606" s="9">
        <f t="shared" si="121"/>
        <v>5.5606381502401124E-2</v>
      </c>
      <c r="G2606" s="9">
        <f t="shared" si="122"/>
        <v>1.8214116086205545E-2</v>
      </c>
    </row>
    <row r="2607" spans="1:7" x14ac:dyDescent="0.2">
      <c r="A2607" s="12">
        <v>40921</v>
      </c>
      <c r="B2607" s="9">
        <v>2052.14</v>
      </c>
      <c r="C2607" s="9">
        <v>1990.13</v>
      </c>
      <c r="D2607" s="9">
        <v>2007.13</v>
      </c>
      <c r="E2607" s="9">
        <f t="shared" si="120"/>
        <v>-9.2341613487227411E-3</v>
      </c>
      <c r="F2607" s="9">
        <f t="shared" si="121"/>
        <v>4.3386357780940417E-2</v>
      </c>
      <c r="G2607" s="9">
        <f t="shared" si="122"/>
        <v>1.8324229486270688E-2</v>
      </c>
    </row>
    <row r="2608" spans="1:7" x14ac:dyDescent="0.2">
      <c r="A2608" s="12">
        <v>40924</v>
      </c>
      <c r="B2608" s="9">
        <v>2052.1999999999998</v>
      </c>
      <c r="C2608" s="9">
        <v>1996.15</v>
      </c>
      <c r="D2608" s="9">
        <v>2047.65</v>
      </c>
      <c r="E2608" s="9">
        <f t="shared" si="120"/>
        <v>1.9986953124984625E-2</v>
      </c>
      <c r="F2608" s="9">
        <f t="shared" si="121"/>
        <v>2.468125817530779E-2</v>
      </c>
      <c r="G2608" s="9">
        <f t="shared" si="122"/>
        <v>1.7302967591753909E-2</v>
      </c>
    </row>
    <row r="2609" spans="1:7" x14ac:dyDescent="0.2">
      <c r="A2609" s="12">
        <v>40925</v>
      </c>
      <c r="B2609" s="9">
        <v>2104.5300000000002</v>
      </c>
      <c r="C2609" s="9">
        <v>2065.89</v>
      </c>
      <c r="D2609" s="9">
        <v>2088.21</v>
      </c>
      <c r="E2609" s="9">
        <f t="shared" si="120"/>
        <v>1.961444554077919E-2</v>
      </c>
      <c r="F2609" s="9">
        <f t="shared" si="121"/>
        <v>5.7685037732356809E-2</v>
      </c>
      <c r="G2609" s="9">
        <f t="shared" si="122"/>
        <v>1.7417021839523459E-2</v>
      </c>
    </row>
    <row r="2610" spans="1:7" x14ac:dyDescent="0.2">
      <c r="A2610" s="12">
        <v>40926</v>
      </c>
      <c r="B2610" s="9">
        <v>2113.9699999999998</v>
      </c>
      <c r="C2610" s="9">
        <v>2072.4699999999998</v>
      </c>
      <c r="D2610" s="9">
        <v>2108.0500000000002</v>
      </c>
      <c r="E2610" s="9">
        <f t="shared" si="120"/>
        <v>9.4561098871677532E-3</v>
      </c>
      <c r="F2610" s="9">
        <f t="shared" si="121"/>
        <v>6.5524119303745104E-2</v>
      </c>
      <c r="G2610" s="9">
        <f t="shared" si="122"/>
        <v>1.7470995855075507E-2</v>
      </c>
    </row>
    <row r="2611" spans="1:7" x14ac:dyDescent="0.2">
      <c r="A2611" s="12">
        <v>40927</v>
      </c>
      <c r="B2611" s="9">
        <v>2142.34</v>
      </c>
      <c r="C2611" s="9">
        <v>2106</v>
      </c>
      <c r="D2611" s="9">
        <v>2142.34</v>
      </c>
      <c r="E2611" s="9">
        <f t="shared" si="120"/>
        <v>1.6135340025082028E-2</v>
      </c>
      <c r="F2611" s="9">
        <f t="shared" si="121"/>
        <v>6.5252637225164029E-2</v>
      </c>
      <c r="G2611" s="9">
        <f t="shared" si="122"/>
        <v>1.7463443617612848E-2</v>
      </c>
    </row>
    <row r="2612" spans="1:7" x14ac:dyDescent="0.2">
      <c r="A2612" s="12">
        <v>40928</v>
      </c>
      <c r="B2612" s="9">
        <v>2155.33</v>
      </c>
      <c r="C2612" s="9">
        <v>2113.9</v>
      </c>
      <c r="D2612" s="9">
        <v>2133.52</v>
      </c>
      <c r="E2612" s="9">
        <f t="shared" si="120"/>
        <v>-4.1254917183737227E-3</v>
      </c>
      <c r="F2612" s="9">
        <f t="shared" si="121"/>
        <v>8.1782349136364313E-2</v>
      </c>
      <c r="G2612" s="9">
        <f t="shared" si="122"/>
        <v>1.6972138838662082E-2</v>
      </c>
    </row>
    <row r="2613" spans="1:7" x14ac:dyDescent="0.2">
      <c r="A2613" s="12">
        <v>40931</v>
      </c>
      <c r="B2613" s="9">
        <v>2156.33</v>
      </c>
      <c r="C2613" s="9">
        <v>2116.89</v>
      </c>
      <c r="D2613" s="9">
        <v>2149.86</v>
      </c>
      <c r="E2613" s="9">
        <f t="shared" si="120"/>
        <v>7.6295258707300305E-3</v>
      </c>
      <c r="F2613" s="9">
        <f t="shared" si="121"/>
        <v>0.12241789837346342</v>
      </c>
      <c r="G2613" s="9">
        <f t="shared" si="122"/>
        <v>1.5587097359593792E-2</v>
      </c>
    </row>
    <row r="2614" spans="1:7" x14ac:dyDescent="0.2">
      <c r="A2614" s="12">
        <v>40932</v>
      </c>
      <c r="B2614" s="9">
        <v>2139.4899999999998</v>
      </c>
      <c r="C2614" s="9">
        <v>2078.48</v>
      </c>
      <c r="D2614" s="9">
        <v>2107.33</v>
      </c>
      <c r="E2614" s="9">
        <f t="shared" si="120"/>
        <v>-1.9980980394197916E-2</v>
      </c>
      <c r="F2614" s="9">
        <f t="shared" si="121"/>
        <v>9.3315331235727814E-2</v>
      </c>
      <c r="G2614" s="9">
        <f t="shared" si="122"/>
        <v>1.615772095241199E-2</v>
      </c>
    </row>
    <row r="2615" spans="1:7" x14ac:dyDescent="0.2">
      <c r="A2615" s="12">
        <v>40933</v>
      </c>
      <c r="B2615" s="9">
        <v>2131.37</v>
      </c>
      <c r="C2615" s="9">
        <v>2083.5100000000002</v>
      </c>
      <c r="D2615" s="9">
        <v>2105</v>
      </c>
      <c r="E2615" s="9">
        <f t="shared" si="120"/>
        <v>-1.1062762118021602E-3</v>
      </c>
      <c r="F2615" s="9">
        <f t="shared" si="121"/>
        <v>0.12323373072476436</v>
      </c>
      <c r="G2615" s="9">
        <f t="shared" si="122"/>
        <v>1.4848452543075851E-2</v>
      </c>
    </row>
    <row r="2616" spans="1:7" x14ac:dyDescent="0.2">
      <c r="A2616" s="12">
        <v>40934</v>
      </c>
      <c r="B2616" s="9">
        <v>2154.31</v>
      </c>
      <c r="C2616" s="9">
        <v>2095.88</v>
      </c>
      <c r="D2616" s="9">
        <v>2153.98</v>
      </c>
      <c r="E2616" s="9">
        <f t="shared" si="120"/>
        <v>2.3001826505677885E-2</v>
      </c>
      <c r="F2616" s="9">
        <f t="shared" si="121"/>
        <v>0.14335943243307595</v>
      </c>
      <c r="G2616" s="9">
        <f t="shared" si="122"/>
        <v>1.5240356880572938E-2</v>
      </c>
    </row>
    <row r="2617" spans="1:7" x14ac:dyDescent="0.2">
      <c r="A2617" s="12">
        <v>40935</v>
      </c>
      <c r="B2617" s="9">
        <v>2154.0100000000002</v>
      </c>
      <c r="C2617" s="9">
        <v>2116.44</v>
      </c>
      <c r="D2617" s="9">
        <v>2117.29</v>
      </c>
      <c r="E2617" s="9">
        <f t="shared" si="120"/>
        <v>-1.7180324567691401E-2</v>
      </c>
      <c r="F2617" s="9">
        <f t="shared" si="121"/>
        <v>0.15317585179067328</v>
      </c>
      <c r="G2617" s="9">
        <f t="shared" si="122"/>
        <v>1.4627671859811169E-2</v>
      </c>
    </row>
    <row r="2618" spans="1:7" x14ac:dyDescent="0.2">
      <c r="A2618" s="12">
        <v>40938</v>
      </c>
      <c r="B2618" s="9">
        <v>2106.87</v>
      </c>
      <c r="C2618" s="9">
        <v>2057.4699999999998</v>
      </c>
      <c r="D2618" s="9">
        <v>2067.8200000000002</v>
      </c>
      <c r="E2618" s="9">
        <f t="shared" si="120"/>
        <v>-2.3642056833358564E-2</v>
      </c>
      <c r="F2618" s="9">
        <f t="shared" si="121"/>
        <v>0.12185659297517996</v>
      </c>
      <c r="G2618" s="9">
        <f t="shared" si="122"/>
        <v>1.5527760719046513E-2</v>
      </c>
    </row>
    <row r="2619" spans="1:7" x14ac:dyDescent="0.2">
      <c r="A2619" s="12">
        <v>40939</v>
      </c>
      <c r="B2619" s="9">
        <v>2104.06</v>
      </c>
      <c r="C2619" s="9">
        <v>2075.31</v>
      </c>
      <c r="D2619" s="9">
        <v>2093.4699999999998</v>
      </c>
      <c r="E2619" s="9">
        <f t="shared" si="120"/>
        <v>1.2328064066149603E-2</v>
      </c>
      <c r="F2619" s="9">
        <f t="shared" si="121"/>
        <v>0.13836142270340918</v>
      </c>
      <c r="G2619" s="9">
        <f t="shared" si="122"/>
        <v>1.5518179801665428E-2</v>
      </c>
    </row>
    <row r="2620" spans="1:7" x14ac:dyDescent="0.2">
      <c r="A2620" s="12">
        <v>40940</v>
      </c>
      <c r="B2620" s="9">
        <v>2158.42</v>
      </c>
      <c r="C2620" s="9">
        <v>2094.91</v>
      </c>
      <c r="D2620" s="9">
        <v>2153.77</v>
      </c>
      <c r="E2620" s="9">
        <f t="shared" si="120"/>
        <v>2.8396818640609129E-2</v>
      </c>
      <c r="F2620" s="9">
        <f t="shared" si="121"/>
        <v>0.17378245853479821</v>
      </c>
      <c r="G2620" s="9">
        <f t="shared" si="122"/>
        <v>1.5943968976209762E-2</v>
      </c>
    </row>
    <row r="2621" spans="1:7" x14ac:dyDescent="0.2">
      <c r="A2621" s="12">
        <v>40941</v>
      </c>
      <c r="B2621" s="9">
        <v>2166.96</v>
      </c>
      <c r="C2621" s="9">
        <v>2143.79</v>
      </c>
      <c r="D2621" s="9">
        <v>2162.38</v>
      </c>
      <c r="E2621" s="9">
        <f t="shared" si="120"/>
        <v>3.9896720089852193E-3</v>
      </c>
      <c r="F2621" s="9">
        <f t="shared" si="121"/>
        <v>0.13752040134496987</v>
      </c>
      <c r="G2621" s="9">
        <f t="shared" si="122"/>
        <v>1.4555592326051893E-2</v>
      </c>
    </row>
    <row r="2622" spans="1:7" x14ac:dyDescent="0.2">
      <c r="A2622" s="12">
        <v>40942</v>
      </c>
      <c r="B2622" s="9">
        <v>2193.7800000000002</v>
      </c>
      <c r="C2622" s="9">
        <v>2151.4699999999998</v>
      </c>
      <c r="D2622" s="9">
        <v>2193.02</v>
      </c>
      <c r="E2622" s="9">
        <f t="shared" si="120"/>
        <v>1.407012236648857E-2</v>
      </c>
      <c r="F2622" s="9">
        <f t="shared" si="121"/>
        <v>0.15841110980064885</v>
      </c>
      <c r="G2622" s="9">
        <f t="shared" si="122"/>
        <v>1.4490742295114576E-2</v>
      </c>
    </row>
    <row r="2623" spans="1:7" x14ac:dyDescent="0.2">
      <c r="A2623" s="12">
        <v>40945</v>
      </c>
      <c r="B2623" s="9">
        <v>2196.16</v>
      </c>
      <c r="C2623" s="9">
        <v>2166.81</v>
      </c>
      <c r="D2623" s="9">
        <v>2186.3200000000002</v>
      </c>
      <c r="E2623" s="9">
        <f t="shared" si="120"/>
        <v>-3.0598241869360296E-3</v>
      </c>
      <c r="F2623" s="9">
        <f t="shared" si="121"/>
        <v>0.13948205911940539</v>
      </c>
      <c r="G2623" s="9">
        <f t="shared" si="122"/>
        <v>1.4425740993620952E-2</v>
      </c>
    </row>
    <row r="2624" spans="1:7" x14ac:dyDescent="0.2">
      <c r="A2624" s="12">
        <v>40946</v>
      </c>
      <c r="B2624" s="9">
        <v>2194.2199999999998</v>
      </c>
      <c r="C2624" s="9">
        <v>2158.35</v>
      </c>
      <c r="D2624" s="9">
        <v>2176.89</v>
      </c>
      <c r="E2624" s="9">
        <f t="shared" si="120"/>
        <v>-4.3225124083392033E-3</v>
      </c>
      <c r="F2624" s="9">
        <f t="shared" si="121"/>
        <v>0.12546790544454375</v>
      </c>
      <c r="G2624" s="9">
        <f t="shared" si="122"/>
        <v>1.4483620491408873E-2</v>
      </c>
    </row>
    <row r="2625" spans="1:7" x14ac:dyDescent="0.2">
      <c r="A2625" s="12">
        <v>40947</v>
      </c>
      <c r="B2625" s="9">
        <v>2218.4</v>
      </c>
      <c r="C2625" s="9">
        <v>2188.06</v>
      </c>
      <c r="D2625" s="9">
        <v>2207.85</v>
      </c>
      <c r="E2625" s="9">
        <f t="shared" si="120"/>
        <v>1.4121938598638101E-2</v>
      </c>
      <c r="F2625" s="9">
        <f t="shared" si="121"/>
        <v>0.14564396289475451</v>
      </c>
      <c r="G2625" s="9">
        <f t="shared" si="122"/>
        <v>1.4460322790131101E-2</v>
      </c>
    </row>
    <row r="2626" spans="1:7" x14ac:dyDescent="0.2">
      <c r="A2626" s="12">
        <v>40948</v>
      </c>
      <c r="B2626" s="9">
        <v>2222.13</v>
      </c>
      <c r="C2626" s="9">
        <v>2192.04</v>
      </c>
      <c r="D2626" s="9">
        <v>2203.3000000000002</v>
      </c>
      <c r="E2626" s="9">
        <f t="shared" si="120"/>
        <v>-2.0629548365620983E-3</v>
      </c>
      <c r="F2626" s="9">
        <f t="shared" si="121"/>
        <v>0.1483392204723952</v>
      </c>
      <c r="G2626" s="9">
        <f t="shared" si="122"/>
        <v>1.4406811493066064E-2</v>
      </c>
    </row>
    <row r="2627" spans="1:7" x14ac:dyDescent="0.2">
      <c r="A2627" s="12">
        <v>40949</v>
      </c>
      <c r="B2627" s="9">
        <v>2199.4299999999998</v>
      </c>
      <c r="C2627" s="9">
        <v>2170.35</v>
      </c>
      <c r="D2627" s="9">
        <v>2178.7600000000002</v>
      </c>
      <c r="E2627" s="9">
        <f t="shared" si="120"/>
        <v>-1.1200328858723105E-2</v>
      </c>
      <c r="F2627" s="9">
        <f t="shared" si="121"/>
        <v>0.12830226349876397</v>
      </c>
      <c r="G2627" s="9">
        <f t="shared" si="122"/>
        <v>1.4681985355024605E-2</v>
      </c>
    </row>
    <row r="2628" spans="1:7" x14ac:dyDescent="0.2">
      <c r="A2628" s="12">
        <v>40952</v>
      </c>
      <c r="B2628" s="9">
        <v>2213.2600000000002</v>
      </c>
      <c r="C2628" s="9">
        <v>2186.5100000000002</v>
      </c>
      <c r="D2628" s="9">
        <v>2193.1999999999998</v>
      </c>
      <c r="E2628" s="9">
        <f t="shared" ref="E2628:E2691" si="123">LN(D2628/D2627)</f>
        <v>6.6057569184731664E-3</v>
      </c>
      <c r="F2628" s="9">
        <f t="shared" si="121"/>
        <v>0.121612399172372</v>
      </c>
      <c r="G2628" s="9">
        <f t="shared" si="122"/>
        <v>1.4590800650098813E-2</v>
      </c>
    </row>
    <row r="2629" spans="1:7" x14ac:dyDescent="0.2">
      <c r="A2629" s="12">
        <v>40953</v>
      </c>
      <c r="B2629" s="9">
        <v>2209.08</v>
      </c>
      <c r="C2629" s="9">
        <v>2181.8000000000002</v>
      </c>
      <c r="D2629" s="9">
        <v>2189.56</v>
      </c>
      <c r="E2629" s="9">
        <f t="shared" si="123"/>
        <v>-1.6610541471251069E-3</v>
      </c>
      <c r="F2629" s="9">
        <f t="shared" si="121"/>
        <v>9.4897853196545257E-2</v>
      </c>
      <c r="G2629" s="9">
        <f t="shared" si="122"/>
        <v>1.4070920362790642E-2</v>
      </c>
    </row>
    <row r="2630" spans="1:7" x14ac:dyDescent="0.2">
      <c r="A2630" s="12">
        <v>40954</v>
      </c>
      <c r="B2630" s="9">
        <v>2224.2800000000002</v>
      </c>
      <c r="C2630" s="9">
        <v>2205.1799999999998</v>
      </c>
      <c r="D2630" s="9">
        <v>2215.5300000000002</v>
      </c>
      <c r="E2630" s="9">
        <f t="shared" si="123"/>
        <v>1.1791042126506271E-2</v>
      </c>
      <c r="F2630" s="9">
        <f t="shared" si="121"/>
        <v>9.1182004761081153E-2</v>
      </c>
      <c r="G2630" s="9">
        <f t="shared" si="122"/>
        <v>1.3974541343392568E-2</v>
      </c>
    </row>
    <row r="2631" spans="1:7" x14ac:dyDescent="0.2">
      <c r="A2631" s="12">
        <v>40955</v>
      </c>
      <c r="B2631" s="9">
        <v>2215.64</v>
      </c>
      <c r="C2631" s="9">
        <v>2185.2800000000002</v>
      </c>
      <c r="D2631" s="9">
        <v>2212.9699999999998</v>
      </c>
      <c r="E2631" s="9">
        <f t="shared" si="123"/>
        <v>-1.1561478085845495E-3</v>
      </c>
      <c r="F2631" s="9">
        <f t="shared" si="121"/>
        <v>0.1040123078497097</v>
      </c>
      <c r="G2631" s="9">
        <f t="shared" si="122"/>
        <v>1.3627535718457023E-2</v>
      </c>
    </row>
    <row r="2632" spans="1:7" x14ac:dyDescent="0.2">
      <c r="A2632" s="12">
        <v>40956</v>
      </c>
      <c r="B2632" s="9">
        <v>2259.4299999999998</v>
      </c>
      <c r="C2632" s="9">
        <v>2230.7800000000002</v>
      </c>
      <c r="D2632" s="9">
        <v>2255.23</v>
      </c>
      <c r="E2632" s="9">
        <f t="shared" si="123"/>
        <v>1.8916458600304952E-2</v>
      </c>
      <c r="F2632" s="9">
        <f t="shared" si="121"/>
        <v>0.12568532506017063</v>
      </c>
      <c r="G2632" s="9">
        <f t="shared" si="122"/>
        <v>1.3858738803154065E-2</v>
      </c>
    </row>
    <row r="2633" spans="1:7" x14ac:dyDescent="0.2">
      <c r="A2633" s="12">
        <v>40959</v>
      </c>
      <c r="B2633" s="9">
        <v>2302.9899999999998</v>
      </c>
      <c r="C2633" s="9">
        <v>2269.91</v>
      </c>
      <c r="D2633" s="9">
        <v>2302.3000000000002</v>
      </c>
      <c r="E2633" s="9">
        <f t="shared" si="123"/>
        <v>2.0656659949329807E-2</v>
      </c>
      <c r="F2633" s="9">
        <f t="shared" si="121"/>
        <v>0.15316808783280594</v>
      </c>
      <c r="G2633" s="9">
        <f t="shared" si="122"/>
        <v>1.4012951040720657E-2</v>
      </c>
    </row>
    <row r="2634" spans="1:7" x14ac:dyDescent="0.2">
      <c r="A2634" s="12">
        <v>40960</v>
      </c>
      <c r="B2634" s="9">
        <v>2309.15</v>
      </c>
      <c r="C2634" s="9">
        <v>2276.73</v>
      </c>
      <c r="D2634" s="9">
        <v>2284.5700000000002</v>
      </c>
      <c r="E2634" s="9">
        <f t="shared" si="123"/>
        <v>-7.7308004382537357E-3</v>
      </c>
      <c r="F2634" s="9">
        <f t="shared" si="121"/>
        <v>0.11759538118625092</v>
      </c>
      <c r="G2634" s="9">
        <f t="shared" si="122"/>
        <v>1.3519046961654187E-2</v>
      </c>
    </row>
    <row r="2635" spans="1:7" x14ac:dyDescent="0.2">
      <c r="A2635" s="12">
        <v>40961</v>
      </c>
      <c r="B2635" s="9">
        <v>2297.52</v>
      </c>
      <c r="C2635" s="9">
        <v>2257.3200000000002</v>
      </c>
      <c r="D2635" s="9">
        <v>2263.02</v>
      </c>
      <c r="E2635" s="9">
        <f t="shared" si="123"/>
        <v>-9.4776183916920834E-3</v>
      </c>
      <c r="F2635" s="9">
        <f t="shared" si="121"/>
        <v>0.1171535442977287</v>
      </c>
      <c r="G2635" s="9">
        <f t="shared" si="122"/>
        <v>1.3533880286440985E-2</v>
      </c>
    </row>
    <row r="2636" spans="1:7" x14ac:dyDescent="0.2">
      <c r="A2636" s="12">
        <v>40962</v>
      </c>
      <c r="B2636" s="9">
        <v>2279.2600000000002</v>
      </c>
      <c r="C2636" s="9">
        <v>2232.15</v>
      </c>
      <c r="D2636" s="9">
        <v>2252.86</v>
      </c>
      <c r="E2636" s="9">
        <f t="shared" si="123"/>
        <v>-4.4996842885942235E-3</v>
      </c>
      <c r="F2636" s="9">
        <f t="shared" si="121"/>
        <v>0.10626051779094989</v>
      </c>
      <c r="G2636" s="9">
        <f t="shared" si="122"/>
        <v>1.3610728184864815E-2</v>
      </c>
    </row>
    <row r="2637" spans="1:7" x14ac:dyDescent="0.2">
      <c r="A2637" s="12">
        <v>40963</v>
      </c>
      <c r="B2637" s="9">
        <v>2289.92</v>
      </c>
      <c r="C2637" s="9">
        <v>2256.84</v>
      </c>
      <c r="D2637" s="9">
        <v>2282.29</v>
      </c>
      <c r="E2637" s="9">
        <f t="shared" si="123"/>
        <v>1.297880472351509E-2</v>
      </c>
      <c r="F2637" s="9">
        <f t="shared" si="121"/>
        <v>0.12847348386318799</v>
      </c>
      <c r="G2637" s="9">
        <f t="shared" si="122"/>
        <v>1.349544080403098E-2</v>
      </c>
    </row>
    <row r="2638" spans="1:7" x14ac:dyDescent="0.2">
      <c r="A2638" s="12">
        <v>40966</v>
      </c>
      <c r="B2638" s="9">
        <v>2268.39</v>
      </c>
      <c r="C2638" s="9">
        <v>2229.7800000000002</v>
      </c>
      <c r="D2638" s="9">
        <v>2246.75</v>
      </c>
      <c r="E2638" s="9">
        <f t="shared" si="123"/>
        <v>-1.5694597316816987E-2</v>
      </c>
      <c r="F2638" s="9">
        <f t="shared" si="121"/>
        <v>9.2791933421386238E-2</v>
      </c>
      <c r="G2638" s="9">
        <f t="shared" si="122"/>
        <v>1.3635264388861217E-2</v>
      </c>
    </row>
    <row r="2639" spans="1:7" x14ac:dyDescent="0.2">
      <c r="A2639" s="12">
        <v>40967</v>
      </c>
      <c r="B2639" s="9">
        <v>2267.5300000000002</v>
      </c>
      <c r="C2639" s="9">
        <v>2220.38</v>
      </c>
      <c r="D2639" s="9">
        <v>2242.14</v>
      </c>
      <c r="E2639" s="9">
        <f t="shared" si="123"/>
        <v>-2.0539606097297099E-3</v>
      </c>
      <c r="F2639" s="9">
        <f t="shared" si="121"/>
        <v>7.1123527270877451E-2</v>
      </c>
      <c r="G2639" s="9">
        <f t="shared" si="122"/>
        <v>1.3299698967994112E-2</v>
      </c>
    </row>
    <row r="2640" spans="1:7" x14ac:dyDescent="0.2">
      <c r="A2640" s="12">
        <v>40968</v>
      </c>
      <c r="B2640" s="9">
        <v>2265.37</v>
      </c>
      <c r="C2640" s="9">
        <v>2233.2800000000002</v>
      </c>
      <c r="D2640" s="9">
        <v>2243.63</v>
      </c>
      <c r="E2640" s="9">
        <f t="shared" si="123"/>
        <v>6.6432298347809753E-4</v>
      </c>
      <c r="F2640" s="9">
        <f t="shared" si="121"/>
        <v>6.2331740367187576E-2</v>
      </c>
      <c r="G2640" s="9">
        <f t="shared" si="122"/>
        <v>1.3234895671776954E-2</v>
      </c>
    </row>
    <row r="2641" spans="1:7" x14ac:dyDescent="0.2">
      <c r="A2641" s="12">
        <v>40969</v>
      </c>
      <c r="B2641" s="9">
        <v>2258.52</v>
      </c>
      <c r="C2641" s="9">
        <v>2227.83</v>
      </c>
      <c r="D2641" s="9">
        <v>2244.6799999999998</v>
      </c>
      <c r="E2641" s="9">
        <f t="shared" si="123"/>
        <v>4.6788212897707531E-4</v>
      </c>
      <c r="F2641" s="9">
        <f t="shared" si="121"/>
        <v>4.6664282471082751E-2</v>
      </c>
      <c r="G2641" s="9">
        <f t="shared" si="122"/>
        <v>1.2967471473092776E-2</v>
      </c>
    </row>
    <row r="2642" spans="1:7" x14ac:dyDescent="0.2">
      <c r="A2642" s="12">
        <v>40970</v>
      </c>
      <c r="B2642" s="9">
        <v>2258.4299999999998</v>
      </c>
      <c r="C2642" s="9">
        <v>2235.85</v>
      </c>
      <c r="D2642" s="9">
        <v>2253.9899999999998</v>
      </c>
      <c r="E2642" s="9">
        <f t="shared" si="123"/>
        <v>4.1390069914400583E-3</v>
      </c>
      <c r="F2642" s="9">
        <f t="shared" si="121"/>
        <v>5.4928781180896634E-2</v>
      </c>
      <c r="G2642" s="9">
        <f t="shared" si="122"/>
        <v>1.2930355465239915E-2</v>
      </c>
    </row>
    <row r="2643" spans="1:7" x14ac:dyDescent="0.2">
      <c r="A2643" s="12">
        <v>40973</v>
      </c>
      <c r="B2643" s="9">
        <v>2251.59</v>
      </c>
      <c r="C2643" s="9">
        <v>2225.77</v>
      </c>
      <c r="D2643" s="9">
        <v>2236.38</v>
      </c>
      <c r="E2643" s="9">
        <f t="shared" si="123"/>
        <v>-7.8434918641636028E-3</v>
      </c>
      <c r="F2643" s="9">
        <f t="shared" si="121"/>
        <v>3.9455763446002837E-2</v>
      </c>
      <c r="G2643" s="9">
        <f t="shared" si="122"/>
        <v>1.2999495797438643E-2</v>
      </c>
    </row>
    <row r="2644" spans="1:7" x14ac:dyDescent="0.2">
      <c r="A2644" s="12">
        <v>40974</v>
      </c>
      <c r="B2644" s="9">
        <v>2222.87</v>
      </c>
      <c r="C2644" s="9">
        <v>2148.56</v>
      </c>
      <c r="D2644" s="9">
        <v>2148.87</v>
      </c>
      <c r="E2644" s="9">
        <f t="shared" si="123"/>
        <v>-3.9916364608440669E-2</v>
      </c>
      <c r="F2644" s="9">
        <f t="shared" si="121"/>
        <v>1.9520379231760324E-2</v>
      </c>
      <c r="G2644" s="9">
        <f t="shared" si="122"/>
        <v>1.4543498164314253E-2</v>
      </c>
    </row>
    <row r="2645" spans="1:7" x14ac:dyDescent="0.2">
      <c r="A2645" s="12">
        <v>40975</v>
      </c>
      <c r="B2645" s="9">
        <v>2191.08</v>
      </c>
      <c r="C2645" s="9">
        <v>2148.19</v>
      </c>
      <c r="D2645" s="9">
        <v>2187.48</v>
      </c>
      <c r="E2645" s="9">
        <f t="shared" si="123"/>
        <v>1.7808073772786353E-2</v>
      </c>
      <c r="F2645" s="9">
        <f t="shared" si="121"/>
        <v>3.8434729216348724E-2</v>
      </c>
      <c r="G2645" s="9">
        <f t="shared" si="122"/>
        <v>1.4870998193770234E-2</v>
      </c>
    </row>
    <row r="2646" spans="1:7" x14ac:dyDescent="0.2">
      <c r="A2646" s="12">
        <v>40976</v>
      </c>
      <c r="B2646" s="9">
        <v>2228.54</v>
      </c>
      <c r="C2646" s="9">
        <v>2192.09</v>
      </c>
      <c r="D2646" s="9">
        <v>2228.36</v>
      </c>
      <c r="E2646" s="9">
        <f t="shared" si="123"/>
        <v>1.8515692553999454E-2</v>
      </c>
      <c r="F2646" s="9">
        <f t="shared" si="121"/>
        <v>3.3948595264670207E-2</v>
      </c>
      <c r="G2646" s="9">
        <f t="shared" si="122"/>
        <v>1.4666196087031309E-2</v>
      </c>
    </row>
    <row r="2647" spans="1:7" x14ac:dyDescent="0.2">
      <c r="A2647" s="12">
        <v>40977</v>
      </c>
      <c r="B2647" s="9">
        <v>2239.75</v>
      </c>
      <c r="C2647" s="9">
        <v>2213.5300000000002</v>
      </c>
      <c r="D2647" s="9">
        <v>2221.46</v>
      </c>
      <c r="E2647" s="9">
        <f t="shared" si="123"/>
        <v>-3.1012515248760183E-3</v>
      </c>
      <c r="F2647" s="9">
        <f t="shared" si="121"/>
        <v>4.8027668307485671E-2</v>
      </c>
      <c r="G2647" s="9">
        <f t="shared" si="122"/>
        <v>1.4280206304552279E-2</v>
      </c>
    </row>
    <row r="2648" spans="1:7" x14ac:dyDescent="0.2">
      <c r="A2648" s="12">
        <v>40980</v>
      </c>
      <c r="B2648" s="9">
        <v>2226.21</v>
      </c>
      <c r="C2648" s="9">
        <v>2200.31</v>
      </c>
      <c r="D2648" s="9">
        <v>2221.39</v>
      </c>
      <c r="E2648" s="9">
        <f t="shared" si="123"/>
        <v>-3.1511304683237777E-5</v>
      </c>
      <c r="F2648" s="9">
        <f t="shared" si="121"/>
        <v>7.1638213836160924E-2</v>
      </c>
      <c r="G2648" s="9">
        <f t="shared" si="122"/>
        <v>1.3468583351357127E-2</v>
      </c>
    </row>
    <row r="2649" spans="1:7" x14ac:dyDescent="0.2">
      <c r="A2649" s="12">
        <v>40981</v>
      </c>
      <c r="B2649" s="9">
        <v>2263.81</v>
      </c>
      <c r="C2649" s="9">
        <v>2236.15</v>
      </c>
      <c r="D2649" s="9">
        <v>2259.91</v>
      </c>
      <c r="E2649" s="9">
        <f t="shared" si="123"/>
        <v>1.7191863407254069E-2</v>
      </c>
      <c r="F2649" s="9">
        <f t="shared" si="121"/>
        <v>7.6502013177265377E-2</v>
      </c>
      <c r="G2649" s="9">
        <f t="shared" si="122"/>
        <v>1.3620776362910815E-2</v>
      </c>
    </row>
    <row r="2650" spans="1:7" x14ac:dyDescent="0.2">
      <c r="A2650" s="12">
        <v>40982</v>
      </c>
      <c r="B2650" s="9">
        <v>2286.33</v>
      </c>
      <c r="C2650" s="9">
        <v>2263.6</v>
      </c>
      <c r="D2650" s="9">
        <v>2264.06</v>
      </c>
      <c r="E2650" s="9">
        <f t="shared" si="123"/>
        <v>1.834672274167464E-3</v>
      </c>
      <c r="F2650" s="9">
        <f t="shared" si="121"/>
        <v>4.9939866810823776E-2</v>
      </c>
      <c r="G2650" s="9">
        <f t="shared" si="122"/>
        <v>1.2715968624890531E-2</v>
      </c>
    </row>
    <row r="2651" spans="1:7" x14ac:dyDescent="0.2">
      <c r="A2651" s="12">
        <v>40983</v>
      </c>
      <c r="B2651" s="9">
        <v>2276.62</v>
      </c>
      <c r="C2651" s="9">
        <v>2258.7399999999998</v>
      </c>
      <c r="D2651" s="9">
        <v>2275.79</v>
      </c>
      <c r="E2651" s="9">
        <f t="shared" si="123"/>
        <v>5.1675831153301299E-3</v>
      </c>
      <c r="F2651" s="9">
        <f t="shared" si="121"/>
        <v>5.1117777917168428E-2</v>
      </c>
      <c r="G2651" s="9">
        <f t="shared" si="122"/>
        <v>1.2725210409638836E-2</v>
      </c>
    </row>
    <row r="2652" spans="1:7" x14ac:dyDescent="0.2">
      <c r="A2652" s="12">
        <v>40984</v>
      </c>
      <c r="B2652" s="9">
        <v>2293.19</v>
      </c>
      <c r="C2652" s="9">
        <v>2276.9499999999998</v>
      </c>
      <c r="D2652" s="9">
        <v>2290</v>
      </c>
      <c r="E2652" s="9">
        <f t="shared" si="123"/>
        <v>6.2245726942629243E-3</v>
      </c>
      <c r="F2652" s="9">
        <f t="shared" si="121"/>
        <v>4.3272228244942867E-2</v>
      </c>
      <c r="G2652" s="9">
        <f t="shared" si="122"/>
        <v>1.2541599877318066E-2</v>
      </c>
    </row>
    <row r="2653" spans="1:7" x14ac:dyDescent="0.2">
      <c r="A2653" s="12">
        <v>40987</v>
      </c>
      <c r="B2653" s="9">
        <v>2294.62</v>
      </c>
      <c r="C2653" s="9">
        <v>2272.75</v>
      </c>
      <c r="D2653" s="9">
        <v>2292.71</v>
      </c>
      <c r="E2653" s="9">
        <f t="shared" si="123"/>
        <v>1.1827064404662565E-3</v>
      </c>
      <c r="F2653" s="9">
        <f t="shared" si="121"/>
        <v>4.7514758872345193E-2</v>
      </c>
      <c r="G2653" s="9">
        <f t="shared" si="122"/>
        <v>1.2512969108900247E-2</v>
      </c>
    </row>
    <row r="2654" spans="1:7" x14ac:dyDescent="0.2">
      <c r="A2654" s="12">
        <v>40988</v>
      </c>
      <c r="B2654" s="9">
        <v>2276.13</v>
      </c>
      <c r="C2654" s="9">
        <v>2243.0500000000002</v>
      </c>
      <c r="D2654" s="9">
        <v>2255.5700000000002</v>
      </c>
      <c r="E2654" s="9">
        <f t="shared" si="123"/>
        <v>-1.6331811374710549E-2</v>
      </c>
      <c r="F2654" s="9">
        <f t="shared" si="121"/>
        <v>3.5505459905973799E-2</v>
      </c>
      <c r="G2654" s="9">
        <f t="shared" si="122"/>
        <v>1.2894713233519102E-2</v>
      </c>
    </row>
    <row r="2655" spans="1:7" x14ac:dyDescent="0.2">
      <c r="A2655" s="12">
        <v>40989</v>
      </c>
      <c r="B2655" s="9">
        <v>2258.6999999999998</v>
      </c>
      <c r="C2655" s="9">
        <v>2209.1999999999998</v>
      </c>
      <c r="D2655" s="9">
        <v>2221.48</v>
      </c>
      <c r="E2655" s="9">
        <f t="shared" si="123"/>
        <v>-1.5229072204555235E-2</v>
      </c>
      <c r="F2655" s="9">
        <f t="shared" si="121"/>
        <v>6.1544491027803912E-3</v>
      </c>
      <c r="G2655" s="9">
        <f t="shared" si="122"/>
        <v>1.2992291379767269E-2</v>
      </c>
    </row>
    <row r="2656" spans="1:7" x14ac:dyDescent="0.2">
      <c r="A2656" s="12">
        <v>40990</v>
      </c>
      <c r="B2656" s="9">
        <v>2218.9</v>
      </c>
      <c r="C2656" s="9">
        <v>2165.0100000000002</v>
      </c>
      <c r="D2656" s="9">
        <v>2189.83</v>
      </c>
      <c r="E2656" s="9">
        <f t="shared" si="123"/>
        <v>-1.434972518273603E-2</v>
      </c>
      <c r="F2656" s="9">
        <f t="shared" si="121"/>
        <v>-6.1323212433935272E-3</v>
      </c>
      <c r="G2656" s="9">
        <f t="shared" si="122"/>
        <v>1.3257213152343017E-2</v>
      </c>
    </row>
    <row r="2657" spans="1:7" x14ac:dyDescent="0.2">
      <c r="A2657" s="12">
        <v>40991</v>
      </c>
      <c r="B2657" s="9">
        <v>2208.9499999999998</v>
      </c>
      <c r="C2657" s="9">
        <v>2165.38</v>
      </c>
      <c r="D2657" s="9">
        <v>2201.39</v>
      </c>
      <c r="E2657" s="9">
        <f t="shared" si="123"/>
        <v>5.2650637884011512E-3</v>
      </c>
      <c r="F2657" s="9">
        <f t="shared" ref="F2657:F2720" si="124">LN(D2657/D2627)</f>
        <v>1.033307140373086E-2</v>
      </c>
      <c r="G2657" s="9">
        <f t="shared" ref="G2657:G2720" si="125">STDEV(E2628:E2657)</f>
        <v>1.3126474012326254E-2</v>
      </c>
    </row>
    <row r="2658" spans="1:7" x14ac:dyDescent="0.2">
      <c r="A2658" s="12">
        <v>40994</v>
      </c>
      <c r="B2658" s="9">
        <v>2238.63</v>
      </c>
      <c r="C2658" s="9">
        <v>2185.7399999999998</v>
      </c>
      <c r="D2658" s="9">
        <v>2238.44</v>
      </c>
      <c r="E2658" s="9">
        <f t="shared" si="123"/>
        <v>1.6690215643477623E-2</v>
      </c>
      <c r="F2658" s="9">
        <f t="shared" si="124"/>
        <v>2.0417530128735137E-2</v>
      </c>
      <c r="G2658" s="9">
        <f t="shared" si="125"/>
        <v>1.3418227157238597E-2</v>
      </c>
    </row>
    <row r="2659" spans="1:7" x14ac:dyDescent="0.2">
      <c r="A2659" s="12">
        <v>40995</v>
      </c>
      <c r="B2659" s="9">
        <v>2248.6999999999998</v>
      </c>
      <c r="C2659" s="9">
        <v>2209.34</v>
      </c>
      <c r="D2659" s="9">
        <v>2212.1</v>
      </c>
      <c r="E2659" s="9">
        <f t="shared" si="123"/>
        <v>-1.1836904081651434E-2</v>
      </c>
      <c r="F2659" s="9">
        <f t="shared" si="124"/>
        <v>1.0241680194208664E-2</v>
      </c>
      <c r="G2659" s="9">
        <f t="shared" si="125"/>
        <v>1.3606753431459511E-2</v>
      </c>
    </row>
    <row r="2660" spans="1:7" x14ac:dyDescent="0.2">
      <c r="A2660" s="12">
        <v>40996</v>
      </c>
      <c r="B2660" s="9">
        <v>2226.3200000000002</v>
      </c>
      <c r="C2660" s="9">
        <v>2194.67</v>
      </c>
      <c r="D2660" s="9">
        <v>2198.19</v>
      </c>
      <c r="E2660" s="9">
        <f t="shared" si="123"/>
        <v>-6.30799612912344E-3</v>
      </c>
      <c r="F2660" s="9">
        <f t="shared" si="124"/>
        <v>-7.8573580614210801E-3</v>
      </c>
      <c r="G2660" s="9">
        <f t="shared" si="125"/>
        <v>1.3482260419696182E-2</v>
      </c>
    </row>
    <row r="2661" spans="1:7" x14ac:dyDescent="0.2">
      <c r="A2661" s="12">
        <v>40997</v>
      </c>
      <c r="B2661" s="9">
        <v>2211.9299999999998</v>
      </c>
      <c r="C2661" s="9">
        <v>2166.34</v>
      </c>
      <c r="D2661" s="9">
        <v>2171.87</v>
      </c>
      <c r="E2661" s="9">
        <f t="shared" si="123"/>
        <v>-1.2045746855619887E-2</v>
      </c>
      <c r="F2661" s="9">
        <f t="shared" si="124"/>
        <v>-1.8746957108456436E-2</v>
      </c>
      <c r="G2661" s="9">
        <f t="shared" si="125"/>
        <v>1.3652681135482583E-2</v>
      </c>
    </row>
    <row r="2662" spans="1:7" x14ac:dyDescent="0.2">
      <c r="A2662" s="12">
        <v>40998</v>
      </c>
      <c r="B2662" s="9">
        <v>2216.73</v>
      </c>
      <c r="C2662" s="9">
        <v>2183.92</v>
      </c>
      <c r="D2662" s="9">
        <v>2209.1</v>
      </c>
      <c r="E2662" s="9">
        <f t="shared" si="123"/>
        <v>1.6996645155905581E-2</v>
      </c>
      <c r="F2662" s="9">
        <f t="shared" si="124"/>
        <v>-2.0666770552855738E-2</v>
      </c>
      <c r="G2662" s="9">
        <f t="shared" si="125"/>
        <v>1.3562126105484865E-2</v>
      </c>
    </row>
    <row r="2663" spans="1:7" x14ac:dyDescent="0.2">
      <c r="A2663" s="12">
        <v>41001</v>
      </c>
      <c r="B2663" s="9">
        <v>2214.3200000000002</v>
      </c>
      <c r="C2663" s="9">
        <v>2171.33</v>
      </c>
      <c r="D2663" s="9">
        <v>2214.3200000000002</v>
      </c>
      <c r="E2663" s="9">
        <f t="shared" si="123"/>
        <v>2.3601658549793508E-3</v>
      </c>
      <c r="F2663" s="9">
        <f t="shared" si="124"/>
        <v>-3.8963264647206078E-2</v>
      </c>
      <c r="G2663" s="9">
        <f t="shared" si="125"/>
        <v>1.2967482009368776E-2</v>
      </c>
    </row>
    <row r="2664" spans="1:7" x14ac:dyDescent="0.2">
      <c r="A2664" s="12">
        <v>41002</v>
      </c>
      <c r="B2664" s="9">
        <v>2225.79</v>
      </c>
      <c r="C2664" s="9">
        <v>2202.15</v>
      </c>
      <c r="D2664" s="9">
        <v>2202.15</v>
      </c>
      <c r="E2664" s="9">
        <f t="shared" si="123"/>
        <v>-5.511202749539543E-3</v>
      </c>
      <c r="F2664" s="9">
        <f t="shared" si="124"/>
        <v>-3.6743666958491815E-2</v>
      </c>
      <c r="G2664" s="9">
        <f t="shared" si="125"/>
        <v>1.2935811663278566E-2</v>
      </c>
    </row>
    <row r="2665" spans="1:7" x14ac:dyDescent="0.2">
      <c r="A2665" s="12">
        <v>41003</v>
      </c>
      <c r="B2665" s="9">
        <v>2188.36</v>
      </c>
      <c r="C2665" s="9">
        <v>2114.77</v>
      </c>
      <c r="D2665" s="9">
        <v>2116.96</v>
      </c>
      <c r="E2665" s="9">
        <f t="shared" si="123"/>
        <v>-3.9453058559478234E-2</v>
      </c>
      <c r="F2665" s="9">
        <f t="shared" si="124"/>
        <v>-6.6719107126277918E-2</v>
      </c>
      <c r="G2665" s="9">
        <f t="shared" si="125"/>
        <v>1.464059305425258E-2</v>
      </c>
    </row>
    <row r="2666" spans="1:7" x14ac:dyDescent="0.2">
      <c r="A2666" s="12">
        <v>41004</v>
      </c>
      <c r="B2666" s="9">
        <v>2138.16</v>
      </c>
      <c r="C2666" s="9">
        <v>2086.02</v>
      </c>
      <c r="D2666" s="9">
        <v>2124.11</v>
      </c>
      <c r="E2666" s="9">
        <f t="shared" si="123"/>
        <v>3.3717938039335604E-3</v>
      </c>
      <c r="F2666" s="9">
        <f t="shared" si="124"/>
        <v>-5.8847629033750258E-2</v>
      </c>
      <c r="G2666" s="9">
        <f t="shared" si="125"/>
        <v>1.4668909587710496E-2</v>
      </c>
    </row>
    <row r="2667" spans="1:7" x14ac:dyDescent="0.2">
      <c r="A2667" s="12">
        <v>41009</v>
      </c>
      <c r="B2667" s="9">
        <v>2111.06</v>
      </c>
      <c r="C2667" s="9">
        <v>2051.75</v>
      </c>
      <c r="D2667" s="9">
        <v>2051.75</v>
      </c>
      <c r="E2667" s="9">
        <f t="shared" si="123"/>
        <v>-3.4659803588213273E-2</v>
      </c>
      <c r="F2667" s="9">
        <f t="shared" si="124"/>
        <v>-0.10648623734547874</v>
      </c>
      <c r="G2667" s="9">
        <f t="shared" si="125"/>
        <v>1.5547968543395336E-2</v>
      </c>
    </row>
    <row r="2668" spans="1:7" x14ac:dyDescent="0.2">
      <c r="A2668" s="12">
        <v>41010</v>
      </c>
      <c r="B2668" s="9">
        <v>2092.31</v>
      </c>
      <c r="C2668" s="9">
        <v>2041.66</v>
      </c>
      <c r="D2668" s="9">
        <v>2050.65</v>
      </c>
      <c r="E2668" s="9">
        <f t="shared" si="123"/>
        <v>-5.362714637100202E-4</v>
      </c>
      <c r="F2668" s="9">
        <f t="shared" si="124"/>
        <v>-9.1327911492371808E-2</v>
      </c>
      <c r="G2668" s="9">
        <f t="shared" si="125"/>
        <v>1.5385123463163014E-2</v>
      </c>
    </row>
    <row r="2669" spans="1:7" x14ac:dyDescent="0.2">
      <c r="A2669" s="12">
        <v>41011</v>
      </c>
      <c r="B2669" s="9">
        <v>2064.79</v>
      </c>
      <c r="C2669" s="9">
        <v>2017.19</v>
      </c>
      <c r="D2669" s="9">
        <v>2058.61</v>
      </c>
      <c r="E2669" s="9">
        <f t="shared" si="123"/>
        <v>3.8741817048110272E-3</v>
      </c>
      <c r="F2669" s="9">
        <f t="shared" si="124"/>
        <v>-8.5399769177831181E-2</v>
      </c>
      <c r="G2669" s="9">
        <f t="shared" si="125"/>
        <v>1.5436266581284863E-2</v>
      </c>
    </row>
    <row r="2670" spans="1:7" x14ac:dyDescent="0.2">
      <c r="A2670" s="12">
        <v>41012</v>
      </c>
      <c r="B2670" s="9">
        <v>2051.02</v>
      </c>
      <c r="C2670" s="9">
        <v>2012.84</v>
      </c>
      <c r="D2670" s="9">
        <v>2019.33</v>
      </c>
      <c r="E2670" s="9">
        <f t="shared" si="123"/>
        <v>-1.9265224543016803E-2</v>
      </c>
      <c r="F2670" s="9">
        <f t="shared" si="124"/>
        <v>-0.10532931670432584</v>
      </c>
      <c r="G2670" s="9">
        <f t="shared" si="125"/>
        <v>1.5706438600719491E-2</v>
      </c>
    </row>
    <row r="2671" spans="1:7" x14ac:dyDescent="0.2">
      <c r="A2671" s="12">
        <v>41015</v>
      </c>
      <c r="B2671" s="9">
        <v>2041.04</v>
      </c>
      <c r="C2671" s="9">
        <v>2003.36</v>
      </c>
      <c r="D2671" s="9">
        <v>2022.41</v>
      </c>
      <c r="E2671" s="9">
        <f t="shared" si="123"/>
        <v>1.5240963526617554E-3</v>
      </c>
      <c r="F2671" s="9">
        <f t="shared" si="124"/>
        <v>-0.10427310248064132</v>
      </c>
      <c r="G2671" s="9">
        <f t="shared" si="125"/>
        <v>1.5716845399360531E-2</v>
      </c>
    </row>
    <row r="2672" spans="1:7" x14ac:dyDescent="0.2">
      <c r="A2672" s="12">
        <v>41016</v>
      </c>
      <c r="B2672" s="9">
        <v>2083.58</v>
      </c>
      <c r="C2672" s="9">
        <v>2018.65</v>
      </c>
      <c r="D2672" s="9">
        <v>2079.21</v>
      </c>
      <c r="E2672" s="9">
        <f t="shared" si="123"/>
        <v>2.769814429727931E-2</v>
      </c>
      <c r="F2672" s="9">
        <f t="shared" si="124"/>
        <v>-8.0713965174802074E-2</v>
      </c>
      <c r="G2672" s="9">
        <f t="shared" si="125"/>
        <v>1.6670110211499129E-2</v>
      </c>
    </row>
    <row r="2673" spans="1:7" x14ac:dyDescent="0.2">
      <c r="A2673" s="12">
        <v>41017</v>
      </c>
      <c r="B2673" s="9">
        <v>2080.64</v>
      </c>
      <c r="C2673" s="9">
        <v>2041.94</v>
      </c>
      <c r="D2673" s="9">
        <v>2050.12</v>
      </c>
      <c r="E2673" s="9">
        <f t="shared" si="123"/>
        <v>-1.4089685853225641E-2</v>
      </c>
      <c r="F2673" s="9">
        <f t="shared" si="124"/>
        <v>-8.6960159163864112E-2</v>
      </c>
      <c r="G2673" s="9">
        <f t="shared" si="125"/>
        <v>1.6775364434442958E-2</v>
      </c>
    </row>
    <row r="2674" spans="1:7" x14ac:dyDescent="0.2">
      <c r="A2674" s="12">
        <v>41018</v>
      </c>
      <c r="B2674" s="9">
        <v>2090.6</v>
      </c>
      <c r="C2674" s="9">
        <v>2037.29</v>
      </c>
      <c r="D2674" s="9">
        <v>2038.18</v>
      </c>
      <c r="E2674" s="9">
        <f t="shared" si="123"/>
        <v>-5.8410752378982795E-3</v>
      </c>
      <c r="F2674" s="9">
        <f t="shared" si="124"/>
        <v>-5.2884869793321736E-2</v>
      </c>
      <c r="G2674" s="9">
        <f t="shared" si="125"/>
        <v>1.5268422107595081E-2</v>
      </c>
    </row>
    <row r="2675" spans="1:7" x14ac:dyDescent="0.2">
      <c r="A2675" s="12">
        <v>41019</v>
      </c>
      <c r="B2675" s="9">
        <v>2054.36</v>
      </c>
      <c r="C2675" s="9">
        <v>2027.65</v>
      </c>
      <c r="D2675" s="9">
        <v>2043.81</v>
      </c>
      <c r="E2675" s="9">
        <f t="shared" si="123"/>
        <v>2.7584602460745877E-3</v>
      </c>
      <c r="F2675" s="9">
        <f t="shared" si="124"/>
        <v>-6.7934483320033545E-2</v>
      </c>
      <c r="G2675" s="9">
        <f t="shared" si="125"/>
        <v>1.4844584315791495E-2</v>
      </c>
    </row>
    <row r="2676" spans="1:7" x14ac:dyDescent="0.2">
      <c r="A2676" s="12">
        <v>41022</v>
      </c>
      <c r="B2676" s="9">
        <v>2035.83</v>
      </c>
      <c r="C2676" s="9">
        <v>1977.13</v>
      </c>
      <c r="D2676" s="9">
        <v>1983.6</v>
      </c>
      <c r="E2676" s="9">
        <f t="shared" si="123"/>
        <v>-2.9902337397818141E-2</v>
      </c>
      <c r="F2676" s="9">
        <f t="shared" si="124"/>
        <v>-0.11635251327185117</v>
      </c>
      <c r="G2676" s="9">
        <f t="shared" si="125"/>
        <v>1.5136597146581209E-2</v>
      </c>
    </row>
    <row r="2677" spans="1:7" x14ac:dyDescent="0.2">
      <c r="A2677" s="12">
        <v>41023</v>
      </c>
      <c r="B2677" s="9">
        <v>2052.84</v>
      </c>
      <c r="C2677" s="9">
        <v>2007.26</v>
      </c>
      <c r="D2677" s="9">
        <v>2047.03</v>
      </c>
      <c r="E2677" s="9">
        <f t="shared" si="123"/>
        <v>3.1476586532470034E-2</v>
      </c>
      <c r="F2677" s="9">
        <f t="shared" si="124"/>
        <v>-8.1774675214505127E-2</v>
      </c>
      <c r="G2677" s="9">
        <f t="shared" si="125"/>
        <v>1.6456733962660404E-2</v>
      </c>
    </row>
    <row r="2678" spans="1:7" x14ac:dyDescent="0.2">
      <c r="A2678" s="12">
        <v>41024</v>
      </c>
      <c r="B2678" s="9">
        <v>2101.6</v>
      </c>
      <c r="C2678" s="9">
        <v>2054.7199999999998</v>
      </c>
      <c r="D2678" s="9">
        <v>2099.0300000000002</v>
      </c>
      <c r="E2678" s="9">
        <f t="shared" si="123"/>
        <v>2.5085371091294738E-2</v>
      </c>
      <c r="F2678" s="9">
        <f t="shared" si="124"/>
        <v>-5.6657792818527092E-2</v>
      </c>
      <c r="G2678" s="9">
        <f t="shared" si="125"/>
        <v>1.7219749360004911E-2</v>
      </c>
    </row>
    <row r="2679" spans="1:7" x14ac:dyDescent="0.2">
      <c r="A2679" s="12">
        <v>41025</v>
      </c>
      <c r="B2679" s="9">
        <v>2124.5500000000002</v>
      </c>
      <c r="C2679" s="9">
        <v>2063.8000000000002</v>
      </c>
      <c r="D2679" s="9">
        <v>2069.5100000000002</v>
      </c>
      <c r="E2679" s="9">
        <f t="shared" si="123"/>
        <v>-1.4163468976586361E-2</v>
      </c>
      <c r="F2679" s="9">
        <f t="shared" si="124"/>
        <v>-8.8013125202367468E-2</v>
      </c>
      <c r="G2679" s="9">
        <f t="shared" si="125"/>
        <v>1.6971487381863683E-2</v>
      </c>
    </row>
    <row r="2680" spans="1:7" x14ac:dyDescent="0.2">
      <c r="A2680" s="12">
        <v>41026</v>
      </c>
      <c r="B2680" s="9">
        <v>2130.13</v>
      </c>
      <c r="C2680" s="9">
        <v>2058.73</v>
      </c>
      <c r="D2680" s="9">
        <v>2118.3000000000002</v>
      </c>
      <c r="E2680" s="9">
        <f t="shared" si="123"/>
        <v>2.3302015928253605E-2</v>
      </c>
      <c r="F2680" s="9">
        <f t="shared" si="124"/>
        <v>-6.6545781548281363E-2</v>
      </c>
      <c r="G2680" s="9">
        <f t="shared" si="125"/>
        <v>1.7619666745838213E-2</v>
      </c>
    </row>
    <row r="2681" spans="1:7" x14ac:dyDescent="0.2">
      <c r="A2681" s="12">
        <v>41029</v>
      </c>
      <c r="B2681" s="9">
        <v>2128.71</v>
      </c>
      <c r="C2681" s="9">
        <v>2086.35</v>
      </c>
      <c r="D2681" s="9">
        <v>2087.7600000000002</v>
      </c>
      <c r="E2681" s="9">
        <f t="shared" si="123"/>
        <v>-1.4522159323015786E-2</v>
      </c>
      <c r="F2681" s="9">
        <f t="shared" si="124"/>
        <v>-8.6235523986627316E-2</v>
      </c>
      <c r="G2681" s="9">
        <f t="shared" si="125"/>
        <v>1.7701589715382989E-2</v>
      </c>
    </row>
    <row r="2682" spans="1:7" x14ac:dyDescent="0.2">
      <c r="A2682" s="12">
        <v>41031</v>
      </c>
      <c r="B2682" s="9">
        <v>2121.09</v>
      </c>
      <c r="C2682" s="9">
        <v>2058.39</v>
      </c>
      <c r="D2682" s="9">
        <v>2074.11</v>
      </c>
      <c r="E2682" s="9">
        <f t="shared" si="123"/>
        <v>-6.5595748758806192E-3</v>
      </c>
      <c r="F2682" s="9">
        <f t="shared" si="124"/>
        <v>-9.9019671556770786E-2</v>
      </c>
      <c r="G2682" s="9">
        <f t="shared" si="125"/>
        <v>1.762871918906616E-2</v>
      </c>
    </row>
    <row r="2683" spans="1:7" x14ac:dyDescent="0.2">
      <c r="A2683" s="12">
        <v>41032</v>
      </c>
      <c r="B2683" s="9">
        <v>2093.7800000000002</v>
      </c>
      <c r="C2683" s="9">
        <v>2063.5</v>
      </c>
      <c r="D2683" s="9">
        <v>2075.04</v>
      </c>
      <c r="E2683" s="9">
        <f t="shared" si="123"/>
        <v>4.4828459591677536E-4</v>
      </c>
      <c r="F2683" s="9">
        <f t="shared" si="124"/>
        <v>-9.9754093401320187E-2</v>
      </c>
      <c r="G2683" s="9">
        <f t="shared" si="125"/>
        <v>1.7622787467105678E-2</v>
      </c>
    </row>
    <row r="2684" spans="1:7" x14ac:dyDescent="0.2">
      <c r="A2684" s="12">
        <v>41033</v>
      </c>
      <c r="B2684" s="9">
        <v>2061.56</v>
      </c>
      <c r="C2684" s="9">
        <v>2008.7</v>
      </c>
      <c r="D2684" s="9">
        <v>2016.5</v>
      </c>
      <c r="E2684" s="9">
        <f t="shared" si="123"/>
        <v>-2.8617095274008495E-2</v>
      </c>
      <c r="F2684" s="9">
        <f t="shared" si="124"/>
        <v>-0.1120393773006181</v>
      </c>
      <c r="G2684" s="9">
        <f t="shared" si="125"/>
        <v>1.8072454896729543E-2</v>
      </c>
    </row>
    <row r="2685" spans="1:7" x14ac:dyDescent="0.2">
      <c r="A2685" s="12">
        <v>41036</v>
      </c>
      <c r="B2685" s="9">
        <v>2037.26</v>
      </c>
      <c r="C2685" s="9">
        <v>1979.02</v>
      </c>
      <c r="D2685" s="9">
        <v>2034.2</v>
      </c>
      <c r="E2685" s="9">
        <f t="shared" si="123"/>
        <v>8.7392858780729436E-3</v>
      </c>
      <c r="F2685" s="9">
        <f t="shared" si="124"/>
        <v>-8.8071019217989849E-2</v>
      </c>
      <c r="G2685" s="9">
        <f t="shared" si="125"/>
        <v>1.8076583143281411E-2</v>
      </c>
    </row>
    <row r="2686" spans="1:7" x14ac:dyDescent="0.2">
      <c r="A2686" s="12">
        <v>41037</v>
      </c>
      <c r="B2686" s="9">
        <v>2045.63</v>
      </c>
      <c r="C2686" s="9">
        <v>2006.73</v>
      </c>
      <c r="D2686" s="9">
        <v>2010.37</v>
      </c>
      <c r="E2686" s="9">
        <f t="shared" si="123"/>
        <v>-1.1783836476955474E-2</v>
      </c>
      <c r="F2686" s="9">
        <f t="shared" si="124"/>
        <v>-8.5505130512209288E-2</v>
      </c>
      <c r="G2686" s="9">
        <f t="shared" si="125"/>
        <v>1.8026716741603378E-2</v>
      </c>
    </row>
    <row r="2687" spans="1:7" x14ac:dyDescent="0.2">
      <c r="A2687" s="12">
        <v>41038</v>
      </c>
      <c r="B2687" s="9">
        <v>2033.37</v>
      </c>
      <c r="C2687" s="9">
        <v>1985.91</v>
      </c>
      <c r="D2687" s="9">
        <v>2006.27</v>
      </c>
      <c r="E2687" s="9">
        <f t="shared" si="123"/>
        <v>-2.0415080385510582E-3</v>
      </c>
      <c r="F2687" s="9">
        <f t="shared" si="124"/>
        <v>-9.2811702339161403E-2</v>
      </c>
      <c r="G2687" s="9">
        <f t="shared" si="125"/>
        <v>1.7962537975177256E-2</v>
      </c>
    </row>
    <row r="2688" spans="1:7" x14ac:dyDescent="0.2">
      <c r="A2688" s="12">
        <v>41039</v>
      </c>
      <c r="B2688" s="9">
        <v>2038</v>
      </c>
      <c r="C2688" s="9">
        <v>1994.35</v>
      </c>
      <c r="D2688" s="9">
        <v>2026.95</v>
      </c>
      <c r="E2688" s="9">
        <f t="shared" si="123"/>
        <v>1.0254923476215341E-2</v>
      </c>
      <c r="F2688" s="9">
        <f t="shared" si="124"/>
        <v>-9.9246994506423533E-2</v>
      </c>
      <c r="G2688" s="9">
        <f t="shared" si="125"/>
        <v>1.7755360570963288E-2</v>
      </c>
    </row>
    <row r="2689" spans="1:7" x14ac:dyDescent="0.2">
      <c r="A2689" s="12">
        <v>41040</v>
      </c>
      <c r="B2689" s="9">
        <v>2043.45</v>
      </c>
      <c r="C2689" s="9">
        <v>2007.58</v>
      </c>
      <c r="D2689" s="9">
        <v>2041.3</v>
      </c>
      <c r="E2689" s="9">
        <f t="shared" si="123"/>
        <v>7.054659627333584E-3</v>
      </c>
      <c r="F2689" s="9">
        <f t="shared" si="124"/>
        <v>-8.0355430797438537E-2</v>
      </c>
      <c r="G2689" s="9">
        <f t="shared" si="125"/>
        <v>1.7777443076064926E-2</v>
      </c>
    </row>
    <row r="2690" spans="1:7" x14ac:dyDescent="0.2">
      <c r="A2690" s="12">
        <v>41043</v>
      </c>
      <c r="B2690" s="9">
        <v>2022.77</v>
      </c>
      <c r="C2690" s="9">
        <v>1950.7</v>
      </c>
      <c r="D2690" s="9">
        <v>1962.7</v>
      </c>
      <c r="E2690" s="9">
        <f t="shared" si="123"/>
        <v>-3.9265783487504986E-2</v>
      </c>
      <c r="F2690" s="9">
        <f t="shared" si="124"/>
        <v>-0.11331321815582007</v>
      </c>
      <c r="G2690" s="9">
        <f t="shared" si="125"/>
        <v>1.8986687641313591E-2</v>
      </c>
    </row>
    <row r="2691" spans="1:7" x14ac:dyDescent="0.2">
      <c r="A2691" s="12">
        <v>41044</v>
      </c>
      <c r="B2691" s="9">
        <v>1981.98</v>
      </c>
      <c r="C2691" s="9">
        <v>1925.84</v>
      </c>
      <c r="D2691" s="9">
        <v>1929.24</v>
      </c>
      <c r="E2691" s="9">
        <f t="shared" si="123"/>
        <v>-1.7194933329164493E-2</v>
      </c>
      <c r="F2691" s="9">
        <f t="shared" si="124"/>
        <v>-0.11846240462936471</v>
      </c>
      <c r="G2691" s="9">
        <f t="shared" si="125"/>
        <v>1.9087022827013234E-2</v>
      </c>
    </row>
    <row r="2692" spans="1:7" x14ac:dyDescent="0.2">
      <c r="A2692" s="12">
        <v>41045</v>
      </c>
      <c r="B2692" s="9">
        <v>1934.38</v>
      </c>
      <c r="C2692" s="9">
        <v>1881.18</v>
      </c>
      <c r="D2692" s="9">
        <v>1912.86</v>
      </c>
      <c r="E2692" s="9">
        <f t="shared" ref="E2692:E2755" si="126">LN(D2692/D2691)</f>
        <v>-8.5266386821004382E-3</v>
      </c>
      <c r="F2692" s="9">
        <f t="shared" si="124"/>
        <v>-0.14398568846737075</v>
      </c>
      <c r="G2692" s="9">
        <f t="shared" si="125"/>
        <v>1.8685834409501268E-2</v>
      </c>
    </row>
    <row r="2693" spans="1:7" x14ac:dyDescent="0.2">
      <c r="A2693" s="12">
        <v>41047</v>
      </c>
      <c r="B2693" s="9">
        <v>1889.37</v>
      </c>
      <c r="C2693" s="9">
        <v>1853.84</v>
      </c>
      <c r="D2693" s="9">
        <v>1864.06</v>
      </c>
      <c r="E2693" s="9">
        <f t="shared" si="126"/>
        <v>-2.5842599712079889E-2</v>
      </c>
      <c r="F2693" s="9">
        <f t="shared" si="124"/>
        <v>-0.17218845403443006</v>
      </c>
      <c r="G2693" s="9">
        <f t="shared" si="125"/>
        <v>1.9019670902706655E-2</v>
      </c>
    </row>
    <row r="2694" spans="1:7" x14ac:dyDescent="0.2">
      <c r="A2694" s="12">
        <v>41050</v>
      </c>
      <c r="B2694" s="9">
        <v>1905.47</v>
      </c>
      <c r="C2694" s="9">
        <v>1865.49</v>
      </c>
      <c r="D2694" s="9">
        <v>1895.12</v>
      </c>
      <c r="E2694" s="9">
        <f t="shared" si="126"/>
        <v>1.6525256481182745E-2</v>
      </c>
      <c r="F2694" s="9">
        <f t="shared" si="124"/>
        <v>-0.15015199480370775</v>
      </c>
      <c r="G2694" s="9">
        <f t="shared" si="125"/>
        <v>1.94494694908895E-2</v>
      </c>
    </row>
    <row r="2695" spans="1:7" x14ac:dyDescent="0.2">
      <c r="A2695" s="12">
        <v>41051</v>
      </c>
      <c r="B2695" s="9">
        <v>1946.83</v>
      </c>
      <c r="C2695" s="9">
        <v>1907.46</v>
      </c>
      <c r="D2695" s="9">
        <v>1939.72</v>
      </c>
      <c r="E2695" s="9">
        <f t="shared" si="126"/>
        <v>2.3261471694033503E-2</v>
      </c>
      <c r="F2695" s="9">
        <f t="shared" si="124"/>
        <v>-8.7437464550196117E-2</v>
      </c>
      <c r="G2695" s="9">
        <f t="shared" si="125"/>
        <v>1.8984025336256382E-2</v>
      </c>
    </row>
    <row r="2696" spans="1:7" x14ac:dyDescent="0.2">
      <c r="A2696" s="12">
        <v>41052</v>
      </c>
      <c r="B2696" s="9">
        <v>1917.8</v>
      </c>
      <c r="C2696" s="9">
        <v>1867.68</v>
      </c>
      <c r="D2696" s="9">
        <v>1869.55</v>
      </c>
      <c r="E2696" s="9">
        <f t="shared" si="126"/>
        <v>-3.6845872565364958E-2</v>
      </c>
      <c r="F2696" s="9">
        <f t="shared" si="124"/>
        <v>-0.12765513091949454</v>
      </c>
      <c r="G2696" s="9">
        <f t="shared" si="125"/>
        <v>1.9921658557936459E-2</v>
      </c>
    </row>
    <row r="2697" spans="1:7" x14ac:dyDescent="0.2">
      <c r="A2697" s="12">
        <v>41053</v>
      </c>
      <c r="B2697" s="9">
        <v>1893.83</v>
      </c>
      <c r="C2697" s="9">
        <v>1855.53</v>
      </c>
      <c r="D2697" s="9">
        <v>1885.38</v>
      </c>
      <c r="E2697" s="9">
        <f t="shared" si="126"/>
        <v>8.4316318986692295E-3</v>
      </c>
      <c r="F2697" s="9">
        <f t="shared" si="124"/>
        <v>-8.4563695432611857E-2</v>
      </c>
      <c r="G2697" s="9">
        <f t="shared" si="125"/>
        <v>1.9194035955707414E-2</v>
      </c>
    </row>
    <row r="2698" spans="1:7" x14ac:dyDescent="0.2">
      <c r="A2698" s="12">
        <v>41054</v>
      </c>
      <c r="B2698" s="9">
        <v>1906.2</v>
      </c>
      <c r="C2698" s="9">
        <v>1869.74</v>
      </c>
      <c r="D2698" s="9">
        <v>1883.52</v>
      </c>
      <c r="E2698" s="9">
        <f t="shared" si="126"/>
        <v>-9.8702547215589543E-4</v>
      </c>
      <c r="F2698" s="9">
        <f t="shared" si="124"/>
        <v>-8.5014449441057696E-2</v>
      </c>
      <c r="G2698" s="9">
        <f t="shared" si="125"/>
        <v>1.9192363935650866E-2</v>
      </c>
    </row>
    <row r="2699" spans="1:7" x14ac:dyDescent="0.2">
      <c r="A2699" s="12">
        <v>41057</v>
      </c>
      <c r="B2699" s="9">
        <v>1921.46</v>
      </c>
      <c r="C2699" s="9">
        <v>1872.68</v>
      </c>
      <c r="D2699" s="9">
        <v>1881.64</v>
      </c>
      <c r="E2699" s="9">
        <f t="shared" si="126"/>
        <v>-9.9862962330280825E-4</v>
      </c>
      <c r="F2699" s="9">
        <f t="shared" si="124"/>
        <v>-8.9887260769171515E-2</v>
      </c>
      <c r="G2699" s="9">
        <f t="shared" si="125"/>
        <v>1.9154217487442358E-2</v>
      </c>
    </row>
    <row r="2700" spans="1:7" x14ac:dyDescent="0.2">
      <c r="A2700" s="12">
        <v>41058</v>
      </c>
      <c r="B2700" s="9">
        <v>1918.41</v>
      </c>
      <c r="C2700" s="9">
        <v>1878.53</v>
      </c>
      <c r="D2700" s="9">
        <v>1903.75</v>
      </c>
      <c r="E2700" s="9">
        <f t="shared" si="126"/>
        <v>1.1681888227621178E-2</v>
      </c>
      <c r="F2700" s="9">
        <f t="shared" si="124"/>
        <v>-5.8940147998533712E-2</v>
      </c>
      <c r="G2700" s="9">
        <f t="shared" si="125"/>
        <v>1.9081025932456593E-2</v>
      </c>
    </row>
    <row r="2701" spans="1:7" x14ac:dyDescent="0.2">
      <c r="A2701" s="12">
        <v>41059</v>
      </c>
      <c r="B2701" s="9">
        <v>1899.41</v>
      </c>
      <c r="C2701" s="9">
        <v>1863.07</v>
      </c>
      <c r="D2701" s="9">
        <v>1865.99</v>
      </c>
      <c r="E2701" s="9">
        <f t="shared" si="126"/>
        <v>-2.0033881873248234E-2</v>
      </c>
      <c r="F2701" s="9">
        <f t="shared" si="124"/>
        <v>-8.0498126224443592E-2</v>
      </c>
      <c r="G2701" s="9">
        <f t="shared" si="125"/>
        <v>1.9349164001351317E-2</v>
      </c>
    </row>
    <row r="2702" spans="1:7" x14ac:dyDescent="0.2">
      <c r="A2702" s="12">
        <v>41060</v>
      </c>
      <c r="B2702" s="9">
        <v>1881.54</v>
      </c>
      <c r="C2702" s="9">
        <v>1824.03</v>
      </c>
      <c r="D2702" s="9">
        <v>1836.31</v>
      </c>
      <c r="E2702" s="9">
        <f t="shared" si="126"/>
        <v>-1.6033620092549463E-2</v>
      </c>
      <c r="F2702" s="9">
        <f t="shared" si="124"/>
        <v>-0.12422989061427242</v>
      </c>
      <c r="G2702" s="9">
        <f t="shared" si="125"/>
        <v>1.8614757593981023E-2</v>
      </c>
    </row>
    <row r="2703" spans="1:7" x14ac:dyDescent="0.2">
      <c r="A2703" s="12">
        <v>41061</v>
      </c>
      <c r="B2703" s="9">
        <v>1844.67</v>
      </c>
      <c r="C2703" s="9">
        <v>1770.34</v>
      </c>
      <c r="D2703" s="9">
        <v>1785.97</v>
      </c>
      <c r="E2703" s="9">
        <f t="shared" si="126"/>
        <v>-2.7796438260635881E-2</v>
      </c>
      <c r="F2703" s="9">
        <f t="shared" si="124"/>
        <v>-0.13793664302168263</v>
      </c>
      <c r="G2703" s="9">
        <f t="shared" si="125"/>
        <v>1.903092566215631E-2</v>
      </c>
    </row>
    <row r="2704" spans="1:7" x14ac:dyDescent="0.2">
      <c r="A2704" s="12">
        <v>41064</v>
      </c>
      <c r="B2704" s="9">
        <v>1774.44</v>
      </c>
      <c r="C2704" s="9">
        <v>1759.29</v>
      </c>
      <c r="D2704" s="9">
        <v>1762.35</v>
      </c>
      <c r="E2704" s="9">
        <f t="shared" si="126"/>
        <v>-1.3313539301246673E-2</v>
      </c>
      <c r="F2704" s="9">
        <f t="shared" si="124"/>
        <v>-0.14540910708503119</v>
      </c>
      <c r="G2704" s="9">
        <f t="shared" si="125"/>
        <v>1.9096545652138683E-2</v>
      </c>
    </row>
    <row r="2705" spans="1:7" x14ac:dyDescent="0.2">
      <c r="A2705" s="12">
        <v>41065</v>
      </c>
      <c r="B2705" s="9">
        <v>1787.02</v>
      </c>
      <c r="C2705" s="9">
        <v>1768.29</v>
      </c>
      <c r="D2705" s="9">
        <v>1777.82</v>
      </c>
      <c r="E2705" s="9">
        <f t="shared" si="126"/>
        <v>8.7397489219808479E-3</v>
      </c>
      <c r="F2705" s="9">
        <f t="shared" si="124"/>
        <v>-0.13942781840912485</v>
      </c>
      <c r="G2705" s="9">
        <f t="shared" si="125"/>
        <v>1.9209576865328228E-2</v>
      </c>
    </row>
    <row r="2706" spans="1:7" x14ac:dyDescent="0.2">
      <c r="A2706" s="12">
        <v>41066</v>
      </c>
      <c r="B2706" s="9">
        <v>1829.44</v>
      </c>
      <c r="C2706" s="9">
        <v>1795.88</v>
      </c>
      <c r="D2706" s="9">
        <v>1829.4</v>
      </c>
      <c r="E2706" s="9">
        <f t="shared" si="126"/>
        <v>2.8600149618592009E-2</v>
      </c>
      <c r="F2706" s="9">
        <f t="shared" si="124"/>
        <v>-8.0925331392714642E-2</v>
      </c>
      <c r="G2706" s="9">
        <f t="shared" si="125"/>
        <v>1.952430240077186E-2</v>
      </c>
    </row>
    <row r="2707" spans="1:7" x14ac:dyDescent="0.2">
      <c r="A2707" s="12">
        <v>41067</v>
      </c>
      <c r="B2707" s="9">
        <v>1870.32</v>
      </c>
      <c r="C2707" s="9">
        <v>1824.21</v>
      </c>
      <c r="D2707" s="9">
        <v>1854.69</v>
      </c>
      <c r="E2707" s="9">
        <f t="shared" si="126"/>
        <v>1.3729521950888099E-2</v>
      </c>
      <c r="F2707" s="9">
        <f t="shared" si="124"/>
        <v>-9.8672395974296778E-2</v>
      </c>
      <c r="G2707" s="9">
        <f t="shared" si="125"/>
        <v>1.8704814980869011E-2</v>
      </c>
    </row>
    <row r="2708" spans="1:7" x14ac:dyDescent="0.2">
      <c r="A2708" s="12">
        <v>41068</v>
      </c>
      <c r="B2708" s="9">
        <v>1863.32</v>
      </c>
      <c r="C2708" s="9">
        <v>1818.2</v>
      </c>
      <c r="D2708" s="9">
        <v>1855.74</v>
      </c>
      <c r="E2708" s="9">
        <f t="shared" si="126"/>
        <v>5.6597215310812664E-4</v>
      </c>
      <c r="F2708" s="9">
        <f t="shared" si="124"/>
        <v>-0.12319179491248348</v>
      </c>
      <c r="G2708" s="9">
        <f t="shared" si="125"/>
        <v>1.7942383773440755E-2</v>
      </c>
    </row>
    <row r="2709" spans="1:7" x14ac:dyDescent="0.2">
      <c r="A2709" s="12">
        <v>41071</v>
      </c>
      <c r="B2709" s="9">
        <v>1913.53</v>
      </c>
      <c r="C2709" s="9">
        <v>1845.51</v>
      </c>
      <c r="D2709" s="9">
        <v>1846.19</v>
      </c>
      <c r="E2709" s="9">
        <f t="shared" si="126"/>
        <v>-5.1594823161318836E-3</v>
      </c>
      <c r="F2709" s="9">
        <f t="shared" si="124"/>
        <v>-0.11418780825202905</v>
      </c>
      <c r="G2709" s="9">
        <f t="shared" si="125"/>
        <v>1.7843386448979506E-2</v>
      </c>
    </row>
    <row r="2710" spans="1:7" x14ac:dyDescent="0.2">
      <c r="A2710" s="12">
        <v>41072</v>
      </c>
      <c r="B2710" s="9">
        <v>1852.02</v>
      </c>
      <c r="C2710" s="9">
        <v>1822.49</v>
      </c>
      <c r="D2710" s="9">
        <v>1844.83</v>
      </c>
      <c r="E2710" s="9">
        <f t="shared" si="126"/>
        <v>-7.3692370214554766E-4</v>
      </c>
      <c r="F2710" s="9">
        <f t="shared" si="124"/>
        <v>-0.13822674788242811</v>
      </c>
      <c r="G2710" s="9">
        <f t="shared" si="125"/>
        <v>1.7108685627775656E-2</v>
      </c>
    </row>
    <row r="2711" spans="1:7" x14ac:dyDescent="0.2">
      <c r="A2711" s="12">
        <v>41073</v>
      </c>
      <c r="B2711" s="9">
        <v>1862.56</v>
      </c>
      <c r="C2711" s="9">
        <v>1795.6</v>
      </c>
      <c r="D2711" s="9">
        <v>1803.2</v>
      </c>
      <c r="E2711" s="9">
        <f t="shared" si="126"/>
        <v>-2.2824268022470982E-2</v>
      </c>
      <c r="F2711" s="9">
        <f t="shared" si="124"/>
        <v>-0.1465288565818833</v>
      </c>
      <c r="G2711" s="9">
        <f t="shared" si="125"/>
        <v>1.7340164949084341E-2</v>
      </c>
    </row>
    <row r="2712" spans="1:7" x14ac:dyDescent="0.2">
      <c r="A2712" s="12">
        <v>41074</v>
      </c>
      <c r="B2712" s="9">
        <v>1799.04</v>
      </c>
      <c r="C2712" s="9">
        <v>1764.47</v>
      </c>
      <c r="D2712" s="9">
        <v>1781.91</v>
      </c>
      <c r="E2712" s="9">
        <f t="shared" si="126"/>
        <v>-1.1877041580685251E-2</v>
      </c>
      <c r="F2712" s="9">
        <f t="shared" si="124"/>
        <v>-0.15184632328668793</v>
      </c>
      <c r="G2712" s="9">
        <f t="shared" si="125"/>
        <v>1.7384999199722435E-2</v>
      </c>
    </row>
    <row r="2713" spans="1:7" x14ac:dyDescent="0.2">
      <c r="A2713" s="12">
        <v>41075</v>
      </c>
      <c r="B2713" s="9">
        <v>1830.34</v>
      </c>
      <c r="C2713" s="9">
        <v>1787.98</v>
      </c>
      <c r="D2713" s="9">
        <v>1827.88</v>
      </c>
      <c r="E2713" s="9">
        <f t="shared" si="126"/>
        <v>2.5471002640284467E-2</v>
      </c>
      <c r="F2713" s="9">
        <f t="shared" si="124"/>
        <v>-0.12682360524232025</v>
      </c>
      <c r="G2713" s="9">
        <f t="shared" si="125"/>
        <v>1.823781095339308E-2</v>
      </c>
    </row>
    <row r="2714" spans="1:7" x14ac:dyDescent="0.2">
      <c r="A2714" s="12">
        <v>41078</v>
      </c>
      <c r="B2714" s="9">
        <v>1870.69</v>
      </c>
      <c r="C2714" s="9">
        <v>1810.71</v>
      </c>
      <c r="D2714" s="9">
        <v>1825.88</v>
      </c>
      <c r="E2714" s="9">
        <f t="shared" si="126"/>
        <v>-1.0947627647961862E-3</v>
      </c>
      <c r="F2714" s="9">
        <f t="shared" si="124"/>
        <v>-9.930127273310789E-2</v>
      </c>
      <c r="G2714" s="9">
        <f t="shared" si="125"/>
        <v>1.7651437897578878E-2</v>
      </c>
    </row>
    <row r="2715" spans="1:7" x14ac:dyDescent="0.2">
      <c r="A2715" s="12">
        <v>41079</v>
      </c>
      <c r="B2715" s="9">
        <v>1870.63</v>
      </c>
      <c r="C2715" s="9">
        <v>1825</v>
      </c>
      <c r="D2715" s="9">
        <v>1865.18</v>
      </c>
      <c r="E2715" s="9">
        <f t="shared" si="126"/>
        <v>2.129550058566089E-2</v>
      </c>
      <c r="F2715" s="9">
        <f t="shared" si="124"/>
        <v>-8.6745058025520017E-2</v>
      </c>
      <c r="G2715" s="9">
        <f t="shared" si="125"/>
        <v>1.8090401041790001E-2</v>
      </c>
    </row>
    <row r="2716" spans="1:7" x14ac:dyDescent="0.2">
      <c r="A2716" s="12">
        <v>41080</v>
      </c>
      <c r="B2716" s="9">
        <v>1884.62</v>
      </c>
      <c r="C2716" s="9">
        <v>1854.2</v>
      </c>
      <c r="D2716" s="9">
        <v>1884.62</v>
      </c>
      <c r="E2716" s="9">
        <f t="shared" si="126"/>
        <v>1.0368645881898831E-2</v>
      </c>
      <c r="F2716" s="9">
        <f t="shared" si="124"/>
        <v>-6.4592575666665791E-2</v>
      </c>
      <c r="G2716" s="9">
        <f t="shared" si="125"/>
        <v>1.8166866242448652E-2</v>
      </c>
    </row>
    <row r="2717" spans="1:7" x14ac:dyDescent="0.2">
      <c r="A2717" s="12">
        <v>41081</v>
      </c>
      <c r="B2717" s="9">
        <v>1884.19</v>
      </c>
      <c r="C2717" s="9">
        <v>1846.65</v>
      </c>
      <c r="D2717" s="9">
        <v>1867.61</v>
      </c>
      <c r="E2717" s="9">
        <f t="shared" si="126"/>
        <v>-9.0666704998035412E-3</v>
      </c>
      <c r="F2717" s="9">
        <f t="shared" si="124"/>
        <v>-7.1617738127918287E-2</v>
      </c>
      <c r="G2717" s="9">
        <f t="shared" si="125"/>
        <v>1.8210603153452316E-2</v>
      </c>
    </row>
    <row r="2718" spans="1:7" x14ac:dyDescent="0.2">
      <c r="A2718" s="12">
        <v>41085</v>
      </c>
      <c r="B2718" s="9">
        <v>1855.97</v>
      </c>
      <c r="C2718" s="9">
        <v>1795.6</v>
      </c>
      <c r="D2718" s="9">
        <v>1798.93</v>
      </c>
      <c r="E2718" s="9">
        <f t="shared" si="126"/>
        <v>-3.7467494860407888E-2</v>
      </c>
      <c r="F2718" s="9">
        <f t="shared" si="124"/>
        <v>-0.11934015646454163</v>
      </c>
      <c r="G2718" s="9">
        <f t="shared" si="125"/>
        <v>1.9129359916613537E-2</v>
      </c>
    </row>
    <row r="2719" spans="1:7" x14ac:dyDescent="0.2">
      <c r="A2719" s="12">
        <v>41086</v>
      </c>
      <c r="B2719" s="9">
        <v>1810.56</v>
      </c>
      <c r="C2719" s="9">
        <v>1777.92</v>
      </c>
      <c r="D2719" s="9">
        <v>1786.61</v>
      </c>
      <c r="E2719" s="9">
        <f t="shared" si="126"/>
        <v>-6.87207421181196E-3</v>
      </c>
      <c r="F2719" s="9">
        <f t="shared" si="124"/>
        <v>-0.13326689030368707</v>
      </c>
      <c r="G2719" s="9">
        <f t="shared" si="125"/>
        <v>1.9021068831301533E-2</v>
      </c>
    </row>
    <row r="2720" spans="1:7" x14ac:dyDescent="0.2">
      <c r="A2720" s="12">
        <v>41087</v>
      </c>
      <c r="B2720" s="9">
        <v>1821.53</v>
      </c>
      <c r="C2720" s="9">
        <v>1788.59</v>
      </c>
      <c r="D2720" s="9">
        <v>1818.77</v>
      </c>
      <c r="E2720" s="9">
        <f t="shared" si="126"/>
        <v>1.7840478947063448E-2</v>
      </c>
      <c r="F2720" s="9">
        <f t="shared" si="124"/>
        <v>-7.6160627869118591E-2</v>
      </c>
      <c r="G2720" s="9">
        <f t="shared" si="125"/>
        <v>1.8258078755136672E-2</v>
      </c>
    </row>
    <row r="2721" spans="1:7" x14ac:dyDescent="0.2">
      <c r="A2721" s="12">
        <v>41088</v>
      </c>
      <c r="B2721" s="9">
        <v>1830.3</v>
      </c>
      <c r="C2721" s="9">
        <v>1790.53</v>
      </c>
      <c r="D2721" s="9">
        <v>1803.86</v>
      </c>
      <c r="E2721" s="9">
        <f t="shared" si="126"/>
        <v>-8.2316351333023789E-3</v>
      </c>
      <c r="F2721" s="9">
        <f t="shared" ref="F2721:F2784" si="127">LN(D2721/D2691)</f>
        <v>-6.7197329673256562E-2</v>
      </c>
      <c r="G2721" s="9">
        <f t="shared" ref="G2721:G2784" si="128">STDEV(E2692:E2721)</f>
        <v>1.8082466115646137E-2</v>
      </c>
    </row>
    <row r="2722" spans="1:7" x14ac:dyDescent="0.2">
      <c r="A2722" s="12">
        <v>41089</v>
      </c>
      <c r="B2722" s="9">
        <v>1872.66</v>
      </c>
      <c r="C2722" s="9">
        <v>1840.7</v>
      </c>
      <c r="D2722" s="9">
        <v>1871.67</v>
      </c>
      <c r="E2722" s="9">
        <f t="shared" si="126"/>
        <v>3.6902267157135904E-2</v>
      </c>
      <c r="F2722" s="9">
        <f t="shared" si="127"/>
        <v>-2.1768423834020095E-2</v>
      </c>
      <c r="G2722" s="9">
        <f t="shared" si="128"/>
        <v>1.9392574262528436E-2</v>
      </c>
    </row>
    <row r="2723" spans="1:7" x14ac:dyDescent="0.2">
      <c r="A2723" s="12">
        <v>41092</v>
      </c>
      <c r="B2723" s="9">
        <v>1911.6</v>
      </c>
      <c r="C2723" s="9">
        <v>1871.53</v>
      </c>
      <c r="D2723" s="9">
        <v>1906.32</v>
      </c>
      <c r="E2723" s="9">
        <f t="shared" si="126"/>
        <v>1.8343601546237941E-2</v>
      </c>
      <c r="F2723" s="9">
        <f t="shared" si="127"/>
        <v>2.241777742429768E-2</v>
      </c>
      <c r="G2723" s="9">
        <f t="shared" si="128"/>
        <v>1.9094842688354194E-2</v>
      </c>
    </row>
    <row r="2724" spans="1:7" x14ac:dyDescent="0.2">
      <c r="A2724" s="12">
        <v>41093</v>
      </c>
      <c r="B2724" s="9">
        <v>1934.24</v>
      </c>
      <c r="C2724" s="9">
        <v>1906.45</v>
      </c>
      <c r="D2724" s="9">
        <v>1934.24</v>
      </c>
      <c r="E2724" s="9">
        <f t="shared" si="126"/>
        <v>1.4539802460695474E-2</v>
      </c>
      <c r="F2724" s="9">
        <f t="shared" si="127"/>
        <v>2.0432323403810505E-2</v>
      </c>
      <c r="G2724" s="9">
        <f t="shared" si="128"/>
        <v>1.9041637817267934E-2</v>
      </c>
    </row>
    <row r="2725" spans="1:7" x14ac:dyDescent="0.2">
      <c r="A2725" s="12">
        <v>41094</v>
      </c>
      <c r="B2725" s="9">
        <v>1935.52</v>
      </c>
      <c r="C2725" s="9">
        <v>1908.68</v>
      </c>
      <c r="D2725" s="9">
        <v>1931.14</v>
      </c>
      <c r="E2725" s="9">
        <f t="shared" si="126"/>
        <v>-1.603982358593164E-3</v>
      </c>
      <c r="F2725" s="9">
        <f t="shared" si="127"/>
        <v>-4.4331306488161071E-3</v>
      </c>
      <c r="G2725" s="9">
        <f t="shared" si="128"/>
        <v>1.8559942732337281E-2</v>
      </c>
    </row>
    <row r="2726" spans="1:7" x14ac:dyDescent="0.2">
      <c r="A2726" s="12">
        <v>41095</v>
      </c>
      <c r="B2726" s="9">
        <v>1945.42</v>
      </c>
      <c r="C2726" s="9">
        <v>1907.18</v>
      </c>
      <c r="D2726" s="9">
        <v>1922.89</v>
      </c>
      <c r="E2726" s="9">
        <f t="shared" si="126"/>
        <v>-4.2812394305136864E-3</v>
      </c>
      <c r="F2726" s="9">
        <f t="shared" si="127"/>
        <v>2.813150248603519E-2</v>
      </c>
      <c r="G2726" s="9">
        <f t="shared" si="128"/>
        <v>1.7245348344062855E-2</v>
      </c>
    </row>
    <row r="2727" spans="1:7" x14ac:dyDescent="0.2">
      <c r="A2727" s="12">
        <v>41096</v>
      </c>
      <c r="B2727" s="9">
        <v>1914.44</v>
      </c>
      <c r="C2727" s="9">
        <v>1883.91</v>
      </c>
      <c r="D2727" s="9">
        <v>1883.91</v>
      </c>
      <c r="E2727" s="9">
        <f t="shared" si="126"/>
        <v>-2.0479858369959726E-2</v>
      </c>
      <c r="F2727" s="9">
        <f t="shared" si="127"/>
        <v>-7.799877825939302E-4</v>
      </c>
      <c r="G2727" s="9">
        <f t="shared" si="128"/>
        <v>1.7615970839395995E-2</v>
      </c>
    </row>
    <row r="2728" spans="1:7" x14ac:dyDescent="0.2">
      <c r="A2728" s="12">
        <v>41099</v>
      </c>
      <c r="B2728" s="9">
        <v>1886.7</v>
      </c>
      <c r="C2728" s="9">
        <v>1860.44</v>
      </c>
      <c r="D2728" s="9">
        <v>1869.56</v>
      </c>
      <c r="E2728" s="9">
        <f t="shared" si="126"/>
        <v>-7.6462952496339108E-3</v>
      </c>
      <c r="F2728" s="9">
        <f t="shared" si="127"/>
        <v>-7.4392575600719614E-3</v>
      </c>
      <c r="G2728" s="9">
        <f t="shared" si="128"/>
        <v>1.7670370260525127E-2</v>
      </c>
    </row>
    <row r="2729" spans="1:7" x14ac:dyDescent="0.2">
      <c r="A2729" s="12">
        <v>41100</v>
      </c>
      <c r="B2729" s="9">
        <v>1909.4</v>
      </c>
      <c r="C2729" s="9">
        <v>1868.87</v>
      </c>
      <c r="D2729" s="9">
        <v>1894.91</v>
      </c>
      <c r="E2729" s="9">
        <f t="shared" si="126"/>
        <v>1.3468234940004013E-2</v>
      </c>
      <c r="F2729" s="9">
        <f t="shared" si="127"/>
        <v>7.027607003234973E-3</v>
      </c>
      <c r="G2729" s="9">
        <f t="shared" si="128"/>
        <v>1.7845710554073996E-2</v>
      </c>
    </row>
    <row r="2730" spans="1:7" x14ac:dyDescent="0.2">
      <c r="A2730" s="12">
        <v>41101</v>
      </c>
      <c r="B2730" s="9">
        <v>1897.6</v>
      </c>
      <c r="C2730" s="9">
        <v>1877.58</v>
      </c>
      <c r="D2730" s="9">
        <v>1889.51</v>
      </c>
      <c r="E2730" s="9">
        <f t="shared" si="126"/>
        <v>-2.853807804048235E-3</v>
      </c>
      <c r="F2730" s="9">
        <f t="shared" si="127"/>
        <v>-7.5080890284343598E-3</v>
      </c>
      <c r="G2730" s="9">
        <f t="shared" si="128"/>
        <v>1.7721073634425089E-2</v>
      </c>
    </row>
    <row r="2731" spans="1:7" x14ac:dyDescent="0.2">
      <c r="A2731" s="12">
        <v>41102</v>
      </c>
      <c r="B2731" s="9">
        <v>1896.72</v>
      </c>
      <c r="C2731" s="9">
        <v>1869.75</v>
      </c>
      <c r="D2731" s="9">
        <v>1872.14</v>
      </c>
      <c r="E2731" s="9">
        <f t="shared" si="126"/>
        <v>-9.2353746149712469E-3</v>
      </c>
      <c r="F2731" s="9">
        <f t="shared" si="127"/>
        <v>3.290418229842689E-3</v>
      </c>
      <c r="G2731" s="9">
        <f t="shared" si="128"/>
        <v>1.741235287329158E-2</v>
      </c>
    </row>
    <row r="2732" spans="1:7" x14ac:dyDescent="0.2">
      <c r="A2732" s="12">
        <v>41103</v>
      </c>
      <c r="B2732" s="9">
        <v>1897.21</v>
      </c>
      <c r="C2732" s="9">
        <v>1876.43</v>
      </c>
      <c r="D2732" s="9">
        <v>1892.5</v>
      </c>
      <c r="E2732" s="9">
        <f t="shared" si="126"/>
        <v>1.0816544745637913E-2</v>
      </c>
      <c r="F2732" s="9">
        <f t="shared" si="127"/>
        <v>3.0140583068029959E-2</v>
      </c>
      <c r="G2732" s="9">
        <f t="shared" si="128"/>
        <v>1.7243200241061681E-2</v>
      </c>
    </row>
    <row r="2733" spans="1:7" x14ac:dyDescent="0.2">
      <c r="A2733" s="12">
        <v>41106</v>
      </c>
      <c r="B2733" s="9">
        <v>1908.27</v>
      </c>
      <c r="C2733" s="9">
        <v>1884.42</v>
      </c>
      <c r="D2733" s="9">
        <v>1908.04</v>
      </c>
      <c r="E2733" s="9">
        <f t="shared" si="126"/>
        <v>8.1778308374658576E-3</v>
      </c>
      <c r="F2733" s="9">
        <f t="shared" si="127"/>
        <v>6.6114852166131818E-2</v>
      </c>
      <c r="G2733" s="9">
        <f t="shared" si="128"/>
        <v>1.640155759525869E-2</v>
      </c>
    </row>
    <row r="2734" spans="1:7" x14ac:dyDescent="0.2">
      <c r="A2734" s="12">
        <v>41107</v>
      </c>
      <c r="B2734" s="9">
        <v>1925.4</v>
      </c>
      <c r="C2734" s="9">
        <v>1893.04</v>
      </c>
      <c r="D2734" s="9">
        <v>1897.63</v>
      </c>
      <c r="E2734" s="9">
        <f t="shared" si="126"/>
        <v>-5.4707980271236686E-3</v>
      </c>
      <c r="F2734" s="9">
        <f t="shared" si="127"/>
        <v>7.3957593440254807E-2</v>
      </c>
      <c r="G2734" s="9">
        <f t="shared" si="128"/>
        <v>1.6207046742127831E-2</v>
      </c>
    </row>
    <row r="2735" spans="1:7" x14ac:dyDescent="0.2">
      <c r="A2735" s="12">
        <v>41108</v>
      </c>
      <c r="B2735" s="9">
        <v>1904.12</v>
      </c>
      <c r="C2735" s="9">
        <v>1875.98</v>
      </c>
      <c r="D2735" s="9">
        <v>1897.19</v>
      </c>
      <c r="E2735" s="9">
        <f t="shared" si="126"/>
        <v>-2.3189505798521125E-4</v>
      </c>
      <c r="F2735" s="9">
        <f t="shared" si="127"/>
        <v>6.4985949460288767E-2</v>
      </c>
      <c r="G2735" s="9">
        <f t="shared" si="128"/>
        <v>1.6170007204040847E-2</v>
      </c>
    </row>
    <row r="2736" spans="1:7" x14ac:dyDescent="0.2">
      <c r="A2736" s="12">
        <v>41109</v>
      </c>
      <c r="B2736" s="9">
        <v>1925.44</v>
      </c>
      <c r="C2736" s="9">
        <v>1894.26</v>
      </c>
      <c r="D2736" s="9">
        <v>1918.79</v>
      </c>
      <c r="E2736" s="9">
        <f t="shared" si="126"/>
        <v>1.1320934959790275E-2</v>
      </c>
      <c r="F2736" s="9">
        <f t="shared" si="127"/>
        <v>4.7706734801486766E-2</v>
      </c>
      <c r="G2736" s="9">
        <f t="shared" si="128"/>
        <v>1.5489382239414954E-2</v>
      </c>
    </row>
    <row r="2737" spans="1:7" x14ac:dyDescent="0.2">
      <c r="A2737" s="12">
        <v>41110</v>
      </c>
      <c r="B2737" s="9">
        <v>1927.91</v>
      </c>
      <c r="C2737" s="9">
        <v>1870.95</v>
      </c>
      <c r="D2737" s="9">
        <v>1877.37</v>
      </c>
      <c r="E2737" s="9">
        <f t="shared" si="126"/>
        <v>-2.182291779471484E-2</v>
      </c>
      <c r="F2737" s="9">
        <f t="shared" si="127"/>
        <v>1.2154295055884116E-2</v>
      </c>
      <c r="G2737" s="9">
        <f t="shared" si="128"/>
        <v>1.5883615565177183E-2</v>
      </c>
    </row>
    <row r="2738" spans="1:7" x14ac:dyDescent="0.2">
      <c r="A2738" s="12">
        <v>41113</v>
      </c>
      <c r="B2738" s="9">
        <v>1856.34</v>
      </c>
      <c r="C2738" s="9">
        <v>1814.6</v>
      </c>
      <c r="D2738" s="9">
        <v>1826.67</v>
      </c>
      <c r="E2738" s="9">
        <f t="shared" si="126"/>
        <v>-2.7377224139231326E-2</v>
      </c>
      <c r="F2738" s="9">
        <f t="shared" si="127"/>
        <v>-1.5788901236455353E-2</v>
      </c>
      <c r="G2738" s="9">
        <f t="shared" si="128"/>
        <v>1.6673533352455375E-2</v>
      </c>
    </row>
    <row r="2739" spans="1:7" x14ac:dyDescent="0.2">
      <c r="A2739" s="12">
        <v>41114</v>
      </c>
      <c r="B2739" s="9">
        <v>1842.43</v>
      </c>
      <c r="C2739" s="9">
        <v>1821.05</v>
      </c>
      <c r="D2739" s="9">
        <v>1823.35</v>
      </c>
      <c r="E2739" s="9">
        <f t="shared" si="126"/>
        <v>-1.8191686158397112E-3</v>
      </c>
      <c r="F2739" s="9">
        <f t="shared" si="127"/>
        <v>-1.2448587536163232E-2</v>
      </c>
      <c r="G2739" s="9">
        <f t="shared" si="128"/>
        <v>1.6652666665308558E-2</v>
      </c>
    </row>
    <row r="2740" spans="1:7" x14ac:dyDescent="0.2">
      <c r="A2740" s="12">
        <v>41115</v>
      </c>
      <c r="B2740" s="9">
        <v>1851.66</v>
      </c>
      <c r="C2740" s="9">
        <v>1814.46</v>
      </c>
      <c r="D2740" s="9">
        <v>1841.72</v>
      </c>
      <c r="E2740" s="9">
        <f t="shared" si="126"/>
        <v>1.002444910058513E-2</v>
      </c>
      <c r="F2740" s="9">
        <f t="shared" si="127"/>
        <v>-1.6872147334325378E-3</v>
      </c>
      <c r="G2740" s="9">
        <f t="shared" si="128"/>
        <v>1.676104382815867E-2</v>
      </c>
    </row>
    <row r="2741" spans="1:7" x14ac:dyDescent="0.2">
      <c r="A2741" s="12">
        <v>41116</v>
      </c>
      <c r="B2741" s="9">
        <v>1899.15</v>
      </c>
      <c r="C2741" s="9">
        <v>1828.57</v>
      </c>
      <c r="D2741" s="9">
        <v>1896.39</v>
      </c>
      <c r="E2741" s="9">
        <f t="shared" si="126"/>
        <v>2.9252161290385322E-2</v>
      </c>
      <c r="F2741" s="9">
        <f t="shared" si="127"/>
        <v>5.0389214579423691E-2</v>
      </c>
      <c r="G2741" s="9">
        <f t="shared" si="128"/>
        <v>1.701646866642997E-2</v>
      </c>
    </row>
    <row r="2742" spans="1:7" x14ac:dyDescent="0.2">
      <c r="A2742" s="12">
        <v>41117</v>
      </c>
      <c r="B2742" s="9">
        <v>1939.91</v>
      </c>
      <c r="C2742" s="9">
        <v>1893.9</v>
      </c>
      <c r="D2742" s="9">
        <v>1937.04</v>
      </c>
      <c r="E2742" s="9">
        <f t="shared" si="126"/>
        <v>2.120895581929097E-2</v>
      </c>
      <c r="F2742" s="9">
        <f t="shared" si="127"/>
        <v>8.3475211979399916E-2</v>
      </c>
      <c r="G2742" s="9">
        <f t="shared" si="128"/>
        <v>1.7178943665414458E-2</v>
      </c>
    </row>
    <row r="2743" spans="1:7" x14ac:dyDescent="0.2">
      <c r="A2743" s="12">
        <v>41120</v>
      </c>
      <c r="B2743" s="9">
        <v>1975.16</v>
      </c>
      <c r="C2743" s="9">
        <v>1938.41</v>
      </c>
      <c r="D2743" s="9">
        <v>1970.98</v>
      </c>
      <c r="E2743" s="9">
        <f t="shared" si="126"/>
        <v>1.7369846283576334E-2</v>
      </c>
      <c r="F2743" s="9">
        <f t="shared" si="127"/>
        <v>7.5374055622691685E-2</v>
      </c>
      <c r="G2743" s="9">
        <f t="shared" si="128"/>
        <v>1.687091157918923E-2</v>
      </c>
    </row>
    <row r="2744" spans="1:7" x14ac:dyDescent="0.2">
      <c r="A2744" s="12">
        <v>41121</v>
      </c>
      <c r="B2744" s="9">
        <v>1973.39</v>
      </c>
      <c r="C2744" s="9">
        <v>1931.39</v>
      </c>
      <c r="D2744" s="9">
        <v>1947.74</v>
      </c>
      <c r="E2744" s="9">
        <f t="shared" si="126"/>
        <v>-1.1861154899138448E-2</v>
      </c>
      <c r="F2744" s="9">
        <f t="shared" si="127"/>
        <v>6.4607663488349565E-2</v>
      </c>
      <c r="G2744" s="9">
        <f t="shared" si="128"/>
        <v>1.7063701300951729E-2</v>
      </c>
    </row>
    <row r="2745" spans="1:7" x14ac:dyDescent="0.2">
      <c r="A2745" s="12">
        <v>41122</v>
      </c>
      <c r="B2745" s="9">
        <v>1971.7</v>
      </c>
      <c r="C2745" s="9">
        <v>1924.03</v>
      </c>
      <c r="D2745" s="9">
        <v>1947.19</v>
      </c>
      <c r="E2745" s="9">
        <f t="shared" si="126"/>
        <v>-2.8241842788217684E-4</v>
      </c>
      <c r="F2745" s="9">
        <f t="shared" si="127"/>
        <v>4.3029744474806439E-2</v>
      </c>
      <c r="G2745" s="9">
        <f t="shared" si="128"/>
        <v>1.667946113058209E-2</v>
      </c>
    </row>
    <row r="2746" spans="1:7" x14ac:dyDescent="0.2">
      <c r="A2746" s="12">
        <v>41123</v>
      </c>
      <c r="B2746" s="9">
        <v>1964.36</v>
      </c>
      <c r="C2746" s="9">
        <v>1899.02</v>
      </c>
      <c r="D2746" s="9">
        <v>1899.02</v>
      </c>
      <c r="E2746" s="9">
        <f t="shared" si="126"/>
        <v>-2.5049344025082916E-2</v>
      </c>
      <c r="F2746" s="9">
        <f t="shared" si="127"/>
        <v>7.6117545678247422E-3</v>
      </c>
      <c r="G2746" s="9">
        <f t="shared" si="128"/>
        <v>1.7268345007842321E-2</v>
      </c>
    </row>
    <row r="2747" spans="1:7" x14ac:dyDescent="0.2">
      <c r="A2747" s="12">
        <v>41124</v>
      </c>
      <c r="B2747" s="9">
        <v>1960.45</v>
      </c>
      <c r="C2747" s="9">
        <v>1897.35</v>
      </c>
      <c r="D2747" s="9">
        <v>1959.14</v>
      </c>
      <c r="E2747" s="9">
        <f t="shared" si="126"/>
        <v>3.1167637808517865E-2</v>
      </c>
      <c r="F2747" s="9">
        <f t="shared" si="127"/>
        <v>4.784606287614613E-2</v>
      </c>
      <c r="G2747" s="9">
        <f t="shared" si="128"/>
        <v>1.8063600927042765E-2</v>
      </c>
    </row>
    <row r="2748" spans="1:7" x14ac:dyDescent="0.2">
      <c r="A2748" s="12">
        <v>41127</v>
      </c>
      <c r="B2748" s="9">
        <v>1990.17</v>
      </c>
      <c r="C2748" s="9">
        <v>1955.46</v>
      </c>
      <c r="D2748" s="9">
        <v>1985.26</v>
      </c>
      <c r="E2748" s="9">
        <f t="shared" si="126"/>
        <v>1.3244286487390391E-2</v>
      </c>
      <c r="F2748" s="9">
        <f t="shared" si="127"/>
        <v>9.8557844223944452E-2</v>
      </c>
      <c r="G2748" s="9">
        <f t="shared" si="128"/>
        <v>1.6595215898718142E-2</v>
      </c>
    </row>
    <row r="2749" spans="1:7" x14ac:dyDescent="0.2">
      <c r="A2749" s="12">
        <v>41128</v>
      </c>
      <c r="B2749" s="9">
        <v>2022.89</v>
      </c>
      <c r="C2749" s="9">
        <v>1977.23</v>
      </c>
      <c r="D2749" s="9">
        <v>2021.49</v>
      </c>
      <c r="E2749" s="9">
        <f t="shared" si="126"/>
        <v>1.808497533531522E-2</v>
      </c>
      <c r="F2749" s="9">
        <f t="shared" si="127"/>
        <v>0.12351489377107172</v>
      </c>
      <c r="G2749" s="9">
        <f t="shared" si="128"/>
        <v>1.6693724592592326E-2</v>
      </c>
    </row>
    <row r="2750" spans="1:7" x14ac:dyDescent="0.2">
      <c r="A2750" s="12">
        <v>41129</v>
      </c>
      <c r="B2750" s="9">
        <v>2018.69</v>
      </c>
      <c r="C2750" s="9">
        <v>1987.03</v>
      </c>
      <c r="D2750" s="9">
        <v>2011.59</v>
      </c>
      <c r="E2750" s="9">
        <f t="shared" si="126"/>
        <v>-4.9094091286996247E-3</v>
      </c>
      <c r="F2750" s="9">
        <f t="shared" si="127"/>
        <v>0.10076500569530859</v>
      </c>
      <c r="G2750" s="9">
        <f t="shared" si="128"/>
        <v>1.6565055115467148E-2</v>
      </c>
    </row>
    <row r="2751" spans="1:7" x14ac:dyDescent="0.2">
      <c r="A2751" s="12">
        <v>41130</v>
      </c>
      <c r="B2751" s="9">
        <v>2047.77</v>
      </c>
      <c r="C2751" s="9">
        <v>2018.23</v>
      </c>
      <c r="D2751" s="9">
        <v>2043.83</v>
      </c>
      <c r="E2751" s="9">
        <f t="shared" si="126"/>
        <v>1.5900044492131234E-2</v>
      </c>
      <c r="F2751" s="9">
        <f t="shared" si="127"/>
        <v>0.12489668532074204</v>
      </c>
      <c r="G2751" s="9">
        <f t="shared" si="128"/>
        <v>1.6568730646531069E-2</v>
      </c>
    </row>
    <row r="2752" spans="1:7" x14ac:dyDescent="0.2">
      <c r="A2752" s="12">
        <v>41131</v>
      </c>
      <c r="B2752" s="9">
        <v>2046.56</v>
      </c>
      <c r="C2752" s="9">
        <v>2017.8</v>
      </c>
      <c r="D2752" s="9">
        <v>2035.25</v>
      </c>
      <c r="E2752" s="9">
        <f t="shared" si="126"/>
        <v>-4.2068371562673599E-3</v>
      </c>
      <c r="F2752" s="9">
        <f t="shared" si="127"/>
        <v>8.378758100733881E-2</v>
      </c>
      <c r="G2752" s="9">
        <f t="shared" si="128"/>
        <v>1.5428414399024308E-2</v>
      </c>
    </row>
    <row r="2753" spans="1:7" x14ac:dyDescent="0.2">
      <c r="A2753" s="12">
        <v>41134</v>
      </c>
      <c r="B2753" s="9">
        <v>2033.56</v>
      </c>
      <c r="C2753" s="9">
        <v>2001.07</v>
      </c>
      <c r="D2753" s="9">
        <v>2011.64</v>
      </c>
      <c r="E2753" s="9">
        <f t="shared" si="126"/>
        <v>-1.1668351685054498E-2</v>
      </c>
      <c r="F2753" s="9">
        <f t="shared" si="127"/>
        <v>5.3775627776046407E-2</v>
      </c>
      <c r="G2753" s="9">
        <f t="shared" si="128"/>
        <v>1.5358165174335912E-2</v>
      </c>
    </row>
    <row r="2754" spans="1:7" x14ac:dyDescent="0.2">
      <c r="A2754" s="12">
        <v>41135</v>
      </c>
      <c r="B2754" s="9">
        <v>2021.85</v>
      </c>
      <c r="C2754" s="9">
        <v>1994.88</v>
      </c>
      <c r="D2754" s="9">
        <v>2003.04</v>
      </c>
      <c r="E2754" s="9">
        <f t="shared" si="126"/>
        <v>-4.2842832576804298E-3</v>
      </c>
      <c r="F2754" s="9">
        <f t="shared" si="127"/>
        <v>3.4951542057670378E-2</v>
      </c>
      <c r="G2754" s="9">
        <f t="shared" si="128"/>
        <v>1.5203160640762386E-2</v>
      </c>
    </row>
    <row r="2755" spans="1:7" x14ac:dyDescent="0.2">
      <c r="A2755" s="12">
        <v>41136</v>
      </c>
      <c r="B2755" s="9">
        <v>2010.65</v>
      </c>
      <c r="C2755" s="9">
        <v>1987.75</v>
      </c>
      <c r="D2755" s="9">
        <v>1999.79</v>
      </c>
      <c r="E2755" s="9">
        <f t="shared" si="126"/>
        <v>-1.6238514821557593E-3</v>
      </c>
      <c r="F2755" s="9">
        <f t="shared" si="127"/>
        <v>3.4931672934107712E-2</v>
      </c>
      <c r="G2755" s="9">
        <f t="shared" si="128"/>
        <v>1.520328586167966E-2</v>
      </c>
    </row>
    <row r="2756" spans="1:7" x14ac:dyDescent="0.2">
      <c r="A2756" s="12">
        <v>41137</v>
      </c>
      <c r="B2756" s="9">
        <v>2032.95</v>
      </c>
      <c r="C2756" s="9">
        <v>2005.92</v>
      </c>
      <c r="D2756" s="9">
        <v>2030.97</v>
      </c>
      <c r="E2756" s="9">
        <f t="shared" ref="E2756:E2819" si="129">LN(D2756/D2755)</f>
        <v>1.5471336393350771E-2</v>
      </c>
      <c r="F2756" s="9">
        <f t="shared" si="127"/>
        <v>5.4684248757972169E-2</v>
      </c>
      <c r="G2756" s="9">
        <f t="shared" si="128"/>
        <v>1.5385937964706085E-2</v>
      </c>
    </row>
    <row r="2757" spans="1:7" x14ac:dyDescent="0.2">
      <c r="A2757" s="12">
        <v>41138</v>
      </c>
      <c r="B2757" s="9">
        <v>2052.9899999999998</v>
      </c>
      <c r="C2757" s="9">
        <v>2025.13</v>
      </c>
      <c r="D2757" s="9">
        <v>2051.5100000000002</v>
      </c>
      <c r="E2757" s="9">
        <f t="shared" si="129"/>
        <v>1.006259592989964E-2</v>
      </c>
      <c r="F2757" s="9">
        <f t="shared" si="127"/>
        <v>8.5226703057831643E-2</v>
      </c>
      <c r="G2757" s="9">
        <f t="shared" si="128"/>
        <v>1.4860820935568338E-2</v>
      </c>
    </row>
    <row r="2758" spans="1:7" x14ac:dyDescent="0.2">
      <c r="A2758" s="12">
        <v>41141</v>
      </c>
      <c r="B2758" s="9">
        <v>2064.6799999999998</v>
      </c>
      <c r="C2758" s="9">
        <v>2036.85</v>
      </c>
      <c r="D2758" s="9">
        <v>2043.71</v>
      </c>
      <c r="E2758" s="9">
        <f t="shared" si="129"/>
        <v>-3.8093237638582248E-3</v>
      </c>
      <c r="F2758" s="9">
        <f t="shared" si="127"/>
        <v>8.9063674543607238E-2</v>
      </c>
      <c r="G2758" s="9">
        <f t="shared" si="128"/>
        <v>1.4783762656640369E-2</v>
      </c>
    </row>
    <row r="2759" spans="1:7" x14ac:dyDescent="0.2">
      <c r="A2759" s="12">
        <v>41142</v>
      </c>
      <c r="B2759" s="9">
        <v>2069.88</v>
      </c>
      <c r="C2759" s="9">
        <v>2049.79</v>
      </c>
      <c r="D2759" s="9">
        <v>2067.19</v>
      </c>
      <c r="E2759" s="9">
        <f t="shared" si="129"/>
        <v>1.1423413526693177E-2</v>
      </c>
      <c r="F2759" s="9">
        <f t="shared" si="127"/>
        <v>8.7018853130296503E-2</v>
      </c>
      <c r="G2759" s="9">
        <f t="shared" si="128"/>
        <v>1.4738329626639563E-2</v>
      </c>
    </row>
    <row r="2760" spans="1:7" x14ac:dyDescent="0.2">
      <c r="A2760" s="12">
        <v>41143</v>
      </c>
      <c r="B2760" s="9">
        <v>2057.77</v>
      </c>
      <c r="C2760" s="9">
        <v>2034.98</v>
      </c>
      <c r="D2760" s="9">
        <v>2042.15</v>
      </c>
      <c r="E2760" s="9">
        <f t="shared" si="129"/>
        <v>-1.2187022693822238E-2</v>
      </c>
      <c r="F2760" s="9">
        <f t="shared" si="127"/>
        <v>7.7685638240522575E-2</v>
      </c>
      <c r="G2760" s="9">
        <f t="shared" si="128"/>
        <v>1.4960813751979036E-2</v>
      </c>
    </row>
    <row r="2761" spans="1:7" x14ac:dyDescent="0.2">
      <c r="A2761" s="12">
        <v>41144</v>
      </c>
      <c r="B2761" s="9">
        <v>2062.09</v>
      </c>
      <c r="C2761" s="9">
        <v>2018.14</v>
      </c>
      <c r="D2761" s="9">
        <v>2027.93</v>
      </c>
      <c r="E2761" s="9">
        <f t="shared" si="129"/>
        <v>-6.9876060713890964E-3</v>
      </c>
      <c r="F2761" s="9">
        <f t="shared" si="127"/>
        <v>7.993340678410453E-2</v>
      </c>
      <c r="G2761" s="9">
        <f t="shared" si="128"/>
        <v>1.4905075836976898E-2</v>
      </c>
    </row>
    <row r="2762" spans="1:7" x14ac:dyDescent="0.2">
      <c r="A2762" s="12">
        <v>41145</v>
      </c>
      <c r="B2762" s="9">
        <v>2042.03</v>
      </c>
      <c r="C2762" s="9">
        <v>2016.76</v>
      </c>
      <c r="D2762" s="9">
        <v>2031.19</v>
      </c>
      <c r="E2762" s="9">
        <f t="shared" si="129"/>
        <v>1.606259830169664E-3</v>
      </c>
      <c r="F2762" s="9">
        <f t="shared" si="127"/>
        <v>7.0723121868636385E-2</v>
      </c>
      <c r="G2762" s="9">
        <f t="shared" si="128"/>
        <v>1.4826017091343503E-2</v>
      </c>
    </row>
    <row r="2763" spans="1:7" x14ac:dyDescent="0.2">
      <c r="A2763" s="12">
        <v>41148</v>
      </c>
      <c r="B2763" s="9">
        <v>2075.69</v>
      </c>
      <c r="C2763" s="9">
        <v>2043.57</v>
      </c>
      <c r="D2763" s="9">
        <v>2064.2800000000002</v>
      </c>
      <c r="E2763" s="9">
        <f t="shared" si="129"/>
        <v>1.615966913510352E-2</v>
      </c>
      <c r="F2763" s="9">
        <f t="shared" si="127"/>
        <v>7.8704960166273943E-2</v>
      </c>
      <c r="G2763" s="9">
        <f t="shared" si="128"/>
        <v>1.5004612697752369E-2</v>
      </c>
    </row>
    <row r="2764" spans="1:7" x14ac:dyDescent="0.2">
      <c r="A2764" s="12">
        <v>41149</v>
      </c>
      <c r="B2764" s="9">
        <v>2054.44</v>
      </c>
      <c r="C2764" s="9">
        <v>2015.14</v>
      </c>
      <c r="D2764" s="9">
        <v>2016.09</v>
      </c>
      <c r="E2764" s="9">
        <f t="shared" si="129"/>
        <v>-2.3621505263404341E-2</v>
      </c>
      <c r="F2764" s="9">
        <f t="shared" si="127"/>
        <v>6.0554252929993301E-2</v>
      </c>
      <c r="G2764" s="9">
        <f t="shared" si="128"/>
        <v>1.5692425858958046E-2</v>
      </c>
    </row>
    <row r="2765" spans="1:7" x14ac:dyDescent="0.2">
      <c r="A2765" s="12">
        <v>41150</v>
      </c>
      <c r="B2765" s="9">
        <v>2021.54</v>
      </c>
      <c r="C2765" s="9">
        <v>1984.23</v>
      </c>
      <c r="D2765" s="9">
        <v>1989.49</v>
      </c>
      <c r="E2765" s="9">
        <f t="shared" si="129"/>
        <v>-1.3281667586128247E-2</v>
      </c>
      <c r="F2765" s="9">
        <f t="shared" si="127"/>
        <v>4.750448040185045E-2</v>
      </c>
      <c r="G2765" s="9">
        <f t="shared" si="128"/>
        <v>1.5935936724178687E-2</v>
      </c>
    </row>
    <row r="2766" spans="1:7" x14ac:dyDescent="0.2">
      <c r="A2766" s="12">
        <v>41151</v>
      </c>
      <c r="B2766" s="9">
        <v>1998.07</v>
      </c>
      <c r="C2766" s="9">
        <v>1966.18</v>
      </c>
      <c r="D2766" s="9">
        <v>1973.85</v>
      </c>
      <c r="E2766" s="9">
        <f t="shared" si="129"/>
        <v>-7.8923742015519164E-3</v>
      </c>
      <c r="F2766" s="9">
        <f t="shared" si="127"/>
        <v>2.8291171240508318E-2</v>
      </c>
      <c r="G2766" s="9">
        <f t="shared" si="128"/>
        <v>1.5917174788458291E-2</v>
      </c>
    </row>
    <row r="2767" spans="1:7" x14ac:dyDescent="0.2">
      <c r="A2767" s="12">
        <v>41152</v>
      </c>
      <c r="B2767" s="9">
        <v>2003.89</v>
      </c>
      <c r="C2767" s="9">
        <v>1967.72</v>
      </c>
      <c r="D2767" s="9">
        <v>1994.91</v>
      </c>
      <c r="E2767" s="9">
        <f t="shared" si="129"/>
        <v>1.0612986260137677E-2</v>
      </c>
      <c r="F2767" s="9">
        <f t="shared" si="127"/>
        <v>6.0727075295360582E-2</v>
      </c>
      <c r="G2767" s="9">
        <f t="shared" si="128"/>
        <v>1.5411020057276601E-2</v>
      </c>
    </row>
    <row r="2768" spans="1:7" x14ac:dyDescent="0.2">
      <c r="A2768" s="12">
        <v>41155</v>
      </c>
      <c r="B2768" s="9">
        <v>2026.2</v>
      </c>
      <c r="C2768" s="9">
        <v>1999.68</v>
      </c>
      <c r="D2768" s="9">
        <v>2022.44</v>
      </c>
      <c r="E2768" s="9">
        <f t="shared" si="129"/>
        <v>1.3705766713562509E-2</v>
      </c>
      <c r="F2768" s="9">
        <f t="shared" si="127"/>
        <v>0.10181006614815451</v>
      </c>
      <c r="G2768" s="9">
        <f t="shared" si="128"/>
        <v>1.450711899767191E-2</v>
      </c>
    </row>
    <row r="2769" spans="1:7" x14ac:dyDescent="0.2">
      <c r="A2769" s="12">
        <v>41156</v>
      </c>
      <c r="B2769" s="9">
        <v>2032.12</v>
      </c>
      <c r="C2769" s="9">
        <v>1987.09</v>
      </c>
      <c r="D2769" s="9">
        <v>1991.33</v>
      </c>
      <c r="E2769" s="9">
        <f t="shared" si="129"/>
        <v>-1.5501946051736389E-2</v>
      </c>
      <c r="F2769" s="9">
        <f t="shared" si="127"/>
        <v>8.812728871225782E-2</v>
      </c>
      <c r="G2769" s="9">
        <f t="shared" si="128"/>
        <v>1.4886777889662061E-2</v>
      </c>
    </row>
    <row r="2770" spans="1:7" x14ac:dyDescent="0.2">
      <c r="A2770" s="12">
        <v>41157</v>
      </c>
      <c r="B2770" s="9">
        <v>2013.72</v>
      </c>
      <c r="C2770" s="9">
        <v>1958.32</v>
      </c>
      <c r="D2770" s="9">
        <v>1965.56</v>
      </c>
      <c r="E2770" s="9">
        <f t="shared" si="129"/>
        <v>-1.3025565206668159E-2</v>
      </c>
      <c r="F2770" s="9">
        <f t="shared" si="127"/>
        <v>6.5077274405004659E-2</v>
      </c>
      <c r="G2770" s="9">
        <f t="shared" si="128"/>
        <v>1.5101674418532102E-2</v>
      </c>
    </row>
    <row r="2771" spans="1:7" x14ac:dyDescent="0.2">
      <c r="A2771" s="12">
        <v>41158</v>
      </c>
      <c r="B2771" s="9">
        <v>2007.03</v>
      </c>
      <c r="C2771" s="9">
        <v>1953.99</v>
      </c>
      <c r="D2771" s="9">
        <v>1999.17</v>
      </c>
      <c r="E2771" s="9">
        <f t="shared" si="129"/>
        <v>1.6954902426195757E-2</v>
      </c>
      <c r="F2771" s="9">
        <f t="shared" si="127"/>
        <v>5.2780015540814872E-2</v>
      </c>
      <c r="G2771" s="9">
        <f t="shared" si="128"/>
        <v>1.4495953101489227E-2</v>
      </c>
    </row>
    <row r="2772" spans="1:7" x14ac:dyDescent="0.2">
      <c r="A2772" s="12">
        <v>41159</v>
      </c>
      <c r="B2772" s="9">
        <v>2051.87</v>
      </c>
      <c r="C2772" s="9">
        <v>2014.81</v>
      </c>
      <c r="D2772" s="9">
        <v>2050.98</v>
      </c>
      <c r="E2772" s="9">
        <f t="shared" si="129"/>
        <v>2.5585633278276093E-2</v>
      </c>
      <c r="F2772" s="9">
        <f t="shared" si="127"/>
        <v>5.7156692999800009E-2</v>
      </c>
      <c r="G2772" s="9">
        <f t="shared" si="128"/>
        <v>1.4718757997636089E-2</v>
      </c>
    </row>
    <row r="2773" spans="1:7" x14ac:dyDescent="0.2">
      <c r="A2773" s="12">
        <v>41162</v>
      </c>
      <c r="B2773" s="9">
        <v>2062.67</v>
      </c>
      <c r="C2773" s="9">
        <v>2047.34</v>
      </c>
      <c r="D2773" s="9">
        <v>2052.54</v>
      </c>
      <c r="E2773" s="9">
        <f t="shared" si="129"/>
        <v>7.6032288140502526E-4</v>
      </c>
      <c r="F2773" s="9">
        <f t="shared" si="127"/>
        <v>4.0547169597628802E-2</v>
      </c>
      <c r="G2773" s="9">
        <f t="shared" si="128"/>
        <v>1.4426476645281091E-2</v>
      </c>
    </row>
    <row r="2774" spans="1:7" x14ac:dyDescent="0.2">
      <c r="A2774" s="12">
        <v>41163</v>
      </c>
      <c r="B2774" s="9">
        <v>2075.79</v>
      </c>
      <c r="C2774" s="9">
        <v>2030.61</v>
      </c>
      <c r="D2774" s="9">
        <v>2075.79</v>
      </c>
      <c r="E2774" s="9">
        <f t="shared" si="129"/>
        <v>1.1263753534363008E-2</v>
      </c>
      <c r="F2774" s="9">
        <f t="shared" si="127"/>
        <v>6.3672078031130314E-2</v>
      </c>
      <c r="G2774" s="9">
        <f t="shared" si="128"/>
        <v>1.4313513532494816E-2</v>
      </c>
    </row>
    <row r="2775" spans="1:7" x14ac:dyDescent="0.2">
      <c r="A2775" s="12">
        <v>41164</v>
      </c>
      <c r="B2775" s="9">
        <v>2110.61</v>
      </c>
      <c r="C2775" s="9">
        <v>2077.33</v>
      </c>
      <c r="D2775" s="9">
        <v>2101.42</v>
      </c>
      <c r="E2775" s="9">
        <f t="shared" si="129"/>
        <v>1.2271502574136723E-2</v>
      </c>
      <c r="F2775" s="9">
        <f t="shared" si="127"/>
        <v>7.6225999033149208E-2</v>
      </c>
      <c r="G2775" s="9">
        <f t="shared" si="128"/>
        <v>1.4423868056188576E-2</v>
      </c>
    </row>
    <row r="2776" spans="1:7" x14ac:dyDescent="0.2">
      <c r="A2776" s="12">
        <v>41165</v>
      </c>
      <c r="B2776" s="9">
        <v>2102.44</v>
      </c>
      <c r="C2776" s="9">
        <v>2081.0700000000002</v>
      </c>
      <c r="D2776" s="9">
        <v>2099.69</v>
      </c>
      <c r="E2776" s="9">
        <f t="shared" si="129"/>
        <v>-8.2359190680024073E-4</v>
      </c>
      <c r="F2776" s="9">
        <f t="shared" si="127"/>
        <v>0.100451751151432</v>
      </c>
      <c r="G2776" s="9">
        <f t="shared" si="128"/>
        <v>1.3472741415497329E-2</v>
      </c>
    </row>
    <row r="2777" spans="1:7" x14ac:dyDescent="0.2">
      <c r="A2777" s="12">
        <v>41166</v>
      </c>
      <c r="B2777" s="9">
        <v>2172.94</v>
      </c>
      <c r="C2777" s="9">
        <v>2148.1999999999998</v>
      </c>
      <c r="D2777" s="9">
        <v>2161.38</v>
      </c>
      <c r="E2777" s="9">
        <f t="shared" si="129"/>
        <v>2.8957191797347515E-2</v>
      </c>
      <c r="F2777" s="9">
        <f t="shared" si="127"/>
        <v>9.8241305140261609E-2</v>
      </c>
      <c r="G2777" s="9">
        <f t="shared" si="128"/>
        <v>1.3320538194012865E-2</v>
      </c>
    </row>
    <row r="2778" spans="1:7" x14ac:dyDescent="0.2">
      <c r="A2778" s="12">
        <v>41169</v>
      </c>
      <c r="B2778" s="9">
        <v>2156.6799999999998</v>
      </c>
      <c r="C2778" s="9">
        <v>2138.06</v>
      </c>
      <c r="D2778" s="9">
        <v>2138.84</v>
      </c>
      <c r="E2778" s="9">
        <f t="shared" si="129"/>
        <v>-1.0483280588853446E-2</v>
      </c>
      <c r="F2778" s="9">
        <f t="shared" si="127"/>
        <v>7.4513738064017634E-2</v>
      </c>
      <c r="G2778" s="9">
        <f t="shared" si="128"/>
        <v>1.3412280363713388E-2</v>
      </c>
    </row>
    <row r="2779" spans="1:7" x14ac:dyDescent="0.2">
      <c r="A2779" s="12">
        <v>41170</v>
      </c>
      <c r="B2779" s="9">
        <v>2132.6999999999998</v>
      </c>
      <c r="C2779" s="9">
        <v>2095.61</v>
      </c>
      <c r="D2779" s="9">
        <v>2100.0300000000002</v>
      </c>
      <c r="E2779" s="9">
        <f t="shared" si="129"/>
        <v>-1.8311995651865025E-2</v>
      </c>
      <c r="F2779" s="9">
        <f t="shared" si="127"/>
        <v>3.8116767076837331E-2</v>
      </c>
      <c r="G2779" s="9">
        <f t="shared" si="128"/>
        <v>1.3597284843354773E-2</v>
      </c>
    </row>
    <row r="2780" spans="1:7" x14ac:dyDescent="0.2">
      <c r="A2780" s="12">
        <v>41171</v>
      </c>
      <c r="B2780" s="9">
        <v>2120.96</v>
      </c>
      <c r="C2780" s="9">
        <v>2094.83</v>
      </c>
      <c r="D2780" s="9">
        <v>2106.77</v>
      </c>
      <c r="E2780" s="9">
        <f t="shared" si="129"/>
        <v>3.20433857900156E-3</v>
      </c>
      <c r="F2780" s="9">
        <f t="shared" si="127"/>
        <v>4.6230514784538441E-2</v>
      </c>
      <c r="G2780" s="9">
        <f t="shared" si="128"/>
        <v>1.3550736800346779E-2</v>
      </c>
    </row>
    <row r="2781" spans="1:7" x14ac:dyDescent="0.2">
      <c r="A2781" s="12">
        <v>41172</v>
      </c>
      <c r="B2781" s="9">
        <v>2103.13</v>
      </c>
      <c r="C2781" s="9">
        <v>2080.54</v>
      </c>
      <c r="D2781" s="9">
        <v>2092</v>
      </c>
      <c r="E2781" s="9">
        <f t="shared" si="129"/>
        <v>-7.03542271794836E-3</v>
      </c>
      <c r="F2781" s="9">
        <f t="shared" si="127"/>
        <v>2.3295047574458931E-2</v>
      </c>
      <c r="G2781" s="9">
        <f t="shared" si="128"/>
        <v>1.3358312277632857E-2</v>
      </c>
    </row>
    <row r="2782" spans="1:7" x14ac:dyDescent="0.2">
      <c r="A2782" s="12">
        <v>41173</v>
      </c>
      <c r="B2782" s="9">
        <v>2104.25</v>
      </c>
      <c r="C2782" s="9">
        <v>2084.4699999999998</v>
      </c>
      <c r="D2782" s="9">
        <v>2091.9699999999998</v>
      </c>
      <c r="E2782" s="9">
        <f t="shared" si="129"/>
        <v>-1.4340446992080504E-5</v>
      </c>
      <c r="F2782" s="9">
        <f t="shared" si="127"/>
        <v>2.7487544283734275E-2</v>
      </c>
      <c r="G2782" s="9">
        <f t="shared" si="128"/>
        <v>1.3326272424778851E-2</v>
      </c>
    </row>
    <row r="2783" spans="1:7" x14ac:dyDescent="0.2">
      <c r="A2783" s="12">
        <v>41176</v>
      </c>
      <c r="B2783" s="9">
        <v>2086.1999999999998</v>
      </c>
      <c r="C2783" s="9">
        <v>2054.35</v>
      </c>
      <c r="D2783" s="9">
        <v>2063.5500000000002</v>
      </c>
      <c r="E2783" s="9">
        <f t="shared" si="129"/>
        <v>-1.3678405162707023E-2</v>
      </c>
      <c r="F2783" s="9">
        <f t="shared" si="127"/>
        <v>2.5477490806081679E-2</v>
      </c>
      <c r="G2783" s="9">
        <f t="shared" si="128"/>
        <v>1.3396594592963242E-2</v>
      </c>
    </row>
    <row r="2784" spans="1:7" x14ac:dyDescent="0.2">
      <c r="A2784" s="12">
        <v>41177</v>
      </c>
      <c r="B2784" s="9">
        <v>2095.87</v>
      </c>
      <c r="C2784" s="9">
        <v>2057.2399999999998</v>
      </c>
      <c r="D2784" s="9">
        <v>2091.3200000000002</v>
      </c>
      <c r="E2784" s="9">
        <f t="shared" si="129"/>
        <v>1.3367644969065E-2</v>
      </c>
      <c r="F2784" s="9">
        <f t="shared" si="127"/>
        <v>4.3129419032827201E-2</v>
      </c>
      <c r="G2784" s="9">
        <f t="shared" si="128"/>
        <v>1.3550116886293029E-2</v>
      </c>
    </row>
    <row r="2785" spans="1:7" x14ac:dyDescent="0.2">
      <c r="A2785" s="12">
        <v>41178</v>
      </c>
      <c r="B2785" s="9">
        <v>2075.5</v>
      </c>
      <c r="C2785" s="9">
        <v>2032.21</v>
      </c>
      <c r="D2785" s="9">
        <v>2039.89</v>
      </c>
      <c r="E2785" s="9">
        <f t="shared" si="129"/>
        <v>-2.4899560728364686E-2</v>
      </c>
      <c r="F2785" s="9">
        <f t="shared" ref="F2785:F2848" si="130">LN(D2785/D2755)</f>
        <v>1.985370978661816E-2</v>
      </c>
      <c r="G2785" s="9">
        <f t="shared" ref="G2785:G2848" si="131">STDEV(E2756:E2785)</f>
        <v>1.4372844956251947E-2</v>
      </c>
    </row>
    <row r="2786" spans="1:7" x14ac:dyDescent="0.2">
      <c r="A2786" s="12">
        <v>41179</v>
      </c>
      <c r="B2786" s="9">
        <v>2062.15</v>
      </c>
      <c r="C2786" s="9">
        <v>2046.3</v>
      </c>
      <c r="D2786" s="9">
        <v>2056.46</v>
      </c>
      <c r="E2786" s="9">
        <f t="shared" si="129"/>
        <v>8.0901731427673977E-3</v>
      </c>
      <c r="F2786" s="9">
        <f t="shared" si="130"/>
        <v>1.2472546536034823E-2</v>
      </c>
      <c r="G2786" s="9">
        <f t="shared" si="131"/>
        <v>1.4172367062104339E-2</v>
      </c>
    </row>
    <row r="2787" spans="1:7" x14ac:dyDescent="0.2">
      <c r="A2787" s="12">
        <v>41180</v>
      </c>
      <c r="B2787" s="9">
        <v>2074.85</v>
      </c>
      <c r="C2787" s="9">
        <v>2034.47</v>
      </c>
      <c r="D2787" s="9">
        <v>2036.21</v>
      </c>
      <c r="E2787" s="9">
        <f t="shared" si="129"/>
        <v>-9.8958211886177663E-3</v>
      </c>
      <c r="F2787" s="9">
        <f t="shared" si="130"/>
        <v>-7.4858705824825565E-3</v>
      </c>
      <c r="G2787" s="9">
        <f t="shared" si="131"/>
        <v>1.4172353654234476E-2</v>
      </c>
    </row>
    <row r="2788" spans="1:7" x14ac:dyDescent="0.2">
      <c r="A2788" s="12">
        <v>41183</v>
      </c>
      <c r="B2788" s="9">
        <v>2073.41</v>
      </c>
      <c r="C2788" s="9">
        <v>2026.21</v>
      </c>
      <c r="D2788" s="9">
        <v>2072.5500000000002</v>
      </c>
      <c r="E2788" s="9">
        <f t="shared" si="129"/>
        <v>1.7689496400824088E-2</v>
      </c>
      <c r="F2788" s="9">
        <f t="shared" si="130"/>
        <v>1.40129495821997E-2</v>
      </c>
      <c r="G2788" s="9">
        <f t="shared" si="131"/>
        <v>1.4525295993236842E-2</v>
      </c>
    </row>
    <row r="2789" spans="1:7" x14ac:dyDescent="0.2">
      <c r="A2789" s="12">
        <v>41184</v>
      </c>
      <c r="B2789" s="9">
        <v>2081</v>
      </c>
      <c r="C2789" s="9">
        <v>2055.36</v>
      </c>
      <c r="D2789" s="9">
        <v>2057.38</v>
      </c>
      <c r="E2789" s="9">
        <f t="shared" si="129"/>
        <v>-7.346404528204239E-3</v>
      </c>
      <c r="F2789" s="9">
        <f t="shared" si="130"/>
        <v>-4.7568684726977482E-3</v>
      </c>
      <c r="G2789" s="9">
        <f t="shared" si="131"/>
        <v>1.4441091914980889E-2</v>
      </c>
    </row>
    <row r="2790" spans="1:7" x14ac:dyDescent="0.2">
      <c r="A2790" s="12">
        <v>41185</v>
      </c>
      <c r="B2790" s="9">
        <v>2051.6999999999998</v>
      </c>
      <c r="C2790" s="9">
        <v>2031.76</v>
      </c>
      <c r="D2790" s="9">
        <v>2040.42</v>
      </c>
      <c r="E2790" s="9">
        <f t="shared" si="129"/>
        <v>-8.2776596422438984E-3</v>
      </c>
      <c r="F2790" s="9">
        <f t="shared" si="130"/>
        <v>-8.4750542111956058E-4</v>
      </c>
      <c r="G2790" s="9">
        <f t="shared" si="131"/>
        <v>1.4346134142213205E-2</v>
      </c>
    </row>
    <row r="2791" spans="1:7" x14ac:dyDescent="0.2">
      <c r="A2791" s="12">
        <v>41186</v>
      </c>
      <c r="B2791" s="9">
        <v>2056.62</v>
      </c>
      <c r="C2791" s="9">
        <v>2032.83</v>
      </c>
      <c r="D2791" s="9">
        <v>2037.86</v>
      </c>
      <c r="E2791" s="9">
        <f t="shared" si="129"/>
        <v>-1.2554313760882348E-3</v>
      </c>
      <c r="F2791" s="9">
        <f t="shared" si="130"/>
        <v>4.8846692741813221E-3</v>
      </c>
      <c r="G2791" s="9">
        <f t="shared" si="131"/>
        <v>1.4288304185406846E-2</v>
      </c>
    </row>
    <row r="2792" spans="1:7" x14ac:dyDescent="0.2">
      <c r="A2792" s="12">
        <v>41187</v>
      </c>
      <c r="B2792" s="9">
        <v>2081.08</v>
      </c>
      <c r="C2792" s="9">
        <v>2041.17</v>
      </c>
      <c r="D2792" s="9">
        <v>2076.86</v>
      </c>
      <c r="E2792" s="9">
        <f t="shared" si="129"/>
        <v>1.8956900069118061E-2</v>
      </c>
      <c r="F2792" s="9">
        <f t="shared" si="130"/>
        <v>2.2235309513129822E-2</v>
      </c>
      <c r="G2792" s="9">
        <f t="shared" si="131"/>
        <v>1.4694137326613241E-2</v>
      </c>
    </row>
    <row r="2793" spans="1:7" x14ac:dyDescent="0.2">
      <c r="A2793" s="12">
        <v>41190</v>
      </c>
      <c r="B2793" s="9">
        <v>2066.0100000000002</v>
      </c>
      <c r="C2793" s="9">
        <v>2049.36</v>
      </c>
      <c r="D2793" s="9">
        <v>2056.29</v>
      </c>
      <c r="E2793" s="9">
        <f t="shared" si="129"/>
        <v>-9.9537494813550613E-3</v>
      </c>
      <c r="F2793" s="9">
        <f t="shared" si="130"/>
        <v>-3.8781091033285829E-3</v>
      </c>
      <c r="G2793" s="9">
        <f t="shared" si="131"/>
        <v>1.4521724129263794E-2</v>
      </c>
    </row>
    <row r="2794" spans="1:7" x14ac:dyDescent="0.2">
      <c r="A2794" s="12">
        <v>41191</v>
      </c>
      <c r="B2794" s="9">
        <v>2074.69</v>
      </c>
      <c r="C2794" s="9">
        <v>2051.5100000000002</v>
      </c>
      <c r="D2794" s="9">
        <v>2055.77</v>
      </c>
      <c r="E2794" s="9">
        <f t="shared" si="129"/>
        <v>-2.5291459889773921E-4</v>
      </c>
      <c r="F2794" s="9">
        <f t="shared" si="130"/>
        <v>1.9490481561177848E-2</v>
      </c>
      <c r="G2794" s="9">
        <f t="shared" si="131"/>
        <v>1.3828332770430558E-2</v>
      </c>
    </row>
    <row r="2795" spans="1:7" x14ac:dyDescent="0.2">
      <c r="A2795" s="12">
        <v>41192</v>
      </c>
      <c r="B2795" s="9">
        <v>2052.4699999999998</v>
      </c>
      <c r="C2795" s="9">
        <v>2033.44</v>
      </c>
      <c r="D2795" s="9">
        <v>2036.26</v>
      </c>
      <c r="E2795" s="9">
        <f t="shared" si="129"/>
        <v>-9.5356817205848685E-3</v>
      </c>
      <c r="F2795" s="9">
        <f t="shared" si="130"/>
        <v>2.3236467426721304E-2</v>
      </c>
      <c r="G2795" s="9">
        <f t="shared" si="131"/>
        <v>1.3714643834269111E-2</v>
      </c>
    </row>
    <row r="2796" spans="1:7" x14ac:dyDescent="0.2">
      <c r="A2796" s="12">
        <v>41193</v>
      </c>
      <c r="B2796" s="9">
        <v>2056.7600000000002</v>
      </c>
      <c r="C2796" s="9">
        <v>2024.25</v>
      </c>
      <c r="D2796" s="9">
        <v>2048.67</v>
      </c>
      <c r="E2796" s="9">
        <f t="shared" si="129"/>
        <v>6.0760102029842177E-3</v>
      </c>
      <c r="F2796" s="9">
        <f t="shared" si="130"/>
        <v>3.7204851831257324E-2</v>
      </c>
      <c r="G2796" s="9">
        <f t="shared" si="131"/>
        <v>1.3647202929618995E-2</v>
      </c>
    </row>
    <row r="2797" spans="1:7" x14ac:dyDescent="0.2">
      <c r="A2797" s="12">
        <v>41194</v>
      </c>
      <c r="B2797" s="9">
        <v>2047.89</v>
      </c>
      <c r="C2797" s="9">
        <v>2032.02</v>
      </c>
      <c r="D2797" s="9">
        <v>2033.29</v>
      </c>
      <c r="E2797" s="9">
        <f t="shared" si="129"/>
        <v>-7.5356313047262955E-3</v>
      </c>
      <c r="F2797" s="9">
        <f t="shared" si="130"/>
        <v>1.9056234266393503E-2</v>
      </c>
      <c r="G2797" s="9">
        <f t="shared" si="131"/>
        <v>1.3619615560652516E-2</v>
      </c>
    </row>
    <row r="2798" spans="1:7" x14ac:dyDescent="0.2">
      <c r="A2798" s="12">
        <v>41197</v>
      </c>
      <c r="B2798" s="9">
        <v>2054.9699999999998</v>
      </c>
      <c r="C2798" s="9">
        <v>2041.28</v>
      </c>
      <c r="D2798" s="9">
        <v>2046.96</v>
      </c>
      <c r="E2798" s="9">
        <f t="shared" si="129"/>
        <v>6.7005948881732847E-3</v>
      </c>
      <c r="F2798" s="9">
        <f t="shared" si="130"/>
        <v>1.2051062441004441E-2</v>
      </c>
      <c r="G2798" s="9">
        <f t="shared" si="131"/>
        <v>1.3446750120352135E-2</v>
      </c>
    </row>
    <row r="2799" spans="1:7" x14ac:dyDescent="0.2">
      <c r="A2799" s="12">
        <v>41198</v>
      </c>
      <c r="B2799" s="9">
        <v>2068.42</v>
      </c>
      <c r="C2799" s="9">
        <v>2045.98</v>
      </c>
      <c r="D2799" s="9">
        <v>2068.17</v>
      </c>
      <c r="E2799" s="9">
        <f t="shared" si="129"/>
        <v>1.0308392599721352E-2</v>
      </c>
      <c r="F2799" s="9">
        <f t="shared" si="130"/>
        <v>3.7861401092462006E-2</v>
      </c>
      <c r="G2799" s="9">
        <f t="shared" si="131"/>
        <v>1.3217867064381248E-2</v>
      </c>
    </row>
    <row r="2800" spans="1:7" x14ac:dyDescent="0.2">
      <c r="A2800" s="12">
        <v>41199</v>
      </c>
      <c r="B2800" s="9">
        <v>2088.8000000000002</v>
      </c>
      <c r="C2800" s="9">
        <v>2073.1</v>
      </c>
      <c r="D2800" s="9">
        <v>2088.6999999999998</v>
      </c>
      <c r="E2800" s="9">
        <f t="shared" si="129"/>
        <v>9.8777045825862754E-3</v>
      </c>
      <c r="F2800" s="9">
        <f t="shared" si="130"/>
        <v>6.0764670881716387E-2</v>
      </c>
      <c r="G2800" s="9">
        <f t="shared" si="131"/>
        <v>1.302419057417843E-2</v>
      </c>
    </row>
    <row r="2801" spans="1:7" x14ac:dyDescent="0.2">
      <c r="A2801" s="12">
        <v>41200</v>
      </c>
      <c r="B2801" s="9">
        <v>2118.85</v>
      </c>
      <c r="C2801" s="9">
        <v>2079.4499999999998</v>
      </c>
      <c r="D2801" s="9">
        <v>2101.09</v>
      </c>
      <c r="E2801" s="9">
        <f t="shared" si="129"/>
        <v>5.9143948106694499E-3</v>
      </c>
      <c r="F2801" s="9">
        <f t="shared" si="130"/>
        <v>4.9724163266190308E-2</v>
      </c>
      <c r="G2801" s="9">
        <f t="shared" si="131"/>
        <v>1.2740689329930539E-2</v>
      </c>
    </row>
    <row r="2802" spans="1:7" x14ac:dyDescent="0.2">
      <c r="A2802" s="12">
        <v>41201</v>
      </c>
      <c r="B2802" s="9">
        <v>2099.59</v>
      </c>
      <c r="C2802" s="9">
        <v>2064.13</v>
      </c>
      <c r="D2802" s="9">
        <v>2064.9899999999998</v>
      </c>
      <c r="E2802" s="9">
        <f t="shared" si="129"/>
        <v>-1.7330873903545402E-2</v>
      </c>
      <c r="F2802" s="9">
        <f t="shared" si="130"/>
        <v>6.8076560843687824E-3</v>
      </c>
      <c r="G2802" s="9">
        <f t="shared" si="131"/>
        <v>1.2365184635692007E-2</v>
      </c>
    </row>
    <row r="2803" spans="1:7" x14ac:dyDescent="0.2">
      <c r="A2803" s="12">
        <v>41204</v>
      </c>
      <c r="B2803" s="9">
        <v>2082.58</v>
      </c>
      <c r="C2803" s="9">
        <v>2056.9299999999998</v>
      </c>
      <c r="D2803" s="9">
        <v>2065.15</v>
      </c>
      <c r="E2803" s="9">
        <f t="shared" si="129"/>
        <v>7.7479213818567013E-5</v>
      </c>
      <c r="F2803" s="9">
        <f t="shared" si="130"/>
        <v>6.1248124167822262E-3</v>
      </c>
      <c r="G2803" s="9">
        <f t="shared" si="131"/>
        <v>1.2364797382669789E-2</v>
      </c>
    </row>
    <row r="2804" spans="1:7" x14ac:dyDescent="0.2">
      <c r="A2804" s="12">
        <v>41205</v>
      </c>
      <c r="B2804" s="9">
        <v>2061.66</v>
      </c>
      <c r="C2804" s="9">
        <v>2018.93</v>
      </c>
      <c r="D2804" s="9">
        <v>2023.57</v>
      </c>
      <c r="E2804" s="9">
        <f t="shared" si="129"/>
        <v>-2.0339584738567354E-2</v>
      </c>
      <c r="F2804" s="9">
        <f t="shared" si="130"/>
        <v>-2.5478525856148185E-2</v>
      </c>
      <c r="G2804" s="9">
        <f t="shared" si="131"/>
        <v>1.2730897405437681E-2</v>
      </c>
    </row>
    <row r="2805" spans="1:7" x14ac:dyDescent="0.2">
      <c r="A2805" s="12">
        <v>41206</v>
      </c>
      <c r="B2805" s="9">
        <v>2034.67</v>
      </c>
      <c r="C2805" s="9">
        <v>2002.46</v>
      </c>
      <c r="D2805" s="9">
        <v>2029.84</v>
      </c>
      <c r="E2805" s="9">
        <f t="shared" si="129"/>
        <v>3.0936939519153601E-3</v>
      </c>
      <c r="F2805" s="9">
        <f t="shared" si="130"/>
        <v>-3.4656334478369556E-2</v>
      </c>
      <c r="G2805" s="9">
        <f t="shared" si="131"/>
        <v>1.2513139309336329E-2</v>
      </c>
    </row>
    <row r="2806" spans="1:7" x14ac:dyDescent="0.2">
      <c r="A2806" s="12">
        <v>41207</v>
      </c>
      <c r="B2806" s="9">
        <v>2028.22</v>
      </c>
      <c r="C2806" s="9">
        <v>2013.35</v>
      </c>
      <c r="D2806" s="9">
        <v>2018.81</v>
      </c>
      <c r="E2806" s="9">
        <f t="shared" si="129"/>
        <v>-5.4487433040372032E-3</v>
      </c>
      <c r="F2806" s="9">
        <f t="shared" si="130"/>
        <v>-3.9281485875606523E-2</v>
      </c>
      <c r="G2806" s="9">
        <f t="shared" si="131"/>
        <v>1.2537381876774218E-2</v>
      </c>
    </row>
    <row r="2807" spans="1:7" x14ac:dyDescent="0.2">
      <c r="A2807" s="12">
        <v>41208</v>
      </c>
      <c r="B2807" s="9">
        <v>2025.54</v>
      </c>
      <c r="C2807" s="9">
        <v>2000.75</v>
      </c>
      <c r="D2807" s="9">
        <v>2022.6</v>
      </c>
      <c r="E2807" s="9">
        <f t="shared" si="129"/>
        <v>1.8755835765452971E-3</v>
      </c>
      <c r="F2807" s="9">
        <f t="shared" si="130"/>
        <v>-6.6363094096408781E-2</v>
      </c>
      <c r="G2807" s="9">
        <f t="shared" si="131"/>
        <v>1.1185001870085072E-2</v>
      </c>
    </row>
    <row r="2808" spans="1:7" x14ac:dyDescent="0.2">
      <c r="A2808" s="12">
        <v>41211</v>
      </c>
      <c r="B2808" s="9">
        <v>2030.17</v>
      </c>
      <c r="C2808" s="9">
        <v>2007.59</v>
      </c>
      <c r="D2808" s="9">
        <v>2023.2</v>
      </c>
      <c r="E2808" s="9">
        <f t="shared" si="129"/>
        <v>2.9660388768534368E-4</v>
      </c>
      <c r="F2808" s="9">
        <f t="shared" si="130"/>
        <v>-5.5583209619869886E-2</v>
      </c>
      <c r="G2808" s="9">
        <f t="shared" si="131"/>
        <v>1.1082809681035173E-2</v>
      </c>
    </row>
    <row r="2809" spans="1:7" x14ac:dyDescent="0.2">
      <c r="A2809" s="12">
        <v>41212</v>
      </c>
      <c r="B2809" s="9">
        <v>2055.83</v>
      </c>
      <c r="C2809" s="9">
        <v>2026.12</v>
      </c>
      <c r="D2809" s="9">
        <v>2053.98</v>
      </c>
      <c r="E2809" s="9">
        <f t="shared" si="129"/>
        <v>1.5098957986997575E-2</v>
      </c>
      <c r="F2809" s="9">
        <f t="shared" si="130"/>
        <v>-2.2172255981007357E-2</v>
      </c>
      <c r="G2809" s="9">
        <f t="shared" si="131"/>
        <v>1.1050474996458361E-2</v>
      </c>
    </row>
    <row r="2810" spans="1:7" x14ac:dyDescent="0.2">
      <c r="A2810" s="12">
        <v>41213</v>
      </c>
      <c r="B2810" s="9">
        <v>2077.1</v>
      </c>
      <c r="C2810" s="9">
        <v>2051.14</v>
      </c>
      <c r="D2810" s="9">
        <v>2052.3000000000002</v>
      </c>
      <c r="E2810" s="9">
        <f t="shared" si="129"/>
        <v>-8.1825890769093293E-4</v>
      </c>
      <c r="F2810" s="9">
        <f t="shared" si="130"/>
        <v>-2.6194853467699768E-2</v>
      </c>
      <c r="G2810" s="9">
        <f t="shared" si="131"/>
        <v>1.1025352153659776E-2</v>
      </c>
    </row>
    <row r="2811" spans="1:7" x14ac:dyDescent="0.2">
      <c r="A2811" s="12">
        <v>41214</v>
      </c>
      <c r="B2811" s="9">
        <v>2086.9299999999998</v>
      </c>
      <c r="C2811" s="9">
        <v>2050.0300000000002</v>
      </c>
      <c r="D2811" s="9">
        <v>2085.5</v>
      </c>
      <c r="E2811" s="9">
        <f t="shared" si="129"/>
        <v>1.6047519201937907E-2</v>
      </c>
      <c r="F2811" s="9">
        <f t="shared" si="130"/>
        <v>-3.111911547813556E-3</v>
      </c>
      <c r="G2811" s="9">
        <f t="shared" si="131"/>
        <v>1.1380213557973655E-2</v>
      </c>
    </row>
    <row r="2812" spans="1:7" x14ac:dyDescent="0.2">
      <c r="A2812" s="12">
        <v>41215</v>
      </c>
      <c r="B2812" s="9">
        <v>2114.83</v>
      </c>
      <c r="C2812" s="9">
        <v>2087.38</v>
      </c>
      <c r="D2812" s="9">
        <v>2110.8000000000002</v>
      </c>
      <c r="E2812" s="9">
        <f t="shared" si="129"/>
        <v>1.2058387894512985E-2</v>
      </c>
      <c r="F2812" s="9">
        <f t="shared" si="130"/>
        <v>8.9608167936913712E-3</v>
      </c>
      <c r="G2812" s="9">
        <f t="shared" si="131"/>
        <v>1.1594914654669025E-2</v>
      </c>
    </row>
    <row r="2813" spans="1:7" x14ac:dyDescent="0.2">
      <c r="A2813" s="12">
        <v>41218</v>
      </c>
      <c r="B2813" s="9">
        <v>2108.37</v>
      </c>
      <c r="C2813" s="9">
        <v>2090.46</v>
      </c>
      <c r="D2813" s="9">
        <v>2095.65</v>
      </c>
      <c r="E2813" s="9">
        <f t="shared" si="129"/>
        <v>-7.2032547669072704E-3</v>
      </c>
      <c r="F2813" s="9">
        <f t="shared" si="130"/>
        <v>1.5435967189491379E-2</v>
      </c>
      <c r="G2813" s="9">
        <f t="shared" si="131"/>
        <v>1.1384111249894106E-2</v>
      </c>
    </row>
    <row r="2814" spans="1:7" x14ac:dyDescent="0.2">
      <c r="A2814" s="12">
        <v>41219</v>
      </c>
      <c r="B2814" s="9">
        <v>2104.8000000000002</v>
      </c>
      <c r="C2814" s="9">
        <v>2091.1</v>
      </c>
      <c r="D2814" s="9">
        <v>2099.7399999999998</v>
      </c>
      <c r="E2814" s="9">
        <f t="shared" si="129"/>
        <v>1.9497597580673094E-3</v>
      </c>
      <c r="F2814" s="9">
        <f t="shared" si="130"/>
        <v>4.0180819784936556E-3</v>
      </c>
      <c r="G2814" s="9">
        <f t="shared" si="131"/>
        <v>1.1127557353984956E-2</v>
      </c>
    </row>
    <row r="2815" spans="1:7" x14ac:dyDescent="0.2">
      <c r="A2815" s="12">
        <v>41220</v>
      </c>
      <c r="B2815" s="9">
        <v>2112.86</v>
      </c>
      <c r="C2815" s="9">
        <v>2058.0500000000002</v>
      </c>
      <c r="D2815" s="9">
        <v>2058.9699999999998</v>
      </c>
      <c r="E2815" s="9">
        <f t="shared" si="129"/>
        <v>-1.9607669780728549E-2</v>
      </c>
      <c r="F2815" s="9">
        <f t="shared" si="130"/>
        <v>9.3099729261297819E-3</v>
      </c>
      <c r="G2815" s="9">
        <f t="shared" si="131"/>
        <v>1.0752666095452381E-2</v>
      </c>
    </row>
    <row r="2816" spans="1:7" x14ac:dyDescent="0.2">
      <c r="A2816" s="12">
        <v>41221</v>
      </c>
      <c r="B2816" s="9">
        <v>2072.29</v>
      </c>
      <c r="C2816" s="9">
        <v>2053.15</v>
      </c>
      <c r="D2816" s="9">
        <v>2056.4899999999998</v>
      </c>
      <c r="E2816" s="9">
        <f t="shared" si="129"/>
        <v>-1.2052117139715642E-3</v>
      </c>
      <c r="F2816" s="9">
        <f t="shared" si="130"/>
        <v>1.4588069390734976E-5</v>
      </c>
      <c r="G2816" s="9">
        <f t="shared" si="131"/>
        <v>1.0654229902880837E-2</v>
      </c>
    </row>
    <row r="2817" spans="1:7" x14ac:dyDescent="0.2">
      <c r="A2817" s="12">
        <v>41222</v>
      </c>
      <c r="B2817" s="9">
        <v>2054.16</v>
      </c>
      <c r="C2817" s="9">
        <v>2031.04</v>
      </c>
      <c r="D2817" s="9">
        <v>2049.65</v>
      </c>
      <c r="E2817" s="9">
        <f t="shared" si="129"/>
        <v>-3.3315991791530697E-3</v>
      </c>
      <c r="F2817" s="9">
        <f t="shared" si="130"/>
        <v>6.578810078855502E-3</v>
      </c>
      <c r="G2817" s="9">
        <f t="shared" si="131"/>
        <v>1.0510414247004043E-2</v>
      </c>
    </row>
    <row r="2818" spans="1:7" x14ac:dyDescent="0.2">
      <c r="A2818" s="12">
        <v>41225</v>
      </c>
      <c r="B2818" s="9">
        <v>2062.09</v>
      </c>
      <c r="C2818" s="9">
        <v>2045.96</v>
      </c>
      <c r="D2818" s="9">
        <v>2051.5700000000002</v>
      </c>
      <c r="E2818" s="9">
        <f t="shared" si="129"/>
        <v>9.3630682590425474E-4</v>
      </c>
      <c r="F2818" s="9">
        <f t="shared" si="130"/>
        <v>-1.0174379496064414E-2</v>
      </c>
      <c r="G2818" s="9">
        <f t="shared" si="131"/>
        <v>9.9819594177087221E-3</v>
      </c>
    </row>
    <row r="2819" spans="1:7" x14ac:dyDescent="0.2">
      <c r="A2819" s="12">
        <v>41226</v>
      </c>
      <c r="B2819" s="9">
        <v>2046.97</v>
      </c>
      <c r="C2819" s="9">
        <v>2020.12</v>
      </c>
      <c r="D2819" s="9">
        <v>2044.72</v>
      </c>
      <c r="E2819" s="9">
        <f t="shared" si="129"/>
        <v>-3.344492887530397E-3</v>
      </c>
      <c r="F2819" s="9">
        <f t="shared" si="130"/>
        <v>-6.1724678553904885E-3</v>
      </c>
      <c r="G2819" s="9">
        <f t="shared" si="131"/>
        <v>9.9115789047362918E-3</v>
      </c>
    </row>
    <row r="2820" spans="1:7" x14ac:dyDescent="0.2">
      <c r="A2820" s="12">
        <v>41227</v>
      </c>
      <c r="B2820" s="9">
        <v>2056.23</v>
      </c>
      <c r="C2820" s="9">
        <v>2033.98</v>
      </c>
      <c r="D2820" s="9">
        <v>2040.21</v>
      </c>
      <c r="E2820" s="9">
        <f t="shared" ref="E2820:E2883" si="132">LN(D2820/D2819)</f>
        <v>-2.2081170705401656E-3</v>
      </c>
      <c r="F2820" s="9">
        <f t="shared" si="130"/>
        <v>-1.0292528368675777E-4</v>
      </c>
      <c r="G2820" s="9">
        <f t="shared" si="131"/>
        <v>9.80247725996365E-3</v>
      </c>
    </row>
    <row r="2821" spans="1:7" x14ac:dyDescent="0.2">
      <c r="A2821" s="12">
        <v>41228</v>
      </c>
      <c r="B2821" s="9">
        <v>2031.93</v>
      </c>
      <c r="C2821" s="9">
        <v>2021.74</v>
      </c>
      <c r="D2821" s="9">
        <v>2022.43</v>
      </c>
      <c r="E2821" s="9">
        <f t="shared" si="132"/>
        <v>-8.7529850133762008E-3</v>
      </c>
      <c r="F2821" s="9">
        <f t="shared" si="130"/>
        <v>-7.6004789209747972E-3</v>
      </c>
      <c r="G2821" s="9">
        <f t="shared" si="131"/>
        <v>9.930242328469242E-3</v>
      </c>
    </row>
    <row r="2822" spans="1:7" x14ac:dyDescent="0.2">
      <c r="A2822" s="12">
        <v>41229</v>
      </c>
      <c r="B2822" s="9">
        <v>2034.32</v>
      </c>
      <c r="C2822" s="9">
        <v>1999.77</v>
      </c>
      <c r="D2822" s="9">
        <v>1999.77</v>
      </c>
      <c r="E2822" s="9">
        <f t="shared" si="132"/>
        <v>-1.1267584774201813E-2</v>
      </c>
      <c r="F2822" s="9">
        <f t="shared" si="130"/>
        <v>-3.7824963764294749E-2</v>
      </c>
      <c r="G2822" s="9">
        <f t="shared" si="131"/>
        <v>9.4349144712423793E-3</v>
      </c>
    </row>
    <row r="2823" spans="1:7" x14ac:dyDescent="0.2">
      <c r="A2823" s="12">
        <v>41232</v>
      </c>
      <c r="B2823" s="9">
        <v>2066.9</v>
      </c>
      <c r="C2823" s="9">
        <v>2021.36</v>
      </c>
      <c r="D2823" s="9">
        <v>2066.11</v>
      </c>
      <c r="E2823" s="9">
        <f t="shared" si="132"/>
        <v>3.2635438314758264E-2</v>
      </c>
      <c r="F2823" s="9">
        <f t="shared" si="130"/>
        <v>4.7642240318185262E-3</v>
      </c>
      <c r="G2823" s="9">
        <f t="shared" si="131"/>
        <v>1.1133112712912108E-2</v>
      </c>
    </row>
    <row r="2824" spans="1:7" x14ac:dyDescent="0.2">
      <c r="A2824" s="12">
        <v>41233</v>
      </c>
      <c r="B2824" s="9">
        <v>2078.64</v>
      </c>
      <c r="C2824" s="9">
        <v>2060.92</v>
      </c>
      <c r="D2824" s="9">
        <v>2073.52</v>
      </c>
      <c r="E2824" s="9">
        <f t="shared" si="132"/>
        <v>3.5800339229713728E-3</v>
      </c>
      <c r="F2824" s="9">
        <f t="shared" si="130"/>
        <v>8.5971725536877625E-3</v>
      </c>
      <c r="G2824" s="9">
        <f t="shared" si="131"/>
        <v>1.1150205380190775E-2</v>
      </c>
    </row>
    <row r="2825" spans="1:7" x14ac:dyDescent="0.2">
      <c r="A2825" s="12">
        <v>41234</v>
      </c>
      <c r="B2825" s="9">
        <v>2098.3000000000002</v>
      </c>
      <c r="C2825" s="9">
        <v>2063.44</v>
      </c>
      <c r="D2825" s="9">
        <v>2098.09</v>
      </c>
      <c r="E2825" s="9">
        <f t="shared" si="132"/>
        <v>1.1779760867437991E-2</v>
      </c>
      <c r="F2825" s="9">
        <f t="shared" si="130"/>
        <v>2.9912615141710775E-2</v>
      </c>
      <c r="G2825" s="9">
        <f t="shared" si="131"/>
        <v>1.1181815731464543E-2</v>
      </c>
    </row>
    <row r="2826" spans="1:7" x14ac:dyDescent="0.2">
      <c r="A2826" s="12">
        <v>41235</v>
      </c>
      <c r="B2826" s="9">
        <v>2123.11</v>
      </c>
      <c r="C2826" s="9">
        <v>2109.1</v>
      </c>
      <c r="D2826" s="9">
        <v>2120.84</v>
      </c>
      <c r="E2826" s="9">
        <f t="shared" si="132"/>
        <v>1.0784829569952407E-2</v>
      </c>
      <c r="F2826" s="9">
        <f t="shared" si="130"/>
        <v>3.4621434508678953E-2</v>
      </c>
      <c r="G2826" s="9">
        <f t="shared" si="131"/>
        <v>1.1288111584672448E-2</v>
      </c>
    </row>
    <row r="2827" spans="1:7" x14ac:dyDescent="0.2">
      <c r="A2827" s="12">
        <v>41236</v>
      </c>
      <c r="B2827" s="9">
        <v>2155.79</v>
      </c>
      <c r="C2827" s="9">
        <v>2113.9699999999998</v>
      </c>
      <c r="D2827" s="9">
        <v>2155.79</v>
      </c>
      <c r="E2827" s="9">
        <f t="shared" si="132"/>
        <v>1.6345009083348513E-2</v>
      </c>
      <c r="F2827" s="9">
        <f t="shared" si="130"/>
        <v>5.850207489675386E-2</v>
      </c>
      <c r="G2827" s="9">
        <f t="shared" si="131"/>
        <v>1.14943280056464E-2</v>
      </c>
    </row>
    <row r="2828" spans="1:7" x14ac:dyDescent="0.2">
      <c r="A2828" s="12">
        <v>41239</v>
      </c>
      <c r="B2828" s="9">
        <v>2157.5100000000002</v>
      </c>
      <c r="C2828" s="9">
        <v>2131.5</v>
      </c>
      <c r="D2828" s="9">
        <v>2135.12</v>
      </c>
      <c r="E2828" s="9">
        <f t="shared" si="132"/>
        <v>-9.6343945153293219E-3</v>
      </c>
      <c r="F2828" s="9">
        <f t="shared" si="130"/>
        <v>4.2167085493250996E-2</v>
      </c>
      <c r="G2828" s="9">
        <f t="shared" si="131"/>
        <v>1.1647414424989514E-2</v>
      </c>
    </row>
    <row r="2829" spans="1:7" x14ac:dyDescent="0.2">
      <c r="A2829" s="12">
        <v>41240</v>
      </c>
      <c r="B2829" s="9">
        <v>2158.44</v>
      </c>
      <c r="C2829" s="9">
        <v>2109.89</v>
      </c>
      <c r="D2829" s="9">
        <v>2118.14</v>
      </c>
      <c r="E2829" s="9">
        <f t="shared" si="132"/>
        <v>-7.9845061009493935E-3</v>
      </c>
      <c r="F2829" s="9">
        <f t="shared" si="130"/>
        <v>2.3874186792580247E-2</v>
      </c>
      <c r="G2829" s="9">
        <f t="shared" si="131"/>
        <v>1.164409654183041E-2</v>
      </c>
    </row>
    <row r="2830" spans="1:7" x14ac:dyDescent="0.2">
      <c r="A2830" s="12">
        <v>41241</v>
      </c>
      <c r="B2830" s="9">
        <v>2112.98</v>
      </c>
      <c r="C2830" s="9">
        <v>2094.0700000000002</v>
      </c>
      <c r="D2830" s="9">
        <v>2112.17</v>
      </c>
      <c r="E2830" s="9">
        <f t="shared" si="132"/>
        <v>-2.8224900602122566E-3</v>
      </c>
      <c r="F2830" s="9">
        <f t="shared" si="130"/>
        <v>1.1173992149781865E-2</v>
      </c>
      <c r="G2830" s="9">
        <f t="shared" si="131"/>
        <v>1.1532860452252077E-2</v>
      </c>
    </row>
    <row r="2831" spans="1:7" x14ac:dyDescent="0.2">
      <c r="A2831" s="12">
        <v>41242</v>
      </c>
      <c r="B2831" s="9">
        <v>2146.84</v>
      </c>
      <c r="C2831" s="9">
        <v>2121.5300000000002</v>
      </c>
      <c r="D2831" s="9">
        <v>2146.04</v>
      </c>
      <c r="E2831" s="9">
        <f t="shared" si="132"/>
        <v>1.5908428334864645E-2</v>
      </c>
      <c r="F2831" s="9">
        <f t="shared" si="130"/>
        <v>2.1168025673977006E-2</v>
      </c>
      <c r="G2831" s="9">
        <f t="shared" si="131"/>
        <v>1.1838748509531124E-2</v>
      </c>
    </row>
    <row r="2832" spans="1:7" x14ac:dyDescent="0.2">
      <c r="A2832" s="12">
        <v>41243</v>
      </c>
      <c r="B2832" s="9">
        <v>2157.21</v>
      </c>
      <c r="C2832" s="9">
        <v>2137.9499999999998</v>
      </c>
      <c r="D2832" s="9">
        <v>2145.59</v>
      </c>
      <c r="E2832" s="9">
        <f t="shared" si="132"/>
        <v>-2.0971053033415734E-4</v>
      </c>
      <c r="F2832" s="9">
        <f t="shared" si="130"/>
        <v>3.8289189047188185E-2</v>
      </c>
      <c r="G2832" s="9">
        <f t="shared" si="131"/>
        <v>1.1341524640407091E-2</v>
      </c>
    </row>
    <row r="2833" spans="1:7" x14ac:dyDescent="0.2">
      <c r="A2833" s="12">
        <v>41246</v>
      </c>
      <c r="B2833" s="9">
        <v>2170.6</v>
      </c>
      <c r="C2833" s="9">
        <v>2145.17</v>
      </c>
      <c r="D2833" s="9">
        <v>2157.85</v>
      </c>
      <c r="E2833" s="9">
        <f t="shared" si="132"/>
        <v>5.6977827821989265E-3</v>
      </c>
      <c r="F2833" s="9">
        <f t="shared" si="130"/>
        <v>4.3909492615568417E-2</v>
      </c>
      <c r="G2833" s="9">
        <f t="shared" si="131"/>
        <v>1.1367428658245773E-2</v>
      </c>
    </row>
    <row r="2834" spans="1:7" x14ac:dyDescent="0.2">
      <c r="A2834" s="12">
        <v>41247</v>
      </c>
      <c r="B2834" s="9">
        <v>2171.08</v>
      </c>
      <c r="C2834" s="9">
        <v>2150.9</v>
      </c>
      <c r="D2834" s="9">
        <v>2161.84</v>
      </c>
      <c r="E2834" s="9">
        <f t="shared" si="132"/>
        <v>1.8473553124089836E-3</v>
      </c>
      <c r="F2834" s="9">
        <f t="shared" si="130"/>
        <v>6.6096432666544816E-2</v>
      </c>
      <c r="G2834" s="9">
        <f t="shared" si="131"/>
        <v>1.0595529495438136E-2</v>
      </c>
    </row>
    <row r="2835" spans="1:7" x14ac:dyDescent="0.2">
      <c r="A2835" s="12">
        <v>41248</v>
      </c>
      <c r="B2835" s="9">
        <v>2204.62</v>
      </c>
      <c r="C2835" s="9">
        <v>2180.41</v>
      </c>
      <c r="D2835" s="9">
        <v>2195.6999999999998</v>
      </c>
      <c r="E2835" s="9">
        <f t="shared" si="132"/>
        <v>1.5541191365099525E-2</v>
      </c>
      <c r="F2835" s="9">
        <f t="shared" si="130"/>
        <v>7.8543930079729055E-2</v>
      </c>
      <c r="G2835" s="9">
        <f t="shared" si="131"/>
        <v>1.0871722439820822E-2</v>
      </c>
    </row>
    <row r="2836" spans="1:7" x14ac:dyDescent="0.2">
      <c r="A2836" s="12">
        <v>41250</v>
      </c>
      <c r="B2836" s="9">
        <v>2235.61</v>
      </c>
      <c r="C2836" s="9">
        <v>2209.9299999999998</v>
      </c>
      <c r="D2836" s="9">
        <v>2222.56</v>
      </c>
      <c r="E2836" s="9">
        <f t="shared" si="132"/>
        <v>1.2158782373788068E-2</v>
      </c>
      <c r="F2836" s="9">
        <f t="shared" si="130"/>
        <v>9.6151455757554349E-2</v>
      </c>
      <c r="G2836" s="9">
        <f t="shared" si="131"/>
        <v>1.0896458642687543E-2</v>
      </c>
    </row>
    <row r="2837" spans="1:7" x14ac:dyDescent="0.2">
      <c r="A2837" s="12">
        <v>41253</v>
      </c>
      <c r="B2837" s="9">
        <v>2222.2399999999998</v>
      </c>
      <c r="C2837" s="9">
        <v>2195.54</v>
      </c>
      <c r="D2837" s="9">
        <v>2201.4699999999998</v>
      </c>
      <c r="E2837" s="9">
        <f t="shared" si="132"/>
        <v>-9.534365618570689E-3</v>
      </c>
      <c r="F2837" s="9">
        <f t="shared" si="130"/>
        <v>8.4741506562438368E-2</v>
      </c>
      <c r="G2837" s="9">
        <f t="shared" si="131"/>
        <v>1.1140849265888729E-2</v>
      </c>
    </row>
    <row r="2838" spans="1:7" x14ac:dyDescent="0.2">
      <c r="A2838" s="12">
        <v>41254</v>
      </c>
      <c r="B2838" s="9">
        <v>2236.0300000000002</v>
      </c>
      <c r="C2838" s="9">
        <v>2197.6999999999998</v>
      </c>
      <c r="D2838" s="9">
        <v>2233.9899999999998</v>
      </c>
      <c r="E2838" s="9">
        <f t="shared" si="132"/>
        <v>1.466390531288036E-2</v>
      </c>
      <c r="F2838" s="9">
        <f t="shared" si="130"/>
        <v>9.9108807987633288E-2</v>
      </c>
      <c r="G2838" s="9">
        <f t="shared" si="131"/>
        <v>1.1335527809496246E-2</v>
      </c>
    </row>
    <row r="2839" spans="1:7" x14ac:dyDescent="0.2">
      <c r="A2839" s="12">
        <v>41255</v>
      </c>
      <c r="B2839" s="9">
        <v>2237.66</v>
      </c>
      <c r="C2839" s="9">
        <v>2222.5700000000002</v>
      </c>
      <c r="D2839" s="9">
        <v>2227.85</v>
      </c>
      <c r="E2839" s="9">
        <f t="shared" si="132"/>
        <v>-2.7522295177574091E-3</v>
      </c>
      <c r="F2839" s="9">
        <f t="shared" si="130"/>
        <v>8.1257620482878462E-2</v>
      </c>
      <c r="G2839" s="9">
        <f t="shared" si="131"/>
        <v>1.1162209845438189E-2</v>
      </c>
    </row>
    <row r="2840" spans="1:7" x14ac:dyDescent="0.2">
      <c r="A2840" s="12">
        <v>41256</v>
      </c>
      <c r="B2840" s="9">
        <v>2229.6999999999998</v>
      </c>
      <c r="C2840" s="9">
        <v>2204.52</v>
      </c>
      <c r="D2840" s="9">
        <v>2214.4299999999998</v>
      </c>
      <c r="E2840" s="9">
        <f t="shared" si="132"/>
        <v>-6.0419608061888447E-3</v>
      </c>
      <c r="F2840" s="9">
        <f t="shared" si="130"/>
        <v>7.6033918584380369E-2</v>
      </c>
      <c r="G2840" s="9">
        <f t="shared" si="131"/>
        <v>1.1259443255298424E-2</v>
      </c>
    </row>
    <row r="2841" spans="1:7" x14ac:dyDescent="0.2">
      <c r="A2841" s="12">
        <v>41257</v>
      </c>
      <c r="B2841" s="9">
        <v>2221.0500000000002</v>
      </c>
      <c r="C2841" s="9">
        <v>2208.15</v>
      </c>
      <c r="D2841" s="9">
        <v>2219.0500000000002</v>
      </c>
      <c r="E2841" s="9">
        <f t="shared" si="132"/>
        <v>2.0841423316695674E-3</v>
      </c>
      <c r="F2841" s="9">
        <f t="shared" si="130"/>
        <v>6.2070541714112096E-2</v>
      </c>
      <c r="G2841" s="9">
        <f t="shared" si="131"/>
        <v>1.0966371387897781E-2</v>
      </c>
    </row>
    <row r="2842" spans="1:7" x14ac:dyDescent="0.2">
      <c r="A2842" s="12">
        <v>41260</v>
      </c>
      <c r="B2842" s="9">
        <v>2226</v>
      </c>
      <c r="C2842" s="9">
        <v>2206.4299999999998</v>
      </c>
      <c r="D2842" s="9">
        <v>2222.15</v>
      </c>
      <c r="E2842" s="9">
        <f t="shared" si="132"/>
        <v>1.3960193206600843E-3</v>
      </c>
      <c r="F2842" s="9">
        <f t="shared" si="130"/>
        <v>5.1408173140259285E-2</v>
      </c>
      <c r="G2842" s="9">
        <f t="shared" si="131"/>
        <v>1.0803022600445562E-2</v>
      </c>
    </row>
    <row r="2843" spans="1:7" x14ac:dyDescent="0.2">
      <c r="A2843" s="12">
        <v>41261</v>
      </c>
      <c r="B2843" s="9">
        <v>2262.2600000000002</v>
      </c>
      <c r="C2843" s="9">
        <v>2234</v>
      </c>
      <c r="D2843" s="9">
        <v>2259.5</v>
      </c>
      <c r="E2843" s="9">
        <f t="shared" si="132"/>
        <v>1.6668354179562108E-2</v>
      </c>
      <c r="F2843" s="9">
        <f t="shared" si="130"/>
        <v>7.5279782086728794E-2</v>
      </c>
      <c r="G2843" s="9">
        <f t="shared" si="131"/>
        <v>1.1000928794912313E-2</v>
      </c>
    </row>
    <row r="2844" spans="1:7" x14ac:dyDescent="0.2">
      <c r="A2844" s="12">
        <v>41262</v>
      </c>
      <c r="B2844" s="9">
        <v>2268.0300000000002</v>
      </c>
      <c r="C2844" s="9">
        <v>2247.06</v>
      </c>
      <c r="D2844" s="9">
        <v>2251.58</v>
      </c>
      <c r="E2844" s="9">
        <f t="shared" si="132"/>
        <v>-3.5113578733060868E-3</v>
      </c>
      <c r="F2844" s="9">
        <f t="shared" si="130"/>
        <v>6.98186644553552E-2</v>
      </c>
      <c r="G2844" s="9">
        <f t="shared" si="131"/>
        <v>1.1055555616965401E-2</v>
      </c>
    </row>
    <row r="2845" spans="1:7" x14ac:dyDescent="0.2">
      <c r="A2845" s="12">
        <v>41263</v>
      </c>
      <c r="B2845" s="9">
        <v>2259.12</v>
      </c>
      <c r="C2845" s="9">
        <v>2243.36</v>
      </c>
      <c r="D2845" s="9">
        <v>2255.12</v>
      </c>
      <c r="E2845" s="9">
        <f t="shared" si="132"/>
        <v>1.5709946204838165E-3</v>
      </c>
      <c r="F2845" s="9">
        <f t="shared" si="130"/>
        <v>9.0997328856567528E-2</v>
      </c>
      <c r="G2845" s="9">
        <f t="shared" si="131"/>
        <v>1.0253699699175769E-2</v>
      </c>
    </row>
    <row r="2846" spans="1:7" x14ac:dyDescent="0.2">
      <c r="A2846" s="12">
        <v>41264</v>
      </c>
      <c r="B2846" s="9">
        <v>2240.0300000000002</v>
      </c>
      <c r="C2846" s="9">
        <v>2225.23</v>
      </c>
      <c r="D2846" s="9">
        <v>2236.48</v>
      </c>
      <c r="E2846" s="9">
        <f t="shared" si="132"/>
        <v>-8.2999853097478135E-3</v>
      </c>
      <c r="F2846" s="9">
        <f t="shared" si="130"/>
        <v>8.3902555260791309E-2</v>
      </c>
      <c r="G2846" s="9">
        <f t="shared" si="131"/>
        <v>1.0435040590489898E-2</v>
      </c>
    </row>
    <row r="2847" spans="1:7" x14ac:dyDescent="0.2">
      <c r="A2847" s="12">
        <v>41270</v>
      </c>
      <c r="B2847" s="9">
        <v>2249.11</v>
      </c>
      <c r="C2847" s="9">
        <v>2228.9299999999998</v>
      </c>
      <c r="D2847" s="9">
        <v>2231.15</v>
      </c>
      <c r="E2847" s="9">
        <f t="shared" si="132"/>
        <v>-2.3860536923391074E-3</v>
      </c>
      <c r="F2847" s="9">
        <f t="shared" si="130"/>
        <v>8.4848100747605293E-2</v>
      </c>
      <c r="G2847" s="9">
        <f t="shared" si="131"/>
        <v>1.041730502696926E-2</v>
      </c>
    </row>
    <row r="2848" spans="1:7" x14ac:dyDescent="0.2">
      <c r="A2848" s="12">
        <v>41271</v>
      </c>
      <c r="B2848" s="9">
        <v>2236.2199999999998</v>
      </c>
      <c r="C2848" s="9">
        <v>2207.12</v>
      </c>
      <c r="D2848" s="9">
        <v>2210.02</v>
      </c>
      <c r="E2848" s="9">
        <f t="shared" si="132"/>
        <v>-9.5155823518199324E-3</v>
      </c>
      <c r="F2848" s="9">
        <f t="shared" si="130"/>
        <v>7.4396211569881285E-2</v>
      </c>
      <c r="G2848" s="9">
        <f t="shared" si="131"/>
        <v>1.065483028537717E-2</v>
      </c>
    </row>
    <row r="2849" spans="1:7" x14ac:dyDescent="0.2">
      <c r="A2849" s="12">
        <v>41276</v>
      </c>
      <c r="B2849" s="9">
        <v>2300.5100000000002</v>
      </c>
      <c r="C2849" s="9">
        <v>2259.15</v>
      </c>
      <c r="D2849" s="9">
        <v>2296</v>
      </c>
      <c r="E2849" s="9">
        <f t="shared" si="132"/>
        <v>3.8166913194851923E-2</v>
      </c>
      <c r="F2849" s="9">
        <f t="shared" ref="F2849:F2912" si="133">LN(D2849/D2819)</f>
        <v>0.11590761765226351</v>
      </c>
      <c r="G2849" s="9">
        <f t="shared" ref="G2849:G2912" si="134">STDEV(E2820:E2849)</f>
        <v>1.2421392128073635E-2</v>
      </c>
    </row>
    <row r="2850" spans="1:7" x14ac:dyDescent="0.2">
      <c r="A2850" s="12">
        <v>41277</v>
      </c>
      <c r="B2850" s="9">
        <v>2317.56</v>
      </c>
      <c r="C2850" s="9">
        <v>2295.7600000000002</v>
      </c>
      <c r="D2850" s="9">
        <v>2314.61</v>
      </c>
      <c r="E2850" s="9">
        <f t="shared" si="132"/>
        <v>8.0727283661206958E-3</v>
      </c>
      <c r="F2850" s="9">
        <f t="shared" si="133"/>
        <v>0.12618846308892431</v>
      </c>
      <c r="G2850" s="9">
        <f t="shared" si="134"/>
        <v>1.2389882652715326E-2</v>
      </c>
    </row>
    <row r="2851" spans="1:7" x14ac:dyDescent="0.2">
      <c r="A2851" s="12">
        <v>41278</v>
      </c>
      <c r="B2851" s="9">
        <v>2327.39</v>
      </c>
      <c r="C2851" s="9">
        <v>2302.91</v>
      </c>
      <c r="D2851" s="9">
        <v>2327.39</v>
      </c>
      <c r="E2851" s="9">
        <f t="shared" si="132"/>
        <v>5.5062612191406944E-3</v>
      </c>
      <c r="F2851" s="9">
        <f t="shared" si="133"/>
        <v>0.14044770932144116</v>
      </c>
      <c r="G2851" s="9">
        <f t="shared" si="134"/>
        <v>1.2146712875950703E-2</v>
      </c>
    </row>
    <row r="2852" spans="1:7" x14ac:dyDescent="0.2">
      <c r="A2852" s="12">
        <v>41281</v>
      </c>
      <c r="B2852" s="9">
        <v>2328.87</v>
      </c>
      <c r="C2852" s="9">
        <v>2314.4899999999998</v>
      </c>
      <c r="D2852" s="9">
        <v>2322.83</v>
      </c>
      <c r="E2852" s="9">
        <f t="shared" si="132"/>
        <v>-1.9611981633527731E-3</v>
      </c>
      <c r="F2852" s="9">
        <f t="shared" si="133"/>
        <v>0.14975409593229014</v>
      </c>
      <c r="G2852" s="9">
        <f t="shared" si="134"/>
        <v>1.1840316673299401E-2</v>
      </c>
    </row>
    <row r="2853" spans="1:7" x14ac:dyDescent="0.2">
      <c r="A2853" s="12">
        <v>41282</v>
      </c>
      <c r="B2853" s="9">
        <v>2325.1</v>
      </c>
      <c r="C2853" s="9">
        <v>2294.09</v>
      </c>
      <c r="D2853" s="9">
        <v>2299.11</v>
      </c>
      <c r="E2853" s="9">
        <f t="shared" si="132"/>
        <v>-1.0264178352857719E-2</v>
      </c>
      <c r="F2853" s="9">
        <f t="shared" si="133"/>
        <v>0.10685447926467417</v>
      </c>
      <c r="G2853" s="9">
        <f t="shared" si="134"/>
        <v>1.0943157798859826E-2</v>
      </c>
    </row>
    <row r="2854" spans="1:7" x14ac:dyDescent="0.2">
      <c r="A2854" s="12">
        <v>41283</v>
      </c>
      <c r="B2854" s="9">
        <v>2314.6999999999998</v>
      </c>
      <c r="C2854" s="9">
        <v>2282.4499999999998</v>
      </c>
      <c r="D2854" s="9">
        <v>2293.1</v>
      </c>
      <c r="E2854" s="9">
        <f t="shared" si="132"/>
        <v>-2.6174776115655157E-3</v>
      </c>
      <c r="F2854" s="9">
        <f t="shared" si="133"/>
        <v>0.10065696773013719</v>
      </c>
      <c r="G2854" s="9">
        <f t="shared" si="134"/>
        <v>1.1001146347914954E-2</v>
      </c>
    </row>
    <row r="2855" spans="1:7" x14ac:dyDescent="0.2">
      <c r="A2855" s="12">
        <v>41284</v>
      </c>
      <c r="B2855" s="9">
        <v>2340.1999999999998</v>
      </c>
      <c r="C2855" s="9">
        <v>2271.0300000000002</v>
      </c>
      <c r="D2855" s="9">
        <v>2307.87</v>
      </c>
      <c r="E2855" s="9">
        <f t="shared" si="132"/>
        <v>6.4204073214655273E-3</v>
      </c>
      <c r="F2855" s="9">
        <f t="shared" si="133"/>
        <v>9.5297614184164672E-2</v>
      </c>
      <c r="G2855" s="9">
        <f t="shared" si="134"/>
        <v>1.0902699130547934E-2</v>
      </c>
    </row>
    <row r="2856" spans="1:7" x14ac:dyDescent="0.2">
      <c r="A2856" s="12">
        <v>41285</v>
      </c>
      <c r="B2856" s="9">
        <v>2332.37</v>
      </c>
      <c r="C2856" s="9">
        <v>2308.14</v>
      </c>
      <c r="D2856" s="9">
        <v>2320.81</v>
      </c>
      <c r="E2856" s="9">
        <f t="shared" si="132"/>
        <v>5.5912414385174605E-3</v>
      </c>
      <c r="F2856" s="9">
        <f t="shared" si="133"/>
        <v>9.0104026052729616E-2</v>
      </c>
      <c r="G2856" s="9">
        <f t="shared" si="134"/>
        <v>1.0818634454251122E-2</v>
      </c>
    </row>
    <row r="2857" spans="1:7" x14ac:dyDescent="0.2">
      <c r="A2857" s="12">
        <v>41288</v>
      </c>
      <c r="B2857" s="9">
        <v>2338.4699999999998</v>
      </c>
      <c r="C2857" s="9">
        <v>2308.19</v>
      </c>
      <c r="D2857" s="9">
        <v>2314.56</v>
      </c>
      <c r="E2857" s="9">
        <f t="shared" si="132"/>
        <v>-2.6966579960094141E-3</v>
      </c>
      <c r="F2857" s="9">
        <f t="shared" si="133"/>
        <v>7.1062358973371723E-2</v>
      </c>
      <c r="G2857" s="9">
        <f t="shared" si="134"/>
        <v>1.0564500123408788E-2</v>
      </c>
    </row>
    <row r="2858" spans="1:7" x14ac:dyDescent="0.2">
      <c r="A2858" s="12">
        <v>41289</v>
      </c>
      <c r="B2858" s="9">
        <v>2325.69</v>
      </c>
      <c r="C2858" s="9">
        <v>2299.0300000000002</v>
      </c>
      <c r="D2858" s="9">
        <v>2301.69</v>
      </c>
      <c r="E2858" s="9">
        <f t="shared" si="132"/>
        <v>-5.5759689555553429E-3</v>
      </c>
      <c r="F2858" s="9">
        <f t="shared" si="133"/>
        <v>7.5120784533145801E-2</v>
      </c>
      <c r="G2858" s="9">
        <f t="shared" si="134"/>
        <v>1.0430633456453021E-2</v>
      </c>
    </row>
    <row r="2859" spans="1:7" x14ac:dyDescent="0.2">
      <c r="A2859" s="12">
        <v>41290</v>
      </c>
      <c r="B2859" s="9">
        <v>2319.0300000000002</v>
      </c>
      <c r="C2859" s="9">
        <v>2298.48</v>
      </c>
      <c r="D2859" s="9">
        <v>2319.02</v>
      </c>
      <c r="E2859" s="9">
        <f t="shared" si="132"/>
        <v>7.5010469200531785E-3</v>
      </c>
      <c r="F2859" s="9">
        <f t="shared" si="133"/>
        <v>9.0606337554148167E-2</v>
      </c>
      <c r="G2859" s="9">
        <f t="shared" si="134"/>
        <v>1.0275704205754752E-2</v>
      </c>
    </row>
    <row r="2860" spans="1:7" x14ac:dyDescent="0.2">
      <c r="A2860" s="12">
        <v>41291</v>
      </c>
      <c r="B2860" s="9">
        <v>2338.85</v>
      </c>
      <c r="C2860" s="9">
        <v>2325.4</v>
      </c>
      <c r="D2860" s="9">
        <v>2338.34</v>
      </c>
      <c r="E2860" s="9">
        <f t="shared" si="132"/>
        <v>8.2965932724733561E-3</v>
      </c>
      <c r="F2860" s="9">
        <f t="shared" si="133"/>
        <v>0.10172542088683399</v>
      </c>
      <c r="G2860" s="9">
        <f t="shared" si="134"/>
        <v>1.0258209035059123E-2</v>
      </c>
    </row>
    <row r="2861" spans="1:7" x14ac:dyDescent="0.2">
      <c r="A2861" s="12">
        <v>41292</v>
      </c>
      <c r="B2861" s="9">
        <v>2345.7600000000002</v>
      </c>
      <c r="C2861" s="9">
        <v>2320.44</v>
      </c>
      <c r="D2861" s="9">
        <v>2320.89</v>
      </c>
      <c r="E2861" s="9">
        <f t="shared" si="132"/>
        <v>-7.4905431114800202E-3</v>
      </c>
      <c r="F2861" s="9">
        <f t="shared" si="133"/>
        <v>7.8326449440489207E-2</v>
      </c>
      <c r="G2861" s="9">
        <f t="shared" si="134"/>
        <v>1.0162743241142953E-2</v>
      </c>
    </row>
    <row r="2862" spans="1:7" x14ac:dyDescent="0.2">
      <c r="A2862" s="12">
        <v>41295</v>
      </c>
      <c r="B2862" s="9">
        <v>2351.1</v>
      </c>
      <c r="C2862" s="9">
        <v>2329.5</v>
      </c>
      <c r="D2862" s="9">
        <v>2346.7199999999998</v>
      </c>
      <c r="E2862" s="9">
        <f t="shared" si="132"/>
        <v>1.1067875712038065E-2</v>
      </c>
      <c r="F2862" s="9">
        <f t="shared" si="133"/>
        <v>8.9604035682861405E-2</v>
      </c>
      <c r="G2862" s="9">
        <f t="shared" si="134"/>
        <v>1.0262897182352054E-2</v>
      </c>
    </row>
    <row r="2863" spans="1:7" x14ac:dyDescent="0.2">
      <c r="A2863" s="12">
        <v>41296</v>
      </c>
      <c r="B2863" s="9">
        <v>2360.0100000000002</v>
      </c>
      <c r="C2863" s="9">
        <v>2329.4899999999998</v>
      </c>
      <c r="D2863" s="9">
        <v>2359.16</v>
      </c>
      <c r="E2863" s="9">
        <f t="shared" si="132"/>
        <v>5.287014958919263E-3</v>
      </c>
      <c r="F2863" s="9">
        <f t="shared" si="133"/>
        <v>8.9193267859581857E-2</v>
      </c>
      <c r="G2863" s="9">
        <f t="shared" si="134"/>
        <v>1.0259429029853166E-2</v>
      </c>
    </row>
    <row r="2864" spans="1:7" x14ac:dyDescent="0.2">
      <c r="A2864" s="12">
        <v>41297</v>
      </c>
      <c r="B2864" s="9">
        <v>2372.09</v>
      </c>
      <c r="C2864" s="9">
        <v>2351.5100000000002</v>
      </c>
      <c r="D2864" s="9">
        <v>2362.04</v>
      </c>
      <c r="E2864" s="9">
        <f t="shared" si="132"/>
        <v>1.2200289575672119E-3</v>
      </c>
      <c r="F2864" s="9">
        <f t="shared" si="133"/>
        <v>8.8565941504740064E-2</v>
      </c>
      <c r="G2864" s="9">
        <f t="shared" si="134"/>
        <v>1.0262441543828767E-2</v>
      </c>
    </row>
    <row r="2865" spans="1:7" x14ac:dyDescent="0.2">
      <c r="A2865" s="12">
        <v>41298</v>
      </c>
      <c r="B2865" s="9">
        <v>2368.42</v>
      </c>
      <c r="C2865" s="9">
        <v>2306.91</v>
      </c>
      <c r="D2865" s="9">
        <v>2336.86</v>
      </c>
      <c r="E2865" s="9">
        <f t="shared" si="132"/>
        <v>-1.0717504532717895E-2</v>
      </c>
      <c r="F2865" s="9">
        <f t="shared" si="133"/>
        <v>6.2307245606922544E-2</v>
      </c>
      <c r="G2865" s="9">
        <f t="shared" si="134"/>
        <v>1.027149979387796E-2</v>
      </c>
    </row>
    <row r="2866" spans="1:7" x14ac:dyDescent="0.2">
      <c r="A2866" s="12">
        <v>41299</v>
      </c>
      <c r="B2866" s="9">
        <v>2324.6999999999998</v>
      </c>
      <c r="C2866" s="9">
        <v>2310.17</v>
      </c>
      <c r="D2866" s="9">
        <v>2319.7600000000002</v>
      </c>
      <c r="E2866" s="9">
        <f t="shared" si="132"/>
        <v>-7.3444158488619512E-3</v>
      </c>
      <c r="F2866" s="9">
        <f t="shared" si="133"/>
        <v>4.2804047384272667E-2</v>
      </c>
      <c r="G2866" s="9">
        <f t="shared" si="134"/>
        <v>1.0228502323864092E-2</v>
      </c>
    </row>
    <row r="2867" spans="1:7" x14ac:dyDescent="0.2">
      <c r="A2867" s="12">
        <v>41302</v>
      </c>
      <c r="B2867" s="9">
        <v>2333.36</v>
      </c>
      <c r="C2867" s="9">
        <v>2322.2800000000002</v>
      </c>
      <c r="D2867" s="9">
        <v>2327.5300000000002</v>
      </c>
      <c r="E2867" s="9">
        <f t="shared" si="132"/>
        <v>3.3438874010761582E-3</v>
      </c>
      <c r="F2867" s="9">
        <f t="shared" si="133"/>
        <v>5.5682300403919464E-2</v>
      </c>
      <c r="G2867" s="9">
        <f t="shared" si="134"/>
        <v>1.0020746156112544E-2</v>
      </c>
    </row>
    <row r="2868" spans="1:7" x14ac:dyDescent="0.2">
      <c r="A2868" s="12">
        <v>41303</v>
      </c>
      <c r="B2868" s="9">
        <v>2343.85</v>
      </c>
      <c r="C2868" s="9">
        <v>2328.16</v>
      </c>
      <c r="D2868" s="9">
        <v>2333.12</v>
      </c>
      <c r="E2868" s="9">
        <f t="shared" si="132"/>
        <v>2.3988081836375302E-3</v>
      </c>
      <c r="F2868" s="9">
        <f t="shared" si="133"/>
        <v>4.3417203274676734E-2</v>
      </c>
      <c r="G2868" s="9">
        <f t="shared" si="134"/>
        <v>9.7260491237637602E-3</v>
      </c>
    </row>
    <row r="2869" spans="1:7" x14ac:dyDescent="0.2">
      <c r="A2869" s="12">
        <v>41304</v>
      </c>
      <c r="B2869" s="9">
        <v>2347.56</v>
      </c>
      <c r="C2869" s="9">
        <v>2332.2399999999998</v>
      </c>
      <c r="D2869" s="9">
        <v>2333.4499999999998</v>
      </c>
      <c r="E2869" s="9">
        <f t="shared" si="132"/>
        <v>1.4143150131673373E-4</v>
      </c>
      <c r="F2869" s="9">
        <f t="shared" si="133"/>
        <v>4.6310864293750885E-2</v>
      </c>
      <c r="G2869" s="9">
        <f t="shared" si="134"/>
        <v>9.6972719182085425E-3</v>
      </c>
    </row>
    <row r="2870" spans="1:7" x14ac:dyDescent="0.2">
      <c r="A2870" s="12">
        <v>41305</v>
      </c>
      <c r="B2870" s="9">
        <v>2341.38</v>
      </c>
      <c r="C2870" s="9">
        <v>2293.87</v>
      </c>
      <c r="D2870" s="9">
        <v>2295.0300000000002</v>
      </c>
      <c r="E2870" s="9">
        <f t="shared" si="132"/>
        <v>-1.6601943814748325E-2</v>
      </c>
      <c r="F2870" s="9">
        <f t="shared" si="133"/>
        <v>3.5750881285191424E-2</v>
      </c>
      <c r="G2870" s="9">
        <f t="shared" si="134"/>
        <v>1.016260951592971E-2</v>
      </c>
    </row>
    <row r="2871" spans="1:7" x14ac:dyDescent="0.2">
      <c r="A2871" s="12">
        <v>41306</v>
      </c>
      <c r="B2871" s="9">
        <v>2332.42</v>
      </c>
      <c r="C2871" s="9">
        <v>2294.37</v>
      </c>
      <c r="D2871" s="9">
        <v>2325.59</v>
      </c>
      <c r="E2871" s="9">
        <f t="shared" si="132"/>
        <v>1.3227854965186997E-2</v>
      </c>
      <c r="F2871" s="9">
        <f t="shared" si="133"/>
        <v>4.6894593918708961E-2</v>
      </c>
      <c r="G2871" s="9">
        <f t="shared" si="134"/>
        <v>1.0397303336074935E-2</v>
      </c>
    </row>
    <row r="2872" spans="1:7" x14ac:dyDescent="0.2">
      <c r="A2872" s="12">
        <v>41309</v>
      </c>
      <c r="B2872" s="9">
        <v>2338.36</v>
      </c>
      <c r="C2872" s="9">
        <v>2292.1</v>
      </c>
      <c r="D2872" s="9">
        <v>2296.89</v>
      </c>
      <c r="E2872" s="9">
        <f t="shared" si="132"/>
        <v>-1.2417736277699072E-2</v>
      </c>
      <c r="F2872" s="9">
        <f t="shared" si="133"/>
        <v>3.3080838320349713E-2</v>
      </c>
      <c r="G2872" s="9">
        <f t="shared" si="134"/>
        <v>1.0706250602090133E-2</v>
      </c>
    </row>
    <row r="2873" spans="1:7" x14ac:dyDescent="0.2">
      <c r="A2873" s="12">
        <v>41310</v>
      </c>
      <c r="B2873" s="9">
        <v>2320.91</v>
      </c>
      <c r="C2873" s="9">
        <v>2289.31</v>
      </c>
      <c r="D2873" s="9">
        <v>2320.91</v>
      </c>
      <c r="E2873" s="9">
        <f t="shared" si="132"/>
        <v>1.0403316141004003E-2</v>
      </c>
      <c r="F2873" s="9">
        <f t="shared" si="133"/>
        <v>2.6815800281791723E-2</v>
      </c>
      <c r="G2873" s="9">
        <f t="shared" si="134"/>
        <v>1.0450199970043568E-2</v>
      </c>
    </row>
    <row r="2874" spans="1:7" x14ac:dyDescent="0.2">
      <c r="A2874" s="12">
        <v>41311</v>
      </c>
      <c r="B2874" s="9">
        <v>2332.5100000000002</v>
      </c>
      <c r="C2874" s="9">
        <v>2294.4899999999998</v>
      </c>
      <c r="D2874" s="9">
        <v>2317.8200000000002</v>
      </c>
      <c r="E2874" s="9">
        <f t="shared" si="132"/>
        <v>-1.3322613978574607E-3</v>
      </c>
      <c r="F2874" s="9">
        <f t="shared" si="133"/>
        <v>2.8994896757240273E-2</v>
      </c>
      <c r="G2874" s="9">
        <f t="shared" si="134"/>
        <v>1.0426069932494179E-2</v>
      </c>
    </row>
    <row r="2875" spans="1:7" x14ac:dyDescent="0.2">
      <c r="A2875" s="12">
        <v>41312</v>
      </c>
      <c r="B2875" s="9">
        <v>2334.44</v>
      </c>
      <c r="C2875" s="9">
        <v>2308.08</v>
      </c>
      <c r="D2875" s="9">
        <v>2315.59</v>
      </c>
      <c r="E2875" s="9">
        <f t="shared" si="132"/>
        <v>-9.6257407489677444E-4</v>
      </c>
      <c r="F2875" s="9">
        <f t="shared" si="133"/>
        <v>2.646132806185977E-2</v>
      </c>
      <c r="G2875" s="9">
        <f t="shared" si="134"/>
        <v>1.0431264383977653E-2</v>
      </c>
    </row>
    <row r="2876" spans="1:7" x14ac:dyDescent="0.2">
      <c r="A2876" s="12">
        <v>41313</v>
      </c>
      <c r="B2876" s="9">
        <v>2349.58</v>
      </c>
      <c r="C2876" s="9">
        <v>2320.86</v>
      </c>
      <c r="D2876" s="9">
        <v>2345.8000000000002</v>
      </c>
      <c r="E2876" s="9">
        <f t="shared" si="132"/>
        <v>1.2961980427032865E-2</v>
      </c>
      <c r="F2876" s="9">
        <f t="shared" si="133"/>
        <v>4.7723293798640515E-2</v>
      </c>
      <c r="G2876" s="9">
        <f t="shared" si="134"/>
        <v>1.0507916840775695E-2</v>
      </c>
    </row>
    <row r="2877" spans="1:7" x14ac:dyDescent="0.2">
      <c r="A2877" s="12">
        <v>41316</v>
      </c>
      <c r="B2877" s="9">
        <v>2357.08</v>
      </c>
      <c r="C2877" s="9">
        <v>2339.56</v>
      </c>
      <c r="D2877" s="9">
        <v>2349.52</v>
      </c>
      <c r="E2877" s="9">
        <f t="shared" si="132"/>
        <v>1.5845568686922071E-3</v>
      </c>
      <c r="F2877" s="9">
        <f t="shared" si="133"/>
        <v>5.1693904359671972E-2</v>
      </c>
      <c r="G2877" s="9">
        <f t="shared" si="134"/>
        <v>1.0481070801654066E-2</v>
      </c>
    </row>
    <row r="2878" spans="1:7" x14ac:dyDescent="0.2">
      <c r="A2878" s="12">
        <v>41317</v>
      </c>
      <c r="B2878" s="9">
        <v>2361.54</v>
      </c>
      <c r="C2878" s="9">
        <v>2346.92</v>
      </c>
      <c r="D2878" s="9">
        <v>2360.4699999999998</v>
      </c>
      <c r="E2878" s="9">
        <f t="shared" si="132"/>
        <v>4.6496997776964812E-3</v>
      </c>
      <c r="F2878" s="9">
        <f t="shared" si="133"/>
        <v>6.5859186489188301E-2</v>
      </c>
      <c r="G2878" s="9">
        <f t="shared" si="134"/>
        <v>1.0274340575011824E-2</v>
      </c>
    </row>
    <row r="2879" spans="1:7" x14ac:dyDescent="0.2">
      <c r="A2879" s="12">
        <v>41318</v>
      </c>
      <c r="B2879" s="9">
        <v>2383.46</v>
      </c>
      <c r="C2879" s="9">
        <v>2365.3000000000002</v>
      </c>
      <c r="D2879" s="9">
        <v>2377.29</v>
      </c>
      <c r="E2879" s="9">
        <f t="shared" si="132"/>
        <v>7.1004317088878225E-3</v>
      </c>
      <c r="F2879" s="9">
        <f t="shared" si="133"/>
        <v>3.4792705003224379E-2</v>
      </c>
      <c r="G2879" s="9">
        <f t="shared" si="134"/>
        <v>7.7886589192171429E-3</v>
      </c>
    </row>
    <row r="2880" spans="1:7" x14ac:dyDescent="0.2">
      <c r="A2880" s="12">
        <v>41319</v>
      </c>
      <c r="B2880" s="9">
        <v>2380.4499999999998</v>
      </c>
      <c r="C2880" s="9">
        <v>2361.6999999999998</v>
      </c>
      <c r="D2880" s="9">
        <v>2374.14</v>
      </c>
      <c r="E2880" s="9">
        <f t="shared" si="132"/>
        <v>-1.3259168130393031E-3</v>
      </c>
      <c r="F2880" s="9">
        <f t="shared" si="133"/>
        <v>2.5394059824064404E-2</v>
      </c>
      <c r="G2880" s="9">
        <f t="shared" si="134"/>
        <v>7.6893969512184654E-3</v>
      </c>
    </row>
    <row r="2881" spans="1:7" x14ac:dyDescent="0.2">
      <c r="A2881" s="12">
        <v>41320</v>
      </c>
      <c r="B2881" s="9">
        <v>2390.69</v>
      </c>
      <c r="C2881" s="9">
        <v>2374.21</v>
      </c>
      <c r="D2881" s="9">
        <v>2383.0100000000002</v>
      </c>
      <c r="E2881" s="9">
        <f t="shared" si="132"/>
        <v>3.7291278513988824E-3</v>
      </c>
      <c r="F2881" s="9">
        <f t="shared" si="133"/>
        <v>2.3616926456322719E-2</v>
      </c>
      <c r="G2881" s="9">
        <f t="shared" si="134"/>
        <v>7.6590463136797585E-3</v>
      </c>
    </row>
    <row r="2882" spans="1:7" x14ac:dyDescent="0.2">
      <c r="A2882" s="12">
        <v>41323</v>
      </c>
      <c r="B2882" s="9">
        <v>2389.11</v>
      </c>
      <c r="C2882" s="9">
        <v>2361.69</v>
      </c>
      <c r="D2882" s="9">
        <v>2363.37</v>
      </c>
      <c r="E2882" s="9">
        <f t="shared" si="132"/>
        <v>-8.2758279337400483E-3</v>
      </c>
      <c r="F2882" s="9">
        <f t="shared" si="133"/>
        <v>1.7302296685935421E-2</v>
      </c>
      <c r="G2882" s="9">
        <f t="shared" si="134"/>
        <v>7.822215807113047E-3</v>
      </c>
    </row>
    <row r="2883" spans="1:7" x14ac:dyDescent="0.2">
      <c r="A2883" s="12">
        <v>41324</v>
      </c>
      <c r="B2883" s="9">
        <v>2391.29</v>
      </c>
      <c r="C2883" s="9">
        <v>2354.94</v>
      </c>
      <c r="D2883" s="9">
        <v>2389.91</v>
      </c>
      <c r="E2883" s="9">
        <f t="shared" si="132"/>
        <v>1.1167141765450644E-2</v>
      </c>
      <c r="F2883" s="9">
        <f t="shared" si="133"/>
        <v>3.8733616804243726E-2</v>
      </c>
      <c r="G2883" s="9">
        <f t="shared" si="134"/>
        <v>7.7765023055484982E-3</v>
      </c>
    </row>
    <row r="2884" spans="1:7" x14ac:dyDescent="0.2">
      <c r="A2884" s="12">
        <v>41325</v>
      </c>
      <c r="B2884" s="9">
        <v>2403.6</v>
      </c>
      <c r="C2884" s="9">
        <v>2378.44</v>
      </c>
      <c r="D2884" s="9">
        <v>2384.44</v>
      </c>
      <c r="E2884" s="9">
        <f t="shared" ref="E2884:E2947" si="135">LN(D2884/D2883)</f>
        <v>-2.2914123989170756E-3</v>
      </c>
      <c r="F2884" s="9">
        <f t="shared" si="133"/>
        <v>3.9059682016892278E-2</v>
      </c>
      <c r="G2884" s="9">
        <f t="shared" si="134"/>
        <v>7.7710770431839967E-3</v>
      </c>
    </row>
    <row r="2885" spans="1:7" x14ac:dyDescent="0.2">
      <c r="A2885" s="12">
        <v>41326</v>
      </c>
      <c r="B2885" s="9">
        <v>2375.4299999999998</v>
      </c>
      <c r="C2885" s="9">
        <v>2335.19</v>
      </c>
      <c r="D2885" s="9">
        <v>2345.65</v>
      </c>
      <c r="E2885" s="9">
        <f t="shared" si="135"/>
        <v>-1.6401746941192251E-2</v>
      </c>
      <c r="F2885" s="9">
        <f t="shared" si="133"/>
        <v>1.6237527754234517E-2</v>
      </c>
      <c r="G2885" s="9">
        <f t="shared" si="134"/>
        <v>8.3483673843281203E-3</v>
      </c>
    </row>
    <row r="2886" spans="1:7" x14ac:dyDescent="0.2">
      <c r="A2886" s="12">
        <v>41327</v>
      </c>
      <c r="B2886" s="9">
        <v>2384.09</v>
      </c>
      <c r="C2886" s="9">
        <v>2352.89</v>
      </c>
      <c r="D2886" s="9">
        <v>2369.87</v>
      </c>
      <c r="E2886" s="9">
        <f t="shared" si="135"/>
        <v>1.0272552331415915E-2</v>
      </c>
      <c r="F2886" s="9">
        <f t="shared" si="133"/>
        <v>2.0918838647132995E-2</v>
      </c>
      <c r="G2886" s="9">
        <f t="shared" si="134"/>
        <v>8.4885871358942305E-3</v>
      </c>
    </row>
    <row r="2887" spans="1:7" x14ac:dyDescent="0.2">
      <c r="A2887" s="12">
        <v>41330</v>
      </c>
      <c r="B2887" s="9">
        <v>2394.5</v>
      </c>
      <c r="C2887" s="9">
        <v>2360.09</v>
      </c>
      <c r="D2887" s="9">
        <v>2370.11</v>
      </c>
      <c r="E2887" s="9">
        <f t="shared" si="135"/>
        <v>1.0126625015527028E-4</v>
      </c>
      <c r="F2887" s="9">
        <f t="shared" si="133"/>
        <v>2.3716762893297542E-2</v>
      </c>
      <c r="G2887" s="9">
        <f t="shared" si="134"/>
        <v>8.4653505229026621E-3</v>
      </c>
    </row>
    <row r="2888" spans="1:7" x14ac:dyDescent="0.2">
      <c r="A2888" s="12">
        <v>41331</v>
      </c>
      <c r="B2888" s="9">
        <v>2335.92</v>
      </c>
      <c r="C2888" s="9">
        <v>2308.14</v>
      </c>
      <c r="D2888" s="9">
        <v>2314.59</v>
      </c>
      <c r="E2888" s="9">
        <f t="shared" si="135"/>
        <v>-2.370380155050212E-2</v>
      </c>
      <c r="F2888" s="9">
        <f t="shared" si="133"/>
        <v>5.5889302983506218E-3</v>
      </c>
      <c r="G2888" s="9">
        <f t="shared" si="134"/>
        <v>9.5171165094039036E-3</v>
      </c>
    </row>
    <row r="2889" spans="1:7" x14ac:dyDescent="0.2">
      <c r="A2889" s="12">
        <v>41332</v>
      </c>
      <c r="B2889" s="9">
        <v>2353.61</v>
      </c>
      <c r="C2889" s="9">
        <v>2307.94</v>
      </c>
      <c r="D2889" s="9">
        <v>2349.4699999999998</v>
      </c>
      <c r="E2889" s="9">
        <f t="shared" si="135"/>
        <v>1.495720478345282E-2</v>
      </c>
      <c r="F2889" s="9">
        <f t="shared" si="133"/>
        <v>1.3045088161750424E-2</v>
      </c>
      <c r="G2889" s="9">
        <f t="shared" si="134"/>
        <v>9.8076512886890316E-3</v>
      </c>
    </row>
    <row r="2890" spans="1:7" x14ac:dyDescent="0.2">
      <c r="A2890" s="12">
        <v>41333</v>
      </c>
      <c r="B2890" s="9">
        <v>2363.34</v>
      </c>
      <c r="C2890" s="9">
        <v>2338.2600000000002</v>
      </c>
      <c r="D2890" s="9">
        <v>2350.89</v>
      </c>
      <c r="E2890" s="9">
        <f t="shared" si="135"/>
        <v>6.0420905768915876E-4</v>
      </c>
      <c r="F2890" s="9">
        <f t="shared" si="133"/>
        <v>5.352703946966123E-3</v>
      </c>
      <c r="G2890" s="9">
        <f t="shared" si="134"/>
        <v>9.694932427414496E-3</v>
      </c>
    </row>
    <row r="2891" spans="1:7" x14ac:dyDescent="0.2">
      <c r="A2891" s="12">
        <v>41334</v>
      </c>
      <c r="B2891" s="9">
        <v>2359.29</v>
      </c>
      <c r="C2891" s="9">
        <v>2330.79</v>
      </c>
      <c r="D2891" s="9">
        <v>2348.34</v>
      </c>
      <c r="E2891" s="9">
        <f t="shared" si="135"/>
        <v>-1.085284291380099E-3</v>
      </c>
      <c r="F2891" s="9">
        <f t="shared" si="133"/>
        <v>1.1757962767065942E-2</v>
      </c>
      <c r="G2891" s="9">
        <f t="shared" si="134"/>
        <v>9.590181867530672E-3</v>
      </c>
    </row>
    <row r="2892" spans="1:7" x14ac:dyDescent="0.2">
      <c r="A2892" s="12">
        <v>41337</v>
      </c>
      <c r="B2892" s="9">
        <v>2341.39</v>
      </c>
      <c r="C2892" s="9">
        <v>2320.06</v>
      </c>
      <c r="D2892" s="9">
        <v>2338.77</v>
      </c>
      <c r="E2892" s="9">
        <f t="shared" si="135"/>
        <v>-4.0835454250412635E-3</v>
      </c>
      <c r="F2892" s="9">
        <f t="shared" si="133"/>
        <v>-3.3934583700132117E-3</v>
      </c>
      <c r="G2892" s="9">
        <f t="shared" si="134"/>
        <v>9.4057539262902053E-3</v>
      </c>
    </row>
    <row r="2893" spans="1:7" x14ac:dyDescent="0.2">
      <c r="A2893" s="12">
        <v>41338</v>
      </c>
      <c r="B2893" s="9">
        <v>2381.7800000000002</v>
      </c>
      <c r="C2893" s="9">
        <v>2351.12</v>
      </c>
      <c r="D2893" s="9">
        <v>2378.81</v>
      </c>
      <c r="E2893" s="9">
        <f t="shared" si="135"/>
        <v>1.6975212495406327E-2</v>
      </c>
      <c r="F2893" s="9">
        <f t="shared" si="133"/>
        <v>8.2947391664737677E-3</v>
      </c>
      <c r="G2893" s="9">
        <f t="shared" si="134"/>
        <v>9.867874979208038E-3</v>
      </c>
    </row>
    <row r="2894" spans="1:7" x14ac:dyDescent="0.2">
      <c r="A2894" s="12">
        <v>41339</v>
      </c>
      <c r="B2894" s="9">
        <v>2391.14</v>
      </c>
      <c r="C2894" s="9">
        <v>2376.58</v>
      </c>
      <c r="D2894" s="9">
        <v>2376.75</v>
      </c>
      <c r="E2894" s="9">
        <f t="shared" si="135"/>
        <v>-8.6635438469821594E-4</v>
      </c>
      <c r="F2894" s="9">
        <f t="shared" si="133"/>
        <v>6.2083558242082837E-3</v>
      </c>
      <c r="G2894" s="9">
        <f t="shared" si="134"/>
        <v>9.8683479990420136E-3</v>
      </c>
    </row>
    <row r="2895" spans="1:7" x14ac:dyDescent="0.2">
      <c r="A2895" s="12">
        <v>41340</v>
      </c>
      <c r="B2895" s="9">
        <v>2389.44</v>
      </c>
      <c r="C2895" s="9">
        <v>2370.58</v>
      </c>
      <c r="D2895" s="9">
        <v>2376.89</v>
      </c>
      <c r="E2895" s="9">
        <f t="shared" si="135"/>
        <v>5.890223072856026E-5</v>
      </c>
      <c r="F2895" s="9">
        <f t="shared" si="133"/>
        <v>1.6984762587654707E-2</v>
      </c>
      <c r="G2895" s="9">
        <f t="shared" si="134"/>
        <v>9.6507133167409078E-3</v>
      </c>
    </row>
    <row r="2896" spans="1:7" x14ac:dyDescent="0.2">
      <c r="A2896" s="12">
        <v>41341</v>
      </c>
      <c r="B2896" s="9">
        <v>2400.87</v>
      </c>
      <c r="C2896" s="9">
        <v>2379.5300000000002</v>
      </c>
      <c r="D2896" s="9">
        <v>2388.12</v>
      </c>
      <c r="E2896" s="9">
        <f t="shared" si="135"/>
        <v>4.7135350363536289E-3</v>
      </c>
      <c r="F2896" s="9">
        <f t="shared" si="133"/>
        <v>2.9042713472870265E-2</v>
      </c>
      <c r="G2896" s="9">
        <f t="shared" si="134"/>
        <v>9.5605670459986015E-3</v>
      </c>
    </row>
    <row r="2897" spans="1:7" x14ac:dyDescent="0.2">
      <c r="A2897" s="12">
        <v>41344</v>
      </c>
      <c r="B2897" s="9">
        <v>2388.9299999999998</v>
      </c>
      <c r="C2897" s="9">
        <v>2368.7399999999998</v>
      </c>
      <c r="D2897" s="9">
        <v>2379.2600000000002</v>
      </c>
      <c r="E2897" s="9">
        <f t="shared" si="135"/>
        <v>-3.7169305574530375E-3</v>
      </c>
      <c r="F2897" s="9">
        <f t="shared" si="133"/>
        <v>2.1981895514341179E-2</v>
      </c>
      <c r="G2897" s="9">
        <f t="shared" si="134"/>
        <v>9.5869379479605089E-3</v>
      </c>
    </row>
    <row r="2898" spans="1:7" x14ac:dyDescent="0.2">
      <c r="A2898" s="12">
        <v>41345</v>
      </c>
      <c r="B2898" s="9">
        <v>2393.9899999999998</v>
      </c>
      <c r="C2898" s="9">
        <v>2380.0100000000002</v>
      </c>
      <c r="D2898" s="9">
        <v>2380.4299999999998</v>
      </c>
      <c r="E2898" s="9">
        <f t="shared" si="135"/>
        <v>4.9162866639004875E-4</v>
      </c>
      <c r="F2898" s="9">
        <f t="shared" si="133"/>
        <v>2.0074715997093612E-2</v>
      </c>
      <c r="G2898" s="9">
        <f t="shared" si="134"/>
        <v>9.5818309848325622E-3</v>
      </c>
    </row>
    <row r="2899" spans="1:7" x14ac:dyDescent="0.2">
      <c r="A2899" s="12">
        <v>41346</v>
      </c>
      <c r="B2899" s="9">
        <v>2384.33</v>
      </c>
      <c r="C2899" s="9">
        <v>2366.79</v>
      </c>
      <c r="D2899" s="9">
        <v>2372.0300000000002</v>
      </c>
      <c r="E2899" s="9">
        <f t="shared" si="135"/>
        <v>-3.5350150227165121E-3</v>
      </c>
      <c r="F2899" s="9">
        <f t="shared" si="133"/>
        <v>1.6398269473060258E-2</v>
      </c>
      <c r="G2899" s="9">
        <f t="shared" si="134"/>
        <v>9.6122750067052561E-3</v>
      </c>
    </row>
    <row r="2900" spans="1:7" x14ac:dyDescent="0.2">
      <c r="A2900" s="12">
        <v>41347</v>
      </c>
      <c r="B2900" s="9">
        <v>2385.4499999999998</v>
      </c>
      <c r="C2900" s="9">
        <v>2371.1999999999998</v>
      </c>
      <c r="D2900" s="9">
        <v>2381.16</v>
      </c>
      <c r="E2900" s="9">
        <f t="shared" si="135"/>
        <v>3.8416352927184822E-3</v>
      </c>
      <c r="F2900" s="9">
        <f t="shared" si="133"/>
        <v>3.684184858052706E-2</v>
      </c>
      <c r="G2900" s="9">
        <f t="shared" si="134"/>
        <v>9.063629663791116E-3</v>
      </c>
    </row>
    <row r="2901" spans="1:7" x14ac:dyDescent="0.2">
      <c r="A2901" s="12">
        <v>41348</v>
      </c>
      <c r="B2901" s="9">
        <v>2384.98</v>
      </c>
      <c r="C2901" s="9">
        <v>2368.38</v>
      </c>
      <c r="D2901" s="9">
        <v>2371.1999999999998</v>
      </c>
      <c r="E2901" s="9">
        <f t="shared" si="135"/>
        <v>-4.1916077833934178E-3</v>
      </c>
      <c r="F2901" s="9">
        <f t="shared" si="133"/>
        <v>1.9422385831946571E-2</v>
      </c>
      <c r="G2901" s="9">
        <f t="shared" si="134"/>
        <v>8.8231577826441195E-3</v>
      </c>
    </row>
    <row r="2902" spans="1:7" x14ac:dyDescent="0.2">
      <c r="A2902" s="12">
        <v>41351</v>
      </c>
      <c r="B2902" s="9">
        <v>2362.5100000000002</v>
      </c>
      <c r="C2902" s="9">
        <v>2336.75</v>
      </c>
      <c r="D2902" s="9">
        <v>2360.83</v>
      </c>
      <c r="E2902" s="9">
        <f t="shared" si="135"/>
        <v>-4.3829039970179661E-3</v>
      </c>
      <c r="F2902" s="9">
        <f t="shared" si="133"/>
        <v>2.7457218112627774E-2</v>
      </c>
      <c r="G2902" s="9">
        <f t="shared" si="134"/>
        <v>8.5299660409792494E-3</v>
      </c>
    </row>
    <row r="2903" spans="1:7" x14ac:dyDescent="0.2">
      <c r="A2903" s="12">
        <v>41352</v>
      </c>
      <c r="B2903" s="9">
        <v>2380.13</v>
      </c>
      <c r="C2903" s="9">
        <v>2352.64</v>
      </c>
      <c r="D2903" s="9">
        <v>2359</v>
      </c>
      <c r="E2903" s="9">
        <f t="shared" si="135"/>
        <v>-7.7545169707464966E-4</v>
      </c>
      <c r="F2903" s="9">
        <f t="shared" si="133"/>
        <v>1.6278450274549067E-2</v>
      </c>
      <c r="G2903" s="9">
        <f t="shared" si="134"/>
        <v>8.343319994091606E-3</v>
      </c>
    </row>
    <row r="2904" spans="1:7" x14ac:dyDescent="0.2">
      <c r="A2904" s="12">
        <v>41353</v>
      </c>
      <c r="B2904" s="9">
        <v>2376.89</v>
      </c>
      <c r="C2904" s="9">
        <v>2365.4499999999998</v>
      </c>
      <c r="D2904" s="9">
        <v>2373.46</v>
      </c>
      <c r="E2904" s="9">
        <f t="shared" si="135"/>
        <v>6.1110056925838385E-3</v>
      </c>
      <c r="F2904" s="9">
        <f t="shared" si="133"/>
        <v>2.3721717364990326E-2</v>
      </c>
      <c r="G2904" s="9">
        <f t="shared" si="134"/>
        <v>8.3961480076397057E-3</v>
      </c>
    </row>
    <row r="2905" spans="1:7" x14ac:dyDescent="0.2">
      <c r="A2905" s="12">
        <v>41354</v>
      </c>
      <c r="B2905" s="9">
        <v>2377.9699999999998</v>
      </c>
      <c r="C2905" s="9">
        <v>2343.02</v>
      </c>
      <c r="D2905" s="9">
        <v>2363.61</v>
      </c>
      <c r="E2905" s="9">
        <f t="shared" si="135"/>
        <v>-4.1586948033686781E-3</v>
      </c>
      <c r="F2905" s="9">
        <f t="shared" si="133"/>
        <v>2.0525596636518244E-2</v>
      </c>
      <c r="G2905" s="9">
        <f t="shared" si="134"/>
        <v>8.4393289591726834E-3</v>
      </c>
    </row>
    <row r="2906" spans="1:7" x14ac:dyDescent="0.2">
      <c r="A2906" s="12">
        <v>41355</v>
      </c>
      <c r="B2906" s="9">
        <v>2361.85</v>
      </c>
      <c r="C2906" s="9">
        <v>2342.81</v>
      </c>
      <c r="D2906" s="9">
        <v>2345.42</v>
      </c>
      <c r="E2906" s="9">
        <f t="shared" si="135"/>
        <v>-7.7256209761905198E-3</v>
      </c>
      <c r="F2906" s="9">
        <f t="shared" si="133"/>
        <v>-1.6200476670507504E-4</v>
      </c>
      <c r="G2906" s="9">
        <f t="shared" si="134"/>
        <v>8.2444561737405175E-3</v>
      </c>
    </row>
    <row r="2907" spans="1:7" x14ac:dyDescent="0.2">
      <c r="A2907" s="12">
        <v>41358</v>
      </c>
      <c r="B2907" s="9">
        <v>2379.6799999999998</v>
      </c>
      <c r="C2907" s="9">
        <v>2336.02</v>
      </c>
      <c r="D2907" s="9">
        <v>2342.71</v>
      </c>
      <c r="E2907" s="9">
        <f t="shared" si="135"/>
        <v>-1.1561114140808285E-3</v>
      </c>
      <c r="F2907" s="9">
        <f t="shared" si="133"/>
        <v>-2.902673049478261E-3</v>
      </c>
      <c r="G2907" s="9">
        <f t="shared" si="134"/>
        <v>8.2414144836395579E-3</v>
      </c>
    </row>
    <row r="2908" spans="1:7" x14ac:dyDescent="0.2">
      <c r="A2908" s="12">
        <v>41359</v>
      </c>
      <c r="B2908" s="9">
        <v>2351.29</v>
      </c>
      <c r="C2908" s="9">
        <v>2330.09</v>
      </c>
      <c r="D2908" s="9">
        <v>2338.67</v>
      </c>
      <c r="E2908" s="9">
        <f t="shared" si="135"/>
        <v>-1.7259872101562203E-3</v>
      </c>
      <c r="F2908" s="9">
        <f t="shared" si="133"/>
        <v>-9.2783600373309554E-3</v>
      </c>
      <c r="G2908" s="9">
        <f t="shared" si="134"/>
        <v>8.1968813316689246E-3</v>
      </c>
    </row>
    <row r="2909" spans="1:7" x14ac:dyDescent="0.2">
      <c r="A2909" s="12">
        <v>41360</v>
      </c>
      <c r="B2909" s="9">
        <v>2350.0500000000002</v>
      </c>
      <c r="C2909" s="9">
        <v>2303.3000000000002</v>
      </c>
      <c r="D2909" s="9">
        <v>2313.36</v>
      </c>
      <c r="E2909" s="9">
        <f t="shared" si="135"/>
        <v>-1.0881378552640042E-2</v>
      </c>
      <c r="F2909" s="9">
        <f t="shared" si="133"/>
        <v>-2.7260170298858952E-2</v>
      </c>
      <c r="G2909" s="9">
        <f t="shared" si="134"/>
        <v>8.2932551492792168E-3</v>
      </c>
    </row>
    <row r="2910" spans="1:7" x14ac:dyDescent="0.2">
      <c r="A2910" s="12">
        <v>41361</v>
      </c>
      <c r="B2910" s="9">
        <v>2328.0300000000002</v>
      </c>
      <c r="C2910" s="9">
        <v>2309.4299999999998</v>
      </c>
      <c r="D2910" s="9">
        <v>2324.36</v>
      </c>
      <c r="E2910" s="9">
        <f t="shared" si="135"/>
        <v>4.7437191670151417E-3</v>
      </c>
      <c r="F2910" s="9">
        <f t="shared" si="133"/>
        <v>-2.1190534318804639E-2</v>
      </c>
      <c r="G2910" s="9">
        <f t="shared" si="134"/>
        <v>8.3565208256324262E-3</v>
      </c>
    </row>
    <row r="2911" spans="1:7" x14ac:dyDescent="0.2">
      <c r="A2911" s="12">
        <v>41366</v>
      </c>
      <c r="B2911" s="9">
        <v>2356</v>
      </c>
      <c r="C2911" s="9">
        <v>2318.71</v>
      </c>
      <c r="D2911" s="9">
        <v>2355.4499999999998</v>
      </c>
      <c r="E2911" s="9">
        <f t="shared" si="135"/>
        <v>1.3287059688235004E-2</v>
      </c>
      <c r="F2911" s="9">
        <f t="shared" si="133"/>
        <v>-1.1632602481968618E-2</v>
      </c>
      <c r="G2911" s="9">
        <f t="shared" si="134"/>
        <v>8.7063367853958355E-3</v>
      </c>
    </row>
    <row r="2912" spans="1:7" x14ac:dyDescent="0.2">
      <c r="A2912" s="12">
        <v>41367</v>
      </c>
      <c r="B2912" s="9">
        <v>2367.9299999999998</v>
      </c>
      <c r="C2912" s="9">
        <v>2350.92</v>
      </c>
      <c r="D2912" s="9">
        <v>2353.66</v>
      </c>
      <c r="E2912" s="9">
        <f t="shared" si="135"/>
        <v>-7.6022861483829275E-4</v>
      </c>
      <c r="F2912" s="9">
        <f t="shared" si="133"/>
        <v>-4.1170031630668666E-3</v>
      </c>
      <c r="G2912" s="9">
        <f t="shared" si="134"/>
        <v>8.5787285385542263E-3</v>
      </c>
    </row>
    <row r="2913" spans="1:7" x14ac:dyDescent="0.2">
      <c r="A2913" s="12">
        <v>41368</v>
      </c>
      <c r="B2913" s="9">
        <v>2355.6</v>
      </c>
      <c r="C2913" s="9">
        <v>2316.39</v>
      </c>
      <c r="D2913" s="9">
        <v>2325.27</v>
      </c>
      <c r="E2913" s="9">
        <f t="shared" si="135"/>
        <v>-1.2135402072973549E-2</v>
      </c>
      <c r="F2913" s="9">
        <f t="shared" ref="F2913:F2976" si="136">LN(D2913/D2883)</f>
        <v>-2.741954700149098E-2</v>
      </c>
      <c r="G2913" s="9">
        <f t="shared" ref="G2913:G2976" si="137">STDEV(E2884:E2913)</f>
        <v>8.5748424810040535E-3</v>
      </c>
    </row>
    <row r="2914" spans="1:7" x14ac:dyDescent="0.2">
      <c r="A2914" s="12">
        <v>41369</v>
      </c>
      <c r="B2914" s="9">
        <v>2323.1799999999998</v>
      </c>
      <c r="C2914" s="9">
        <v>2272.42</v>
      </c>
      <c r="D2914" s="9">
        <v>2285.94</v>
      </c>
      <c r="E2914" s="9">
        <f t="shared" si="135"/>
        <v>-1.7058843020115993E-2</v>
      </c>
      <c r="F2914" s="9">
        <f t="shared" si="136"/>
        <v>-4.2186977622689879E-2</v>
      </c>
      <c r="G2914" s="9">
        <f t="shared" si="137"/>
        <v>9.0664209706184402E-3</v>
      </c>
    </row>
    <row r="2915" spans="1:7" x14ac:dyDescent="0.2">
      <c r="A2915" s="12">
        <v>41372</v>
      </c>
      <c r="B2915" s="9">
        <v>2304.58</v>
      </c>
      <c r="C2915" s="9">
        <v>2266.23</v>
      </c>
      <c r="D2915" s="9">
        <v>2267.34</v>
      </c>
      <c r="E2915" s="9">
        <f t="shared" si="135"/>
        <v>-8.1699800847633008E-3</v>
      </c>
      <c r="F2915" s="9">
        <f t="shared" si="136"/>
        <v>-3.3955210766260825E-2</v>
      </c>
      <c r="G2915" s="9">
        <f t="shared" si="137"/>
        <v>8.7146800125216407E-3</v>
      </c>
    </row>
    <row r="2916" spans="1:7" x14ac:dyDescent="0.2">
      <c r="A2916" s="12">
        <v>41373</v>
      </c>
      <c r="B2916" s="9">
        <v>2282.11</v>
      </c>
      <c r="C2916" s="9">
        <v>2264.59</v>
      </c>
      <c r="D2916" s="9">
        <v>2276.62</v>
      </c>
      <c r="E2916" s="9">
        <f t="shared" si="135"/>
        <v>4.0845486764549384E-3</v>
      </c>
      <c r="F2916" s="9">
        <f t="shared" si="136"/>
        <v>-4.0143214421221748E-2</v>
      </c>
      <c r="G2916" s="9">
        <f t="shared" si="137"/>
        <v>8.5061801998780016E-3</v>
      </c>
    </row>
    <row r="2917" spans="1:7" x14ac:dyDescent="0.2">
      <c r="A2917" s="12">
        <v>41374</v>
      </c>
      <c r="B2917" s="9">
        <v>2314.81</v>
      </c>
      <c r="C2917" s="9">
        <v>2268.3000000000002</v>
      </c>
      <c r="D2917" s="9">
        <v>2314.81</v>
      </c>
      <c r="E2917" s="9">
        <f t="shared" si="135"/>
        <v>1.6635723835164231E-2</v>
      </c>
      <c r="F2917" s="9">
        <f t="shared" si="136"/>
        <v>-2.3608756836212781E-2</v>
      </c>
      <c r="G2917" s="9">
        <f t="shared" si="137"/>
        <v>9.1164342085417235E-3</v>
      </c>
    </row>
    <row r="2918" spans="1:7" x14ac:dyDescent="0.2">
      <c r="A2918" s="12">
        <v>41375</v>
      </c>
      <c r="B2918" s="9">
        <v>2334.54</v>
      </c>
      <c r="C2918" s="9">
        <v>2316.8000000000002</v>
      </c>
      <c r="D2918" s="9">
        <v>2329.46</v>
      </c>
      <c r="E2918" s="9">
        <f t="shared" si="135"/>
        <v>6.3088703246739174E-3</v>
      </c>
      <c r="F2918" s="9">
        <f t="shared" si="136"/>
        <v>6.4039150389631665E-3</v>
      </c>
      <c r="G2918" s="9">
        <f t="shared" si="137"/>
        <v>8.1055867356819352E-3</v>
      </c>
    </row>
    <row r="2919" spans="1:7" x14ac:dyDescent="0.2">
      <c r="A2919" s="12">
        <v>41376</v>
      </c>
      <c r="B2919" s="9">
        <v>2322.34</v>
      </c>
      <c r="C2919" s="9">
        <v>2295.16</v>
      </c>
      <c r="D2919" s="9">
        <v>2302.12</v>
      </c>
      <c r="E2919" s="9">
        <f t="shared" si="135"/>
        <v>-1.1806043535653836E-2</v>
      </c>
      <c r="F2919" s="9">
        <f t="shared" si="136"/>
        <v>-2.0359333280143495E-2</v>
      </c>
      <c r="G2919" s="9">
        <f t="shared" si="137"/>
        <v>7.8970323943077757E-3</v>
      </c>
    </row>
    <row r="2920" spans="1:7" x14ac:dyDescent="0.2">
      <c r="A2920" s="12">
        <v>41379</v>
      </c>
      <c r="B2920" s="9">
        <v>2309.23</v>
      </c>
      <c r="C2920" s="9">
        <v>2261.5300000000002</v>
      </c>
      <c r="D2920" s="9">
        <v>2265.71</v>
      </c>
      <c r="E2920" s="9">
        <f t="shared" si="135"/>
        <v>-1.5942261926355825E-2</v>
      </c>
      <c r="F2920" s="9">
        <f t="shared" si="136"/>
        <v>-3.6905804264188401E-2</v>
      </c>
      <c r="G2920" s="9">
        <f t="shared" si="137"/>
        <v>8.3681180968107286E-3</v>
      </c>
    </row>
    <row r="2921" spans="1:7" x14ac:dyDescent="0.2">
      <c r="A2921" s="12">
        <v>41380</v>
      </c>
      <c r="B2921" s="9">
        <v>2270.23</v>
      </c>
      <c r="C2921" s="9">
        <v>2232.7800000000002</v>
      </c>
      <c r="D2921" s="9">
        <v>2233.27</v>
      </c>
      <c r="E2921" s="9">
        <f t="shared" si="135"/>
        <v>-1.4421296480773921E-2</v>
      </c>
      <c r="F2921" s="9">
        <f t="shared" si="136"/>
        <v>-5.024181645358216E-2</v>
      </c>
      <c r="G2921" s="9">
        <f t="shared" si="137"/>
        <v>8.7074928226474908E-3</v>
      </c>
    </row>
    <row r="2922" spans="1:7" x14ac:dyDescent="0.2">
      <c r="A2922" s="12">
        <v>41381</v>
      </c>
      <c r="B2922" s="9">
        <v>2248.63</v>
      </c>
      <c r="C2922" s="9">
        <v>2205.6</v>
      </c>
      <c r="D2922" s="9">
        <v>2211.65</v>
      </c>
      <c r="E2922" s="9">
        <f t="shared" si="135"/>
        <v>-9.7280358251132654E-3</v>
      </c>
      <c r="F2922" s="9">
        <f t="shared" si="136"/>
        <v>-5.5886306853654193E-2</v>
      </c>
      <c r="G2922" s="9">
        <f t="shared" si="137"/>
        <v>8.8215720543138258E-3</v>
      </c>
    </row>
    <row r="2923" spans="1:7" x14ac:dyDescent="0.2">
      <c r="A2923" s="12">
        <v>41382</v>
      </c>
      <c r="B2923" s="9">
        <v>2237.3000000000002</v>
      </c>
      <c r="C2923" s="9">
        <v>2182.34</v>
      </c>
      <c r="D2923" s="9">
        <v>2191.86</v>
      </c>
      <c r="E2923" s="9">
        <f t="shared" si="135"/>
        <v>-8.9883448596968455E-3</v>
      </c>
      <c r="F2923" s="9">
        <f t="shared" si="136"/>
        <v>-8.1849864208757298E-2</v>
      </c>
      <c r="G2923" s="9">
        <f t="shared" si="137"/>
        <v>8.1583727739680464E-3</v>
      </c>
    </row>
    <row r="2924" spans="1:7" x14ac:dyDescent="0.2">
      <c r="A2924" s="12">
        <v>41383</v>
      </c>
      <c r="B2924" s="9">
        <v>2198.8200000000002</v>
      </c>
      <c r="C2924" s="9">
        <v>2174.13</v>
      </c>
      <c r="D2924" s="9">
        <v>2179.29</v>
      </c>
      <c r="E2924" s="9">
        <f t="shared" si="135"/>
        <v>-5.7513627532195999E-3</v>
      </c>
      <c r="F2924" s="9">
        <f t="shared" si="136"/>
        <v>-8.6734872577278535E-2</v>
      </c>
      <c r="G2924" s="9">
        <f t="shared" si="137"/>
        <v>8.1686716203327892E-3</v>
      </c>
    </row>
    <row r="2925" spans="1:7" x14ac:dyDescent="0.2">
      <c r="A2925" s="12">
        <v>41386</v>
      </c>
      <c r="B2925" s="9">
        <v>2207.1</v>
      </c>
      <c r="C2925" s="9">
        <v>2182.5</v>
      </c>
      <c r="D2925" s="9">
        <v>2188.15</v>
      </c>
      <c r="E2925" s="9">
        <f t="shared" si="135"/>
        <v>4.0573022888557228E-3</v>
      </c>
      <c r="F2925" s="9">
        <f t="shared" si="136"/>
        <v>-8.2736472519151436E-2</v>
      </c>
      <c r="G2925" s="9">
        <f t="shared" si="137"/>
        <v>8.2506719867959082E-3</v>
      </c>
    </row>
    <row r="2926" spans="1:7" x14ac:dyDescent="0.2">
      <c r="A2926" s="12">
        <v>41387</v>
      </c>
      <c r="B2926" s="9">
        <v>2258.44</v>
      </c>
      <c r="C2926" s="9">
        <v>2186.5100000000002</v>
      </c>
      <c r="D2926" s="9">
        <v>2258.44</v>
      </c>
      <c r="E2926" s="9">
        <f t="shared" si="135"/>
        <v>3.161787148598167E-2</v>
      </c>
      <c r="F2926" s="9">
        <f t="shared" si="136"/>
        <v>-5.5832136069523412E-2</v>
      </c>
      <c r="G2926" s="9">
        <f t="shared" si="137"/>
        <v>1.0298771814571795E-2</v>
      </c>
    </row>
    <row r="2927" spans="1:7" x14ac:dyDescent="0.2">
      <c r="A2927" s="12">
        <v>41388</v>
      </c>
      <c r="B2927" s="9">
        <v>2284.11</v>
      </c>
      <c r="C2927" s="9">
        <v>2249.66</v>
      </c>
      <c r="D2927" s="9">
        <v>2278.52</v>
      </c>
      <c r="E2927" s="9">
        <f t="shared" si="135"/>
        <v>8.8517999333450753E-3</v>
      </c>
      <c r="F2927" s="9">
        <f t="shared" si="136"/>
        <v>-4.3263405578725295E-2</v>
      </c>
      <c r="G2927" s="9">
        <f t="shared" si="137"/>
        <v>1.0474817015253346E-2</v>
      </c>
    </row>
    <row r="2928" spans="1:7" x14ac:dyDescent="0.2">
      <c r="A2928" s="12">
        <v>41389</v>
      </c>
      <c r="B2928" s="9">
        <v>2324.59</v>
      </c>
      <c r="C2928" s="9">
        <v>2279.17</v>
      </c>
      <c r="D2928" s="9">
        <v>2322.1</v>
      </c>
      <c r="E2928" s="9">
        <f t="shared" si="135"/>
        <v>1.8945839282601781E-2</v>
      </c>
      <c r="F2928" s="9">
        <f t="shared" si="136"/>
        <v>-2.4809194962513683E-2</v>
      </c>
      <c r="G2928" s="9">
        <f t="shared" si="137"/>
        <v>1.1114621132343855E-2</v>
      </c>
    </row>
    <row r="2929" spans="1:7" x14ac:dyDescent="0.2">
      <c r="A2929" s="12">
        <v>41390</v>
      </c>
      <c r="B2929" s="9">
        <v>2323.1</v>
      </c>
      <c r="C2929" s="9">
        <v>2296.15</v>
      </c>
      <c r="D2929" s="9">
        <v>2315.56</v>
      </c>
      <c r="E2929" s="9">
        <f t="shared" si="135"/>
        <v>-2.8203897376070449E-3</v>
      </c>
      <c r="F2929" s="9">
        <f t="shared" si="136"/>
        <v>-2.409456967740425E-2</v>
      </c>
      <c r="G2929" s="9">
        <f t="shared" si="137"/>
        <v>1.11093816838146E-2</v>
      </c>
    </row>
    <row r="2930" spans="1:7" x14ac:dyDescent="0.2">
      <c r="A2930" s="12">
        <v>41393</v>
      </c>
      <c r="B2930" s="9">
        <v>2332.0500000000002</v>
      </c>
      <c r="C2930" s="9">
        <v>2310.6999999999998</v>
      </c>
      <c r="D2930" s="9">
        <v>2326.88</v>
      </c>
      <c r="E2930" s="9">
        <f t="shared" si="135"/>
        <v>4.8767555143616704E-3</v>
      </c>
      <c r="F2930" s="9">
        <f t="shared" si="136"/>
        <v>-2.3059449455760946E-2</v>
      </c>
      <c r="G2930" s="9">
        <f t="shared" si="137"/>
        <v>1.1125900297942156E-2</v>
      </c>
    </row>
    <row r="2931" spans="1:7" x14ac:dyDescent="0.2">
      <c r="A2931" s="12">
        <v>41394</v>
      </c>
      <c r="B2931" s="9">
        <v>2333.96</v>
      </c>
      <c r="C2931" s="9">
        <v>2308.7199999999998</v>
      </c>
      <c r="D2931" s="9">
        <v>2315.85</v>
      </c>
      <c r="E2931" s="9">
        <f t="shared" si="135"/>
        <v>-4.7515236733548594E-3</v>
      </c>
      <c r="F2931" s="9">
        <f t="shared" si="136"/>
        <v>-2.3619365345722367E-2</v>
      </c>
      <c r="G2931" s="9">
        <f t="shared" si="137"/>
        <v>1.1132308153882525E-2</v>
      </c>
    </row>
    <row r="2932" spans="1:7" x14ac:dyDescent="0.2">
      <c r="A2932" s="12">
        <v>41396</v>
      </c>
      <c r="B2932" s="9">
        <v>2308.0300000000002</v>
      </c>
      <c r="C2932" s="9">
        <v>2283.7399999999998</v>
      </c>
      <c r="D2932" s="9">
        <v>2299.86</v>
      </c>
      <c r="E2932" s="9">
        <f t="shared" si="135"/>
        <v>-6.9285392566487596E-3</v>
      </c>
      <c r="F2932" s="9">
        <f t="shared" si="136"/>
        <v>-2.616500060535315E-2</v>
      </c>
      <c r="G2932" s="9">
        <f t="shared" si="137"/>
        <v>1.1170297191473499E-2</v>
      </c>
    </row>
    <row r="2933" spans="1:7" x14ac:dyDescent="0.2">
      <c r="A2933" s="12">
        <v>41397</v>
      </c>
      <c r="B2933" s="9">
        <v>2341.54</v>
      </c>
      <c r="C2933" s="9">
        <v>2298.2399999999998</v>
      </c>
      <c r="D2933" s="9">
        <v>2336.71</v>
      </c>
      <c r="E2933" s="9">
        <f t="shared" si="135"/>
        <v>1.5895705624980251E-2</v>
      </c>
      <c r="F2933" s="9">
        <f t="shared" si="136"/>
        <v>-9.4938432832981524E-3</v>
      </c>
      <c r="G2933" s="9">
        <f t="shared" si="137"/>
        <v>1.15823566471584E-2</v>
      </c>
    </row>
    <row r="2934" spans="1:7" x14ac:dyDescent="0.2">
      <c r="A2934" s="12">
        <v>41400</v>
      </c>
      <c r="B2934" s="9">
        <v>2345.4899999999998</v>
      </c>
      <c r="C2934" s="9">
        <v>2329.23</v>
      </c>
      <c r="D2934" s="9">
        <v>2342.5300000000002</v>
      </c>
      <c r="E2934" s="9">
        <f t="shared" si="135"/>
        <v>2.4875847365030835E-3</v>
      </c>
      <c r="F2934" s="9">
        <f t="shared" si="136"/>
        <v>-1.3117264239378829E-2</v>
      </c>
      <c r="G2934" s="9">
        <f t="shared" si="137"/>
        <v>1.1531802026603448E-2</v>
      </c>
    </row>
    <row r="2935" spans="1:7" x14ac:dyDescent="0.2">
      <c r="A2935" s="12">
        <v>41401</v>
      </c>
      <c r="B2935" s="9">
        <v>2373.64</v>
      </c>
      <c r="C2935" s="9">
        <v>2350.6799999999998</v>
      </c>
      <c r="D2935" s="9">
        <v>2363.7199999999998</v>
      </c>
      <c r="E2935" s="9">
        <f t="shared" si="135"/>
        <v>9.0051073337322814E-3</v>
      </c>
      <c r="F2935" s="9">
        <f t="shared" si="136"/>
        <v>4.6537897722248052E-5</v>
      </c>
      <c r="G2935" s="9">
        <f t="shared" si="137"/>
        <v>1.1635296842202146E-2</v>
      </c>
    </row>
    <row r="2936" spans="1:7" x14ac:dyDescent="0.2">
      <c r="A2936" s="12">
        <v>41402</v>
      </c>
      <c r="B2936" s="9">
        <v>2391.4899999999998</v>
      </c>
      <c r="C2936" s="9">
        <v>2365.35</v>
      </c>
      <c r="D2936" s="9">
        <v>2389.31</v>
      </c>
      <c r="E2936" s="9">
        <f t="shared" si="135"/>
        <v>1.0767972119360304E-2</v>
      </c>
      <c r="F2936" s="9">
        <f t="shared" si="136"/>
        <v>1.8540130993272962E-2</v>
      </c>
      <c r="G2936" s="9">
        <f t="shared" si="137"/>
        <v>1.170150305694405E-2</v>
      </c>
    </row>
    <row r="2937" spans="1:7" x14ac:dyDescent="0.2">
      <c r="A2937" s="12">
        <v>41404</v>
      </c>
      <c r="B2937" s="9">
        <v>2429.58</v>
      </c>
      <c r="C2937" s="9">
        <v>2398.67</v>
      </c>
      <c r="D2937" s="9">
        <v>2420.84</v>
      </c>
      <c r="E2937" s="9">
        <f t="shared" si="135"/>
        <v>1.3109966046925912E-2</v>
      </c>
      <c r="F2937" s="9">
        <f t="shared" si="136"/>
        <v>3.2806208454279666E-2</v>
      </c>
      <c r="G2937" s="9">
        <f t="shared" si="137"/>
        <v>1.1914852550317346E-2</v>
      </c>
    </row>
    <row r="2938" spans="1:7" x14ac:dyDescent="0.2">
      <c r="A2938" s="12">
        <v>41407</v>
      </c>
      <c r="B2938" s="9">
        <v>2432.83</v>
      </c>
      <c r="C2938" s="9">
        <v>2414.2600000000002</v>
      </c>
      <c r="D2938" s="9">
        <v>2426.54</v>
      </c>
      <c r="E2938" s="9">
        <f t="shared" si="135"/>
        <v>2.3517869971730028E-3</v>
      </c>
      <c r="F2938" s="9">
        <f t="shared" si="136"/>
        <v>3.6883982661608923E-2</v>
      </c>
      <c r="G2938" s="9">
        <f t="shared" si="137"/>
        <v>1.1904833562461744E-2</v>
      </c>
    </row>
    <row r="2939" spans="1:7" x14ac:dyDescent="0.2">
      <c r="A2939" s="12">
        <v>41408</v>
      </c>
      <c r="B2939" s="9">
        <v>2439.4699999999998</v>
      </c>
      <c r="C2939" s="9">
        <v>2399.5100000000002</v>
      </c>
      <c r="D2939" s="9">
        <v>2420.89</v>
      </c>
      <c r="E2939" s="9">
        <f t="shared" si="135"/>
        <v>-2.3311332225917497E-3</v>
      </c>
      <c r="F2939" s="9">
        <f t="shared" si="136"/>
        <v>4.5434227991657319E-2</v>
      </c>
      <c r="G2939" s="9">
        <f t="shared" si="137"/>
        <v>1.1705576658063113E-2</v>
      </c>
    </row>
    <row r="2940" spans="1:7" x14ac:dyDescent="0.2">
      <c r="A2940" s="12">
        <v>41409</v>
      </c>
      <c r="B2940" s="9">
        <v>2442.63</v>
      </c>
      <c r="C2940" s="9">
        <v>2418.6999999999998</v>
      </c>
      <c r="D2940" s="9">
        <v>2442.63</v>
      </c>
      <c r="E2940" s="9">
        <f t="shared" si="135"/>
        <v>8.9400865206813313E-3</v>
      </c>
      <c r="F2940" s="9">
        <f t="shared" si="136"/>
        <v>4.9630595345323623E-2</v>
      </c>
      <c r="G2940" s="9">
        <f t="shared" si="137"/>
        <v>1.1770389401843629E-2</v>
      </c>
    </row>
    <row r="2941" spans="1:7" x14ac:dyDescent="0.2">
      <c r="A2941" s="12">
        <v>41410</v>
      </c>
      <c r="B2941" s="9">
        <v>2451.2399999999998</v>
      </c>
      <c r="C2941" s="9">
        <v>2432.08</v>
      </c>
      <c r="D2941" s="9">
        <v>2439.19</v>
      </c>
      <c r="E2941" s="9">
        <f t="shared" si="135"/>
        <v>-1.409310695341071E-3</v>
      </c>
      <c r="F2941" s="9">
        <f t="shared" si="136"/>
        <v>3.4934224961747473E-2</v>
      </c>
      <c r="G2941" s="9">
        <f t="shared" si="137"/>
        <v>1.1573731651110624E-2</v>
      </c>
    </row>
    <row r="2942" spans="1:7" x14ac:dyDescent="0.2">
      <c r="A2942" s="12">
        <v>41411</v>
      </c>
      <c r="B2942" s="9">
        <v>2441.23</v>
      </c>
      <c r="C2942" s="9">
        <v>2425.34</v>
      </c>
      <c r="D2942" s="9">
        <v>2431.4499999999998</v>
      </c>
      <c r="E2942" s="9">
        <f t="shared" si="135"/>
        <v>-3.1782297666168137E-3</v>
      </c>
      <c r="F2942" s="9">
        <f t="shared" si="136"/>
        <v>3.2516223809968874E-2</v>
      </c>
      <c r="G2942" s="9">
        <f t="shared" si="137"/>
        <v>1.1595995699004902E-2</v>
      </c>
    </row>
    <row r="2943" spans="1:7" x14ac:dyDescent="0.2">
      <c r="A2943" s="12">
        <v>41414</v>
      </c>
      <c r="B2943" s="9">
        <v>2449.94</v>
      </c>
      <c r="C2943" s="9">
        <v>2433.7800000000002</v>
      </c>
      <c r="D2943" s="9">
        <v>2448.21</v>
      </c>
      <c r="E2943" s="9">
        <f t="shared" si="135"/>
        <v>6.869358072475332E-3</v>
      </c>
      <c r="F2943" s="9">
        <f t="shared" si="136"/>
        <v>5.1520983955417661E-2</v>
      </c>
      <c r="G2943" s="9">
        <f t="shared" si="137"/>
        <v>1.1365752503137736E-2</v>
      </c>
    </row>
    <row r="2944" spans="1:7" x14ac:dyDescent="0.2">
      <c r="A2944" s="12">
        <v>41415</v>
      </c>
      <c r="B2944" s="9">
        <v>2456.61</v>
      </c>
      <c r="C2944" s="9">
        <v>2436.06</v>
      </c>
      <c r="D2944" s="9">
        <v>2453.86</v>
      </c>
      <c r="E2944" s="9">
        <f t="shared" si="135"/>
        <v>2.3051496620300287E-3</v>
      </c>
      <c r="F2944" s="9">
        <f t="shared" si="136"/>
        <v>7.0884976637563768E-2</v>
      </c>
      <c r="G2944" s="9">
        <f t="shared" si="137"/>
        <v>1.07983559112399E-2</v>
      </c>
    </row>
    <row r="2945" spans="1:7" x14ac:dyDescent="0.2">
      <c r="A2945" s="12">
        <v>41416</v>
      </c>
      <c r="B2945" s="9">
        <v>2458.86</v>
      </c>
      <c r="C2945" s="9">
        <v>2436.4299999999998</v>
      </c>
      <c r="D2945" s="9">
        <v>2455.58</v>
      </c>
      <c r="E2945" s="9">
        <f t="shared" si="135"/>
        <v>7.0069094249919806E-4</v>
      </c>
      <c r="F2945" s="9">
        <f t="shared" si="136"/>
        <v>7.975564766482629E-2</v>
      </c>
      <c r="G2945" s="9">
        <f t="shared" si="137"/>
        <v>1.0619971156663141E-2</v>
      </c>
    </row>
    <row r="2946" spans="1:7" x14ac:dyDescent="0.2">
      <c r="A2946" s="12">
        <v>41417</v>
      </c>
      <c r="B2946" s="9">
        <v>2408.85</v>
      </c>
      <c r="C2946" s="9">
        <v>2372.4699999999998</v>
      </c>
      <c r="D2946" s="9">
        <v>2388.17</v>
      </c>
      <c r="E2946" s="9">
        <f t="shared" si="135"/>
        <v>-2.7835603612819577E-2</v>
      </c>
      <c r="F2946" s="9">
        <f t="shared" si="136"/>
        <v>4.7835495375551859E-2</v>
      </c>
      <c r="G2946" s="9">
        <f t="shared" si="137"/>
        <v>1.1983645102257705E-2</v>
      </c>
    </row>
    <row r="2947" spans="1:7" x14ac:dyDescent="0.2">
      <c r="A2947" s="12">
        <v>41418</v>
      </c>
      <c r="B2947" s="9">
        <v>2405.65</v>
      </c>
      <c r="C2947" s="9">
        <v>2373.64</v>
      </c>
      <c r="D2947" s="9">
        <v>2386.23</v>
      </c>
      <c r="E2947" s="9">
        <f t="shared" si="135"/>
        <v>-8.1266760504745256E-4</v>
      </c>
      <c r="F2947" s="9">
        <f t="shared" si="136"/>
        <v>3.0387103935340096E-2</v>
      </c>
      <c r="G2947" s="9">
        <f t="shared" si="137"/>
        <v>1.1647159123349043E-2</v>
      </c>
    </row>
    <row r="2948" spans="1:7" x14ac:dyDescent="0.2">
      <c r="A2948" s="12">
        <v>41421</v>
      </c>
      <c r="B2948" s="9">
        <v>2393.2199999999998</v>
      </c>
      <c r="C2948" s="9">
        <v>2375.67</v>
      </c>
      <c r="D2948" s="9">
        <v>2389.1</v>
      </c>
      <c r="E2948" s="9">
        <f t="shared" ref="E2948:E3011" si="138">LN(D2948/D2947)</f>
        <v>1.2020113146339476E-3</v>
      </c>
      <c r="F2948" s="9">
        <f t="shared" si="136"/>
        <v>2.5280244925300115E-2</v>
      </c>
      <c r="G2948" s="9">
        <f t="shared" si="137"/>
        <v>1.1604327844352454E-2</v>
      </c>
    </row>
    <row r="2949" spans="1:7" x14ac:dyDescent="0.2">
      <c r="A2949" s="12">
        <v>41422</v>
      </c>
      <c r="B2949" s="9">
        <v>2420.77</v>
      </c>
      <c r="C2949" s="9">
        <v>2392.06</v>
      </c>
      <c r="D2949" s="9">
        <v>2413.54</v>
      </c>
      <c r="E2949" s="9">
        <f t="shared" si="138"/>
        <v>1.0177823436295622E-2</v>
      </c>
      <c r="F2949" s="9">
        <f t="shared" si="136"/>
        <v>4.7264111897249737E-2</v>
      </c>
      <c r="G2949" s="9">
        <f t="shared" si="137"/>
        <v>1.1471400058546549E-2</v>
      </c>
    </row>
    <row r="2950" spans="1:7" x14ac:dyDescent="0.2">
      <c r="A2950" s="12">
        <v>41423</v>
      </c>
      <c r="B2950" s="9">
        <v>2404.0300000000002</v>
      </c>
      <c r="C2950" s="9">
        <v>2382.3200000000002</v>
      </c>
      <c r="D2950" s="9">
        <v>2383.8000000000002</v>
      </c>
      <c r="E2950" s="9">
        <f t="shared" si="138"/>
        <v>-1.2398696355661935E-2</v>
      </c>
      <c r="F2950" s="9">
        <f t="shared" si="136"/>
        <v>5.0807677467943457E-2</v>
      </c>
      <c r="G2950" s="9">
        <f t="shared" si="137"/>
        <v>1.1301793248886078E-2</v>
      </c>
    </row>
    <row r="2951" spans="1:7" x14ac:dyDescent="0.2">
      <c r="A2951" s="12">
        <v>41424</v>
      </c>
      <c r="B2951" s="9">
        <v>2392.73</v>
      </c>
      <c r="C2951" s="9">
        <v>2370.4499999999998</v>
      </c>
      <c r="D2951" s="9">
        <v>2373.98</v>
      </c>
      <c r="E2951" s="9">
        <f t="shared" si="138"/>
        <v>-4.1279815143136786E-3</v>
      </c>
      <c r="F2951" s="9">
        <f t="shared" si="136"/>
        <v>6.110099243440377E-2</v>
      </c>
      <c r="G2951" s="9">
        <f t="shared" si="137"/>
        <v>1.0946350026556887E-2</v>
      </c>
    </row>
    <row r="2952" spans="1:7" x14ac:dyDescent="0.2">
      <c r="A2952" s="12">
        <v>41425</v>
      </c>
      <c r="B2952" s="9">
        <v>2374.9499999999998</v>
      </c>
      <c r="C2952" s="9">
        <v>2344.29</v>
      </c>
      <c r="D2952" s="9">
        <v>2346.21</v>
      </c>
      <c r="E2952" s="9">
        <f t="shared" si="138"/>
        <v>-1.1766611260522766E-2</v>
      </c>
      <c r="F2952" s="9">
        <f t="shared" si="136"/>
        <v>5.9062416998994449E-2</v>
      </c>
      <c r="G2952" s="9">
        <f t="shared" si="137"/>
        <v>1.1027924826795718E-2</v>
      </c>
    </row>
    <row r="2953" spans="1:7" x14ac:dyDescent="0.2">
      <c r="A2953" s="12">
        <v>41428</v>
      </c>
      <c r="B2953" s="9">
        <v>2347.77</v>
      </c>
      <c r="C2953" s="9">
        <v>2315.41</v>
      </c>
      <c r="D2953" s="9">
        <v>2327.7800000000002</v>
      </c>
      <c r="E2953" s="9">
        <f t="shared" si="138"/>
        <v>-7.8862366062252137E-3</v>
      </c>
      <c r="F2953" s="9">
        <f t="shared" si="136"/>
        <v>6.0164525252466051E-2</v>
      </c>
      <c r="G2953" s="9">
        <f t="shared" si="137"/>
        <v>1.0991942197362211E-2</v>
      </c>
    </row>
    <row r="2954" spans="1:7" x14ac:dyDescent="0.2">
      <c r="A2954" s="12">
        <v>41429</v>
      </c>
      <c r="B2954" s="9">
        <v>2349.2600000000002</v>
      </c>
      <c r="C2954" s="9">
        <v>2315.63</v>
      </c>
      <c r="D2954" s="9">
        <v>2317.6</v>
      </c>
      <c r="E2954" s="9">
        <f t="shared" si="138"/>
        <v>-4.3828562124061587E-3</v>
      </c>
      <c r="F2954" s="9">
        <f t="shared" si="136"/>
        <v>6.1533031793279312E-2</v>
      </c>
      <c r="G2954" s="9">
        <f t="shared" si="137"/>
        <v>1.0961438359660781E-2</v>
      </c>
    </row>
    <row r="2955" spans="1:7" x14ac:dyDescent="0.2">
      <c r="A2955" s="12">
        <v>41430</v>
      </c>
      <c r="B2955" s="9">
        <v>2309.79</v>
      </c>
      <c r="C2955" s="9">
        <v>2271.41</v>
      </c>
      <c r="D2955" s="9">
        <v>2272.31</v>
      </c>
      <c r="E2955" s="9">
        <f t="shared" si="138"/>
        <v>-1.9735232259716615E-2</v>
      </c>
      <c r="F2955" s="9">
        <f t="shared" si="136"/>
        <v>3.774049724470703E-2</v>
      </c>
      <c r="G2955" s="9">
        <f t="shared" si="137"/>
        <v>1.1650352640208151E-2</v>
      </c>
    </row>
    <row r="2956" spans="1:7" x14ac:dyDescent="0.2">
      <c r="A2956" s="12">
        <v>41431</v>
      </c>
      <c r="B2956" s="9">
        <v>2282.0500000000002</v>
      </c>
      <c r="C2956" s="9">
        <v>2259.96</v>
      </c>
      <c r="D2956" s="9">
        <v>2259.96</v>
      </c>
      <c r="E2956" s="9">
        <f t="shared" si="138"/>
        <v>-5.4498212007678118E-3</v>
      </c>
      <c r="F2956" s="9">
        <f t="shared" si="136"/>
        <v>6.7280455795757353E-4</v>
      </c>
      <c r="G2956" s="9">
        <f t="shared" si="137"/>
        <v>1.0194089935233743E-2</v>
      </c>
    </row>
    <row r="2957" spans="1:7" x14ac:dyDescent="0.2">
      <c r="A2957" s="12">
        <v>41432</v>
      </c>
      <c r="B2957" s="9">
        <v>2290.5100000000002</v>
      </c>
      <c r="C2957" s="9">
        <v>2251.0300000000002</v>
      </c>
      <c r="D2957" s="9">
        <v>2283.15</v>
      </c>
      <c r="E2957" s="9">
        <f t="shared" si="138"/>
        <v>1.0208954399129441E-2</v>
      </c>
      <c r="F2957" s="9">
        <f t="shared" si="136"/>
        <v>2.0299590237418371E-3</v>
      </c>
      <c r="G2957" s="9">
        <f t="shared" si="137"/>
        <v>1.0237542029828687E-2</v>
      </c>
    </row>
    <row r="2958" spans="1:7" x14ac:dyDescent="0.2">
      <c r="A2958" s="12">
        <v>41435</v>
      </c>
      <c r="B2958" s="9">
        <v>2297.04</v>
      </c>
      <c r="C2958" s="9">
        <v>2278.65</v>
      </c>
      <c r="D2958" s="9">
        <v>2286.94</v>
      </c>
      <c r="E2958" s="9">
        <f t="shared" si="138"/>
        <v>1.6586110421695202E-3</v>
      </c>
      <c r="F2958" s="9">
        <f t="shared" si="136"/>
        <v>-1.5257269216690229E-2</v>
      </c>
      <c r="G2958" s="9">
        <f t="shared" si="137"/>
        <v>9.6053052588457831E-3</v>
      </c>
    </row>
    <row r="2959" spans="1:7" x14ac:dyDescent="0.2">
      <c r="A2959" s="12">
        <v>41436</v>
      </c>
      <c r="B2959" s="9">
        <v>2280.58</v>
      </c>
      <c r="C2959" s="9">
        <v>2241.12</v>
      </c>
      <c r="D2959" s="9">
        <v>2248.63</v>
      </c>
      <c r="E2959" s="9">
        <f t="shared" si="138"/>
        <v>-1.689353757449974E-2</v>
      </c>
      <c r="F2959" s="9">
        <f t="shared" si="136"/>
        <v>-2.9330417053582858E-2</v>
      </c>
      <c r="G2959" s="9">
        <f t="shared" si="137"/>
        <v>1.0055219084889841E-2</v>
      </c>
    </row>
    <row r="2960" spans="1:7" x14ac:dyDescent="0.2">
      <c r="A2960" s="12">
        <v>41437</v>
      </c>
      <c r="B2960" s="9">
        <v>2266.13</v>
      </c>
      <c r="C2960" s="9">
        <v>2239.36</v>
      </c>
      <c r="D2960" s="9">
        <v>2252.5300000000002</v>
      </c>
      <c r="E2960" s="9">
        <f t="shared" si="138"/>
        <v>1.7328870673079745E-3</v>
      </c>
      <c r="F2960" s="9">
        <f t="shared" si="136"/>
        <v>-3.2474285500636718E-2</v>
      </c>
      <c r="G2960" s="9">
        <f t="shared" si="137"/>
        <v>1.0008373711189509E-2</v>
      </c>
    </row>
    <row r="2961" spans="1:7" x14ac:dyDescent="0.2">
      <c r="A2961" s="12">
        <v>41438</v>
      </c>
      <c r="B2961" s="9">
        <v>2269.79</v>
      </c>
      <c r="C2961" s="9">
        <v>2220.89</v>
      </c>
      <c r="D2961" s="9">
        <v>2266.1799999999998</v>
      </c>
      <c r="E2961" s="9">
        <f t="shared" si="138"/>
        <v>6.0415656323643619E-3</v>
      </c>
      <c r="F2961" s="9">
        <f t="shared" si="136"/>
        <v>-2.1681196194917568E-2</v>
      </c>
      <c r="G2961" s="9">
        <f t="shared" si="137"/>
        <v>1.0065759341242042E-2</v>
      </c>
    </row>
    <row r="2962" spans="1:7" x14ac:dyDescent="0.2">
      <c r="A2962" s="12">
        <v>41439</v>
      </c>
      <c r="B2962" s="9">
        <v>2300.56</v>
      </c>
      <c r="C2962" s="9">
        <v>2272.92</v>
      </c>
      <c r="D2962" s="9">
        <v>2293.94</v>
      </c>
      <c r="E2962" s="9">
        <f t="shared" si="138"/>
        <v>1.2175268598690015E-2</v>
      </c>
      <c r="F2962" s="9">
        <f t="shared" si="136"/>
        <v>-2.577388339578969E-3</v>
      </c>
      <c r="G2962" s="9">
        <f t="shared" si="137"/>
        <v>1.0261992215733068E-2</v>
      </c>
    </row>
    <row r="2963" spans="1:7" x14ac:dyDescent="0.2">
      <c r="A2963" s="12">
        <v>41442</v>
      </c>
      <c r="B2963" s="9">
        <v>2319</v>
      </c>
      <c r="C2963" s="9">
        <v>2297.1799999999998</v>
      </c>
      <c r="D2963" s="9">
        <v>2308.0700000000002</v>
      </c>
      <c r="E2963" s="9">
        <f t="shared" si="138"/>
        <v>6.1408142976771621E-3</v>
      </c>
      <c r="F2963" s="9">
        <f t="shared" si="136"/>
        <v>-1.2332279666882129E-2</v>
      </c>
      <c r="G2963" s="9">
        <f t="shared" si="137"/>
        <v>9.8857858821470926E-3</v>
      </c>
    </row>
    <row r="2964" spans="1:7" x14ac:dyDescent="0.2">
      <c r="A2964" s="12">
        <v>41443</v>
      </c>
      <c r="B2964" s="9">
        <v>2312.5300000000002</v>
      </c>
      <c r="C2964" s="9">
        <v>2295.11</v>
      </c>
      <c r="D2964" s="9">
        <v>2300.86</v>
      </c>
      <c r="E2964" s="9">
        <f t="shared" si="138"/>
        <v>-3.1287113848365851E-3</v>
      </c>
      <c r="F2964" s="9">
        <f t="shared" si="136"/>
        <v>-1.7948575788221909E-2</v>
      </c>
      <c r="G2964" s="9">
        <f t="shared" si="137"/>
        <v>9.8821783072560333E-3</v>
      </c>
    </row>
    <row r="2965" spans="1:7" x14ac:dyDescent="0.2">
      <c r="A2965" s="12">
        <v>41444</v>
      </c>
      <c r="B2965" s="9">
        <v>2308.86</v>
      </c>
      <c r="C2965" s="9">
        <v>2290.23</v>
      </c>
      <c r="D2965" s="9">
        <v>2292.65</v>
      </c>
      <c r="E2965" s="9">
        <f t="shared" si="138"/>
        <v>-3.5746123300828968E-3</v>
      </c>
      <c r="F2965" s="9">
        <f t="shared" si="136"/>
        <v>-3.0528295452037044E-2</v>
      </c>
      <c r="G2965" s="9">
        <f t="shared" si="137"/>
        <v>9.7262963412228769E-3</v>
      </c>
    </row>
    <row r="2966" spans="1:7" x14ac:dyDescent="0.2">
      <c r="A2966" s="12">
        <v>41445</v>
      </c>
      <c r="B2966" s="9">
        <v>2281.12</v>
      </c>
      <c r="C2966" s="9">
        <v>2245.15</v>
      </c>
      <c r="D2966" s="9">
        <v>2253.17</v>
      </c>
      <c r="E2966" s="9">
        <f t="shared" si="138"/>
        <v>-1.7370240207955391E-2</v>
      </c>
      <c r="F2966" s="9">
        <f t="shared" si="136"/>
        <v>-5.8666507779352672E-2</v>
      </c>
      <c r="G2966" s="9">
        <f t="shared" si="137"/>
        <v>9.9056601477624327E-3</v>
      </c>
    </row>
    <row r="2967" spans="1:7" x14ac:dyDescent="0.2">
      <c r="A2967" s="12">
        <v>41449</v>
      </c>
      <c r="B2967" s="9">
        <v>2229.4499999999998</v>
      </c>
      <c r="C2967" s="9">
        <v>2170.12</v>
      </c>
      <c r="D2967" s="9">
        <v>2172.41</v>
      </c>
      <c r="E2967" s="9">
        <f t="shared" si="138"/>
        <v>-3.6500963180694609E-2</v>
      </c>
      <c r="F2967" s="9">
        <f t="shared" si="136"/>
        <v>-0.10827743700697326</v>
      </c>
      <c r="G2967" s="9">
        <f t="shared" si="137"/>
        <v>1.1340977397570328E-2</v>
      </c>
    </row>
    <row r="2968" spans="1:7" x14ac:dyDescent="0.2">
      <c r="A2968" s="12">
        <v>41450</v>
      </c>
      <c r="B2968" s="9">
        <v>2216.0500000000002</v>
      </c>
      <c r="C2968" s="9">
        <v>2186.65</v>
      </c>
      <c r="D2968" s="9">
        <v>2197.11</v>
      </c>
      <c r="E2968" s="9">
        <f t="shared" si="138"/>
        <v>1.1305710052231115E-2</v>
      </c>
      <c r="F2968" s="9">
        <f t="shared" si="136"/>
        <v>-9.9323513951915077E-2</v>
      </c>
      <c r="G2968" s="9">
        <f t="shared" si="137"/>
        <v>1.161771075246008E-2</v>
      </c>
    </row>
    <row r="2969" spans="1:7" x14ac:dyDescent="0.2">
      <c r="A2969" s="12">
        <v>41451</v>
      </c>
      <c r="B2969" s="9">
        <v>2240.0300000000002</v>
      </c>
      <c r="C2969" s="9">
        <v>2202.4699999999998</v>
      </c>
      <c r="D2969" s="9">
        <v>2231.9</v>
      </c>
      <c r="E2969" s="9">
        <f t="shared" si="138"/>
        <v>1.5710380223983186E-2</v>
      </c>
      <c r="F2969" s="9">
        <f t="shared" si="136"/>
        <v>-8.1282000505340027E-2</v>
      </c>
      <c r="G2969" s="9">
        <f t="shared" si="137"/>
        <v>1.2126005088297602E-2</v>
      </c>
    </row>
    <row r="2970" spans="1:7" x14ac:dyDescent="0.2">
      <c r="A2970" s="12">
        <v>41452</v>
      </c>
      <c r="B2970" s="9">
        <v>2254.69</v>
      </c>
      <c r="C2970" s="9">
        <v>2225.1799999999998</v>
      </c>
      <c r="D2970" s="9">
        <v>2244.9899999999998</v>
      </c>
      <c r="E2970" s="9">
        <f t="shared" si="138"/>
        <v>5.8478261933098711E-3</v>
      </c>
      <c r="F2970" s="9">
        <f t="shared" si="136"/>
        <v>-8.437426083271149E-2</v>
      </c>
      <c r="G2970" s="9">
        <f t="shared" si="137"/>
        <v>1.2036377090772866E-2</v>
      </c>
    </row>
    <row r="2971" spans="1:7" x14ac:dyDescent="0.2">
      <c r="A2971" s="12">
        <v>41453</v>
      </c>
      <c r="B2971" s="9">
        <v>2252.9499999999998</v>
      </c>
      <c r="C2971" s="9">
        <v>2213.8200000000002</v>
      </c>
      <c r="D2971" s="9">
        <v>2220.67</v>
      </c>
      <c r="E2971" s="9">
        <f t="shared" si="138"/>
        <v>-1.0892114688325289E-2</v>
      </c>
      <c r="F2971" s="9">
        <f t="shared" si="136"/>
        <v>-9.385706482569571E-2</v>
      </c>
      <c r="G2971" s="9">
        <f t="shared" si="137"/>
        <v>1.2122465720022535E-2</v>
      </c>
    </row>
    <row r="2972" spans="1:7" x14ac:dyDescent="0.2">
      <c r="A2972" s="12">
        <v>41456</v>
      </c>
      <c r="B2972" s="9">
        <v>2266.83</v>
      </c>
      <c r="C2972" s="9">
        <v>2233.2600000000002</v>
      </c>
      <c r="D2972" s="9">
        <v>2244.88</v>
      </c>
      <c r="E2972" s="9">
        <f t="shared" si="138"/>
        <v>1.0843115496802246E-2</v>
      </c>
      <c r="F2972" s="9">
        <f t="shared" si="136"/>
        <v>-7.9835719562276614E-2</v>
      </c>
      <c r="G2972" s="9">
        <f t="shared" si="137"/>
        <v>1.2387874083211677E-2</v>
      </c>
    </row>
    <row r="2973" spans="1:7" x14ac:dyDescent="0.2">
      <c r="A2973" s="12">
        <v>41457</v>
      </c>
      <c r="B2973" s="9">
        <v>2253.17</v>
      </c>
      <c r="C2973" s="9">
        <v>2231.36</v>
      </c>
      <c r="D2973" s="9">
        <v>2250.1799999999998</v>
      </c>
      <c r="E2973" s="9">
        <f t="shared" si="138"/>
        <v>2.3581453667098169E-3</v>
      </c>
      <c r="F2973" s="9">
        <f t="shared" si="136"/>
        <v>-8.4346932268041935E-2</v>
      </c>
      <c r="G2973" s="9">
        <f t="shared" si="137"/>
        <v>1.2295229396998406E-2</v>
      </c>
    </row>
    <row r="2974" spans="1:7" x14ac:dyDescent="0.2">
      <c r="A2974" s="12">
        <v>41458</v>
      </c>
      <c r="B2974" s="9">
        <v>2241.44</v>
      </c>
      <c r="C2974" s="9">
        <v>2215.1</v>
      </c>
      <c r="D2974" s="9">
        <v>2241.44</v>
      </c>
      <c r="E2974" s="9">
        <f t="shared" si="138"/>
        <v>-3.8916965508326287E-3</v>
      </c>
      <c r="F2974" s="9">
        <f t="shared" si="136"/>
        <v>-9.0543778480904669E-2</v>
      </c>
      <c r="G2974" s="9">
        <f t="shared" si="137"/>
        <v>1.2258302189185093E-2</v>
      </c>
    </row>
    <row r="2975" spans="1:7" x14ac:dyDescent="0.2">
      <c r="A2975" s="12">
        <v>41459</v>
      </c>
      <c r="B2975" s="9">
        <v>2292.7600000000002</v>
      </c>
      <c r="C2975" s="9">
        <v>2249.5700000000002</v>
      </c>
      <c r="D2975" s="9">
        <v>2292.6</v>
      </c>
      <c r="E2975" s="9">
        <f t="shared" si="138"/>
        <v>2.2568028233105462E-2</v>
      </c>
      <c r="F2975" s="9">
        <f t="shared" si="136"/>
        <v>-6.8676441190298615E-2</v>
      </c>
      <c r="G2975" s="9">
        <f t="shared" si="137"/>
        <v>1.3107770192349393E-2</v>
      </c>
    </row>
    <row r="2976" spans="1:7" x14ac:dyDescent="0.2">
      <c r="A2976" s="12">
        <v>41460</v>
      </c>
      <c r="B2976" s="9">
        <v>2304.2800000000002</v>
      </c>
      <c r="C2976" s="9">
        <v>2268.9</v>
      </c>
      <c r="D2976" s="9">
        <v>2274.0300000000002</v>
      </c>
      <c r="E2976" s="9">
        <f t="shared" si="138"/>
        <v>-8.1329568453123741E-3</v>
      </c>
      <c r="F2976" s="9">
        <f t="shared" si="136"/>
        <v>-4.8973794422791282E-2</v>
      </c>
      <c r="G2976" s="9">
        <f t="shared" si="137"/>
        <v>1.2249119700135027E-2</v>
      </c>
    </row>
    <row r="2977" spans="1:7" x14ac:dyDescent="0.2">
      <c r="A2977" s="12">
        <v>41463</v>
      </c>
      <c r="B2977" s="9">
        <v>2315.4499999999998</v>
      </c>
      <c r="C2977" s="9">
        <v>2286.2199999999998</v>
      </c>
      <c r="D2977" s="9">
        <v>2307.8000000000002</v>
      </c>
      <c r="E2977" s="9">
        <f t="shared" si="138"/>
        <v>1.4741101924970615E-2</v>
      </c>
      <c r="F2977" s="9">
        <f t="shared" ref="F2977:F3040" si="139">LN(D2977/D2947)</f>
        <v>-3.342002489277332E-2</v>
      </c>
      <c r="G2977" s="9">
        <f t="shared" ref="G2977:G3040" si="140">STDEV(E2948:E2977)</f>
        <v>1.2608897436857648E-2</v>
      </c>
    </row>
    <row r="2978" spans="1:7" x14ac:dyDescent="0.2">
      <c r="A2978" s="12">
        <v>41464</v>
      </c>
      <c r="B2978" s="9">
        <v>2355.35</v>
      </c>
      <c r="C2978" s="9">
        <v>2316.4699999999998</v>
      </c>
      <c r="D2978" s="9">
        <v>2355.09</v>
      </c>
      <c r="E2978" s="9">
        <f t="shared" si="138"/>
        <v>2.0284253520226087E-2</v>
      </c>
      <c r="F2978" s="9">
        <f t="shared" si="139"/>
        <v>-1.433778268718108E-2</v>
      </c>
      <c r="G2978" s="9">
        <f t="shared" si="140"/>
        <v>1.3197345850381997E-2</v>
      </c>
    </row>
    <row r="2979" spans="1:7" x14ac:dyDescent="0.2">
      <c r="A2979" s="12">
        <v>41465</v>
      </c>
      <c r="B2979" s="9">
        <v>2354.29</v>
      </c>
      <c r="C2979" s="9">
        <v>2327.9899999999998</v>
      </c>
      <c r="D2979" s="9">
        <v>2342.79</v>
      </c>
      <c r="E2979" s="9">
        <f t="shared" si="138"/>
        <v>-5.2364164710661668E-3</v>
      </c>
      <c r="F2979" s="9">
        <f t="shared" si="139"/>
        <v>-2.9752022594542949E-2</v>
      </c>
      <c r="G2979" s="9">
        <f t="shared" si="140"/>
        <v>1.306760466714282E-2</v>
      </c>
    </row>
    <row r="2980" spans="1:7" x14ac:dyDescent="0.2">
      <c r="A2980" s="12">
        <v>41466</v>
      </c>
      <c r="B2980" s="9">
        <v>2382.5100000000002</v>
      </c>
      <c r="C2980" s="9">
        <v>2363.27</v>
      </c>
      <c r="D2980" s="9">
        <v>2376.02</v>
      </c>
      <c r="E2980" s="9">
        <f t="shared" si="138"/>
        <v>1.4084292145798642E-2</v>
      </c>
      <c r="F2980" s="9">
        <f t="shared" si="139"/>
        <v>-3.2690340930823258E-3</v>
      </c>
      <c r="G2980" s="9">
        <f t="shared" si="140"/>
        <v>1.3164602420465733E-2</v>
      </c>
    </row>
    <row r="2981" spans="1:7" x14ac:dyDescent="0.2">
      <c r="A2981" s="12">
        <v>41467</v>
      </c>
      <c r="B2981" s="9">
        <v>2384.39</v>
      </c>
      <c r="C2981" s="9">
        <v>2362.3000000000002</v>
      </c>
      <c r="D2981" s="9">
        <v>2364.25</v>
      </c>
      <c r="E2981" s="9">
        <f t="shared" si="138"/>
        <v>-4.9659720599044737E-3</v>
      </c>
      <c r="F2981" s="9">
        <f t="shared" si="139"/>
        <v>-4.1070246386732132E-3</v>
      </c>
      <c r="G2981" s="9">
        <f t="shared" si="140"/>
        <v>1.3174309589073117E-2</v>
      </c>
    </row>
    <row r="2982" spans="1:7" x14ac:dyDescent="0.2">
      <c r="A2982" s="12">
        <v>41470</v>
      </c>
      <c r="B2982" s="9">
        <v>2379.09</v>
      </c>
      <c r="C2982" s="9">
        <v>2351.79</v>
      </c>
      <c r="D2982" s="9">
        <v>2356.7199999999998</v>
      </c>
      <c r="E2982" s="9">
        <f t="shared" si="138"/>
        <v>-3.1900250946743161E-3</v>
      </c>
      <c r="F2982" s="9">
        <f t="shared" si="139"/>
        <v>4.469561527175335E-3</v>
      </c>
      <c r="G2982" s="9">
        <f t="shared" si="140"/>
        <v>1.3005211205601186E-2</v>
      </c>
    </row>
    <row r="2983" spans="1:7" x14ac:dyDescent="0.2">
      <c r="A2983" s="12">
        <v>41471</v>
      </c>
      <c r="B2983" s="9">
        <v>2359.09</v>
      </c>
      <c r="C2983" s="9">
        <v>2333.23</v>
      </c>
      <c r="D2983" s="9">
        <v>2336.6</v>
      </c>
      <c r="E2983" s="9">
        <f t="shared" si="138"/>
        <v>-8.5739405178992117E-3</v>
      </c>
      <c r="F2983" s="9">
        <f t="shared" si="139"/>
        <v>3.7818576155011769E-3</v>
      </c>
      <c r="G2983" s="9">
        <f t="shared" si="140"/>
        <v>1.3020459915428367E-2</v>
      </c>
    </row>
    <row r="2984" spans="1:7" x14ac:dyDescent="0.2">
      <c r="A2984" s="12">
        <v>41472</v>
      </c>
      <c r="B2984" s="9">
        <v>2357.2800000000002</v>
      </c>
      <c r="C2984" s="9">
        <v>2325.4699999999998</v>
      </c>
      <c r="D2984" s="9">
        <v>2352.52</v>
      </c>
      <c r="E2984" s="9">
        <f t="shared" si="138"/>
        <v>6.7902127343972638E-3</v>
      </c>
      <c r="F2984" s="9">
        <f t="shared" si="139"/>
        <v>1.4954926562304528E-2</v>
      </c>
      <c r="G2984" s="9">
        <f t="shared" si="140"/>
        <v>1.3046809928788521E-2</v>
      </c>
    </row>
    <row r="2985" spans="1:7" x14ac:dyDescent="0.2">
      <c r="A2985" s="12">
        <v>41473</v>
      </c>
      <c r="B2985" s="9">
        <v>2356.83</v>
      </c>
      <c r="C2985" s="9">
        <v>2324.2600000000002</v>
      </c>
      <c r="D2985" s="9">
        <v>2356.83</v>
      </c>
      <c r="E2985" s="9">
        <f t="shared" si="138"/>
        <v>1.8304017341422296E-3</v>
      </c>
      <c r="F2985" s="9">
        <f t="shared" si="139"/>
        <v>3.6520560556163463E-2</v>
      </c>
      <c r="G2985" s="9">
        <f t="shared" si="140"/>
        <v>1.2475114296422136E-2</v>
      </c>
    </row>
    <row r="2986" spans="1:7" x14ac:dyDescent="0.2">
      <c r="A2986" s="12">
        <v>41474</v>
      </c>
      <c r="B2986" s="9">
        <v>2365.81</v>
      </c>
      <c r="C2986" s="9">
        <v>2341.3000000000002</v>
      </c>
      <c r="D2986" s="9">
        <v>2349.3000000000002</v>
      </c>
      <c r="E2986" s="9">
        <f t="shared" si="138"/>
        <v>-3.2000843265857135E-3</v>
      </c>
      <c r="F2986" s="9">
        <f t="shared" si="139"/>
        <v>3.8770297430345706E-2</v>
      </c>
      <c r="G2986" s="9">
        <f t="shared" si="140"/>
        <v>1.2440367633924421E-2</v>
      </c>
    </row>
    <row r="2987" spans="1:7" x14ac:dyDescent="0.2">
      <c r="A2987" s="12">
        <v>41477</v>
      </c>
      <c r="B2987" s="9">
        <v>2353.38</v>
      </c>
      <c r="C2987" s="9">
        <v>2332.86</v>
      </c>
      <c r="D2987" s="9">
        <v>2338.83</v>
      </c>
      <c r="E2987" s="9">
        <f t="shared" si="138"/>
        <v>-4.4666071149369784E-3</v>
      </c>
      <c r="F2987" s="9">
        <f t="shared" si="139"/>
        <v>2.4094735916279298E-2</v>
      </c>
      <c r="G2987" s="9">
        <f t="shared" si="140"/>
        <v>1.2365971305896964E-2</v>
      </c>
    </row>
    <row r="2988" spans="1:7" x14ac:dyDescent="0.2">
      <c r="A2988" s="12">
        <v>41478</v>
      </c>
      <c r="B2988" s="9">
        <v>2365.3200000000002</v>
      </c>
      <c r="C2988" s="9">
        <v>2343.0500000000002</v>
      </c>
      <c r="D2988" s="9">
        <v>2354.58</v>
      </c>
      <c r="E2988" s="9">
        <f t="shared" si="138"/>
        <v>6.7115632862354774E-3</v>
      </c>
      <c r="F2988" s="9">
        <f t="shared" si="139"/>
        <v>2.9147688160345187E-2</v>
      </c>
      <c r="G2988" s="9">
        <f t="shared" si="140"/>
        <v>1.2412349968893512E-2</v>
      </c>
    </row>
    <row r="2989" spans="1:7" x14ac:dyDescent="0.2">
      <c r="A2989" s="12">
        <v>41479</v>
      </c>
      <c r="B2989" s="9">
        <v>2368.9</v>
      </c>
      <c r="C2989" s="9">
        <v>2349.62</v>
      </c>
      <c r="D2989" s="9">
        <v>2361.31</v>
      </c>
      <c r="E2989" s="9">
        <f t="shared" si="138"/>
        <v>2.8541821665675859E-3</v>
      </c>
      <c r="F2989" s="9">
        <f t="shared" si="139"/>
        <v>4.8895407901412537E-2</v>
      </c>
      <c r="G2989" s="9">
        <f t="shared" si="140"/>
        <v>1.1947166487313846E-2</v>
      </c>
    </row>
    <row r="2990" spans="1:7" x14ac:dyDescent="0.2">
      <c r="A2990" s="12">
        <v>41480</v>
      </c>
      <c r="B2990" s="9">
        <v>2365.33</v>
      </c>
      <c r="C2990" s="9">
        <v>2332.77</v>
      </c>
      <c r="D2990" s="9">
        <v>2350.19</v>
      </c>
      <c r="E2990" s="9">
        <f t="shared" si="138"/>
        <v>-4.7203738291045818E-3</v>
      </c>
      <c r="F2990" s="9">
        <f t="shared" si="139"/>
        <v>4.2442147004999951E-2</v>
      </c>
      <c r="G2990" s="9">
        <f t="shared" si="140"/>
        <v>1.2003211293121728E-2</v>
      </c>
    </row>
    <row r="2991" spans="1:7" x14ac:dyDescent="0.2">
      <c r="A2991" s="12">
        <v>41481</v>
      </c>
      <c r="B2991" s="9">
        <v>2360.13</v>
      </c>
      <c r="C2991" s="9">
        <v>2329.23</v>
      </c>
      <c r="D2991" s="9">
        <v>2334.6799999999998</v>
      </c>
      <c r="E2991" s="9">
        <f t="shared" si="138"/>
        <v>-6.6213391901655148E-3</v>
      </c>
      <c r="F2991" s="9">
        <f t="shared" si="139"/>
        <v>2.9779242182470172E-2</v>
      </c>
      <c r="G2991" s="9">
        <f t="shared" si="140"/>
        <v>1.2057422089235026E-2</v>
      </c>
    </row>
    <row r="2992" spans="1:7" x14ac:dyDescent="0.2">
      <c r="A2992" s="12">
        <v>41484</v>
      </c>
      <c r="B2992" s="9">
        <v>2346.41</v>
      </c>
      <c r="C2992" s="9">
        <v>2326.59</v>
      </c>
      <c r="D2992" s="9">
        <v>2328.48</v>
      </c>
      <c r="E2992" s="9">
        <f t="shared" si="138"/>
        <v>-2.6591425785817244E-3</v>
      </c>
      <c r="F2992" s="9">
        <f t="shared" si="139"/>
        <v>1.4944831005198425E-2</v>
      </c>
      <c r="G2992" s="9">
        <f t="shared" si="140"/>
        <v>1.1885967452068222E-2</v>
      </c>
    </row>
    <row r="2993" spans="1:7" x14ac:dyDescent="0.2">
      <c r="A2993" s="12">
        <v>41485</v>
      </c>
      <c r="B2993" s="9">
        <v>2340.71</v>
      </c>
      <c r="C2993" s="9">
        <v>2327</v>
      </c>
      <c r="D2993" s="9">
        <v>2333.44</v>
      </c>
      <c r="E2993" s="9">
        <f t="shared" si="138"/>
        <v>2.1278794451728114E-3</v>
      </c>
      <c r="F2993" s="9">
        <f t="shared" si="139"/>
        <v>1.0931896152694047E-2</v>
      </c>
      <c r="G2993" s="9">
        <f t="shared" si="140"/>
        <v>1.1842777667996716E-2</v>
      </c>
    </row>
    <row r="2994" spans="1:7" x14ac:dyDescent="0.2">
      <c r="A2994" s="12">
        <v>41486</v>
      </c>
      <c r="B2994" s="9">
        <v>2333.9699999999998</v>
      </c>
      <c r="C2994" s="9">
        <v>2317.31</v>
      </c>
      <c r="D2994" s="9">
        <v>2318.61</v>
      </c>
      <c r="E2994" s="9">
        <f t="shared" si="138"/>
        <v>-6.3757054357201611E-3</v>
      </c>
      <c r="F2994" s="9">
        <f t="shared" si="139"/>
        <v>7.6849021018106254E-3</v>
      </c>
      <c r="G2994" s="9">
        <f t="shared" si="140"/>
        <v>1.1890543682977681E-2</v>
      </c>
    </row>
    <row r="2995" spans="1:7" x14ac:dyDescent="0.2">
      <c r="A2995" s="12">
        <v>41487</v>
      </c>
      <c r="B2995" s="9">
        <v>2364.3200000000002</v>
      </c>
      <c r="C2995" s="9">
        <v>2332.48</v>
      </c>
      <c r="D2995" s="9">
        <v>2364.3200000000002</v>
      </c>
      <c r="E2995" s="9">
        <f t="shared" si="138"/>
        <v>1.9522585980855069E-2</v>
      </c>
      <c r="F2995" s="9">
        <f t="shared" si="139"/>
        <v>3.0782100412748554E-2</v>
      </c>
      <c r="G2995" s="9">
        <f t="shared" si="140"/>
        <v>1.2371969644683099E-2</v>
      </c>
    </row>
    <row r="2996" spans="1:7" x14ac:dyDescent="0.2">
      <c r="A2996" s="12">
        <v>41488</v>
      </c>
      <c r="B2996" s="9">
        <v>2373.2800000000002</v>
      </c>
      <c r="C2996" s="9">
        <v>2358.5100000000002</v>
      </c>
      <c r="D2996" s="9">
        <v>2367.46</v>
      </c>
      <c r="E2996" s="9">
        <f t="shared" si="138"/>
        <v>1.3271963028342172E-3</v>
      </c>
      <c r="F2996" s="9">
        <f t="shared" si="139"/>
        <v>4.9479536923538167E-2</v>
      </c>
      <c r="G2996" s="9">
        <f t="shared" si="140"/>
        <v>1.1874221082711868E-2</v>
      </c>
    </row>
    <row r="2997" spans="1:7" x14ac:dyDescent="0.2">
      <c r="A2997" s="12">
        <v>41491</v>
      </c>
      <c r="B2997" s="9">
        <v>2377.87</v>
      </c>
      <c r="C2997" s="9">
        <v>2369.11</v>
      </c>
      <c r="D2997" s="9">
        <v>2376.6999999999998</v>
      </c>
      <c r="E2997" s="9">
        <f t="shared" si="138"/>
        <v>3.8953204291627391E-3</v>
      </c>
      <c r="F2997" s="9">
        <f t="shared" si="139"/>
        <v>8.9875820533395601E-2</v>
      </c>
      <c r="G2997" s="9">
        <f t="shared" si="140"/>
        <v>9.4396849743372101E-3</v>
      </c>
    </row>
    <row r="2998" spans="1:7" x14ac:dyDescent="0.2">
      <c r="A2998" s="12">
        <v>41492</v>
      </c>
      <c r="B2998" s="9">
        <v>2393.33</v>
      </c>
      <c r="C2998" s="9">
        <v>2372.0500000000002</v>
      </c>
      <c r="D2998" s="9">
        <v>2377.12</v>
      </c>
      <c r="E2998" s="9">
        <f t="shared" si="138"/>
        <v>1.7670000172197186E-4</v>
      </c>
      <c r="F2998" s="9">
        <f t="shared" si="139"/>
        <v>7.874681048288637E-2</v>
      </c>
      <c r="G2998" s="9">
        <f t="shared" si="140"/>
        <v>9.3197741111013758E-3</v>
      </c>
    </row>
    <row r="2999" spans="1:7" x14ac:dyDescent="0.2">
      <c r="A2999" s="12">
        <v>41493</v>
      </c>
      <c r="B2999" s="9">
        <v>2379.5</v>
      </c>
      <c r="C2999" s="9">
        <v>2362.5700000000002</v>
      </c>
      <c r="D2999" s="9">
        <v>2365.58</v>
      </c>
      <c r="E2999" s="9">
        <f t="shared" si="138"/>
        <v>-4.8664359012258185E-3</v>
      </c>
      <c r="F2999" s="9">
        <f t="shared" si="139"/>
        <v>5.8169994357677307E-2</v>
      </c>
      <c r="G2999" s="9">
        <f t="shared" si="140"/>
        <v>9.077566216114781E-3</v>
      </c>
    </row>
    <row r="3000" spans="1:7" x14ac:dyDescent="0.2">
      <c r="A3000" s="12">
        <v>41494</v>
      </c>
      <c r="B3000" s="9">
        <v>2398.86</v>
      </c>
      <c r="C3000" s="9">
        <v>2373.08</v>
      </c>
      <c r="D3000" s="9">
        <v>2398.6999999999998</v>
      </c>
      <c r="E3000" s="9">
        <f t="shared" si="138"/>
        <v>1.3903688927167349E-2</v>
      </c>
      <c r="F3000" s="9">
        <f t="shared" si="139"/>
        <v>6.622585709153482E-2</v>
      </c>
      <c r="G3000" s="9">
        <f t="shared" si="140"/>
        <v>9.3132750544627028E-3</v>
      </c>
    </row>
    <row r="3001" spans="1:7" x14ac:dyDescent="0.2">
      <c r="A3001" s="12">
        <v>41495</v>
      </c>
      <c r="B3001" s="9">
        <v>2437.89</v>
      </c>
      <c r="C3001" s="9">
        <v>2407.6799999999998</v>
      </c>
      <c r="D3001" s="9">
        <v>2431.1799999999998</v>
      </c>
      <c r="E3001" s="9">
        <f t="shared" si="138"/>
        <v>1.3449812263502024E-2</v>
      </c>
      <c r="F3001" s="9">
        <f t="shared" si="139"/>
        <v>9.0567784043362076E-2</v>
      </c>
      <c r="G3001" s="9">
        <f t="shared" si="140"/>
        <v>9.1922249452311578E-3</v>
      </c>
    </row>
    <row r="3002" spans="1:7" x14ac:dyDescent="0.2">
      <c r="A3002" s="12">
        <v>41498</v>
      </c>
      <c r="B3002" s="9">
        <v>2444.25</v>
      </c>
      <c r="C3002" s="9">
        <v>2420.9699999999998</v>
      </c>
      <c r="D3002" s="9">
        <v>2442.54</v>
      </c>
      <c r="E3002" s="9">
        <f t="shared" si="138"/>
        <v>4.6617452676101174E-3</v>
      </c>
      <c r="F3002" s="9">
        <f t="shared" si="139"/>
        <v>8.4386413814169975E-2</v>
      </c>
      <c r="G3002" s="9">
        <f t="shared" si="140"/>
        <v>9.0793822036553534E-3</v>
      </c>
    </row>
    <row r="3003" spans="1:7" x14ac:dyDescent="0.2">
      <c r="A3003" s="12">
        <v>41499</v>
      </c>
      <c r="B3003" s="9">
        <v>2454.6999999999998</v>
      </c>
      <c r="C3003" s="9">
        <v>2435.4</v>
      </c>
      <c r="D3003" s="9">
        <v>2445.56</v>
      </c>
      <c r="E3003" s="9">
        <f t="shared" si="138"/>
        <v>1.2356540922873463E-3</v>
      </c>
      <c r="F3003" s="9">
        <f t="shared" si="139"/>
        <v>8.3263922539747515E-2</v>
      </c>
      <c r="G3003" s="9">
        <f t="shared" si="140"/>
        <v>9.083632712205374E-3</v>
      </c>
    </row>
    <row r="3004" spans="1:7" x14ac:dyDescent="0.2">
      <c r="A3004" s="12">
        <v>41500</v>
      </c>
      <c r="B3004" s="9">
        <v>2458.27</v>
      </c>
      <c r="C3004" s="9">
        <v>2446.02</v>
      </c>
      <c r="D3004" s="9">
        <v>2455.31</v>
      </c>
      <c r="E3004" s="9">
        <f t="shared" si="138"/>
        <v>3.9788906309074206E-3</v>
      </c>
      <c r="F3004" s="9">
        <f t="shared" si="139"/>
        <v>9.1134509721487511E-2</v>
      </c>
      <c r="G3004" s="9">
        <f t="shared" si="140"/>
        <v>8.9976844671673731E-3</v>
      </c>
    </row>
    <row r="3005" spans="1:7" x14ac:dyDescent="0.2">
      <c r="A3005" s="12">
        <v>41501</v>
      </c>
      <c r="B3005" s="9">
        <v>2453.69</v>
      </c>
      <c r="C3005" s="9">
        <v>2419.9899999999998</v>
      </c>
      <c r="D3005" s="9">
        <v>2434.88</v>
      </c>
      <c r="E3005" s="9">
        <f t="shared" si="138"/>
        <v>-8.3555521811334733E-3</v>
      </c>
      <c r="F3005" s="9">
        <f t="shared" si="139"/>
        <v>6.0210929307248764E-2</v>
      </c>
      <c r="G3005" s="9">
        <f t="shared" si="140"/>
        <v>8.4369784652635216E-3</v>
      </c>
    </row>
    <row r="3006" spans="1:7" x14ac:dyDescent="0.2">
      <c r="A3006" s="12">
        <v>41502</v>
      </c>
      <c r="B3006" s="9">
        <v>2455.9</v>
      </c>
      <c r="C3006" s="9">
        <v>2425.3200000000002</v>
      </c>
      <c r="D3006" s="9">
        <v>2455.9</v>
      </c>
      <c r="E3006" s="9">
        <f t="shared" si="138"/>
        <v>8.5958188375534813E-3</v>
      </c>
      <c r="F3006" s="9">
        <f t="shared" si="139"/>
        <v>7.6939704990114516E-2</v>
      </c>
      <c r="G3006" s="9">
        <f t="shared" si="140"/>
        <v>8.2953246858209154E-3</v>
      </c>
    </row>
    <row r="3007" spans="1:7" x14ac:dyDescent="0.2">
      <c r="A3007" s="12">
        <v>41505</v>
      </c>
      <c r="B3007" s="9">
        <v>2462.46</v>
      </c>
      <c r="C3007" s="9">
        <v>2446.2399999999998</v>
      </c>
      <c r="D3007" s="9">
        <v>2452.9299999999998</v>
      </c>
      <c r="E3007" s="9">
        <f t="shared" si="138"/>
        <v>-1.2100644603311092E-3</v>
      </c>
      <c r="F3007" s="9">
        <f t="shared" si="139"/>
        <v>6.0988538604813049E-2</v>
      </c>
      <c r="G3007" s="9">
        <f t="shared" si="140"/>
        <v>7.9936641285072562E-3</v>
      </c>
    </row>
    <row r="3008" spans="1:7" x14ac:dyDescent="0.2">
      <c r="A3008" s="12">
        <v>41506</v>
      </c>
      <c r="B3008" s="9">
        <v>2442.35</v>
      </c>
      <c r="C3008" s="9">
        <v>2420.3000000000002</v>
      </c>
      <c r="D3008" s="9">
        <v>2428.36</v>
      </c>
      <c r="E3008" s="9">
        <f t="shared" si="138"/>
        <v>-1.0067095995709213E-2</v>
      </c>
      <c r="F3008" s="9">
        <f t="shared" si="139"/>
        <v>3.0637189088877519E-2</v>
      </c>
      <c r="G3008" s="9">
        <f t="shared" si="140"/>
        <v>7.5101210259136755E-3</v>
      </c>
    </row>
    <row r="3009" spans="1:7" x14ac:dyDescent="0.2">
      <c r="A3009" s="12">
        <v>41507</v>
      </c>
      <c r="B3009" s="9">
        <v>2438.9299999999998</v>
      </c>
      <c r="C3009" s="9">
        <v>2411.8000000000002</v>
      </c>
      <c r="D3009" s="9">
        <v>2411.9</v>
      </c>
      <c r="E3009" s="9">
        <f t="shared" si="138"/>
        <v>-6.8013137518760699E-3</v>
      </c>
      <c r="F3009" s="9">
        <f t="shared" si="139"/>
        <v>2.9072291808067658E-2</v>
      </c>
      <c r="G3009" s="9">
        <f t="shared" si="140"/>
        <v>7.5603504487474459E-3</v>
      </c>
    </row>
    <row r="3010" spans="1:7" x14ac:dyDescent="0.2">
      <c r="A3010" s="12">
        <v>41508</v>
      </c>
      <c r="B3010" s="9">
        <v>2449.1</v>
      </c>
      <c r="C3010" s="9">
        <v>2412.96</v>
      </c>
      <c r="D3010" s="9">
        <v>2442.9699999999998</v>
      </c>
      <c r="E3010" s="9">
        <f t="shared" si="138"/>
        <v>1.2799693580918923E-2</v>
      </c>
      <c r="F3010" s="9">
        <f t="shared" si="139"/>
        <v>2.7787693243188007E-2</v>
      </c>
      <c r="G3010" s="9">
        <f t="shared" si="140"/>
        <v>7.4867876281589684E-3</v>
      </c>
    </row>
    <row r="3011" spans="1:7" x14ac:dyDescent="0.2">
      <c r="A3011" s="12">
        <v>41509</v>
      </c>
      <c r="B3011" s="9">
        <v>2461.4899999999998</v>
      </c>
      <c r="C3011" s="9">
        <v>2439.98</v>
      </c>
      <c r="D3011" s="9">
        <v>2461.1</v>
      </c>
      <c r="E3011" s="9">
        <f t="shared" si="138"/>
        <v>7.3938922554708285E-3</v>
      </c>
      <c r="F3011" s="9">
        <f t="shared" si="139"/>
        <v>4.0147557558563245E-2</v>
      </c>
      <c r="G3011" s="9">
        <f t="shared" si="140"/>
        <v>7.4914374772708219E-3</v>
      </c>
    </row>
    <row r="3012" spans="1:7" x14ac:dyDescent="0.2">
      <c r="A3012" s="12">
        <v>41512</v>
      </c>
      <c r="B3012" s="9">
        <v>2465.5300000000002</v>
      </c>
      <c r="C3012" s="9">
        <v>2444.64</v>
      </c>
      <c r="D3012" s="9">
        <v>2457.4899999999998</v>
      </c>
      <c r="E3012" s="9">
        <f t="shared" ref="E3012:E3075" si="141">LN(D3012/D3011)</f>
        <v>-1.467900617134288E-3</v>
      </c>
      <c r="F3012" s="9">
        <f t="shared" si="139"/>
        <v>4.1869682036103403E-2</v>
      </c>
      <c r="G3012" s="9">
        <f t="shared" si="140"/>
        <v>7.4620829371220051E-3</v>
      </c>
    </row>
    <row r="3013" spans="1:7" x14ac:dyDescent="0.2">
      <c r="A3013" s="12">
        <v>41513</v>
      </c>
      <c r="B3013" s="9">
        <v>2452.65</v>
      </c>
      <c r="C3013" s="9">
        <v>2412.75</v>
      </c>
      <c r="D3013" s="9">
        <v>2414</v>
      </c>
      <c r="E3013" s="9">
        <f t="shared" si="141"/>
        <v>-1.7855381179573741E-2</v>
      </c>
      <c r="F3013" s="9">
        <f t="shared" si="139"/>
        <v>3.2588241374428874E-2</v>
      </c>
      <c r="G3013" s="9">
        <f t="shared" si="140"/>
        <v>8.0582702117927979E-3</v>
      </c>
    </row>
    <row r="3014" spans="1:7" x14ac:dyDescent="0.2">
      <c r="A3014" s="12">
        <v>41514</v>
      </c>
      <c r="B3014" s="9">
        <v>2408.5100000000002</v>
      </c>
      <c r="C3014" s="9">
        <v>2383.84</v>
      </c>
      <c r="D3014" s="9">
        <v>2397.98</v>
      </c>
      <c r="E3014" s="9">
        <f t="shared" si="141"/>
        <v>-6.6584063883672094E-3</v>
      </c>
      <c r="F3014" s="9">
        <f t="shared" si="139"/>
        <v>1.9139622251664254E-2</v>
      </c>
      <c r="G3014" s="9">
        <f t="shared" si="140"/>
        <v>8.1039627951443125E-3</v>
      </c>
    </row>
    <row r="3015" spans="1:7" x14ac:dyDescent="0.2">
      <c r="A3015" s="12">
        <v>41515</v>
      </c>
      <c r="B3015" s="9">
        <v>2414.9299999999998</v>
      </c>
      <c r="C3015" s="9">
        <v>2397.42</v>
      </c>
      <c r="D3015" s="9">
        <v>2413.91</v>
      </c>
      <c r="E3015" s="9">
        <f t="shared" si="141"/>
        <v>6.6211231747155975E-3</v>
      </c>
      <c r="F3015" s="9">
        <f t="shared" si="139"/>
        <v>2.3930343692237777E-2</v>
      </c>
      <c r="G3015" s="9">
        <f t="shared" si="140"/>
        <v>8.1751583439494541E-3</v>
      </c>
    </row>
    <row r="3016" spans="1:7" x14ac:dyDescent="0.2">
      <c r="A3016" s="12">
        <v>41516</v>
      </c>
      <c r="B3016" s="9">
        <v>2413.0300000000002</v>
      </c>
      <c r="C3016" s="9">
        <v>2378.85</v>
      </c>
      <c r="D3016" s="9">
        <v>2379.75</v>
      </c>
      <c r="E3016" s="9">
        <f t="shared" si="141"/>
        <v>-1.4252399312410497E-2</v>
      </c>
      <c r="F3016" s="9">
        <f t="shared" si="139"/>
        <v>1.287802870641282E-2</v>
      </c>
      <c r="G3016" s="9">
        <f t="shared" si="140"/>
        <v>8.5995471850237853E-3</v>
      </c>
    </row>
    <row r="3017" spans="1:7" x14ac:dyDescent="0.2">
      <c r="A3017" s="12">
        <v>41519</v>
      </c>
      <c r="B3017" s="9">
        <v>2427.96</v>
      </c>
      <c r="C3017" s="9">
        <v>2394.69</v>
      </c>
      <c r="D3017" s="9">
        <v>2424.4299999999998</v>
      </c>
      <c r="E3017" s="9">
        <f t="shared" si="141"/>
        <v>1.860100506483291E-2</v>
      </c>
      <c r="F3017" s="9">
        <f t="shared" si="139"/>
        <v>3.5945640886182656E-2</v>
      </c>
      <c r="G3017" s="9">
        <f t="shared" si="140"/>
        <v>9.1597309030899791E-3</v>
      </c>
    </row>
    <row r="3018" spans="1:7" x14ac:dyDescent="0.2">
      <c r="A3018" s="12">
        <v>41520</v>
      </c>
      <c r="B3018" s="9">
        <v>2538.9</v>
      </c>
      <c r="C3018" s="9">
        <v>2500.27</v>
      </c>
      <c r="D3018" s="9">
        <v>2514.2199999999998</v>
      </c>
      <c r="E3018" s="9">
        <f t="shared" si="141"/>
        <v>3.6366171069485254E-2</v>
      </c>
      <c r="F3018" s="9">
        <f t="shared" si="139"/>
        <v>6.5600248669432357E-2</v>
      </c>
      <c r="G3018" s="9">
        <f t="shared" si="140"/>
        <v>1.1157487000120349E-2</v>
      </c>
    </row>
    <row r="3019" spans="1:7" x14ac:dyDescent="0.2">
      <c r="A3019" s="12">
        <v>41521</v>
      </c>
      <c r="B3019" s="9">
        <v>2531.06</v>
      </c>
      <c r="C3019" s="9">
        <v>2506.4899999999998</v>
      </c>
      <c r="D3019" s="9">
        <v>2528.16</v>
      </c>
      <c r="E3019" s="9">
        <f t="shared" si="141"/>
        <v>5.5291491374562188E-3</v>
      </c>
      <c r="F3019" s="9">
        <f t="shared" si="139"/>
        <v>6.8275215640320797E-2</v>
      </c>
      <c r="G3019" s="9">
        <f t="shared" si="140"/>
        <v>1.11736821662426E-2</v>
      </c>
    </row>
    <row r="3020" spans="1:7" x14ac:dyDescent="0.2">
      <c r="A3020" s="12">
        <v>41522</v>
      </c>
      <c r="B3020" s="9">
        <v>2554.58</v>
      </c>
      <c r="C3020" s="9">
        <v>2533.17</v>
      </c>
      <c r="D3020" s="9">
        <v>2550.36</v>
      </c>
      <c r="E3020" s="9">
        <f t="shared" si="141"/>
        <v>8.7427602554112239E-3</v>
      </c>
      <c r="F3020" s="9">
        <f t="shared" si="139"/>
        <v>8.173834972483672E-2</v>
      </c>
      <c r="G3020" s="9">
        <f t="shared" si="140"/>
        <v>1.1153345239703091E-2</v>
      </c>
    </row>
    <row r="3021" spans="1:7" x14ac:dyDescent="0.2">
      <c r="A3021" s="12">
        <v>41523</v>
      </c>
      <c r="B3021" s="9">
        <v>2566.85</v>
      </c>
      <c r="C3021" s="9">
        <v>2542.69</v>
      </c>
      <c r="D3021" s="9">
        <v>2557.9</v>
      </c>
      <c r="E3021" s="9">
        <f t="shared" si="141"/>
        <v>2.9520836745966375E-3</v>
      </c>
      <c r="F3021" s="9">
        <f t="shared" si="139"/>
        <v>9.1311772589598689E-2</v>
      </c>
      <c r="G3021" s="9">
        <f t="shared" si="140"/>
        <v>1.1012792127931161E-2</v>
      </c>
    </row>
    <row r="3022" spans="1:7" x14ac:dyDescent="0.2">
      <c r="A3022" s="12">
        <v>41526</v>
      </c>
      <c r="B3022" s="9">
        <v>2576.8200000000002</v>
      </c>
      <c r="C3022" s="9">
        <v>2557.33</v>
      </c>
      <c r="D3022" s="9">
        <v>2576.8200000000002</v>
      </c>
      <c r="E3022" s="9">
        <f t="shared" si="141"/>
        <v>7.3694712184032866E-3</v>
      </c>
      <c r="F3022" s="9">
        <f t="shared" si="139"/>
        <v>0.10134038638658364</v>
      </c>
      <c r="G3022" s="9">
        <f t="shared" si="140"/>
        <v>1.0985889151892463E-2</v>
      </c>
    </row>
    <row r="3023" spans="1:7" x14ac:dyDescent="0.2">
      <c r="A3023" s="12">
        <v>41527</v>
      </c>
      <c r="B3023" s="9">
        <v>2633.36</v>
      </c>
      <c r="C3023" s="9">
        <v>2591.92</v>
      </c>
      <c r="D3023" s="9">
        <v>2633.36</v>
      </c>
      <c r="E3023" s="9">
        <f t="shared" si="141"/>
        <v>2.1704516766408444E-2</v>
      </c>
      <c r="F3023" s="9">
        <f t="shared" si="139"/>
        <v>0.12091702370781934</v>
      </c>
      <c r="G3023" s="9">
        <f t="shared" si="140"/>
        <v>1.1479406058301932E-2</v>
      </c>
    </row>
    <row r="3024" spans="1:7" x14ac:dyDescent="0.2">
      <c r="A3024" s="12">
        <v>41528</v>
      </c>
      <c r="B3024" s="9">
        <v>2678.43</v>
      </c>
      <c r="C3024" s="9">
        <v>2636.88</v>
      </c>
      <c r="D3024" s="9">
        <v>2656.79</v>
      </c>
      <c r="E3024" s="9">
        <f t="shared" si="141"/>
        <v>8.8580298109167763E-3</v>
      </c>
      <c r="F3024" s="9">
        <f t="shared" si="139"/>
        <v>0.13615075895445636</v>
      </c>
      <c r="G3024" s="9">
        <f t="shared" si="140"/>
        <v>1.1339288521489783E-2</v>
      </c>
    </row>
    <row r="3025" spans="1:7" x14ac:dyDescent="0.2">
      <c r="A3025" s="12">
        <v>41529</v>
      </c>
      <c r="B3025" s="9">
        <v>2662.2</v>
      </c>
      <c r="C3025" s="9">
        <v>2627.45</v>
      </c>
      <c r="D3025" s="9">
        <v>2661.26</v>
      </c>
      <c r="E3025" s="9">
        <f t="shared" si="141"/>
        <v>1.6810677043956649E-3</v>
      </c>
      <c r="F3025" s="9">
        <f t="shared" si="139"/>
        <v>0.11830924067799697</v>
      </c>
      <c r="G3025" s="9">
        <f t="shared" si="140"/>
        <v>1.0988757333156988E-2</v>
      </c>
    </row>
    <row r="3026" spans="1:7" x14ac:dyDescent="0.2">
      <c r="A3026" s="12">
        <v>41530</v>
      </c>
      <c r="B3026" s="9">
        <v>2681.13</v>
      </c>
      <c r="C3026" s="9">
        <v>2657.91</v>
      </c>
      <c r="D3026" s="9">
        <v>2665.24</v>
      </c>
      <c r="E3026" s="9">
        <f t="shared" si="141"/>
        <v>1.4944149969785023E-3</v>
      </c>
      <c r="F3026" s="9">
        <f t="shared" si="139"/>
        <v>0.11847645937214113</v>
      </c>
      <c r="G3026" s="9">
        <f t="shared" si="140"/>
        <v>1.098742672809922E-2</v>
      </c>
    </row>
    <row r="3027" spans="1:7" x14ac:dyDescent="0.2">
      <c r="A3027" s="12">
        <v>41533</v>
      </c>
      <c r="B3027" s="9">
        <v>2691.91</v>
      </c>
      <c r="C3027" s="9">
        <v>2667.04</v>
      </c>
      <c r="D3027" s="9">
        <v>2672.82</v>
      </c>
      <c r="E3027" s="9">
        <f t="shared" si="141"/>
        <v>2.8399849738355806E-3</v>
      </c>
      <c r="F3027" s="9">
        <f t="shared" si="139"/>
        <v>0.11742112391681409</v>
      </c>
      <c r="G3027" s="9">
        <f t="shared" si="140"/>
        <v>1.0989294476914418E-2</v>
      </c>
    </row>
    <row r="3028" spans="1:7" x14ac:dyDescent="0.2">
      <c r="A3028" s="12">
        <v>41534</v>
      </c>
      <c r="B3028" s="9">
        <v>2671.82</v>
      </c>
      <c r="C3028" s="9">
        <v>2647.25</v>
      </c>
      <c r="D3028" s="9">
        <v>2667.95</v>
      </c>
      <c r="E3028" s="9">
        <f t="shared" si="141"/>
        <v>-1.8237075739135316E-3</v>
      </c>
      <c r="F3028" s="9">
        <f t="shared" si="139"/>
        <v>0.11542071634117862</v>
      </c>
      <c r="G3028" s="9">
        <f t="shared" si="140"/>
        <v>1.1018783084195998E-2</v>
      </c>
    </row>
    <row r="3029" spans="1:7" x14ac:dyDescent="0.2">
      <c r="A3029" s="12">
        <v>41535</v>
      </c>
      <c r="B3029" s="9">
        <v>2688</v>
      </c>
      <c r="C3029" s="9">
        <v>2668.39</v>
      </c>
      <c r="D3029" s="9">
        <v>2683.16</v>
      </c>
      <c r="E3029" s="9">
        <f t="shared" si="141"/>
        <v>5.6848171545570642E-3</v>
      </c>
      <c r="F3029" s="9">
        <f t="shared" si="139"/>
        <v>0.12597196939696126</v>
      </c>
      <c r="G3029" s="9">
        <f t="shared" si="140"/>
        <v>1.0898796110315181E-2</v>
      </c>
    </row>
    <row r="3030" spans="1:7" x14ac:dyDescent="0.2">
      <c r="A3030" s="12">
        <v>41536</v>
      </c>
      <c r="B3030" s="9">
        <v>2725.32</v>
      </c>
      <c r="C3030" s="9">
        <v>2683.01</v>
      </c>
      <c r="D3030" s="9">
        <v>2688.65</v>
      </c>
      <c r="E3030" s="9">
        <f t="shared" si="141"/>
        <v>2.044004501802755E-3</v>
      </c>
      <c r="F3030" s="9">
        <f t="shared" si="139"/>
        <v>0.1141122849715966</v>
      </c>
      <c r="G3030" s="9">
        <f t="shared" si="140"/>
        <v>1.0748704997651121E-2</v>
      </c>
    </row>
    <row r="3031" spans="1:7" x14ac:dyDescent="0.2">
      <c r="A3031" s="12">
        <v>41537</v>
      </c>
      <c r="B3031" s="9">
        <v>2699.52</v>
      </c>
      <c r="C3031" s="9">
        <v>2679.42</v>
      </c>
      <c r="D3031" s="9">
        <v>2698.45</v>
      </c>
      <c r="E3031" s="9">
        <f t="shared" si="141"/>
        <v>3.6383251881528366E-3</v>
      </c>
      <c r="F3031" s="9">
        <f t="shared" si="139"/>
        <v>0.10430079789624735</v>
      </c>
      <c r="G3031" s="9">
        <f t="shared" si="140"/>
        <v>1.0593226494867805E-2</v>
      </c>
    </row>
    <row r="3032" spans="1:7" x14ac:dyDescent="0.2">
      <c r="A3032" s="12">
        <v>41540</v>
      </c>
      <c r="B3032" s="9">
        <v>2697.3</v>
      </c>
      <c r="C3032" s="9">
        <v>2665.86</v>
      </c>
      <c r="D3032" s="9">
        <v>2668.7</v>
      </c>
      <c r="E3032" s="9">
        <f t="shared" si="141"/>
        <v>-1.1086071636305851E-2</v>
      </c>
      <c r="F3032" s="9">
        <f t="shared" si="139"/>
        <v>8.8552980992331318E-2</v>
      </c>
      <c r="G3032" s="9">
        <f t="shared" si="140"/>
        <v>1.0917686212703956E-2</v>
      </c>
    </row>
    <row r="3033" spans="1:7" x14ac:dyDescent="0.2">
      <c r="A3033" s="12">
        <v>41541</v>
      </c>
      <c r="B3033" s="9">
        <v>2679.65</v>
      </c>
      <c r="C3033" s="9">
        <v>2654.73</v>
      </c>
      <c r="D3033" s="9">
        <v>2665.82</v>
      </c>
      <c r="E3033" s="9">
        <f t="shared" si="141"/>
        <v>-1.0797598583607193E-3</v>
      </c>
      <c r="F3033" s="9">
        <f t="shared" si="139"/>
        <v>8.6237567041683102E-2</v>
      </c>
      <c r="G3033" s="9">
        <f t="shared" si="140"/>
        <v>1.0938400801963542E-2</v>
      </c>
    </row>
    <row r="3034" spans="1:7" x14ac:dyDescent="0.2">
      <c r="A3034" s="12">
        <v>41542</v>
      </c>
      <c r="B3034" s="9">
        <v>2661.52</v>
      </c>
      <c r="C3034" s="9">
        <v>2639.06</v>
      </c>
      <c r="D3034" s="9">
        <v>2646.24</v>
      </c>
      <c r="E3034" s="9">
        <f t="shared" si="141"/>
        <v>-7.3719380705841147E-3</v>
      </c>
      <c r="F3034" s="9">
        <f t="shared" si="139"/>
        <v>7.4886738340191716E-2</v>
      </c>
      <c r="G3034" s="9">
        <f t="shared" si="140"/>
        <v>1.1094090998840182E-2</v>
      </c>
    </row>
    <row r="3035" spans="1:7" x14ac:dyDescent="0.2">
      <c r="A3035" s="12">
        <v>41543</v>
      </c>
      <c r="B3035" s="9">
        <v>2663.74</v>
      </c>
      <c r="C3035" s="9">
        <v>2647.36</v>
      </c>
      <c r="D3035" s="9">
        <v>2658.8</v>
      </c>
      <c r="E3035" s="9">
        <f t="shared" si="141"/>
        <v>4.7351286579437948E-3</v>
      </c>
      <c r="F3035" s="9">
        <f t="shared" si="139"/>
        <v>8.7977419179268809E-2</v>
      </c>
      <c r="G3035" s="9">
        <f t="shared" si="140"/>
        <v>1.0908437468162831E-2</v>
      </c>
    </row>
    <row r="3036" spans="1:7" x14ac:dyDescent="0.2">
      <c r="A3036" s="12">
        <v>41544</v>
      </c>
      <c r="B3036" s="9">
        <v>2670.86</v>
      </c>
      <c r="C3036" s="9">
        <v>2656.39</v>
      </c>
      <c r="D3036" s="9">
        <v>2667.42</v>
      </c>
      <c r="E3036" s="9">
        <f t="shared" si="141"/>
        <v>3.236819930824955E-3</v>
      </c>
      <c r="F3036" s="9">
        <f t="shared" si="139"/>
        <v>8.2618420272540211E-2</v>
      </c>
      <c r="G3036" s="9">
        <f t="shared" si="140"/>
        <v>1.0856253927673155E-2</v>
      </c>
    </row>
    <row r="3037" spans="1:7" x14ac:dyDescent="0.2">
      <c r="A3037" s="12">
        <v>41547</v>
      </c>
      <c r="B3037" s="9">
        <v>2641.45</v>
      </c>
      <c r="C3037" s="9">
        <v>2617.77</v>
      </c>
      <c r="D3037" s="9">
        <v>2630.54</v>
      </c>
      <c r="E3037" s="9">
        <f t="shared" si="141"/>
        <v>-1.3922564808447328E-2</v>
      </c>
      <c r="F3037" s="9">
        <f t="shared" si="139"/>
        <v>6.9905919924424145E-2</v>
      </c>
      <c r="G3037" s="9">
        <f t="shared" si="140"/>
        <v>1.125702076207684E-2</v>
      </c>
    </row>
    <row r="3038" spans="1:7" x14ac:dyDescent="0.2">
      <c r="A3038" s="12">
        <v>41548</v>
      </c>
      <c r="B3038" s="9">
        <v>2662.82</v>
      </c>
      <c r="C3038" s="9">
        <v>2633.77</v>
      </c>
      <c r="D3038" s="9">
        <v>2661.61</v>
      </c>
      <c r="E3038" s="9">
        <f t="shared" si="141"/>
        <v>1.1742054545967814E-2</v>
      </c>
      <c r="F3038" s="9">
        <f t="shared" si="139"/>
        <v>9.1715070466101098E-2</v>
      </c>
      <c r="G3038" s="9">
        <f t="shared" si="140"/>
        <v>1.1132324038117744E-2</v>
      </c>
    </row>
    <row r="3039" spans="1:7" x14ac:dyDescent="0.2">
      <c r="A3039" s="12">
        <v>41549</v>
      </c>
      <c r="B3039" s="9">
        <v>2660.66</v>
      </c>
      <c r="C3039" s="9">
        <v>2636.17</v>
      </c>
      <c r="D3039" s="9">
        <v>2648.55</v>
      </c>
      <c r="E3039" s="9">
        <f t="shared" si="141"/>
        <v>-4.9188824188552589E-3</v>
      </c>
      <c r="F3039" s="9">
        <f t="shared" si="139"/>
        <v>9.3597501799121879E-2</v>
      </c>
      <c r="G3039" s="9">
        <f t="shared" si="140"/>
        <v>1.1080022581750939E-2</v>
      </c>
    </row>
    <row r="3040" spans="1:7" x14ac:dyDescent="0.2">
      <c r="A3040" s="12">
        <v>41550</v>
      </c>
      <c r="B3040" s="9">
        <v>2659.57</v>
      </c>
      <c r="C3040" s="9">
        <v>2636.36</v>
      </c>
      <c r="D3040" s="9">
        <v>2640.31</v>
      </c>
      <c r="E3040" s="9">
        <f t="shared" si="141"/>
        <v>-3.1159859278175697E-3</v>
      </c>
      <c r="F3040" s="9">
        <f t="shared" si="139"/>
        <v>7.7681822290385241E-2</v>
      </c>
      <c r="G3040" s="9">
        <f t="shared" si="140"/>
        <v>1.0981151383392026E-2</v>
      </c>
    </row>
    <row r="3041" spans="1:7" x14ac:dyDescent="0.2">
      <c r="A3041" s="12">
        <v>41551</v>
      </c>
      <c r="B3041" s="9">
        <v>2632.29</v>
      </c>
      <c r="C3041" s="9">
        <v>2617.19</v>
      </c>
      <c r="D3041" s="9">
        <v>2622.41</v>
      </c>
      <c r="E3041" s="9">
        <f t="shared" si="141"/>
        <v>-6.8025922060116623E-3</v>
      </c>
      <c r="F3041" s="9">
        <f t="shared" ref="F3041:F3104" si="142">LN(D3041/D3011)</f>
        <v>6.3485337828902783E-2</v>
      </c>
      <c r="G3041" s="9">
        <f t="shared" ref="G3041:G3104" si="143">STDEV(E3012:E3041)</f>
        <v>1.1072477658305909E-2</v>
      </c>
    </row>
    <row r="3042" spans="1:7" x14ac:dyDescent="0.2">
      <c r="A3042" s="12">
        <v>41554</v>
      </c>
      <c r="B3042" s="9">
        <v>2617.0100000000002</v>
      </c>
      <c r="C3042" s="9">
        <v>2588.9499999999998</v>
      </c>
      <c r="D3042" s="9">
        <v>2600.4499999999998</v>
      </c>
      <c r="E3042" s="9">
        <f t="shared" si="141"/>
        <v>-8.4092353265201609E-3</v>
      </c>
      <c r="F3042" s="9">
        <f t="shared" si="142"/>
        <v>5.6544003119517024E-2</v>
      </c>
      <c r="G3042" s="9">
        <f t="shared" si="143"/>
        <v>1.1221478354806243E-2</v>
      </c>
    </row>
    <row r="3043" spans="1:7" x14ac:dyDescent="0.2">
      <c r="A3043" s="12">
        <v>41555</v>
      </c>
      <c r="B3043" s="9">
        <v>2606.5700000000002</v>
      </c>
      <c r="C3043" s="9">
        <v>2595.16</v>
      </c>
      <c r="D3043" s="9">
        <v>2600.81</v>
      </c>
      <c r="E3043" s="9">
        <f t="shared" si="141"/>
        <v>1.3842799651426956E-4</v>
      </c>
      <c r="F3043" s="9">
        <f t="shared" si="142"/>
        <v>7.4537812295604994E-2</v>
      </c>
      <c r="G3043" s="9">
        <f t="shared" si="143"/>
        <v>1.0593277314663139E-2</v>
      </c>
    </row>
    <row r="3044" spans="1:7" x14ac:dyDescent="0.2">
      <c r="A3044" s="12">
        <v>41556</v>
      </c>
      <c r="B3044" s="9">
        <v>2603.7800000000002</v>
      </c>
      <c r="C3044" s="9">
        <v>2571.56</v>
      </c>
      <c r="D3044" s="9">
        <v>2578.0300000000002</v>
      </c>
      <c r="E3044" s="9">
        <f t="shared" si="141"/>
        <v>-8.7973935938065548E-3</v>
      </c>
      <c r="F3044" s="9">
        <f t="shared" si="142"/>
        <v>7.239882509016568E-2</v>
      </c>
      <c r="G3044" s="9">
        <f t="shared" si="143"/>
        <v>1.066390056361006E-2</v>
      </c>
    </row>
    <row r="3045" spans="1:7" x14ac:dyDescent="0.2">
      <c r="A3045" s="12">
        <v>41557</v>
      </c>
      <c r="B3045" s="9">
        <v>2633.84</v>
      </c>
      <c r="C3045" s="9">
        <v>2592.41</v>
      </c>
      <c r="D3045" s="9">
        <v>2633.84</v>
      </c>
      <c r="E3045" s="9">
        <f t="shared" si="141"/>
        <v>2.1417315983538732E-2</v>
      </c>
      <c r="F3045" s="9">
        <f t="shared" si="142"/>
        <v>8.719501789898905E-2</v>
      </c>
      <c r="G3045" s="9">
        <f t="shared" si="143"/>
        <v>1.119420096864304E-2</v>
      </c>
    </row>
    <row r="3046" spans="1:7" x14ac:dyDescent="0.2">
      <c r="A3046" s="12">
        <v>41558</v>
      </c>
      <c r="B3046" s="9">
        <v>2638.63</v>
      </c>
      <c r="C3046" s="9">
        <v>2621.2600000000002</v>
      </c>
      <c r="D3046" s="9">
        <v>2624.65</v>
      </c>
      <c r="E3046" s="9">
        <f t="shared" si="141"/>
        <v>-3.4953035401023651E-3</v>
      </c>
      <c r="F3046" s="9">
        <f t="shared" si="142"/>
        <v>9.7952113671297025E-2</v>
      </c>
      <c r="G3046" s="9">
        <f t="shared" si="143"/>
        <v>1.0790628124419836E-2</v>
      </c>
    </row>
    <row r="3047" spans="1:7" x14ac:dyDescent="0.2">
      <c r="A3047" s="12">
        <v>41561</v>
      </c>
      <c r="B3047" s="9">
        <v>2628.9</v>
      </c>
      <c r="C3047" s="9">
        <v>2612.0100000000002</v>
      </c>
      <c r="D3047" s="9">
        <v>2622.7</v>
      </c>
      <c r="E3047" s="9">
        <f t="shared" si="141"/>
        <v>-7.4323233242083676E-4</v>
      </c>
      <c r="F3047" s="9">
        <f t="shared" si="142"/>
        <v>7.8607876274043406E-2</v>
      </c>
      <c r="G3047" s="9">
        <f t="shared" si="143"/>
        <v>1.0414006297592766E-2</v>
      </c>
    </row>
    <row r="3048" spans="1:7" x14ac:dyDescent="0.2">
      <c r="A3048" s="12">
        <v>41562</v>
      </c>
      <c r="B3048" s="9">
        <v>2662.87</v>
      </c>
      <c r="C3048" s="9">
        <v>2629.32</v>
      </c>
      <c r="D3048" s="9">
        <v>2662.87</v>
      </c>
      <c r="E3048" s="9">
        <f t="shared" si="141"/>
        <v>1.5200167028502005E-2</v>
      </c>
      <c r="F3048" s="9">
        <f t="shared" si="142"/>
        <v>5.7441872233060055E-2</v>
      </c>
      <c r="G3048" s="9">
        <f t="shared" si="143"/>
        <v>8.6095949244918736E-3</v>
      </c>
    </row>
    <row r="3049" spans="1:7" x14ac:dyDescent="0.2">
      <c r="A3049" s="12">
        <v>41563</v>
      </c>
      <c r="B3049" s="9">
        <v>2680.22</v>
      </c>
      <c r="C3049" s="9">
        <v>2643.45</v>
      </c>
      <c r="D3049" s="9">
        <v>2677.8</v>
      </c>
      <c r="E3049" s="9">
        <f t="shared" si="141"/>
        <v>5.5910733644864838E-3</v>
      </c>
      <c r="F3049" s="9">
        <f t="shared" si="142"/>
        <v>5.7503796460090344E-2</v>
      </c>
      <c r="G3049" s="9">
        <f t="shared" si="143"/>
        <v>8.6104987345600459E-3</v>
      </c>
    </row>
    <row r="3050" spans="1:7" x14ac:dyDescent="0.2">
      <c r="A3050" s="12">
        <v>41564</v>
      </c>
      <c r="B3050" s="9">
        <v>2679.27</v>
      </c>
      <c r="C3050" s="9">
        <v>2654.26</v>
      </c>
      <c r="D3050" s="9">
        <v>2673.36</v>
      </c>
      <c r="E3050" s="9">
        <f t="shared" si="141"/>
        <v>-1.6594536582352462E-3</v>
      </c>
      <c r="F3050" s="9">
        <f t="shared" si="142"/>
        <v>4.7101582546444115E-2</v>
      </c>
      <c r="G3050" s="9">
        <f t="shared" si="143"/>
        <v>8.535259146965006E-3</v>
      </c>
    </row>
    <row r="3051" spans="1:7" x14ac:dyDescent="0.2">
      <c r="A3051" s="12">
        <v>41565</v>
      </c>
      <c r="B3051" s="9">
        <v>2697.23</v>
      </c>
      <c r="C3051" s="9">
        <v>2670.56</v>
      </c>
      <c r="D3051" s="9">
        <v>2697.23</v>
      </c>
      <c r="E3051" s="9">
        <f t="shared" si="141"/>
        <v>8.8892122392332847E-3</v>
      </c>
      <c r="F3051" s="9">
        <f t="shared" si="142"/>
        <v>5.3038711111080834E-2</v>
      </c>
      <c r="G3051" s="9">
        <f t="shared" si="143"/>
        <v>8.6366379063110114E-3</v>
      </c>
    </row>
    <row r="3052" spans="1:7" x14ac:dyDescent="0.2">
      <c r="A3052" s="12">
        <v>41568</v>
      </c>
      <c r="B3052" s="9">
        <v>2712.92</v>
      </c>
      <c r="C3052" s="9">
        <v>2698.15</v>
      </c>
      <c r="D3052" s="9">
        <v>2711.83</v>
      </c>
      <c r="E3052" s="9">
        <f t="shared" si="141"/>
        <v>5.3983632854801263E-3</v>
      </c>
      <c r="F3052" s="9">
        <f t="shared" si="142"/>
        <v>5.1067603178157672E-2</v>
      </c>
      <c r="G3052" s="9">
        <f t="shared" si="143"/>
        <v>8.5999745287093313E-3</v>
      </c>
    </row>
    <row r="3053" spans="1:7" x14ac:dyDescent="0.2">
      <c r="A3053" s="12">
        <v>41569</v>
      </c>
      <c r="B3053" s="9">
        <v>2716.25</v>
      </c>
      <c r="C3053" s="9">
        <v>2686.04</v>
      </c>
      <c r="D3053" s="9">
        <v>2696.42</v>
      </c>
      <c r="E3053" s="9">
        <f t="shared" si="141"/>
        <v>-5.6987164808447654E-3</v>
      </c>
      <c r="F3053" s="9">
        <f t="shared" si="142"/>
        <v>2.3664369930904511E-2</v>
      </c>
      <c r="G3053" s="9">
        <f t="shared" si="143"/>
        <v>7.822337318797723E-3</v>
      </c>
    </row>
    <row r="3054" spans="1:7" x14ac:dyDescent="0.2">
      <c r="A3054" s="12">
        <v>41570</v>
      </c>
      <c r="B3054" s="9">
        <v>2684.83</v>
      </c>
      <c r="C3054" s="9">
        <v>2659.29</v>
      </c>
      <c r="D3054" s="9">
        <v>2682.28</v>
      </c>
      <c r="E3054" s="9">
        <f t="shared" si="141"/>
        <v>-5.2577881548432322E-3</v>
      </c>
      <c r="F3054" s="9">
        <f t="shared" si="142"/>
        <v>9.5485519651443019E-3</v>
      </c>
      <c r="G3054" s="9">
        <f t="shared" si="143"/>
        <v>7.7443797245276749E-3</v>
      </c>
    </row>
    <row r="3055" spans="1:7" x14ac:dyDescent="0.2">
      <c r="A3055" s="12">
        <v>41571</v>
      </c>
      <c r="B3055" s="9">
        <v>2710.26</v>
      </c>
      <c r="C3055" s="9">
        <v>2678.44</v>
      </c>
      <c r="D3055" s="9">
        <v>2686.53</v>
      </c>
      <c r="E3055" s="9">
        <f t="shared" si="141"/>
        <v>1.5832189582971599E-3</v>
      </c>
      <c r="F3055" s="9">
        <f t="shared" si="142"/>
        <v>9.4507032190459406E-3</v>
      </c>
      <c r="G3055" s="9">
        <f t="shared" si="143"/>
        <v>7.7438065670727982E-3</v>
      </c>
    </row>
    <row r="3056" spans="1:7" x14ac:dyDescent="0.2">
      <c r="A3056" s="12">
        <v>41572</v>
      </c>
      <c r="B3056" s="9">
        <v>2687.41</v>
      </c>
      <c r="C3056" s="9">
        <v>2674.88</v>
      </c>
      <c r="D3056" s="9">
        <v>2681.08</v>
      </c>
      <c r="E3056" s="9">
        <f t="shared" si="141"/>
        <v>-2.0306996495147388E-3</v>
      </c>
      <c r="F3056" s="9">
        <f t="shared" si="142"/>
        <v>5.9255885725527481E-3</v>
      </c>
      <c r="G3056" s="9">
        <f t="shared" si="143"/>
        <v>7.7520339983353703E-3</v>
      </c>
    </row>
    <row r="3057" spans="1:7" x14ac:dyDescent="0.2">
      <c r="A3057" s="12">
        <v>41575</v>
      </c>
      <c r="B3057" s="9">
        <v>2693.44</v>
      </c>
      <c r="C3057" s="9">
        <v>2666.83</v>
      </c>
      <c r="D3057" s="9">
        <v>2678.81</v>
      </c>
      <c r="E3057" s="9">
        <f t="shared" si="141"/>
        <v>-8.4703235914176511E-4</v>
      </c>
      <c r="F3057" s="9">
        <f t="shared" si="142"/>
        <v>2.2385712395753647E-3</v>
      </c>
      <c r="G3057" s="9">
        <f t="shared" si="143"/>
        <v>7.737909882971788E-3</v>
      </c>
    </row>
    <row r="3058" spans="1:7" x14ac:dyDescent="0.2">
      <c r="A3058" s="12">
        <v>41576</v>
      </c>
      <c r="B3058" s="9">
        <v>2718.47</v>
      </c>
      <c r="C3058" s="9">
        <v>2666.21</v>
      </c>
      <c r="D3058" s="9">
        <v>2715.12</v>
      </c>
      <c r="E3058" s="9">
        <f t="shared" si="141"/>
        <v>1.3463485242610915E-2</v>
      </c>
      <c r="F3058" s="9">
        <f t="shared" si="142"/>
        <v>1.7525764056099593E-2</v>
      </c>
      <c r="G3058" s="9">
        <f t="shared" si="143"/>
        <v>8.1033206974170796E-3</v>
      </c>
    </row>
    <row r="3059" spans="1:7" x14ac:dyDescent="0.2">
      <c r="A3059" s="12">
        <v>41577</v>
      </c>
      <c r="B3059" s="9">
        <v>2768.65</v>
      </c>
      <c r="C3059" s="9">
        <v>2734.09</v>
      </c>
      <c r="D3059" s="9">
        <v>2749.13</v>
      </c>
      <c r="E3059" s="9">
        <f t="shared" si="141"/>
        <v>1.2448346684400046E-2</v>
      </c>
      <c r="F3059" s="9">
        <f t="shared" si="142"/>
        <v>2.4289293585942857E-2</v>
      </c>
      <c r="G3059" s="9">
        <f t="shared" si="143"/>
        <v>8.3407337116677693E-3</v>
      </c>
    </row>
    <row r="3060" spans="1:7" x14ac:dyDescent="0.2">
      <c r="A3060" s="12">
        <v>41578</v>
      </c>
      <c r="B3060" s="9">
        <v>2759.52</v>
      </c>
      <c r="C3060" s="9">
        <v>2734.84</v>
      </c>
      <c r="D3060" s="9">
        <v>2745.18</v>
      </c>
      <c r="E3060" s="9">
        <f t="shared" si="141"/>
        <v>-1.4378514064640579E-3</v>
      </c>
      <c r="F3060" s="9">
        <f t="shared" si="142"/>
        <v>2.0807437677676122E-2</v>
      </c>
      <c r="G3060" s="9">
        <f t="shared" si="143"/>
        <v>8.3471878385651156E-3</v>
      </c>
    </row>
    <row r="3061" spans="1:7" x14ac:dyDescent="0.2">
      <c r="A3061" s="12">
        <v>41579</v>
      </c>
      <c r="B3061" s="9">
        <v>2759.68</v>
      </c>
      <c r="C3061" s="9">
        <v>2741.92</v>
      </c>
      <c r="D3061" s="9">
        <v>2751.63</v>
      </c>
      <c r="E3061" s="9">
        <f t="shared" si="141"/>
        <v>2.3468167756599671E-3</v>
      </c>
      <c r="F3061" s="9">
        <f t="shared" si="142"/>
        <v>1.9515929265183307E-2</v>
      </c>
      <c r="G3061" s="9">
        <f t="shared" si="143"/>
        <v>8.3347979943963046E-3</v>
      </c>
    </row>
    <row r="3062" spans="1:7" x14ac:dyDescent="0.2">
      <c r="A3062" s="12">
        <v>41582</v>
      </c>
      <c r="B3062" s="9">
        <v>2787.61</v>
      </c>
      <c r="C3062" s="9">
        <v>2766.97</v>
      </c>
      <c r="D3062" s="9">
        <v>2782.37</v>
      </c>
      <c r="E3062" s="9">
        <f t="shared" si="141"/>
        <v>1.11096191433204E-2</v>
      </c>
      <c r="F3062" s="9">
        <f t="shared" si="142"/>
        <v>4.1711620044809508E-2</v>
      </c>
      <c r="G3062" s="9">
        <f t="shared" si="143"/>
        <v>8.2416518516619502E-3</v>
      </c>
    </row>
    <row r="3063" spans="1:7" x14ac:dyDescent="0.2">
      <c r="A3063" s="12">
        <v>41583</v>
      </c>
      <c r="B3063" s="9">
        <v>2785.01</v>
      </c>
      <c r="C3063" s="9">
        <v>2764.9</v>
      </c>
      <c r="D3063" s="9">
        <v>2782.64</v>
      </c>
      <c r="E3063" s="9">
        <f t="shared" si="141"/>
        <v>9.7034866141046546E-5</v>
      </c>
      <c r="F3063" s="9">
        <f t="shared" si="142"/>
        <v>4.288841476931126E-2</v>
      </c>
      <c r="G3063" s="9">
        <f t="shared" si="143"/>
        <v>8.2322848548300707E-3</v>
      </c>
    </row>
    <row r="3064" spans="1:7" x14ac:dyDescent="0.2">
      <c r="A3064" s="12">
        <v>41584</v>
      </c>
      <c r="B3064" s="9">
        <v>2813.36</v>
      </c>
      <c r="C3064" s="9">
        <v>2786.47</v>
      </c>
      <c r="D3064" s="9">
        <v>2813.36</v>
      </c>
      <c r="E3064" s="9">
        <f t="shared" si="141"/>
        <v>1.0979381200578299E-2</v>
      </c>
      <c r="F3064" s="9">
        <f t="shared" si="142"/>
        <v>6.1239734040473524E-2</v>
      </c>
      <c r="G3064" s="9">
        <f t="shared" si="143"/>
        <v>8.2375296511098556E-3</v>
      </c>
    </row>
    <row r="3065" spans="1:7" x14ac:dyDescent="0.2">
      <c r="A3065" s="12">
        <v>41585</v>
      </c>
      <c r="B3065" s="9">
        <v>2844.62</v>
      </c>
      <c r="C3065" s="9">
        <v>2806.63</v>
      </c>
      <c r="D3065" s="9">
        <v>2813.18</v>
      </c>
      <c r="E3065" s="9">
        <f t="shared" si="141"/>
        <v>-6.3982483039894337E-5</v>
      </c>
      <c r="F3065" s="9">
        <f t="shared" si="142"/>
        <v>5.6440622899489853E-2</v>
      </c>
      <c r="G3065" s="9">
        <f t="shared" si="143"/>
        <v>8.2300081044656675E-3</v>
      </c>
    </row>
    <row r="3066" spans="1:7" x14ac:dyDescent="0.2">
      <c r="A3066" s="12">
        <v>41586</v>
      </c>
      <c r="B3066" s="9">
        <v>2807.16</v>
      </c>
      <c r="C3066" s="9">
        <v>2783.31</v>
      </c>
      <c r="D3066" s="9">
        <v>2806.14</v>
      </c>
      <c r="E3066" s="9">
        <f t="shared" si="141"/>
        <v>-2.5056425628853527E-3</v>
      </c>
      <c r="F3066" s="9">
        <f t="shared" si="142"/>
        <v>5.0698160405779624E-2</v>
      </c>
      <c r="G3066" s="9">
        <f t="shared" si="143"/>
        <v>8.2641044006511281E-3</v>
      </c>
    </row>
    <row r="3067" spans="1:7" x14ac:dyDescent="0.2">
      <c r="A3067" s="12">
        <v>41589</v>
      </c>
      <c r="B3067" s="9">
        <v>2822.09</v>
      </c>
      <c r="C3067" s="9">
        <v>2809.35</v>
      </c>
      <c r="D3067" s="9">
        <v>2822.09</v>
      </c>
      <c r="E3067" s="9">
        <f t="shared" si="141"/>
        <v>5.6678716751624473E-3</v>
      </c>
      <c r="F3067" s="9">
        <f t="shared" si="142"/>
        <v>7.0288596889389307E-2</v>
      </c>
      <c r="G3067" s="9">
        <f t="shared" si="143"/>
        <v>7.7456285123236428E-3</v>
      </c>
    </row>
    <row r="3068" spans="1:7" x14ac:dyDescent="0.2">
      <c r="A3068" s="12">
        <v>41590</v>
      </c>
      <c r="B3068" s="9">
        <v>2820.4</v>
      </c>
      <c r="C3068" s="9">
        <v>2775.18</v>
      </c>
      <c r="D3068" s="9">
        <v>2784.42</v>
      </c>
      <c r="E3068" s="9">
        <f t="shared" si="141"/>
        <v>-1.3438152034455557E-2</v>
      </c>
      <c r="F3068" s="9">
        <f t="shared" si="142"/>
        <v>4.5108390308966087E-2</v>
      </c>
      <c r="G3068" s="9">
        <f t="shared" si="143"/>
        <v>8.0503019608486586E-3</v>
      </c>
    </row>
    <row r="3069" spans="1:7" x14ac:dyDescent="0.2">
      <c r="A3069" s="12">
        <v>41591</v>
      </c>
      <c r="B3069" s="9">
        <v>2789.53</v>
      </c>
      <c r="C3069" s="9">
        <v>2759.26</v>
      </c>
      <c r="D3069" s="9">
        <v>2776.01</v>
      </c>
      <c r="E3069" s="9">
        <f t="shared" si="141"/>
        <v>-3.0249482190558815E-3</v>
      </c>
      <c r="F3069" s="9">
        <f t="shared" si="142"/>
        <v>4.7002324508765347E-2</v>
      </c>
      <c r="G3069" s="9">
        <f t="shared" si="143"/>
        <v>8.0055009992264867E-3</v>
      </c>
    </row>
    <row r="3070" spans="1:7" x14ac:dyDescent="0.2">
      <c r="A3070" s="12">
        <v>41592</v>
      </c>
      <c r="B3070" s="9">
        <v>2801.32</v>
      </c>
      <c r="C3070" s="9">
        <v>2782.81</v>
      </c>
      <c r="D3070" s="9">
        <v>2799.04</v>
      </c>
      <c r="E3070" s="9">
        <f t="shared" si="141"/>
        <v>8.2618563058076359E-3</v>
      </c>
      <c r="F3070" s="9">
        <f t="shared" si="142"/>
        <v>5.8380166742390743E-2</v>
      </c>
      <c r="G3070" s="9">
        <f t="shared" si="143"/>
        <v>8.0454200519071498E-3</v>
      </c>
    </row>
    <row r="3071" spans="1:7" x14ac:dyDescent="0.2">
      <c r="A3071" s="12">
        <v>41593</v>
      </c>
      <c r="B3071" s="9">
        <v>2814.33</v>
      </c>
      <c r="C3071" s="9">
        <v>2800.19</v>
      </c>
      <c r="D3071" s="9">
        <v>2811.75</v>
      </c>
      <c r="E3071" s="9">
        <f t="shared" si="141"/>
        <v>4.5305640526409766E-3</v>
      </c>
      <c r="F3071" s="9">
        <f t="shared" si="142"/>
        <v>6.9713323001043395E-2</v>
      </c>
      <c r="G3071" s="9">
        <f t="shared" si="143"/>
        <v>7.8849384197591799E-3</v>
      </c>
    </row>
    <row r="3072" spans="1:7" x14ac:dyDescent="0.2">
      <c r="A3072" s="12">
        <v>41596</v>
      </c>
      <c r="B3072" s="9">
        <v>2838.73</v>
      </c>
      <c r="C3072" s="9">
        <v>2802.59</v>
      </c>
      <c r="D3072" s="9">
        <v>2836.11</v>
      </c>
      <c r="E3072" s="9">
        <f t="shared" si="141"/>
        <v>8.6263296396673714E-3</v>
      </c>
      <c r="F3072" s="9">
        <f t="shared" si="142"/>
        <v>8.6748887967230834E-2</v>
      </c>
      <c r="G3072" s="9">
        <f t="shared" si="143"/>
        <v>7.6964978188031339E-3</v>
      </c>
    </row>
    <row r="3073" spans="1:7" x14ac:dyDescent="0.2">
      <c r="A3073" s="12">
        <v>41597</v>
      </c>
      <c r="B3073" s="9">
        <v>2827.84</v>
      </c>
      <c r="C3073" s="9">
        <v>2805.8</v>
      </c>
      <c r="D3073" s="9">
        <v>2811.98</v>
      </c>
      <c r="E3073" s="9">
        <f t="shared" si="141"/>
        <v>-8.5445333940694021E-3</v>
      </c>
      <c r="F3073" s="9">
        <f t="shared" si="142"/>
        <v>7.8065926576647057E-2</v>
      </c>
      <c r="G3073" s="9">
        <f t="shared" si="143"/>
        <v>7.962279302902029E-3</v>
      </c>
    </row>
    <row r="3074" spans="1:7" x14ac:dyDescent="0.2">
      <c r="A3074" s="12">
        <v>41598</v>
      </c>
      <c r="B3074" s="9">
        <v>2831.34</v>
      </c>
      <c r="C3074" s="9">
        <v>2793.76</v>
      </c>
      <c r="D3074" s="9">
        <v>2819.04</v>
      </c>
      <c r="E3074" s="9">
        <f t="shared" si="141"/>
        <v>2.5075399125900799E-3</v>
      </c>
      <c r="F3074" s="9">
        <f t="shared" si="142"/>
        <v>8.9370860083043721E-2</v>
      </c>
      <c r="G3074" s="9">
        <f t="shared" si="143"/>
        <v>7.6661753496826412E-3</v>
      </c>
    </row>
    <row r="3075" spans="1:7" x14ac:dyDescent="0.2">
      <c r="A3075" s="12">
        <v>41599</v>
      </c>
      <c r="B3075" s="9">
        <v>2831.75</v>
      </c>
      <c r="C3075" s="9">
        <v>2792.43</v>
      </c>
      <c r="D3075" s="9">
        <v>2831.75</v>
      </c>
      <c r="E3075" s="9">
        <f t="shared" si="141"/>
        <v>4.4984936385039243E-3</v>
      </c>
      <c r="F3075" s="9">
        <f t="shared" si="142"/>
        <v>7.2452037738008776E-2</v>
      </c>
      <c r="G3075" s="9">
        <f t="shared" si="143"/>
        <v>6.8408858907402087E-3</v>
      </c>
    </row>
    <row r="3076" spans="1:7" x14ac:dyDescent="0.2">
      <c r="A3076" s="12">
        <v>41600</v>
      </c>
      <c r="B3076" s="9">
        <v>2845.24</v>
      </c>
      <c r="C3076" s="9">
        <v>2821.64</v>
      </c>
      <c r="D3076" s="9">
        <v>2832.17</v>
      </c>
      <c r="E3076" s="9">
        <f t="shared" ref="E3076:E3139" si="144">LN(D3076/D3075)</f>
        <v>1.4830717975177813E-4</v>
      </c>
      <c r="F3076" s="9">
        <f t="shared" si="142"/>
        <v>7.6095648457863069E-2</v>
      </c>
      <c r="G3076" s="9">
        <f t="shared" si="143"/>
        <v>6.7642494723159675E-3</v>
      </c>
    </row>
    <row r="3077" spans="1:7" x14ac:dyDescent="0.2">
      <c r="A3077" s="12">
        <v>41603</v>
      </c>
      <c r="B3077" s="9">
        <v>2853.34</v>
      </c>
      <c r="C3077" s="9">
        <v>2838.61</v>
      </c>
      <c r="D3077" s="9">
        <v>2842.48</v>
      </c>
      <c r="E3077" s="9">
        <f t="shared" si="144"/>
        <v>3.6337082795566476E-3</v>
      </c>
      <c r="F3077" s="9">
        <f t="shared" si="142"/>
        <v>8.0472589069840575E-2</v>
      </c>
      <c r="G3077" s="9">
        <f t="shared" si="143"/>
        <v>6.7382221702053241E-3</v>
      </c>
    </row>
    <row r="3078" spans="1:7" x14ac:dyDescent="0.2">
      <c r="A3078" s="12">
        <v>41604</v>
      </c>
      <c r="B3078" s="9">
        <v>2849.19</v>
      </c>
      <c r="C3078" s="9">
        <v>2827.06</v>
      </c>
      <c r="D3078" s="9">
        <v>2827.06</v>
      </c>
      <c r="E3078" s="9">
        <f t="shared" si="144"/>
        <v>-5.4396081594906606E-3</v>
      </c>
      <c r="F3078" s="9">
        <f t="shared" si="142"/>
        <v>5.9832813881848121E-2</v>
      </c>
      <c r="G3078" s="9">
        <f t="shared" si="143"/>
        <v>6.464168686691917E-3</v>
      </c>
    </row>
    <row r="3079" spans="1:7" x14ac:dyDescent="0.2">
      <c r="A3079" s="12">
        <v>41605</v>
      </c>
      <c r="B3079" s="9">
        <v>2845.09</v>
      </c>
      <c r="C3079" s="9">
        <v>2827.43</v>
      </c>
      <c r="D3079" s="9">
        <v>2843.63</v>
      </c>
      <c r="E3079" s="9">
        <f t="shared" si="144"/>
        <v>5.8441026260697632E-3</v>
      </c>
      <c r="F3079" s="9">
        <f t="shared" si="142"/>
        <v>6.0085843143431156E-2</v>
      </c>
      <c r="G3079" s="9">
        <f t="shared" si="143"/>
        <v>6.469186461277838E-3</v>
      </c>
    </row>
    <row r="3080" spans="1:7" x14ac:dyDescent="0.2">
      <c r="A3080" s="12">
        <v>41606</v>
      </c>
      <c r="B3080" s="9">
        <v>2848.54</v>
      </c>
      <c r="C3080" s="9">
        <v>2838.35</v>
      </c>
      <c r="D3080" s="9">
        <v>2843.37</v>
      </c>
      <c r="E3080" s="9">
        <f t="shared" si="144"/>
        <v>-9.1436609875645479E-5</v>
      </c>
      <c r="F3080" s="9">
        <f t="shared" si="142"/>
        <v>6.1653860191790831E-2</v>
      </c>
      <c r="G3080" s="9">
        <f t="shared" si="143"/>
        <v>6.4448653906010065E-3</v>
      </c>
    </row>
    <row r="3081" spans="1:7" x14ac:dyDescent="0.2">
      <c r="A3081" s="12">
        <v>41607</v>
      </c>
      <c r="B3081" s="9">
        <v>2836.81</v>
      </c>
      <c r="C3081" s="9">
        <v>2816.12</v>
      </c>
      <c r="D3081" s="9">
        <v>2816.36</v>
      </c>
      <c r="E3081" s="9">
        <f t="shared" si="144"/>
        <v>-9.5446973807634863E-3</v>
      </c>
      <c r="F3081" s="9">
        <f t="shared" si="142"/>
        <v>4.3219950571793973E-2</v>
      </c>
      <c r="G3081" s="9">
        <f t="shared" si="143"/>
        <v>6.6464320374191995E-3</v>
      </c>
    </row>
    <row r="3082" spans="1:7" x14ac:dyDescent="0.2">
      <c r="A3082" s="12">
        <v>41610</v>
      </c>
      <c r="B3082" s="9">
        <v>2821.23</v>
      </c>
      <c r="C3082" s="9">
        <v>2803.26</v>
      </c>
      <c r="D3082" s="9">
        <v>2806.69</v>
      </c>
      <c r="E3082" s="9">
        <f t="shared" si="144"/>
        <v>-3.4394179431734653E-3</v>
      </c>
      <c r="F3082" s="9">
        <f t="shared" si="142"/>
        <v>3.4382169343140423E-2</v>
      </c>
      <c r="G3082" s="9">
        <f t="shared" si="143"/>
        <v>6.6608091935193188E-3</v>
      </c>
    </row>
    <row r="3083" spans="1:7" x14ac:dyDescent="0.2">
      <c r="A3083" s="12">
        <v>41611</v>
      </c>
      <c r="B3083" s="9">
        <v>2809.58</v>
      </c>
      <c r="C3083" s="9">
        <v>2736.88</v>
      </c>
      <c r="D3083" s="9">
        <v>2738.05</v>
      </c>
      <c r="E3083" s="9">
        <f t="shared" si="144"/>
        <v>-2.4759864886494808E-2</v>
      </c>
      <c r="F3083" s="9">
        <f t="shared" si="142"/>
        <v>1.5321020937490189E-2</v>
      </c>
      <c r="G3083" s="9">
        <f t="shared" si="143"/>
        <v>8.0916741589327889E-3</v>
      </c>
    </row>
    <row r="3084" spans="1:7" x14ac:dyDescent="0.2">
      <c r="A3084" s="12">
        <v>41612</v>
      </c>
      <c r="B3084" s="9">
        <v>2750.58</v>
      </c>
      <c r="C3084" s="9">
        <v>2713.21</v>
      </c>
      <c r="D3084" s="9">
        <v>2724.21</v>
      </c>
      <c r="E3084" s="9">
        <f t="shared" si="144"/>
        <v>-5.0675103774617206E-3</v>
      </c>
      <c r="F3084" s="9">
        <f t="shared" si="142"/>
        <v>1.5511298714871946E-2</v>
      </c>
      <c r="G3084" s="9">
        <f t="shared" si="143"/>
        <v>8.0870699234120522E-3</v>
      </c>
    </row>
    <row r="3085" spans="1:7" x14ac:dyDescent="0.2">
      <c r="A3085" s="12">
        <v>41613</v>
      </c>
      <c r="B3085" s="9">
        <v>2741.65</v>
      </c>
      <c r="C3085" s="9">
        <v>2715.31</v>
      </c>
      <c r="D3085" s="9">
        <v>2716.44</v>
      </c>
      <c r="E3085" s="9">
        <f t="shared" si="144"/>
        <v>-2.8562783059065079E-3</v>
      </c>
      <c r="F3085" s="9">
        <f t="shared" si="142"/>
        <v>1.10718014506682E-2</v>
      </c>
      <c r="G3085" s="9">
        <f t="shared" si="143"/>
        <v>8.1074803587926122E-3</v>
      </c>
    </row>
    <row r="3086" spans="1:7" x14ac:dyDescent="0.2">
      <c r="A3086" s="12">
        <v>41617</v>
      </c>
      <c r="B3086" s="9">
        <v>2740.19</v>
      </c>
      <c r="C3086" s="9">
        <v>2720.93</v>
      </c>
      <c r="D3086" s="9">
        <v>2740.19</v>
      </c>
      <c r="E3086" s="9">
        <f t="shared" si="144"/>
        <v>8.7050615406553643E-3</v>
      </c>
      <c r="F3086" s="9">
        <f t="shared" si="142"/>
        <v>2.1807562640838236E-2</v>
      </c>
      <c r="G3086" s="9">
        <f t="shared" si="143"/>
        <v>8.2338537588444172E-3</v>
      </c>
    </row>
    <row r="3087" spans="1:7" x14ac:dyDescent="0.2">
      <c r="A3087" s="12">
        <v>41618</v>
      </c>
      <c r="B3087" s="9">
        <v>2734.71</v>
      </c>
      <c r="C3087" s="9">
        <v>2703.18</v>
      </c>
      <c r="D3087" s="9">
        <v>2716.09</v>
      </c>
      <c r="E3087" s="9">
        <f t="shared" si="144"/>
        <v>-8.8339149479937963E-3</v>
      </c>
      <c r="F3087" s="9">
        <f t="shared" si="142"/>
        <v>1.3820680051986211E-2</v>
      </c>
      <c r="G3087" s="9">
        <f t="shared" si="143"/>
        <v>8.4136587633657969E-3</v>
      </c>
    </row>
    <row r="3088" spans="1:7" x14ac:dyDescent="0.2">
      <c r="A3088" s="12">
        <v>41619</v>
      </c>
      <c r="B3088" s="9">
        <v>2730.84</v>
      </c>
      <c r="C3088" s="9">
        <v>2704.22</v>
      </c>
      <c r="D3088" s="9">
        <v>2706.51</v>
      </c>
      <c r="E3088" s="9">
        <f t="shared" si="144"/>
        <v>-3.5333640566957481E-3</v>
      </c>
      <c r="F3088" s="9">
        <f t="shared" si="142"/>
        <v>-3.1761692473205143E-3</v>
      </c>
      <c r="G3088" s="9">
        <f t="shared" si="143"/>
        <v>8.0732635754829484E-3</v>
      </c>
    </row>
    <row r="3089" spans="1:7" x14ac:dyDescent="0.2">
      <c r="A3089" s="12">
        <v>41620</v>
      </c>
      <c r="B3089" s="9">
        <v>2718.47</v>
      </c>
      <c r="C3089" s="9">
        <v>2674.83</v>
      </c>
      <c r="D3089" s="9">
        <v>2674.83</v>
      </c>
      <c r="E3089" s="9">
        <f t="shared" si="144"/>
        <v>-1.1774155130238707E-2</v>
      </c>
      <c r="F3089" s="9">
        <f t="shared" si="142"/>
        <v>-2.7398671061959316E-2</v>
      </c>
      <c r="G3089" s="9">
        <f t="shared" si="143"/>
        <v>7.9851860997411771E-3</v>
      </c>
    </row>
    <row r="3090" spans="1:7" x14ac:dyDescent="0.2">
      <c r="A3090" s="12">
        <v>41621</v>
      </c>
      <c r="B3090" s="9">
        <v>2683.55</v>
      </c>
      <c r="C3090" s="9">
        <v>2664.31</v>
      </c>
      <c r="D3090" s="9">
        <v>2667.18</v>
      </c>
      <c r="E3090" s="9">
        <f t="shared" si="144"/>
        <v>-2.8640924406462104E-3</v>
      </c>
      <c r="F3090" s="9">
        <f t="shared" si="142"/>
        <v>-2.8824912096141349E-2</v>
      </c>
      <c r="G3090" s="9">
        <f t="shared" si="143"/>
        <v>7.9926590827365755E-3</v>
      </c>
    </row>
    <row r="3091" spans="1:7" x14ac:dyDescent="0.2">
      <c r="A3091" s="12">
        <v>41624</v>
      </c>
      <c r="B3091" s="9">
        <v>2690.8</v>
      </c>
      <c r="C3091" s="9">
        <v>2655.36</v>
      </c>
      <c r="D3091" s="9">
        <v>2690.48</v>
      </c>
      <c r="E3091" s="9">
        <f t="shared" si="144"/>
        <v>8.697881871194876E-3</v>
      </c>
      <c r="F3091" s="9">
        <f t="shared" si="142"/>
        <v>-2.247384700060651E-2</v>
      </c>
      <c r="G3091" s="9">
        <f t="shared" si="143"/>
        <v>8.1655310781333541E-3</v>
      </c>
    </row>
    <row r="3092" spans="1:7" x14ac:dyDescent="0.2">
      <c r="A3092" s="12">
        <v>41625</v>
      </c>
      <c r="B3092" s="9">
        <v>2692.45</v>
      </c>
      <c r="C3092" s="9">
        <v>2676.65</v>
      </c>
      <c r="D3092" s="9">
        <v>2678.16</v>
      </c>
      <c r="E3092" s="9">
        <f t="shared" si="144"/>
        <v>-4.5896247937550309E-3</v>
      </c>
      <c r="F3092" s="9">
        <f t="shared" si="142"/>
        <v>-3.8173090937681918E-2</v>
      </c>
      <c r="G3092" s="9">
        <f t="shared" si="143"/>
        <v>7.8773026591485718E-3</v>
      </c>
    </row>
    <row r="3093" spans="1:7" x14ac:dyDescent="0.2">
      <c r="A3093" s="12">
        <v>41626</v>
      </c>
      <c r="B3093" s="9">
        <v>2701.61</v>
      </c>
      <c r="C3093" s="9">
        <v>2681.03</v>
      </c>
      <c r="D3093" s="9">
        <v>2701.54</v>
      </c>
      <c r="E3093" s="9">
        <f t="shared" si="144"/>
        <v>8.6919892178806898E-3</v>
      </c>
      <c r="F3093" s="9">
        <f t="shared" si="142"/>
        <v>-2.9578136585942334E-2</v>
      </c>
      <c r="G3093" s="9">
        <f t="shared" si="143"/>
        <v>8.082456315622032E-3</v>
      </c>
    </row>
    <row r="3094" spans="1:7" x14ac:dyDescent="0.2">
      <c r="A3094" s="12">
        <v>41627</v>
      </c>
      <c r="B3094" s="9">
        <v>2749.37</v>
      </c>
      <c r="C3094" s="9">
        <v>2726.42</v>
      </c>
      <c r="D3094" s="9">
        <v>2749.37</v>
      </c>
      <c r="E3094" s="9">
        <f t="shared" si="144"/>
        <v>1.754981374275923E-2</v>
      </c>
      <c r="F3094" s="9">
        <f t="shared" si="142"/>
        <v>-2.30077040437613E-2</v>
      </c>
      <c r="G3094" s="9">
        <f t="shared" si="143"/>
        <v>8.4962935344174342E-3</v>
      </c>
    </row>
    <row r="3095" spans="1:7" x14ac:dyDescent="0.2">
      <c r="A3095" s="12">
        <v>41628</v>
      </c>
      <c r="B3095" s="9">
        <v>2780.32</v>
      </c>
      <c r="C3095" s="9">
        <v>2752.01</v>
      </c>
      <c r="D3095" s="9">
        <v>2780.32</v>
      </c>
      <c r="E3095" s="9">
        <f t="shared" si="144"/>
        <v>1.1194234467749115E-2</v>
      </c>
      <c r="F3095" s="9">
        <f t="shared" si="142"/>
        <v>-1.1749487092972367E-2</v>
      </c>
      <c r="G3095" s="9">
        <f t="shared" si="143"/>
        <v>8.772553925780819E-3</v>
      </c>
    </row>
    <row r="3096" spans="1:7" x14ac:dyDescent="0.2">
      <c r="A3096" s="12">
        <v>41631</v>
      </c>
      <c r="B3096" s="9">
        <v>2800.35</v>
      </c>
      <c r="C3096" s="9">
        <v>2781.35</v>
      </c>
      <c r="D3096" s="9">
        <v>2800.35</v>
      </c>
      <c r="E3096" s="9">
        <f t="shared" si="144"/>
        <v>7.1783803775018872E-3</v>
      </c>
      <c r="F3096" s="9">
        <f t="shared" si="142"/>
        <v>-2.0654641525850886E-3</v>
      </c>
      <c r="G3096" s="9">
        <f t="shared" si="143"/>
        <v>8.869715514736724E-3</v>
      </c>
    </row>
    <row r="3097" spans="1:7" x14ac:dyDescent="0.2">
      <c r="A3097" s="12">
        <v>41635</v>
      </c>
      <c r="B3097" s="9">
        <v>2846</v>
      </c>
      <c r="C3097" s="9">
        <v>2811.49</v>
      </c>
      <c r="D3097" s="9">
        <v>2845.92</v>
      </c>
      <c r="E3097" s="9">
        <f t="shared" si="144"/>
        <v>1.6141980275720974E-2</v>
      </c>
      <c r="F3097" s="9">
        <f t="shared" si="142"/>
        <v>8.40864444797337E-3</v>
      </c>
      <c r="G3097" s="9">
        <f t="shared" si="143"/>
        <v>9.2990690400024702E-3</v>
      </c>
    </row>
    <row r="3098" spans="1:7" x14ac:dyDescent="0.2">
      <c r="A3098" s="12">
        <v>41638</v>
      </c>
      <c r="B3098" s="9">
        <v>2857.38</v>
      </c>
      <c r="C3098" s="9">
        <v>2832.47</v>
      </c>
      <c r="D3098" s="9">
        <v>2835.17</v>
      </c>
      <c r="E3098" s="9">
        <f t="shared" si="144"/>
        <v>-3.7844895364958224E-3</v>
      </c>
      <c r="F3098" s="9">
        <f t="shared" si="142"/>
        <v>1.8062306945933256E-2</v>
      </c>
      <c r="G3098" s="9">
        <f t="shared" si="143"/>
        <v>8.9691583465197258E-3</v>
      </c>
    </row>
    <row r="3099" spans="1:7" x14ac:dyDescent="0.2">
      <c r="A3099" s="12">
        <v>41641</v>
      </c>
      <c r="B3099" s="9">
        <v>2856.41</v>
      </c>
      <c r="C3099" s="9">
        <v>2810.9</v>
      </c>
      <c r="D3099" s="9">
        <v>2814.01</v>
      </c>
      <c r="E3099" s="9">
        <f t="shared" si="144"/>
        <v>-7.4913877623812167E-3</v>
      </c>
      <c r="F3099" s="9">
        <f t="shared" si="142"/>
        <v>1.359586740260786E-2</v>
      </c>
      <c r="G3099" s="9">
        <f t="shared" si="143"/>
        <v>9.0679658432721629E-3</v>
      </c>
    </row>
    <row r="3100" spans="1:7" x14ac:dyDescent="0.2">
      <c r="A3100" s="12">
        <v>41642</v>
      </c>
      <c r="B3100" s="9">
        <v>2840.33</v>
      </c>
      <c r="C3100" s="9">
        <v>2802.13</v>
      </c>
      <c r="D3100" s="9">
        <v>2831.83</v>
      </c>
      <c r="E3100" s="9">
        <f t="shared" si="144"/>
        <v>6.3126334349650377E-3</v>
      </c>
      <c r="F3100" s="9">
        <f t="shared" si="142"/>
        <v>1.1646644531765183E-2</v>
      </c>
      <c r="G3100" s="9">
        <f t="shared" si="143"/>
        <v>9.0169252962762972E-3</v>
      </c>
    </row>
    <row r="3101" spans="1:7" x14ac:dyDescent="0.2">
      <c r="A3101" s="12">
        <v>41646</v>
      </c>
      <c r="B3101" s="9">
        <v>2846.28</v>
      </c>
      <c r="C3101" s="9">
        <v>2824.78</v>
      </c>
      <c r="D3101" s="9">
        <v>2827.04</v>
      </c>
      <c r="E3101" s="9">
        <f t="shared" si="144"/>
        <v>-1.6929178949153685E-3</v>
      </c>
      <c r="F3101" s="9">
        <f t="shared" si="142"/>
        <v>5.4231625842087738E-3</v>
      </c>
      <c r="G3101" s="9">
        <f t="shared" si="143"/>
        <v>8.9898877936661487E-3</v>
      </c>
    </row>
    <row r="3102" spans="1:7" x14ac:dyDescent="0.2">
      <c r="A3102" s="12">
        <v>41647</v>
      </c>
      <c r="B3102" s="9">
        <v>2836.53</v>
      </c>
      <c r="C3102" s="9">
        <v>2820.52</v>
      </c>
      <c r="D3102" s="9">
        <v>2826.27</v>
      </c>
      <c r="E3102" s="9">
        <f t="shared" si="144"/>
        <v>-2.7240678638234032E-4</v>
      </c>
      <c r="F3102" s="9">
        <f t="shared" si="142"/>
        <v>-3.4755738418408523E-3</v>
      </c>
      <c r="G3102" s="9">
        <f t="shared" si="143"/>
        <v>8.8472920828393305E-3</v>
      </c>
    </row>
    <row r="3103" spans="1:7" x14ac:dyDescent="0.2">
      <c r="A3103" s="12">
        <v>41648</v>
      </c>
      <c r="B3103" s="9">
        <v>2855.68</v>
      </c>
      <c r="C3103" s="9">
        <v>2832.05</v>
      </c>
      <c r="D3103" s="9">
        <v>2846.15</v>
      </c>
      <c r="E3103" s="9">
        <f t="shared" si="144"/>
        <v>7.0093827306028323E-3</v>
      </c>
      <c r="F3103" s="9">
        <f t="shared" si="142"/>
        <v>1.2078342282831386E-2</v>
      </c>
      <c r="G3103" s="9">
        <f t="shared" si="143"/>
        <v>8.791894600826208E-3</v>
      </c>
    </row>
    <row r="3104" spans="1:7" x14ac:dyDescent="0.2">
      <c r="A3104" s="12">
        <v>41649</v>
      </c>
      <c r="B3104" s="9">
        <v>2875.19</v>
      </c>
      <c r="C3104" s="9">
        <v>2852.59</v>
      </c>
      <c r="D3104" s="9">
        <v>2864.31</v>
      </c>
      <c r="E3104" s="9">
        <f t="shared" si="144"/>
        <v>6.3602796338893177E-3</v>
      </c>
      <c r="F3104" s="9">
        <f t="shared" si="142"/>
        <v>1.5931082004130591E-2</v>
      </c>
      <c r="G3104" s="9">
        <f t="shared" si="143"/>
        <v>8.851637700370011E-3</v>
      </c>
    </row>
    <row r="3105" spans="1:7" x14ac:dyDescent="0.2">
      <c r="A3105" s="12">
        <v>41652</v>
      </c>
      <c r="B3105" s="9">
        <v>2881.98</v>
      </c>
      <c r="C3105" s="9">
        <v>2866.09</v>
      </c>
      <c r="D3105" s="9">
        <v>2877.3</v>
      </c>
      <c r="E3105" s="9">
        <f t="shared" si="144"/>
        <v>4.5248709555655619E-3</v>
      </c>
      <c r="F3105" s="9">
        <f t="shared" ref="F3105:F3168" si="145">LN(D3105/D3075)</f>
        <v>1.5957459321192299E-2</v>
      </c>
      <c r="G3105" s="9">
        <f t="shared" ref="G3105:G3168" si="146">STDEV(E3076:E3105)</f>
        <v>8.8520466827288116E-3</v>
      </c>
    </row>
    <row r="3106" spans="1:7" x14ac:dyDescent="0.2">
      <c r="A3106" s="12">
        <v>41653</v>
      </c>
      <c r="B3106" s="9">
        <v>2866.78</v>
      </c>
      <c r="C3106" s="9">
        <v>2840.84</v>
      </c>
      <c r="D3106" s="9">
        <v>2863.06</v>
      </c>
      <c r="E3106" s="9">
        <f t="shared" si="144"/>
        <v>-4.9613714854238834E-3</v>
      </c>
      <c r="F3106" s="9">
        <f t="shared" si="145"/>
        <v>1.0847780656016494E-2</v>
      </c>
      <c r="G3106" s="9">
        <f t="shared" si="146"/>
        <v>8.9086589696355835E-3</v>
      </c>
    </row>
    <row r="3107" spans="1:7" x14ac:dyDescent="0.2">
      <c r="A3107" s="12">
        <v>41654</v>
      </c>
      <c r="B3107" s="9">
        <v>2895.62</v>
      </c>
      <c r="C3107" s="9">
        <v>2872.94</v>
      </c>
      <c r="D3107" s="9">
        <v>2895.21</v>
      </c>
      <c r="E3107" s="9">
        <f t="shared" si="144"/>
        <v>1.1166664319791979E-2</v>
      </c>
      <c r="F3107" s="9">
        <f t="shared" si="145"/>
        <v>1.8380736696251974E-2</v>
      </c>
      <c r="G3107" s="9">
        <f t="shared" si="146"/>
        <v>9.1079981008980668E-3</v>
      </c>
    </row>
    <row r="3108" spans="1:7" x14ac:dyDescent="0.2">
      <c r="A3108" s="12">
        <v>41655</v>
      </c>
      <c r="B3108" s="9">
        <v>2902.39</v>
      </c>
      <c r="C3108" s="9">
        <v>2890.51</v>
      </c>
      <c r="D3108" s="9">
        <v>2895.11</v>
      </c>
      <c r="E3108" s="9">
        <f t="shared" si="144"/>
        <v>-3.4540405369637534E-5</v>
      </c>
      <c r="F3108" s="9">
        <f t="shared" si="145"/>
        <v>2.3785804450373003E-2</v>
      </c>
      <c r="G3108" s="9">
        <f t="shared" si="146"/>
        <v>9.0373325491017783E-3</v>
      </c>
    </row>
    <row r="3109" spans="1:7" x14ac:dyDescent="0.2">
      <c r="A3109" s="12">
        <v>41656</v>
      </c>
      <c r="B3109" s="9">
        <v>2907.34</v>
      </c>
      <c r="C3109" s="9">
        <v>2889.51</v>
      </c>
      <c r="D3109" s="9">
        <v>2892.93</v>
      </c>
      <c r="E3109" s="9">
        <f t="shared" si="144"/>
        <v>-7.5327748359815729E-4</v>
      </c>
      <c r="F3109" s="9">
        <f t="shared" si="145"/>
        <v>1.7188424340704986E-2</v>
      </c>
      <c r="G3109" s="9">
        <f t="shared" si="146"/>
        <v>8.9903255512756609E-3</v>
      </c>
    </row>
    <row r="3110" spans="1:7" x14ac:dyDescent="0.2">
      <c r="A3110" s="12">
        <v>41659</v>
      </c>
      <c r="B3110" s="9">
        <v>2903.61</v>
      </c>
      <c r="C3110" s="9">
        <v>2887.44</v>
      </c>
      <c r="D3110" s="9">
        <v>2897.5</v>
      </c>
      <c r="E3110" s="9">
        <f t="shared" si="144"/>
        <v>1.5784668664912003E-3</v>
      </c>
      <c r="F3110" s="9">
        <f t="shared" si="145"/>
        <v>1.8858327817071929E-2</v>
      </c>
      <c r="G3110" s="9">
        <f t="shared" si="146"/>
        <v>8.9912397259138046E-3</v>
      </c>
    </row>
    <row r="3111" spans="1:7" x14ac:dyDescent="0.2">
      <c r="A3111" s="12">
        <v>41660</v>
      </c>
      <c r="B3111" s="9">
        <v>2904.72</v>
      </c>
      <c r="C3111" s="9">
        <v>2875.55</v>
      </c>
      <c r="D3111" s="9">
        <v>2878.72</v>
      </c>
      <c r="E3111" s="9">
        <f t="shared" si="144"/>
        <v>-6.5025453230653594E-3</v>
      </c>
      <c r="F3111" s="9">
        <f t="shared" si="145"/>
        <v>2.1900479874770069E-2</v>
      </c>
      <c r="G3111" s="9">
        <f t="shared" si="146"/>
        <v>8.8891217136359627E-3</v>
      </c>
    </row>
    <row r="3112" spans="1:7" x14ac:dyDescent="0.2">
      <c r="A3112" s="12">
        <v>41661</v>
      </c>
      <c r="B3112" s="9">
        <v>2909.88</v>
      </c>
      <c r="C3112" s="9">
        <v>2883.57</v>
      </c>
      <c r="D3112" s="9">
        <v>2893.39</v>
      </c>
      <c r="E3112" s="9">
        <f t="shared" si="144"/>
        <v>5.0830741571122537E-3</v>
      </c>
      <c r="F3112" s="9">
        <f t="shared" si="145"/>
        <v>3.0422971975055901E-2</v>
      </c>
      <c r="G3112" s="9">
        <f t="shared" si="146"/>
        <v>8.8874609473298481E-3</v>
      </c>
    </row>
    <row r="3113" spans="1:7" x14ac:dyDescent="0.2">
      <c r="A3113" s="12">
        <v>41662</v>
      </c>
      <c r="B3113" s="9">
        <v>2915.65</v>
      </c>
      <c r="C3113" s="9">
        <v>2851.06</v>
      </c>
      <c r="D3113" s="9">
        <v>2855.33</v>
      </c>
      <c r="E3113" s="9">
        <f t="shared" si="144"/>
        <v>-1.3241401947452394E-2</v>
      </c>
      <c r="F3113" s="9">
        <f t="shared" si="145"/>
        <v>4.1941434914098262E-2</v>
      </c>
      <c r="G3113" s="9">
        <f t="shared" si="146"/>
        <v>7.9331723713369651E-3</v>
      </c>
    </row>
    <row r="3114" spans="1:7" x14ac:dyDescent="0.2">
      <c r="A3114" s="12">
        <v>41663</v>
      </c>
      <c r="B3114" s="9">
        <v>2873.36</v>
      </c>
      <c r="C3114" s="9">
        <v>2797.19</v>
      </c>
      <c r="D3114" s="9">
        <v>2797.19</v>
      </c>
      <c r="E3114" s="9">
        <f t="shared" si="144"/>
        <v>-2.0572081280754891E-2</v>
      </c>
      <c r="F3114" s="9">
        <f t="shared" si="145"/>
        <v>2.6436864010805156E-2</v>
      </c>
      <c r="G3114" s="9">
        <f t="shared" si="146"/>
        <v>8.8239321230511574E-3</v>
      </c>
    </row>
    <row r="3115" spans="1:7" x14ac:dyDescent="0.2">
      <c r="A3115" s="12">
        <v>41666</v>
      </c>
      <c r="B3115" s="9">
        <v>2795.51</v>
      </c>
      <c r="C3115" s="9">
        <v>2756.05</v>
      </c>
      <c r="D3115" s="9">
        <v>2764.61</v>
      </c>
      <c r="E3115" s="9">
        <f t="shared" si="144"/>
        <v>-1.171576563622524E-2</v>
      </c>
      <c r="F3115" s="9">
        <f t="shared" si="145"/>
        <v>1.7577376680486329E-2</v>
      </c>
      <c r="G3115" s="9">
        <f t="shared" si="146"/>
        <v>9.0973480868668469E-3</v>
      </c>
    </row>
    <row r="3116" spans="1:7" x14ac:dyDescent="0.2">
      <c r="A3116" s="12">
        <v>41667</v>
      </c>
      <c r="B3116" s="9">
        <v>2795.69</v>
      </c>
      <c r="C3116" s="9">
        <v>2773.5</v>
      </c>
      <c r="D3116" s="9">
        <v>2787.55</v>
      </c>
      <c r="E3116" s="9">
        <f t="shared" si="144"/>
        <v>8.2634976437140177E-3</v>
      </c>
      <c r="F3116" s="9">
        <f t="shared" si="145"/>
        <v>1.7135812783545049E-2</v>
      </c>
      <c r="G3116" s="9">
        <f t="shared" si="146"/>
        <v>9.0841065403375106E-3</v>
      </c>
    </row>
    <row r="3117" spans="1:7" x14ac:dyDescent="0.2">
      <c r="A3117" s="12">
        <v>41668</v>
      </c>
      <c r="B3117" s="9">
        <v>2822.05</v>
      </c>
      <c r="C3117" s="9">
        <v>2747.33</v>
      </c>
      <c r="D3117" s="9">
        <v>2781.24</v>
      </c>
      <c r="E3117" s="9">
        <f t="shared" si="144"/>
        <v>-2.2662024247667987E-3</v>
      </c>
      <c r="F3117" s="9">
        <f t="shared" si="145"/>
        <v>2.3703525306772201E-2</v>
      </c>
      <c r="G3117" s="9">
        <f t="shared" si="146"/>
        <v>8.9274193600924305E-3</v>
      </c>
    </row>
    <row r="3118" spans="1:7" x14ac:dyDescent="0.2">
      <c r="A3118" s="12">
        <v>41669</v>
      </c>
      <c r="B3118" s="9">
        <v>2778.36</v>
      </c>
      <c r="C3118" s="9">
        <v>2747.67</v>
      </c>
      <c r="D3118" s="9">
        <v>2761.86</v>
      </c>
      <c r="E3118" s="9">
        <f t="shared" si="144"/>
        <v>-6.9925056252198563E-3</v>
      </c>
      <c r="F3118" s="9">
        <f t="shared" si="145"/>
        <v>2.0244383738248009E-2</v>
      </c>
      <c r="G3118" s="9">
        <f t="shared" si="146"/>
        <v>9.0071686989330411E-3</v>
      </c>
    </row>
    <row r="3119" spans="1:7" x14ac:dyDescent="0.2">
      <c r="A3119" s="12">
        <v>41670</v>
      </c>
      <c r="B3119" s="9">
        <v>2765.42</v>
      </c>
      <c r="C3119" s="9">
        <v>2698.28</v>
      </c>
      <c r="D3119" s="9">
        <v>2718.7</v>
      </c>
      <c r="E3119" s="9">
        <f t="shared" si="144"/>
        <v>-1.5750540913965026E-2</v>
      </c>
      <c r="F3119" s="9">
        <f t="shared" si="145"/>
        <v>1.6267997954521767E-2</v>
      </c>
      <c r="G3119" s="9">
        <f t="shared" si="146"/>
        <v>9.2233435825193003E-3</v>
      </c>
    </row>
    <row r="3120" spans="1:7" x14ac:dyDescent="0.2">
      <c r="A3120" s="12">
        <v>41673</v>
      </c>
      <c r="B3120" s="9">
        <v>2742.36</v>
      </c>
      <c r="C3120" s="9">
        <v>2691.25</v>
      </c>
      <c r="D3120" s="9">
        <v>2692.27</v>
      </c>
      <c r="E3120" s="9">
        <f t="shared" si="144"/>
        <v>-9.7691209512704314E-3</v>
      </c>
      <c r="F3120" s="9">
        <f t="shared" si="145"/>
        <v>9.3629694438973395E-3</v>
      </c>
      <c r="G3120" s="9">
        <f t="shared" si="146"/>
        <v>9.3958245600516341E-3</v>
      </c>
    </row>
    <row r="3121" spans="1:7" x14ac:dyDescent="0.2">
      <c r="A3121" s="12">
        <v>41674</v>
      </c>
      <c r="B3121" s="9">
        <v>2717.8</v>
      </c>
      <c r="C3121" s="9">
        <v>2677.48</v>
      </c>
      <c r="D3121" s="9">
        <v>2713.33</v>
      </c>
      <c r="E3121" s="9">
        <f t="shared" si="144"/>
        <v>7.7919589144801087E-3</v>
      </c>
      <c r="F3121" s="9">
        <f t="shared" si="145"/>
        <v>8.4570464871827483E-3</v>
      </c>
      <c r="G3121" s="9">
        <f t="shared" si="146"/>
        <v>9.3693624872955069E-3</v>
      </c>
    </row>
    <row r="3122" spans="1:7" x14ac:dyDescent="0.2">
      <c r="A3122" s="12">
        <v>41675</v>
      </c>
      <c r="B3122" s="9">
        <v>2747.96</v>
      </c>
      <c r="C3122" s="9">
        <v>2707.9</v>
      </c>
      <c r="D3122" s="9">
        <v>2731.8</v>
      </c>
      <c r="E3122" s="9">
        <f t="shared" si="144"/>
        <v>6.7840697422983766E-3</v>
      </c>
      <c r="F3122" s="9">
        <f t="shared" si="145"/>
        <v>1.9830741023236134E-2</v>
      </c>
      <c r="G3122" s="9">
        <f t="shared" si="146"/>
        <v>9.3955199164490067E-3</v>
      </c>
    </row>
    <row r="3123" spans="1:7" x14ac:dyDescent="0.2">
      <c r="A3123" s="12">
        <v>41676</v>
      </c>
      <c r="B3123" s="9">
        <v>2815.5</v>
      </c>
      <c r="C3123" s="9">
        <v>2750.42</v>
      </c>
      <c r="D3123" s="9">
        <v>2809.59</v>
      </c>
      <c r="E3123" s="9">
        <f t="shared" si="144"/>
        <v>2.8077832640159478E-2</v>
      </c>
      <c r="F3123" s="9">
        <f t="shared" si="145"/>
        <v>3.9216584445514839E-2</v>
      </c>
      <c r="G3123" s="9">
        <f t="shared" si="146"/>
        <v>1.056124335708835E-2</v>
      </c>
    </row>
    <row r="3124" spans="1:7" x14ac:dyDescent="0.2">
      <c r="A3124" s="12">
        <v>41677</v>
      </c>
      <c r="B3124" s="9">
        <v>2833.67</v>
      </c>
      <c r="C3124" s="9">
        <v>2814.8</v>
      </c>
      <c r="D3124" s="9">
        <v>2831.7</v>
      </c>
      <c r="E3124" s="9">
        <f t="shared" si="144"/>
        <v>7.8386727900573092E-3</v>
      </c>
      <c r="F3124" s="9">
        <f t="shared" si="145"/>
        <v>2.9505443492813026E-2</v>
      </c>
      <c r="G3124" s="9">
        <f t="shared" si="146"/>
        <v>1.0188483099532811E-2</v>
      </c>
    </row>
    <row r="3125" spans="1:7" x14ac:dyDescent="0.2">
      <c r="A3125" s="12">
        <v>41680</v>
      </c>
      <c r="B3125" s="9">
        <v>2862.66</v>
      </c>
      <c r="C3125" s="9">
        <v>2835.73</v>
      </c>
      <c r="D3125" s="9">
        <v>2856.3</v>
      </c>
      <c r="E3125" s="9">
        <f t="shared" si="144"/>
        <v>8.649842960747136E-3</v>
      </c>
      <c r="F3125" s="9">
        <f t="shared" si="145"/>
        <v>2.696105198581111E-2</v>
      </c>
      <c r="G3125" s="9">
        <f t="shared" si="146"/>
        <v>1.0110848461717574E-2</v>
      </c>
    </row>
    <row r="3126" spans="1:7" x14ac:dyDescent="0.2">
      <c r="A3126" s="12">
        <v>41681</v>
      </c>
      <c r="B3126" s="9">
        <v>2892.66</v>
      </c>
      <c r="C3126" s="9">
        <v>2871.56</v>
      </c>
      <c r="D3126" s="9">
        <v>2892.6</v>
      </c>
      <c r="E3126" s="9">
        <f t="shared" si="144"/>
        <v>1.2628670679876062E-2</v>
      </c>
      <c r="F3126" s="9">
        <f t="shared" si="145"/>
        <v>3.2411342288185381E-2</v>
      </c>
      <c r="G3126" s="9">
        <f t="shared" si="146"/>
        <v>1.0275206283127725E-2</v>
      </c>
    </row>
    <row r="3127" spans="1:7" x14ac:dyDescent="0.2">
      <c r="A3127" s="12">
        <v>41682</v>
      </c>
      <c r="B3127" s="9">
        <v>2914.16</v>
      </c>
      <c r="C3127" s="9">
        <v>2875.8</v>
      </c>
      <c r="D3127" s="9">
        <v>2888.27</v>
      </c>
      <c r="E3127" s="9">
        <f t="shared" si="144"/>
        <v>-1.4980446921517808E-3</v>
      </c>
      <c r="F3127" s="9">
        <f t="shared" si="145"/>
        <v>1.4771317320312503E-2</v>
      </c>
      <c r="G3127" s="9">
        <f t="shared" si="146"/>
        <v>9.8807372935495168E-3</v>
      </c>
    </row>
    <row r="3128" spans="1:7" x14ac:dyDescent="0.2">
      <c r="A3128" s="12">
        <v>41683</v>
      </c>
      <c r="B3128" s="9">
        <v>2895.32</v>
      </c>
      <c r="C3128" s="9">
        <v>2866.36</v>
      </c>
      <c r="D3128" s="9">
        <v>2884.87</v>
      </c>
      <c r="E3128" s="9">
        <f t="shared" si="144"/>
        <v>-1.1778686791207391E-3</v>
      </c>
      <c r="F3128" s="9">
        <f t="shared" si="145"/>
        <v>1.7377938177687496E-2</v>
      </c>
      <c r="G3128" s="9">
        <f t="shared" si="146"/>
        <v>9.8532539068552725E-3</v>
      </c>
    </row>
    <row r="3129" spans="1:7" x14ac:dyDescent="0.2">
      <c r="A3129" s="12">
        <v>41684</v>
      </c>
      <c r="B3129" s="9">
        <v>2900.17</v>
      </c>
      <c r="C3129" s="9">
        <v>2881.47</v>
      </c>
      <c r="D3129" s="9">
        <v>2890.48</v>
      </c>
      <c r="E3129" s="9">
        <f t="shared" si="144"/>
        <v>1.9427400121054754E-3</v>
      </c>
      <c r="F3129" s="9">
        <f t="shared" si="145"/>
        <v>2.6812065952174283E-2</v>
      </c>
      <c r="G3129" s="9">
        <f t="shared" si="146"/>
        <v>9.7366507033875525E-3</v>
      </c>
    </row>
    <row r="3130" spans="1:7" x14ac:dyDescent="0.2">
      <c r="A3130" s="12">
        <v>41687</v>
      </c>
      <c r="B3130" s="9">
        <v>2907.06</v>
      </c>
      <c r="C3130" s="9">
        <v>2893.75</v>
      </c>
      <c r="D3130" s="9">
        <v>2902.24</v>
      </c>
      <c r="E3130" s="9">
        <f t="shared" si="144"/>
        <v>4.0602743291947817E-3</v>
      </c>
      <c r="F3130" s="9">
        <f t="shared" si="145"/>
        <v>2.4559706846403906E-2</v>
      </c>
      <c r="G3130" s="9">
        <f t="shared" si="146"/>
        <v>9.7020475089155348E-3</v>
      </c>
    </row>
    <row r="3131" spans="1:7" x14ac:dyDescent="0.2">
      <c r="A3131" s="12">
        <v>41688</v>
      </c>
      <c r="B3131" s="9">
        <v>2908.4</v>
      </c>
      <c r="C3131" s="9">
        <v>2882.95</v>
      </c>
      <c r="D3131" s="9">
        <v>2900.5</v>
      </c>
      <c r="E3131" s="9">
        <f t="shared" si="144"/>
        <v>-5.9971670354021624E-4</v>
      </c>
      <c r="F3131" s="9">
        <f t="shared" si="145"/>
        <v>2.5652908037779146E-2</v>
      </c>
      <c r="G3131" s="9">
        <f t="shared" si="146"/>
        <v>9.6943388911145418E-3</v>
      </c>
    </row>
    <row r="3132" spans="1:7" x14ac:dyDescent="0.2">
      <c r="A3132" s="12">
        <v>41689</v>
      </c>
      <c r="B3132" s="9">
        <v>2909.2</v>
      </c>
      <c r="C3132" s="9">
        <v>2893.58</v>
      </c>
      <c r="D3132" s="9">
        <v>2907.65</v>
      </c>
      <c r="E3132" s="9">
        <f t="shared" si="144"/>
        <v>2.4620588696168521E-3</v>
      </c>
      <c r="F3132" s="9">
        <f t="shared" si="145"/>
        <v>2.8387373693778271E-2</v>
      </c>
      <c r="G3132" s="9">
        <f t="shared" si="146"/>
        <v>9.6962271513436823E-3</v>
      </c>
    </row>
    <row r="3133" spans="1:7" x14ac:dyDescent="0.2">
      <c r="A3133" s="12">
        <v>41690</v>
      </c>
      <c r="B3133" s="9">
        <v>2911.56</v>
      </c>
      <c r="C3133" s="9">
        <v>2887.38</v>
      </c>
      <c r="D3133" s="9">
        <v>2907.71</v>
      </c>
      <c r="E3133" s="9">
        <f t="shared" si="144"/>
        <v>2.0635007979672561E-5</v>
      </c>
      <c r="F3133" s="9">
        <f t="shared" si="145"/>
        <v>2.1398625971155275E-2</v>
      </c>
      <c r="G3133" s="9">
        <f t="shared" si="146"/>
        <v>9.6292565105060186E-3</v>
      </c>
    </row>
    <row r="3134" spans="1:7" x14ac:dyDescent="0.2">
      <c r="A3134" s="12">
        <v>41691</v>
      </c>
      <c r="B3134" s="9">
        <v>2925.57</v>
      </c>
      <c r="C3134" s="9">
        <v>2912.19</v>
      </c>
      <c r="D3134" s="9">
        <v>2924.63</v>
      </c>
      <c r="E3134" s="9">
        <f t="shared" si="144"/>
        <v>5.8021471544864736E-3</v>
      </c>
      <c r="F3134" s="9">
        <f t="shared" si="145"/>
        <v>2.0840493491752436E-2</v>
      </c>
      <c r="G3134" s="9">
        <f t="shared" si="146"/>
        <v>9.6185030668063335E-3</v>
      </c>
    </row>
    <row r="3135" spans="1:7" x14ac:dyDescent="0.2">
      <c r="A3135" s="12">
        <v>41694</v>
      </c>
      <c r="B3135" s="9">
        <v>2937.48</v>
      </c>
      <c r="C3135" s="9">
        <v>2914.99</v>
      </c>
      <c r="D3135" s="9">
        <v>2937.48</v>
      </c>
      <c r="E3135" s="9">
        <f t="shared" si="144"/>
        <v>4.3840939803961101E-3</v>
      </c>
      <c r="F3135" s="9">
        <f t="shared" si="145"/>
        <v>2.0699716516582936E-2</v>
      </c>
      <c r="G3135" s="9">
        <f t="shared" si="146"/>
        <v>9.6166041557684996E-3</v>
      </c>
    </row>
    <row r="3136" spans="1:7" x14ac:dyDescent="0.2">
      <c r="A3136" s="12">
        <v>41695</v>
      </c>
      <c r="B3136" s="9">
        <v>2941.47</v>
      </c>
      <c r="C3136" s="9">
        <v>2919.29</v>
      </c>
      <c r="D3136" s="9">
        <v>2941.47</v>
      </c>
      <c r="E3136" s="9">
        <f t="shared" si="144"/>
        <v>1.3573854557802172E-3</v>
      </c>
      <c r="F3136" s="9">
        <f t="shared" si="145"/>
        <v>2.7018473457786844E-2</v>
      </c>
      <c r="G3136" s="9">
        <f t="shared" si="146"/>
        <v>9.557574758434181E-3</v>
      </c>
    </row>
    <row r="3137" spans="1:7" x14ac:dyDescent="0.2">
      <c r="A3137" s="12">
        <v>41696</v>
      </c>
      <c r="B3137" s="9">
        <v>2941.97</v>
      </c>
      <c r="C3137" s="9">
        <v>2914.36</v>
      </c>
      <c r="D3137" s="9">
        <v>2920.62</v>
      </c>
      <c r="E3137" s="9">
        <f t="shared" si="144"/>
        <v>-7.113533883489888E-3</v>
      </c>
      <c r="F3137" s="9">
        <f t="shared" si="145"/>
        <v>8.7382752545048879E-3</v>
      </c>
      <c r="G3137" s="9">
        <f t="shared" si="146"/>
        <v>9.4627505843523935E-3</v>
      </c>
    </row>
    <row r="3138" spans="1:7" x14ac:dyDescent="0.2">
      <c r="A3138" s="12">
        <v>41697</v>
      </c>
      <c r="B3138" s="9">
        <v>2920.68</v>
      </c>
      <c r="C3138" s="9">
        <v>2884.27</v>
      </c>
      <c r="D3138" s="9">
        <v>2920.42</v>
      </c>
      <c r="E3138" s="9">
        <f t="shared" si="144"/>
        <v>-6.8480955473020197E-5</v>
      </c>
      <c r="F3138" s="9">
        <f t="shared" si="145"/>
        <v>8.7043347044016735E-3</v>
      </c>
      <c r="G3138" s="9">
        <f t="shared" si="146"/>
        <v>9.4627929105227573E-3</v>
      </c>
    </row>
    <row r="3139" spans="1:7" x14ac:dyDescent="0.2">
      <c r="A3139" s="12">
        <v>41698</v>
      </c>
      <c r="B3139" s="9">
        <v>2922.03</v>
      </c>
      <c r="C3139" s="9">
        <v>2902.36</v>
      </c>
      <c r="D3139" s="9">
        <v>2922.03</v>
      </c>
      <c r="E3139" s="9">
        <f t="shared" si="144"/>
        <v>5.5113866297662136E-4</v>
      </c>
      <c r="F3139" s="9">
        <f t="shared" si="145"/>
        <v>1.000875085097646E-2</v>
      </c>
      <c r="G3139" s="9">
        <f t="shared" si="146"/>
        <v>9.4608297955353533E-3</v>
      </c>
    </row>
    <row r="3140" spans="1:7" x14ac:dyDescent="0.2">
      <c r="A3140" s="12">
        <v>41701</v>
      </c>
      <c r="B3140" s="9">
        <v>2869.31</v>
      </c>
      <c r="C3140" s="9">
        <v>2836.34</v>
      </c>
      <c r="D3140" s="9">
        <v>2841.12</v>
      </c>
      <c r="E3140" s="9">
        <f t="shared" ref="E3140:E3203" si="147">LN(D3140/D3139)</f>
        <v>-2.8080239587867394E-2</v>
      </c>
      <c r="F3140" s="9">
        <f t="shared" si="145"/>
        <v>-1.9649955603382226E-2</v>
      </c>
      <c r="G3140" s="9">
        <f t="shared" si="146"/>
        <v>1.078342995748584E-2</v>
      </c>
    </row>
    <row r="3141" spans="1:7" x14ac:dyDescent="0.2">
      <c r="A3141" s="12">
        <v>41702</v>
      </c>
      <c r="B3141" s="9">
        <v>2907.02</v>
      </c>
      <c r="C3141" s="9">
        <v>2863.26</v>
      </c>
      <c r="D3141" s="9">
        <v>2904.3</v>
      </c>
      <c r="E3141" s="9">
        <f t="shared" si="147"/>
        <v>2.1994056783611035E-2</v>
      </c>
      <c r="F3141" s="9">
        <f t="shared" si="145"/>
        <v>8.8466465032940658E-3</v>
      </c>
      <c r="G3141" s="9">
        <f t="shared" si="146"/>
        <v>1.1482979677500754E-2</v>
      </c>
    </row>
    <row r="3142" spans="1:7" x14ac:dyDescent="0.2">
      <c r="A3142" s="12">
        <v>41703</v>
      </c>
      <c r="B3142" s="9">
        <v>2918.64</v>
      </c>
      <c r="C3142" s="9">
        <v>2899.69</v>
      </c>
      <c r="D3142" s="9">
        <v>2914.34</v>
      </c>
      <c r="E3142" s="9">
        <f t="shared" si="147"/>
        <v>3.4509816603503938E-3</v>
      </c>
      <c r="F3142" s="9">
        <f t="shared" si="145"/>
        <v>7.2145540065323404E-3</v>
      </c>
      <c r="G3142" s="9">
        <f t="shared" si="146"/>
        <v>1.1463361811026276E-2</v>
      </c>
    </row>
    <row r="3143" spans="1:7" x14ac:dyDescent="0.2">
      <c r="A3143" s="12">
        <v>41704</v>
      </c>
      <c r="B3143" s="9">
        <v>2932.13</v>
      </c>
      <c r="C3143" s="9">
        <v>2915.3</v>
      </c>
      <c r="D3143" s="9">
        <v>2929.65</v>
      </c>
      <c r="E3143" s="9">
        <f t="shared" si="147"/>
        <v>5.2395828965240065E-3</v>
      </c>
      <c r="F3143" s="9">
        <f t="shared" si="145"/>
        <v>2.5695538850508792E-2</v>
      </c>
      <c r="G3143" s="9">
        <f t="shared" si="146"/>
        <v>1.1207596041914049E-2</v>
      </c>
    </row>
    <row r="3144" spans="1:7" x14ac:dyDescent="0.2">
      <c r="A3144" s="12">
        <v>41705</v>
      </c>
      <c r="B3144" s="9">
        <v>2927.88</v>
      </c>
      <c r="C3144" s="9">
        <v>2885.18</v>
      </c>
      <c r="D3144" s="9">
        <v>2889.01</v>
      </c>
      <c r="E3144" s="9">
        <f t="shared" si="147"/>
        <v>-1.3969079085434844E-2</v>
      </c>
      <c r="F3144" s="9">
        <f t="shared" si="145"/>
        <v>3.2298541045828862E-2</v>
      </c>
      <c r="G3144" s="9">
        <f t="shared" si="146"/>
        <v>1.0830761114349746E-2</v>
      </c>
    </row>
    <row r="3145" spans="1:7" x14ac:dyDescent="0.2">
      <c r="A3145" s="12">
        <v>41708</v>
      </c>
      <c r="B3145" s="9">
        <v>2891.88</v>
      </c>
      <c r="C3145" s="9">
        <v>2853.7</v>
      </c>
      <c r="D3145" s="9">
        <v>2864.86</v>
      </c>
      <c r="E3145" s="9">
        <f t="shared" si="147"/>
        <v>-8.3943995302447668E-3</v>
      </c>
      <c r="F3145" s="9">
        <f t="shared" si="145"/>
        <v>3.5619907151809294E-2</v>
      </c>
      <c r="G3145" s="9">
        <f t="shared" si="146"/>
        <v>1.071181040292337E-2</v>
      </c>
    </row>
    <row r="3146" spans="1:7" x14ac:dyDescent="0.2">
      <c r="A3146" s="12">
        <v>41709</v>
      </c>
      <c r="B3146" s="9">
        <v>2885.89</v>
      </c>
      <c r="C3146" s="9">
        <v>2858.64</v>
      </c>
      <c r="D3146" s="9">
        <v>2866.69</v>
      </c>
      <c r="E3146" s="9">
        <f t="shared" si="147"/>
        <v>6.3857073991678364E-4</v>
      </c>
      <c r="F3146" s="9">
        <f t="shared" si="145"/>
        <v>2.7994980248012037E-2</v>
      </c>
      <c r="G3146" s="9">
        <f t="shared" si="146"/>
        <v>1.0628255427121381E-2</v>
      </c>
    </row>
    <row r="3147" spans="1:7" x14ac:dyDescent="0.2">
      <c r="A3147" s="12">
        <v>41710</v>
      </c>
      <c r="B3147" s="9">
        <v>2857.36</v>
      </c>
      <c r="C3147" s="9">
        <v>2807.85</v>
      </c>
      <c r="D3147" s="9">
        <v>2816.48</v>
      </c>
      <c r="E3147" s="9">
        <f t="shared" si="147"/>
        <v>-1.7670175777585197E-2</v>
      </c>
      <c r="F3147" s="9">
        <f t="shared" si="145"/>
        <v>1.2591006895193824E-2</v>
      </c>
      <c r="G3147" s="9">
        <f t="shared" si="146"/>
        <v>1.1147558172953955E-2</v>
      </c>
    </row>
    <row r="3148" spans="1:7" x14ac:dyDescent="0.2">
      <c r="A3148" s="12">
        <v>41711</v>
      </c>
      <c r="B3148" s="9">
        <v>2832.15</v>
      </c>
      <c r="C3148" s="9">
        <v>2775.97</v>
      </c>
      <c r="D3148" s="9">
        <v>2776.49</v>
      </c>
      <c r="E3148" s="9">
        <f t="shared" si="147"/>
        <v>-1.4300338279248462E-2</v>
      </c>
      <c r="F3148" s="9">
        <f t="shared" si="145"/>
        <v>5.2831742411652048E-3</v>
      </c>
      <c r="G3148" s="9">
        <f t="shared" si="146"/>
        <v>1.1392272235831571E-2</v>
      </c>
    </row>
    <row r="3149" spans="1:7" x14ac:dyDescent="0.2">
      <c r="A3149" s="12">
        <v>41712</v>
      </c>
      <c r="B3149" s="9">
        <v>2780.64</v>
      </c>
      <c r="C3149" s="9">
        <v>2741.12</v>
      </c>
      <c r="D3149" s="9">
        <v>2777</v>
      </c>
      <c r="E3149" s="9">
        <f t="shared" si="147"/>
        <v>1.8366828838574554E-4</v>
      </c>
      <c r="F3149" s="9">
        <f t="shared" si="145"/>
        <v>2.1217383443516043E-2</v>
      </c>
      <c r="G3149" s="9">
        <f t="shared" si="146"/>
        <v>1.0988412101381422E-2</v>
      </c>
    </row>
    <row r="3150" spans="1:7" x14ac:dyDescent="0.2">
      <c r="A3150" s="12">
        <v>41715</v>
      </c>
      <c r="B3150" s="9">
        <v>2820.72</v>
      </c>
      <c r="C3150" s="9">
        <v>2770.96</v>
      </c>
      <c r="D3150" s="9">
        <v>2819.9</v>
      </c>
      <c r="E3150" s="9">
        <f t="shared" si="147"/>
        <v>1.5330215003696157E-2</v>
      </c>
      <c r="F3150" s="9">
        <f t="shared" si="145"/>
        <v>4.6316719398482455E-2</v>
      </c>
      <c r="G3150" s="9">
        <f t="shared" si="146"/>
        <v>1.1118001161254184E-2</v>
      </c>
    </row>
    <row r="3151" spans="1:7" x14ac:dyDescent="0.2">
      <c r="A3151" s="12">
        <v>41716</v>
      </c>
      <c r="B3151" s="9">
        <v>2847.8</v>
      </c>
      <c r="C3151" s="9">
        <v>2798.83</v>
      </c>
      <c r="D3151" s="9">
        <v>2844.21</v>
      </c>
      <c r="E3151" s="9">
        <f t="shared" si="147"/>
        <v>8.5839255490694402E-3</v>
      </c>
      <c r="F3151" s="9">
        <f t="shared" si="145"/>
        <v>4.7108686033072021E-2</v>
      </c>
      <c r="G3151" s="9">
        <f t="shared" si="146"/>
        <v>1.1134276639306148E-2</v>
      </c>
    </row>
    <row r="3152" spans="1:7" x14ac:dyDescent="0.2">
      <c r="A3152" s="12">
        <v>41717</v>
      </c>
      <c r="B3152" s="9">
        <v>2851.56</v>
      </c>
      <c r="C3152" s="9">
        <v>2814.01</v>
      </c>
      <c r="D3152" s="9">
        <v>2822.64</v>
      </c>
      <c r="E3152" s="9">
        <f t="shared" si="147"/>
        <v>-7.6127316486742742E-3</v>
      </c>
      <c r="F3152" s="9">
        <f t="shared" si="145"/>
        <v>3.2711884642099301E-2</v>
      </c>
      <c r="G3152" s="9">
        <f t="shared" si="146"/>
        <v>1.1211796153212515E-2</v>
      </c>
    </row>
    <row r="3153" spans="1:7" x14ac:dyDescent="0.2">
      <c r="A3153" s="12">
        <v>41718</v>
      </c>
      <c r="B3153" s="9">
        <v>2826.05</v>
      </c>
      <c r="C3153" s="9">
        <v>2783.14</v>
      </c>
      <c r="D3153" s="9">
        <v>2791.26</v>
      </c>
      <c r="E3153" s="9">
        <f t="shared" si="147"/>
        <v>-1.1179510438668357E-2</v>
      </c>
      <c r="F3153" s="9">
        <f t="shared" si="145"/>
        <v>-6.5454584367286156E-3</v>
      </c>
      <c r="G3153" s="9">
        <f t="shared" si="146"/>
        <v>1.0198519832918276E-2</v>
      </c>
    </row>
    <row r="3154" spans="1:7" x14ac:dyDescent="0.2">
      <c r="A3154" s="12">
        <v>41719</v>
      </c>
      <c r="B3154" s="9">
        <v>2803.91</v>
      </c>
      <c r="C3154" s="9">
        <v>2776.56</v>
      </c>
      <c r="D3154" s="9">
        <v>2778.29</v>
      </c>
      <c r="E3154" s="9">
        <f t="shared" si="147"/>
        <v>-4.6574762576942546E-3</v>
      </c>
      <c r="F3154" s="9">
        <f t="shared" si="145"/>
        <v>-1.9041607484480173E-2</v>
      </c>
      <c r="G3154" s="9">
        <f t="shared" si="146"/>
        <v>1.0112937595817821E-2</v>
      </c>
    </row>
    <row r="3155" spans="1:7" x14ac:dyDescent="0.2">
      <c r="A3155" s="12">
        <v>41722</v>
      </c>
      <c r="B3155" s="9">
        <v>2788.67</v>
      </c>
      <c r="C3155" s="9">
        <v>2740.05</v>
      </c>
      <c r="D3155" s="9">
        <v>2745.48</v>
      </c>
      <c r="E3155" s="9">
        <f t="shared" si="147"/>
        <v>-1.1879707469739225E-2</v>
      </c>
      <c r="F3155" s="9">
        <f t="shared" si="145"/>
        <v>-3.9571157914966446E-2</v>
      </c>
      <c r="G3155" s="9">
        <f t="shared" si="146"/>
        <v>1.0157503720691482E-2</v>
      </c>
    </row>
    <row r="3156" spans="1:7" x14ac:dyDescent="0.2">
      <c r="A3156" s="12">
        <v>41723</v>
      </c>
      <c r="B3156" s="9">
        <v>2790.95</v>
      </c>
      <c r="C3156" s="9">
        <v>2751.29</v>
      </c>
      <c r="D3156" s="9">
        <v>2782.28</v>
      </c>
      <c r="E3156" s="9">
        <f t="shared" si="147"/>
        <v>1.3314812390563112E-2</v>
      </c>
      <c r="F3156" s="9">
        <f t="shared" si="145"/>
        <v>-3.8885016204279518E-2</v>
      </c>
      <c r="G3156" s="9">
        <f t="shared" si="146"/>
        <v>1.019071057872239E-2</v>
      </c>
    </row>
    <row r="3157" spans="1:7" x14ac:dyDescent="0.2">
      <c r="A3157" s="12">
        <v>41724</v>
      </c>
      <c r="B3157" s="9">
        <v>2824.91</v>
      </c>
      <c r="C3157" s="9">
        <v>2786.63</v>
      </c>
      <c r="D3157" s="9">
        <v>2815.89</v>
      </c>
      <c r="E3157" s="9">
        <f t="shared" si="147"/>
        <v>1.200763957962169E-2</v>
      </c>
      <c r="F3157" s="9">
        <f t="shared" si="145"/>
        <v>-2.5379331932506157E-2</v>
      </c>
      <c r="G3157" s="9">
        <f t="shared" si="146"/>
        <v>1.0475813332672914E-2</v>
      </c>
    </row>
    <row r="3158" spans="1:7" x14ac:dyDescent="0.2">
      <c r="A3158" s="12">
        <v>41725</v>
      </c>
      <c r="B3158" s="9">
        <v>2815.66</v>
      </c>
      <c r="C3158" s="9">
        <v>2783.68</v>
      </c>
      <c r="D3158" s="9">
        <v>2797.11</v>
      </c>
      <c r="E3158" s="9">
        <f t="shared" si="147"/>
        <v>-6.6916337350643104E-3</v>
      </c>
      <c r="F3158" s="9">
        <f t="shared" si="145"/>
        <v>-3.0893096988449779E-2</v>
      </c>
      <c r="G3158" s="9">
        <f t="shared" si="146"/>
        <v>1.0530064413675178E-2</v>
      </c>
    </row>
    <row r="3159" spans="1:7" x14ac:dyDescent="0.2">
      <c r="A3159" s="12">
        <v>41726</v>
      </c>
      <c r="B3159" s="9">
        <v>2831.05</v>
      </c>
      <c r="C3159" s="9">
        <v>2806.19</v>
      </c>
      <c r="D3159" s="9">
        <v>2828.62</v>
      </c>
      <c r="E3159" s="9">
        <f t="shared" si="147"/>
        <v>1.1202218917143356E-2</v>
      </c>
      <c r="F3159" s="9">
        <f t="shared" si="145"/>
        <v>-2.1633618083411833E-2</v>
      </c>
      <c r="G3159" s="9">
        <f t="shared" si="146"/>
        <v>1.075352908185259E-2</v>
      </c>
    </row>
    <row r="3160" spans="1:7" x14ac:dyDescent="0.2">
      <c r="A3160" s="12">
        <v>41729</v>
      </c>
      <c r="B3160" s="9">
        <v>2853.77</v>
      </c>
      <c r="C3160" s="9">
        <v>2823.28</v>
      </c>
      <c r="D3160" s="9">
        <v>2843.44</v>
      </c>
      <c r="E3160" s="9">
        <f t="shared" si="147"/>
        <v>5.2256265710670467E-3</v>
      </c>
      <c r="F3160" s="9">
        <f t="shared" si="145"/>
        <v>-2.046826584153941E-2</v>
      </c>
      <c r="G3160" s="9">
        <f t="shared" si="146"/>
        <v>1.0773482835779863E-2</v>
      </c>
    </row>
    <row r="3161" spans="1:7" x14ac:dyDescent="0.2">
      <c r="A3161" s="12">
        <v>41730</v>
      </c>
      <c r="B3161" s="9">
        <v>2908.95</v>
      </c>
      <c r="C3161" s="9">
        <v>2862.67</v>
      </c>
      <c r="D3161" s="9">
        <v>2904.68</v>
      </c>
      <c r="E3161" s="9">
        <f t="shared" si="147"/>
        <v>2.130864254505882E-2</v>
      </c>
      <c r="F3161" s="9">
        <f t="shared" si="145"/>
        <v>1.4400934070597266E-3</v>
      </c>
      <c r="G3161" s="9">
        <f t="shared" si="146"/>
        <v>1.149747272811546E-2</v>
      </c>
    </row>
    <row r="3162" spans="1:7" x14ac:dyDescent="0.2">
      <c r="A3162" s="12">
        <v>41731</v>
      </c>
      <c r="B3162" s="9">
        <v>2917.36</v>
      </c>
      <c r="C3162" s="9">
        <v>2902.71</v>
      </c>
      <c r="D3162" s="9">
        <v>2910.16</v>
      </c>
      <c r="E3162" s="9">
        <f t="shared" si="147"/>
        <v>1.884833158729105E-3</v>
      </c>
      <c r="F3162" s="9">
        <f t="shared" si="145"/>
        <v>8.6286769617183916E-4</v>
      </c>
      <c r="G3162" s="9">
        <f t="shared" si="146"/>
        <v>1.1493775928861074E-2</v>
      </c>
    </row>
    <row r="3163" spans="1:7" x14ac:dyDescent="0.2">
      <c r="A3163" s="12">
        <v>41732</v>
      </c>
      <c r="B3163" s="9">
        <v>2905.47</v>
      </c>
      <c r="C3163" s="9">
        <v>2883.92</v>
      </c>
      <c r="D3163" s="9">
        <v>2894.79</v>
      </c>
      <c r="E3163" s="9">
        <f t="shared" si="147"/>
        <v>-5.2954929559862387E-3</v>
      </c>
      <c r="F3163" s="9">
        <f t="shared" si="145"/>
        <v>-4.4532602677938996E-3</v>
      </c>
      <c r="G3163" s="9">
        <f t="shared" si="146"/>
        <v>1.1534812757172837E-2</v>
      </c>
    </row>
    <row r="3164" spans="1:7" x14ac:dyDescent="0.2">
      <c r="A3164" s="12">
        <v>41733</v>
      </c>
      <c r="B3164" s="9">
        <v>2909.67</v>
      </c>
      <c r="C3164" s="9">
        <v>2892.09</v>
      </c>
      <c r="D3164" s="9">
        <v>2900.48</v>
      </c>
      <c r="E3164" s="9">
        <f t="shared" si="147"/>
        <v>1.9636710035558893E-3</v>
      </c>
      <c r="F3164" s="9">
        <f t="shared" si="145"/>
        <v>-8.2917364187245872E-3</v>
      </c>
      <c r="G3164" s="9">
        <f t="shared" si="146"/>
        <v>1.1487723034436563E-2</v>
      </c>
    </row>
    <row r="3165" spans="1:7" x14ac:dyDescent="0.2">
      <c r="A3165" s="12">
        <v>41736</v>
      </c>
      <c r="B3165" s="9">
        <v>2875.19</v>
      </c>
      <c r="C3165" s="9">
        <v>2857.2</v>
      </c>
      <c r="D3165" s="9">
        <v>2862.38</v>
      </c>
      <c r="E3165" s="9">
        <f t="shared" si="147"/>
        <v>-1.3222793933088601E-2</v>
      </c>
      <c r="F3165" s="9">
        <f t="shared" si="145"/>
        <v>-2.5898624332209165E-2</v>
      </c>
      <c r="G3165" s="9">
        <f t="shared" si="146"/>
        <v>1.1689401977782942E-2</v>
      </c>
    </row>
    <row r="3166" spans="1:7" x14ac:dyDescent="0.2">
      <c r="A3166" s="12">
        <v>41737</v>
      </c>
      <c r="B3166" s="9">
        <v>2882.92</v>
      </c>
      <c r="C3166" s="9">
        <v>2839.92</v>
      </c>
      <c r="D3166" s="9">
        <v>2864.89</v>
      </c>
      <c r="E3166" s="9">
        <f t="shared" si="147"/>
        <v>8.7650841000876621E-4</v>
      </c>
      <c r="F3166" s="9">
        <f t="shared" si="145"/>
        <v>-2.6379501377980584E-2</v>
      </c>
      <c r="G3166" s="9">
        <f t="shared" si="146"/>
        <v>1.168658121258195E-2</v>
      </c>
    </row>
    <row r="3167" spans="1:7" x14ac:dyDescent="0.2">
      <c r="A3167" s="12">
        <v>41738</v>
      </c>
      <c r="B3167" s="9">
        <v>2863.77</v>
      </c>
      <c r="C3167" s="9">
        <v>2833.02</v>
      </c>
      <c r="D3167" s="9">
        <v>2857.77</v>
      </c>
      <c r="E3167" s="9">
        <f t="shared" si="147"/>
        <v>-2.4883546021834033E-3</v>
      </c>
      <c r="F3167" s="9">
        <f t="shared" si="145"/>
        <v>-2.1754322096674054E-2</v>
      </c>
      <c r="G3167" s="9">
        <f t="shared" si="146"/>
        <v>1.1631882013040284E-2</v>
      </c>
    </row>
    <row r="3168" spans="1:7" x14ac:dyDescent="0.2">
      <c r="A3168" s="12">
        <v>41739</v>
      </c>
      <c r="B3168" s="9">
        <v>2881.46</v>
      </c>
      <c r="C3168" s="9">
        <v>2831.96</v>
      </c>
      <c r="D3168" s="9">
        <v>2832.4</v>
      </c>
      <c r="E3168" s="9">
        <f t="shared" si="147"/>
        <v>-8.9171916165954098E-3</v>
      </c>
      <c r="F3168" s="9">
        <f t="shared" si="145"/>
        <v>-3.0603032757796397E-2</v>
      </c>
      <c r="G3168" s="9">
        <f t="shared" si="146"/>
        <v>1.1726463062912371E-2</v>
      </c>
    </row>
    <row r="3169" spans="1:7" x14ac:dyDescent="0.2">
      <c r="A3169" s="12">
        <v>41740</v>
      </c>
      <c r="B3169" s="9">
        <v>2814.66</v>
      </c>
      <c r="C3169" s="9">
        <v>2776.25</v>
      </c>
      <c r="D3169" s="9">
        <v>2791.22</v>
      </c>
      <c r="E3169" s="9">
        <f t="shared" si="147"/>
        <v>-1.4645632553826941E-2</v>
      </c>
      <c r="F3169" s="9">
        <f t="shared" ref="F3169:F3232" si="148">LN(D3169/D3139)</f>
        <v>-4.5799803974600026E-2</v>
      </c>
      <c r="G3169" s="9">
        <f t="shared" ref="G3169:G3232" si="149">STDEV(E3140:E3169)</f>
        <v>1.1981705011383055E-2</v>
      </c>
    </row>
    <row r="3170" spans="1:7" x14ac:dyDescent="0.2">
      <c r="A3170" s="12">
        <v>41743</v>
      </c>
      <c r="B3170" s="9">
        <v>2778.61</v>
      </c>
      <c r="C3170" s="9">
        <v>2746.18</v>
      </c>
      <c r="D3170" s="9">
        <v>2770.59</v>
      </c>
      <c r="E3170" s="9">
        <f t="shared" si="147"/>
        <v>-7.4184823330265383E-3</v>
      </c>
      <c r="F3170" s="9">
        <f t="shared" si="148"/>
        <v>-2.5138046719759104E-2</v>
      </c>
      <c r="G3170" s="9">
        <f t="shared" si="149"/>
        <v>1.0952353089321406E-2</v>
      </c>
    </row>
    <row r="3171" spans="1:7" x14ac:dyDescent="0.2">
      <c r="A3171" s="12">
        <v>41744</v>
      </c>
      <c r="B3171" s="9">
        <v>2782.75</v>
      </c>
      <c r="C3171" s="9">
        <v>2740.19</v>
      </c>
      <c r="D3171" s="9">
        <v>2740.28</v>
      </c>
      <c r="E3171" s="9">
        <f t="shared" si="147"/>
        <v>-1.1000188948647472E-2</v>
      </c>
      <c r="F3171" s="9">
        <f t="shared" si="148"/>
        <v>-5.8132292452017731E-2</v>
      </c>
      <c r="G3171" s="9">
        <f t="shared" si="149"/>
        <v>1.0212148494963508E-2</v>
      </c>
    </row>
    <row r="3172" spans="1:7" x14ac:dyDescent="0.2">
      <c r="A3172" s="12">
        <v>41745</v>
      </c>
      <c r="B3172" s="9">
        <v>2777.54</v>
      </c>
      <c r="C3172" s="9">
        <v>2747.62</v>
      </c>
      <c r="D3172" s="9">
        <v>2776.71</v>
      </c>
      <c r="E3172" s="9">
        <f t="shared" si="147"/>
        <v>1.3206668671381589E-2</v>
      </c>
      <c r="F3172" s="9">
        <f t="shared" si="148"/>
        <v>-4.8376605440986521E-2</v>
      </c>
      <c r="G3172" s="9">
        <f t="shared" si="149"/>
        <v>1.0539733908469791E-2</v>
      </c>
    </row>
    <row r="3173" spans="1:7" x14ac:dyDescent="0.2">
      <c r="A3173" s="12">
        <v>41746</v>
      </c>
      <c r="B3173" s="9">
        <v>2788.98</v>
      </c>
      <c r="C3173" s="9">
        <v>2769.84</v>
      </c>
      <c r="D3173" s="9">
        <v>2788.98</v>
      </c>
      <c r="E3173" s="9">
        <f t="shared" si="147"/>
        <v>4.4091639592348858E-3</v>
      </c>
      <c r="F3173" s="9">
        <f t="shared" si="148"/>
        <v>-4.9207024378275663E-2</v>
      </c>
      <c r="G3173" s="9">
        <f t="shared" si="149"/>
        <v>1.0522193386782418E-2</v>
      </c>
    </row>
    <row r="3174" spans="1:7" x14ac:dyDescent="0.2">
      <c r="A3174" s="12">
        <v>41751</v>
      </c>
      <c r="B3174" s="9">
        <v>2839.74</v>
      </c>
      <c r="C3174" s="9">
        <v>2802.21</v>
      </c>
      <c r="D3174" s="9">
        <v>2838.24</v>
      </c>
      <c r="E3174" s="9">
        <f t="shared" si="147"/>
        <v>1.7508204167895013E-2</v>
      </c>
      <c r="F3174" s="9">
        <f t="shared" si="148"/>
        <v>-1.7729741124945908E-2</v>
      </c>
      <c r="G3174" s="9">
        <f t="shared" si="149"/>
        <v>1.0815721342627543E-2</v>
      </c>
    </row>
    <row r="3175" spans="1:7" x14ac:dyDescent="0.2">
      <c r="A3175" s="12">
        <v>41752</v>
      </c>
      <c r="B3175" s="9">
        <v>2848.43</v>
      </c>
      <c r="C3175" s="9">
        <v>2829.77</v>
      </c>
      <c r="D3175" s="9">
        <v>2843.06</v>
      </c>
      <c r="E3175" s="9">
        <f t="shared" si="147"/>
        <v>1.6967951547863834E-3</v>
      </c>
      <c r="F3175" s="9">
        <f t="shared" si="148"/>
        <v>-7.6385464399146216E-3</v>
      </c>
      <c r="G3175" s="9">
        <f t="shared" si="149"/>
        <v>1.0721170480937422E-2</v>
      </c>
    </row>
    <row r="3176" spans="1:7" x14ac:dyDescent="0.2">
      <c r="A3176" s="12">
        <v>41753</v>
      </c>
      <c r="B3176" s="9">
        <v>2864.89</v>
      </c>
      <c r="C3176" s="9">
        <v>2820.1</v>
      </c>
      <c r="D3176" s="9">
        <v>2843.43</v>
      </c>
      <c r="E3176" s="9">
        <f t="shared" si="147"/>
        <v>1.3013299962618901E-4</v>
      </c>
      <c r="F3176" s="9">
        <f t="shared" si="148"/>
        <v>-8.1469841802052842E-3</v>
      </c>
      <c r="G3176" s="9">
        <f t="shared" si="149"/>
        <v>1.072011166305422E-2</v>
      </c>
    </row>
    <row r="3177" spans="1:7" x14ac:dyDescent="0.2">
      <c r="A3177" s="12">
        <v>41754</v>
      </c>
      <c r="B3177" s="9">
        <v>2825.06</v>
      </c>
      <c r="C3177" s="9">
        <v>2799.62</v>
      </c>
      <c r="D3177" s="9">
        <v>2803.2</v>
      </c>
      <c r="E3177" s="9">
        <f t="shared" si="147"/>
        <v>-1.4249448152969718E-2</v>
      </c>
      <c r="F3177" s="9">
        <f t="shared" si="148"/>
        <v>-4.7262565555899836E-3</v>
      </c>
      <c r="G3177" s="9">
        <f t="shared" si="149"/>
        <v>1.0545439527978087E-2</v>
      </c>
    </row>
    <row r="3178" spans="1:7" x14ac:dyDescent="0.2">
      <c r="A3178" s="12">
        <v>41757</v>
      </c>
      <c r="B3178" s="9">
        <v>2816.33</v>
      </c>
      <c r="C3178" s="9">
        <v>2785.33</v>
      </c>
      <c r="D3178" s="9">
        <v>2787.21</v>
      </c>
      <c r="E3178" s="9">
        <f t="shared" si="147"/>
        <v>-5.7205262602444493E-3</v>
      </c>
      <c r="F3178" s="9">
        <f t="shared" si="148"/>
        <v>3.853555463413978E-3</v>
      </c>
      <c r="G3178" s="9">
        <f t="shared" si="149"/>
        <v>1.0261170335795764E-2</v>
      </c>
    </row>
    <row r="3179" spans="1:7" x14ac:dyDescent="0.2">
      <c r="A3179" s="12">
        <v>41758</v>
      </c>
      <c r="B3179" s="9">
        <v>2865.44</v>
      </c>
      <c r="C3179" s="9">
        <v>2822.54</v>
      </c>
      <c r="D3179" s="9">
        <v>2843.77</v>
      </c>
      <c r="E3179" s="9">
        <f t="shared" si="147"/>
        <v>2.0089541159734603E-2</v>
      </c>
      <c r="F3179" s="9">
        <f t="shared" si="148"/>
        <v>2.3759428334762658E-2</v>
      </c>
      <c r="G3179" s="9">
        <f t="shared" si="149"/>
        <v>1.0889239856541144E-2</v>
      </c>
    </row>
    <row r="3180" spans="1:7" x14ac:dyDescent="0.2">
      <c r="A3180" s="12">
        <v>41759</v>
      </c>
      <c r="B3180" s="9">
        <v>2852.84</v>
      </c>
      <c r="C3180" s="9">
        <v>2826.97</v>
      </c>
      <c r="D3180" s="9">
        <v>2842.35</v>
      </c>
      <c r="E3180" s="9">
        <f t="shared" si="147"/>
        <v>-4.9946185782920901E-4</v>
      </c>
      <c r="F3180" s="9">
        <f t="shared" si="148"/>
        <v>7.9297514732375122E-3</v>
      </c>
      <c r="G3180" s="9">
        <f t="shared" si="149"/>
        <v>1.0538346640555472E-2</v>
      </c>
    </row>
    <row r="3181" spans="1:7" x14ac:dyDescent="0.2">
      <c r="A3181" s="12">
        <v>41761</v>
      </c>
      <c r="B3181" s="9">
        <v>2855.85</v>
      </c>
      <c r="C3181" s="9">
        <v>2835.86</v>
      </c>
      <c r="D3181" s="9">
        <v>2843.91</v>
      </c>
      <c r="E3181" s="9">
        <f t="shared" si="147"/>
        <v>5.4869106904648849E-4</v>
      </c>
      <c r="F3181" s="9">
        <f t="shared" si="148"/>
        <v>-1.0548300678550241E-4</v>
      </c>
      <c r="G3181" s="9">
        <f t="shared" si="149"/>
        <v>1.0421064034452686E-2</v>
      </c>
    </row>
    <row r="3182" spans="1:7" x14ac:dyDescent="0.2">
      <c r="A3182" s="12">
        <v>41764</v>
      </c>
      <c r="B3182" s="9">
        <v>2851.55</v>
      </c>
      <c r="C3182" s="9">
        <v>2814.15</v>
      </c>
      <c r="D3182" s="9">
        <v>2839.82</v>
      </c>
      <c r="E3182" s="9">
        <f t="shared" si="147"/>
        <v>-1.4391959878329126E-3</v>
      </c>
      <c r="F3182" s="9">
        <f t="shared" si="148"/>
        <v>6.0680526540559422E-3</v>
      </c>
      <c r="G3182" s="9">
        <f t="shared" si="149"/>
        <v>1.0326145741032858E-2</v>
      </c>
    </row>
    <row r="3183" spans="1:7" x14ac:dyDescent="0.2">
      <c r="A3183" s="12">
        <v>41765</v>
      </c>
      <c r="B3183" s="9">
        <v>2852.92</v>
      </c>
      <c r="C3183" s="9">
        <v>2824.96</v>
      </c>
      <c r="D3183" s="9">
        <v>2833.52</v>
      </c>
      <c r="E3183" s="9">
        <f t="shared" si="147"/>
        <v>-2.2209148718543622E-3</v>
      </c>
      <c r="F3183" s="9">
        <f t="shared" si="148"/>
        <v>1.5026648220869975E-2</v>
      </c>
      <c r="G3183" s="9">
        <f t="shared" si="149"/>
        <v>1.0112984147820791E-2</v>
      </c>
    </row>
    <row r="3184" spans="1:7" x14ac:dyDescent="0.2">
      <c r="A3184" s="12">
        <v>41766</v>
      </c>
      <c r="B3184" s="9">
        <v>2849.85</v>
      </c>
      <c r="C3184" s="9">
        <v>2825.59</v>
      </c>
      <c r="D3184" s="9">
        <v>2843.08</v>
      </c>
      <c r="E3184" s="9">
        <f t="shared" si="147"/>
        <v>3.3682165514878244E-3</v>
      </c>
      <c r="F3184" s="9">
        <f t="shared" si="148"/>
        <v>2.3052341030052225E-2</v>
      </c>
      <c r="G3184" s="9">
        <f t="shared" si="149"/>
        <v>1.0077915068121474E-2</v>
      </c>
    </row>
    <row r="3185" spans="1:7" x14ac:dyDescent="0.2">
      <c r="A3185" s="12">
        <v>41767</v>
      </c>
      <c r="B3185" s="9">
        <v>2882.18</v>
      </c>
      <c r="C3185" s="9">
        <v>2849.97</v>
      </c>
      <c r="D3185" s="9">
        <v>2881.53</v>
      </c>
      <c r="E3185" s="9">
        <f t="shared" si="147"/>
        <v>1.3433431522087737E-2</v>
      </c>
      <c r="F3185" s="9">
        <f t="shared" si="148"/>
        <v>4.8365480021879195E-2</v>
      </c>
      <c r="G3185" s="9">
        <f t="shared" si="149"/>
        <v>1.0042042855582259E-2</v>
      </c>
    </row>
    <row r="3186" spans="1:7" x14ac:dyDescent="0.2">
      <c r="A3186" s="12">
        <v>41768</v>
      </c>
      <c r="B3186" s="9">
        <v>2885.78</v>
      </c>
      <c r="C3186" s="9">
        <v>2861.5</v>
      </c>
      <c r="D3186" s="9">
        <v>2878.51</v>
      </c>
      <c r="E3186" s="9">
        <f t="shared" si="147"/>
        <v>-1.048603925224512E-3</v>
      </c>
      <c r="F3186" s="9">
        <f t="shared" si="148"/>
        <v>3.4002063706091545E-2</v>
      </c>
      <c r="G3186" s="9">
        <f t="shared" si="149"/>
        <v>9.8044455702603374E-3</v>
      </c>
    </row>
    <row r="3187" spans="1:7" x14ac:dyDescent="0.2">
      <c r="A3187" s="12">
        <v>41771</v>
      </c>
      <c r="B3187" s="9">
        <v>2901.53</v>
      </c>
      <c r="C3187" s="9">
        <v>2883.23</v>
      </c>
      <c r="D3187" s="9">
        <v>2901.46</v>
      </c>
      <c r="E3187" s="9">
        <f t="shared" si="147"/>
        <v>7.9412594214191626E-3</v>
      </c>
      <c r="F3187" s="9">
        <f t="shared" si="148"/>
        <v>2.993568354788927E-2</v>
      </c>
      <c r="G3187" s="9">
        <f t="shared" si="149"/>
        <v>9.6761957016038517E-3</v>
      </c>
    </row>
    <row r="3188" spans="1:7" x14ac:dyDescent="0.2">
      <c r="A3188" s="12">
        <v>41772</v>
      </c>
      <c r="B3188" s="9">
        <v>2937.5</v>
      </c>
      <c r="C3188" s="9">
        <v>2912.46</v>
      </c>
      <c r="D3188" s="9">
        <v>2934.38</v>
      </c>
      <c r="E3188" s="9">
        <f t="shared" si="147"/>
        <v>1.1282128772675181E-2</v>
      </c>
      <c r="F3188" s="9">
        <f t="shared" si="148"/>
        <v>4.7909446055628864E-2</v>
      </c>
      <c r="G3188" s="9">
        <f t="shared" si="149"/>
        <v>9.7398994653985944E-3</v>
      </c>
    </row>
    <row r="3189" spans="1:7" x14ac:dyDescent="0.2">
      <c r="A3189" s="12">
        <v>41773</v>
      </c>
      <c r="B3189" s="9">
        <v>2938.65</v>
      </c>
      <c r="C3189" s="9">
        <v>2917.1</v>
      </c>
      <c r="D3189" s="9">
        <v>2922.46</v>
      </c>
      <c r="E3189" s="9">
        <f t="shared" si="147"/>
        <v>-4.0704599948717642E-3</v>
      </c>
      <c r="F3189" s="9">
        <f t="shared" si="148"/>
        <v>3.2636767143613715E-2</v>
      </c>
      <c r="G3189" s="9">
        <f t="shared" si="149"/>
        <v>9.6189248758450207E-3</v>
      </c>
    </row>
    <row r="3190" spans="1:7" x14ac:dyDescent="0.2">
      <c r="A3190" s="12">
        <v>41774</v>
      </c>
      <c r="B3190" s="9">
        <v>2923.15</v>
      </c>
      <c r="C3190" s="9">
        <v>2876.76</v>
      </c>
      <c r="D3190" s="9">
        <v>2891.94</v>
      </c>
      <c r="E3190" s="9">
        <f t="shared" si="147"/>
        <v>-1.0498170165197515E-2</v>
      </c>
      <c r="F3190" s="9">
        <f t="shared" si="148"/>
        <v>1.6912970407348977E-2</v>
      </c>
      <c r="G3190" s="9">
        <f t="shared" si="149"/>
        <v>9.8121362122606994E-3</v>
      </c>
    </row>
    <row r="3191" spans="1:7" x14ac:dyDescent="0.2">
      <c r="A3191" s="12">
        <v>41775</v>
      </c>
      <c r="B3191" s="9">
        <v>2892.6</v>
      </c>
      <c r="C3191" s="9">
        <v>2866.86</v>
      </c>
      <c r="D3191" s="9">
        <v>2875.14</v>
      </c>
      <c r="E3191" s="9">
        <f t="shared" si="147"/>
        <v>-5.8261884774389594E-3</v>
      </c>
      <c r="F3191" s="9">
        <f t="shared" si="148"/>
        <v>-1.0221860615148818E-2</v>
      </c>
      <c r="G3191" s="9">
        <f t="shared" si="149"/>
        <v>9.0553866433782746E-3</v>
      </c>
    </row>
    <row r="3192" spans="1:7" x14ac:dyDescent="0.2">
      <c r="A3192" s="12">
        <v>41778</v>
      </c>
      <c r="B3192" s="9">
        <v>2898.67</v>
      </c>
      <c r="C3192" s="9">
        <v>2866.27</v>
      </c>
      <c r="D3192" s="9">
        <v>2896.3</v>
      </c>
      <c r="E3192" s="9">
        <f t="shared" si="147"/>
        <v>7.3326916026043723E-3</v>
      </c>
      <c r="F3192" s="9">
        <f t="shared" si="148"/>
        <v>-4.7740021712735581E-3</v>
      </c>
      <c r="G3192" s="9">
        <f t="shared" si="149"/>
        <v>9.1556271345818851E-3</v>
      </c>
    </row>
    <row r="3193" spans="1:7" x14ac:dyDescent="0.2">
      <c r="A3193" s="12">
        <v>41779</v>
      </c>
      <c r="B3193" s="9">
        <v>2930.96</v>
      </c>
      <c r="C3193" s="9">
        <v>2899.47</v>
      </c>
      <c r="D3193" s="9">
        <v>2918.56</v>
      </c>
      <c r="E3193" s="9">
        <f t="shared" si="147"/>
        <v>7.6562836379701748E-3</v>
      </c>
      <c r="F3193" s="9">
        <f t="shared" si="148"/>
        <v>8.1777744226827574E-3</v>
      </c>
      <c r="G3193" s="9">
        <f t="shared" si="149"/>
        <v>9.2102766357474303E-3</v>
      </c>
    </row>
    <row r="3194" spans="1:7" x14ac:dyDescent="0.2">
      <c r="A3194" s="12">
        <v>41780</v>
      </c>
      <c r="B3194" s="9">
        <v>2935.77</v>
      </c>
      <c r="C3194" s="9">
        <v>2906.83</v>
      </c>
      <c r="D3194" s="9">
        <v>2935.75</v>
      </c>
      <c r="E3194" s="9">
        <f t="shared" si="147"/>
        <v>5.8726133065861632E-3</v>
      </c>
      <c r="F3194" s="9">
        <f t="shared" si="148"/>
        <v>1.2086716725713044E-2</v>
      </c>
      <c r="G3194" s="9">
        <f t="shared" si="149"/>
        <v>9.2625270896677346E-3</v>
      </c>
    </row>
    <row r="3195" spans="1:7" x14ac:dyDescent="0.2">
      <c r="A3195" s="12">
        <v>41781</v>
      </c>
      <c r="B3195" s="9">
        <v>2961.96</v>
      </c>
      <c r="C3195" s="9">
        <v>2944.1</v>
      </c>
      <c r="D3195" s="9">
        <v>2951.54</v>
      </c>
      <c r="E3195" s="9">
        <f t="shared" si="147"/>
        <v>5.3641107746874904E-3</v>
      </c>
      <c r="F3195" s="9">
        <f t="shared" si="148"/>
        <v>3.0673621433489007E-2</v>
      </c>
      <c r="G3195" s="9">
        <f t="shared" si="149"/>
        <v>8.9355479448557235E-3</v>
      </c>
    </row>
    <row r="3196" spans="1:7" x14ac:dyDescent="0.2">
      <c r="A3196" s="12">
        <v>41782</v>
      </c>
      <c r="B3196" s="9">
        <v>2959.75</v>
      </c>
      <c r="C3196" s="9">
        <v>2936.13</v>
      </c>
      <c r="D3196" s="9">
        <v>2958.9</v>
      </c>
      <c r="E3196" s="9">
        <f t="shared" si="147"/>
        <v>2.4905096081795442E-3</v>
      </c>
      <c r="F3196" s="9">
        <f t="shared" si="148"/>
        <v>3.2287622631659872E-2</v>
      </c>
      <c r="G3196" s="9">
        <f t="shared" si="149"/>
        <v>8.9394969171879019E-3</v>
      </c>
    </row>
    <row r="3197" spans="1:7" x14ac:dyDescent="0.2">
      <c r="A3197" s="12">
        <v>41785</v>
      </c>
      <c r="B3197" s="9">
        <v>2975.54</v>
      </c>
      <c r="C3197" s="9">
        <v>2957.94</v>
      </c>
      <c r="D3197" s="9">
        <v>2971.1</v>
      </c>
      <c r="E3197" s="9">
        <f t="shared" si="147"/>
        <v>4.1146769688827486E-3</v>
      </c>
      <c r="F3197" s="9">
        <f t="shared" si="148"/>
        <v>3.8890654202726138E-2</v>
      </c>
      <c r="G3197" s="9">
        <f t="shared" si="149"/>
        <v>8.9299878231660877E-3</v>
      </c>
    </row>
    <row r="3198" spans="1:7" x14ac:dyDescent="0.2">
      <c r="A3198" s="12">
        <v>41786</v>
      </c>
      <c r="B3198" s="9">
        <v>2973.41</v>
      </c>
      <c r="C3198" s="9">
        <v>2958.45</v>
      </c>
      <c r="D3198" s="9">
        <v>2964.93</v>
      </c>
      <c r="E3198" s="9">
        <f t="shared" si="147"/>
        <v>-2.0788312127773098E-3</v>
      </c>
      <c r="F3198" s="9">
        <f t="shared" si="148"/>
        <v>4.5729014606544202E-2</v>
      </c>
      <c r="G3198" s="9">
        <f t="shared" si="149"/>
        <v>8.745663686624567E-3</v>
      </c>
    </row>
    <row r="3199" spans="1:7" x14ac:dyDescent="0.2">
      <c r="A3199" s="12">
        <v>41787</v>
      </c>
      <c r="B3199" s="9">
        <v>2968.98</v>
      </c>
      <c r="C3199" s="9">
        <v>2937.9</v>
      </c>
      <c r="D3199" s="9">
        <v>2952.18</v>
      </c>
      <c r="E3199" s="9">
        <f t="shared" si="147"/>
        <v>-4.3095429129807886E-3</v>
      </c>
      <c r="F3199" s="9">
        <f t="shared" si="148"/>
        <v>5.6065104247390224E-2</v>
      </c>
      <c r="G3199" s="9">
        <f t="shared" si="149"/>
        <v>8.277760404755705E-3</v>
      </c>
    </row>
    <row r="3200" spans="1:7" x14ac:dyDescent="0.2">
      <c r="A3200" s="12">
        <v>41789</v>
      </c>
      <c r="B3200" s="9">
        <v>2969.41</v>
      </c>
      <c r="C3200" s="9">
        <v>2953.35</v>
      </c>
      <c r="D3200" s="9">
        <v>2954.6</v>
      </c>
      <c r="E3200" s="9">
        <f t="shared" si="147"/>
        <v>8.1939741632538511E-4</v>
      </c>
      <c r="F3200" s="9">
        <f t="shared" si="148"/>
        <v>6.4302983996742266E-2</v>
      </c>
      <c r="G3200" s="9">
        <f t="shared" si="149"/>
        <v>8.0936397755707636E-3</v>
      </c>
    </row>
    <row r="3201" spans="1:7" x14ac:dyDescent="0.2">
      <c r="A3201" s="12">
        <v>41792</v>
      </c>
      <c r="B3201" s="9">
        <v>2979.14</v>
      </c>
      <c r="C3201" s="9">
        <v>2965.33</v>
      </c>
      <c r="D3201" s="9">
        <v>2978.3</v>
      </c>
      <c r="E3201" s="9">
        <f t="shared" si="147"/>
        <v>7.989390033478861E-3</v>
      </c>
      <c r="F3201" s="9">
        <f t="shared" si="148"/>
        <v>8.3292562978868834E-2</v>
      </c>
      <c r="G3201" s="9">
        <f t="shared" si="149"/>
        <v>7.7662031418974644E-3</v>
      </c>
    </row>
    <row r="3202" spans="1:7" x14ac:dyDescent="0.2">
      <c r="A3202" s="12">
        <v>41793</v>
      </c>
      <c r="B3202" s="9">
        <v>2974.18</v>
      </c>
      <c r="C3202" s="9">
        <v>2949.73</v>
      </c>
      <c r="D3202" s="9">
        <v>2950.56</v>
      </c>
      <c r="E3202" s="9">
        <f t="shared" si="147"/>
        <v>-9.3576850941776042E-3</v>
      </c>
      <c r="F3202" s="9">
        <f t="shared" si="148"/>
        <v>6.0728209213309493E-2</v>
      </c>
      <c r="G3202" s="9">
        <f t="shared" si="149"/>
        <v>7.8137326518857991E-3</v>
      </c>
    </row>
    <row r="3203" spans="1:7" x14ac:dyDescent="0.2">
      <c r="A3203" s="12">
        <v>41794</v>
      </c>
      <c r="B3203" s="9">
        <v>2954.66</v>
      </c>
      <c r="C3203" s="9">
        <v>2937.13</v>
      </c>
      <c r="D3203" s="9">
        <v>2954.02</v>
      </c>
      <c r="E3203" s="9">
        <f t="shared" si="147"/>
        <v>1.1719717223006641E-3</v>
      </c>
      <c r="F3203" s="9">
        <f t="shared" si="148"/>
        <v>5.7491016976375209E-2</v>
      </c>
      <c r="G3203" s="9">
        <f t="shared" si="149"/>
        <v>7.8020057625350766E-3</v>
      </c>
    </row>
    <row r="3204" spans="1:7" x14ac:dyDescent="0.2">
      <c r="A3204" s="12">
        <v>41795</v>
      </c>
      <c r="B3204" s="9">
        <v>2987.11</v>
      </c>
      <c r="C3204" s="9">
        <v>2947.74</v>
      </c>
      <c r="D3204" s="9">
        <v>2969.11</v>
      </c>
      <c r="E3204" s="9">
        <f t="shared" ref="E3204:E3267" si="150">LN(D3204/D3203)</f>
        <v>5.0952900399541508E-3</v>
      </c>
      <c r="F3204" s="9">
        <f t="shared" si="148"/>
        <v>4.5078102848434345E-2</v>
      </c>
      <c r="G3204" s="9">
        <f t="shared" si="149"/>
        <v>7.2567012555711744E-3</v>
      </c>
    </row>
    <row r="3205" spans="1:7" x14ac:dyDescent="0.2">
      <c r="A3205" s="12">
        <v>41796</v>
      </c>
      <c r="B3205" s="9">
        <v>2999.43</v>
      </c>
      <c r="C3205" s="9">
        <v>2976.2</v>
      </c>
      <c r="D3205" s="9">
        <v>2997.41</v>
      </c>
      <c r="E3205" s="9">
        <f t="shared" si="150"/>
        <v>9.4863378409949153E-3</v>
      </c>
      <c r="F3205" s="9">
        <f t="shared" si="148"/>
        <v>5.2867645534642779E-2</v>
      </c>
      <c r="G3205" s="9">
        <f t="shared" si="149"/>
        <v>7.4017971237413304E-3</v>
      </c>
    </row>
    <row r="3206" spans="1:7" x14ac:dyDescent="0.2">
      <c r="A3206" s="12">
        <v>41799</v>
      </c>
      <c r="B3206" s="9">
        <v>3008.7</v>
      </c>
      <c r="C3206" s="9">
        <v>2993.73</v>
      </c>
      <c r="D3206" s="9">
        <v>3005.65</v>
      </c>
      <c r="E3206" s="9">
        <f t="shared" si="150"/>
        <v>2.745268304851744E-3</v>
      </c>
      <c r="F3206" s="9">
        <f t="shared" si="148"/>
        <v>5.5482780839868358E-2</v>
      </c>
      <c r="G3206" s="9">
        <f t="shared" si="149"/>
        <v>7.3973106680261134E-3</v>
      </c>
    </row>
    <row r="3207" spans="1:7" x14ac:dyDescent="0.2">
      <c r="A3207" s="12">
        <v>41800</v>
      </c>
      <c r="B3207" s="9">
        <v>3007.87</v>
      </c>
      <c r="C3207" s="9">
        <v>2994.65</v>
      </c>
      <c r="D3207" s="9">
        <v>3002.93</v>
      </c>
      <c r="E3207" s="9">
        <f t="shared" si="150"/>
        <v>-9.0537204657292357E-4</v>
      </c>
      <c r="F3207" s="9">
        <f t="shared" si="148"/>
        <v>6.8826856946265239E-2</v>
      </c>
      <c r="G3207" s="9">
        <f t="shared" si="149"/>
        <v>6.7705386942306153E-3</v>
      </c>
    </row>
    <row r="3208" spans="1:7" x14ac:dyDescent="0.2">
      <c r="A3208" s="12">
        <v>41801</v>
      </c>
      <c r="B3208" s="9">
        <v>3009.42</v>
      </c>
      <c r="C3208" s="9">
        <v>2983.74</v>
      </c>
      <c r="D3208" s="9">
        <v>2986.59</v>
      </c>
      <c r="E3208" s="9">
        <f t="shared" si="150"/>
        <v>-5.4562103597989089E-3</v>
      </c>
      <c r="F3208" s="9">
        <f t="shared" si="148"/>
        <v>6.9091172846710611E-2</v>
      </c>
      <c r="G3208" s="9">
        <f t="shared" si="149"/>
        <v>6.7599130578659657E-3</v>
      </c>
    </row>
    <row r="3209" spans="1:7" x14ac:dyDescent="0.2">
      <c r="A3209" s="12">
        <v>41802</v>
      </c>
      <c r="B3209" s="9">
        <v>2997.02</v>
      </c>
      <c r="C3209" s="9">
        <v>2980.33</v>
      </c>
      <c r="D3209" s="9">
        <v>2991.71</v>
      </c>
      <c r="E3209" s="9">
        <f t="shared" si="150"/>
        <v>1.7128619345952569E-3</v>
      </c>
      <c r="F3209" s="9">
        <f t="shared" si="148"/>
        <v>5.0714493621571377E-2</v>
      </c>
      <c r="G3209" s="9">
        <f t="shared" si="149"/>
        <v>5.8661160877103557E-3</v>
      </c>
    </row>
    <row r="3210" spans="1:7" x14ac:dyDescent="0.2">
      <c r="A3210" s="12">
        <v>41803</v>
      </c>
      <c r="B3210" s="9">
        <v>2991.42</v>
      </c>
      <c r="C3210" s="9">
        <v>2959.12</v>
      </c>
      <c r="D3210" s="9">
        <v>2980.14</v>
      </c>
      <c r="E3210" s="9">
        <f t="shared" si="150"/>
        <v>-3.8748510014311199E-3</v>
      </c>
      <c r="F3210" s="9">
        <f t="shared" si="148"/>
        <v>4.7339104477969463E-2</v>
      </c>
      <c r="G3210" s="9">
        <f t="shared" si="149"/>
        <v>5.9414543978786507E-3</v>
      </c>
    </row>
    <row r="3211" spans="1:7" x14ac:dyDescent="0.2">
      <c r="A3211" s="12">
        <v>41806</v>
      </c>
      <c r="B3211" s="9">
        <v>2978.72</v>
      </c>
      <c r="C3211" s="9">
        <v>2958.83</v>
      </c>
      <c r="D3211" s="9">
        <v>2972.97</v>
      </c>
      <c r="E3211" s="9">
        <f t="shared" si="150"/>
        <v>-2.4088261318737894E-3</v>
      </c>
      <c r="F3211" s="9">
        <f t="shared" si="148"/>
        <v>4.4381587277049238E-2</v>
      </c>
      <c r="G3211" s="9">
        <f t="shared" si="149"/>
        <v>5.9835092230938166E-3</v>
      </c>
    </row>
    <row r="3212" spans="1:7" x14ac:dyDescent="0.2">
      <c r="A3212" s="12">
        <v>41807</v>
      </c>
      <c r="B3212" s="9">
        <v>2990.07</v>
      </c>
      <c r="C3212" s="9">
        <v>2962.96</v>
      </c>
      <c r="D3212" s="9">
        <v>2980.28</v>
      </c>
      <c r="E3212" s="9">
        <f t="shared" si="150"/>
        <v>2.4558026872258591E-3</v>
      </c>
      <c r="F3212" s="9">
        <f t="shared" si="148"/>
        <v>4.8276585952108111E-2</v>
      </c>
      <c r="G3212" s="9">
        <f t="shared" si="149"/>
        <v>5.9602090405689286E-3</v>
      </c>
    </row>
    <row r="3213" spans="1:7" x14ac:dyDescent="0.2">
      <c r="A3213" s="12">
        <v>41808</v>
      </c>
      <c r="B3213" s="9">
        <v>2994.48</v>
      </c>
      <c r="C3213" s="9">
        <v>2968.83</v>
      </c>
      <c r="D3213" s="9">
        <v>2990.02</v>
      </c>
      <c r="E3213" s="9">
        <f t="shared" si="150"/>
        <v>3.2628205085171603E-3</v>
      </c>
      <c r="F3213" s="9">
        <f t="shared" si="148"/>
        <v>5.3760321332479363E-2</v>
      </c>
      <c r="G3213" s="9">
        <f t="shared" si="149"/>
        <v>5.9226646804502858E-3</v>
      </c>
    </row>
    <row r="3214" spans="1:7" x14ac:dyDescent="0.2">
      <c r="A3214" s="12">
        <v>41809</v>
      </c>
      <c r="B3214" s="9">
        <v>3009.72</v>
      </c>
      <c r="C3214" s="9">
        <v>2994.77</v>
      </c>
      <c r="D3214" s="9">
        <v>3000.92</v>
      </c>
      <c r="E3214" s="9">
        <f t="shared" si="150"/>
        <v>3.6388319787306503E-3</v>
      </c>
      <c r="F3214" s="9">
        <f t="shared" si="148"/>
        <v>5.4030936759722183E-2</v>
      </c>
      <c r="G3214" s="9">
        <f t="shared" si="149"/>
        <v>5.9253535714307269E-3</v>
      </c>
    </row>
    <row r="3215" spans="1:7" x14ac:dyDescent="0.2">
      <c r="A3215" s="12">
        <v>41813</v>
      </c>
      <c r="B3215" s="9">
        <v>3021.88</v>
      </c>
      <c r="C3215" s="9">
        <v>2990.41</v>
      </c>
      <c r="D3215" s="9">
        <v>3011.49</v>
      </c>
      <c r="E3215" s="9">
        <f t="shared" si="150"/>
        <v>3.5160645696100156E-3</v>
      </c>
      <c r="F3215" s="9">
        <f t="shared" si="148"/>
        <v>4.4113569807244381E-2</v>
      </c>
      <c r="G3215" s="9">
        <f t="shared" si="149"/>
        <v>5.516541782528403E-3</v>
      </c>
    </row>
    <row r="3216" spans="1:7" x14ac:dyDescent="0.2">
      <c r="A3216" s="12">
        <v>41814</v>
      </c>
      <c r="B3216" s="9">
        <v>3015.03</v>
      </c>
      <c r="C3216" s="9">
        <v>2975.79</v>
      </c>
      <c r="D3216" s="9">
        <v>2975.86</v>
      </c>
      <c r="E3216" s="9">
        <f t="shared" si="150"/>
        <v>-1.190190003823983E-2</v>
      </c>
      <c r="F3216" s="9">
        <f t="shared" si="148"/>
        <v>3.3260273694229008E-2</v>
      </c>
      <c r="G3216" s="9">
        <f t="shared" si="149"/>
        <v>6.0203174947936746E-3</v>
      </c>
    </row>
    <row r="3217" spans="1:7" x14ac:dyDescent="0.2">
      <c r="A3217" s="12">
        <v>41815</v>
      </c>
      <c r="B3217" s="9">
        <v>2962.38</v>
      </c>
      <c r="C3217" s="9">
        <v>2918.72</v>
      </c>
      <c r="D3217" s="9">
        <v>2934.61</v>
      </c>
      <c r="E3217" s="9">
        <f t="shared" si="150"/>
        <v>-1.395850744867507E-2</v>
      </c>
      <c r="F3217" s="9">
        <f t="shared" si="148"/>
        <v>1.1360506824134912E-2</v>
      </c>
      <c r="G3217" s="9">
        <f t="shared" si="149"/>
        <v>6.4739041448709581E-3</v>
      </c>
    </row>
    <row r="3218" spans="1:7" x14ac:dyDescent="0.2">
      <c r="A3218" s="12">
        <v>41816</v>
      </c>
      <c r="B3218" s="9">
        <v>2955.57</v>
      </c>
      <c r="C3218" s="9">
        <v>2931.9</v>
      </c>
      <c r="D3218" s="9">
        <v>2943.92</v>
      </c>
      <c r="E3218" s="9">
        <f t="shared" si="150"/>
        <v>3.1674611795082788E-3</v>
      </c>
      <c r="F3218" s="9">
        <f t="shared" si="148"/>
        <v>3.2458392309678017E-3</v>
      </c>
      <c r="G3218" s="9">
        <f t="shared" si="149"/>
        <v>6.1647743669845829E-3</v>
      </c>
    </row>
    <row r="3219" spans="1:7" x14ac:dyDescent="0.2">
      <c r="A3219" s="12">
        <v>41817</v>
      </c>
      <c r="B3219" s="9">
        <v>2944.15</v>
      </c>
      <c r="C3219" s="9">
        <v>2924.52</v>
      </c>
      <c r="D3219" s="9">
        <v>2939.24</v>
      </c>
      <c r="E3219" s="9">
        <f t="shared" si="150"/>
        <v>-1.5909820529027396E-3</v>
      </c>
      <c r="F3219" s="9">
        <f t="shared" si="148"/>
        <v>5.7253171729368694E-3</v>
      </c>
      <c r="G3219" s="9">
        <f t="shared" si="149"/>
        <v>6.1233019228734377E-3</v>
      </c>
    </row>
    <row r="3220" spans="1:7" x14ac:dyDescent="0.2">
      <c r="A3220" s="12">
        <v>41820</v>
      </c>
      <c r="B3220" s="9">
        <v>2949.61</v>
      </c>
      <c r="C3220" s="9">
        <v>2914.64</v>
      </c>
      <c r="D3220" s="9">
        <v>2920.18</v>
      </c>
      <c r="E3220" s="9">
        <f t="shared" si="150"/>
        <v>-6.505786315562599E-3</v>
      </c>
      <c r="F3220" s="9">
        <f t="shared" si="148"/>
        <v>9.7177010225718112E-3</v>
      </c>
      <c r="G3220" s="9">
        <f t="shared" si="149"/>
        <v>5.9230947669790977E-3</v>
      </c>
    </row>
    <row r="3221" spans="1:7" x14ac:dyDescent="0.2">
      <c r="A3221" s="12">
        <v>41821</v>
      </c>
      <c r="B3221" s="9">
        <v>2939.7</v>
      </c>
      <c r="C3221" s="9">
        <v>2923.06</v>
      </c>
      <c r="D3221" s="9">
        <v>2939.7</v>
      </c>
      <c r="E3221" s="9">
        <f t="shared" si="150"/>
        <v>6.6622771118418668E-3</v>
      </c>
      <c r="F3221" s="9">
        <f t="shared" si="148"/>
        <v>2.2206166611852408E-2</v>
      </c>
      <c r="G3221" s="9">
        <f t="shared" si="149"/>
        <v>5.9147991590523374E-3</v>
      </c>
    </row>
    <row r="3222" spans="1:7" x14ac:dyDescent="0.2">
      <c r="A3222" s="12">
        <v>41822</v>
      </c>
      <c r="B3222" s="9">
        <v>2955.47</v>
      </c>
      <c r="C3222" s="9">
        <v>2942.17</v>
      </c>
      <c r="D3222" s="9">
        <v>2950.63</v>
      </c>
      <c r="E3222" s="9">
        <f t="shared" si="150"/>
        <v>3.7111715454710903E-3</v>
      </c>
      <c r="F3222" s="9">
        <f t="shared" si="148"/>
        <v>1.858464655471926E-2</v>
      </c>
      <c r="G3222" s="9">
        <f t="shared" si="149"/>
        <v>5.8116684352421876E-3</v>
      </c>
    </row>
    <row r="3223" spans="1:7" x14ac:dyDescent="0.2">
      <c r="A3223" s="12">
        <v>41823</v>
      </c>
      <c r="B3223" s="9">
        <v>2988.61</v>
      </c>
      <c r="C3223" s="9">
        <v>2950.46</v>
      </c>
      <c r="D3223" s="9">
        <v>2988.59</v>
      </c>
      <c r="E3223" s="9">
        <f t="shared" si="150"/>
        <v>1.2782997398024278E-2</v>
      </c>
      <c r="F3223" s="9">
        <f t="shared" si="148"/>
        <v>2.3711360314773302E-2</v>
      </c>
      <c r="G3223" s="9">
        <f t="shared" si="149"/>
        <v>6.0942244262104824E-3</v>
      </c>
    </row>
    <row r="3224" spans="1:7" x14ac:dyDescent="0.2">
      <c r="A3224" s="12">
        <v>41824</v>
      </c>
      <c r="B3224" s="9">
        <v>2988.51</v>
      </c>
      <c r="C3224" s="9">
        <v>2965.52</v>
      </c>
      <c r="D3224" s="9">
        <v>2966.79</v>
      </c>
      <c r="E3224" s="9">
        <f t="shared" si="150"/>
        <v>-7.3211440316830623E-3</v>
      </c>
      <c r="F3224" s="9">
        <f t="shared" si="148"/>
        <v>1.0517602976504271E-2</v>
      </c>
      <c r="G3224" s="9">
        <f t="shared" si="149"/>
        <v>6.1901277169833634E-3</v>
      </c>
    </row>
    <row r="3225" spans="1:7" x14ac:dyDescent="0.2">
      <c r="A3225" s="12">
        <v>41827</v>
      </c>
      <c r="B3225" s="9">
        <v>2971.61</v>
      </c>
      <c r="C3225" s="9">
        <v>2945.13</v>
      </c>
      <c r="D3225" s="9">
        <v>2947.76</v>
      </c>
      <c r="E3225" s="9">
        <f t="shared" si="150"/>
        <v>-6.4350003527203145E-3</v>
      </c>
      <c r="F3225" s="9">
        <f t="shared" si="148"/>
        <v>-1.2815081509034878E-3</v>
      </c>
      <c r="G3225" s="9">
        <f t="shared" si="149"/>
        <v>6.235274760609387E-3</v>
      </c>
    </row>
    <row r="3226" spans="1:7" x14ac:dyDescent="0.2">
      <c r="A3226" s="12">
        <v>41828</v>
      </c>
      <c r="B3226" s="9">
        <v>2959.49</v>
      </c>
      <c r="C3226" s="9">
        <v>2904.17</v>
      </c>
      <c r="D3226" s="9">
        <v>2906.01</v>
      </c>
      <c r="E3226" s="9">
        <f t="shared" si="150"/>
        <v>-1.4264553588438438E-2</v>
      </c>
      <c r="F3226" s="9">
        <f t="shared" si="148"/>
        <v>-1.8036571347521551E-2</v>
      </c>
      <c r="G3226" s="9">
        <f t="shared" si="149"/>
        <v>6.7312102507212533E-3</v>
      </c>
    </row>
    <row r="3227" spans="1:7" x14ac:dyDescent="0.2">
      <c r="A3227" s="12">
        <v>41829</v>
      </c>
      <c r="B3227" s="9">
        <v>2921.15</v>
      </c>
      <c r="C3227" s="9">
        <v>2903.63</v>
      </c>
      <c r="D3227" s="9">
        <v>2911.83</v>
      </c>
      <c r="E3227" s="9">
        <f t="shared" si="150"/>
        <v>2.0007432110343316E-3</v>
      </c>
      <c r="F3227" s="9">
        <f t="shared" si="148"/>
        <v>-2.0150505105370156E-2</v>
      </c>
      <c r="G3227" s="9">
        <f t="shared" si="149"/>
        <v>6.6910854923539634E-3</v>
      </c>
    </row>
    <row r="3228" spans="1:7" x14ac:dyDescent="0.2">
      <c r="A3228" s="12">
        <v>41830</v>
      </c>
      <c r="B3228" s="9">
        <v>2918.35</v>
      </c>
      <c r="C3228" s="9">
        <v>2869.73</v>
      </c>
      <c r="D3228" s="9">
        <v>2879.91</v>
      </c>
      <c r="E3228" s="9">
        <f t="shared" si="150"/>
        <v>-1.1022705849870119E-2</v>
      </c>
      <c r="F3228" s="9">
        <f t="shared" si="148"/>
        <v>-2.9094379742462918E-2</v>
      </c>
      <c r="G3228" s="9">
        <f t="shared" si="149"/>
        <v>6.9501805882483843E-3</v>
      </c>
    </row>
    <row r="3229" spans="1:7" x14ac:dyDescent="0.2">
      <c r="A3229" s="12">
        <v>41831</v>
      </c>
      <c r="B3229" s="9">
        <v>2893.78</v>
      </c>
      <c r="C3229" s="9">
        <v>2868.19</v>
      </c>
      <c r="D3229" s="9">
        <v>2875.23</v>
      </c>
      <c r="E3229" s="9">
        <f t="shared" si="150"/>
        <v>-1.6263726100786795E-3</v>
      </c>
      <c r="F3229" s="9">
        <f t="shared" si="148"/>
        <v>-2.6411209439560736E-2</v>
      </c>
      <c r="G3229" s="9">
        <f t="shared" si="149"/>
        <v>6.9229318803223985E-3</v>
      </c>
    </row>
    <row r="3230" spans="1:7" x14ac:dyDescent="0.2">
      <c r="A3230" s="12">
        <v>41834</v>
      </c>
      <c r="B3230" s="9">
        <v>2929.42</v>
      </c>
      <c r="C3230" s="9">
        <v>2885.09</v>
      </c>
      <c r="D3230" s="9">
        <v>2925.79</v>
      </c>
      <c r="E3230" s="9">
        <f t="shared" si="150"/>
        <v>1.743185863790615E-2</v>
      </c>
      <c r="F3230" s="9">
        <f t="shared" si="148"/>
        <v>-9.7987482179800762E-3</v>
      </c>
      <c r="G3230" s="9">
        <f t="shared" si="149"/>
        <v>7.6859300235075107E-3</v>
      </c>
    </row>
    <row r="3231" spans="1:7" x14ac:dyDescent="0.2">
      <c r="A3231" s="12">
        <v>41835</v>
      </c>
      <c r="B3231" s="9">
        <v>2937.67</v>
      </c>
      <c r="C3231" s="9">
        <v>2900.14</v>
      </c>
      <c r="D3231" s="9">
        <v>2904.48</v>
      </c>
      <c r="E3231" s="9">
        <f t="shared" si="150"/>
        <v>-7.3101571274066498E-3</v>
      </c>
      <c r="F3231" s="9">
        <f t="shared" si="148"/>
        <v>-2.5098295378865564E-2</v>
      </c>
      <c r="G3231" s="9">
        <f t="shared" si="149"/>
        <v>7.6224332437458929E-3</v>
      </c>
    </row>
    <row r="3232" spans="1:7" x14ac:dyDescent="0.2">
      <c r="A3232" s="12">
        <v>41836</v>
      </c>
      <c r="B3232" s="9">
        <v>2951.03</v>
      </c>
      <c r="C3232" s="9">
        <v>2906.3</v>
      </c>
      <c r="D3232" s="9">
        <v>2950.96</v>
      </c>
      <c r="E3232" s="9">
        <f t="shared" si="150"/>
        <v>1.5876168581741072E-2</v>
      </c>
      <c r="F3232" s="9">
        <f t="shared" si="148"/>
        <v>1.3555829705323493E-4</v>
      </c>
      <c r="G3232" s="9">
        <f t="shared" si="149"/>
        <v>8.0310314000634434E-3</v>
      </c>
    </row>
    <row r="3233" spans="1:7" x14ac:dyDescent="0.2">
      <c r="A3233" s="12">
        <v>41837</v>
      </c>
      <c r="B3233" s="9">
        <v>2951.01</v>
      </c>
      <c r="C3233" s="9">
        <v>2930.72</v>
      </c>
      <c r="D3233" s="9">
        <v>2932.56</v>
      </c>
      <c r="E3233" s="9">
        <f t="shared" si="150"/>
        <v>-6.2547794474856686E-3</v>
      </c>
      <c r="F3233" s="9">
        <f t="shared" ref="F3233:F3296" si="151">LN(D3233/D3203)</f>
        <v>-7.2911928727331559E-3</v>
      </c>
      <c r="G3233" s="9">
        <f t="shared" ref="G3233:G3296" si="152">STDEV(E3204:E3233)</f>
        <v>8.1079012252749678E-3</v>
      </c>
    </row>
    <row r="3234" spans="1:7" x14ac:dyDescent="0.2">
      <c r="A3234" s="12">
        <v>41838</v>
      </c>
      <c r="B3234" s="9">
        <v>2950.28</v>
      </c>
      <c r="C3234" s="9">
        <v>2922.04</v>
      </c>
      <c r="D3234" s="9">
        <v>2940.26</v>
      </c>
      <c r="E3234" s="9">
        <f t="shared" si="150"/>
        <v>2.6222511203233163E-3</v>
      </c>
      <c r="F3234" s="9">
        <f t="shared" si="151"/>
        <v>-9.7642317923638741E-3</v>
      </c>
      <c r="G3234" s="9">
        <f t="shared" si="152"/>
        <v>8.0642079988216334E-3</v>
      </c>
    </row>
    <row r="3235" spans="1:7" x14ac:dyDescent="0.2">
      <c r="A3235" s="12">
        <v>41841</v>
      </c>
      <c r="B3235" s="9">
        <v>2958.86</v>
      </c>
      <c r="C3235" s="9">
        <v>2938.89</v>
      </c>
      <c r="D3235" s="9">
        <v>2955.63</v>
      </c>
      <c r="E3235" s="9">
        <f t="shared" si="150"/>
        <v>5.2138132895843984E-3</v>
      </c>
      <c r="F3235" s="9">
        <f t="shared" si="151"/>
        <v>-1.403675634377425E-2</v>
      </c>
      <c r="G3235" s="9">
        <f t="shared" si="152"/>
        <v>7.9214149626680962E-3</v>
      </c>
    </row>
    <row r="3236" spans="1:7" x14ac:dyDescent="0.2">
      <c r="A3236" s="12">
        <v>41842</v>
      </c>
      <c r="B3236" s="9">
        <v>2981.91</v>
      </c>
      <c r="C3236" s="9">
        <v>2950.83</v>
      </c>
      <c r="D3236" s="9">
        <v>2960.07</v>
      </c>
      <c r="E3236" s="9">
        <f t="shared" si="150"/>
        <v>1.5010906008454962E-3</v>
      </c>
      <c r="F3236" s="9">
        <f t="shared" si="151"/>
        <v>-1.528093404778038E-2</v>
      </c>
      <c r="G3236" s="9">
        <f t="shared" si="152"/>
        <v>7.9072566620832299E-3</v>
      </c>
    </row>
    <row r="3237" spans="1:7" x14ac:dyDescent="0.2">
      <c r="A3237" s="12">
        <v>41843</v>
      </c>
      <c r="B3237" s="9">
        <v>2984.76</v>
      </c>
      <c r="C3237" s="9">
        <v>2962.91</v>
      </c>
      <c r="D3237" s="9">
        <v>2981.54</v>
      </c>
      <c r="E3237" s="9">
        <f t="shared" si="150"/>
        <v>7.2270288517747522E-3</v>
      </c>
      <c r="F3237" s="9">
        <f t="shared" si="151"/>
        <v>-7.1485331494326601E-3</v>
      </c>
      <c r="G3237" s="9">
        <f t="shared" si="152"/>
        <v>8.031633487402233E-3</v>
      </c>
    </row>
    <row r="3238" spans="1:7" x14ac:dyDescent="0.2">
      <c r="A3238" s="12">
        <v>41844</v>
      </c>
      <c r="B3238" s="9">
        <v>3013.83</v>
      </c>
      <c r="C3238" s="9">
        <v>2984.67</v>
      </c>
      <c r="D3238" s="9">
        <v>2995.98</v>
      </c>
      <c r="E3238" s="9">
        <f t="shared" si="150"/>
        <v>4.8314445085004404E-3</v>
      </c>
      <c r="F3238" s="9">
        <f t="shared" si="151"/>
        <v>3.1391217188667885E-3</v>
      </c>
      <c r="G3238" s="9">
        <f t="shared" si="152"/>
        <v>8.0207801173855352E-3</v>
      </c>
    </row>
    <row r="3239" spans="1:7" x14ac:dyDescent="0.2">
      <c r="A3239" s="12">
        <v>41845</v>
      </c>
      <c r="B3239" s="9">
        <v>3008.33</v>
      </c>
      <c r="C3239" s="9">
        <v>2982.78</v>
      </c>
      <c r="D3239" s="9">
        <v>2989.96</v>
      </c>
      <c r="E3239" s="9">
        <f t="shared" si="150"/>
        <v>-2.0113806785797017E-3</v>
      </c>
      <c r="F3239" s="9">
        <f t="shared" si="151"/>
        <v>-5.851208943082832E-4</v>
      </c>
      <c r="G3239" s="9">
        <f t="shared" si="152"/>
        <v>8.0238508911294956E-3</v>
      </c>
    </row>
    <row r="3240" spans="1:7" x14ac:dyDescent="0.2">
      <c r="A3240" s="12">
        <v>41848</v>
      </c>
      <c r="B3240" s="9">
        <v>3000.53</v>
      </c>
      <c r="C3240" s="9">
        <v>2963.03</v>
      </c>
      <c r="D3240" s="9">
        <v>2973</v>
      </c>
      <c r="E3240" s="9">
        <f t="shared" si="150"/>
        <v>-5.6884653707278271E-3</v>
      </c>
      <c r="F3240" s="9">
        <f t="shared" si="151"/>
        <v>-2.3987352636049117E-3</v>
      </c>
      <c r="G3240" s="9">
        <f t="shared" si="152"/>
        <v>8.0606474735227581E-3</v>
      </c>
    </row>
    <row r="3241" spans="1:7" x14ac:dyDescent="0.2">
      <c r="A3241" s="12">
        <v>41849</v>
      </c>
      <c r="B3241" s="9">
        <v>2990.47</v>
      </c>
      <c r="C3241" s="9">
        <v>2964.59</v>
      </c>
      <c r="D3241" s="9">
        <v>2973.65</v>
      </c>
      <c r="E3241" s="9">
        <f t="shared" si="150"/>
        <v>2.1861047903895431E-4</v>
      </c>
      <c r="F3241" s="9">
        <f t="shared" si="151"/>
        <v>2.2870134730805099E-4</v>
      </c>
      <c r="G3241" s="9">
        <f t="shared" si="152"/>
        <v>8.0487362351477337E-3</v>
      </c>
    </row>
    <row r="3242" spans="1:7" x14ac:dyDescent="0.2">
      <c r="A3242" s="12">
        <v>41850</v>
      </c>
      <c r="B3242" s="9">
        <v>2975.36</v>
      </c>
      <c r="C3242" s="9">
        <v>2949.98</v>
      </c>
      <c r="D3242" s="9">
        <v>2959.16</v>
      </c>
      <c r="E3242" s="9">
        <f t="shared" si="150"/>
        <v>-4.8847102170521094E-3</v>
      </c>
      <c r="F3242" s="9">
        <f t="shared" si="151"/>
        <v>-7.1118115569701549E-3</v>
      </c>
      <c r="G3242" s="9">
        <f t="shared" si="152"/>
        <v>8.0832473336714481E-3</v>
      </c>
    </row>
    <row r="3243" spans="1:7" x14ac:dyDescent="0.2">
      <c r="A3243" s="12">
        <v>41851</v>
      </c>
      <c r="B3243" s="9">
        <v>2960.14</v>
      </c>
      <c r="C3243" s="9">
        <v>2924.37</v>
      </c>
      <c r="D3243" s="9">
        <v>2927.48</v>
      </c>
      <c r="E3243" s="9">
        <f t="shared" si="150"/>
        <v>-1.0763459579268757E-2</v>
      </c>
      <c r="F3243" s="9">
        <f t="shared" si="151"/>
        <v>-2.1138091644755861E-2</v>
      </c>
      <c r="G3243" s="9">
        <f t="shared" si="152"/>
        <v>8.2771512789560041E-3</v>
      </c>
    </row>
    <row r="3244" spans="1:7" x14ac:dyDescent="0.2">
      <c r="A3244" s="12">
        <v>41852</v>
      </c>
      <c r="B3244" s="9">
        <v>2931.48</v>
      </c>
      <c r="C3244" s="9">
        <v>2887.22</v>
      </c>
      <c r="D3244" s="9">
        <v>2897.02</v>
      </c>
      <c r="E3244" s="9">
        <f t="shared" si="150"/>
        <v>-1.0459362241819859E-2</v>
      </c>
      <c r="F3244" s="9">
        <f t="shared" si="151"/>
        <v>-3.5236285865306437E-2</v>
      </c>
      <c r="G3244" s="9">
        <f t="shared" si="152"/>
        <v>8.4210130477819292E-3</v>
      </c>
    </row>
    <row r="3245" spans="1:7" x14ac:dyDescent="0.2">
      <c r="A3245" s="12">
        <v>41855</v>
      </c>
      <c r="B3245" s="9">
        <v>2923.87</v>
      </c>
      <c r="C3245" s="9">
        <v>2903.48</v>
      </c>
      <c r="D3245" s="9">
        <v>2908.49</v>
      </c>
      <c r="E3245" s="9">
        <f t="shared" si="150"/>
        <v>3.9514237075254817E-3</v>
      </c>
      <c r="F3245" s="9">
        <f t="shared" si="151"/>
        <v>-3.4800926727391039E-2</v>
      </c>
      <c r="G3245" s="9">
        <f t="shared" si="152"/>
        <v>8.429745729899003E-3</v>
      </c>
    </row>
    <row r="3246" spans="1:7" x14ac:dyDescent="0.2">
      <c r="A3246" s="12">
        <v>41856</v>
      </c>
      <c r="B3246" s="9">
        <v>2920.25</v>
      </c>
      <c r="C3246" s="9">
        <v>2895.55</v>
      </c>
      <c r="D3246" s="9">
        <v>2895.56</v>
      </c>
      <c r="E3246" s="9">
        <f t="shared" si="150"/>
        <v>-4.4555168856659898E-3</v>
      </c>
      <c r="F3246" s="9">
        <f t="shared" si="151"/>
        <v>-2.7354543574817283E-2</v>
      </c>
      <c r="G3246" s="9">
        <f t="shared" si="152"/>
        <v>8.2092923942475183E-3</v>
      </c>
    </row>
    <row r="3247" spans="1:7" x14ac:dyDescent="0.2">
      <c r="A3247" s="12">
        <v>41857</v>
      </c>
      <c r="B3247" s="9">
        <v>2879.97</v>
      </c>
      <c r="C3247" s="9">
        <v>2845.51</v>
      </c>
      <c r="D3247" s="9">
        <v>2855.32</v>
      </c>
      <c r="E3247" s="9">
        <f t="shared" si="150"/>
        <v>-1.3994608388646832E-2</v>
      </c>
      <c r="F3247" s="9">
        <f t="shared" si="151"/>
        <v>-2.7390644514789012E-2</v>
      </c>
      <c r="G3247" s="9">
        <f t="shared" si="152"/>
        <v>8.2112732057932278E-3</v>
      </c>
    </row>
    <row r="3248" spans="1:7" x14ac:dyDescent="0.2">
      <c r="A3248" s="12">
        <v>41858</v>
      </c>
      <c r="B3248" s="9">
        <v>2861.93</v>
      </c>
      <c r="C3248" s="9">
        <v>2842.28</v>
      </c>
      <c r="D3248" s="9">
        <v>2844.02</v>
      </c>
      <c r="E3248" s="9">
        <f t="shared" si="150"/>
        <v>-3.9653766249995491E-3</v>
      </c>
      <c r="F3248" s="9">
        <f t="shared" si="151"/>
        <v>-3.4523482319296819E-2</v>
      </c>
      <c r="G3248" s="9">
        <f t="shared" si="152"/>
        <v>8.1922920938597276E-3</v>
      </c>
    </row>
    <row r="3249" spans="1:7" x14ac:dyDescent="0.2">
      <c r="A3249" s="12">
        <v>41859</v>
      </c>
      <c r="B3249" s="9">
        <v>2810.48</v>
      </c>
      <c r="C3249" s="9">
        <v>2786.92</v>
      </c>
      <c r="D3249" s="9">
        <v>2796.41</v>
      </c>
      <c r="E3249" s="9">
        <f t="shared" si="150"/>
        <v>-1.6882092589453491E-2</v>
      </c>
      <c r="F3249" s="9">
        <f t="shared" si="151"/>
        <v>-4.981459285584755E-2</v>
      </c>
      <c r="G3249" s="9">
        <f t="shared" si="152"/>
        <v>8.6816934654713566E-3</v>
      </c>
    </row>
    <row r="3250" spans="1:7" x14ac:dyDescent="0.2">
      <c r="A3250" s="12">
        <v>41862</v>
      </c>
      <c r="B3250" s="9">
        <v>2849.34</v>
      </c>
      <c r="C3250" s="9">
        <v>2819.86</v>
      </c>
      <c r="D3250" s="9">
        <v>2844.68</v>
      </c>
      <c r="E3250" s="9">
        <f t="shared" si="150"/>
        <v>1.7114131544913074E-2</v>
      </c>
      <c r="F3250" s="9">
        <f t="shared" si="151"/>
        <v>-2.6194674995372071E-2</v>
      </c>
      <c r="G3250" s="9">
        <f t="shared" si="152"/>
        <v>9.2776983369019048E-3</v>
      </c>
    </row>
    <row r="3251" spans="1:7" x14ac:dyDescent="0.2">
      <c r="A3251" s="12">
        <v>41863</v>
      </c>
      <c r="B3251" s="9">
        <v>2856.89</v>
      </c>
      <c r="C3251" s="9">
        <v>2837.75</v>
      </c>
      <c r="D3251" s="9">
        <v>2846.11</v>
      </c>
      <c r="E3251" s="9">
        <f t="shared" si="150"/>
        <v>5.0256643808641369E-4</v>
      </c>
      <c r="F3251" s="9">
        <f t="shared" si="151"/>
        <v>-3.235438566912744E-2</v>
      </c>
      <c r="G3251" s="9">
        <f t="shared" si="152"/>
        <v>9.1727483078678593E-3</v>
      </c>
    </row>
    <row r="3252" spans="1:7" x14ac:dyDescent="0.2">
      <c r="A3252" s="12">
        <v>41864</v>
      </c>
      <c r="B3252" s="9">
        <v>2866.77</v>
      </c>
      <c r="C3252" s="9">
        <v>2843.34</v>
      </c>
      <c r="D3252" s="9">
        <v>2852.73</v>
      </c>
      <c r="E3252" s="9">
        <f t="shared" si="150"/>
        <v>2.3232808703855883E-3</v>
      </c>
      <c r="F3252" s="9">
        <f t="shared" si="151"/>
        <v>-3.374227634421291E-2</v>
      </c>
      <c r="G3252" s="9">
        <f t="shared" si="152"/>
        <v>9.1512332737102488E-3</v>
      </c>
    </row>
    <row r="3253" spans="1:7" x14ac:dyDescent="0.2">
      <c r="A3253" s="12">
        <v>41865</v>
      </c>
      <c r="B3253" s="9">
        <v>2865</v>
      </c>
      <c r="C3253" s="9">
        <v>2838.14</v>
      </c>
      <c r="D3253" s="9">
        <v>2856.28</v>
      </c>
      <c r="E3253" s="9">
        <f t="shared" si="150"/>
        <v>1.2436483584909717E-3</v>
      </c>
      <c r="F3253" s="9">
        <f t="shared" si="151"/>
        <v>-4.5281625383746221E-2</v>
      </c>
      <c r="G3253" s="9">
        <f t="shared" si="152"/>
        <v>8.7815491035377821E-3</v>
      </c>
    </row>
    <row r="3254" spans="1:7" x14ac:dyDescent="0.2">
      <c r="A3254" s="12">
        <v>41866</v>
      </c>
      <c r="B3254" s="9">
        <v>2875.21</v>
      </c>
      <c r="C3254" s="9">
        <v>2845.62</v>
      </c>
      <c r="D3254" s="9">
        <v>2849.09</v>
      </c>
      <c r="E3254" s="9">
        <f t="shared" si="150"/>
        <v>-2.5204338390877215E-3</v>
      </c>
      <c r="F3254" s="9">
        <f t="shared" si="151"/>
        <v>-4.0480915191150928E-2</v>
      </c>
      <c r="G3254" s="9">
        <f t="shared" si="152"/>
        <v>8.7154836624412056E-3</v>
      </c>
    </row>
    <row r="3255" spans="1:7" x14ac:dyDescent="0.2">
      <c r="A3255" s="12">
        <v>41869</v>
      </c>
      <c r="B3255" s="9">
        <v>2878.15</v>
      </c>
      <c r="C3255" s="9">
        <v>2867.09</v>
      </c>
      <c r="D3255" s="9">
        <v>2878.07</v>
      </c>
      <c r="E3255" s="9">
        <f t="shared" si="150"/>
        <v>1.012028556712663E-2</v>
      </c>
      <c r="F3255" s="9">
        <f t="shared" si="151"/>
        <v>-2.3925629271303997E-2</v>
      </c>
      <c r="G3255" s="9">
        <f t="shared" si="152"/>
        <v>8.9044414547576022E-3</v>
      </c>
    </row>
    <row r="3256" spans="1:7" x14ac:dyDescent="0.2">
      <c r="A3256" s="12">
        <v>41870</v>
      </c>
      <c r="B3256" s="9">
        <v>2915.07</v>
      </c>
      <c r="C3256" s="9">
        <v>2889.97</v>
      </c>
      <c r="D3256" s="9">
        <v>2914.19</v>
      </c>
      <c r="E3256" s="9">
        <f t="shared" si="150"/>
        <v>1.2471977502721499E-2</v>
      </c>
      <c r="F3256" s="9">
        <f t="shared" si="151"/>
        <v>2.810901819855991E-3</v>
      </c>
      <c r="G3256" s="9">
        <f t="shared" si="152"/>
        <v>8.8478982574774299E-3</v>
      </c>
    </row>
    <row r="3257" spans="1:7" x14ac:dyDescent="0.2">
      <c r="A3257" s="12">
        <v>41871</v>
      </c>
      <c r="B3257" s="9">
        <v>2928.31</v>
      </c>
      <c r="C3257" s="9">
        <v>2912.02</v>
      </c>
      <c r="D3257" s="9">
        <v>2925.88</v>
      </c>
      <c r="E3257" s="9">
        <f t="shared" si="150"/>
        <v>4.0033820187193097E-3</v>
      </c>
      <c r="F3257" s="9">
        <f t="shared" si="151"/>
        <v>4.8135406275408733E-3</v>
      </c>
      <c r="G3257" s="9">
        <f t="shared" si="152"/>
        <v>8.8703087281453326E-3</v>
      </c>
    </row>
    <row r="3258" spans="1:7" x14ac:dyDescent="0.2">
      <c r="A3258" s="12">
        <v>41872</v>
      </c>
      <c r="B3258" s="9">
        <v>2950.57</v>
      </c>
      <c r="C3258" s="9">
        <v>2917.59</v>
      </c>
      <c r="D3258" s="9">
        <v>2950.55</v>
      </c>
      <c r="E3258" s="9">
        <f t="shared" si="150"/>
        <v>8.3963035148173111E-3</v>
      </c>
      <c r="F3258" s="9">
        <f t="shared" si="151"/>
        <v>2.4232549992228281E-2</v>
      </c>
      <c r="G3258" s="9">
        <f t="shared" si="152"/>
        <v>8.7335762236617886E-3</v>
      </c>
    </row>
    <row r="3259" spans="1:7" x14ac:dyDescent="0.2">
      <c r="A3259" s="12">
        <v>41873</v>
      </c>
      <c r="B3259" s="9">
        <v>2953.59</v>
      </c>
      <c r="C3259" s="9">
        <v>2921.88</v>
      </c>
      <c r="D3259" s="9">
        <v>2933.68</v>
      </c>
      <c r="E3259" s="9">
        <f t="shared" si="150"/>
        <v>-5.7339860004794524E-3</v>
      </c>
      <c r="F3259" s="9">
        <f t="shared" si="151"/>
        <v>2.0124936601827629E-2</v>
      </c>
      <c r="G3259" s="9">
        <f t="shared" si="152"/>
        <v>8.8049598296112402E-3</v>
      </c>
    </row>
    <row r="3260" spans="1:7" x14ac:dyDescent="0.2">
      <c r="A3260" s="12">
        <v>41876</v>
      </c>
      <c r="B3260" s="9">
        <v>2958.06</v>
      </c>
      <c r="C3260" s="9">
        <v>2940.62</v>
      </c>
      <c r="D3260" s="9">
        <v>2952.67</v>
      </c>
      <c r="E3260" s="9">
        <f t="shared" si="150"/>
        <v>6.452238103955117E-3</v>
      </c>
      <c r="F3260" s="9">
        <f t="shared" si="151"/>
        <v>9.1453160678763631E-3</v>
      </c>
      <c r="G3260" s="9">
        <f t="shared" si="152"/>
        <v>8.2978319429518454E-3</v>
      </c>
    </row>
    <row r="3261" spans="1:7" x14ac:dyDescent="0.2">
      <c r="A3261" s="12">
        <v>41877</v>
      </c>
      <c r="B3261" s="9">
        <v>2959.13</v>
      </c>
      <c r="C3261" s="9">
        <v>2939.08</v>
      </c>
      <c r="D3261" s="9">
        <v>2959.13</v>
      </c>
      <c r="E3261" s="9">
        <f t="shared" si="150"/>
        <v>2.1854604591521119E-3</v>
      </c>
      <c r="F3261" s="9">
        <f t="shared" si="151"/>
        <v>1.8640933654435081E-2</v>
      </c>
      <c r="G3261" s="9">
        <f t="shared" si="152"/>
        <v>8.1775752113702697E-3</v>
      </c>
    </row>
    <row r="3262" spans="1:7" x14ac:dyDescent="0.2">
      <c r="A3262" s="12">
        <v>41878</v>
      </c>
      <c r="B3262" s="9">
        <v>2970.05</v>
      </c>
      <c r="C3262" s="9">
        <v>2957.91</v>
      </c>
      <c r="D3262" s="9">
        <v>2967.85</v>
      </c>
      <c r="E3262" s="9">
        <f t="shared" si="150"/>
        <v>2.9424787300145242E-3</v>
      </c>
      <c r="F3262" s="9">
        <f t="shared" si="151"/>
        <v>5.7072438027083857E-3</v>
      </c>
      <c r="G3262" s="9">
        <f t="shared" si="152"/>
        <v>7.670840140160771E-3</v>
      </c>
    </row>
    <row r="3263" spans="1:7" x14ac:dyDescent="0.2">
      <c r="A3263" s="12">
        <v>41879</v>
      </c>
      <c r="B3263" s="9">
        <v>2966.23</v>
      </c>
      <c r="C3263" s="9">
        <v>2917.46</v>
      </c>
      <c r="D3263" s="9">
        <v>2921.38</v>
      </c>
      <c r="E3263" s="9">
        <f t="shared" si="150"/>
        <v>-1.57816775660185E-2</v>
      </c>
      <c r="F3263" s="9">
        <f t="shared" si="151"/>
        <v>-3.8196543158245167E-3</v>
      </c>
      <c r="G3263" s="9">
        <f t="shared" si="152"/>
        <v>8.1302974776412927E-3</v>
      </c>
    </row>
    <row r="3264" spans="1:7" x14ac:dyDescent="0.2">
      <c r="A3264" s="12">
        <v>41880</v>
      </c>
      <c r="B3264" s="9">
        <v>2938.18</v>
      </c>
      <c r="C3264" s="9">
        <v>2917.93</v>
      </c>
      <c r="D3264" s="9">
        <v>2938.18</v>
      </c>
      <c r="E3264" s="9">
        <f t="shared" si="150"/>
        <v>5.7342346640363983E-3</v>
      </c>
      <c r="F3264" s="9">
        <f t="shared" si="151"/>
        <v>-7.0767077211146361E-4</v>
      </c>
      <c r="G3264" s="9">
        <f t="shared" si="152"/>
        <v>8.1862484638748224E-3</v>
      </c>
    </row>
    <row r="3265" spans="1:7" x14ac:dyDescent="0.2">
      <c r="A3265" s="12">
        <v>41883</v>
      </c>
      <c r="B3265" s="9">
        <v>2942.65</v>
      </c>
      <c r="C3265" s="9">
        <v>2922.75</v>
      </c>
      <c r="D3265" s="9">
        <v>2934.07</v>
      </c>
      <c r="E3265" s="9">
        <f t="shared" si="150"/>
        <v>-1.3998043922217507E-3</v>
      </c>
      <c r="F3265" s="9">
        <f t="shared" si="151"/>
        <v>-7.321288453917686E-3</v>
      </c>
      <c r="G3265" s="9">
        <f t="shared" si="152"/>
        <v>8.1291956619920017E-3</v>
      </c>
    </row>
    <row r="3266" spans="1:7" x14ac:dyDescent="0.2">
      <c r="A3266" s="12">
        <v>41884</v>
      </c>
      <c r="B3266" s="9">
        <v>2957.36</v>
      </c>
      <c r="C3266" s="9">
        <v>2936.88</v>
      </c>
      <c r="D3266" s="9">
        <v>2952.07</v>
      </c>
      <c r="E3266" s="9">
        <f t="shared" si="150"/>
        <v>6.1160815439814265E-3</v>
      </c>
      <c r="F3266" s="9">
        <f t="shared" si="151"/>
        <v>-2.7062975107818932E-3</v>
      </c>
      <c r="G3266" s="9">
        <f t="shared" si="152"/>
        <v>8.2066554059855735E-3</v>
      </c>
    </row>
    <row r="3267" spans="1:7" x14ac:dyDescent="0.2">
      <c r="A3267" s="12">
        <v>41885</v>
      </c>
      <c r="B3267" s="9">
        <v>2984.14</v>
      </c>
      <c r="C3267" s="9">
        <v>2949.45</v>
      </c>
      <c r="D3267" s="9">
        <v>2976.71</v>
      </c>
      <c r="E3267" s="9">
        <f t="shared" si="150"/>
        <v>8.312044590897745E-3</v>
      </c>
      <c r="F3267" s="9">
        <f t="shared" si="151"/>
        <v>-1.6212817716588089E-3</v>
      </c>
      <c r="G3267" s="9">
        <f t="shared" si="152"/>
        <v>8.242328201528511E-3</v>
      </c>
    </row>
    <row r="3268" spans="1:7" x14ac:dyDescent="0.2">
      <c r="A3268" s="12">
        <v>41886</v>
      </c>
      <c r="B3268" s="9">
        <v>3010.53</v>
      </c>
      <c r="C3268" s="9">
        <v>2965.73</v>
      </c>
      <c r="D3268" s="9">
        <v>3010.34</v>
      </c>
      <c r="E3268" s="9">
        <f t="shared" ref="E3268:E3331" si="153">LN(D3268/D3267)</f>
        <v>1.1234365407166708E-2</v>
      </c>
      <c r="F3268" s="9">
        <f t="shared" si="151"/>
        <v>4.7816391270073611E-3</v>
      </c>
      <c r="G3268" s="9">
        <f t="shared" si="152"/>
        <v>8.4533952453738192E-3</v>
      </c>
    </row>
    <row r="3269" spans="1:7" x14ac:dyDescent="0.2">
      <c r="A3269" s="12">
        <v>41887</v>
      </c>
      <c r="B3269" s="9">
        <v>3012.17</v>
      </c>
      <c r="C3269" s="9">
        <v>2992.83</v>
      </c>
      <c r="D3269" s="9">
        <v>3002.51</v>
      </c>
      <c r="E3269" s="9">
        <f t="shared" si="153"/>
        <v>-2.604423667951686E-3</v>
      </c>
      <c r="F3269" s="9">
        <f t="shared" si="151"/>
        <v>4.1885961376353668E-3</v>
      </c>
      <c r="G3269" s="9">
        <f t="shared" si="152"/>
        <v>8.4593379111862019E-3</v>
      </c>
    </row>
    <row r="3270" spans="1:7" x14ac:dyDescent="0.2">
      <c r="A3270" s="12">
        <v>41890</v>
      </c>
      <c r="B3270" s="9">
        <v>3008.18</v>
      </c>
      <c r="C3270" s="9">
        <v>2992.19</v>
      </c>
      <c r="D3270" s="9">
        <v>3005.81</v>
      </c>
      <c r="E3270" s="9">
        <f t="shared" si="153"/>
        <v>1.0984768893231313E-3</v>
      </c>
      <c r="F3270" s="9">
        <f t="shared" si="151"/>
        <v>1.0975538397686203E-2</v>
      </c>
      <c r="G3270" s="9">
        <f t="shared" si="152"/>
        <v>8.3885573718804739E-3</v>
      </c>
    </row>
    <row r="3271" spans="1:7" x14ac:dyDescent="0.2">
      <c r="A3271" s="12">
        <v>41891</v>
      </c>
      <c r="B3271" s="9">
        <v>3014.67</v>
      </c>
      <c r="C3271" s="9">
        <v>2977.1</v>
      </c>
      <c r="D3271" s="9">
        <v>2980.88</v>
      </c>
      <c r="E3271" s="9">
        <f t="shared" si="153"/>
        <v>-8.3285234759686022E-3</v>
      </c>
      <c r="F3271" s="9">
        <f t="shared" si="151"/>
        <v>2.4284044426786263E-3</v>
      </c>
      <c r="G3271" s="9">
        <f t="shared" si="152"/>
        <v>8.5375525536280292E-3</v>
      </c>
    </row>
    <row r="3272" spans="1:7" x14ac:dyDescent="0.2">
      <c r="A3272" s="12">
        <v>41892</v>
      </c>
      <c r="B3272" s="9">
        <v>2965.51</v>
      </c>
      <c r="C3272" s="9">
        <v>2947.5</v>
      </c>
      <c r="D3272" s="9">
        <v>2956.77</v>
      </c>
      <c r="E3272" s="9">
        <f t="shared" si="153"/>
        <v>-8.1211026278184256E-3</v>
      </c>
      <c r="F3272" s="9">
        <f t="shared" si="151"/>
        <v>-8.079879680877762E-4</v>
      </c>
      <c r="G3272" s="9">
        <f t="shared" si="152"/>
        <v>8.6224866976416219E-3</v>
      </c>
    </row>
    <row r="3273" spans="1:7" x14ac:dyDescent="0.2">
      <c r="A3273" s="12">
        <v>41893</v>
      </c>
      <c r="B3273" s="9">
        <v>2973.53</v>
      </c>
      <c r="C3273" s="9">
        <v>2941.31</v>
      </c>
      <c r="D3273" s="9">
        <v>2945.94</v>
      </c>
      <c r="E3273" s="9">
        <f t="shared" si="153"/>
        <v>-3.669505075601241E-3</v>
      </c>
      <c r="F3273" s="9">
        <f t="shared" si="151"/>
        <v>6.285966535579785E-3</v>
      </c>
      <c r="G3273" s="9">
        <f t="shared" si="152"/>
        <v>8.4126113930016559E-3</v>
      </c>
    </row>
    <row r="3274" spans="1:7" x14ac:dyDescent="0.2">
      <c r="A3274" s="12">
        <v>41894</v>
      </c>
      <c r="B3274" s="9">
        <v>2952.74</v>
      </c>
      <c r="C3274" s="9">
        <v>2938.66</v>
      </c>
      <c r="D3274" s="9">
        <v>2939.65</v>
      </c>
      <c r="E3274" s="9">
        <f t="shared" si="153"/>
        <v>-2.1374245894461527E-3</v>
      </c>
      <c r="F3274" s="9">
        <f t="shared" si="151"/>
        <v>1.4607904187953522E-2</v>
      </c>
      <c r="G3274" s="9">
        <f t="shared" si="152"/>
        <v>8.1827473931314898E-3</v>
      </c>
    </row>
    <row r="3275" spans="1:7" x14ac:dyDescent="0.2">
      <c r="A3275" s="12">
        <v>41897</v>
      </c>
      <c r="B3275" s="9">
        <v>2942.9</v>
      </c>
      <c r="C3275" s="9">
        <v>2926.15</v>
      </c>
      <c r="D3275" s="9">
        <v>2937.49</v>
      </c>
      <c r="E3275" s="9">
        <f t="shared" si="153"/>
        <v>-7.3505143564872577E-4</v>
      </c>
      <c r="F3275" s="9">
        <f t="shared" si="151"/>
        <v>9.9214290447792088E-3</v>
      </c>
      <c r="G3275" s="9">
        <f t="shared" si="152"/>
        <v>8.1590265514273307E-3</v>
      </c>
    </row>
    <row r="3276" spans="1:7" x14ac:dyDescent="0.2">
      <c r="A3276" s="12">
        <v>41898</v>
      </c>
      <c r="B3276" s="9">
        <v>2938.01</v>
      </c>
      <c r="C3276" s="9">
        <v>2908.24</v>
      </c>
      <c r="D3276" s="9">
        <v>2919.06</v>
      </c>
      <c r="E3276" s="9">
        <f t="shared" si="153"/>
        <v>-6.2938285638530428E-3</v>
      </c>
      <c r="F3276" s="9">
        <f t="shared" si="151"/>
        <v>8.0831173665921793E-3</v>
      </c>
      <c r="G3276" s="9">
        <f t="shared" si="152"/>
        <v>8.2029969851443296E-3</v>
      </c>
    </row>
    <row r="3277" spans="1:7" x14ac:dyDescent="0.2">
      <c r="A3277" s="12">
        <v>41899</v>
      </c>
      <c r="B3277" s="9">
        <v>2951.69</v>
      </c>
      <c r="C3277" s="9">
        <v>2940</v>
      </c>
      <c r="D3277" s="9">
        <v>2943.04</v>
      </c>
      <c r="E3277" s="9">
        <f t="shared" si="153"/>
        <v>8.181414086885162E-3</v>
      </c>
      <c r="F3277" s="9">
        <f t="shared" si="151"/>
        <v>3.025913984212417E-2</v>
      </c>
      <c r="G3277" s="9">
        <f t="shared" si="152"/>
        <v>7.8655281819834857E-3</v>
      </c>
    </row>
    <row r="3278" spans="1:7" x14ac:dyDescent="0.2">
      <c r="A3278" s="12">
        <v>41900</v>
      </c>
      <c r="B3278" s="9">
        <v>2956.22</v>
      </c>
      <c r="C3278" s="9">
        <v>2944.65</v>
      </c>
      <c r="D3278" s="9">
        <v>2949.76</v>
      </c>
      <c r="E3278" s="9">
        <f t="shared" si="153"/>
        <v>2.2807503777560246E-3</v>
      </c>
      <c r="F3278" s="9">
        <f t="shared" si="151"/>
        <v>3.6505266844879654E-2</v>
      </c>
      <c r="G3278" s="9">
        <f t="shared" si="152"/>
        <v>7.8118090364985744E-3</v>
      </c>
    </row>
    <row r="3279" spans="1:7" x14ac:dyDescent="0.2">
      <c r="A3279" s="12">
        <v>41901</v>
      </c>
      <c r="B3279" s="9">
        <v>2979.53</v>
      </c>
      <c r="C3279" s="9">
        <v>2960.32</v>
      </c>
      <c r="D3279" s="9">
        <v>2977.54</v>
      </c>
      <c r="E3279" s="9">
        <f t="shared" si="153"/>
        <v>9.3736451361305668E-3</v>
      </c>
      <c r="F3279" s="9">
        <f t="shared" si="151"/>
        <v>6.2761004570463699E-2</v>
      </c>
      <c r="G3279" s="9">
        <f t="shared" si="152"/>
        <v>7.1575608740082107E-3</v>
      </c>
    </row>
    <row r="3280" spans="1:7" x14ac:dyDescent="0.2">
      <c r="A3280" s="12">
        <v>41904</v>
      </c>
      <c r="B3280" s="9">
        <v>2989.29</v>
      </c>
      <c r="C3280" s="9">
        <v>2962.4</v>
      </c>
      <c r="D3280" s="9">
        <v>2973.84</v>
      </c>
      <c r="E3280" s="9">
        <f t="shared" si="153"/>
        <v>-1.2434092518722672E-3</v>
      </c>
      <c r="F3280" s="9">
        <f t="shared" si="151"/>
        <v>4.4403463773678598E-2</v>
      </c>
      <c r="G3280" s="9">
        <f t="shared" si="152"/>
        <v>6.5913163624479873E-3</v>
      </c>
    </row>
    <row r="3281" spans="1:7" x14ac:dyDescent="0.2">
      <c r="A3281" s="12">
        <v>41905</v>
      </c>
      <c r="B3281" s="9">
        <v>2981.13</v>
      </c>
      <c r="C3281" s="9">
        <v>2937.16</v>
      </c>
      <c r="D3281" s="9">
        <v>2937.16</v>
      </c>
      <c r="E3281" s="9">
        <f t="shared" si="153"/>
        <v>-1.2410918903716386E-2</v>
      </c>
      <c r="F3281" s="9">
        <f t="shared" si="151"/>
        <v>3.1489978431875953E-2</v>
      </c>
      <c r="G3281" s="9">
        <f t="shared" si="152"/>
        <v>7.0621983498147089E-3</v>
      </c>
    </row>
    <row r="3282" spans="1:7" x14ac:dyDescent="0.2">
      <c r="A3282" s="12">
        <v>41906</v>
      </c>
      <c r="B3282" s="9">
        <v>2948.21</v>
      </c>
      <c r="C3282" s="9">
        <v>2923.65</v>
      </c>
      <c r="D3282" s="9">
        <v>2948.21</v>
      </c>
      <c r="E3282" s="9">
        <f t="shared" si="153"/>
        <v>3.7550784349369023E-3</v>
      </c>
      <c r="F3282" s="9">
        <f t="shared" si="151"/>
        <v>3.2921775996427129E-2</v>
      </c>
      <c r="G3282" s="9">
        <f t="shared" si="152"/>
        <v>7.0759270073268475E-3</v>
      </c>
    </row>
    <row r="3283" spans="1:7" x14ac:dyDescent="0.2">
      <c r="A3283" s="12">
        <v>41907</v>
      </c>
      <c r="B3283" s="9">
        <v>2981.12</v>
      </c>
      <c r="C3283" s="9">
        <v>2929.34</v>
      </c>
      <c r="D3283" s="9">
        <v>2931.73</v>
      </c>
      <c r="E3283" s="9">
        <f t="shared" si="153"/>
        <v>-5.6055140537372792E-3</v>
      </c>
      <c r="F3283" s="9">
        <f t="shared" si="151"/>
        <v>2.6072613584198986E-2</v>
      </c>
      <c r="G3283" s="9">
        <f t="shared" si="152"/>
        <v>7.1807631245263733E-3</v>
      </c>
    </row>
    <row r="3284" spans="1:7" x14ac:dyDescent="0.2">
      <c r="A3284" s="12">
        <v>41908</v>
      </c>
      <c r="B3284" s="9">
        <v>2945.37</v>
      </c>
      <c r="C3284" s="9">
        <v>2919.05</v>
      </c>
      <c r="D3284" s="9">
        <v>2935.42</v>
      </c>
      <c r="E3284" s="9">
        <f t="shared" si="153"/>
        <v>1.2578510815381332E-3</v>
      </c>
      <c r="F3284" s="9">
        <f t="shared" si="151"/>
        <v>2.9850898504824787E-2</v>
      </c>
      <c r="G3284" s="9">
        <f t="shared" si="152"/>
        <v>7.1523419112753768E-3</v>
      </c>
    </row>
    <row r="3285" spans="1:7" x14ac:dyDescent="0.2">
      <c r="A3285" s="12">
        <v>41911</v>
      </c>
      <c r="B3285" s="9">
        <v>2943.39</v>
      </c>
      <c r="C3285" s="9">
        <v>2905.39</v>
      </c>
      <c r="D3285" s="9">
        <v>2920.56</v>
      </c>
      <c r="E3285" s="9">
        <f t="shared" si="153"/>
        <v>-5.0751648387144218E-3</v>
      </c>
      <c r="F3285" s="9">
        <f t="shared" si="151"/>
        <v>1.4655448098983949E-2</v>
      </c>
      <c r="G3285" s="9">
        <f t="shared" si="152"/>
        <v>7.0206692396141039E-3</v>
      </c>
    </row>
    <row r="3286" spans="1:7" x14ac:dyDescent="0.2">
      <c r="A3286" s="12">
        <v>41912</v>
      </c>
      <c r="B3286" s="9">
        <v>2942.53</v>
      </c>
      <c r="C3286" s="9">
        <v>2910.05</v>
      </c>
      <c r="D3286" s="9">
        <v>2939.29</v>
      </c>
      <c r="E3286" s="9">
        <f t="shared" si="153"/>
        <v>6.3926768724343478E-3</v>
      </c>
      <c r="F3286" s="9">
        <f t="shared" si="151"/>
        <v>8.5761474686967421E-3</v>
      </c>
      <c r="G3286" s="9">
        <f t="shared" si="152"/>
        <v>6.7451845500413653E-3</v>
      </c>
    </row>
    <row r="3287" spans="1:7" x14ac:dyDescent="0.2">
      <c r="A3287" s="12">
        <v>41913</v>
      </c>
      <c r="B3287" s="9">
        <v>2948.21</v>
      </c>
      <c r="C3287" s="9">
        <v>2897.64</v>
      </c>
      <c r="D3287" s="9">
        <v>2897.78</v>
      </c>
      <c r="E3287" s="9">
        <f t="shared" si="153"/>
        <v>-1.4223128993847063E-2</v>
      </c>
      <c r="F3287" s="9">
        <f t="shared" si="151"/>
        <v>-9.6503635438696528E-3</v>
      </c>
      <c r="G3287" s="9">
        <f t="shared" si="152"/>
        <v>7.2040353017247434E-3</v>
      </c>
    </row>
    <row r="3288" spans="1:7" x14ac:dyDescent="0.2">
      <c r="A3288" s="12">
        <v>41914</v>
      </c>
      <c r="B3288" s="9">
        <v>2902.36</v>
      </c>
      <c r="C3288" s="9">
        <v>2847.11</v>
      </c>
      <c r="D3288" s="9">
        <v>2847.34</v>
      </c>
      <c r="E3288" s="9">
        <f t="shared" si="153"/>
        <v>-1.7559701472636344E-2</v>
      </c>
      <c r="F3288" s="9">
        <f t="shared" si="151"/>
        <v>-3.5606368531323221E-2</v>
      </c>
      <c r="G3288" s="9">
        <f t="shared" si="152"/>
        <v>7.664820409093988E-3</v>
      </c>
    </row>
    <row r="3289" spans="1:7" x14ac:dyDescent="0.2">
      <c r="A3289" s="12">
        <v>41915</v>
      </c>
      <c r="B3289" s="9">
        <v>2884.88</v>
      </c>
      <c r="C3289" s="9">
        <v>2865.08</v>
      </c>
      <c r="D3289" s="9">
        <v>2878.4</v>
      </c>
      <c r="E3289" s="9">
        <f t="shared" si="153"/>
        <v>1.0849359093663555E-2</v>
      </c>
      <c r="F3289" s="9">
        <f t="shared" si="151"/>
        <v>-1.9023023437180285E-2</v>
      </c>
      <c r="G3289" s="9">
        <f t="shared" si="152"/>
        <v>7.9193403979200151E-3</v>
      </c>
    </row>
    <row r="3290" spans="1:7" x14ac:dyDescent="0.2">
      <c r="A3290" s="12">
        <v>41918</v>
      </c>
      <c r="B3290" s="9">
        <v>2921.68</v>
      </c>
      <c r="C3290" s="9">
        <v>2897.03</v>
      </c>
      <c r="D3290" s="9">
        <v>2908.66</v>
      </c>
      <c r="E3290" s="9">
        <f t="shared" si="153"/>
        <v>1.045790981563309E-2</v>
      </c>
      <c r="F3290" s="9">
        <f t="shared" si="151"/>
        <v>-1.5017351725502292E-2</v>
      </c>
      <c r="G3290" s="9">
        <f t="shared" si="152"/>
        <v>8.0751732579447677E-3</v>
      </c>
    </row>
    <row r="3291" spans="1:7" x14ac:dyDescent="0.2">
      <c r="A3291" s="12">
        <v>41919</v>
      </c>
      <c r="B3291" s="9">
        <v>2907.86</v>
      </c>
      <c r="C3291" s="9">
        <v>2854.78</v>
      </c>
      <c r="D3291" s="9">
        <v>2854.78</v>
      </c>
      <c r="E3291" s="9">
        <f t="shared" si="153"/>
        <v>-1.8697711684240424E-2</v>
      </c>
      <c r="F3291" s="9">
        <f t="shared" si="151"/>
        <v>-3.5900523868894745E-2</v>
      </c>
      <c r="G3291" s="9">
        <f t="shared" si="152"/>
        <v>8.7107310565833398E-3</v>
      </c>
    </row>
    <row r="3292" spans="1:7" x14ac:dyDescent="0.2">
      <c r="A3292" s="12">
        <v>41920</v>
      </c>
      <c r="B3292" s="9">
        <v>2846.63</v>
      </c>
      <c r="C3292" s="9">
        <v>2808.21</v>
      </c>
      <c r="D3292" s="9">
        <v>2814.39</v>
      </c>
      <c r="E3292" s="9">
        <f t="shared" si="153"/>
        <v>-1.4249240505881923E-2</v>
      </c>
      <c r="F3292" s="9">
        <f t="shared" si="151"/>
        <v>-5.3092243104791145E-2</v>
      </c>
      <c r="G3292" s="9">
        <f t="shared" si="152"/>
        <v>8.9900576292124695E-3</v>
      </c>
    </row>
    <row r="3293" spans="1:7" x14ac:dyDescent="0.2">
      <c r="A3293" s="12">
        <v>41921</v>
      </c>
      <c r="B3293" s="9">
        <v>2860.99</v>
      </c>
      <c r="C3293" s="9">
        <v>2799.43</v>
      </c>
      <c r="D3293" s="9">
        <v>2807.73</v>
      </c>
      <c r="E3293" s="9">
        <f t="shared" si="153"/>
        <v>-2.3692141453088623E-3</v>
      </c>
      <c r="F3293" s="9">
        <f t="shared" si="151"/>
        <v>-3.9679779684081547E-2</v>
      </c>
      <c r="G3293" s="9">
        <f t="shared" si="152"/>
        <v>8.593986450158117E-3</v>
      </c>
    </row>
    <row r="3294" spans="1:7" x14ac:dyDescent="0.2">
      <c r="A3294" s="12">
        <v>41922</v>
      </c>
      <c r="B3294" s="9">
        <v>2787.72</v>
      </c>
      <c r="C3294" s="9">
        <v>2737.81</v>
      </c>
      <c r="D3294" s="9">
        <v>2762.23</v>
      </c>
      <c r="E3294" s="9">
        <f t="shared" si="153"/>
        <v>-1.6338003183649492E-2</v>
      </c>
      <c r="F3294" s="9">
        <f t="shared" si="151"/>
        <v>-6.1752017531767463E-2</v>
      </c>
      <c r="G3294" s="9">
        <f t="shared" si="152"/>
        <v>8.9080800835192181E-3</v>
      </c>
    </row>
    <row r="3295" spans="1:7" x14ac:dyDescent="0.2">
      <c r="A3295" s="12">
        <v>41925</v>
      </c>
      <c r="B3295" s="9">
        <v>2784.6</v>
      </c>
      <c r="C3295" s="9">
        <v>2738.86</v>
      </c>
      <c r="D3295" s="9">
        <v>2758.16</v>
      </c>
      <c r="E3295" s="9">
        <f t="shared" si="153"/>
        <v>-1.4745337693290309E-3</v>
      </c>
      <c r="F3295" s="9">
        <f t="shared" si="151"/>
        <v>-6.1826746908874734E-2</v>
      </c>
      <c r="G3295" s="9">
        <f t="shared" si="152"/>
        <v>8.9079000153513971E-3</v>
      </c>
    </row>
    <row r="3296" spans="1:7" x14ac:dyDescent="0.2">
      <c r="A3296" s="12">
        <v>41926</v>
      </c>
      <c r="B3296" s="9">
        <v>2776.25</v>
      </c>
      <c r="C3296" s="9">
        <v>2727.89</v>
      </c>
      <c r="D3296" s="9">
        <v>2772.36</v>
      </c>
      <c r="E3296" s="9">
        <f t="shared" si="153"/>
        <v>5.1351522837768072E-3</v>
      </c>
      <c r="F3296" s="9">
        <f t="shared" si="151"/>
        <v>-6.2807676169079243E-2</v>
      </c>
      <c r="G3296" s="9">
        <f t="shared" si="152"/>
        <v>8.8786024871089948E-3</v>
      </c>
    </row>
    <row r="3297" spans="1:7" x14ac:dyDescent="0.2">
      <c r="A3297" s="12">
        <v>41927</v>
      </c>
      <c r="B3297" s="9">
        <v>2776.45</v>
      </c>
      <c r="C3297" s="9">
        <v>2675.46</v>
      </c>
      <c r="D3297" s="9">
        <v>2686.47</v>
      </c>
      <c r="E3297" s="9">
        <f t="shared" si="153"/>
        <v>-3.1470878846583818E-2</v>
      </c>
      <c r="F3297" s="9">
        <f t="shared" ref="F3297:F3360" si="154">LN(D3297/D3267)</f>
        <v>-0.10259059960656092</v>
      </c>
      <c r="G3297" s="9">
        <f t="shared" ref="G3297:G3360" si="155">STDEV(E3268:E3297)</f>
        <v>1.0150674820948224E-2</v>
      </c>
    </row>
    <row r="3298" spans="1:7" x14ac:dyDescent="0.2">
      <c r="A3298" s="12">
        <v>41928</v>
      </c>
      <c r="B3298" s="9">
        <v>2721.3</v>
      </c>
      <c r="C3298" s="9">
        <v>2626.14</v>
      </c>
      <c r="D3298" s="9">
        <v>2687.18</v>
      </c>
      <c r="E3298" s="9">
        <f t="shared" si="153"/>
        <v>2.6425241842383511E-4</v>
      </c>
      <c r="F3298" s="9">
        <f t="shared" si="154"/>
        <v>-0.11356071259530368</v>
      </c>
      <c r="G3298" s="9">
        <f t="shared" si="155"/>
        <v>9.7959676778516594E-3</v>
      </c>
    </row>
    <row r="3299" spans="1:7" x14ac:dyDescent="0.2">
      <c r="A3299" s="12">
        <v>41929</v>
      </c>
      <c r="B3299" s="9">
        <v>2778.21</v>
      </c>
      <c r="C3299" s="9">
        <v>2694.77</v>
      </c>
      <c r="D3299" s="9">
        <v>2776.52</v>
      </c>
      <c r="E3299" s="9">
        <f t="shared" si="153"/>
        <v>3.2706028390133576E-2</v>
      </c>
      <c r="F3299" s="9">
        <f t="shared" si="154"/>
        <v>-7.8250260537218452E-2</v>
      </c>
      <c r="G3299" s="9">
        <f t="shared" si="155"/>
        <v>1.1848954814570557E-2</v>
      </c>
    </row>
    <row r="3300" spans="1:7" x14ac:dyDescent="0.2">
      <c r="A3300" s="12">
        <v>41932</v>
      </c>
      <c r="B3300" s="9">
        <v>2779.68</v>
      </c>
      <c r="C3300" s="9">
        <v>2736.21</v>
      </c>
      <c r="D3300" s="9">
        <v>2758.31</v>
      </c>
      <c r="E3300" s="9">
        <f t="shared" si="153"/>
        <v>-6.5801716423692855E-3</v>
      </c>
      <c r="F3300" s="9">
        <f t="shared" si="154"/>
        <v>-8.5928909068910875E-2</v>
      </c>
      <c r="G3300" s="9">
        <f t="shared" si="155"/>
        <v>1.1849055995834103E-2</v>
      </c>
    </row>
    <row r="3301" spans="1:7" x14ac:dyDescent="0.2">
      <c r="A3301" s="12">
        <v>41933</v>
      </c>
      <c r="B3301" s="9">
        <v>2813.96</v>
      </c>
      <c r="C3301" s="9">
        <v>2744.81</v>
      </c>
      <c r="D3301" s="9">
        <v>2813.96</v>
      </c>
      <c r="E3301" s="9">
        <f t="shared" si="153"/>
        <v>1.9974570605352127E-2</v>
      </c>
      <c r="F3301" s="9">
        <f t="shared" si="154"/>
        <v>-5.7625814987590243E-2</v>
      </c>
      <c r="G3301" s="9">
        <f t="shared" si="155"/>
        <v>1.2507456591672652E-2</v>
      </c>
    </row>
    <row r="3302" spans="1:7" x14ac:dyDescent="0.2">
      <c r="A3302" s="12">
        <v>41934</v>
      </c>
      <c r="B3302" s="9">
        <v>2849.52</v>
      </c>
      <c r="C3302" s="9">
        <v>2806.46</v>
      </c>
      <c r="D3302" s="9">
        <v>2847.95</v>
      </c>
      <c r="E3302" s="9">
        <f t="shared" si="153"/>
        <v>1.2006693265754471E-2</v>
      </c>
      <c r="F3302" s="9">
        <f t="shared" si="154"/>
        <v>-3.7498019094017294E-2</v>
      </c>
      <c r="G3302" s="9">
        <f t="shared" si="155"/>
        <v>1.2701733686406395E-2</v>
      </c>
    </row>
    <row r="3303" spans="1:7" x14ac:dyDescent="0.2">
      <c r="A3303" s="12">
        <v>41935</v>
      </c>
      <c r="B3303" s="9">
        <v>2889.31</v>
      </c>
      <c r="C3303" s="9">
        <v>2843.48</v>
      </c>
      <c r="D3303" s="9">
        <v>2870.15</v>
      </c>
      <c r="E3303" s="9">
        <f t="shared" si="153"/>
        <v>7.7648559982920759E-3</v>
      </c>
      <c r="F3303" s="9">
        <f t="shared" si="154"/>
        <v>-2.6063658020123882E-2</v>
      </c>
      <c r="G3303" s="9">
        <f t="shared" si="155"/>
        <v>1.2797819157739426E-2</v>
      </c>
    </row>
    <row r="3304" spans="1:7" x14ac:dyDescent="0.2">
      <c r="A3304" s="12">
        <v>41936</v>
      </c>
      <c r="B3304" s="9">
        <v>2863.54</v>
      </c>
      <c r="C3304" s="9">
        <v>2832.81</v>
      </c>
      <c r="D3304" s="9">
        <v>2840.68</v>
      </c>
      <c r="E3304" s="9">
        <f t="shared" si="153"/>
        <v>-1.0320833081674323E-2</v>
      </c>
      <c r="F3304" s="9">
        <f t="shared" si="154"/>
        <v>-3.4247066512352153E-2</v>
      </c>
      <c r="G3304" s="9">
        <f t="shared" si="155"/>
        <v>1.2912491300188272E-2</v>
      </c>
    </row>
    <row r="3305" spans="1:7" x14ac:dyDescent="0.2">
      <c r="A3305" s="12">
        <v>41939</v>
      </c>
      <c r="B3305" s="9">
        <v>2870.73</v>
      </c>
      <c r="C3305" s="9">
        <v>2817.01</v>
      </c>
      <c r="D3305" s="9">
        <v>2832.08</v>
      </c>
      <c r="E3305" s="9">
        <f t="shared" si="153"/>
        <v>-3.0320361124002077E-3</v>
      </c>
      <c r="F3305" s="9">
        <f t="shared" si="154"/>
        <v>-3.6544051189103498E-2</v>
      </c>
      <c r="G3305" s="9">
        <f t="shared" si="155"/>
        <v>1.291680708700726E-2</v>
      </c>
    </row>
    <row r="3306" spans="1:7" x14ac:dyDescent="0.2">
      <c r="A3306" s="12">
        <v>41940</v>
      </c>
      <c r="B3306" s="9">
        <v>2890.32</v>
      </c>
      <c r="C3306" s="9">
        <v>2856.42</v>
      </c>
      <c r="D3306" s="9">
        <v>2885.18</v>
      </c>
      <c r="E3306" s="9">
        <f t="shared" si="153"/>
        <v>1.8575865674831979E-2</v>
      </c>
      <c r="F3306" s="9">
        <f t="shared" si="154"/>
        <v>-1.1674356950418626E-2</v>
      </c>
      <c r="G3306" s="9">
        <f t="shared" si="155"/>
        <v>1.3369930661424449E-2</v>
      </c>
    </row>
    <row r="3307" spans="1:7" x14ac:dyDescent="0.2">
      <c r="A3307" s="12">
        <v>41941</v>
      </c>
      <c r="B3307" s="9">
        <v>2903.43</v>
      </c>
      <c r="C3307" s="9">
        <v>2875.49</v>
      </c>
      <c r="D3307" s="9">
        <v>2881.61</v>
      </c>
      <c r="E3307" s="9">
        <f t="shared" si="153"/>
        <v>-1.238123967077892E-3</v>
      </c>
      <c r="F3307" s="9">
        <f t="shared" si="154"/>
        <v>-2.1093895004381608E-2</v>
      </c>
      <c r="G3307" s="9">
        <f t="shared" si="155"/>
        <v>1.327196295385012E-2</v>
      </c>
    </row>
    <row r="3308" spans="1:7" x14ac:dyDescent="0.2">
      <c r="A3308" s="12">
        <v>41942</v>
      </c>
      <c r="B3308" s="9">
        <v>2898.57</v>
      </c>
      <c r="C3308" s="9">
        <v>2851.3</v>
      </c>
      <c r="D3308" s="9">
        <v>2895.06</v>
      </c>
      <c r="E3308" s="9">
        <f t="shared" si="153"/>
        <v>4.65667047097767E-3</v>
      </c>
      <c r="F3308" s="9">
        <f t="shared" si="154"/>
        <v>-1.8717974911160111E-2</v>
      </c>
      <c r="G3308" s="9">
        <f t="shared" si="155"/>
        <v>1.3297446955438616E-2</v>
      </c>
    </row>
    <row r="3309" spans="1:7" x14ac:dyDescent="0.2">
      <c r="A3309" s="12">
        <v>41943</v>
      </c>
      <c r="B3309" s="9">
        <v>2934</v>
      </c>
      <c r="C3309" s="9">
        <v>2901.4</v>
      </c>
      <c r="D3309" s="9">
        <v>2929.02</v>
      </c>
      <c r="E3309" s="9">
        <f t="shared" si="153"/>
        <v>1.1662059892526049E-2</v>
      </c>
      <c r="F3309" s="9">
        <f t="shared" si="154"/>
        <v>-1.6429560154764732E-2</v>
      </c>
      <c r="G3309" s="9">
        <f t="shared" si="155"/>
        <v>1.3363176707177595E-2</v>
      </c>
    </row>
    <row r="3310" spans="1:7" x14ac:dyDescent="0.2">
      <c r="A3310" s="12">
        <v>41946</v>
      </c>
      <c r="B3310" s="9">
        <v>2940.51</v>
      </c>
      <c r="C3310" s="9">
        <v>2903.27</v>
      </c>
      <c r="D3310" s="9">
        <v>2909.68</v>
      </c>
      <c r="E3310" s="9">
        <f t="shared" si="153"/>
        <v>-6.6247865903192428E-3</v>
      </c>
      <c r="F3310" s="9">
        <f t="shared" si="154"/>
        <v>-2.1810937493211731E-2</v>
      </c>
      <c r="G3310" s="9">
        <f t="shared" si="155"/>
        <v>1.3408878220364247E-2</v>
      </c>
    </row>
    <row r="3311" spans="1:7" x14ac:dyDescent="0.2">
      <c r="A3311" s="12">
        <v>41947</v>
      </c>
      <c r="B3311" s="9">
        <v>2917.44</v>
      </c>
      <c r="C3311" s="9">
        <v>2883.81</v>
      </c>
      <c r="D3311" s="9">
        <v>2887.03</v>
      </c>
      <c r="E3311" s="9">
        <f t="shared" si="153"/>
        <v>-7.8148174644226912E-3</v>
      </c>
      <c r="F3311" s="9">
        <f t="shared" si="154"/>
        <v>-1.721483605391802E-2</v>
      </c>
      <c r="G3311" s="9">
        <f t="shared" si="155"/>
        <v>1.3296566555994139E-2</v>
      </c>
    </row>
    <row r="3312" spans="1:7" x14ac:dyDescent="0.2">
      <c r="A3312" s="12">
        <v>41948</v>
      </c>
      <c r="B3312" s="9">
        <v>2930.32</v>
      </c>
      <c r="C3312" s="9">
        <v>2891.08</v>
      </c>
      <c r="D3312" s="9">
        <v>2928.81</v>
      </c>
      <c r="E3312" s="9">
        <f t="shared" si="153"/>
        <v>1.4367905149143826E-2</v>
      </c>
      <c r="F3312" s="9">
        <f t="shared" si="154"/>
        <v>-6.602009339711193E-3</v>
      </c>
      <c r="G3312" s="9">
        <f t="shared" si="155"/>
        <v>1.355439022390959E-2</v>
      </c>
    </row>
    <row r="3313" spans="1:7" x14ac:dyDescent="0.2">
      <c r="A3313" s="12">
        <v>41949</v>
      </c>
      <c r="B3313" s="9">
        <v>2950.96</v>
      </c>
      <c r="C3313" s="9">
        <v>2911.75</v>
      </c>
      <c r="D3313" s="9">
        <v>2931.29</v>
      </c>
      <c r="E3313" s="9">
        <f t="shared" si="153"/>
        <v>8.4640198906340007E-4</v>
      </c>
      <c r="F3313" s="9">
        <f t="shared" si="154"/>
        <v>-1.5009329691046704E-4</v>
      </c>
      <c r="G3313" s="9">
        <f t="shared" si="155"/>
        <v>1.351712844141513E-2</v>
      </c>
    </row>
    <row r="3314" spans="1:7" x14ac:dyDescent="0.2">
      <c r="A3314" s="12">
        <v>41950</v>
      </c>
      <c r="B3314" s="9">
        <v>2939.72</v>
      </c>
      <c r="C3314" s="9">
        <v>2882.04</v>
      </c>
      <c r="D3314" s="9">
        <v>2898.29</v>
      </c>
      <c r="E3314" s="9">
        <f t="shared" si="153"/>
        <v>-1.1321691269749502E-2</v>
      </c>
      <c r="F3314" s="9">
        <f t="shared" si="154"/>
        <v>-1.2729635648198167E-2</v>
      </c>
      <c r="G3314" s="9">
        <f t="shared" si="155"/>
        <v>1.367084473643369E-2</v>
      </c>
    </row>
    <row r="3315" spans="1:7" x14ac:dyDescent="0.2">
      <c r="A3315" s="12">
        <v>41953</v>
      </c>
      <c r="B3315" s="9">
        <v>2923.89</v>
      </c>
      <c r="C3315" s="9">
        <v>2895.78</v>
      </c>
      <c r="D3315" s="9">
        <v>2923.89</v>
      </c>
      <c r="E3315" s="9">
        <f t="shared" si="153"/>
        <v>8.7940135758175133E-3</v>
      </c>
      <c r="F3315" s="9">
        <f t="shared" si="154"/>
        <v>1.1395427663337824E-3</v>
      </c>
      <c r="G3315" s="9">
        <f t="shared" si="155"/>
        <v>1.374246304270276E-2</v>
      </c>
    </row>
    <row r="3316" spans="1:7" x14ac:dyDescent="0.2">
      <c r="A3316" s="12">
        <v>41954</v>
      </c>
      <c r="B3316" s="9">
        <v>2946.01</v>
      </c>
      <c r="C3316" s="9">
        <v>2926.71</v>
      </c>
      <c r="D3316" s="9">
        <v>2938.85</v>
      </c>
      <c r="E3316" s="9">
        <f t="shared" si="153"/>
        <v>5.103426885509737E-3</v>
      </c>
      <c r="F3316" s="9">
        <f t="shared" si="154"/>
        <v>-1.497072205907713E-4</v>
      </c>
      <c r="G3316" s="9">
        <f t="shared" si="155"/>
        <v>1.3723908926526246E-2</v>
      </c>
    </row>
    <row r="3317" spans="1:7" x14ac:dyDescent="0.2">
      <c r="A3317" s="12">
        <v>41955</v>
      </c>
      <c r="B3317" s="9">
        <v>2939.49</v>
      </c>
      <c r="C3317" s="9">
        <v>2894.78</v>
      </c>
      <c r="D3317" s="9">
        <v>2896.16</v>
      </c>
      <c r="E3317" s="9">
        <f t="shared" si="153"/>
        <v>-1.4632626750255149E-2</v>
      </c>
      <c r="F3317" s="9">
        <f t="shared" si="154"/>
        <v>-5.5920497699877138E-4</v>
      </c>
      <c r="G3317" s="9">
        <f t="shared" si="155"/>
        <v>1.3738733692992694E-2</v>
      </c>
    </row>
    <row r="3318" spans="1:7" x14ac:dyDescent="0.2">
      <c r="A3318" s="12">
        <v>41956</v>
      </c>
      <c r="B3318" s="9">
        <v>2944.2</v>
      </c>
      <c r="C3318" s="9">
        <v>2906.28</v>
      </c>
      <c r="D3318" s="9">
        <v>2924.6</v>
      </c>
      <c r="E3318" s="9">
        <f t="shared" si="153"/>
        <v>9.771997579535974E-3</v>
      </c>
      <c r="F3318" s="9">
        <f t="shared" si="154"/>
        <v>2.6772494075173417E-2</v>
      </c>
      <c r="G3318" s="9">
        <f t="shared" si="155"/>
        <v>1.3438362907079317E-2</v>
      </c>
    </row>
    <row r="3319" spans="1:7" x14ac:dyDescent="0.2">
      <c r="A3319" s="12">
        <v>41957</v>
      </c>
      <c r="B3319" s="9">
        <v>2934.52</v>
      </c>
      <c r="C3319" s="9">
        <v>2900.77</v>
      </c>
      <c r="D3319" s="9">
        <v>2915.03</v>
      </c>
      <c r="E3319" s="9">
        <f t="shared" si="153"/>
        <v>-3.2776078509467437E-3</v>
      </c>
      <c r="F3319" s="9">
        <f t="shared" si="154"/>
        <v>1.2645527130563314E-2</v>
      </c>
      <c r="G3319" s="9">
        <f t="shared" si="155"/>
        <v>1.3324458136466629E-2</v>
      </c>
    </row>
    <row r="3320" spans="1:7" x14ac:dyDescent="0.2">
      <c r="A3320" s="12">
        <v>41960</v>
      </c>
      <c r="B3320" s="9">
        <v>2916.57</v>
      </c>
      <c r="C3320" s="9">
        <v>2895.35</v>
      </c>
      <c r="D3320" s="9">
        <v>2916.57</v>
      </c>
      <c r="E3320" s="9">
        <f t="shared" si="153"/>
        <v>5.2815695033903869E-4</v>
      </c>
      <c r="F3320" s="9">
        <f t="shared" si="154"/>
        <v>2.7157742652692066E-3</v>
      </c>
      <c r="G3320" s="9">
        <f t="shared" si="155"/>
        <v>1.3189193448130057E-2</v>
      </c>
    </row>
    <row r="3321" spans="1:7" x14ac:dyDescent="0.2">
      <c r="A3321" s="12">
        <v>41961</v>
      </c>
      <c r="B3321" s="9">
        <v>2948.97</v>
      </c>
      <c r="C3321" s="9">
        <v>2914.71</v>
      </c>
      <c r="D3321" s="9">
        <v>2948.97</v>
      </c>
      <c r="E3321" s="9">
        <f t="shared" si="153"/>
        <v>1.1047688546380907E-2</v>
      </c>
      <c r="F3321" s="9">
        <f t="shared" si="154"/>
        <v>3.2461174495890463E-2</v>
      </c>
      <c r="G3321" s="9">
        <f t="shared" si="155"/>
        <v>1.2841552270215287E-2</v>
      </c>
    </row>
    <row r="3322" spans="1:7" x14ac:dyDescent="0.2">
      <c r="A3322" s="12">
        <v>41962</v>
      </c>
      <c r="B3322" s="9">
        <v>2955.25</v>
      </c>
      <c r="C3322" s="9">
        <v>2931.47</v>
      </c>
      <c r="D3322" s="9">
        <v>2942.45</v>
      </c>
      <c r="E3322" s="9">
        <f t="shared" si="153"/>
        <v>-2.2133891869327098E-3</v>
      </c>
      <c r="F3322" s="9">
        <f t="shared" si="154"/>
        <v>4.4497025814839712E-2</v>
      </c>
      <c r="G3322" s="9">
        <f t="shared" si="155"/>
        <v>1.2530296340019816E-2</v>
      </c>
    </row>
    <row r="3323" spans="1:7" x14ac:dyDescent="0.2">
      <c r="A3323" s="12">
        <v>41963</v>
      </c>
      <c r="B3323" s="9">
        <v>2947.02</v>
      </c>
      <c r="C3323" s="9">
        <v>2928.8</v>
      </c>
      <c r="D3323" s="9">
        <v>2943.29</v>
      </c>
      <c r="E3323" s="9">
        <f t="shared" si="153"/>
        <v>2.8543564809288606E-4</v>
      </c>
      <c r="F3323" s="9">
        <f t="shared" si="154"/>
        <v>4.7151675608241614E-2</v>
      </c>
      <c r="G3323" s="9">
        <f t="shared" si="155"/>
        <v>1.2511511833349968E-2</v>
      </c>
    </row>
    <row r="3324" spans="1:7" x14ac:dyDescent="0.2">
      <c r="A3324" s="12">
        <v>41964</v>
      </c>
      <c r="B3324" s="9">
        <v>3025.83</v>
      </c>
      <c r="C3324" s="9">
        <v>2944.3</v>
      </c>
      <c r="D3324" s="9">
        <v>3023.96</v>
      </c>
      <c r="E3324" s="9">
        <f t="shared" si="153"/>
        <v>2.7039227413999688E-2</v>
      </c>
      <c r="F3324" s="9">
        <f t="shared" si="154"/>
        <v>9.0528906205890797E-2</v>
      </c>
      <c r="G3324" s="9">
        <f t="shared" si="155"/>
        <v>1.2871668945593434E-2</v>
      </c>
    </row>
    <row r="3325" spans="1:7" x14ac:dyDescent="0.2">
      <c r="A3325" s="12">
        <v>41967</v>
      </c>
      <c r="B3325" s="9">
        <v>3068.59</v>
      </c>
      <c r="C3325" s="9">
        <v>3021.47</v>
      </c>
      <c r="D3325" s="9">
        <v>3064.21</v>
      </c>
      <c r="E3325" s="9">
        <f t="shared" si="153"/>
        <v>1.3222556672166215E-2</v>
      </c>
      <c r="F3325" s="9">
        <f t="shared" si="154"/>
        <v>0.10522599664738616</v>
      </c>
      <c r="G3325" s="9">
        <f t="shared" si="155"/>
        <v>1.297408135072553E-2</v>
      </c>
    </row>
    <row r="3326" spans="1:7" x14ac:dyDescent="0.2">
      <c r="A3326" s="12">
        <v>41968</v>
      </c>
      <c r="B3326" s="9">
        <v>3081.82</v>
      </c>
      <c r="C3326" s="9">
        <v>3060.18</v>
      </c>
      <c r="D3326" s="9">
        <v>3070.33</v>
      </c>
      <c r="E3326" s="9">
        <f t="shared" si="153"/>
        <v>1.9952602902067176E-3</v>
      </c>
      <c r="F3326" s="9">
        <f t="shared" si="154"/>
        <v>0.10208610465381592</v>
      </c>
      <c r="G3326" s="9">
        <f t="shared" si="155"/>
        <v>1.2973163300796734E-2</v>
      </c>
    </row>
    <row r="3327" spans="1:7" x14ac:dyDescent="0.2">
      <c r="A3327" s="12">
        <v>41969</v>
      </c>
      <c r="B3327" s="9">
        <v>3096.85</v>
      </c>
      <c r="C3327" s="9">
        <v>3061.7</v>
      </c>
      <c r="D3327" s="9">
        <v>3070.16</v>
      </c>
      <c r="E3327" s="9">
        <f t="shared" si="153"/>
        <v>-5.5370174055645751E-5</v>
      </c>
      <c r="F3327" s="9">
        <f t="shared" si="154"/>
        <v>0.13350161332634397</v>
      </c>
      <c r="G3327" s="9">
        <f t="shared" si="155"/>
        <v>1.1209093084316507E-2</v>
      </c>
    </row>
    <row r="3328" spans="1:7" x14ac:dyDescent="0.2">
      <c r="A3328" s="12">
        <v>41970</v>
      </c>
      <c r="B3328" s="9">
        <v>3083.96</v>
      </c>
      <c r="C3328" s="9">
        <v>3063.22</v>
      </c>
      <c r="D3328" s="9">
        <v>3077.63</v>
      </c>
      <c r="E3328" s="9">
        <f t="shared" si="153"/>
        <v>2.4301427590180916E-3</v>
      </c>
      <c r="F3328" s="9">
        <f t="shared" si="154"/>
        <v>0.13566750366693828</v>
      </c>
      <c r="G3328" s="9">
        <f t="shared" si="155"/>
        <v>1.11881587705137E-2</v>
      </c>
    </row>
    <row r="3329" spans="1:7" x14ac:dyDescent="0.2">
      <c r="A3329" s="12">
        <v>41971</v>
      </c>
      <c r="B3329" s="9">
        <v>3078.75</v>
      </c>
      <c r="C3329" s="9">
        <v>3033.9</v>
      </c>
      <c r="D3329" s="9">
        <v>3041.41</v>
      </c>
      <c r="E3329" s="9">
        <f t="shared" si="153"/>
        <v>-1.1838596585601565E-2</v>
      </c>
      <c r="F3329" s="9">
        <f t="shared" si="154"/>
        <v>9.1122878691203196E-2</v>
      </c>
      <c r="G3329" s="9">
        <f t="shared" si="155"/>
        <v>1.0233958286280275E-2</v>
      </c>
    </row>
    <row r="3330" spans="1:7" x14ac:dyDescent="0.2">
      <c r="A3330" s="12">
        <v>41974</v>
      </c>
      <c r="B3330" s="9">
        <v>3038.86</v>
      </c>
      <c r="C3330" s="9">
        <v>3006.93</v>
      </c>
      <c r="D3330" s="9">
        <v>3035.73</v>
      </c>
      <c r="E3330" s="9">
        <f t="shared" si="153"/>
        <v>-1.8693009060056886E-3</v>
      </c>
      <c r="F3330" s="9">
        <f t="shared" si="154"/>
        <v>9.5833749427566797E-2</v>
      </c>
      <c r="G3330" s="9">
        <f t="shared" si="155"/>
        <v>1.0116768555298418E-2</v>
      </c>
    </row>
    <row r="3331" spans="1:7" x14ac:dyDescent="0.2">
      <c r="A3331" s="12">
        <v>41975</v>
      </c>
      <c r="B3331" s="9">
        <v>3057.62</v>
      </c>
      <c r="C3331" s="9">
        <v>3027.61</v>
      </c>
      <c r="D3331" s="9">
        <v>3036.11</v>
      </c>
      <c r="E3331" s="9">
        <f t="shared" si="153"/>
        <v>1.2516798877973057E-4</v>
      </c>
      <c r="F3331" s="9">
        <f t="shared" si="154"/>
        <v>7.5984346810994544E-2</v>
      </c>
      <c r="G3331" s="9">
        <f t="shared" si="155"/>
        <v>9.6182948087899251E-3</v>
      </c>
    </row>
    <row r="3332" spans="1:7" x14ac:dyDescent="0.2">
      <c r="A3332" s="12">
        <v>41976</v>
      </c>
      <c r="B3332" s="9">
        <v>3050.52</v>
      </c>
      <c r="C3332" s="9">
        <v>3030.09</v>
      </c>
      <c r="D3332" s="9">
        <v>3049.14</v>
      </c>
      <c r="E3332" s="9">
        <f t="shared" ref="E3332:E3395" si="156">LN(D3332/D3331)</f>
        <v>4.2824928848938402E-3</v>
      </c>
      <c r="F3332" s="9">
        <f t="shared" si="154"/>
        <v>6.8260146430134061E-2</v>
      </c>
      <c r="G3332" s="9">
        <f t="shared" si="155"/>
        <v>9.4579913852990138E-3</v>
      </c>
    </row>
    <row r="3333" spans="1:7" x14ac:dyDescent="0.2">
      <c r="A3333" s="12">
        <v>41977</v>
      </c>
      <c r="B3333" s="9">
        <v>3071.59</v>
      </c>
      <c r="C3333" s="9">
        <v>3034.49</v>
      </c>
      <c r="D3333" s="9">
        <v>3038.2</v>
      </c>
      <c r="E3333" s="9">
        <f t="shared" si="156"/>
        <v>-3.5943488545514273E-3</v>
      </c>
      <c r="F3333" s="9">
        <f t="shared" si="154"/>
        <v>5.6900941577290587E-2</v>
      </c>
      <c r="G3333" s="9">
        <f t="shared" si="155"/>
        <v>9.4580230490795732E-3</v>
      </c>
    </row>
    <row r="3334" spans="1:7" x14ac:dyDescent="0.2">
      <c r="A3334" s="12">
        <v>41978</v>
      </c>
      <c r="B3334" s="9">
        <v>3085.15</v>
      </c>
      <c r="C3334" s="9">
        <v>3058.61</v>
      </c>
      <c r="D3334" s="9">
        <v>3085.14</v>
      </c>
      <c r="E3334" s="9">
        <f t="shared" si="156"/>
        <v>1.5331802411447751E-2</v>
      </c>
      <c r="F3334" s="9">
        <f t="shared" si="154"/>
        <v>8.255357707041272E-2</v>
      </c>
      <c r="G3334" s="9">
        <f t="shared" si="155"/>
        <v>9.4749588391487127E-3</v>
      </c>
    </row>
    <row r="3335" spans="1:7" x14ac:dyDescent="0.2">
      <c r="A3335" s="12">
        <v>41981</v>
      </c>
      <c r="B3335" s="9">
        <v>3080.79</v>
      </c>
      <c r="C3335" s="9">
        <v>3063.3</v>
      </c>
      <c r="D3335" s="9">
        <v>3068.61</v>
      </c>
      <c r="E3335" s="9">
        <f t="shared" si="156"/>
        <v>-5.3723468641196839E-3</v>
      </c>
      <c r="F3335" s="9">
        <f t="shared" si="154"/>
        <v>8.0213266318693202E-2</v>
      </c>
      <c r="G3335" s="9">
        <f t="shared" si="155"/>
        <v>9.5336733028734272E-3</v>
      </c>
    </row>
    <row r="3336" spans="1:7" x14ac:dyDescent="0.2">
      <c r="A3336" s="12">
        <v>41982</v>
      </c>
      <c r="B3336" s="9">
        <v>3052.19</v>
      </c>
      <c r="C3336" s="9">
        <v>3011.49</v>
      </c>
      <c r="D3336" s="9">
        <v>3017.67</v>
      </c>
      <c r="E3336" s="9">
        <f t="shared" si="156"/>
        <v>-1.6739679907961824E-2</v>
      </c>
      <c r="F3336" s="9">
        <f t="shared" si="154"/>
        <v>4.4897720735899399E-2</v>
      </c>
      <c r="G3336" s="9">
        <f t="shared" si="155"/>
        <v>9.6816031186380477E-3</v>
      </c>
    </row>
    <row r="3337" spans="1:7" x14ac:dyDescent="0.2">
      <c r="A3337" s="12">
        <v>41983</v>
      </c>
      <c r="B3337" s="9">
        <v>3037.07</v>
      </c>
      <c r="C3337" s="9">
        <v>3004.04</v>
      </c>
      <c r="D3337" s="9">
        <v>3007.41</v>
      </c>
      <c r="E3337" s="9">
        <f t="shared" si="156"/>
        <v>-3.4057671988943637E-3</v>
      </c>
      <c r="F3337" s="9">
        <f t="shared" si="154"/>
        <v>4.2730077504083037E-2</v>
      </c>
      <c r="G3337" s="9">
        <f t="shared" si="155"/>
        <v>9.7107611042764313E-3</v>
      </c>
    </row>
    <row r="3338" spans="1:7" x14ac:dyDescent="0.2">
      <c r="A3338" s="12">
        <v>41984</v>
      </c>
      <c r="B3338" s="9">
        <v>3023.31</v>
      </c>
      <c r="C3338" s="9">
        <v>2996.16</v>
      </c>
      <c r="D3338" s="9">
        <v>3003.13</v>
      </c>
      <c r="E3338" s="9">
        <f t="shared" si="156"/>
        <v>-1.4241651244006892E-3</v>
      </c>
      <c r="F3338" s="9">
        <f t="shared" si="154"/>
        <v>3.6649241908704812E-2</v>
      </c>
      <c r="G3338" s="9">
        <f t="shared" si="155"/>
        <v>9.7044266027662973E-3</v>
      </c>
    </row>
    <row r="3339" spans="1:7" x14ac:dyDescent="0.2">
      <c r="A3339" s="12">
        <v>41985</v>
      </c>
      <c r="B3339" s="9">
        <v>2990.92</v>
      </c>
      <c r="C3339" s="9">
        <v>2931.59</v>
      </c>
      <c r="D3339" s="9">
        <v>2931.59</v>
      </c>
      <c r="E3339" s="9">
        <f t="shared" si="156"/>
        <v>-2.4110140150319131E-2</v>
      </c>
      <c r="F3339" s="9">
        <f t="shared" si="154"/>
        <v>8.7704186585958266E-4</v>
      </c>
      <c r="G3339" s="9">
        <f t="shared" si="155"/>
        <v>1.0539159789678067E-2</v>
      </c>
    </row>
    <row r="3340" spans="1:7" x14ac:dyDescent="0.2">
      <c r="A3340" s="12">
        <v>41988</v>
      </c>
      <c r="B3340" s="9">
        <v>2957.37</v>
      </c>
      <c r="C3340" s="9">
        <v>2861.08</v>
      </c>
      <c r="D3340" s="9">
        <v>2861.6</v>
      </c>
      <c r="E3340" s="9">
        <f t="shared" si="156"/>
        <v>-2.4164028994506332E-2</v>
      </c>
      <c r="F3340" s="9">
        <f t="shared" si="154"/>
        <v>-1.6662200538327527E-2</v>
      </c>
      <c r="G3340" s="9">
        <f t="shared" si="155"/>
        <v>1.1374391420628798E-2</v>
      </c>
    </row>
    <row r="3341" spans="1:7" x14ac:dyDescent="0.2">
      <c r="A3341" s="12">
        <v>41989</v>
      </c>
      <c r="B3341" s="9">
        <v>2897.78</v>
      </c>
      <c r="C3341" s="9">
        <v>2807.09</v>
      </c>
      <c r="D3341" s="9">
        <v>2897.52</v>
      </c>
      <c r="E3341" s="9">
        <f t="shared" si="156"/>
        <v>1.2474289747433587E-2</v>
      </c>
      <c r="F3341" s="9">
        <f t="shared" si="154"/>
        <v>3.6269066735287875E-3</v>
      </c>
      <c r="G3341" s="9">
        <f t="shared" si="155"/>
        <v>1.1529989344174566E-2</v>
      </c>
    </row>
    <row r="3342" spans="1:7" x14ac:dyDescent="0.2">
      <c r="A3342" s="12">
        <v>41990</v>
      </c>
      <c r="B3342" s="9">
        <v>2906.56</v>
      </c>
      <c r="C3342" s="9">
        <v>2862.35</v>
      </c>
      <c r="D3342" s="9">
        <v>2905.09</v>
      </c>
      <c r="E3342" s="9">
        <f t="shared" si="156"/>
        <v>2.609172180992271E-3</v>
      </c>
      <c r="F3342" s="9">
        <f t="shared" si="154"/>
        <v>-8.131826294622637E-3</v>
      </c>
      <c r="G3342" s="9">
        <f t="shared" si="155"/>
        <v>1.1224794471496706E-2</v>
      </c>
    </row>
    <row r="3343" spans="1:7" x14ac:dyDescent="0.2">
      <c r="A3343" s="12">
        <v>41991</v>
      </c>
      <c r="B3343" s="9">
        <v>2985.29</v>
      </c>
      <c r="C3343" s="9">
        <v>2945.04</v>
      </c>
      <c r="D3343" s="9">
        <v>2982</v>
      </c>
      <c r="E3343" s="9">
        <f t="shared" si="156"/>
        <v>2.6129845451449848E-2</v>
      </c>
      <c r="F3343" s="9">
        <f t="shared" si="154"/>
        <v>1.7151617167763679E-2</v>
      </c>
      <c r="G3343" s="9">
        <f t="shared" si="155"/>
        <v>1.2216911725940227E-2</v>
      </c>
    </row>
    <row r="3344" spans="1:7" x14ac:dyDescent="0.2">
      <c r="A3344" s="12">
        <v>41992</v>
      </c>
      <c r="B3344" s="9">
        <v>3008.67</v>
      </c>
      <c r="C3344" s="9">
        <v>2957.82</v>
      </c>
      <c r="D3344" s="9">
        <v>2978.37</v>
      </c>
      <c r="E3344" s="9">
        <f t="shared" si="156"/>
        <v>-1.2180453390643071E-3</v>
      </c>
      <c r="F3344" s="9">
        <f t="shared" si="154"/>
        <v>2.7255263098448886E-2</v>
      </c>
      <c r="G3344" s="9">
        <f t="shared" si="155"/>
        <v>1.2015338271435538E-2</v>
      </c>
    </row>
    <row r="3345" spans="1:7" x14ac:dyDescent="0.2">
      <c r="A3345" s="12">
        <v>41995</v>
      </c>
      <c r="B3345" s="9">
        <v>3015.36</v>
      </c>
      <c r="C3345" s="9">
        <v>2991.4</v>
      </c>
      <c r="D3345" s="9">
        <v>2996.91</v>
      </c>
      <c r="E3345" s="9">
        <f t="shared" si="156"/>
        <v>6.2055868501033635E-3</v>
      </c>
      <c r="F3345" s="9">
        <f t="shared" si="154"/>
        <v>2.4666836372734785E-2</v>
      </c>
      <c r="G3345" s="9">
        <f t="shared" si="155"/>
        <v>1.1965952817248269E-2</v>
      </c>
    </row>
    <row r="3346" spans="1:7" x14ac:dyDescent="0.2">
      <c r="A3346" s="12">
        <v>41996</v>
      </c>
      <c r="B3346" s="9">
        <v>3028.27</v>
      </c>
      <c r="C3346" s="9">
        <v>2995.42</v>
      </c>
      <c r="D3346" s="9">
        <v>3028.27</v>
      </c>
      <c r="E3346" s="9">
        <f t="shared" si="156"/>
        <v>1.0409741513910777E-2</v>
      </c>
      <c r="F3346" s="9">
        <f t="shared" si="154"/>
        <v>2.9973151001135716E-2</v>
      </c>
      <c r="G3346" s="9">
        <f t="shared" si="155"/>
        <v>1.2070182647030839E-2</v>
      </c>
    </row>
    <row r="3347" spans="1:7" x14ac:dyDescent="0.2">
      <c r="A3347" s="12">
        <v>42002</v>
      </c>
      <c r="B3347" s="9">
        <v>3035.65</v>
      </c>
      <c r="C3347" s="9">
        <v>3004.8</v>
      </c>
      <c r="D3347" s="9">
        <v>3025.55</v>
      </c>
      <c r="E3347" s="9">
        <f t="shared" si="156"/>
        <v>-8.986062297959772E-4</v>
      </c>
      <c r="F3347" s="9">
        <f t="shared" si="154"/>
        <v>4.3707171521595048E-2</v>
      </c>
      <c r="G3347" s="9">
        <f t="shared" si="155"/>
        <v>1.1711993249395106E-2</v>
      </c>
    </row>
    <row r="3348" spans="1:7" x14ac:dyDescent="0.2">
      <c r="A3348" s="12">
        <v>42003</v>
      </c>
      <c r="B3348" s="9">
        <v>3014.67</v>
      </c>
      <c r="C3348" s="9">
        <v>2985.66</v>
      </c>
      <c r="D3348" s="9">
        <v>2988.08</v>
      </c>
      <c r="E3348" s="9">
        <f t="shared" si="156"/>
        <v>-1.2461852463827069E-2</v>
      </c>
      <c r="F3348" s="9">
        <f t="shared" si="154"/>
        <v>2.147332147823193E-2</v>
      </c>
      <c r="G3348" s="9">
        <f t="shared" si="155"/>
        <v>1.1870080804296291E-2</v>
      </c>
    </row>
    <row r="3349" spans="1:7" x14ac:dyDescent="0.2">
      <c r="A3349" s="12">
        <v>42006</v>
      </c>
      <c r="B3349" s="9">
        <v>3022.43</v>
      </c>
      <c r="C3349" s="9">
        <v>2993.02</v>
      </c>
      <c r="D3349" s="9">
        <v>3007.11</v>
      </c>
      <c r="E3349" s="9">
        <f t="shared" si="156"/>
        <v>6.3484439737147274E-3</v>
      </c>
      <c r="F3349" s="9">
        <f t="shared" si="154"/>
        <v>3.1099373302893377E-2</v>
      </c>
      <c r="G3349" s="9">
        <f t="shared" si="155"/>
        <v>1.1888500445195713E-2</v>
      </c>
    </row>
    <row r="3350" spans="1:7" x14ac:dyDescent="0.2">
      <c r="A3350" s="12">
        <v>42009</v>
      </c>
      <c r="B3350" s="9">
        <v>3023.03</v>
      </c>
      <c r="C3350" s="9">
        <v>2947.22</v>
      </c>
      <c r="D3350" s="9">
        <v>2947.53</v>
      </c>
      <c r="E3350" s="9">
        <f t="shared" si="156"/>
        <v>-2.0011953152947577E-2</v>
      </c>
      <c r="F3350" s="9">
        <f t="shared" si="154"/>
        <v>1.0559263199606697E-2</v>
      </c>
      <c r="G3350" s="9">
        <f t="shared" si="155"/>
        <v>1.2494796978028735E-2</v>
      </c>
    </row>
    <row r="3351" spans="1:7" x14ac:dyDescent="0.2">
      <c r="A3351" s="12">
        <v>42011</v>
      </c>
      <c r="B3351" s="9">
        <v>2961.35</v>
      </c>
      <c r="C3351" s="9">
        <v>2920.84</v>
      </c>
      <c r="D3351" s="9">
        <v>2929.82</v>
      </c>
      <c r="E3351" s="9">
        <f t="shared" si="156"/>
        <v>-6.026543799875099E-3</v>
      </c>
      <c r="F3351" s="9">
        <f t="shared" si="154"/>
        <v>-6.5149691466491917E-3</v>
      </c>
      <c r="G3351" s="9">
        <f t="shared" si="155"/>
        <v>1.2379137310444585E-2</v>
      </c>
    </row>
    <row r="3352" spans="1:7" x14ac:dyDescent="0.2">
      <c r="A3352" s="12">
        <v>42012</v>
      </c>
      <c r="B3352" s="9">
        <v>2986.39</v>
      </c>
      <c r="C3352" s="9">
        <v>2952.31</v>
      </c>
      <c r="D3352" s="9">
        <v>2985.03</v>
      </c>
      <c r="E3352" s="9">
        <f t="shared" si="156"/>
        <v>1.8668809350552849E-2</v>
      </c>
      <c r="F3352" s="9">
        <f t="shared" si="154"/>
        <v>1.4367229390836306E-2</v>
      </c>
      <c r="G3352" s="9">
        <f t="shared" si="155"/>
        <v>1.2841484201292474E-2</v>
      </c>
    </row>
    <row r="3353" spans="1:7" x14ac:dyDescent="0.2">
      <c r="A3353" s="12">
        <v>42013</v>
      </c>
      <c r="B3353" s="9">
        <v>3001.76</v>
      </c>
      <c r="C3353" s="9">
        <v>2958.82</v>
      </c>
      <c r="D3353" s="9">
        <v>2968.38</v>
      </c>
      <c r="E3353" s="9">
        <f t="shared" si="156"/>
        <v>-5.5934475906119496E-3</v>
      </c>
      <c r="F3353" s="9">
        <f t="shared" si="154"/>
        <v>8.4883461521312892E-3</v>
      </c>
      <c r="G3353" s="9">
        <f t="shared" si="155"/>
        <v>1.2889305648225586E-2</v>
      </c>
    </row>
    <row r="3354" spans="1:7" x14ac:dyDescent="0.2">
      <c r="A3354" s="12">
        <v>42016</v>
      </c>
      <c r="B3354" s="9">
        <v>2995.17</v>
      </c>
      <c r="C3354" s="9">
        <v>2952.6</v>
      </c>
      <c r="D3354" s="9">
        <v>2972.98</v>
      </c>
      <c r="E3354" s="9">
        <f t="shared" si="156"/>
        <v>1.5484673270556326E-3</v>
      </c>
      <c r="F3354" s="9">
        <f t="shared" si="154"/>
        <v>-1.7002413934812669E-2</v>
      </c>
      <c r="G3354" s="9">
        <f t="shared" si="155"/>
        <v>1.1864079950840179E-2</v>
      </c>
    </row>
    <row r="3355" spans="1:7" x14ac:dyDescent="0.2">
      <c r="A3355" s="12">
        <v>42017</v>
      </c>
      <c r="B3355" s="9">
        <v>3014.78</v>
      </c>
      <c r="C3355" s="9">
        <v>2964.91</v>
      </c>
      <c r="D3355" s="9">
        <v>3002.43</v>
      </c>
      <c r="E3355" s="9">
        <f t="shared" si="156"/>
        <v>9.8571440133869686E-3</v>
      </c>
      <c r="F3355" s="9">
        <f t="shared" si="154"/>
        <v>-2.0367826593591883E-2</v>
      </c>
      <c r="G3355" s="9">
        <f t="shared" si="155"/>
        <v>1.1744507847938988E-2</v>
      </c>
    </row>
    <row r="3356" spans="1:7" x14ac:dyDescent="0.2">
      <c r="A3356" s="12">
        <v>42018</v>
      </c>
      <c r="B3356" s="9">
        <v>2992.94</v>
      </c>
      <c r="C3356" s="9">
        <v>2943.1</v>
      </c>
      <c r="D3356" s="9">
        <v>2958.06</v>
      </c>
      <c r="E3356" s="9">
        <f t="shared" si="156"/>
        <v>-1.488831273659885E-2</v>
      </c>
      <c r="F3356" s="9">
        <f t="shared" si="154"/>
        <v>-3.7251399620397384E-2</v>
      </c>
      <c r="G3356" s="9">
        <f t="shared" si="155"/>
        <v>1.2013389060981438E-2</v>
      </c>
    </row>
    <row r="3357" spans="1:7" x14ac:dyDescent="0.2">
      <c r="A3357" s="12">
        <v>42019</v>
      </c>
      <c r="B3357" s="9">
        <v>3003.96</v>
      </c>
      <c r="C3357" s="9">
        <v>2929.22</v>
      </c>
      <c r="D3357" s="9">
        <v>3000.55</v>
      </c>
      <c r="E3357" s="9">
        <f t="shared" si="156"/>
        <v>1.4261957139391055E-2</v>
      </c>
      <c r="F3357" s="9">
        <f t="shared" si="154"/>
        <v>-2.2934072306950767E-2</v>
      </c>
      <c r="G3357" s="9">
        <f t="shared" si="155"/>
        <v>1.2342032905273838E-2</v>
      </c>
    </row>
    <row r="3358" spans="1:7" x14ac:dyDescent="0.2">
      <c r="A3358" s="12">
        <v>42020</v>
      </c>
      <c r="B3358" s="9">
        <v>3053.23</v>
      </c>
      <c r="C3358" s="9">
        <v>2988.34</v>
      </c>
      <c r="D3358" s="9">
        <v>3052.11</v>
      </c>
      <c r="E3358" s="9">
        <f t="shared" si="156"/>
        <v>1.703754951448596E-2</v>
      </c>
      <c r="F3358" s="9">
        <f t="shared" si="154"/>
        <v>-8.32666555148295E-3</v>
      </c>
      <c r="G3358" s="9">
        <f t="shared" si="155"/>
        <v>1.2753689510197092E-2</v>
      </c>
    </row>
    <row r="3359" spans="1:7" x14ac:dyDescent="0.2">
      <c r="A3359" s="12">
        <v>42023</v>
      </c>
      <c r="B3359" s="9">
        <v>3114.77</v>
      </c>
      <c r="C3359" s="9">
        <v>3037.15</v>
      </c>
      <c r="D3359" s="9">
        <v>3109.44</v>
      </c>
      <c r="E3359" s="9">
        <f t="shared" si="156"/>
        <v>1.8609490956509944E-2</v>
      </c>
      <c r="F3359" s="9">
        <f t="shared" si="154"/>
        <v>2.2121421990628467E-2</v>
      </c>
      <c r="G3359" s="9">
        <f t="shared" si="155"/>
        <v>1.3010872474266659E-2</v>
      </c>
    </row>
    <row r="3360" spans="1:7" x14ac:dyDescent="0.2">
      <c r="A3360" s="12">
        <v>42024</v>
      </c>
      <c r="B3360" s="9">
        <v>3138.93</v>
      </c>
      <c r="C3360" s="9">
        <v>3105.37</v>
      </c>
      <c r="D3360" s="9">
        <v>3111.6</v>
      </c>
      <c r="E3360" s="9">
        <f t="shared" si="156"/>
        <v>6.9441768154470578E-4</v>
      </c>
      <c r="F3360" s="9">
        <f t="shared" si="154"/>
        <v>2.4685140578178947E-2</v>
      </c>
      <c r="G3360" s="9">
        <f t="shared" si="155"/>
        <v>1.3001577148270702E-2</v>
      </c>
    </row>
    <row r="3361" spans="1:7" x14ac:dyDescent="0.2">
      <c r="A3361" s="12">
        <v>42025</v>
      </c>
      <c r="B3361" s="9">
        <v>3148.63</v>
      </c>
      <c r="C3361" s="9">
        <v>3099.22</v>
      </c>
      <c r="D3361" s="9">
        <v>3148.54</v>
      </c>
      <c r="E3361" s="9">
        <f t="shared" si="156"/>
        <v>1.1801789977919716E-2</v>
      </c>
      <c r="F3361" s="9">
        <f t="shared" ref="F3361:F3424" si="157">LN(D3361/D3331)</f>
        <v>3.6361762567319031E-2</v>
      </c>
      <c r="G3361" s="9">
        <f t="shared" ref="G3361:G3424" si="158">STDEV(E3332:E3361)</f>
        <v>1.3153857571332583E-2</v>
      </c>
    </row>
    <row r="3362" spans="1:7" x14ac:dyDescent="0.2">
      <c r="A3362" s="12">
        <v>42026</v>
      </c>
      <c r="B3362" s="9">
        <v>3218.06</v>
      </c>
      <c r="C3362" s="9">
        <v>3154.91</v>
      </c>
      <c r="D3362" s="9">
        <v>3215.23</v>
      </c>
      <c r="E3362" s="9">
        <f t="shared" si="156"/>
        <v>2.0960041460195551E-2</v>
      </c>
      <c r="F3362" s="9">
        <f t="shared" si="157"/>
        <v>5.3039311142620622E-2</v>
      </c>
      <c r="G3362" s="9">
        <f t="shared" si="158"/>
        <v>1.3631832677476497E-2</v>
      </c>
    </row>
    <row r="3363" spans="1:7" x14ac:dyDescent="0.2">
      <c r="A3363" s="12">
        <v>42027</v>
      </c>
      <c r="B3363" s="9">
        <v>3295.12</v>
      </c>
      <c r="C3363" s="9">
        <v>3232.5</v>
      </c>
      <c r="D3363" s="9">
        <v>3292.91</v>
      </c>
      <c r="E3363" s="9">
        <f t="shared" si="156"/>
        <v>2.3872777530651455E-2</v>
      </c>
      <c r="F3363" s="9">
        <f t="shared" si="157"/>
        <v>8.0506437527823577E-2</v>
      </c>
      <c r="G3363" s="9">
        <f t="shared" si="158"/>
        <v>1.4170998269936725E-2</v>
      </c>
    </row>
    <row r="3364" spans="1:7" x14ac:dyDescent="0.2">
      <c r="A3364" s="12">
        <v>42030</v>
      </c>
      <c r="B3364" s="9">
        <v>3336.9</v>
      </c>
      <c r="C3364" s="9">
        <v>3252.41</v>
      </c>
      <c r="D3364" s="9">
        <v>3336.9</v>
      </c>
      <c r="E3364" s="9">
        <f t="shared" si="156"/>
        <v>1.3270559964707593E-2</v>
      </c>
      <c r="F3364" s="9">
        <f t="shared" si="157"/>
        <v>7.8445195081083316E-2</v>
      </c>
      <c r="G3364" s="9">
        <f t="shared" si="158"/>
        <v>1.4112434509008096E-2</v>
      </c>
    </row>
    <row r="3365" spans="1:7" x14ac:dyDescent="0.2">
      <c r="A3365" s="12">
        <v>42031</v>
      </c>
      <c r="B3365" s="9">
        <v>3339.08</v>
      </c>
      <c r="C3365" s="9">
        <v>3256.15</v>
      </c>
      <c r="D3365" s="9">
        <v>3271.79</v>
      </c>
      <c r="E3365" s="9">
        <f t="shared" si="156"/>
        <v>-1.9704996532234956E-2</v>
      </c>
      <c r="F3365" s="9">
        <f t="shared" si="157"/>
        <v>6.4112545412968111E-2</v>
      </c>
      <c r="G3365" s="9">
        <f t="shared" si="158"/>
        <v>1.4625433532743044E-2</v>
      </c>
    </row>
    <row r="3366" spans="1:7" x14ac:dyDescent="0.2">
      <c r="A3366" s="12">
        <v>42032</v>
      </c>
      <c r="B3366" s="9">
        <v>3323.39</v>
      </c>
      <c r="C3366" s="9">
        <v>3276.84</v>
      </c>
      <c r="D3366" s="9">
        <v>3309.09</v>
      </c>
      <c r="E3366" s="9">
        <f t="shared" si="156"/>
        <v>1.1335991367290644E-2</v>
      </c>
      <c r="F3366" s="9">
        <f t="shared" si="157"/>
        <v>9.2188216688220651E-2</v>
      </c>
      <c r="G3366" s="9">
        <f t="shared" si="158"/>
        <v>1.426982436024778E-2</v>
      </c>
    </row>
    <row r="3367" spans="1:7" x14ac:dyDescent="0.2">
      <c r="A3367" s="12">
        <v>42033</v>
      </c>
      <c r="B3367" s="9">
        <v>3288.72</v>
      </c>
      <c r="C3367" s="9">
        <v>3245.41</v>
      </c>
      <c r="D3367" s="9">
        <v>3257.1</v>
      </c>
      <c r="E3367" s="9">
        <f t="shared" si="156"/>
        <v>-1.583599819523291E-2</v>
      </c>
      <c r="F3367" s="9">
        <f t="shared" si="157"/>
        <v>7.9757985691882E-2</v>
      </c>
      <c r="G3367" s="9">
        <f t="shared" si="158"/>
        <v>1.464008748640078E-2</v>
      </c>
    </row>
    <row r="3368" spans="1:7" x14ac:dyDescent="0.2">
      <c r="A3368" s="12">
        <v>42034</v>
      </c>
      <c r="B3368" s="9">
        <v>3268.96</v>
      </c>
      <c r="C3368" s="9">
        <v>3252.53</v>
      </c>
      <c r="D3368" s="9">
        <v>3260.69</v>
      </c>
      <c r="E3368" s="9">
        <f t="shared" si="156"/>
        <v>1.1016005004905421E-3</v>
      </c>
      <c r="F3368" s="9">
        <f t="shared" si="157"/>
        <v>8.2283751316773165E-2</v>
      </c>
      <c r="G3368" s="9">
        <f t="shared" si="158"/>
        <v>1.4623051377087458E-2</v>
      </c>
    </row>
    <row r="3369" spans="1:7" x14ac:dyDescent="0.2">
      <c r="A3369" s="12">
        <v>42037</v>
      </c>
      <c r="B3369" s="9">
        <v>3268.48</v>
      </c>
      <c r="C3369" s="9">
        <v>3217.68</v>
      </c>
      <c r="D3369" s="9">
        <v>3236.09</v>
      </c>
      <c r="E3369" s="9">
        <f t="shared" si="156"/>
        <v>-7.5730185010532735E-3</v>
      </c>
      <c r="F3369" s="9">
        <f t="shared" si="157"/>
        <v>9.8820872966038933E-2</v>
      </c>
      <c r="G3369" s="9">
        <f t="shared" si="158"/>
        <v>1.3868092162723744E-2</v>
      </c>
    </row>
    <row r="3370" spans="1:7" x14ac:dyDescent="0.2">
      <c r="A3370" s="12">
        <v>42038</v>
      </c>
      <c r="B3370" s="9">
        <v>3299.43</v>
      </c>
      <c r="C3370" s="9">
        <v>3249.29</v>
      </c>
      <c r="D3370" s="9">
        <v>3286.52</v>
      </c>
      <c r="E3370" s="9">
        <f t="shared" si="156"/>
        <v>1.5463443281054107E-2</v>
      </c>
      <c r="F3370" s="9">
        <f t="shared" si="157"/>
        <v>0.13844834524159952</v>
      </c>
      <c r="G3370" s="9">
        <f t="shared" si="158"/>
        <v>1.302411630742894E-2</v>
      </c>
    </row>
    <row r="3371" spans="1:7" x14ac:dyDescent="0.2">
      <c r="A3371" s="12">
        <v>42039</v>
      </c>
      <c r="B3371" s="9">
        <v>3306.86</v>
      </c>
      <c r="C3371" s="9">
        <v>3262.37</v>
      </c>
      <c r="D3371" s="9">
        <v>3282.28</v>
      </c>
      <c r="E3371" s="9">
        <f t="shared" si="156"/>
        <v>-1.2909513423606416E-3</v>
      </c>
      <c r="F3371" s="9">
        <f t="shared" si="157"/>
        <v>0.12468310415180522</v>
      </c>
      <c r="G3371" s="9">
        <f t="shared" si="158"/>
        <v>1.2980083958337617E-2</v>
      </c>
    </row>
    <row r="3372" spans="1:7" x14ac:dyDescent="0.2">
      <c r="A3372" s="12">
        <v>42040</v>
      </c>
      <c r="B3372" s="9">
        <v>3356.61</v>
      </c>
      <c r="C3372" s="9">
        <v>3275.01</v>
      </c>
      <c r="D3372" s="9">
        <v>3356.61</v>
      </c>
      <c r="E3372" s="9">
        <f t="shared" si="156"/>
        <v>2.2393233230742292E-2</v>
      </c>
      <c r="F3372" s="9">
        <f t="shared" si="157"/>
        <v>0.14446716520155528</v>
      </c>
      <c r="G3372" s="9">
        <f t="shared" si="158"/>
        <v>1.3394733581387588E-2</v>
      </c>
    </row>
    <row r="3373" spans="1:7" x14ac:dyDescent="0.2">
      <c r="A3373" s="12">
        <v>42041</v>
      </c>
      <c r="B3373" s="9">
        <v>3361.4</v>
      </c>
      <c r="C3373" s="9">
        <v>3326.01</v>
      </c>
      <c r="D3373" s="9">
        <v>3356.19</v>
      </c>
      <c r="E3373" s="9">
        <f t="shared" si="156"/>
        <v>-1.2513407238355171E-4</v>
      </c>
      <c r="F3373" s="9">
        <f t="shared" si="157"/>
        <v>0.11821218567772186</v>
      </c>
      <c r="G3373" s="9">
        <f t="shared" si="158"/>
        <v>1.2798548694145435E-2</v>
      </c>
    </row>
    <row r="3374" spans="1:7" x14ac:dyDescent="0.2">
      <c r="A3374" s="12">
        <v>42044</v>
      </c>
      <c r="B3374" s="9">
        <v>3335.85</v>
      </c>
      <c r="C3374" s="9">
        <v>3298.56</v>
      </c>
      <c r="D3374" s="9">
        <v>3309.65</v>
      </c>
      <c r="E3374" s="9">
        <f t="shared" si="156"/>
        <v>-1.396395840345295E-2</v>
      </c>
      <c r="F3374" s="9">
        <f t="shared" si="157"/>
        <v>0.10546627261333323</v>
      </c>
      <c r="G3374" s="9">
        <f t="shared" si="158"/>
        <v>1.3181523097925422E-2</v>
      </c>
    </row>
    <row r="3375" spans="1:7" x14ac:dyDescent="0.2">
      <c r="A3375" s="12">
        <v>42045</v>
      </c>
      <c r="B3375" s="9">
        <v>3337.27</v>
      </c>
      <c r="C3375" s="9">
        <v>3304.44</v>
      </c>
      <c r="D3375" s="9">
        <v>3328.34</v>
      </c>
      <c r="E3375" s="9">
        <f t="shared" si="156"/>
        <v>5.6312375853540559E-3</v>
      </c>
      <c r="F3375" s="9">
        <f t="shared" si="157"/>
        <v>0.10489192334858401</v>
      </c>
      <c r="G3375" s="9">
        <f t="shared" si="158"/>
        <v>1.317789792162173E-2</v>
      </c>
    </row>
    <row r="3376" spans="1:7" x14ac:dyDescent="0.2">
      <c r="A3376" s="12">
        <v>42046</v>
      </c>
      <c r="B3376" s="9">
        <v>3332.93</v>
      </c>
      <c r="C3376" s="9">
        <v>3311.18</v>
      </c>
      <c r="D3376" s="9">
        <v>3316.35</v>
      </c>
      <c r="E3376" s="9">
        <f t="shared" si="156"/>
        <v>-3.6089006449684857E-3</v>
      </c>
      <c r="F3376" s="9">
        <f t="shared" si="157"/>
        <v>9.0873281189704641E-2</v>
      </c>
      <c r="G3376" s="9">
        <f t="shared" si="158"/>
        <v>1.3172846949394086E-2</v>
      </c>
    </row>
    <row r="3377" spans="1:7" x14ac:dyDescent="0.2">
      <c r="A3377" s="12">
        <v>42047</v>
      </c>
      <c r="B3377" s="9">
        <v>3362.15</v>
      </c>
      <c r="C3377" s="9">
        <v>3318.26</v>
      </c>
      <c r="D3377" s="9">
        <v>3351.1</v>
      </c>
      <c r="E3377" s="9">
        <f t="shared" si="156"/>
        <v>1.0423869590970527E-2</v>
      </c>
      <c r="F3377" s="9">
        <f t="shared" si="157"/>
        <v>0.10219575701047107</v>
      </c>
      <c r="G3377" s="9">
        <f t="shared" si="158"/>
        <v>1.3218554426521817E-2</v>
      </c>
    </row>
    <row r="3378" spans="1:7" x14ac:dyDescent="0.2">
      <c r="A3378" s="12">
        <v>42048</v>
      </c>
      <c r="B3378" s="9">
        <v>3381.57</v>
      </c>
      <c r="C3378" s="9">
        <v>3355.67</v>
      </c>
      <c r="D3378" s="9">
        <v>3376.31</v>
      </c>
      <c r="E3378" s="9">
        <f t="shared" si="156"/>
        <v>7.494747014463953E-3</v>
      </c>
      <c r="F3378" s="9">
        <f t="shared" si="157"/>
        <v>0.12215235648876213</v>
      </c>
      <c r="G3378" s="9">
        <f t="shared" si="158"/>
        <v>1.2890530968038477E-2</v>
      </c>
    </row>
    <row r="3379" spans="1:7" x14ac:dyDescent="0.2">
      <c r="A3379" s="12">
        <v>42051</v>
      </c>
      <c r="B3379" s="9">
        <v>3373.63</v>
      </c>
      <c r="C3379" s="9">
        <v>3353.89</v>
      </c>
      <c r="D3379" s="9">
        <v>3366.01</v>
      </c>
      <c r="E3379" s="9">
        <f t="shared" si="156"/>
        <v>-3.0553305131107013E-3</v>
      </c>
      <c r="F3379" s="9">
        <f t="shared" si="157"/>
        <v>0.11274858200193676</v>
      </c>
      <c r="G3379" s="9">
        <f t="shared" si="158"/>
        <v>1.2947469493899253E-2</v>
      </c>
    </row>
    <row r="3380" spans="1:7" x14ac:dyDescent="0.2">
      <c r="A3380" s="12">
        <v>42052</v>
      </c>
      <c r="B3380" s="9">
        <v>3364.97</v>
      </c>
      <c r="C3380" s="9">
        <v>3330.91</v>
      </c>
      <c r="D3380" s="9">
        <v>3363.86</v>
      </c>
      <c r="E3380" s="9">
        <f t="shared" si="156"/>
        <v>-6.3894252731311124E-4</v>
      </c>
      <c r="F3380" s="9">
        <f t="shared" si="157"/>
        <v>0.13212159262757134</v>
      </c>
      <c r="G3380" s="9">
        <f t="shared" si="158"/>
        <v>1.2181490931282939E-2</v>
      </c>
    </row>
    <row r="3381" spans="1:7" x14ac:dyDescent="0.2">
      <c r="A3381" s="12">
        <v>42053</v>
      </c>
      <c r="B3381" s="9">
        <v>3389.67</v>
      </c>
      <c r="C3381" s="9">
        <v>3374.08</v>
      </c>
      <c r="D3381" s="9">
        <v>3389.67</v>
      </c>
      <c r="E3381" s="9">
        <f t="shared" si="156"/>
        <v>7.6434473990585946E-3</v>
      </c>
      <c r="F3381" s="9">
        <f t="shared" si="157"/>
        <v>0.14579158382650517</v>
      </c>
      <c r="G3381" s="9">
        <f t="shared" si="158"/>
        <v>1.2032628466716128E-2</v>
      </c>
    </row>
    <row r="3382" spans="1:7" x14ac:dyDescent="0.2">
      <c r="A3382" s="12">
        <v>42054</v>
      </c>
      <c r="B3382" s="9">
        <v>3393.27</v>
      </c>
      <c r="C3382" s="9">
        <v>3367.5</v>
      </c>
      <c r="D3382" s="9">
        <v>3385.73</v>
      </c>
      <c r="E3382" s="9">
        <f t="shared" si="156"/>
        <v>-1.163031096058482E-3</v>
      </c>
      <c r="F3382" s="9">
        <f t="shared" si="157"/>
        <v>0.12595974337989385</v>
      </c>
      <c r="G3382" s="9">
        <f t="shared" si="158"/>
        <v>1.1790137292976236E-2</v>
      </c>
    </row>
    <row r="3383" spans="1:7" x14ac:dyDescent="0.2">
      <c r="A3383" s="12">
        <v>42055</v>
      </c>
      <c r="B3383" s="9">
        <v>3406.62</v>
      </c>
      <c r="C3383" s="9">
        <v>3377.37</v>
      </c>
      <c r="D3383" s="9">
        <v>3398.8</v>
      </c>
      <c r="E3383" s="9">
        <f t="shared" si="156"/>
        <v>3.8528877220370787E-3</v>
      </c>
      <c r="F3383" s="9">
        <f t="shared" si="157"/>
        <v>0.13540607869254284</v>
      </c>
      <c r="G3383" s="9">
        <f t="shared" si="158"/>
        <v>1.1644848743623065E-2</v>
      </c>
    </row>
    <row r="3384" spans="1:7" x14ac:dyDescent="0.2">
      <c r="A3384" s="12">
        <v>42058</v>
      </c>
      <c r="B3384" s="9">
        <v>3419.44</v>
      </c>
      <c r="C3384" s="9">
        <v>3391.42</v>
      </c>
      <c r="D3384" s="9">
        <v>3414.95</v>
      </c>
      <c r="E3384" s="9">
        <f t="shared" si="156"/>
        <v>4.7404234798858998E-3</v>
      </c>
      <c r="F3384" s="9">
        <f t="shared" si="157"/>
        <v>0.1385980348453732</v>
      </c>
      <c r="G3384" s="9">
        <f t="shared" si="158"/>
        <v>1.1631397449317973E-2</v>
      </c>
    </row>
    <row r="3385" spans="1:7" x14ac:dyDescent="0.2">
      <c r="A3385" s="12">
        <v>42059</v>
      </c>
      <c r="B3385" s="9">
        <v>3446.05</v>
      </c>
      <c r="C3385" s="9">
        <v>3400.03</v>
      </c>
      <c r="D3385" s="9">
        <v>3443.21</v>
      </c>
      <c r="E3385" s="9">
        <f t="shared" si="156"/>
        <v>8.2413241890138388E-3</v>
      </c>
      <c r="F3385" s="9">
        <f t="shared" si="157"/>
        <v>0.136982215021</v>
      </c>
      <c r="G3385" s="9">
        <f t="shared" si="158"/>
        <v>1.1610031130595427E-2</v>
      </c>
    </row>
    <row r="3386" spans="1:7" x14ac:dyDescent="0.2">
      <c r="A3386" s="12">
        <v>42060</v>
      </c>
      <c r="B3386" s="9">
        <v>3448.18</v>
      </c>
      <c r="C3386" s="9">
        <v>3431.57</v>
      </c>
      <c r="D3386" s="9">
        <v>3437.09</v>
      </c>
      <c r="E3386" s="9">
        <f t="shared" si="156"/>
        <v>-1.7789926642894859E-3</v>
      </c>
      <c r="F3386" s="9">
        <f t="shared" si="157"/>
        <v>0.15009153509330933</v>
      </c>
      <c r="G3386" s="9">
        <f t="shared" si="158"/>
        <v>1.1087504770466477E-2</v>
      </c>
    </row>
    <row r="3387" spans="1:7" x14ac:dyDescent="0.2">
      <c r="A3387" s="12">
        <v>42061</v>
      </c>
      <c r="B3387" s="9">
        <v>3449.81</v>
      </c>
      <c r="C3387" s="9">
        <v>3428.83</v>
      </c>
      <c r="D3387" s="9">
        <v>3449.81</v>
      </c>
      <c r="E3387" s="9">
        <f t="shared" si="156"/>
        <v>3.6939739110968101E-3</v>
      </c>
      <c r="F3387" s="9">
        <f t="shared" si="157"/>
        <v>0.13952355186501525</v>
      </c>
      <c r="G3387" s="9">
        <f t="shared" si="158"/>
        <v>1.0950222325276151E-2</v>
      </c>
    </row>
    <row r="3388" spans="1:7" x14ac:dyDescent="0.2">
      <c r="A3388" s="12">
        <v>42062</v>
      </c>
      <c r="B3388" s="9">
        <v>3450.06</v>
      </c>
      <c r="C3388" s="9">
        <v>3423.02</v>
      </c>
      <c r="D3388" s="9">
        <v>3446.15</v>
      </c>
      <c r="E3388" s="9">
        <f t="shared" si="156"/>
        <v>-1.0614911756050849E-3</v>
      </c>
      <c r="F3388" s="9">
        <f t="shared" si="157"/>
        <v>0.1214245111749242</v>
      </c>
      <c r="G3388" s="9">
        <f t="shared" si="158"/>
        <v>1.0740822370491357E-2</v>
      </c>
    </row>
    <row r="3389" spans="1:7" x14ac:dyDescent="0.2">
      <c r="A3389" s="12">
        <v>42065</v>
      </c>
      <c r="B3389" s="9">
        <v>3475.46</v>
      </c>
      <c r="C3389" s="9">
        <v>3439.49</v>
      </c>
      <c r="D3389" s="9">
        <v>3452.86</v>
      </c>
      <c r="E3389" s="9">
        <f t="shared" si="156"/>
        <v>1.9452072444573814E-3</v>
      </c>
      <c r="F3389" s="9">
        <f t="shared" si="157"/>
        <v>0.10476022746287168</v>
      </c>
      <c r="G3389" s="9">
        <f t="shared" si="158"/>
        <v>1.0386834488526063E-2</v>
      </c>
    </row>
    <row r="3390" spans="1:7" x14ac:dyDescent="0.2">
      <c r="A3390" s="12">
        <v>42066</v>
      </c>
      <c r="B3390" s="9">
        <v>3475.49</v>
      </c>
      <c r="C3390" s="9">
        <v>3421.17</v>
      </c>
      <c r="D3390" s="9">
        <v>3427.39</v>
      </c>
      <c r="E3390" s="9">
        <f t="shared" si="156"/>
        <v>-7.4038345549885323E-3</v>
      </c>
      <c r="F3390" s="9">
        <f t="shared" si="157"/>
        <v>9.6661975226338306E-2</v>
      </c>
      <c r="G3390" s="9">
        <f t="shared" si="158"/>
        <v>1.0565739036742922E-2</v>
      </c>
    </row>
    <row r="3391" spans="1:7" x14ac:dyDescent="0.2">
      <c r="A3391" s="12">
        <v>42067</v>
      </c>
      <c r="B3391" s="9">
        <v>3432.93</v>
      </c>
      <c r="C3391" s="9">
        <v>3395.47</v>
      </c>
      <c r="D3391" s="9">
        <v>3422.33</v>
      </c>
      <c r="E3391" s="9">
        <f t="shared" si="156"/>
        <v>-1.4774329229274409E-3</v>
      </c>
      <c r="F3391" s="9">
        <f t="shared" si="157"/>
        <v>8.3382752325491041E-2</v>
      </c>
      <c r="G3391" s="9">
        <f t="shared" si="158"/>
        <v>1.0471646607313969E-2</v>
      </c>
    </row>
    <row r="3392" spans="1:7" x14ac:dyDescent="0.2">
      <c r="A3392" s="12">
        <v>42068</v>
      </c>
      <c r="B3392" s="9">
        <v>3465.21</v>
      </c>
      <c r="C3392" s="9">
        <v>3425.71</v>
      </c>
      <c r="D3392" s="9">
        <v>3458.41</v>
      </c>
      <c r="E3392" s="9">
        <f t="shared" si="156"/>
        <v>1.0487340223736728E-2</v>
      </c>
      <c r="F3392" s="9">
        <f t="shared" si="157"/>
        <v>7.2910051089032354E-2</v>
      </c>
      <c r="G3392" s="9">
        <f t="shared" si="158"/>
        <v>1.0009008572499275E-2</v>
      </c>
    </row>
    <row r="3393" spans="1:7" x14ac:dyDescent="0.2">
      <c r="A3393" s="12">
        <v>42069</v>
      </c>
      <c r="B3393" s="9">
        <v>3487.22</v>
      </c>
      <c r="C3393" s="9">
        <v>3456.5</v>
      </c>
      <c r="D3393" s="9">
        <v>3478.79</v>
      </c>
      <c r="E3393" s="9">
        <f t="shared" si="156"/>
        <v>5.875586297267742E-3</v>
      </c>
      <c r="F3393" s="9">
        <f t="shared" si="157"/>
        <v>5.4912859855648616E-2</v>
      </c>
      <c r="G3393" s="9">
        <f t="shared" si="158"/>
        <v>9.1849241393281798E-3</v>
      </c>
    </row>
    <row r="3394" spans="1:7" x14ac:dyDescent="0.2">
      <c r="A3394" s="12">
        <v>42072</v>
      </c>
      <c r="B3394" s="9">
        <v>3485.58</v>
      </c>
      <c r="C3394" s="9">
        <v>3447.28</v>
      </c>
      <c r="D3394" s="9">
        <v>3485.58</v>
      </c>
      <c r="E3394" s="9">
        <f t="shared" si="156"/>
        <v>1.949925736690421E-3</v>
      </c>
      <c r="F3394" s="9">
        <f t="shared" si="157"/>
        <v>4.3592225627631667E-2</v>
      </c>
      <c r="G3394" s="9">
        <f t="shared" si="158"/>
        <v>8.9276553960694893E-3</v>
      </c>
    </row>
    <row r="3395" spans="1:7" x14ac:dyDescent="0.2">
      <c r="A3395" s="12">
        <v>42073</v>
      </c>
      <c r="B3395" s="9">
        <v>3495.39</v>
      </c>
      <c r="C3395" s="9">
        <v>3452.14</v>
      </c>
      <c r="D3395" s="9">
        <v>3463.36</v>
      </c>
      <c r="E3395" s="9">
        <f t="shared" si="156"/>
        <v>-6.3952417869432296E-3</v>
      </c>
      <c r="F3395" s="9">
        <f t="shared" si="157"/>
        <v>5.690198037292328E-2</v>
      </c>
      <c r="G3395" s="9">
        <f t="shared" si="158"/>
        <v>8.1355223993437482E-3</v>
      </c>
    </row>
    <row r="3396" spans="1:7" x14ac:dyDescent="0.2">
      <c r="A3396" s="12">
        <v>42074</v>
      </c>
      <c r="B3396" s="9">
        <v>3526.57</v>
      </c>
      <c r="C3396" s="9">
        <v>3468.57</v>
      </c>
      <c r="D3396" s="9">
        <v>3523.35</v>
      </c>
      <c r="E3396" s="9">
        <f t="shared" ref="E3396:E3459" si="159">LN(D3396/D3395)</f>
        <v>1.7173025447172644E-2</v>
      </c>
      <c r="F3396" s="9">
        <f t="shared" si="157"/>
        <v>6.2739014452805178E-2</v>
      </c>
      <c r="G3396" s="9">
        <f t="shared" si="158"/>
        <v>8.4334000053457765E-3</v>
      </c>
    </row>
    <row r="3397" spans="1:7" x14ac:dyDescent="0.2">
      <c r="A3397" s="12">
        <v>42075</v>
      </c>
      <c r="B3397" s="9">
        <v>3544.12</v>
      </c>
      <c r="C3397" s="9">
        <v>3510.4</v>
      </c>
      <c r="D3397" s="9">
        <v>3519.05</v>
      </c>
      <c r="E3397" s="9">
        <f t="shared" si="159"/>
        <v>-1.2211747513264969E-3</v>
      </c>
      <c r="F3397" s="9">
        <f t="shared" si="157"/>
        <v>7.7353837896711686E-2</v>
      </c>
      <c r="G3397" s="9">
        <f t="shared" si="158"/>
        <v>7.757109129496515E-3</v>
      </c>
    </row>
    <row r="3398" spans="1:7" x14ac:dyDescent="0.2">
      <c r="A3398" s="12">
        <v>42076</v>
      </c>
      <c r="B3398" s="9">
        <v>3533.7</v>
      </c>
      <c r="C3398" s="9">
        <v>3512.86</v>
      </c>
      <c r="D3398" s="9">
        <v>3518.8</v>
      </c>
      <c r="E3398" s="9">
        <f t="shared" si="159"/>
        <v>-7.1044424108216014E-5</v>
      </c>
      <c r="F3398" s="9">
        <f t="shared" si="157"/>
        <v>7.6181192972112913E-2</v>
      </c>
      <c r="G3398" s="9">
        <f t="shared" si="158"/>
        <v>7.767754846929765E-3</v>
      </c>
    </row>
    <row r="3399" spans="1:7" x14ac:dyDescent="0.2">
      <c r="A3399" s="12">
        <v>42079</v>
      </c>
      <c r="B3399" s="9">
        <v>3548.89</v>
      </c>
      <c r="C3399" s="9">
        <v>3524.17</v>
      </c>
      <c r="D3399" s="9">
        <v>3547.5</v>
      </c>
      <c r="E3399" s="9">
        <f t="shared" si="159"/>
        <v>8.1231076556782487E-3</v>
      </c>
      <c r="F3399" s="9">
        <f t="shared" si="157"/>
        <v>9.1877319128844406E-2</v>
      </c>
      <c r="G3399" s="9">
        <f t="shared" si="158"/>
        <v>7.5897112616277532E-3</v>
      </c>
    </row>
    <row r="3400" spans="1:7" x14ac:dyDescent="0.2">
      <c r="A3400" s="12">
        <v>42080</v>
      </c>
      <c r="B3400" s="9">
        <v>3557.75</v>
      </c>
      <c r="C3400" s="9">
        <v>3514.92</v>
      </c>
      <c r="D3400" s="9">
        <v>3543.76</v>
      </c>
      <c r="E3400" s="9">
        <f t="shared" si="159"/>
        <v>-1.0548196926284247E-3</v>
      </c>
      <c r="F3400" s="9">
        <f t="shared" si="157"/>
        <v>7.5359056155161794E-2</v>
      </c>
      <c r="G3400" s="9">
        <f t="shared" si="158"/>
        <v>7.2506460465526475E-3</v>
      </c>
    </row>
    <row r="3401" spans="1:7" x14ac:dyDescent="0.2">
      <c r="A3401" s="12">
        <v>42081</v>
      </c>
      <c r="B3401" s="9">
        <v>3564.52</v>
      </c>
      <c r="C3401" s="9">
        <v>3535.22</v>
      </c>
      <c r="D3401" s="9">
        <v>3554.95</v>
      </c>
      <c r="E3401" s="9">
        <f t="shared" si="159"/>
        <v>3.1526880992540527E-3</v>
      </c>
      <c r="F3401" s="9">
        <f t="shared" si="157"/>
        <v>7.9802695596776566E-2</v>
      </c>
      <c r="G3401" s="9">
        <f t="shared" si="158"/>
        <v>7.2155825126245443E-3</v>
      </c>
    </row>
    <row r="3402" spans="1:7" x14ac:dyDescent="0.2">
      <c r="A3402" s="12">
        <v>42082</v>
      </c>
      <c r="B3402" s="9">
        <v>3587.99</v>
      </c>
      <c r="C3402" s="9">
        <v>3561.73</v>
      </c>
      <c r="D3402" s="9">
        <v>3585.64</v>
      </c>
      <c r="E3402" s="9">
        <f t="shared" si="159"/>
        <v>8.5959812776616167E-3</v>
      </c>
      <c r="F3402" s="9">
        <f t="shared" si="157"/>
        <v>6.6005443643695857E-2</v>
      </c>
      <c r="G3402" s="9">
        <f t="shared" si="158"/>
        <v>6.2955010928571753E-3</v>
      </c>
    </row>
    <row r="3403" spans="1:7" x14ac:dyDescent="0.2">
      <c r="A3403" s="12">
        <v>42083</v>
      </c>
      <c r="B3403" s="9">
        <v>3608.33</v>
      </c>
      <c r="C3403" s="9">
        <v>3577.41</v>
      </c>
      <c r="D3403" s="9">
        <v>3604.29</v>
      </c>
      <c r="E3403" s="9">
        <f t="shared" si="159"/>
        <v>5.1878229212402524E-3</v>
      </c>
      <c r="F3403" s="9">
        <f t="shared" si="157"/>
        <v>7.1318400637319701E-2</v>
      </c>
      <c r="G3403" s="9">
        <f t="shared" si="158"/>
        <v>6.3025574405697372E-3</v>
      </c>
    </row>
    <row r="3404" spans="1:7" x14ac:dyDescent="0.2">
      <c r="A3404" s="12">
        <v>42086</v>
      </c>
      <c r="B3404" s="9">
        <v>3607.5</v>
      </c>
      <c r="C3404" s="9">
        <v>3581.52</v>
      </c>
      <c r="D3404" s="9">
        <v>3596.34</v>
      </c>
      <c r="E3404" s="9">
        <f t="shared" si="159"/>
        <v>-2.2081410182926988E-3</v>
      </c>
      <c r="F3404" s="9">
        <f t="shared" si="157"/>
        <v>8.307421802247994E-2</v>
      </c>
      <c r="G3404" s="9">
        <f t="shared" si="158"/>
        <v>5.5749688414242129E-3</v>
      </c>
    </row>
    <row r="3405" spans="1:7" x14ac:dyDescent="0.2">
      <c r="A3405" s="12">
        <v>42087</v>
      </c>
      <c r="B3405" s="9">
        <v>3611.4</v>
      </c>
      <c r="C3405" s="9">
        <v>3580.34</v>
      </c>
      <c r="D3405" s="9">
        <v>3609.24</v>
      </c>
      <c r="E3405" s="9">
        <f t="shared" si="159"/>
        <v>3.5805622259288718E-3</v>
      </c>
      <c r="F3405" s="9">
        <f t="shared" si="157"/>
        <v>8.1023542663054837E-2</v>
      </c>
      <c r="G3405" s="9">
        <f t="shared" si="158"/>
        <v>5.5511871366574449E-3</v>
      </c>
    </row>
    <row r="3406" spans="1:7" x14ac:dyDescent="0.2">
      <c r="A3406" s="12">
        <v>42088</v>
      </c>
      <c r="B3406" s="9">
        <v>3617.57</v>
      </c>
      <c r="C3406" s="9">
        <v>3578.09</v>
      </c>
      <c r="D3406" s="9">
        <v>3583.82</v>
      </c>
      <c r="E3406" s="9">
        <f t="shared" si="159"/>
        <v>-7.0679532280539231E-3</v>
      </c>
      <c r="F3406" s="9">
        <f t="shared" si="157"/>
        <v>7.7564490079969406E-2</v>
      </c>
      <c r="G3406" s="9">
        <f t="shared" si="158"/>
        <v>5.720115616361641E-3</v>
      </c>
    </row>
    <row r="3407" spans="1:7" x14ac:dyDescent="0.2">
      <c r="A3407" s="12">
        <v>42089</v>
      </c>
      <c r="B3407" s="9">
        <v>3562.74</v>
      </c>
      <c r="C3407" s="9">
        <v>3505.48</v>
      </c>
      <c r="D3407" s="9">
        <v>3543.36</v>
      </c>
      <c r="E3407" s="9">
        <f t="shared" si="159"/>
        <v>-1.1353841109564132E-2</v>
      </c>
      <c r="F3407" s="9">
        <f t="shared" si="157"/>
        <v>5.5786779379434694E-2</v>
      </c>
      <c r="G3407" s="9">
        <f t="shared" si="158"/>
        <v>6.0626824993732223E-3</v>
      </c>
    </row>
    <row r="3408" spans="1:7" x14ac:dyDescent="0.2">
      <c r="A3408" s="12">
        <v>42090</v>
      </c>
      <c r="B3408" s="9">
        <v>3551.25</v>
      </c>
      <c r="C3408" s="9">
        <v>3505.97</v>
      </c>
      <c r="D3408" s="9">
        <v>3510.65</v>
      </c>
      <c r="E3408" s="9">
        <f t="shared" si="159"/>
        <v>-9.2742240093066156E-3</v>
      </c>
      <c r="F3408" s="9">
        <f t="shared" si="157"/>
        <v>3.901780835566409E-2</v>
      </c>
      <c r="G3408" s="9">
        <f t="shared" si="158"/>
        <v>6.2938392552138265E-3</v>
      </c>
    </row>
    <row r="3409" spans="1:7" x14ac:dyDescent="0.2">
      <c r="A3409" s="12">
        <v>42093</v>
      </c>
      <c r="B3409" s="9">
        <v>3546.3</v>
      </c>
      <c r="C3409" s="9">
        <v>3506.52</v>
      </c>
      <c r="D3409" s="9">
        <v>3545.47</v>
      </c>
      <c r="E3409" s="9">
        <f t="shared" si="159"/>
        <v>9.8695267778346942E-3</v>
      </c>
      <c r="F3409" s="9">
        <f t="shared" si="157"/>
        <v>5.1942665646609341E-2</v>
      </c>
      <c r="G3409" s="9">
        <f t="shared" si="158"/>
        <v>6.4263576515349863E-3</v>
      </c>
    </row>
    <row r="3410" spans="1:7" x14ac:dyDescent="0.2">
      <c r="A3410" s="12">
        <v>42094</v>
      </c>
      <c r="B3410" s="9">
        <v>3557.34</v>
      </c>
      <c r="C3410" s="9">
        <v>3497</v>
      </c>
      <c r="D3410" s="9">
        <v>3507.47</v>
      </c>
      <c r="E3410" s="9">
        <f t="shared" si="159"/>
        <v>-1.0775752438732453E-2</v>
      </c>
      <c r="F3410" s="9">
        <f t="shared" si="157"/>
        <v>4.1805855735190037E-2</v>
      </c>
      <c r="G3410" s="9">
        <f t="shared" si="158"/>
        <v>6.8103109750328374E-3</v>
      </c>
    </row>
    <row r="3411" spans="1:7" x14ac:dyDescent="0.2">
      <c r="A3411" s="12">
        <v>42095</v>
      </c>
      <c r="B3411" s="9">
        <v>3524.87</v>
      </c>
      <c r="C3411" s="9">
        <v>3457.28</v>
      </c>
      <c r="D3411" s="9">
        <v>3506.75</v>
      </c>
      <c r="E3411" s="9">
        <f t="shared" si="159"/>
        <v>-2.0529723975821514E-4</v>
      </c>
      <c r="F3411" s="9">
        <f t="shared" si="157"/>
        <v>3.3957111096373206E-2</v>
      </c>
      <c r="G3411" s="9">
        <f t="shared" si="158"/>
        <v>6.7119837840301016E-3</v>
      </c>
    </row>
    <row r="3412" spans="1:7" x14ac:dyDescent="0.2">
      <c r="A3412" s="12">
        <v>42096</v>
      </c>
      <c r="B3412" s="9">
        <v>3515.84</v>
      </c>
      <c r="C3412" s="9">
        <v>3492.49</v>
      </c>
      <c r="D3412" s="9">
        <v>3515.58</v>
      </c>
      <c r="E3412" s="9">
        <f t="shared" si="159"/>
        <v>2.5148361451839091E-3</v>
      </c>
      <c r="F3412" s="9">
        <f t="shared" si="157"/>
        <v>3.7634978337615456E-2</v>
      </c>
      <c r="G3412" s="9">
        <f t="shared" si="158"/>
        <v>6.7022022869311802E-3</v>
      </c>
    </row>
    <row r="3413" spans="1:7" x14ac:dyDescent="0.2">
      <c r="A3413" s="12">
        <v>42101</v>
      </c>
      <c r="B3413" s="9">
        <v>3568.02</v>
      </c>
      <c r="C3413" s="9">
        <v>3530.76</v>
      </c>
      <c r="D3413" s="9">
        <v>3563.57</v>
      </c>
      <c r="E3413" s="9">
        <f t="shared" si="159"/>
        <v>1.3558332612839202E-2</v>
      </c>
      <c r="F3413" s="9">
        <f t="shared" si="157"/>
        <v>4.7340423228417479E-2</v>
      </c>
      <c r="G3413" s="9">
        <f t="shared" si="158"/>
        <v>7.0568108119388453E-3</v>
      </c>
    </row>
    <row r="3414" spans="1:7" x14ac:dyDescent="0.2">
      <c r="A3414" s="12">
        <v>42102</v>
      </c>
      <c r="B3414" s="9">
        <v>3579.44</v>
      </c>
      <c r="C3414" s="9">
        <v>3558.23</v>
      </c>
      <c r="D3414" s="9">
        <v>3570.97</v>
      </c>
      <c r="E3414" s="9">
        <f t="shared" si="159"/>
        <v>2.0744161932347875E-3</v>
      </c>
      <c r="F3414" s="9">
        <f t="shared" si="157"/>
        <v>4.4674415941766486E-2</v>
      </c>
      <c r="G3414" s="9">
        <f t="shared" si="158"/>
        <v>7.032357353307127E-3</v>
      </c>
    </row>
    <row r="3415" spans="1:7" x14ac:dyDescent="0.2">
      <c r="A3415" s="12">
        <v>42103</v>
      </c>
      <c r="B3415" s="9">
        <v>3585.47</v>
      </c>
      <c r="C3415" s="9">
        <v>3566.29</v>
      </c>
      <c r="D3415" s="9">
        <v>3585.47</v>
      </c>
      <c r="E3415" s="9">
        <f t="shared" si="159"/>
        <v>4.0522997027003455E-3</v>
      </c>
      <c r="F3415" s="9">
        <f t="shared" si="157"/>
        <v>4.048539145545306E-2</v>
      </c>
      <c r="G3415" s="9">
        <f t="shared" si="158"/>
        <v>6.934571995760223E-3</v>
      </c>
    </row>
    <row r="3416" spans="1:7" x14ac:dyDescent="0.2">
      <c r="A3416" s="12">
        <v>42104</v>
      </c>
      <c r="B3416" s="9">
        <v>3628.79</v>
      </c>
      <c r="C3416" s="9">
        <v>3578.64</v>
      </c>
      <c r="D3416" s="9">
        <v>3627.86</v>
      </c>
      <c r="E3416" s="9">
        <f t="shared" si="159"/>
        <v>1.1753375482588441E-2</v>
      </c>
      <c r="F3416" s="9">
        <f t="shared" si="157"/>
        <v>5.4017759602330961E-2</v>
      </c>
      <c r="G3416" s="9">
        <f t="shared" si="158"/>
        <v>7.1604975108017074E-3</v>
      </c>
    </row>
    <row r="3417" spans="1:7" x14ac:dyDescent="0.2">
      <c r="A3417" s="12">
        <v>42107</v>
      </c>
      <c r="B3417" s="9">
        <v>3653.6</v>
      </c>
      <c r="C3417" s="9">
        <v>3626.17</v>
      </c>
      <c r="D3417" s="9">
        <v>3647.13</v>
      </c>
      <c r="E3417" s="9">
        <f t="shared" si="159"/>
        <v>5.2976141732800908E-3</v>
      </c>
      <c r="F3417" s="9">
        <f t="shared" si="157"/>
        <v>5.5621399864514184E-2</v>
      </c>
      <c r="G3417" s="9">
        <f t="shared" si="158"/>
        <v>7.1810756097025995E-3</v>
      </c>
    </row>
    <row r="3418" spans="1:7" x14ac:dyDescent="0.2">
      <c r="A3418" s="12">
        <v>42108</v>
      </c>
      <c r="B3418" s="9">
        <v>3637.52</v>
      </c>
      <c r="C3418" s="9">
        <v>3599.51</v>
      </c>
      <c r="D3418" s="9">
        <v>3631.01</v>
      </c>
      <c r="E3418" s="9">
        <f t="shared" si="159"/>
        <v>-4.4297104368223941E-3</v>
      </c>
      <c r="F3418" s="9">
        <f t="shared" si="157"/>
        <v>5.2253180603296707E-2</v>
      </c>
      <c r="G3418" s="9">
        <f t="shared" si="158"/>
        <v>7.2541893710125231E-3</v>
      </c>
    </row>
    <row r="3419" spans="1:7" x14ac:dyDescent="0.2">
      <c r="A3419" s="12">
        <v>42109</v>
      </c>
      <c r="B3419" s="9">
        <v>3667.39</v>
      </c>
      <c r="C3419" s="9">
        <v>3636.85</v>
      </c>
      <c r="D3419" s="9">
        <v>3637.2</v>
      </c>
      <c r="E3419" s="9">
        <f t="shared" si="159"/>
        <v>1.7033083789725746E-3</v>
      </c>
      <c r="F3419" s="9">
        <f t="shared" si="157"/>
        <v>5.2011281737811783E-2</v>
      </c>
      <c r="G3419" s="9">
        <f t="shared" si="158"/>
        <v>7.2540898877009249E-3</v>
      </c>
    </row>
    <row r="3420" spans="1:7" x14ac:dyDescent="0.2">
      <c r="A3420" s="12">
        <v>42110</v>
      </c>
      <c r="B3420" s="9">
        <v>3656.65</v>
      </c>
      <c r="C3420" s="9">
        <v>3619.61</v>
      </c>
      <c r="D3420" s="9">
        <v>3626.96</v>
      </c>
      <c r="E3420" s="9">
        <f t="shared" si="159"/>
        <v>-2.8193230277937225E-3</v>
      </c>
      <c r="F3420" s="9">
        <f t="shared" si="157"/>
        <v>5.6595793265006689E-2</v>
      </c>
      <c r="G3420" s="9">
        <f t="shared" si="158"/>
        <v>7.1016452347675294E-3</v>
      </c>
    </row>
    <row r="3421" spans="1:7" x14ac:dyDescent="0.2">
      <c r="A3421" s="12">
        <v>42111</v>
      </c>
      <c r="B3421" s="9">
        <v>3623.87</v>
      </c>
      <c r="C3421" s="9">
        <v>3551.66</v>
      </c>
      <c r="D3421" s="9">
        <v>3551.66</v>
      </c>
      <c r="E3421" s="9">
        <f t="shared" si="159"/>
        <v>-2.0979732014144631E-2</v>
      </c>
      <c r="F3421" s="9">
        <f t="shared" si="157"/>
        <v>3.7093494173789453E-2</v>
      </c>
      <c r="G3421" s="9">
        <f t="shared" si="158"/>
        <v>8.2241007271950418E-3</v>
      </c>
    </row>
    <row r="3422" spans="1:7" x14ac:dyDescent="0.2">
      <c r="A3422" s="12">
        <v>42114</v>
      </c>
      <c r="B3422" s="9">
        <v>3583.57</v>
      </c>
      <c r="C3422" s="9">
        <v>3553.03</v>
      </c>
      <c r="D3422" s="9">
        <v>3568.09</v>
      </c>
      <c r="E3422" s="9">
        <f t="shared" si="159"/>
        <v>4.6153387872020883E-3</v>
      </c>
      <c r="F3422" s="9">
        <f t="shared" si="157"/>
        <v>3.1221492737254931E-2</v>
      </c>
      <c r="G3422" s="9">
        <f t="shared" si="158"/>
        <v>8.0646690525522924E-3</v>
      </c>
    </row>
    <row r="3423" spans="1:7" x14ac:dyDescent="0.2">
      <c r="A3423" s="12">
        <v>42115</v>
      </c>
      <c r="B3423" s="9">
        <v>3627.15</v>
      </c>
      <c r="C3423" s="9">
        <v>3582.19</v>
      </c>
      <c r="D3423" s="9">
        <v>3619.94</v>
      </c>
      <c r="E3423" s="9">
        <f t="shared" si="159"/>
        <v>1.4427012499799956E-2</v>
      </c>
      <c r="F3423" s="9">
        <f t="shared" si="157"/>
        <v>3.9772918939786878E-2</v>
      </c>
      <c r="G3423" s="9">
        <f t="shared" si="158"/>
        <v>8.3861690604707505E-3</v>
      </c>
    </row>
    <row r="3424" spans="1:7" x14ac:dyDescent="0.2">
      <c r="A3424" s="12">
        <v>42116</v>
      </c>
      <c r="B3424" s="9">
        <v>3645.2</v>
      </c>
      <c r="C3424" s="9">
        <v>3545.31</v>
      </c>
      <c r="D3424" s="9">
        <v>3562.58</v>
      </c>
      <c r="E3424" s="9">
        <f t="shared" si="159"/>
        <v>-1.5972449631699942E-2</v>
      </c>
      <c r="F3424" s="9">
        <f t="shared" si="157"/>
        <v>2.1850543571396493E-2</v>
      </c>
      <c r="G3424" s="9">
        <f t="shared" si="158"/>
        <v>8.9589844679764819E-3</v>
      </c>
    </row>
    <row r="3425" spans="1:7" x14ac:dyDescent="0.2">
      <c r="A3425" s="12">
        <v>42117</v>
      </c>
      <c r="B3425" s="9">
        <v>3575.19</v>
      </c>
      <c r="C3425" s="9">
        <v>3503.25</v>
      </c>
      <c r="D3425" s="9">
        <v>3524.6</v>
      </c>
      <c r="E3425" s="9">
        <f t="shared" si="159"/>
        <v>-1.0718046834852453E-2</v>
      </c>
      <c r="F3425" s="9">
        <f t="shared" ref="F3425:F3488" si="160">LN(D3425/D3395)</f>
        <v>1.7527738523487272E-2</v>
      </c>
      <c r="G3425" s="9">
        <f t="shared" ref="G3425:G3488" si="161">STDEV(E3396:E3425)</f>
        <v>9.1109828441782916E-3</v>
      </c>
    </row>
    <row r="3426" spans="1:7" x14ac:dyDescent="0.2">
      <c r="A3426" s="12">
        <v>42118</v>
      </c>
      <c r="B3426" s="9">
        <v>3552.86</v>
      </c>
      <c r="C3426" s="9">
        <v>3531.22</v>
      </c>
      <c r="D3426" s="9">
        <v>3549.75</v>
      </c>
      <c r="E3426" s="9">
        <f t="shared" si="159"/>
        <v>7.1102238241980194E-3</v>
      </c>
      <c r="F3426" s="9">
        <f t="shared" si="160"/>
        <v>7.4649369005127791E-3</v>
      </c>
      <c r="G3426" s="9">
        <f t="shared" si="161"/>
        <v>8.6529164591104962E-3</v>
      </c>
    </row>
    <row r="3427" spans="1:7" x14ac:dyDescent="0.2">
      <c r="A3427" s="12">
        <v>42121</v>
      </c>
      <c r="B3427" s="9">
        <v>3563.41</v>
      </c>
      <c r="C3427" s="9">
        <v>3525.51</v>
      </c>
      <c r="D3427" s="9">
        <v>3560.52</v>
      </c>
      <c r="E3427" s="9">
        <f t="shared" si="159"/>
        <v>3.0294231405331128E-3</v>
      </c>
      <c r="F3427" s="9">
        <f t="shared" si="160"/>
        <v>1.1715534792372447E-2</v>
      </c>
      <c r="G3427" s="9">
        <f t="shared" si="161"/>
        <v>8.6628108348306351E-3</v>
      </c>
    </row>
    <row r="3428" spans="1:7" x14ac:dyDescent="0.2">
      <c r="A3428" s="12">
        <v>42122</v>
      </c>
      <c r="B3428" s="9">
        <v>3548.1</v>
      </c>
      <c r="C3428" s="9">
        <v>3468.32</v>
      </c>
      <c r="D3428" s="9">
        <v>3471.72</v>
      </c>
      <c r="E3428" s="9">
        <f t="shared" si="159"/>
        <v>-2.5256453228045608E-2</v>
      </c>
      <c r="F3428" s="9">
        <f t="shared" si="160"/>
        <v>-1.3469874011564992E-2</v>
      </c>
      <c r="G3428" s="9">
        <f t="shared" si="161"/>
        <v>9.8483239356640558E-3</v>
      </c>
    </row>
    <row r="3429" spans="1:7" x14ac:dyDescent="0.2">
      <c r="A3429" s="12">
        <v>42123</v>
      </c>
      <c r="B3429" s="9">
        <v>3481.06</v>
      </c>
      <c r="C3429" s="9">
        <v>3371.71</v>
      </c>
      <c r="D3429" s="9">
        <v>3383.21</v>
      </c>
      <c r="E3429" s="9">
        <f t="shared" si="159"/>
        <v>-2.5825185431535367E-2</v>
      </c>
      <c r="F3429" s="9">
        <f t="shared" si="160"/>
        <v>-4.741816709877858E-2</v>
      </c>
      <c r="G3429" s="9">
        <f t="shared" si="161"/>
        <v>1.0739467764902803E-2</v>
      </c>
    </row>
    <row r="3430" spans="1:7" x14ac:dyDescent="0.2">
      <c r="A3430" s="12">
        <v>42124</v>
      </c>
      <c r="B3430" s="9">
        <v>3361.19</v>
      </c>
      <c r="C3430" s="9">
        <v>3307.88</v>
      </c>
      <c r="D3430" s="9">
        <v>3344.51</v>
      </c>
      <c r="E3430" s="9">
        <f t="shared" si="159"/>
        <v>-1.1504767397871256E-2</v>
      </c>
      <c r="F3430" s="9">
        <f t="shared" si="160"/>
        <v>-5.786811480402141E-2</v>
      </c>
      <c r="G3430" s="9">
        <f t="shared" si="161"/>
        <v>1.0890238208066607E-2</v>
      </c>
    </row>
    <row r="3431" spans="1:7" x14ac:dyDescent="0.2">
      <c r="A3431" s="12">
        <v>42128</v>
      </c>
      <c r="B3431" s="9">
        <v>3388.28</v>
      </c>
      <c r="C3431" s="9">
        <v>3326.97</v>
      </c>
      <c r="D3431" s="9">
        <v>3371.69</v>
      </c>
      <c r="E3431" s="9">
        <f t="shared" si="159"/>
        <v>8.0939067874671172E-3</v>
      </c>
      <c r="F3431" s="9">
        <f t="shared" si="160"/>
        <v>-5.292689611580826E-2</v>
      </c>
      <c r="G3431" s="9">
        <f t="shared" si="161"/>
        <v>1.1006490231721122E-2</v>
      </c>
    </row>
    <row r="3432" spans="1:7" x14ac:dyDescent="0.2">
      <c r="A3432" s="12">
        <v>42129</v>
      </c>
      <c r="B3432" s="9">
        <v>3385.24</v>
      </c>
      <c r="C3432" s="9">
        <v>3288.51</v>
      </c>
      <c r="D3432" s="9">
        <v>3288.51</v>
      </c>
      <c r="E3432" s="9">
        <f t="shared" si="159"/>
        <v>-2.4979527688126477E-2</v>
      </c>
      <c r="F3432" s="9">
        <f t="shared" si="160"/>
        <v>-8.6502405081596442E-2</v>
      </c>
      <c r="G3432" s="9">
        <f t="shared" si="161"/>
        <v>1.1607341474488336E-2</v>
      </c>
    </row>
    <row r="3433" spans="1:7" x14ac:dyDescent="0.2">
      <c r="A3433" s="12">
        <v>42130</v>
      </c>
      <c r="B3433" s="9">
        <v>3323.95</v>
      </c>
      <c r="C3433" s="9">
        <v>3264.96</v>
      </c>
      <c r="D3433" s="9">
        <v>3274.34</v>
      </c>
      <c r="E3433" s="9">
        <f t="shared" si="159"/>
        <v>-4.3182525943311892E-3</v>
      </c>
      <c r="F3433" s="9">
        <f t="shared" si="160"/>
        <v>-9.6008480597167753E-2</v>
      </c>
      <c r="G3433" s="9">
        <f t="shared" si="161"/>
        <v>1.1508741251271803E-2</v>
      </c>
    </row>
    <row r="3434" spans="1:7" x14ac:dyDescent="0.2">
      <c r="A3434" s="12">
        <v>42131</v>
      </c>
      <c r="B3434" s="9">
        <v>3313.66</v>
      </c>
      <c r="C3434" s="9">
        <v>3223.21</v>
      </c>
      <c r="D3434" s="9">
        <v>3307.46</v>
      </c>
      <c r="E3434" s="9">
        <f t="shared" si="159"/>
        <v>1.0064201147044151E-2</v>
      </c>
      <c r="F3434" s="9">
        <f t="shared" si="160"/>
        <v>-8.3736138431830989E-2</v>
      </c>
      <c r="G3434" s="9">
        <f t="shared" si="161"/>
        <v>1.1760577734285911E-2</v>
      </c>
    </row>
    <row r="3435" spans="1:7" x14ac:dyDescent="0.2">
      <c r="A3435" s="12">
        <v>42132</v>
      </c>
      <c r="B3435" s="9">
        <v>3393.13</v>
      </c>
      <c r="C3435" s="9">
        <v>3331.02</v>
      </c>
      <c r="D3435" s="9">
        <v>3388.01</v>
      </c>
      <c r="E3435" s="9">
        <f t="shared" si="159"/>
        <v>2.4062205171848178E-2</v>
      </c>
      <c r="F3435" s="9">
        <f t="shared" si="160"/>
        <v>-6.325449548591168E-2</v>
      </c>
      <c r="G3435" s="9">
        <f t="shared" si="161"/>
        <v>1.2700186556557498E-2</v>
      </c>
    </row>
    <row r="3436" spans="1:7" x14ac:dyDescent="0.2">
      <c r="A3436" s="12">
        <v>42135</v>
      </c>
      <c r="B3436" s="9">
        <v>3407.42</v>
      </c>
      <c r="C3436" s="9">
        <v>3376.7</v>
      </c>
      <c r="D3436" s="9">
        <v>3378.15</v>
      </c>
      <c r="E3436" s="9">
        <f t="shared" si="159"/>
        <v>-2.9145060062190126E-3</v>
      </c>
      <c r="F3436" s="9">
        <f t="shared" si="160"/>
        <v>-5.9101048264076764E-2</v>
      </c>
      <c r="G3436" s="9">
        <f t="shared" si="161"/>
        <v>1.2666852901979712E-2</v>
      </c>
    </row>
    <row r="3437" spans="1:7" x14ac:dyDescent="0.2">
      <c r="A3437" s="12">
        <v>42136</v>
      </c>
      <c r="B3437" s="9">
        <v>3366.05</v>
      </c>
      <c r="C3437" s="9">
        <v>3307.49</v>
      </c>
      <c r="D3437" s="9">
        <v>3321.96</v>
      </c>
      <c r="E3437" s="9">
        <f t="shared" si="159"/>
        <v>-1.6773252193676539E-2</v>
      </c>
      <c r="F3437" s="9">
        <f t="shared" si="160"/>
        <v>-6.4520459348189188E-2</v>
      </c>
      <c r="G3437" s="9">
        <f t="shared" si="161"/>
        <v>1.2842717153997485E-2</v>
      </c>
    </row>
    <row r="3438" spans="1:7" x14ac:dyDescent="0.2">
      <c r="A3438" s="12">
        <v>42137</v>
      </c>
      <c r="B3438" s="9">
        <v>3376.25</v>
      </c>
      <c r="C3438" s="9">
        <v>3326.7</v>
      </c>
      <c r="D3438" s="9">
        <v>3354.59</v>
      </c>
      <c r="E3438" s="9">
        <f t="shared" si="159"/>
        <v>9.7745871133182432E-3</v>
      </c>
      <c r="F3438" s="9">
        <f t="shared" si="160"/>
        <v>-4.5471648225564452E-2</v>
      </c>
      <c r="G3438" s="9">
        <f t="shared" si="161"/>
        <v>1.2948835768057944E-2</v>
      </c>
    </row>
    <row r="3439" spans="1:7" x14ac:dyDescent="0.2">
      <c r="A3439" s="12">
        <v>42139</v>
      </c>
      <c r="B3439" s="9">
        <v>3394.88</v>
      </c>
      <c r="C3439" s="9">
        <v>3362.84</v>
      </c>
      <c r="D3439" s="9">
        <v>3369.35</v>
      </c>
      <c r="E3439" s="9">
        <f t="shared" si="159"/>
        <v>4.3902901298370932E-3</v>
      </c>
      <c r="F3439" s="9">
        <f t="shared" si="160"/>
        <v>-5.0950884873561912E-2</v>
      </c>
      <c r="G3439" s="9">
        <f t="shared" si="161"/>
        <v>1.2820719281649249E-2</v>
      </c>
    </row>
    <row r="3440" spans="1:7" x14ac:dyDescent="0.2">
      <c r="A3440" s="12">
        <v>42142</v>
      </c>
      <c r="B3440" s="9">
        <v>3385.44</v>
      </c>
      <c r="C3440" s="9">
        <v>3342.1</v>
      </c>
      <c r="D3440" s="9">
        <v>3364</v>
      </c>
      <c r="E3440" s="9">
        <f t="shared" si="159"/>
        <v>-1.5891053118709695E-3</v>
      </c>
      <c r="F3440" s="9">
        <f t="shared" si="160"/>
        <v>-4.1764237746700343E-2</v>
      </c>
      <c r="G3440" s="9">
        <f t="shared" si="161"/>
        <v>1.2705624914583732E-2</v>
      </c>
    </row>
    <row r="3441" spans="1:7" x14ac:dyDescent="0.2">
      <c r="A3441" s="12">
        <v>42143</v>
      </c>
      <c r="B3441" s="9">
        <v>3427.09</v>
      </c>
      <c r="C3441" s="9">
        <v>3382.54</v>
      </c>
      <c r="D3441" s="9">
        <v>3427.09</v>
      </c>
      <c r="E3441" s="9">
        <f t="shared" si="159"/>
        <v>1.8580762473695708E-2</v>
      </c>
      <c r="F3441" s="9">
        <f t="shared" si="160"/>
        <v>-2.2978178033246296E-2</v>
      </c>
      <c r="G3441" s="9">
        <f t="shared" si="161"/>
        <v>1.3218715371889398E-2</v>
      </c>
    </row>
    <row r="3442" spans="1:7" x14ac:dyDescent="0.2">
      <c r="A3442" s="12">
        <v>42144</v>
      </c>
      <c r="B3442" s="9">
        <v>3457.18</v>
      </c>
      <c r="C3442" s="9">
        <v>3417.22</v>
      </c>
      <c r="D3442" s="9">
        <v>3455.91</v>
      </c>
      <c r="E3442" s="9">
        <f t="shared" si="159"/>
        <v>8.3743043516549768E-3</v>
      </c>
      <c r="F3442" s="9">
        <f t="shared" si="160"/>
        <v>-1.7118709826775144E-2</v>
      </c>
      <c r="G3442" s="9">
        <f t="shared" si="161"/>
        <v>1.3311823584151027E-2</v>
      </c>
    </row>
    <row r="3443" spans="1:7" x14ac:dyDescent="0.2">
      <c r="A3443" s="12">
        <v>42145</v>
      </c>
      <c r="B3443" s="9">
        <v>3473.91</v>
      </c>
      <c r="C3443" s="9">
        <v>3442.05</v>
      </c>
      <c r="D3443" s="9">
        <v>3473.14</v>
      </c>
      <c r="E3443" s="9">
        <f t="shared" si="159"/>
        <v>4.9732749837618443E-3</v>
      </c>
      <c r="F3443" s="9">
        <f t="shared" si="160"/>
        <v>-2.5703767455852535E-2</v>
      </c>
      <c r="G3443" s="9">
        <f t="shared" si="161"/>
        <v>1.3088011624109474E-2</v>
      </c>
    </row>
    <row r="3444" spans="1:7" x14ac:dyDescent="0.2">
      <c r="A3444" s="12">
        <v>42146</v>
      </c>
      <c r="B3444" s="9">
        <v>3484.48</v>
      </c>
      <c r="C3444" s="9">
        <v>3462.33</v>
      </c>
      <c r="D3444" s="9">
        <v>3465.09</v>
      </c>
      <c r="E3444" s="9">
        <f t="shared" si="159"/>
        <v>-2.3204775892927691E-3</v>
      </c>
      <c r="F3444" s="9">
        <f t="shared" si="160"/>
        <v>-3.0098661238380252E-2</v>
      </c>
      <c r="G3444" s="9">
        <f t="shared" si="161"/>
        <v>1.3078663797853154E-2</v>
      </c>
    </row>
    <row r="3445" spans="1:7" x14ac:dyDescent="0.2">
      <c r="A3445" s="12">
        <v>42149</v>
      </c>
      <c r="B3445" s="9">
        <v>3458.69</v>
      </c>
      <c r="C3445" s="9">
        <v>3427.82</v>
      </c>
      <c r="D3445" s="9">
        <v>3435.08</v>
      </c>
      <c r="E3445" s="9">
        <f t="shared" si="159"/>
        <v>-8.6983912621977338E-3</v>
      </c>
      <c r="F3445" s="9">
        <f t="shared" si="160"/>
        <v>-4.2849352203278512E-2</v>
      </c>
      <c r="G3445" s="9">
        <f t="shared" si="161"/>
        <v>1.3115834398618411E-2</v>
      </c>
    </row>
    <row r="3446" spans="1:7" x14ac:dyDescent="0.2">
      <c r="A3446" s="12">
        <v>42150</v>
      </c>
      <c r="B3446" s="9">
        <v>3447.94</v>
      </c>
      <c r="C3446" s="9">
        <v>3406.1</v>
      </c>
      <c r="D3446" s="9">
        <v>3411.12</v>
      </c>
      <c r="E3446" s="9">
        <f t="shared" si="159"/>
        <v>-6.9995319515947013E-3</v>
      </c>
      <c r="F3446" s="9">
        <f t="shared" si="160"/>
        <v>-6.1602259637461527E-2</v>
      </c>
      <c r="G3446" s="9">
        <f t="shared" si="161"/>
        <v>1.2911218697280027E-2</v>
      </c>
    </row>
    <row r="3447" spans="1:7" x14ac:dyDescent="0.2">
      <c r="A3447" s="12">
        <v>42151</v>
      </c>
      <c r="B3447" s="9">
        <v>3446.9</v>
      </c>
      <c r="C3447" s="9">
        <v>3404.57</v>
      </c>
      <c r="D3447" s="9">
        <v>3443.76</v>
      </c>
      <c r="E3447" s="9">
        <f t="shared" si="159"/>
        <v>9.5232146093949359E-3</v>
      </c>
      <c r="F3447" s="9">
        <f t="shared" si="160"/>
        <v>-5.7376659201346693E-2</v>
      </c>
      <c r="G3447" s="9">
        <f t="shared" si="161"/>
        <v>1.301679678647729E-2</v>
      </c>
    </row>
    <row r="3448" spans="1:7" x14ac:dyDescent="0.2">
      <c r="A3448" s="12">
        <v>42152</v>
      </c>
      <c r="B3448" s="9">
        <v>3437.64</v>
      </c>
      <c r="C3448" s="9">
        <v>3402.14</v>
      </c>
      <c r="D3448" s="9">
        <v>3418.74</v>
      </c>
      <c r="E3448" s="9">
        <f t="shared" si="159"/>
        <v>-7.2918355879514167E-3</v>
      </c>
      <c r="F3448" s="9">
        <f t="shared" si="160"/>
        <v>-6.023878435247576E-2</v>
      </c>
      <c r="G3448" s="9">
        <f t="shared" si="161"/>
        <v>1.304633716141293E-2</v>
      </c>
    </row>
    <row r="3449" spans="1:7" x14ac:dyDescent="0.2">
      <c r="A3449" s="12">
        <v>42153</v>
      </c>
      <c r="B3449" s="9">
        <v>3427.88</v>
      </c>
      <c r="C3449" s="9">
        <v>3374.82</v>
      </c>
      <c r="D3449" s="9">
        <v>3375.11</v>
      </c>
      <c r="E3449" s="9">
        <f t="shared" si="159"/>
        <v>-1.2844145752213612E-2</v>
      </c>
      <c r="F3449" s="9">
        <f t="shared" si="160"/>
        <v>-7.4786238483661852E-2</v>
      </c>
      <c r="G3449" s="9">
        <f t="shared" si="161"/>
        <v>1.317337391611097E-2</v>
      </c>
    </row>
    <row r="3450" spans="1:7" x14ac:dyDescent="0.2">
      <c r="A3450" s="12">
        <v>42156</v>
      </c>
      <c r="B3450" s="9">
        <v>3413.3</v>
      </c>
      <c r="C3450" s="9">
        <v>3375.93</v>
      </c>
      <c r="D3450" s="9">
        <v>3389.21</v>
      </c>
      <c r="E3450" s="9">
        <f t="shared" si="159"/>
        <v>4.1689395006623978E-3</v>
      </c>
      <c r="F3450" s="9">
        <f t="shared" si="160"/>
        <v>-6.7797975955205717E-2</v>
      </c>
      <c r="G3450" s="9">
        <f t="shared" si="161"/>
        <v>1.3229070611397296E-2</v>
      </c>
    </row>
    <row r="3451" spans="1:7" x14ac:dyDescent="0.2">
      <c r="A3451" s="12">
        <v>42157</v>
      </c>
      <c r="B3451" s="9">
        <v>3413.74</v>
      </c>
      <c r="C3451" s="9">
        <v>3377.29</v>
      </c>
      <c r="D3451" s="9">
        <v>3393.33</v>
      </c>
      <c r="E3451" s="9">
        <f t="shared" si="159"/>
        <v>1.2148842488921719E-3</v>
      </c>
      <c r="F3451" s="9">
        <f t="shared" si="160"/>
        <v>-4.5603359692168902E-2</v>
      </c>
      <c r="G3451" s="9">
        <f t="shared" si="161"/>
        <v>1.2758316278986976E-2</v>
      </c>
    </row>
    <row r="3452" spans="1:7" x14ac:dyDescent="0.2">
      <c r="A3452" s="12">
        <v>42158</v>
      </c>
      <c r="B3452" s="9">
        <v>3418.06</v>
      </c>
      <c r="C3452" s="9">
        <v>3389.72</v>
      </c>
      <c r="D3452" s="9">
        <v>3396.98</v>
      </c>
      <c r="E3452" s="9">
        <f t="shared" si="159"/>
        <v>1.0750614777653837E-3</v>
      </c>
      <c r="F3452" s="9">
        <f t="shared" si="160"/>
        <v>-4.9143637001605643E-2</v>
      </c>
      <c r="G3452" s="9">
        <f t="shared" si="161"/>
        <v>1.27159115333667E-2</v>
      </c>
    </row>
    <row r="3453" spans="1:7" x14ac:dyDescent="0.2">
      <c r="A3453" s="12">
        <v>42159</v>
      </c>
      <c r="B3453" s="9">
        <v>3388.61</v>
      </c>
      <c r="C3453" s="9">
        <v>3335.21</v>
      </c>
      <c r="D3453" s="9">
        <v>3361.51</v>
      </c>
      <c r="E3453" s="9">
        <f t="shared" si="159"/>
        <v>-1.0496523828336716E-2</v>
      </c>
      <c r="F3453" s="9">
        <f t="shared" si="160"/>
        <v>-7.4067173329742247E-2</v>
      </c>
      <c r="G3453" s="9">
        <f t="shared" si="161"/>
        <v>1.2441330541311416E-2</v>
      </c>
    </row>
    <row r="3454" spans="1:7" x14ac:dyDescent="0.2">
      <c r="A3454" s="12">
        <v>42160</v>
      </c>
      <c r="B3454" s="9">
        <v>3342.94</v>
      </c>
      <c r="C3454" s="9">
        <v>3313.42</v>
      </c>
      <c r="D3454" s="9">
        <v>3318.18</v>
      </c>
      <c r="E3454" s="9">
        <f t="shared" si="159"/>
        <v>-1.2973837940222489E-2</v>
      </c>
      <c r="F3454" s="9">
        <f t="shared" si="160"/>
        <v>-7.1068561638264791E-2</v>
      </c>
      <c r="G3454" s="9">
        <f t="shared" si="161"/>
        <v>1.2340740832043609E-2</v>
      </c>
    </row>
    <row r="3455" spans="1:7" x14ac:dyDescent="0.2">
      <c r="A3455" s="12">
        <v>42163</v>
      </c>
      <c r="B3455" s="9">
        <v>3324.25</v>
      </c>
      <c r="C3455" s="9">
        <v>3273.76</v>
      </c>
      <c r="D3455" s="9">
        <v>3276.07</v>
      </c>
      <c r="E3455" s="9">
        <f t="shared" si="159"/>
        <v>-1.2771906560811352E-2</v>
      </c>
      <c r="F3455" s="9">
        <f t="shared" si="160"/>
        <v>-7.3122421364223589E-2</v>
      </c>
      <c r="G3455" s="9">
        <f t="shared" si="161"/>
        <v>1.2394236858327249E-2</v>
      </c>
    </row>
    <row r="3456" spans="1:7" x14ac:dyDescent="0.2">
      <c r="A3456" s="12">
        <v>42164</v>
      </c>
      <c r="B3456" s="9">
        <v>3272.87</v>
      </c>
      <c r="C3456" s="9">
        <v>3217.39</v>
      </c>
      <c r="D3456" s="9">
        <v>3268.79</v>
      </c>
      <c r="E3456" s="9">
        <f t="shared" si="159"/>
        <v>-2.2246474339947726E-3</v>
      </c>
      <c r="F3456" s="9">
        <f t="shared" si="160"/>
        <v>-8.2457292622416439E-2</v>
      </c>
      <c r="G3456" s="9">
        <f t="shared" si="161"/>
        <v>1.226275455883441E-2</v>
      </c>
    </row>
    <row r="3457" spans="1:7" x14ac:dyDescent="0.2">
      <c r="A3457" s="12">
        <v>42165</v>
      </c>
      <c r="B3457" s="9">
        <v>3314.62</v>
      </c>
      <c r="C3457" s="9">
        <v>3253.96</v>
      </c>
      <c r="D3457" s="9">
        <v>3311.9</v>
      </c>
      <c r="E3457" s="9">
        <f t="shared" si="159"/>
        <v>1.3102156980559674E-2</v>
      </c>
      <c r="F3457" s="9">
        <f t="shared" si="160"/>
        <v>-7.2384558782389766E-2</v>
      </c>
      <c r="G3457" s="9">
        <f t="shared" si="161"/>
        <v>1.2560691013366839E-2</v>
      </c>
    </row>
    <row r="3458" spans="1:7" x14ac:dyDescent="0.2">
      <c r="A3458" s="12">
        <v>42166</v>
      </c>
      <c r="B3458" s="9">
        <v>3346.96</v>
      </c>
      <c r="C3458" s="9">
        <v>3305.74</v>
      </c>
      <c r="D3458" s="9">
        <v>3326.94</v>
      </c>
      <c r="E3458" s="9">
        <f t="shared" si="159"/>
        <v>4.5309197781432603E-3</v>
      </c>
      <c r="F3458" s="9">
        <f t="shared" si="160"/>
        <v>-4.2597185776200829E-2</v>
      </c>
      <c r="G3458" s="9">
        <f t="shared" si="161"/>
        <v>1.1849873288196065E-2</v>
      </c>
    </row>
    <row r="3459" spans="1:7" x14ac:dyDescent="0.2">
      <c r="A3459" s="12">
        <v>42167</v>
      </c>
      <c r="B3459" s="9">
        <v>3321.22</v>
      </c>
      <c r="C3459" s="9">
        <v>3268.89</v>
      </c>
      <c r="D3459" s="9">
        <v>3287.7</v>
      </c>
      <c r="E3459" s="9">
        <f t="shared" si="159"/>
        <v>-1.1864730453297537E-2</v>
      </c>
      <c r="F3459" s="9">
        <f t="shared" si="160"/>
        <v>-2.8636730797963025E-2</v>
      </c>
      <c r="G3459" s="9">
        <f t="shared" si="161"/>
        <v>1.1109402097220725E-2</v>
      </c>
    </row>
    <row r="3460" spans="1:7" x14ac:dyDescent="0.2">
      <c r="A3460" s="12">
        <v>42170</v>
      </c>
      <c r="B3460" s="9">
        <v>3262.12</v>
      </c>
      <c r="C3460" s="9">
        <v>3235.69</v>
      </c>
      <c r="D3460" s="9">
        <v>3244.96</v>
      </c>
      <c r="E3460" s="9">
        <f t="shared" ref="E3460:E3523" si="162">LN(D3460/D3459)</f>
        <v>-1.3085208731634049E-2</v>
      </c>
      <c r="F3460" s="9">
        <f t="shared" si="160"/>
        <v>-3.0217172131725836E-2</v>
      </c>
      <c r="G3460" s="9">
        <f t="shared" si="161"/>
        <v>1.1164766229389804E-2</v>
      </c>
    </row>
    <row r="3461" spans="1:7" x14ac:dyDescent="0.2">
      <c r="A3461" s="12">
        <v>42171</v>
      </c>
      <c r="B3461" s="9">
        <v>3284.33</v>
      </c>
      <c r="C3461" s="9">
        <v>3195.7</v>
      </c>
      <c r="D3461" s="9">
        <v>3279.87</v>
      </c>
      <c r="E3461" s="9">
        <f t="shared" si="162"/>
        <v>1.0700764040572328E-2</v>
      </c>
      <c r="F3461" s="9">
        <f t="shared" si="160"/>
        <v>-2.7610314878620763E-2</v>
      </c>
      <c r="G3461" s="9">
        <f t="shared" si="161"/>
        <v>1.1247878115883401E-2</v>
      </c>
    </row>
    <row r="3462" spans="1:7" x14ac:dyDescent="0.2">
      <c r="A3462" s="12">
        <v>42172</v>
      </c>
      <c r="B3462" s="9">
        <v>3292.94</v>
      </c>
      <c r="C3462" s="9">
        <v>3231.2</v>
      </c>
      <c r="D3462" s="9">
        <v>3244.12</v>
      </c>
      <c r="E3462" s="9">
        <f t="shared" si="162"/>
        <v>-1.0959660526573996E-2</v>
      </c>
      <c r="F3462" s="9">
        <f t="shared" si="160"/>
        <v>-1.3590447717068369E-2</v>
      </c>
      <c r="G3462" s="9">
        <f t="shared" si="161"/>
        <v>1.0478746575156114E-2</v>
      </c>
    </row>
    <row r="3463" spans="1:7" x14ac:dyDescent="0.2">
      <c r="A3463" s="12">
        <v>42173</v>
      </c>
      <c r="B3463" s="9">
        <v>3267.89</v>
      </c>
      <c r="C3463" s="9">
        <v>3195.97</v>
      </c>
      <c r="D3463" s="9">
        <v>3267.06</v>
      </c>
      <c r="E3463" s="9">
        <f t="shared" si="162"/>
        <v>7.0463709855175319E-3</v>
      </c>
      <c r="F3463" s="9">
        <f t="shared" si="160"/>
        <v>-2.2258241372196878E-3</v>
      </c>
      <c r="G3463" s="9">
        <f t="shared" si="161"/>
        <v>1.0539442069471263E-2</v>
      </c>
    </row>
    <row r="3464" spans="1:7" x14ac:dyDescent="0.2">
      <c r="A3464" s="12">
        <v>42177</v>
      </c>
      <c r="B3464" s="9">
        <v>3356.34</v>
      </c>
      <c r="C3464" s="9">
        <v>3313.3</v>
      </c>
      <c r="D3464" s="9">
        <v>3356.34</v>
      </c>
      <c r="E3464" s="9">
        <f t="shared" si="162"/>
        <v>2.6960596634762163E-2</v>
      </c>
      <c r="F3464" s="9">
        <f t="shared" si="160"/>
        <v>1.4670571350498511E-2</v>
      </c>
      <c r="G3464" s="9">
        <f t="shared" si="161"/>
        <v>1.1506957288920218E-2</v>
      </c>
    </row>
    <row r="3465" spans="1:7" x14ac:dyDescent="0.2">
      <c r="A3465" s="12">
        <v>42178</v>
      </c>
      <c r="B3465" s="9">
        <v>3395.99</v>
      </c>
      <c r="C3465" s="9">
        <v>3369.83</v>
      </c>
      <c r="D3465" s="9">
        <v>3385.43</v>
      </c>
      <c r="E3465" s="9">
        <f t="shared" si="162"/>
        <v>8.6298347577209566E-3</v>
      </c>
      <c r="F3465" s="9">
        <f t="shared" si="160"/>
        <v>-7.6179906362879208E-4</v>
      </c>
      <c r="G3465" s="9">
        <f t="shared" si="161"/>
        <v>1.0735906703808184E-2</v>
      </c>
    </row>
    <row r="3466" spans="1:7" x14ac:dyDescent="0.2">
      <c r="A3466" s="12">
        <v>42179</v>
      </c>
      <c r="B3466" s="9">
        <v>3397.98</v>
      </c>
      <c r="C3466" s="9">
        <v>3365.19</v>
      </c>
      <c r="D3466" s="9">
        <v>3375.38</v>
      </c>
      <c r="E3466" s="9">
        <f t="shared" si="162"/>
        <v>-2.9730187366684199E-3</v>
      </c>
      <c r="F3466" s="9">
        <f t="shared" si="160"/>
        <v>-8.2031179407815469E-4</v>
      </c>
      <c r="G3466" s="9">
        <f t="shared" si="161"/>
        <v>1.0736454977759246E-2</v>
      </c>
    </row>
    <row r="3467" spans="1:7" x14ac:dyDescent="0.2">
      <c r="A3467" s="12">
        <v>42180</v>
      </c>
      <c r="B3467" s="9">
        <v>3404.48</v>
      </c>
      <c r="C3467" s="9">
        <v>3358.95</v>
      </c>
      <c r="D3467" s="9">
        <v>3374.5</v>
      </c>
      <c r="E3467" s="9">
        <f t="shared" si="162"/>
        <v>-2.6074537769138766E-4</v>
      </c>
      <c r="F3467" s="9">
        <f t="shared" si="160"/>
        <v>1.5692195021907024E-2</v>
      </c>
      <c r="G3467" s="9">
        <f t="shared" si="161"/>
        <v>1.0261096201473963E-2</v>
      </c>
    </row>
    <row r="3468" spans="1:7" x14ac:dyDescent="0.2">
      <c r="A3468" s="12">
        <v>42181</v>
      </c>
      <c r="B3468" s="9">
        <v>3397.13</v>
      </c>
      <c r="C3468" s="9">
        <v>3352.27</v>
      </c>
      <c r="D3468" s="9">
        <v>3390.13</v>
      </c>
      <c r="E3468" s="9">
        <f t="shared" si="162"/>
        <v>4.6211035383618339E-3</v>
      </c>
      <c r="F3468" s="9">
        <f t="shared" si="160"/>
        <v>1.0538711446950491E-2</v>
      </c>
      <c r="G3468" s="9">
        <f t="shared" si="161"/>
        <v>1.0143336228156833E-2</v>
      </c>
    </row>
    <row r="3469" spans="1:7" x14ac:dyDescent="0.2">
      <c r="A3469" s="12">
        <v>42184</v>
      </c>
      <c r="B3469" s="9">
        <v>3337.34</v>
      </c>
      <c r="C3469" s="9">
        <v>3252.31</v>
      </c>
      <c r="D3469" s="9">
        <v>3301.46</v>
      </c>
      <c r="E3469" s="9">
        <f t="shared" si="162"/>
        <v>-2.6503473865575184E-2</v>
      </c>
      <c r="F3469" s="9">
        <f t="shared" si="160"/>
        <v>-2.0355052548461865E-2</v>
      </c>
      <c r="G3469" s="9">
        <f t="shared" si="161"/>
        <v>1.1229243708930126E-2</v>
      </c>
    </row>
    <row r="3470" spans="1:7" x14ac:dyDescent="0.2">
      <c r="A3470" s="12">
        <v>42185</v>
      </c>
      <c r="B3470" s="9">
        <v>3298.42</v>
      </c>
      <c r="C3470" s="9">
        <v>3249.33</v>
      </c>
      <c r="D3470" s="9">
        <v>3254.48</v>
      </c>
      <c r="E3470" s="9">
        <f t="shared" si="162"/>
        <v>-1.433228619991378E-2</v>
      </c>
      <c r="F3470" s="9">
        <f t="shared" si="160"/>
        <v>-3.3098233436504712E-2</v>
      </c>
      <c r="G3470" s="9">
        <f t="shared" si="161"/>
        <v>1.1502571211170879E-2</v>
      </c>
    </row>
    <row r="3471" spans="1:7" x14ac:dyDescent="0.2">
      <c r="A3471" s="12">
        <v>42186</v>
      </c>
      <c r="B3471" s="9">
        <v>3312.48</v>
      </c>
      <c r="C3471" s="9">
        <v>3254.57</v>
      </c>
      <c r="D3471" s="9">
        <v>3288.83</v>
      </c>
      <c r="E3471" s="9">
        <f t="shared" si="162"/>
        <v>1.049936975388927E-2</v>
      </c>
      <c r="F3471" s="9">
        <f t="shared" si="160"/>
        <v>-4.1179626156311273E-2</v>
      </c>
      <c r="G3471" s="9">
        <f t="shared" si="161"/>
        <v>1.1113750831672863E-2</v>
      </c>
    </row>
    <row r="3472" spans="1:7" x14ac:dyDescent="0.2">
      <c r="A3472" s="12">
        <v>42187</v>
      </c>
      <c r="B3472" s="9">
        <v>3291.95</v>
      </c>
      <c r="C3472" s="9">
        <v>3256.01</v>
      </c>
      <c r="D3472" s="9">
        <v>3258.73</v>
      </c>
      <c r="E3472" s="9">
        <f t="shared" si="162"/>
        <v>-9.1943295039381857E-3</v>
      </c>
      <c r="F3472" s="9">
        <f t="shared" si="160"/>
        <v>-5.8748260011904439E-2</v>
      </c>
      <c r="G3472" s="9">
        <f t="shared" si="161"/>
        <v>1.1045103625887471E-2</v>
      </c>
    </row>
    <row r="3473" spans="1:7" x14ac:dyDescent="0.2">
      <c r="A3473" s="12">
        <v>42188</v>
      </c>
      <c r="B3473" s="9">
        <v>3260.35</v>
      </c>
      <c r="C3473" s="9">
        <v>3225.88</v>
      </c>
      <c r="D3473" s="9">
        <v>3241.11</v>
      </c>
      <c r="E3473" s="9">
        <f t="shared" si="162"/>
        <v>-5.4216851987597195E-3</v>
      </c>
      <c r="F3473" s="9">
        <f t="shared" si="160"/>
        <v>-6.9143220194425967E-2</v>
      </c>
      <c r="G3473" s="9">
        <f t="shared" si="161"/>
        <v>1.0983030935342319E-2</v>
      </c>
    </row>
    <row r="3474" spans="1:7" x14ac:dyDescent="0.2">
      <c r="A3474" s="12">
        <v>42191</v>
      </c>
      <c r="B3474" s="9">
        <v>3217.97</v>
      </c>
      <c r="C3474" s="9">
        <v>3180.56</v>
      </c>
      <c r="D3474" s="9">
        <v>3190.05</v>
      </c>
      <c r="E3474" s="9">
        <f t="shared" si="162"/>
        <v>-1.5879273070279316E-2</v>
      </c>
      <c r="F3474" s="9">
        <f t="shared" si="160"/>
        <v>-8.2702015675412577E-2</v>
      </c>
      <c r="G3474" s="9">
        <f t="shared" si="161"/>
        <v>1.1259204409850763E-2</v>
      </c>
    </row>
    <row r="3475" spans="1:7" x14ac:dyDescent="0.2">
      <c r="A3475" s="12">
        <v>42192</v>
      </c>
      <c r="B3475" s="9">
        <v>3195.75</v>
      </c>
      <c r="C3475" s="9">
        <v>3119.06</v>
      </c>
      <c r="D3475" s="9">
        <v>3119.06</v>
      </c>
      <c r="E3475" s="9">
        <f t="shared" si="162"/>
        <v>-2.250491627955517E-2</v>
      </c>
      <c r="F3475" s="9">
        <f t="shared" si="160"/>
        <v>-9.6508540692769887E-2</v>
      </c>
      <c r="G3475" s="9">
        <f t="shared" si="161"/>
        <v>1.1780542470695177E-2</v>
      </c>
    </row>
    <row r="3476" spans="1:7" x14ac:dyDescent="0.2">
      <c r="A3476" s="12">
        <v>42193</v>
      </c>
      <c r="B3476" s="9">
        <v>3161.74</v>
      </c>
      <c r="C3476" s="9">
        <v>3099.22</v>
      </c>
      <c r="D3476" s="9">
        <v>3141.27</v>
      </c>
      <c r="E3476" s="9">
        <f t="shared" si="162"/>
        <v>7.0955023720033943E-3</v>
      </c>
      <c r="F3476" s="9">
        <f t="shared" si="160"/>
        <v>-8.2413506369171885E-2</v>
      </c>
      <c r="G3476" s="9">
        <f t="shared" si="161"/>
        <v>1.1904897136469481E-2</v>
      </c>
    </row>
    <row r="3477" spans="1:7" x14ac:dyDescent="0.2">
      <c r="A3477" s="12">
        <v>42194</v>
      </c>
      <c r="B3477" s="9">
        <v>3226.27</v>
      </c>
      <c r="C3477" s="9">
        <v>3151.15</v>
      </c>
      <c r="D3477" s="9">
        <v>3225.5</v>
      </c>
      <c r="E3477" s="9">
        <f t="shared" si="162"/>
        <v>2.6460800242602167E-2</v>
      </c>
      <c r="F3477" s="9">
        <f t="shared" si="160"/>
        <v>-6.5475920735964546E-2</v>
      </c>
      <c r="G3477" s="9">
        <f t="shared" si="161"/>
        <v>1.2869436340457114E-2</v>
      </c>
    </row>
    <row r="3478" spans="1:7" x14ac:dyDescent="0.2">
      <c r="A3478" s="12">
        <v>42195</v>
      </c>
      <c r="B3478" s="9">
        <v>3297.81</v>
      </c>
      <c r="C3478" s="9">
        <v>3270.93</v>
      </c>
      <c r="D3478" s="9">
        <v>3297.81</v>
      </c>
      <c r="E3478" s="9">
        <f t="shared" si="162"/>
        <v>2.2170634814554026E-2</v>
      </c>
      <c r="F3478" s="9">
        <f t="shared" si="160"/>
        <v>-3.601345033345911E-2</v>
      </c>
      <c r="G3478" s="9">
        <f t="shared" si="161"/>
        <v>1.3571123579967729E-2</v>
      </c>
    </row>
    <row r="3479" spans="1:7" x14ac:dyDescent="0.2">
      <c r="A3479" s="12">
        <v>42198</v>
      </c>
      <c r="B3479" s="9">
        <v>3355.9</v>
      </c>
      <c r="C3479" s="9">
        <v>3320.75</v>
      </c>
      <c r="D3479" s="9">
        <v>3355.21</v>
      </c>
      <c r="E3479" s="9">
        <f t="shared" si="162"/>
        <v>1.7255749804623098E-2</v>
      </c>
      <c r="F3479" s="9">
        <f t="shared" si="160"/>
        <v>-5.9135547766223989E-3</v>
      </c>
      <c r="G3479" s="9">
        <f t="shared" si="161"/>
        <v>1.3791479001609265E-2</v>
      </c>
    </row>
    <row r="3480" spans="1:7" x14ac:dyDescent="0.2">
      <c r="A3480" s="12">
        <v>42199</v>
      </c>
      <c r="B3480" s="9">
        <v>3380.63</v>
      </c>
      <c r="C3480" s="9">
        <v>3337.09</v>
      </c>
      <c r="D3480" s="9">
        <v>3380.14</v>
      </c>
      <c r="E3480" s="9">
        <f t="shared" si="162"/>
        <v>7.4027671461448221E-3</v>
      </c>
      <c r="F3480" s="9">
        <f t="shared" si="160"/>
        <v>-2.6797271311400535E-3</v>
      </c>
      <c r="G3480" s="9">
        <f t="shared" si="161"/>
        <v>1.3839335630085997E-2</v>
      </c>
    </row>
    <row r="3481" spans="1:7" x14ac:dyDescent="0.2">
      <c r="A3481" s="12">
        <v>42200</v>
      </c>
      <c r="B3481" s="9">
        <v>3383.75</v>
      </c>
      <c r="C3481" s="9">
        <v>3367.64</v>
      </c>
      <c r="D3481" s="9">
        <v>3375.71</v>
      </c>
      <c r="E3481" s="9">
        <f t="shared" si="162"/>
        <v>-1.311456185361122E-3</v>
      </c>
      <c r="F3481" s="9">
        <f t="shared" si="160"/>
        <v>-5.206067565393299E-3</v>
      </c>
      <c r="G3481" s="9">
        <f t="shared" si="161"/>
        <v>1.3838812249674946E-2</v>
      </c>
    </row>
    <row r="3482" spans="1:7" x14ac:dyDescent="0.2">
      <c r="A3482" s="12">
        <v>42201</v>
      </c>
      <c r="B3482" s="9">
        <v>3432.19</v>
      </c>
      <c r="C3482" s="9">
        <v>3387.98</v>
      </c>
      <c r="D3482" s="9">
        <v>3422.06</v>
      </c>
      <c r="E3482" s="9">
        <f t="shared" si="162"/>
        <v>1.3637036352248099E-2</v>
      </c>
      <c r="F3482" s="9">
        <f t="shared" si="160"/>
        <v>7.3559073090893965E-3</v>
      </c>
      <c r="G3482" s="9">
        <f t="shared" si="161"/>
        <v>1.4066077812143413E-2</v>
      </c>
    </row>
    <row r="3483" spans="1:7" x14ac:dyDescent="0.2">
      <c r="A3483" s="12">
        <v>42202</v>
      </c>
      <c r="B3483" s="9">
        <v>3459.99</v>
      </c>
      <c r="C3483" s="9">
        <v>3405.66</v>
      </c>
      <c r="D3483" s="9">
        <v>3440.04</v>
      </c>
      <c r="E3483" s="9">
        <f t="shared" si="162"/>
        <v>5.2403903023119595E-3</v>
      </c>
      <c r="F3483" s="9">
        <f t="shared" si="160"/>
        <v>2.3092821439737943E-2</v>
      </c>
      <c r="G3483" s="9">
        <f t="shared" si="161"/>
        <v>1.3944587607250687E-2</v>
      </c>
    </row>
    <row r="3484" spans="1:7" x14ac:dyDescent="0.2">
      <c r="A3484" s="12">
        <v>42205</v>
      </c>
      <c r="B3484" s="9">
        <v>3499.07</v>
      </c>
      <c r="C3484" s="9">
        <v>3451.34</v>
      </c>
      <c r="D3484" s="9">
        <v>3489.25</v>
      </c>
      <c r="E3484" s="9">
        <f t="shared" si="162"/>
        <v>1.4203714181936515E-2</v>
      </c>
      <c r="F3484" s="9">
        <f t="shared" si="160"/>
        <v>5.0270373561896939E-2</v>
      </c>
      <c r="G3484" s="9">
        <f t="shared" si="161"/>
        <v>1.3903681154435422E-2</v>
      </c>
    </row>
    <row r="3485" spans="1:7" x14ac:dyDescent="0.2">
      <c r="A3485" s="12">
        <v>42206</v>
      </c>
      <c r="B3485" s="9">
        <v>3489.63</v>
      </c>
      <c r="C3485" s="9">
        <v>3393.97</v>
      </c>
      <c r="D3485" s="9">
        <v>3399.79</v>
      </c>
      <c r="E3485" s="9">
        <f t="shared" si="162"/>
        <v>-2.5973148397901283E-2</v>
      </c>
      <c r="F3485" s="9">
        <f t="shared" si="160"/>
        <v>3.7069131724806914E-2</v>
      </c>
      <c r="G3485" s="9">
        <f t="shared" si="161"/>
        <v>1.4569659047309488E-2</v>
      </c>
    </row>
    <row r="3486" spans="1:7" x14ac:dyDescent="0.2">
      <c r="A3486" s="12">
        <v>42207</v>
      </c>
      <c r="B3486" s="9">
        <v>3383.11</v>
      </c>
      <c r="C3486" s="9">
        <v>3361.4</v>
      </c>
      <c r="D3486" s="9">
        <v>3362.69</v>
      </c>
      <c r="E3486" s="9">
        <f t="shared" si="162"/>
        <v>-1.0972416100929612E-2</v>
      </c>
      <c r="F3486" s="9">
        <f t="shared" si="160"/>
        <v>2.8321363057872119E-2</v>
      </c>
      <c r="G3486" s="9">
        <f t="shared" si="161"/>
        <v>1.4727977365196852E-2</v>
      </c>
    </row>
    <row r="3487" spans="1:7" x14ac:dyDescent="0.2">
      <c r="A3487" s="12">
        <v>42208</v>
      </c>
      <c r="B3487" s="9">
        <v>3386.22</v>
      </c>
      <c r="C3487" s="9">
        <v>3358.51</v>
      </c>
      <c r="D3487" s="9">
        <v>3361.4</v>
      </c>
      <c r="E3487" s="9">
        <f t="shared" si="162"/>
        <v>-3.8369504745664753E-4</v>
      </c>
      <c r="F3487" s="9">
        <f t="shared" si="160"/>
        <v>1.483551102985578E-2</v>
      </c>
      <c r="G3487" s="9">
        <f t="shared" si="161"/>
        <v>1.4548808632072023E-2</v>
      </c>
    </row>
    <row r="3488" spans="1:7" x14ac:dyDescent="0.2">
      <c r="A3488" s="12">
        <v>42209</v>
      </c>
      <c r="B3488" s="9">
        <v>3390.51</v>
      </c>
      <c r="C3488" s="9">
        <v>3351.49</v>
      </c>
      <c r="D3488" s="9">
        <v>3352.43</v>
      </c>
      <c r="E3488" s="9">
        <f t="shared" si="162"/>
        <v>-2.6720978449647067E-3</v>
      </c>
      <c r="F3488" s="9">
        <f t="shared" si="160"/>
        <v>7.6324934067478999E-3</v>
      </c>
      <c r="G3488" s="9">
        <f t="shared" si="161"/>
        <v>1.4539331436139847E-2</v>
      </c>
    </row>
    <row r="3489" spans="1:7" x14ac:dyDescent="0.2">
      <c r="A3489" s="12">
        <v>42212</v>
      </c>
      <c r="B3489" s="9">
        <v>3347.08</v>
      </c>
      <c r="C3489" s="9">
        <v>3298.51</v>
      </c>
      <c r="D3489" s="9">
        <v>3303.74</v>
      </c>
      <c r="E3489" s="9">
        <f t="shared" si="162"/>
        <v>-1.4630295946996366E-2</v>
      </c>
      <c r="F3489" s="9">
        <f t="shared" ref="F3489:F3552" si="163">LN(D3489/D3459)</f>
        <v>4.8669279130489733E-3</v>
      </c>
      <c r="G3489" s="9">
        <f t="shared" ref="G3489:G3552" si="164">STDEV(E3460:E3489)</f>
        <v>1.4627322799408617E-2</v>
      </c>
    </row>
    <row r="3490" spans="1:7" x14ac:dyDescent="0.2">
      <c r="A3490" s="12">
        <v>42213</v>
      </c>
      <c r="B3490" s="9">
        <v>3339.25</v>
      </c>
      <c r="C3490" s="9">
        <v>3300.68</v>
      </c>
      <c r="D3490" s="9">
        <v>3327.8</v>
      </c>
      <c r="E3490" s="9">
        <f t="shared" si="162"/>
        <v>7.2562649309017629E-3</v>
      </c>
      <c r="F3490" s="9">
        <f t="shared" si="163"/>
        <v>2.5208401575584936E-2</v>
      </c>
      <c r="G3490" s="9">
        <f t="shared" si="164"/>
        <v>1.446259949270544E-2</v>
      </c>
    </row>
    <row r="3491" spans="1:7" x14ac:dyDescent="0.2">
      <c r="A3491" s="12">
        <v>42214</v>
      </c>
      <c r="B3491" s="9">
        <v>3359.79</v>
      </c>
      <c r="C3491" s="9">
        <v>3315.69</v>
      </c>
      <c r="D3491" s="9">
        <v>3359.04</v>
      </c>
      <c r="E3491" s="9">
        <f t="shared" si="162"/>
        <v>9.3437938660259727E-3</v>
      </c>
      <c r="F3491" s="9">
        <f t="shared" si="163"/>
        <v>2.3851431401038476E-2</v>
      </c>
      <c r="G3491" s="9">
        <f t="shared" si="164"/>
        <v>1.4432788296419207E-2</v>
      </c>
    </row>
    <row r="3492" spans="1:7" x14ac:dyDescent="0.2">
      <c r="A3492" s="12">
        <v>42215</v>
      </c>
      <c r="B3492" s="9">
        <v>3417.87</v>
      </c>
      <c r="C3492" s="9">
        <v>3376.27</v>
      </c>
      <c r="D3492" s="9">
        <v>3399.35</v>
      </c>
      <c r="E3492" s="9">
        <f t="shared" si="162"/>
        <v>1.1929018009680815E-2</v>
      </c>
      <c r="F3492" s="9">
        <f t="shared" si="163"/>
        <v>4.6740109937293259E-2</v>
      </c>
      <c r="G3492" s="9">
        <f t="shared" si="164"/>
        <v>1.4394904555284648E-2</v>
      </c>
    </row>
    <row r="3493" spans="1:7" x14ac:dyDescent="0.2">
      <c r="A3493" s="12">
        <v>42216</v>
      </c>
      <c r="B3493" s="9">
        <v>3408.03</v>
      </c>
      <c r="C3493" s="9">
        <v>3390.97</v>
      </c>
      <c r="D3493" s="9">
        <v>3396.8</v>
      </c>
      <c r="E3493" s="9">
        <f t="shared" si="162"/>
        <v>-7.5042490812192474E-4</v>
      </c>
      <c r="F3493" s="9">
        <f t="shared" si="163"/>
        <v>3.8943314043653803E-2</v>
      </c>
      <c r="G3493" s="9">
        <f t="shared" si="164"/>
        <v>1.4362745595193984E-2</v>
      </c>
    </row>
    <row r="3494" spans="1:7" x14ac:dyDescent="0.2">
      <c r="A3494" s="12">
        <v>42219</v>
      </c>
      <c r="B3494" s="9">
        <v>3423.94</v>
      </c>
      <c r="C3494" s="9">
        <v>3398.77</v>
      </c>
      <c r="D3494" s="9">
        <v>3422.02</v>
      </c>
      <c r="E3494" s="9">
        <f t="shared" si="162"/>
        <v>7.3972080214272365E-3</v>
      </c>
      <c r="F3494" s="9">
        <f t="shared" si="163"/>
        <v>1.9379925430318919E-2</v>
      </c>
      <c r="G3494" s="9">
        <f t="shared" si="164"/>
        <v>1.3580213326130098E-2</v>
      </c>
    </row>
    <row r="3495" spans="1:7" x14ac:dyDescent="0.2">
      <c r="A3495" s="12">
        <v>42220</v>
      </c>
      <c r="B3495" s="9">
        <v>3434.01</v>
      </c>
      <c r="C3495" s="9">
        <v>3406.35</v>
      </c>
      <c r="D3495" s="9">
        <v>3429.73</v>
      </c>
      <c r="E3495" s="9">
        <f t="shared" si="162"/>
        <v>2.2505208900389963E-3</v>
      </c>
      <c r="F3495" s="9">
        <f t="shared" si="163"/>
        <v>1.3000611562636967E-2</v>
      </c>
      <c r="G3495" s="9">
        <f t="shared" si="164"/>
        <v>1.3500600168183049E-2</v>
      </c>
    </row>
    <row r="3496" spans="1:7" x14ac:dyDescent="0.2">
      <c r="A3496" s="12">
        <v>42221</v>
      </c>
      <c r="B3496" s="9">
        <v>3446.69</v>
      </c>
      <c r="C3496" s="9">
        <v>3429.47</v>
      </c>
      <c r="D3496" s="9">
        <v>3440.09</v>
      </c>
      <c r="E3496" s="9">
        <f t="shared" si="162"/>
        <v>3.0160929554439706E-3</v>
      </c>
      <c r="F3496" s="9">
        <f t="shared" si="163"/>
        <v>1.8989723254749308E-2</v>
      </c>
      <c r="G3496" s="9">
        <f t="shared" si="164"/>
        <v>1.3492771324144677E-2</v>
      </c>
    </row>
    <row r="3497" spans="1:7" x14ac:dyDescent="0.2">
      <c r="A3497" s="12">
        <v>42222</v>
      </c>
      <c r="B3497" s="9">
        <v>3454.67</v>
      </c>
      <c r="C3497" s="9">
        <v>3433.85</v>
      </c>
      <c r="D3497" s="9">
        <v>3436.77</v>
      </c>
      <c r="E3497" s="9">
        <f t="shared" si="162"/>
        <v>-9.6555702978875428E-4</v>
      </c>
      <c r="F3497" s="9">
        <f t="shared" si="163"/>
        <v>1.8284911602651988E-2</v>
      </c>
      <c r="G3497" s="9">
        <f t="shared" si="164"/>
        <v>1.3494994594790252E-2</v>
      </c>
    </row>
    <row r="3498" spans="1:7" x14ac:dyDescent="0.2">
      <c r="A3498" s="12">
        <v>42223</v>
      </c>
      <c r="B3498" s="9">
        <v>3431.56</v>
      </c>
      <c r="C3498" s="9">
        <v>3405.21</v>
      </c>
      <c r="D3498" s="9">
        <v>3405.98</v>
      </c>
      <c r="E3498" s="9">
        <f t="shared" si="162"/>
        <v>-8.9993665713246108E-3</v>
      </c>
      <c r="F3498" s="9">
        <f t="shared" si="163"/>
        <v>4.6644414929656068E-3</v>
      </c>
      <c r="G3498" s="9">
        <f t="shared" si="164"/>
        <v>1.3584200839503581E-2</v>
      </c>
    </row>
    <row r="3499" spans="1:7" x14ac:dyDescent="0.2">
      <c r="A3499" s="12">
        <v>42226</v>
      </c>
      <c r="B3499" s="9">
        <v>3431.07</v>
      </c>
      <c r="C3499" s="9">
        <v>3394.72</v>
      </c>
      <c r="D3499" s="9">
        <v>3431.07</v>
      </c>
      <c r="E3499" s="9">
        <f t="shared" si="162"/>
        <v>7.3394556506365376E-3</v>
      </c>
      <c r="F3499" s="9">
        <f t="shared" si="163"/>
        <v>3.8507371009177359E-2</v>
      </c>
      <c r="G3499" s="9">
        <f t="shared" si="164"/>
        <v>1.2668337292639472E-2</v>
      </c>
    </row>
    <row r="3500" spans="1:7" x14ac:dyDescent="0.2">
      <c r="A3500" s="12">
        <v>42227</v>
      </c>
      <c r="B3500" s="9">
        <v>3431.59</v>
      </c>
      <c r="C3500" s="9">
        <v>3367.22</v>
      </c>
      <c r="D3500" s="9">
        <v>3378.37</v>
      </c>
      <c r="E3500" s="9">
        <f t="shared" si="162"/>
        <v>-1.5478821228286564E-2</v>
      </c>
      <c r="F3500" s="9">
        <f t="shared" si="163"/>
        <v>3.7360835980804447E-2</v>
      </c>
      <c r="G3500" s="9">
        <f t="shared" si="164"/>
        <v>1.2718701029566161E-2</v>
      </c>
    </row>
    <row r="3501" spans="1:7" x14ac:dyDescent="0.2">
      <c r="A3501" s="12">
        <v>42228</v>
      </c>
      <c r="B3501" s="9">
        <v>3352.69</v>
      </c>
      <c r="C3501" s="9">
        <v>3273.55</v>
      </c>
      <c r="D3501" s="9">
        <v>3281.3</v>
      </c>
      <c r="E3501" s="9">
        <f t="shared" si="162"/>
        <v>-2.9153659318065028E-2</v>
      </c>
      <c r="F3501" s="9">
        <f t="shared" si="163"/>
        <v>-2.2921930911497653E-3</v>
      </c>
      <c r="G3501" s="9">
        <f t="shared" si="164"/>
        <v>1.3743019549889404E-2</v>
      </c>
    </row>
    <row r="3502" spans="1:7" x14ac:dyDescent="0.2">
      <c r="A3502" s="12">
        <v>42229</v>
      </c>
      <c r="B3502" s="9">
        <v>3356.67</v>
      </c>
      <c r="C3502" s="9">
        <v>3322.84</v>
      </c>
      <c r="D3502" s="9">
        <v>3341.26</v>
      </c>
      <c r="E3502" s="9">
        <f t="shared" si="162"/>
        <v>1.8108296021458452E-2</v>
      </c>
      <c r="F3502" s="9">
        <f t="shared" si="163"/>
        <v>2.5010432434246891E-2</v>
      </c>
      <c r="G3502" s="9">
        <f t="shared" si="164"/>
        <v>1.4019624309785561E-2</v>
      </c>
    </row>
    <row r="3503" spans="1:7" x14ac:dyDescent="0.2">
      <c r="A3503" s="12">
        <v>42230</v>
      </c>
      <c r="B3503" s="9">
        <v>3360.91</v>
      </c>
      <c r="C3503" s="9">
        <v>3333.54</v>
      </c>
      <c r="D3503" s="9">
        <v>3342.03</v>
      </c>
      <c r="E3503" s="9">
        <f t="shared" si="162"/>
        <v>2.3042543519941855E-4</v>
      </c>
      <c r="F3503" s="9">
        <f t="shared" si="163"/>
        <v>3.0662543068205962E-2</v>
      </c>
      <c r="G3503" s="9">
        <f t="shared" si="164"/>
        <v>1.3970554674434725E-2</v>
      </c>
    </row>
    <row r="3504" spans="1:7" x14ac:dyDescent="0.2">
      <c r="A3504" s="12">
        <v>42233</v>
      </c>
      <c r="B3504" s="9">
        <v>3366.74</v>
      </c>
      <c r="C3504" s="9">
        <v>3307.19</v>
      </c>
      <c r="D3504" s="9">
        <v>3338.93</v>
      </c>
      <c r="E3504" s="9">
        <f t="shared" si="162"/>
        <v>-9.2801041241918295E-4</v>
      </c>
      <c r="F3504" s="9">
        <f t="shared" si="163"/>
        <v>4.5613805726066124E-2</v>
      </c>
      <c r="G3504" s="9">
        <f t="shared" si="164"/>
        <v>1.3608834823063394E-2</v>
      </c>
    </row>
    <row r="3505" spans="1:7" x14ac:dyDescent="0.2">
      <c r="A3505" s="12">
        <v>42234</v>
      </c>
      <c r="B3505" s="9">
        <v>3346.21</v>
      </c>
      <c r="C3505" s="9">
        <v>3319.89</v>
      </c>
      <c r="D3505" s="9">
        <v>3335.96</v>
      </c>
      <c r="E3505" s="9">
        <f t="shared" si="162"/>
        <v>-8.8990236423413095E-4</v>
      </c>
      <c r="F3505" s="9">
        <f t="shared" si="163"/>
        <v>6.7228819641387133E-2</v>
      </c>
      <c r="G3505" s="9">
        <f t="shared" si="164"/>
        <v>1.2843660287111085E-2</v>
      </c>
    </row>
    <row r="3506" spans="1:7" x14ac:dyDescent="0.2">
      <c r="A3506" s="12">
        <v>42235</v>
      </c>
      <c r="B3506" s="9">
        <v>3323.96</v>
      </c>
      <c r="C3506" s="9">
        <v>3268.94</v>
      </c>
      <c r="D3506" s="9">
        <v>3271.54</v>
      </c>
      <c r="E3506" s="9">
        <f t="shared" si="162"/>
        <v>-1.9499671956756406E-2</v>
      </c>
      <c r="F3506" s="9">
        <f t="shared" si="163"/>
        <v>4.0633645312627524E-2</v>
      </c>
      <c r="G3506" s="9">
        <f t="shared" si="164"/>
        <v>1.3402702290604633E-2</v>
      </c>
    </row>
    <row r="3507" spans="1:7" x14ac:dyDescent="0.2">
      <c r="A3507" s="12">
        <v>42236</v>
      </c>
      <c r="B3507" s="9">
        <v>3257.38</v>
      </c>
      <c r="C3507" s="9">
        <v>3178.09</v>
      </c>
      <c r="D3507" s="9">
        <v>3185.27</v>
      </c>
      <c r="E3507" s="9">
        <f t="shared" si="162"/>
        <v>-2.6723764258545536E-2</v>
      </c>
      <c r="F3507" s="9">
        <f t="shared" si="163"/>
        <v>-1.2550919188520381E-2</v>
      </c>
      <c r="G3507" s="9">
        <f t="shared" si="164"/>
        <v>1.3484488718512955E-2</v>
      </c>
    </row>
    <row r="3508" spans="1:7" x14ac:dyDescent="0.2">
      <c r="A3508" s="12">
        <v>42237</v>
      </c>
      <c r="B3508" s="9">
        <v>3177.07</v>
      </c>
      <c r="C3508" s="9">
        <v>3105.17</v>
      </c>
      <c r="D3508" s="9">
        <v>3105.17</v>
      </c>
      <c r="E3508" s="9">
        <f t="shared" si="162"/>
        <v>-2.5468593512368964E-2</v>
      </c>
      <c r="F3508" s="9">
        <f t="shared" si="163"/>
        <v>-6.0190147515443305E-2</v>
      </c>
      <c r="G3508" s="9">
        <f t="shared" si="164"/>
        <v>1.3537575941215201E-2</v>
      </c>
    </row>
    <row r="3509" spans="1:7" x14ac:dyDescent="0.2">
      <c r="A3509" s="12">
        <v>42240</v>
      </c>
      <c r="B3509" s="9">
        <v>3038.4</v>
      </c>
      <c r="C3509" s="9">
        <v>2887.54</v>
      </c>
      <c r="D3509" s="9">
        <v>2942.86</v>
      </c>
      <c r="E3509" s="9">
        <f t="shared" si="162"/>
        <v>-5.3686566675732822E-2</v>
      </c>
      <c r="F3509" s="9">
        <f t="shared" si="163"/>
        <v>-0.13113246399579914</v>
      </c>
      <c r="G3509" s="9">
        <f t="shared" si="164"/>
        <v>1.6024518362206124E-2</v>
      </c>
    </row>
    <row r="3510" spans="1:7" x14ac:dyDescent="0.2">
      <c r="A3510" s="12">
        <v>42241</v>
      </c>
      <c r="B3510" s="9">
        <v>3079.69</v>
      </c>
      <c r="C3510" s="9">
        <v>2978.14</v>
      </c>
      <c r="D3510" s="9">
        <v>3069.98</v>
      </c>
      <c r="E3510" s="9">
        <f t="shared" si="162"/>
        <v>4.2289149306367527E-2</v>
      </c>
      <c r="F3510" s="9">
        <f t="shared" si="163"/>
        <v>-9.62460818355763E-2</v>
      </c>
      <c r="G3510" s="9">
        <f t="shared" si="164"/>
        <v>1.8046640234909709E-2</v>
      </c>
    </row>
    <row r="3511" spans="1:7" x14ac:dyDescent="0.2">
      <c r="A3511" s="12">
        <v>42242</v>
      </c>
      <c r="B3511" s="9">
        <v>3103.46</v>
      </c>
      <c r="C3511" s="9">
        <v>2983.93</v>
      </c>
      <c r="D3511" s="9">
        <v>3041.19</v>
      </c>
      <c r="E3511" s="9">
        <f t="shared" si="162"/>
        <v>-9.4221607288864431E-3</v>
      </c>
      <c r="F3511" s="9">
        <f t="shared" si="163"/>
        <v>-0.10435678637910166</v>
      </c>
      <c r="G3511" s="9">
        <f t="shared" si="164"/>
        <v>1.8077971288759029E-2</v>
      </c>
    </row>
    <row r="3512" spans="1:7" x14ac:dyDescent="0.2">
      <c r="A3512" s="12">
        <v>42243</v>
      </c>
      <c r="B3512" s="9">
        <v>3135.19</v>
      </c>
      <c r="C3512" s="9">
        <v>3105.43</v>
      </c>
      <c r="D3512" s="9">
        <v>3129.06</v>
      </c>
      <c r="E3512" s="9">
        <f t="shared" si="162"/>
        <v>2.8483753767297088E-2</v>
      </c>
      <c r="F3512" s="9">
        <f t="shared" si="163"/>
        <v>-8.9510068964052711E-2</v>
      </c>
      <c r="G3512" s="9">
        <f t="shared" si="164"/>
        <v>1.8753277120861458E-2</v>
      </c>
    </row>
    <row r="3513" spans="1:7" x14ac:dyDescent="0.2">
      <c r="A3513" s="12">
        <v>42244</v>
      </c>
      <c r="B3513" s="9">
        <v>3141.94</v>
      </c>
      <c r="C3513" s="9">
        <v>3097.49</v>
      </c>
      <c r="D3513" s="9">
        <v>3132.94</v>
      </c>
      <c r="E3513" s="9">
        <f t="shared" si="162"/>
        <v>1.2392208548492134E-3</v>
      </c>
      <c r="F3513" s="9">
        <f t="shared" si="163"/>
        <v>-9.3511238411515485E-2</v>
      </c>
      <c r="G3513" s="9">
        <f t="shared" si="164"/>
        <v>1.8706941992623426E-2</v>
      </c>
    </row>
    <row r="3514" spans="1:7" x14ac:dyDescent="0.2">
      <c r="A3514" s="12">
        <v>42247</v>
      </c>
      <c r="B3514" s="9">
        <v>3125.96</v>
      </c>
      <c r="C3514" s="9">
        <v>3077.45</v>
      </c>
      <c r="D3514" s="9">
        <v>3102.35</v>
      </c>
      <c r="E3514" s="9">
        <f t="shared" si="162"/>
        <v>-9.8119719917127007E-3</v>
      </c>
      <c r="F3514" s="9">
        <f t="shared" si="163"/>
        <v>-0.11752692458516466</v>
      </c>
      <c r="G3514" s="9">
        <f t="shared" si="164"/>
        <v>1.8452295534338265E-2</v>
      </c>
    </row>
    <row r="3515" spans="1:7" x14ac:dyDescent="0.2">
      <c r="A3515" s="12">
        <v>42248</v>
      </c>
      <c r="B3515" s="9">
        <v>3083.14</v>
      </c>
      <c r="C3515" s="9">
        <v>3012</v>
      </c>
      <c r="D3515" s="9">
        <v>3028.91</v>
      </c>
      <c r="E3515" s="9">
        <f t="shared" si="162"/>
        <v>-2.3957069994279007E-2</v>
      </c>
      <c r="F3515" s="9">
        <f t="shared" si="163"/>
        <v>-0.11551084618154231</v>
      </c>
      <c r="G3515" s="9">
        <f t="shared" si="164"/>
        <v>1.8372699589853096E-2</v>
      </c>
    </row>
    <row r="3516" spans="1:7" x14ac:dyDescent="0.2">
      <c r="A3516" s="12">
        <v>42249</v>
      </c>
      <c r="B3516" s="9">
        <v>3062.01</v>
      </c>
      <c r="C3516" s="9">
        <v>3017.25</v>
      </c>
      <c r="D3516" s="9">
        <v>3045.53</v>
      </c>
      <c r="E3516" s="9">
        <f t="shared" si="162"/>
        <v>5.4721230179573359E-3</v>
      </c>
      <c r="F3516" s="9">
        <f t="shared" si="163"/>
        <v>-9.9066307062655484E-2</v>
      </c>
      <c r="G3516" s="9">
        <f t="shared" si="164"/>
        <v>1.8398179799337559E-2</v>
      </c>
    </row>
    <row r="3517" spans="1:7" x14ac:dyDescent="0.2">
      <c r="A3517" s="12">
        <v>42250</v>
      </c>
      <c r="B3517" s="9">
        <v>3131.74</v>
      </c>
      <c r="C3517" s="9">
        <v>3071.54</v>
      </c>
      <c r="D3517" s="9">
        <v>3118.94</v>
      </c>
      <c r="E3517" s="9">
        <f t="shared" si="162"/>
        <v>2.3818258660588641E-2</v>
      </c>
      <c r="F3517" s="9">
        <f t="shared" si="163"/>
        <v>-7.4864353354610155E-2</v>
      </c>
      <c r="G3517" s="9">
        <f t="shared" si="164"/>
        <v>1.9049640411782271E-2</v>
      </c>
    </row>
    <row r="3518" spans="1:7" x14ac:dyDescent="0.2">
      <c r="A3518" s="12">
        <v>42251</v>
      </c>
      <c r="B3518" s="9">
        <v>3093.04</v>
      </c>
      <c r="C3518" s="9">
        <v>3038.6</v>
      </c>
      <c r="D3518" s="9">
        <v>3045.89</v>
      </c>
      <c r="E3518" s="9">
        <f t="shared" si="162"/>
        <v>-2.3700059619833451E-2</v>
      </c>
      <c r="F3518" s="9">
        <f t="shared" si="163"/>
        <v>-9.5892315129478906E-2</v>
      </c>
      <c r="G3518" s="9">
        <f t="shared" si="164"/>
        <v>1.9439241409353318E-2</v>
      </c>
    </row>
    <row r="3519" spans="1:7" x14ac:dyDescent="0.2">
      <c r="A3519" s="12">
        <v>42254</v>
      </c>
      <c r="B3519" s="9">
        <v>3078.28</v>
      </c>
      <c r="C3519" s="9">
        <v>3044.21</v>
      </c>
      <c r="D3519" s="9">
        <v>3052.86</v>
      </c>
      <c r="E3519" s="9">
        <f t="shared" si="162"/>
        <v>2.2857152808560825E-3</v>
      </c>
      <c r="F3519" s="9">
        <f t="shared" si="163"/>
        <v>-7.8976303901626424E-2</v>
      </c>
      <c r="G3519" s="9">
        <f t="shared" si="164"/>
        <v>1.934123759205305E-2</v>
      </c>
    </row>
    <row r="3520" spans="1:7" x14ac:dyDescent="0.2">
      <c r="A3520" s="12">
        <v>42255</v>
      </c>
      <c r="B3520" s="9">
        <v>3116.2</v>
      </c>
      <c r="C3520" s="9">
        <v>3061.09</v>
      </c>
      <c r="D3520" s="9">
        <v>3106</v>
      </c>
      <c r="E3520" s="9">
        <f t="shared" si="162"/>
        <v>1.72568685597538E-2</v>
      </c>
      <c r="F3520" s="9">
        <f t="shared" si="163"/>
        <v>-6.8975700272774484E-2</v>
      </c>
      <c r="G3520" s="9">
        <f t="shared" si="164"/>
        <v>1.9601976606505554E-2</v>
      </c>
    </row>
    <row r="3521" spans="1:7" x14ac:dyDescent="0.2">
      <c r="A3521" s="12">
        <v>42256</v>
      </c>
      <c r="B3521" s="9">
        <v>3196.36</v>
      </c>
      <c r="C3521" s="9">
        <v>3159.19</v>
      </c>
      <c r="D3521" s="9">
        <v>3164.72</v>
      </c>
      <c r="E3521" s="9">
        <f t="shared" si="162"/>
        <v>1.8728859341619906E-2</v>
      </c>
      <c r="F3521" s="9">
        <f t="shared" si="163"/>
        <v>-5.959063479718063E-2</v>
      </c>
      <c r="G3521" s="9">
        <f t="shared" si="164"/>
        <v>1.986729327811302E-2</v>
      </c>
    </row>
    <row r="3522" spans="1:7" x14ac:dyDescent="0.2">
      <c r="A3522" s="12">
        <v>42257</v>
      </c>
      <c r="B3522" s="9">
        <v>3166.01</v>
      </c>
      <c r="C3522" s="9">
        <v>3131.01</v>
      </c>
      <c r="D3522" s="9">
        <v>3132.33</v>
      </c>
      <c r="E3522" s="9">
        <f t="shared" si="162"/>
        <v>-1.0287447505279015E-2</v>
      </c>
      <c r="F3522" s="9">
        <f t="shared" si="163"/>
        <v>-8.1807100312140404E-2</v>
      </c>
      <c r="G3522" s="9">
        <f t="shared" si="164"/>
        <v>1.9744391695258812E-2</v>
      </c>
    </row>
    <row r="3523" spans="1:7" x14ac:dyDescent="0.2">
      <c r="A3523" s="12">
        <v>42258</v>
      </c>
      <c r="B3523" s="9">
        <v>3135.33</v>
      </c>
      <c r="C3523" s="9">
        <v>3102.87</v>
      </c>
      <c r="D3523" s="9">
        <v>3106.17</v>
      </c>
      <c r="E3523" s="9">
        <f t="shared" si="162"/>
        <v>-8.3866805588508793E-3</v>
      </c>
      <c r="F3523" s="9">
        <f t="shared" si="163"/>
        <v>-8.9443355962869273E-2</v>
      </c>
      <c r="G3523" s="9">
        <f t="shared" si="164"/>
        <v>1.9767242114424308E-2</v>
      </c>
    </row>
    <row r="3524" spans="1:7" x14ac:dyDescent="0.2">
      <c r="A3524" s="12">
        <v>42261</v>
      </c>
      <c r="B3524" s="9">
        <v>3128.67</v>
      </c>
      <c r="C3524" s="9">
        <v>3071.35</v>
      </c>
      <c r="D3524" s="9">
        <v>3071.94</v>
      </c>
      <c r="E3524" s="9">
        <f t="shared" ref="E3524:E3587" si="165">LN(D3524/D3523)</f>
        <v>-1.1081172159296949E-2</v>
      </c>
      <c r="F3524" s="9">
        <f t="shared" si="163"/>
        <v>-0.10792173614359359</v>
      </c>
      <c r="G3524" s="9">
        <f t="shared" si="164"/>
        <v>1.972052966099732E-2</v>
      </c>
    </row>
    <row r="3525" spans="1:7" x14ac:dyDescent="0.2">
      <c r="A3525" s="12">
        <v>42262</v>
      </c>
      <c r="B3525" s="9">
        <v>3085.94</v>
      </c>
      <c r="C3525" s="9">
        <v>3046.02</v>
      </c>
      <c r="D3525" s="9">
        <v>3077.12</v>
      </c>
      <c r="E3525" s="9">
        <f t="shared" si="165"/>
        <v>1.6848107597985311E-3</v>
      </c>
      <c r="F3525" s="9">
        <f t="shared" si="163"/>
        <v>-0.10848744627383397</v>
      </c>
      <c r="G3525" s="9">
        <f t="shared" si="164"/>
        <v>1.9715014694149557E-2</v>
      </c>
    </row>
    <row r="3526" spans="1:7" x14ac:dyDescent="0.2">
      <c r="A3526" s="12">
        <v>42263</v>
      </c>
      <c r="B3526" s="9">
        <v>3118.04</v>
      </c>
      <c r="C3526" s="9">
        <v>3092.82</v>
      </c>
      <c r="D3526" s="9">
        <v>3107.7</v>
      </c>
      <c r="E3526" s="9">
        <f t="shared" si="165"/>
        <v>9.8888081455419229E-3</v>
      </c>
      <c r="F3526" s="9">
        <f t="shared" si="163"/>
        <v>-0.10161473108373596</v>
      </c>
      <c r="G3526" s="9">
        <f t="shared" si="164"/>
        <v>1.9834310616517251E-2</v>
      </c>
    </row>
    <row r="3527" spans="1:7" x14ac:dyDescent="0.2">
      <c r="A3527" s="12">
        <v>42264</v>
      </c>
      <c r="B3527" s="9">
        <v>3115.07</v>
      </c>
      <c r="C3527" s="9">
        <v>3086.59</v>
      </c>
      <c r="D3527" s="9">
        <v>3100.55</v>
      </c>
      <c r="E3527" s="9">
        <f t="shared" si="165"/>
        <v>-2.3033876410420051E-3</v>
      </c>
      <c r="F3527" s="9">
        <f t="shared" si="163"/>
        <v>-0.10295256169498915</v>
      </c>
      <c r="G3527" s="9">
        <f t="shared" si="164"/>
        <v>1.9830181802580074E-2</v>
      </c>
    </row>
    <row r="3528" spans="1:7" x14ac:dyDescent="0.2">
      <c r="A3528" s="12">
        <v>42265</v>
      </c>
      <c r="B3528" s="9">
        <v>3095.11</v>
      </c>
      <c r="C3528" s="9">
        <v>3027.07</v>
      </c>
      <c r="D3528" s="9">
        <v>3045.23</v>
      </c>
      <c r="E3528" s="9">
        <f t="shared" si="165"/>
        <v>-1.8003083137909361E-2</v>
      </c>
      <c r="F3528" s="9">
        <f t="shared" si="163"/>
        <v>-0.11195627826157403</v>
      </c>
      <c r="G3528" s="9">
        <f t="shared" si="164"/>
        <v>1.9984882499525992E-2</v>
      </c>
    </row>
    <row r="3529" spans="1:7" x14ac:dyDescent="0.2">
      <c r="A3529" s="12">
        <v>42268</v>
      </c>
      <c r="B3529" s="9">
        <v>3086.25</v>
      </c>
      <c r="C3529" s="9">
        <v>3038.1</v>
      </c>
      <c r="D3529" s="9">
        <v>3078.03</v>
      </c>
      <c r="E3529" s="9">
        <f t="shared" si="165"/>
        <v>1.0713349986806366E-2</v>
      </c>
      <c r="F3529" s="9">
        <f t="shared" si="163"/>
        <v>-0.1085823839254042</v>
      </c>
      <c r="G3529" s="9">
        <f t="shared" si="164"/>
        <v>2.0058690658621713E-2</v>
      </c>
    </row>
    <row r="3530" spans="1:7" x14ac:dyDescent="0.2">
      <c r="A3530" s="12">
        <v>42269</v>
      </c>
      <c r="B3530" s="9">
        <v>0</v>
      </c>
      <c r="C3530" s="9">
        <v>0</v>
      </c>
      <c r="D3530" s="9">
        <v>2975.02</v>
      </c>
      <c r="E3530" s="9">
        <f t="shared" si="165"/>
        <v>-3.4039020293812255E-2</v>
      </c>
      <c r="F3530" s="9">
        <f t="shared" si="163"/>
        <v>-0.12714258299092987</v>
      </c>
      <c r="G3530" s="9">
        <f t="shared" si="164"/>
        <v>2.0712652562829371E-2</v>
      </c>
    </row>
    <row r="3531" spans="1:7" x14ac:dyDescent="0.2">
      <c r="A3531" s="12">
        <v>42270</v>
      </c>
      <c r="B3531" s="9">
        <v>3012.09</v>
      </c>
      <c r="C3531" s="9">
        <v>2962.29</v>
      </c>
      <c r="D3531" s="9">
        <v>2981.9</v>
      </c>
      <c r="E3531" s="9">
        <f t="shared" si="165"/>
        <v>2.3099195756031421E-3</v>
      </c>
      <c r="F3531" s="9">
        <f t="shared" si="163"/>
        <v>-9.5679004097261794E-2</v>
      </c>
      <c r="G3531" s="9">
        <f t="shared" si="164"/>
        <v>2.0197727201514068E-2</v>
      </c>
    </row>
    <row r="3532" spans="1:7" x14ac:dyDescent="0.2">
      <c r="A3532" s="12">
        <v>42271</v>
      </c>
      <c r="B3532" s="9">
        <v>2986.7</v>
      </c>
      <c r="C3532" s="9">
        <v>2891.86</v>
      </c>
      <c r="D3532" s="9">
        <v>2899.11</v>
      </c>
      <c r="E3532" s="9">
        <f t="shared" si="165"/>
        <v>-2.8156887901354438E-2</v>
      </c>
      <c r="F3532" s="9">
        <f t="shared" si="163"/>
        <v>-0.14194418802007458</v>
      </c>
      <c r="G3532" s="9">
        <f t="shared" si="164"/>
        <v>2.0281587766574086E-2</v>
      </c>
    </row>
    <row r="3533" spans="1:7" x14ac:dyDescent="0.2">
      <c r="A3533" s="12">
        <v>42272</v>
      </c>
      <c r="B3533" s="9">
        <v>2983.76</v>
      </c>
      <c r="C3533" s="9">
        <v>2946.08</v>
      </c>
      <c r="D3533" s="9">
        <v>2972.03</v>
      </c>
      <c r="E3533" s="9">
        <f t="shared" si="165"/>
        <v>2.4841427678897701E-2</v>
      </c>
      <c r="F3533" s="9">
        <f t="shared" si="163"/>
        <v>-0.11733318577637626</v>
      </c>
      <c r="G3533" s="9">
        <f t="shared" si="164"/>
        <v>2.0975097907941085E-2</v>
      </c>
    </row>
    <row r="3534" spans="1:7" x14ac:dyDescent="0.2">
      <c r="A3534" s="12">
        <v>42275</v>
      </c>
      <c r="B3534" s="9">
        <v>2973.42</v>
      </c>
      <c r="C3534" s="9">
        <v>2898.36</v>
      </c>
      <c r="D3534" s="9">
        <v>2900.07</v>
      </c>
      <c r="E3534" s="9">
        <f t="shared" si="165"/>
        <v>-2.451034638507028E-2</v>
      </c>
      <c r="F3534" s="9">
        <f t="shared" si="163"/>
        <v>-0.14091552174902747</v>
      </c>
      <c r="G3534" s="9">
        <f t="shared" si="164"/>
        <v>2.1298842059288288E-2</v>
      </c>
    </row>
    <row r="3535" spans="1:7" x14ac:dyDescent="0.2">
      <c r="A3535" s="12">
        <v>42276</v>
      </c>
      <c r="B3535" s="9">
        <v>2929.55</v>
      </c>
      <c r="C3535" s="9">
        <v>2861.48</v>
      </c>
      <c r="D3535" s="9">
        <v>2916.38</v>
      </c>
      <c r="E3535" s="9">
        <f t="shared" si="165"/>
        <v>5.6082465246226707E-3</v>
      </c>
      <c r="F3535" s="9">
        <f t="shared" si="163"/>
        <v>-0.13441737286017055</v>
      </c>
      <c r="G3535" s="9">
        <f t="shared" si="164"/>
        <v>2.1371813933334313E-2</v>
      </c>
    </row>
    <row r="3536" spans="1:7" x14ac:dyDescent="0.2">
      <c r="A3536" s="12">
        <v>42277</v>
      </c>
      <c r="B3536" s="9">
        <v>2976.69</v>
      </c>
      <c r="C3536" s="9">
        <v>2947.49</v>
      </c>
      <c r="D3536" s="9">
        <v>2966.85</v>
      </c>
      <c r="E3536" s="9">
        <f t="shared" si="165"/>
        <v>1.7157662756620687E-2</v>
      </c>
      <c r="F3536" s="9">
        <f t="shared" si="163"/>
        <v>-9.7760038146793529E-2</v>
      </c>
      <c r="G3536" s="9">
        <f t="shared" si="164"/>
        <v>2.153083342158928E-2</v>
      </c>
    </row>
    <row r="3537" spans="1:7" x14ac:dyDescent="0.2">
      <c r="A3537" s="12">
        <v>42278</v>
      </c>
      <c r="B3537" s="9">
        <v>3007.01</v>
      </c>
      <c r="C3537" s="9">
        <v>2952.12</v>
      </c>
      <c r="D3537" s="9">
        <v>2964.34</v>
      </c>
      <c r="E3537" s="9">
        <f t="shared" si="165"/>
        <v>-8.4637320667044235E-4</v>
      </c>
      <c r="F3537" s="9">
        <f t="shared" si="163"/>
        <v>-7.1882647094918456E-2</v>
      </c>
      <c r="G3537" s="9">
        <f t="shared" si="164"/>
        <v>2.1071809862298979E-2</v>
      </c>
    </row>
    <row r="3538" spans="1:7" x14ac:dyDescent="0.2">
      <c r="A3538" s="12">
        <v>42279</v>
      </c>
      <c r="B3538" s="9">
        <v>3014.24</v>
      </c>
      <c r="C3538" s="9">
        <v>2955.58</v>
      </c>
      <c r="D3538" s="9">
        <v>2990.66</v>
      </c>
      <c r="E3538" s="9">
        <f t="shared" si="165"/>
        <v>8.8396881232685534E-3</v>
      </c>
      <c r="F3538" s="9">
        <f t="shared" si="163"/>
        <v>-3.757436545928098E-2</v>
      </c>
      <c r="G3538" s="9">
        <f t="shared" si="164"/>
        <v>2.0704223168279232E-2</v>
      </c>
    </row>
    <row r="3539" spans="1:7" x14ac:dyDescent="0.2">
      <c r="A3539" s="12">
        <v>42282</v>
      </c>
      <c r="B3539" s="9">
        <v>3092.22</v>
      </c>
      <c r="C3539" s="9">
        <v>3035.04</v>
      </c>
      <c r="D3539" s="9">
        <v>3092.22</v>
      </c>
      <c r="E3539" s="9">
        <f t="shared" si="165"/>
        <v>3.3395180722392753E-2</v>
      </c>
      <c r="F3539" s="9">
        <f t="shared" si="163"/>
        <v>4.9507381938844491E-2</v>
      </c>
      <c r="G3539" s="9">
        <f t="shared" si="164"/>
        <v>1.9145210297638299E-2</v>
      </c>
    </row>
    <row r="3540" spans="1:7" x14ac:dyDescent="0.2">
      <c r="A3540" s="12">
        <v>42283</v>
      </c>
      <c r="B3540" s="9">
        <v>3147.97</v>
      </c>
      <c r="C3540" s="9">
        <v>3080.06</v>
      </c>
      <c r="D3540" s="9">
        <v>3136.46</v>
      </c>
      <c r="E3540" s="9">
        <f t="shared" si="165"/>
        <v>1.4205495852250935E-2</v>
      </c>
      <c r="F3540" s="9">
        <f t="shared" si="163"/>
        <v>2.1423728484727768E-2</v>
      </c>
      <c r="G3540" s="9">
        <f t="shared" si="164"/>
        <v>1.7723408798486884E-2</v>
      </c>
    </row>
    <row r="3541" spans="1:7" x14ac:dyDescent="0.2">
      <c r="A3541" s="12">
        <v>42284</v>
      </c>
      <c r="B3541" s="9">
        <v>3182.13</v>
      </c>
      <c r="C3541" s="9">
        <v>3131.05</v>
      </c>
      <c r="D3541" s="9">
        <v>3138.47</v>
      </c>
      <c r="E3541" s="9">
        <f t="shared" si="165"/>
        <v>6.4064461874359076E-4</v>
      </c>
      <c r="F3541" s="9">
        <f t="shared" si="163"/>
        <v>3.1486533832357749E-2</v>
      </c>
      <c r="G3541" s="9">
        <f t="shared" si="164"/>
        <v>1.7619878227771887E-2</v>
      </c>
    </row>
    <row r="3542" spans="1:7" x14ac:dyDescent="0.2">
      <c r="A3542" s="12">
        <v>42285</v>
      </c>
      <c r="B3542" s="9">
        <v>3149.97</v>
      </c>
      <c r="C3542" s="9">
        <v>3123.11</v>
      </c>
      <c r="D3542" s="9">
        <v>3138.35</v>
      </c>
      <c r="E3542" s="9">
        <f t="shared" si="165"/>
        <v>-3.823592201607028E-5</v>
      </c>
      <c r="F3542" s="9">
        <f t="shared" si="163"/>
        <v>2.964544143044731E-3</v>
      </c>
      <c r="G3542" s="9">
        <f t="shared" si="164"/>
        <v>1.6840810615834288E-2</v>
      </c>
    </row>
    <row r="3543" spans="1:7" x14ac:dyDescent="0.2">
      <c r="A3543" s="12">
        <v>42286</v>
      </c>
      <c r="B3543" s="9">
        <v>3182.17</v>
      </c>
      <c r="C3543" s="9">
        <v>3151.86</v>
      </c>
      <c r="D3543" s="9">
        <v>3157.2</v>
      </c>
      <c r="E3543" s="9">
        <f t="shared" si="165"/>
        <v>5.9883747507502054E-3</v>
      </c>
      <c r="F3543" s="9">
        <f t="shared" si="163"/>
        <v>7.7136980389455791E-3</v>
      </c>
      <c r="G3543" s="9">
        <f t="shared" si="164"/>
        <v>1.6874188314646581E-2</v>
      </c>
    </row>
    <row r="3544" spans="1:7" x14ac:dyDescent="0.2">
      <c r="A3544" s="12">
        <v>42289</v>
      </c>
      <c r="B3544" s="9">
        <v>3221.5</v>
      </c>
      <c r="C3544" s="9">
        <v>3147.39</v>
      </c>
      <c r="D3544" s="9">
        <v>3159.13</v>
      </c>
      <c r="E3544" s="9">
        <f t="shared" si="165"/>
        <v>6.1111438448114717E-4</v>
      </c>
      <c r="F3544" s="9">
        <f t="shared" si="163"/>
        <v>1.813678441513952E-2</v>
      </c>
      <c r="G3544" s="9">
        <f t="shared" si="164"/>
        <v>1.6766680813729531E-2</v>
      </c>
    </row>
    <row r="3545" spans="1:7" x14ac:dyDescent="0.2">
      <c r="A3545" s="12">
        <v>42290</v>
      </c>
      <c r="B3545" s="9">
        <v>3159.06</v>
      </c>
      <c r="C3545" s="9">
        <v>3122.66</v>
      </c>
      <c r="D3545" s="9">
        <v>3132.09</v>
      </c>
      <c r="E3545" s="9">
        <f t="shared" si="165"/>
        <v>-8.596159888711279E-3</v>
      </c>
      <c r="F3545" s="9">
        <f t="shared" si="163"/>
        <v>3.3497694520707319E-2</v>
      </c>
      <c r="G3545" s="9">
        <f t="shared" si="164"/>
        <v>1.6216254427700839E-2</v>
      </c>
    </row>
    <row r="3546" spans="1:7" x14ac:dyDescent="0.2">
      <c r="A3546" s="12">
        <v>42291</v>
      </c>
      <c r="B3546" s="9">
        <v>3143.9</v>
      </c>
      <c r="C3546" s="9">
        <v>3108.52</v>
      </c>
      <c r="D3546" s="9">
        <v>3118.76</v>
      </c>
      <c r="E3546" s="9">
        <f t="shared" si="165"/>
        <v>-4.2650264225032753E-3</v>
      </c>
      <c r="F3546" s="9">
        <f t="shared" si="163"/>
        <v>2.3760545080246553E-2</v>
      </c>
      <c r="G3546" s="9">
        <f t="shared" si="164"/>
        <v>1.6223515333491114E-2</v>
      </c>
    </row>
    <row r="3547" spans="1:7" x14ac:dyDescent="0.2">
      <c r="A3547" s="12">
        <v>42292</v>
      </c>
      <c r="B3547" s="9">
        <v>3152.9</v>
      </c>
      <c r="C3547" s="9">
        <v>3135.1</v>
      </c>
      <c r="D3547" s="9">
        <v>3152.9</v>
      </c>
      <c r="E3547" s="9">
        <f t="shared" si="165"/>
        <v>1.0887177308392093E-2</v>
      </c>
      <c r="F3547" s="9">
        <f t="shared" si="163"/>
        <v>1.082946372805005E-2</v>
      </c>
      <c r="G3547" s="9">
        <f t="shared" si="164"/>
        <v>1.5755679619855155E-2</v>
      </c>
    </row>
    <row r="3548" spans="1:7" x14ac:dyDescent="0.2">
      <c r="A3548" s="12">
        <v>42293</v>
      </c>
      <c r="B3548" s="9">
        <v>3173.06</v>
      </c>
      <c r="C3548" s="9">
        <v>3126.26</v>
      </c>
      <c r="D3548" s="9">
        <v>3138.63</v>
      </c>
      <c r="E3548" s="9">
        <f t="shared" si="165"/>
        <v>-4.5362652551317537E-3</v>
      </c>
      <c r="F3548" s="9">
        <f t="shared" si="163"/>
        <v>2.9993258092751874E-2</v>
      </c>
      <c r="G3548" s="9">
        <f t="shared" si="164"/>
        <v>1.5122271050277691E-2</v>
      </c>
    </row>
    <row r="3549" spans="1:7" x14ac:dyDescent="0.2">
      <c r="A3549" s="12">
        <v>42296</v>
      </c>
      <c r="B3549" s="9">
        <v>3187.63</v>
      </c>
      <c r="C3549" s="9">
        <v>3135.01</v>
      </c>
      <c r="D3549" s="9">
        <v>3174.36</v>
      </c>
      <c r="E3549" s="9">
        <f t="shared" si="165"/>
        <v>1.1319638243936959E-2</v>
      </c>
      <c r="F3549" s="9">
        <f t="shared" si="163"/>
        <v>3.902718105583252E-2</v>
      </c>
      <c r="G3549" s="9">
        <f t="shared" si="164"/>
        <v>1.5238262761628808E-2</v>
      </c>
    </row>
    <row r="3550" spans="1:7" x14ac:dyDescent="0.2">
      <c r="A3550" s="12">
        <v>42297</v>
      </c>
      <c r="B3550" s="9">
        <v>3198.93</v>
      </c>
      <c r="C3550" s="9">
        <v>3164.15</v>
      </c>
      <c r="D3550" s="9">
        <v>3180.12</v>
      </c>
      <c r="E3550" s="9">
        <f t="shared" si="165"/>
        <v>1.8128947065885275E-3</v>
      </c>
      <c r="F3550" s="9">
        <f t="shared" si="163"/>
        <v>2.3583207202667367E-2</v>
      </c>
      <c r="G3550" s="9">
        <f t="shared" si="164"/>
        <v>1.4938556635046316E-2</v>
      </c>
    </row>
    <row r="3551" spans="1:7" x14ac:dyDescent="0.2">
      <c r="A3551" s="12">
        <v>42298</v>
      </c>
      <c r="B3551" s="9">
        <v>3186.45</v>
      </c>
      <c r="C3551" s="9">
        <v>3138.2</v>
      </c>
      <c r="D3551" s="9">
        <v>3176.44</v>
      </c>
      <c r="E3551" s="9">
        <f t="shared" si="165"/>
        <v>-1.1578590970993071E-3</v>
      </c>
      <c r="F3551" s="9">
        <f t="shared" si="163"/>
        <v>3.6964887639482527E-3</v>
      </c>
      <c r="G3551" s="9">
        <f t="shared" si="164"/>
        <v>1.4551108117173757E-2</v>
      </c>
    </row>
    <row r="3552" spans="1:7" x14ac:dyDescent="0.2">
      <c r="A3552" s="12">
        <v>42299</v>
      </c>
      <c r="B3552" s="9">
        <v>3240.74</v>
      </c>
      <c r="C3552" s="9">
        <v>3135.23</v>
      </c>
      <c r="D3552" s="9">
        <v>3237.66</v>
      </c>
      <c r="E3552" s="9">
        <f t="shared" si="165"/>
        <v>1.9089773821843594E-2</v>
      </c>
      <c r="F3552" s="9">
        <f t="shared" si="163"/>
        <v>3.3073710091070678E-2</v>
      </c>
      <c r="G3552" s="9">
        <f t="shared" si="164"/>
        <v>1.4812493199091843E-2</v>
      </c>
    </row>
    <row r="3553" spans="1:7" x14ac:dyDescent="0.2">
      <c r="A3553" s="12">
        <v>42300</v>
      </c>
      <c r="B3553" s="9">
        <v>3278.46</v>
      </c>
      <c r="C3553" s="9">
        <v>3231.38</v>
      </c>
      <c r="D3553" s="9">
        <v>3267.32</v>
      </c>
      <c r="E3553" s="9">
        <f t="shared" si="165"/>
        <v>9.1192303571758625E-3</v>
      </c>
      <c r="F3553" s="9">
        <f t="shared" ref="F3553:F3616" si="166">LN(D3553/D3523)</f>
        <v>5.0579621007097599E-2</v>
      </c>
      <c r="G3553" s="9">
        <f t="shared" ref="G3553:G3616" si="167">STDEV(E3524:E3553)</f>
        <v>1.4770541956762201E-2</v>
      </c>
    </row>
    <row r="3554" spans="1:7" x14ac:dyDescent="0.2">
      <c r="A3554" s="12">
        <v>42303</v>
      </c>
      <c r="B3554" s="9">
        <v>3281.36</v>
      </c>
      <c r="C3554" s="9">
        <v>3237.24</v>
      </c>
      <c r="D3554" s="9">
        <v>3266.8</v>
      </c>
      <c r="E3554" s="9">
        <f t="shared" si="165"/>
        <v>-1.5916450909925691E-4</v>
      </c>
      <c r="F3554" s="9">
        <f t="shared" si="166"/>
        <v>6.1501628657295138E-2</v>
      </c>
      <c r="G3554" s="9">
        <f t="shared" si="167"/>
        <v>1.4578356965475573E-2</v>
      </c>
    </row>
    <row r="3555" spans="1:7" x14ac:dyDescent="0.2">
      <c r="A3555" s="12">
        <v>42304</v>
      </c>
      <c r="B3555" s="9">
        <v>3274.2</v>
      </c>
      <c r="C3555" s="9">
        <v>3217.33</v>
      </c>
      <c r="D3555" s="9">
        <v>3217.71</v>
      </c>
      <c r="E3555" s="9">
        <f t="shared" si="165"/>
        <v>-1.5140986078438362E-2</v>
      </c>
      <c r="F3555" s="9">
        <f t="shared" si="166"/>
        <v>4.4675831819058424E-2</v>
      </c>
      <c r="G3555" s="9">
        <f t="shared" si="167"/>
        <v>1.4912720575581413E-2</v>
      </c>
    </row>
    <row r="3556" spans="1:7" x14ac:dyDescent="0.2">
      <c r="A3556" s="12">
        <v>42305</v>
      </c>
      <c r="B3556" s="9">
        <v>3247.18</v>
      </c>
      <c r="C3556" s="9">
        <v>3202.56</v>
      </c>
      <c r="D3556" s="9">
        <v>3246.64</v>
      </c>
      <c r="E3556" s="9">
        <f t="shared" si="165"/>
        <v>8.950688976695988E-3</v>
      </c>
      <c r="F3556" s="9">
        <f t="shared" si="166"/>
        <v>4.3737712650212208E-2</v>
      </c>
      <c r="G3556" s="9">
        <f t="shared" si="167"/>
        <v>1.4895473587686279E-2</v>
      </c>
    </row>
    <row r="3557" spans="1:7" x14ac:dyDescent="0.2">
      <c r="A3557" s="12">
        <v>42306</v>
      </c>
      <c r="B3557" s="9">
        <v>3284.94</v>
      </c>
      <c r="C3557" s="9">
        <v>3247.97</v>
      </c>
      <c r="D3557" s="9">
        <v>3269.23</v>
      </c>
      <c r="E3557" s="9">
        <f t="shared" si="165"/>
        <v>6.9338677744479127E-3</v>
      </c>
      <c r="F3557" s="9">
        <f t="shared" si="166"/>
        <v>5.297496806570226E-2</v>
      </c>
      <c r="G3557" s="9">
        <f t="shared" si="167"/>
        <v>1.4910506754427824E-2</v>
      </c>
    </row>
    <row r="3558" spans="1:7" x14ac:dyDescent="0.2">
      <c r="A3558" s="12">
        <v>42307</v>
      </c>
      <c r="B3558" s="9">
        <v>3290.73</v>
      </c>
      <c r="C3558" s="9">
        <v>3271.88</v>
      </c>
      <c r="D3558" s="9">
        <v>3289.39</v>
      </c>
      <c r="E3558" s="9">
        <f t="shared" si="165"/>
        <v>6.1476540776239739E-3</v>
      </c>
      <c r="F3558" s="9">
        <f t="shared" si="166"/>
        <v>7.7125705281235593E-2</v>
      </c>
      <c r="G3558" s="9">
        <f t="shared" si="167"/>
        <v>1.4451251643214858E-2</v>
      </c>
    </row>
    <row r="3559" spans="1:7" x14ac:dyDescent="0.2">
      <c r="A3559" s="12">
        <v>42310</v>
      </c>
      <c r="B3559" s="9">
        <v>3324.96</v>
      </c>
      <c r="C3559" s="9">
        <v>3274.24</v>
      </c>
      <c r="D3559" s="9">
        <v>3322.97</v>
      </c>
      <c r="E3559" s="9">
        <f t="shared" si="165"/>
        <v>1.0156824092632615E-2</v>
      </c>
      <c r="F3559" s="9">
        <f t="shared" si="166"/>
        <v>7.6569179387061828E-2</v>
      </c>
      <c r="G3559" s="9">
        <f t="shared" si="167"/>
        <v>1.4440792231693962E-2</v>
      </c>
    </row>
    <row r="3560" spans="1:7" x14ac:dyDescent="0.2">
      <c r="A3560" s="12">
        <v>42311</v>
      </c>
      <c r="B3560" s="9">
        <v>3348.96</v>
      </c>
      <c r="C3560" s="9">
        <v>3320.36</v>
      </c>
      <c r="D3560" s="9">
        <v>3348.96</v>
      </c>
      <c r="E3560" s="9">
        <f t="shared" si="165"/>
        <v>7.7908885319534216E-3</v>
      </c>
      <c r="F3560" s="9">
        <f t="shared" si="166"/>
        <v>0.1183990882128276</v>
      </c>
      <c r="G3560" s="9">
        <f t="shared" si="167"/>
        <v>1.2700462668362604E-2</v>
      </c>
    </row>
    <row r="3561" spans="1:7" x14ac:dyDescent="0.2">
      <c r="A3561" s="12">
        <v>42312</v>
      </c>
      <c r="B3561" s="9">
        <v>3403.79</v>
      </c>
      <c r="C3561" s="9">
        <v>3358.99</v>
      </c>
      <c r="D3561" s="9">
        <v>3382.21</v>
      </c>
      <c r="E3561" s="9">
        <f t="shared" si="165"/>
        <v>9.8794921076086114E-3</v>
      </c>
      <c r="F3561" s="9">
        <f t="shared" si="166"/>
        <v>0.12596866074483307</v>
      </c>
      <c r="G3561" s="9">
        <f t="shared" si="167"/>
        <v>1.2741949178163724E-2</v>
      </c>
    </row>
    <row r="3562" spans="1:7" x14ac:dyDescent="0.2">
      <c r="A3562" s="12">
        <v>42313</v>
      </c>
      <c r="B3562" s="9">
        <v>3399.24</v>
      </c>
      <c r="C3562" s="9">
        <v>3364.16</v>
      </c>
      <c r="D3562" s="9">
        <v>3377.12</v>
      </c>
      <c r="E3562" s="9">
        <f t="shared" si="165"/>
        <v>-1.5060667143372941E-3</v>
      </c>
      <c r="F3562" s="9">
        <f t="shared" si="166"/>
        <v>0.15261948193185035</v>
      </c>
      <c r="G3562" s="9">
        <f t="shared" si="167"/>
        <v>1.1250029790596959E-2</v>
      </c>
    </row>
    <row r="3563" spans="1:7" x14ac:dyDescent="0.2">
      <c r="A3563" s="12">
        <v>42314</v>
      </c>
      <c r="B3563" s="9">
        <v>3413.31</v>
      </c>
      <c r="C3563" s="9">
        <v>3366.1</v>
      </c>
      <c r="D3563" s="9">
        <v>3400.7</v>
      </c>
      <c r="E3563" s="9">
        <f t="shared" si="165"/>
        <v>6.9580175140230979E-3</v>
      </c>
      <c r="F3563" s="9">
        <f t="shared" si="166"/>
        <v>0.13473607176697563</v>
      </c>
      <c r="G3563" s="9">
        <f t="shared" si="167"/>
        <v>1.062356844931555E-2</v>
      </c>
    </row>
    <row r="3564" spans="1:7" x14ac:dyDescent="0.2">
      <c r="A3564" s="12">
        <v>42317</v>
      </c>
      <c r="B3564" s="9">
        <v>3409.54</v>
      </c>
      <c r="C3564" s="9">
        <v>3358.25</v>
      </c>
      <c r="D3564" s="9">
        <v>3361.28</v>
      </c>
      <c r="E3564" s="9">
        <f t="shared" si="165"/>
        <v>-1.1659438972063351E-2</v>
      </c>
      <c r="F3564" s="9">
        <f t="shared" si="166"/>
        <v>0.14758697917998254</v>
      </c>
      <c r="G3564" s="9">
        <f t="shared" si="167"/>
        <v>9.6261040846484236E-3</v>
      </c>
    </row>
    <row r="3565" spans="1:7" x14ac:dyDescent="0.2">
      <c r="A3565" s="12">
        <v>42318</v>
      </c>
      <c r="B3565" s="9">
        <v>3376.5</v>
      </c>
      <c r="C3565" s="9">
        <v>3336.57</v>
      </c>
      <c r="D3565" s="9">
        <v>3347.59</v>
      </c>
      <c r="E3565" s="9">
        <f t="shared" si="165"/>
        <v>-4.0811698547310966E-3</v>
      </c>
      <c r="F3565" s="9">
        <f t="shared" si="166"/>
        <v>0.13789756280062884</v>
      </c>
      <c r="G3565" s="9">
        <f t="shared" si="167"/>
        <v>9.7637683283933914E-3</v>
      </c>
    </row>
    <row r="3566" spans="1:7" x14ac:dyDescent="0.2">
      <c r="A3566" s="12">
        <v>42319</v>
      </c>
      <c r="B3566" s="9">
        <v>3396.04</v>
      </c>
      <c r="C3566" s="9">
        <v>3347.59</v>
      </c>
      <c r="D3566" s="9">
        <v>3391.98</v>
      </c>
      <c r="E3566" s="9">
        <f t="shared" si="165"/>
        <v>1.3173137728459381E-2</v>
      </c>
      <c r="F3566" s="9">
        <f t="shared" si="166"/>
        <v>0.13391303777246769</v>
      </c>
      <c r="G3566" s="9">
        <f t="shared" si="167"/>
        <v>9.6129427088501064E-3</v>
      </c>
    </row>
    <row r="3567" spans="1:7" x14ac:dyDescent="0.2">
      <c r="A3567" s="12">
        <v>42320</v>
      </c>
      <c r="B3567" s="9">
        <v>3402.18</v>
      </c>
      <c r="C3567" s="9">
        <v>3335.3</v>
      </c>
      <c r="D3567" s="9">
        <v>3352.16</v>
      </c>
      <c r="E3567" s="9">
        <f t="shared" si="165"/>
        <v>-1.1808907508293722E-2</v>
      </c>
      <c r="F3567" s="9">
        <f t="shared" si="166"/>
        <v>0.12295050347084446</v>
      </c>
      <c r="G3567" s="9">
        <f t="shared" si="167"/>
        <v>1.0021438777292684E-2</v>
      </c>
    </row>
    <row r="3568" spans="1:7" x14ac:dyDescent="0.2">
      <c r="A3568" s="12">
        <v>42321</v>
      </c>
      <c r="B3568" s="9">
        <v>3346.48</v>
      </c>
      <c r="C3568" s="9">
        <v>3299.6</v>
      </c>
      <c r="D3568" s="9">
        <v>3316.89</v>
      </c>
      <c r="E3568" s="9">
        <f t="shared" si="165"/>
        <v>-1.0577317258768962E-2</v>
      </c>
      <c r="F3568" s="9">
        <f t="shared" si="166"/>
        <v>0.103533498088807</v>
      </c>
      <c r="G3568" s="9">
        <f t="shared" si="167"/>
        <v>1.0327024156647376E-2</v>
      </c>
    </row>
    <row r="3569" spans="1:7" x14ac:dyDescent="0.2">
      <c r="A3569" s="12">
        <v>42324</v>
      </c>
      <c r="B3569" s="9">
        <v>3351.68</v>
      </c>
      <c r="C3569" s="9">
        <v>3291.38</v>
      </c>
      <c r="D3569" s="9">
        <v>3344.48</v>
      </c>
      <c r="E3569" s="9">
        <f t="shared" si="165"/>
        <v>8.2836286725393067E-3</v>
      </c>
      <c r="F3569" s="9">
        <f t="shared" si="166"/>
        <v>7.8421946038953666E-2</v>
      </c>
      <c r="G3569" s="9">
        <f t="shared" si="167"/>
        <v>8.7068382533492059E-3</v>
      </c>
    </row>
    <row r="3570" spans="1:7" x14ac:dyDescent="0.2">
      <c r="A3570" s="12">
        <v>42325</v>
      </c>
      <c r="B3570" s="9">
        <v>3407.29</v>
      </c>
      <c r="C3570" s="9">
        <v>3344.48</v>
      </c>
      <c r="D3570" s="9">
        <v>3405.78</v>
      </c>
      <c r="E3570" s="9">
        <f t="shared" si="165"/>
        <v>1.8162762666361902E-2</v>
      </c>
      <c r="F3570" s="9">
        <f t="shared" si="166"/>
        <v>8.2379212853064515E-2</v>
      </c>
      <c r="G3570" s="9">
        <f t="shared" si="167"/>
        <v>8.9159691507256222E-3</v>
      </c>
    </row>
    <row r="3571" spans="1:7" x14ac:dyDescent="0.2">
      <c r="A3571" s="12">
        <v>42326</v>
      </c>
      <c r="B3571" s="9">
        <v>3424.69</v>
      </c>
      <c r="C3571" s="9">
        <v>3397.86</v>
      </c>
      <c r="D3571" s="9">
        <v>3414.41</v>
      </c>
      <c r="E3571" s="9">
        <f t="shared" si="165"/>
        <v>2.5307226355696659E-3</v>
      </c>
      <c r="F3571" s="9">
        <f t="shared" si="166"/>
        <v>8.4269290869890698E-2</v>
      </c>
      <c r="G3571" s="9">
        <f t="shared" si="167"/>
        <v>8.907252979184559E-3</v>
      </c>
    </row>
    <row r="3572" spans="1:7" x14ac:dyDescent="0.2">
      <c r="A3572" s="12">
        <v>42327</v>
      </c>
      <c r="B3572" s="9">
        <v>3448.75</v>
      </c>
      <c r="C3572" s="9">
        <v>3408.31</v>
      </c>
      <c r="D3572" s="9">
        <v>3413.42</v>
      </c>
      <c r="E3572" s="9">
        <f t="shared" si="165"/>
        <v>-2.899896473513773E-4</v>
      </c>
      <c r="F3572" s="9">
        <f t="shared" si="166"/>
        <v>8.4017537144555426E-2</v>
      </c>
      <c r="G3572" s="9">
        <f t="shared" si="167"/>
        <v>8.9101460441086307E-3</v>
      </c>
    </row>
    <row r="3573" spans="1:7" x14ac:dyDescent="0.2">
      <c r="A3573" s="12">
        <v>42328</v>
      </c>
      <c r="B3573" s="9">
        <v>3436.6</v>
      </c>
      <c r="C3573" s="9">
        <v>3404.83</v>
      </c>
      <c r="D3573" s="9">
        <v>3431.72</v>
      </c>
      <c r="E3573" s="9">
        <f t="shared" si="165"/>
        <v>5.3468719699712236E-3</v>
      </c>
      <c r="F3573" s="9">
        <f t="shared" si="166"/>
        <v>8.3376034363776608E-2</v>
      </c>
      <c r="G3573" s="9">
        <f t="shared" si="167"/>
        <v>8.9029987761861853E-3</v>
      </c>
    </row>
    <row r="3574" spans="1:7" x14ac:dyDescent="0.2">
      <c r="A3574" s="12">
        <v>42331</v>
      </c>
      <c r="B3574" s="9">
        <v>3452.11</v>
      </c>
      <c r="C3574" s="9">
        <v>3414.91</v>
      </c>
      <c r="D3574" s="9">
        <v>3451.93</v>
      </c>
      <c r="E3574" s="9">
        <f t="shared" si="165"/>
        <v>5.8719017000387567E-3</v>
      </c>
      <c r="F3574" s="9">
        <f t="shared" si="166"/>
        <v>8.8636821679334218E-2</v>
      </c>
      <c r="G3574" s="9">
        <f t="shared" si="167"/>
        <v>8.9106288646302254E-3</v>
      </c>
    </row>
    <row r="3575" spans="1:7" x14ac:dyDescent="0.2">
      <c r="A3575" s="12">
        <v>42332</v>
      </c>
      <c r="B3575" s="9">
        <v>3451.93</v>
      </c>
      <c r="C3575" s="9">
        <v>3379.13</v>
      </c>
      <c r="D3575" s="9">
        <v>3385.72</v>
      </c>
      <c r="E3575" s="9">
        <f t="shared" si="165"/>
        <v>-1.9366908067864716E-2</v>
      </c>
      <c r="F3575" s="9">
        <f t="shared" si="166"/>
        <v>7.7866073500180794E-2</v>
      </c>
      <c r="G3575" s="9">
        <f t="shared" si="167"/>
        <v>9.5836458242316031E-3</v>
      </c>
    </row>
    <row r="3576" spans="1:7" x14ac:dyDescent="0.2">
      <c r="A3576" s="12">
        <v>42333</v>
      </c>
      <c r="B3576" s="9">
        <v>3428.54</v>
      </c>
      <c r="C3576" s="9">
        <v>3382.28</v>
      </c>
      <c r="D3576" s="9">
        <v>3421.4</v>
      </c>
      <c r="E3576" s="9">
        <f t="shared" si="165"/>
        <v>1.0483237187993481E-2</v>
      </c>
      <c r="F3576" s="9">
        <f t="shared" si="166"/>
        <v>9.26143371106775E-2</v>
      </c>
      <c r="G3576" s="9">
        <f t="shared" si="167"/>
        <v>9.5978443968705342E-3</v>
      </c>
    </row>
    <row r="3577" spans="1:7" x14ac:dyDescent="0.2">
      <c r="A3577" s="12">
        <v>42334</v>
      </c>
      <c r="B3577" s="9">
        <v>3452.2</v>
      </c>
      <c r="C3577" s="9">
        <v>3420.38</v>
      </c>
      <c r="D3577" s="9">
        <v>3447.35</v>
      </c>
      <c r="E3577" s="9">
        <f t="shared" si="165"/>
        <v>7.5559959129843706E-3</v>
      </c>
      <c r="F3577" s="9">
        <f t="shared" si="166"/>
        <v>8.9283155715269777E-2</v>
      </c>
      <c r="G3577" s="9">
        <f t="shared" si="167"/>
        <v>9.5234739463934421E-3</v>
      </c>
    </row>
    <row r="3578" spans="1:7" x14ac:dyDescent="0.2">
      <c r="A3578" s="12">
        <v>42335</v>
      </c>
      <c r="B3578" s="9">
        <v>3446.16</v>
      </c>
      <c r="C3578" s="9">
        <v>3416.76</v>
      </c>
      <c r="D3578" s="9">
        <v>3443.95</v>
      </c>
      <c r="E3578" s="9">
        <f t="shared" si="165"/>
        <v>-9.8675149126453113E-4</v>
      </c>
      <c r="F3578" s="9">
        <f t="shared" si="166"/>
        <v>9.2832669479136792E-2</v>
      </c>
      <c r="G3578" s="9">
        <f t="shared" si="167"/>
        <v>9.4486793080482169E-3</v>
      </c>
    </row>
    <row r="3579" spans="1:7" x14ac:dyDescent="0.2">
      <c r="A3579" s="12">
        <v>42338</v>
      </c>
      <c r="B3579" s="9">
        <v>3476.8</v>
      </c>
      <c r="C3579" s="9">
        <v>3429.16</v>
      </c>
      <c r="D3579" s="9">
        <v>3468.92</v>
      </c>
      <c r="E3579" s="9">
        <f t="shared" si="165"/>
        <v>7.2242378629401773E-3</v>
      </c>
      <c r="F3579" s="9">
        <f t="shared" si="166"/>
        <v>8.8737269098140073E-2</v>
      </c>
      <c r="G3579" s="9">
        <f t="shared" si="167"/>
        <v>9.3548637578401584E-3</v>
      </c>
    </row>
    <row r="3580" spans="1:7" x14ac:dyDescent="0.2">
      <c r="A3580" s="12">
        <v>42339</v>
      </c>
      <c r="B3580" s="9">
        <v>3486.81</v>
      </c>
      <c r="C3580" s="9">
        <v>3461.71</v>
      </c>
      <c r="D3580" s="9">
        <v>3466.42</v>
      </c>
      <c r="E3580" s="9">
        <f t="shared" si="165"/>
        <v>-7.2094521920588604E-4</v>
      </c>
      <c r="F3580" s="9">
        <f t="shared" si="166"/>
        <v>8.6203429172345733E-2</v>
      </c>
      <c r="G3580" s="9">
        <f t="shared" si="167"/>
        <v>9.3769705072002125E-3</v>
      </c>
    </row>
    <row r="3581" spans="1:7" x14ac:dyDescent="0.2">
      <c r="A3581" s="12">
        <v>42340</v>
      </c>
      <c r="B3581" s="9">
        <v>3498.44</v>
      </c>
      <c r="C3581" s="9">
        <v>3468.54</v>
      </c>
      <c r="D3581" s="9">
        <v>3486.13</v>
      </c>
      <c r="E3581" s="9">
        <f t="shared" si="165"/>
        <v>5.6698773262343705E-3</v>
      </c>
      <c r="F3581" s="9">
        <f t="shared" si="166"/>
        <v>9.3031165595679297E-2</v>
      </c>
      <c r="G3581" s="9">
        <f t="shared" si="167"/>
        <v>9.3585924985545004E-3</v>
      </c>
    </row>
    <row r="3582" spans="1:7" x14ac:dyDescent="0.2">
      <c r="A3582" s="12">
        <v>42341</v>
      </c>
      <c r="B3582" s="9">
        <v>3506.18</v>
      </c>
      <c r="C3582" s="9">
        <v>3403.88</v>
      </c>
      <c r="D3582" s="9">
        <v>3407.43</v>
      </c>
      <c r="E3582" s="9">
        <f t="shared" si="165"/>
        <v>-2.2833896970230139E-2</v>
      </c>
      <c r="F3582" s="9">
        <f t="shared" si="166"/>
        <v>5.1107494803605491E-2</v>
      </c>
      <c r="G3582" s="9">
        <f t="shared" si="167"/>
        <v>9.9970842833958587E-3</v>
      </c>
    </row>
    <row r="3583" spans="1:7" x14ac:dyDescent="0.2">
      <c r="A3583" s="12">
        <v>42342</v>
      </c>
      <c r="B3583" s="9">
        <v>3407.61</v>
      </c>
      <c r="C3583" s="9">
        <v>3360.04</v>
      </c>
      <c r="D3583" s="9">
        <v>3389.02</v>
      </c>
      <c r="E3583" s="9">
        <f t="shared" si="165"/>
        <v>-5.4175474041574904E-3</v>
      </c>
      <c r="F3583" s="9">
        <f t="shared" si="166"/>
        <v>3.6570717042272237E-2</v>
      </c>
      <c r="G3583" s="9">
        <f t="shared" si="167"/>
        <v>9.977533172110687E-3</v>
      </c>
    </row>
    <row r="3584" spans="1:7" x14ac:dyDescent="0.2">
      <c r="A3584" s="12">
        <v>42345</v>
      </c>
      <c r="B3584" s="9">
        <v>3444.12</v>
      </c>
      <c r="C3584" s="9">
        <v>3391</v>
      </c>
      <c r="D3584" s="9">
        <v>3410.53</v>
      </c>
      <c r="E3584" s="9">
        <f t="shared" si="165"/>
        <v>6.3269103847637086E-3</v>
      </c>
      <c r="F3584" s="9">
        <f t="shared" si="166"/>
        <v>4.3056791936135069E-2</v>
      </c>
      <c r="G3584" s="9">
        <f t="shared" si="167"/>
        <v>1.0016835265354419E-2</v>
      </c>
    </row>
    <row r="3585" spans="1:7" x14ac:dyDescent="0.2">
      <c r="A3585" s="12">
        <v>42346</v>
      </c>
      <c r="B3585" s="9">
        <v>3410.43</v>
      </c>
      <c r="C3585" s="9">
        <v>3328.32</v>
      </c>
      <c r="D3585" s="9">
        <v>3338.89</v>
      </c>
      <c r="E3585" s="9">
        <f t="shared" si="165"/>
        <v>-2.1229288014474709E-2</v>
      </c>
      <c r="F3585" s="9">
        <f t="shared" si="166"/>
        <v>3.6968490000098629E-2</v>
      </c>
      <c r="G3585" s="9">
        <f t="shared" si="167"/>
        <v>1.0417899857969454E-2</v>
      </c>
    </row>
    <row r="3586" spans="1:7" x14ac:dyDescent="0.2">
      <c r="A3586" s="12">
        <v>42347</v>
      </c>
      <c r="B3586" s="9">
        <v>3345.24</v>
      </c>
      <c r="C3586" s="9">
        <v>3292.32</v>
      </c>
      <c r="D3586" s="9">
        <v>3301.46</v>
      </c>
      <c r="E3586" s="9">
        <f t="shared" si="165"/>
        <v>-1.127362154953326E-2</v>
      </c>
      <c r="F3586" s="9">
        <f t="shared" si="166"/>
        <v>1.6744179473869532E-2</v>
      </c>
      <c r="G3586" s="9">
        <f t="shared" si="167"/>
        <v>1.0554679061492407E-2</v>
      </c>
    </row>
    <row r="3587" spans="1:7" x14ac:dyDescent="0.2">
      <c r="A3587" s="12">
        <v>42348</v>
      </c>
      <c r="B3587" s="9">
        <v>3363.57</v>
      </c>
      <c r="C3587" s="9">
        <v>3285.78</v>
      </c>
      <c r="D3587" s="9">
        <v>3345.9</v>
      </c>
      <c r="E3587" s="9">
        <f t="shared" si="165"/>
        <v>1.337092081235311E-2</v>
      </c>
      <c r="F3587" s="9">
        <f t="shared" si="166"/>
        <v>2.3181232511774719E-2</v>
      </c>
      <c r="G3587" s="9">
        <f t="shared" si="167"/>
        <v>1.0752341397860792E-2</v>
      </c>
    </row>
    <row r="3588" spans="1:7" x14ac:dyDescent="0.2">
      <c r="A3588" s="12">
        <v>42349</v>
      </c>
      <c r="B3588" s="9">
        <v>3345.9</v>
      </c>
      <c r="C3588" s="9">
        <v>3236.12</v>
      </c>
      <c r="D3588" s="9">
        <v>3247.13</v>
      </c>
      <c r="E3588" s="9">
        <f t="shared" ref="E3588:E3651" si="168">LN(D3588/D3587)</f>
        <v>-2.9964186410021243E-2</v>
      </c>
      <c r="F3588" s="9">
        <f t="shared" si="166"/>
        <v>-1.2930607975870419E-2</v>
      </c>
      <c r="G3588" s="9">
        <f t="shared" si="167"/>
        <v>1.2070440241439544E-2</v>
      </c>
    </row>
    <row r="3589" spans="1:7" x14ac:dyDescent="0.2">
      <c r="A3589" s="12">
        <v>42352</v>
      </c>
      <c r="B3589" s="9">
        <v>3278.22</v>
      </c>
      <c r="C3589" s="9">
        <v>3201.18</v>
      </c>
      <c r="D3589" s="9">
        <v>3205.29</v>
      </c>
      <c r="E3589" s="9">
        <f t="shared" si="168"/>
        <v>-1.2968959377860217E-2</v>
      </c>
      <c r="F3589" s="9">
        <f t="shared" si="166"/>
        <v>-3.605639144636337E-2</v>
      </c>
      <c r="G3589" s="9">
        <f t="shared" si="167"/>
        <v>1.210933102932446E-2</v>
      </c>
    </row>
    <row r="3590" spans="1:7" x14ac:dyDescent="0.2">
      <c r="A3590" s="12">
        <v>42353</v>
      </c>
      <c r="B3590" s="9">
        <v>3300.27</v>
      </c>
      <c r="C3590" s="9">
        <v>3205.29</v>
      </c>
      <c r="D3590" s="9">
        <v>3298.83</v>
      </c>
      <c r="E3590" s="9">
        <f t="shared" si="168"/>
        <v>2.876529025320736E-2</v>
      </c>
      <c r="F3590" s="9">
        <f t="shared" si="166"/>
        <v>-1.5081989725109326E-2</v>
      </c>
      <c r="G3590" s="9">
        <f t="shared" si="167"/>
        <v>1.3202583671202292E-2</v>
      </c>
    </row>
    <row r="3591" spans="1:7" x14ac:dyDescent="0.2">
      <c r="A3591" s="12">
        <v>42354</v>
      </c>
      <c r="B3591" s="9">
        <v>3341.33</v>
      </c>
      <c r="C3591" s="9">
        <v>3288.16</v>
      </c>
      <c r="D3591" s="9">
        <v>3323.84</v>
      </c>
      <c r="E3591" s="9">
        <f t="shared" si="168"/>
        <v>7.5528809055199668E-3</v>
      </c>
      <c r="F3591" s="9">
        <f t="shared" si="166"/>
        <v>-1.7408600927198144E-2</v>
      </c>
      <c r="G3591" s="9">
        <f t="shared" si="167"/>
        <v>1.3146207178455476E-2</v>
      </c>
    </row>
    <row r="3592" spans="1:7" x14ac:dyDescent="0.2">
      <c r="A3592" s="12">
        <v>42355</v>
      </c>
      <c r="B3592" s="9">
        <v>3394.66</v>
      </c>
      <c r="C3592" s="9">
        <v>3328.78</v>
      </c>
      <c r="D3592" s="9">
        <v>3356.68</v>
      </c>
      <c r="E3592" s="9">
        <f t="shared" si="168"/>
        <v>9.8316491918000442E-3</v>
      </c>
      <c r="F3592" s="9">
        <f t="shared" si="166"/>
        <v>-6.0708850210609601E-3</v>
      </c>
      <c r="G3592" s="9">
        <f t="shared" si="167"/>
        <v>1.3280951720043146E-2</v>
      </c>
    </row>
    <row r="3593" spans="1:7" x14ac:dyDescent="0.2">
      <c r="A3593" s="12">
        <v>42356</v>
      </c>
      <c r="B3593" s="9">
        <v>3355.29</v>
      </c>
      <c r="C3593" s="9">
        <v>3288.57</v>
      </c>
      <c r="D3593" s="9">
        <v>3302.41</v>
      </c>
      <c r="E3593" s="9">
        <f t="shared" si="168"/>
        <v>-1.6299885287867265E-2</v>
      </c>
      <c r="F3593" s="9">
        <f t="shared" si="166"/>
        <v>-2.9328787822951334E-2</v>
      </c>
      <c r="G3593" s="9">
        <f t="shared" si="167"/>
        <v>1.3525142436768505E-2</v>
      </c>
    </row>
    <row r="3594" spans="1:7" x14ac:dyDescent="0.2">
      <c r="A3594" s="12">
        <v>42359</v>
      </c>
      <c r="B3594" s="9">
        <v>3331.12</v>
      </c>
      <c r="C3594" s="9">
        <v>3282.79</v>
      </c>
      <c r="D3594" s="9">
        <v>3282.79</v>
      </c>
      <c r="E3594" s="9">
        <f t="shared" si="168"/>
        <v>-5.9588343725525761E-3</v>
      </c>
      <c r="F3594" s="9">
        <f t="shared" si="166"/>
        <v>-2.3628183223440569E-2</v>
      </c>
      <c r="G3594" s="9">
        <f t="shared" si="167"/>
        <v>1.3409444615263937E-2</v>
      </c>
    </row>
    <row r="3595" spans="1:7" x14ac:dyDescent="0.2">
      <c r="A3595" s="12">
        <v>42360</v>
      </c>
      <c r="B3595" s="9">
        <v>3305</v>
      </c>
      <c r="C3595" s="9">
        <v>3263.04</v>
      </c>
      <c r="D3595" s="9">
        <v>3278.7</v>
      </c>
      <c r="E3595" s="9">
        <f t="shared" si="168"/>
        <v>-1.2466682200893864E-3</v>
      </c>
      <c r="F3595" s="9">
        <f t="shared" si="166"/>
        <v>-2.0793681588798889E-2</v>
      </c>
      <c r="G3595" s="9">
        <f t="shared" si="167"/>
        <v>1.3395416488812465E-2</v>
      </c>
    </row>
    <row r="3596" spans="1:7" x14ac:dyDescent="0.2">
      <c r="A3596" s="12">
        <v>42361</v>
      </c>
      <c r="B3596" s="9">
        <v>3353.53</v>
      </c>
      <c r="C3596" s="9">
        <v>3281.26</v>
      </c>
      <c r="D3596" s="9">
        <v>3353.53</v>
      </c>
      <c r="E3596" s="9">
        <f t="shared" si="168"/>
        <v>2.2566520026481858E-2</v>
      </c>
      <c r="F3596" s="9">
        <f t="shared" si="166"/>
        <v>-1.1400299290776435E-2</v>
      </c>
      <c r="G3596" s="9">
        <f t="shared" si="167"/>
        <v>1.3833336693898829E-2</v>
      </c>
    </row>
    <row r="3597" spans="1:7" x14ac:dyDescent="0.2">
      <c r="A3597" s="12">
        <v>42366</v>
      </c>
      <c r="B3597" s="9">
        <v>3357.13</v>
      </c>
      <c r="C3597" s="9">
        <v>3319.29</v>
      </c>
      <c r="D3597" s="9">
        <v>3328.7</v>
      </c>
      <c r="E3597" s="9">
        <f t="shared" si="168"/>
        <v>-7.4316850152869856E-3</v>
      </c>
      <c r="F3597" s="9">
        <f t="shared" si="166"/>
        <v>-7.0230767977696651E-3</v>
      </c>
      <c r="G3597" s="9">
        <f t="shared" si="167"/>
        <v>1.3731341787601914E-2</v>
      </c>
    </row>
    <row r="3598" spans="1:7" x14ac:dyDescent="0.2">
      <c r="A3598" s="12">
        <v>42367</v>
      </c>
      <c r="B3598" s="9">
        <v>3376.89</v>
      </c>
      <c r="C3598" s="9">
        <v>3333</v>
      </c>
      <c r="D3598" s="9">
        <v>3376.89</v>
      </c>
      <c r="E3598" s="9">
        <f t="shared" si="168"/>
        <v>1.4373330203211852E-2</v>
      </c>
      <c r="F3598" s="9">
        <f t="shared" si="166"/>
        <v>1.7927570664211155E-2</v>
      </c>
      <c r="G3598" s="9">
        <f t="shared" si="167"/>
        <v>1.3838460289927548E-2</v>
      </c>
    </row>
    <row r="3599" spans="1:7" x14ac:dyDescent="0.2">
      <c r="A3599" s="12">
        <v>42368</v>
      </c>
      <c r="B3599" s="9">
        <v>3376.75</v>
      </c>
      <c r="C3599" s="9">
        <v>3351.14</v>
      </c>
      <c r="D3599" s="9">
        <v>3359.38</v>
      </c>
      <c r="E3599" s="9">
        <f t="shared" si="168"/>
        <v>-5.1987344440308321E-3</v>
      </c>
      <c r="F3599" s="9">
        <f t="shared" si="166"/>
        <v>4.4452075476410181E-3</v>
      </c>
      <c r="G3599" s="9">
        <f t="shared" si="167"/>
        <v>1.3799112222620976E-2</v>
      </c>
    </row>
    <row r="3600" spans="1:7" x14ac:dyDescent="0.2">
      <c r="A3600" s="12">
        <v>42373</v>
      </c>
      <c r="B3600" s="9">
        <v>3356.47</v>
      </c>
      <c r="C3600" s="9">
        <v>3254.89</v>
      </c>
      <c r="D3600" s="9">
        <v>3260.43</v>
      </c>
      <c r="E3600" s="9">
        <f t="shared" si="168"/>
        <v>-2.9897344618152202E-2</v>
      </c>
      <c r="F3600" s="9">
        <f t="shared" si="166"/>
        <v>-4.3614899736873138E-2</v>
      </c>
      <c r="G3600" s="9">
        <f t="shared" si="167"/>
        <v>1.4411758521071034E-2</v>
      </c>
    </row>
    <row r="3601" spans="1:7" x14ac:dyDescent="0.2">
      <c r="A3601" s="12">
        <v>42374</v>
      </c>
      <c r="B3601" s="9">
        <v>3301.89</v>
      </c>
      <c r="C3601" s="9">
        <v>3236.04</v>
      </c>
      <c r="D3601" s="9">
        <v>3253.04</v>
      </c>
      <c r="E3601" s="9">
        <f t="shared" si="168"/>
        <v>-2.2691447633707853E-3</v>
      </c>
      <c r="F3601" s="9">
        <f t="shared" si="166"/>
        <v>-4.8414767135813656E-2</v>
      </c>
      <c r="G3601" s="9">
        <f t="shared" si="167"/>
        <v>1.4392628438141927E-2</v>
      </c>
    </row>
    <row r="3602" spans="1:7" x14ac:dyDescent="0.2">
      <c r="A3602" s="12">
        <v>42376</v>
      </c>
      <c r="B3602" s="9">
        <v>3246.36</v>
      </c>
      <c r="C3602" s="9">
        <v>3105.89</v>
      </c>
      <c r="D3602" s="9">
        <v>3179.13</v>
      </c>
      <c r="E3602" s="9">
        <f t="shared" si="168"/>
        <v>-2.2982369302205728E-2</v>
      </c>
      <c r="F3602" s="9">
        <f t="shared" si="166"/>
        <v>-7.1107146790668055E-2</v>
      </c>
      <c r="G3602" s="9">
        <f t="shared" si="167"/>
        <v>1.4907741756270852E-2</v>
      </c>
    </row>
    <row r="3603" spans="1:7" x14ac:dyDescent="0.2">
      <c r="A3603" s="12">
        <v>42377</v>
      </c>
      <c r="B3603" s="9">
        <v>3236.33</v>
      </c>
      <c r="C3603" s="9">
        <v>3179.24</v>
      </c>
      <c r="D3603" s="9">
        <v>3181.06</v>
      </c>
      <c r="E3603" s="9">
        <f t="shared" si="168"/>
        <v>6.069001269582376E-4</v>
      </c>
      <c r="F3603" s="9">
        <f t="shared" si="166"/>
        <v>-7.5847118633681085E-2</v>
      </c>
      <c r="G3603" s="9">
        <f t="shared" si="167"/>
        <v>1.4848130981614568E-2</v>
      </c>
    </row>
    <row r="3604" spans="1:7" x14ac:dyDescent="0.2">
      <c r="A3604" s="12">
        <v>42380</v>
      </c>
      <c r="B3604" s="9">
        <v>3233.99</v>
      </c>
      <c r="C3604" s="9">
        <v>3164.1</v>
      </c>
      <c r="D3604" s="9">
        <v>3204.51</v>
      </c>
      <c r="E3604" s="9">
        <f t="shared" si="168"/>
        <v>7.3447179867094405E-3</v>
      </c>
      <c r="F3604" s="9">
        <f t="shared" si="166"/>
        <v>-7.4374302347010271E-2</v>
      </c>
      <c r="G3604" s="9">
        <f t="shared" si="167"/>
        <v>1.4879265161157744E-2</v>
      </c>
    </row>
    <row r="3605" spans="1:7" x14ac:dyDescent="0.2">
      <c r="A3605" s="12">
        <v>42381</v>
      </c>
      <c r="B3605" s="9">
        <v>3261.59</v>
      </c>
      <c r="C3605" s="9">
        <v>3196.54</v>
      </c>
      <c r="D3605" s="9">
        <v>3238.11</v>
      </c>
      <c r="E3605" s="9">
        <f t="shared" si="168"/>
        <v>1.0430633696906435E-2</v>
      </c>
      <c r="F3605" s="9">
        <f t="shared" si="166"/>
        <v>-4.457676058223925E-2</v>
      </c>
      <c r="G3605" s="9">
        <f t="shared" si="167"/>
        <v>1.4706616761369959E-2</v>
      </c>
    </row>
    <row r="3606" spans="1:7" x14ac:dyDescent="0.2">
      <c r="A3606" s="12">
        <v>42382</v>
      </c>
      <c r="B3606" s="9">
        <v>3313.5</v>
      </c>
      <c r="C3606" s="9">
        <v>3245.5</v>
      </c>
      <c r="D3606" s="9">
        <v>3261.91</v>
      </c>
      <c r="E3606" s="9">
        <f t="shared" si="168"/>
        <v>7.3230871170614081E-3</v>
      </c>
      <c r="F3606" s="9">
        <f t="shared" si="166"/>
        <v>-4.7736910653171233E-2</v>
      </c>
      <c r="G3606" s="9">
        <f t="shared" si="167"/>
        <v>1.462904278918066E-2</v>
      </c>
    </row>
    <row r="3607" spans="1:7" x14ac:dyDescent="0.2">
      <c r="A3607" s="12">
        <v>42383</v>
      </c>
      <c r="B3607" s="9">
        <v>3253.52</v>
      </c>
      <c r="C3607" s="9">
        <v>3130.04</v>
      </c>
      <c r="D3607" s="9">
        <v>3173.08</v>
      </c>
      <c r="E3607" s="9">
        <f t="shared" si="168"/>
        <v>-2.7610188367230441E-2</v>
      </c>
      <c r="F3607" s="9">
        <f t="shared" si="166"/>
        <v>-8.2903094933386018E-2</v>
      </c>
      <c r="G3607" s="9">
        <f t="shared" si="167"/>
        <v>1.5265862643563284E-2</v>
      </c>
    </row>
    <row r="3608" spans="1:7" x14ac:dyDescent="0.2">
      <c r="A3608" s="12">
        <v>42384</v>
      </c>
      <c r="B3608" s="9">
        <v>3177.48</v>
      </c>
      <c r="C3608" s="9">
        <v>3057.19</v>
      </c>
      <c r="D3608" s="9">
        <v>3074.92</v>
      </c>
      <c r="E3608" s="9">
        <f t="shared" si="168"/>
        <v>-3.1423840355762948E-2</v>
      </c>
      <c r="F3608" s="9">
        <f t="shared" si="166"/>
        <v>-0.11334018379788434</v>
      </c>
      <c r="G3608" s="9">
        <f t="shared" si="167"/>
        <v>1.6130643251011743E-2</v>
      </c>
    </row>
    <row r="3609" spans="1:7" x14ac:dyDescent="0.2">
      <c r="A3609" s="12">
        <v>42387</v>
      </c>
      <c r="B3609" s="9">
        <v>3115.26</v>
      </c>
      <c r="C3609" s="9">
        <v>3045.3</v>
      </c>
      <c r="D3609" s="9">
        <v>3065.97</v>
      </c>
      <c r="E3609" s="9">
        <f t="shared" si="168"/>
        <v>-2.91488899395054E-3</v>
      </c>
      <c r="F3609" s="9">
        <f t="shared" si="166"/>
        <v>-0.12347931065477509</v>
      </c>
      <c r="G3609" s="9">
        <f t="shared" si="167"/>
        <v>1.5997845509737714E-2</v>
      </c>
    </row>
    <row r="3610" spans="1:7" x14ac:dyDescent="0.2">
      <c r="A3610" s="12">
        <v>42388</v>
      </c>
      <c r="B3610" s="9">
        <v>3144.15</v>
      </c>
      <c r="C3610" s="9">
        <v>3075.61</v>
      </c>
      <c r="D3610" s="9">
        <v>3120.52</v>
      </c>
      <c r="E3610" s="9">
        <f t="shared" si="168"/>
        <v>1.7635658934772484E-2</v>
      </c>
      <c r="F3610" s="9">
        <f t="shared" si="166"/>
        <v>-0.10512270650079671</v>
      </c>
      <c r="G3610" s="9">
        <f t="shared" si="167"/>
        <v>1.6476080917529421E-2</v>
      </c>
    </row>
    <row r="3611" spans="1:7" x14ac:dyDescent="0.2">
      <c r="A3611" s="12">
        <v>42389</v>
      </c>
      <c r="B3611" s="9">
        <v>3119.59</v>
      </c>
      <c r="C3611" s="9">
        <v>3013.8</v>
      </c>
      <c r="D3611" s="9">
        <v>3024.56</v>
      </c>
      <c r="E3611" s="9">
        <f t="shared" si="168"/>
        <v>-3.123402824289986E-2</v>
      </c>
      <c r="F3611" s="9">
        <f t="shared" si="166"/>
        <v>-0.14202661206993078</v>
      </c>
      <c r="G3611" s="9">
        <f t="shared" si="167"/>
        <v>1.7132110609228538E-2</v>
      </c>
    </row>
    <row r="3612" spans="1:7" x14ac:dyDescent="0.2">
      <c r="A3612" s="12">
        <v>42390</v>
      </c>
      <c r="B3612" s="9">
        <v>3086.96</v>
      </c>
      <c r="C3612" s="9">
        <v>3010.58</v>
      </c>
      <c r="D3612" s="9">
        <v>3079.44</v>
      </c>
      <c r="E3612" s="9">
        <f t="shared" si="168"/>
        <v>1.7982135914923626E-2</v>
      </c>
      <c r="F3612" s="9">
        <f t="shared" si="166"/>
        <v>-0.10121057918477701</v>
      </c>
      <c r="G3612" s="9">
        <f t="shared" si="167"/>
        <v>1.7265343139816092E-2</v>
      </c>
    </row>
    <row r="3613" spans="1:7" x14ac:dyDescent="0.2">
      <c r="A3613" s="12">
        <v>42391</v>
      </c>
      <c r="B3613" s="9">
        <v>3186.52</v>
      </c>
      <c r="C3613" s="9">
        <v>3082.95</v>
      </c>
      <c r="D3613" s="9">
        <v>3172.83</v>
      </c>
      <c r="E3613" s="9">
        <f t="shared" si="168"/>
        <v>2.9876171836607755E-2</v>
      </c>
      <c r="F3613" s="9">
        <f t="shared" si="166"/>
        <v>-6.5916859944011794E-2</v>
      </c>
      <c r="G3613" s="9">
        <f t="shared" si="167"/>
        <v>1.8293134437779083E-2</v>
      </c>
    </row>
    <row r="3614" spans="1:7" x14ac:dyDescent="0.2">
      <c r="A3614" s="12">
        <v>42394</v>
      </c>
      <c r="B3614" s="9">
        <v>3194.47</v>
      </c>
      <c r="C3614" s="9">
        <v>3151.57</v>
      </c>
      <c r="D3614" s="9">
        <v>3163.35</v>
      </c>
      <c r="E3614" s="9">
        <f t="shared" si="168"/>
        <v>-2.99234146559723E-3</v>
      </c>
      <c r="F3614" s="9">
        <f t="shared" si="166"/>
        <v>-7.5236111794372673E-2</v>
      </c>
      <c r="G3614" s="9">
        <f t="shared" si="167"/>
        <v>1.8222381623109685E-2</v>
      </c>
    </row>
    <row r="3615" spans="1:7" x14ac:dyDescent="0.2">
      <c r="A3615" s="12">
        <v>42395</v>
      </c>
      <c r="B3615" s="9">
        <v>3214.57</v>
      </c>
      <c r="C3615" s="9">
        <v>3107.87</v>
      </c>
      <c r="D3615" s="9">
        <v>3214.57</v>
      </c>
      <c r="E3615" s="9">
        <f t="shared" si="168"/>
        <v>1.6062008044780338E-2</v>
      </c>
      <c r="F3615" s="9">
        <f t="shared" si="166"/>
        <v>-3.7944815735117557E-2</v>
      </c>
      <c r="G3615" s="9">
        <f t="shared" si="167"/>
        <v>1.8173108955282943E-2</v>
      </c>
    </row>
    <row r="3616" spans="1:7" x14ac:dyDescent="0.2">
      <c r="A3616" s="12">
        <v>42396</v>
      </c>
      <c r="B3616" s="9">
        <v>3227.44</v>
      </c>
      <c r="C3616" s="9">
        <v>3174.43</v>
      </c>
      <c r="D3616" s="9">
        <v>3217.32</v>
      </c>
      <c r="E3616" s="9">
        <f t="shared" si="168"/>
        <v>8.5511417874731212E-4</v>
      </c>
      <c r="F3616" s="9">
        <f t="shared" si="166"/>
        <v>-2.5816080006837102E-2</v>
      </c>
      <c r="G3616" s="9">
        <f t="shared" si="167"/>
        <v>1.807742870582239E-2</v>
      </c>
    </row>
    <row r="3617" spans="1:7" x14ac:dyDescent="0.2">
      <c r="A3617" s="12">
        <v>42397</v>
      </c>
      <c r="B3617" s="9">
        <v>3243.01</v>
      </c>
      <c r="C3617" s="9">
        <v>3166.96</v>
      </c>
      <c r="D3617" s="9">
        <v>3180.68</v>
      </c>
      <c r="E3617" s="9">
        <f t="shared" si="168"/>
        <v>-1.1453704456961629E-2</v>
      </c>
      <c r="F3617" s="9">
        <f t="shared" ref="F3617:F3680" si="169">LN(D3617/D3587)</f>
        <v>-5.0640705276151984E-2</v>
      </c>
      <c r="G3617" s="9">
        <f t="shared" ref="G3617:G3680" si="170">STDEV(E3588:E3617)</f>
        <v>1.7971383591342094E-2</v>
      </c>
    </row>
    <row r="3618" spans="1:7" x14ac:dyDescent="0.2">
      <c r="A3618" s="12">
        <v>42398</v>
      </c>
      <c r="B3618" s="9">
        <v>3229.68</v>
      </c>
      <c r="C3618" s="9">
        <v>3190.59</v>
      </c>
      <c r="D3618" s="9">
        <v>3221.33</v>
      </c>
      <c r="E3618" s="9">
        <f t="shared" si="168"/>
        <v>1.2699307345290279E-2</v>
      </c>
      <c r="F3618" s="9">
        <f t="shared" si="169"/>
        <v>-7.9772115208405058E-3</v>
      </c>
      <c r="G3618" s="9">
        <f t="shared" si="170"/>
        <v>1.7333373889600524E-2</v>
      </c>
    </row>
    <row r="3619" spans="1:7" x14ac:dyDescent="0.2">
      <c r="A3619" s="12">
        <v>42401</v>
      </c>
      <c r="B3619" s="9">
        <v>3252.96</v>
      </c>
      <c r="C3619" s="9">
        <v>3174.92</v>
      </c>
      <c r="D3619" s="9">
        <v>3202.52</v>
      </c>
      <c r="E3619" s="9">
        <f t="shared" si="168"/>
        <v>-5.8563178653513893E-3</v>
      </c>
      <c r="F3619" s="9">
        <f t="shared" si="169"/>
        <v>-8.6457000833155414E-4</v>
      </c>
      <c r="G3619" s="9">
        <f t="shared" si="170"/>
        <v>1.7201772657094223E-2</v>
      </c>
    </row>
    <row r="3620" spans="1:7" x14ac:dyDescent="0.2">
      <c r="A3620" s="12">
        <v>42402</v>
      </c>
      <c r="B3620" s="9">
        <v>3214.74</v>
      </c>
      <c r="C3620" s="9">
        <v>3152.63</v>
      </c>
      <c r="D3620" s="9">
        <v>3165.63</v>
      </c>
      <c r="E3620" s="9">
        <f t="shared" si="168"/>
        <v>-1.1585911969657001E-2</v>
      </c>
      <c r="F3620" s="9">
        <f t="shared" si="169"/>
        <v>-4.1215772231195935E-2</v>
      </c>
      <c r="G3620" s="9">
        <f t="shared" si="170"/>
        <v>1.6433061901206691E-2</v>
      </c>
    </row>
    <row r="3621" spans="1:7" x14ac:dyDescent="0.2">
      <c r="A3621" s="12">
        <v>42403</v>
      </c>
      <c r="B3621" s="9">
        <v>3165.83</v>
      </c>
      <c r="C3621" s="9">
        <v>3086.32</v>
      </c>
      <c r="D3621" s="9">
        <v>3111.09</v>
      </c>
      <c r="E3621" s="9">
        <f t="shared" si="168"/>
        <v>-1.7378940818917953E-2</v>
      </c>
      <c r="F3621" s="9">
        <f t="shared" si="169"/>
        <v>-6.6147593955633785E-2</v>
      </c>
      <c r="G3621" s="9">
        <f t="shared" si="170"/>
        <v>1.6595674838677337E-2</v>
      </c>
    </row>
    <row r="3622" spans="1:7" x14ac:dyDescent="0.2">
      <c r="A3622" s="12">
        <v>42404</v>
      </c>
      <c r="B3622" s="9">
        <v>3150.25</v>
      </c>
      <c r="C3622" s="9">
        <v>3071.19</v>
      </c>
      <c r="D3622" s="9">
        <v>3103.37</v>
      </c>
      <c r="E3622" s="9">
        <f t="shared" si="168"/>
        <v>-2.4845292981926178E-3</v>
      </c>
      <c r="F3622" s="9">
        <f t="shared" si="169"/>
        <v>-7.8463772445626342E-2</v>
      </c>
      <c r="G3622" s="9">
        <f t="shared" si="170"/>
        <v>1.6439249910009949E-2</v>
      </c>
    </row>
    <row r="3623" spans="1:7" x14ac:dyDescent="0.2">
      <c r="A3623" s="12">
        <v>42405</v>
      </c>
      <c r="B3623" s="9">
        <v>3149.16</v>
      </c>
      <c r="C3623" s="9">
        <v>3087.78</v>
      </c>
      <c r="D3623" s="9">
        <v>3101.47</v>
      </c>
      <c r="E3623" s="9">
        <f t="shared" si="168"/>
        <v>-6.1242515822660867E-4</v>
      </c>
      <c r="F3623" s="9">
        <f t="shared" si="169"/>
        <v>-6.2776312315985738E-2</v>
      </c>
      <c r="G3623" s="9">
        <f t="shared" si="170"/>
        <v>1.6237212051864704E-2</v>
      </c>
    </row>
    <row r="3624" spans="1:7" x14ac:dyDescent="0.2">
      <c r="A3624" s="12">
        <v>42408</v>
      </c>
      <c r="B3624" s="9">
        <v>3118.44</v>
      </c>
      <c r="C3624" s="9">
        <v>2983.61</v>
      </c>
      <c r="D3624" s="9">
        <v>2990.62</v>
      </c>
      <c r="E3624" s="9">
        <f t="shared" si="168"/>
        <v>-3.639546887879927E-2</v>
      </c>
      <c r="F3624" s="9">
        <f t="shared" si="169"/>
        <v>-9.3212946822232426E-2</v>
      </c>
      <c r="G3624" s="9">
        <f t="shared" si="170"/>
        <v>1.7396618227536024E-2</v>
      </c>
    </row>
    <row r="3625" spans="1:7" x14ac:dyDescent="0.2">
      <c r="A3625" s="12">
        <v>42409</v>
      </c>
      <c r="B3625" s="9">
        <v>3005.18</v>
      </c>
      <c r="C3625" s="9">
        <v>2905.1</v>
      </c>
      <c r="D3625" s="9">
        <v>2946.74</v>
      </c>
      <c r="E3625" s="9">
        <f t="shared" si="168"/>
        <v>-1.4781249216860195E-2</v>
      </c>
      <c r="F3625" s="9">
        <f t="shared" si="169"/>
        <v>-0.10674752781900322</v>
      </c>
      <c r="G3625" s="9">
        <f t="shared" si="170"/>
        <v>1.7521755822147975E-2</v>
      </c>
    </row>
    <row r="3626" spans="1:7" x14ac:dyDescent="0.2">
      <c r="A3626" s="12">
        <v>42410</v>
      </c>
      <c r="B3626" s="9">
        <v>3015.01</v>
      </c>
      <c r="C3626" s="9">
        <v>2920.48</v>
      </c>
      <c r="D3626" s="9">
        <v>2966.95</v>
      </c>
      <c r="E3626" s="9">
        <f t="shared" si="168"/>
        <v>6.8350145779935527E-3</v>
      </c>
      <c r="F3626" s="9">
        <f t="shared" si="169"/>
        <v>-0.12247903326749154</v>
      </c>
      <c r="G3626" s="9">
        <f t="shared" si="170"/>
        <v>1.6938644710259586E-2</v>
      </c>
    </row>
    <row r="3627" spans="1:7" x14ac:dyDescent="0.2">
      <c r="A3627" s="12">
        <v>42411</v>
      </c>
      <c r="B3627" s="9">
        <v>2963.56</v>
      </c>
      <c r="C3627" s="9">
        <v>2842.82</v>
      </c>
      <c r="D3627" s="9">
        <v>2858.41</v>
      </c>
      <c r="E3627" s="9">
        <f t="shared" si="168"/>
        <v>-3.7268962945970131E-2</v>
      </c>
      <c r="F3627" s="9">
        <f t="shared" si="169"/>
        <v>-0.15231631119817468</v>
      </c>
      <c r="G3627" s="9">
        <f t="shared" si="170"/>
        <v>1.7985677899210899E-2</v>
      </c>
    </row>
    <row r="3628" spans="1:7" x14ac:dyDescent="0.2">
      <c r="A3628" s="12">
        <v>42412</v>
      </c>
      <c r="B3628" s="9">
        <v>2911.4</v>
      </c>
      <c r="C3628" s="9">
        <v>2856.31</v>
      </c>
      <c r="D3628" s="9">
        <v>2908.13</v>
      </c>
      <c r="E3628" s="9">
        <f t="shared" si="168"/>
        <v>1.7244736754545482E-2</v>
      </c>
      <c r="F3628" s="9">
        <f t="shared" si="169"/>
        <v>-0.14944490464684101</v>
      </c>
      <c r="G3628" s="9">
        <f t="shared" si="170"/>
        <v>1.8100032994512641E-2</v>
      </c>
    </row>
    <row r="3629" spans="1:7" x14ac:dyDescent="0.2">
      <c r="A3629" s="12">
        <v>42415</v>
      </c>
      <c r="B3629" s="9">
        <v>3012.57</v>
      </c>
      <c r="C3629" s="9">
        <v>2922.88</v>
      </c>
      <c r="D3629" s="9">
        <v>3000.34</v>
      </c>
      <c r="E3629" s="9">
        <f t="shared" si="168"/>
        <v>3.1215352643539945E-2</v>
      </c>
      <c r="F3629" s="9">
        <f t="shared" si="169"/>
        <v>-0.11303081755927034</v>
      </c>
      <c r="G3629" s="9">
        <f t="shared" si="170"/>
        <v>1.926824243731521E-2</v>
      </c>
    </row>
    <row r="3630" spans="1:7" x14ac:dyDescent="0.2">
      <c r="A3630" s="12">
        <v>42416</v>
      </c>
      <c r="B3630" s="9">
        <v>3042.09</v>
      </c>
      <c r="C3630" s="9">
        <v>2976.61</v>
      </c>
      <c r="D3630" s="9">
        <v>2986.25</v>
      </c>
      <c r="E3630" s="9">
        <f t="shared" si="168"/>
        <v>-4.7071959218237648E-3</v>
      </c>
      <c r="F3630" s="9">
        <f t="shared" si="169"/>
        <v>-8.7840668862941895E-2</v>
      </c>
      <c r="G3630" s="9">
        <f t="shared" si="170"/>
        <v>1.8628549092410695E-2</v>
      </c>
    </row>
    <row r="3631" spans="1:7" x14ac:dyDescent="0.2">
      <c r="A3631" s="12">
        <v>42417</v>
      </c>
      <c r="B3631" s="9">
        <v>3085.87</v>
      </c>
      <c r="C3631" s="9">
        <v>2989.7</v>
      </c>
      <c r="D3631" s="9">
        <v>3085.31</v>
      </c>
      <c r="E3631" s="9">
        <f t="shared" si="168"/>
        <v>3.2633718874729288E-2</v>
      </c>
      <c r="F3631" s="9">
        <f t="shared" si="169"/>
        <v>-5.2937805224841726E-2</v>
      </c>
      <c r="G3631" s="9">
        <f t="shared" si="170"/>
        <v>1.9728553363323475E-2</v>
      </c>
    </row>
    <row r="3632" spans="1:7" x14ac:dyDescent="0.2">
      <c r="A3632" s="12">
        <v>42418</v>
      </c>
      <c r="B3632" s="9">
        <v>3136.36</v>
      </c>
      <c r="C3632" s="9">
        <v>3072.58</v>
      </c>
      <c r="D3632" s="9">
        <v>3115.54</v>
      </c>
      <c r="E3632" s="9">
        <f t="shared" si="168"/>
        <v>9.7503534177614815E-3</v>
      </c>
      <c r="F3632" s="9">
        <f t="shared" si="169"/>
        <v>-2.0205082504874423E-2</v>
      </c>
      <c r="G3632" s="9">
        <f t="shared" si="170"/>
        <v>1.9417326370760518E-2</v>
      </c>
    </row>
    <row r="3633" spans="1:7" x14ac:dyDescent="0.2">
      <c r="A3633" s="12">
        <v>42419</v>
      </c>
      <c r="B3633" s="9">
        <v>3128.73</v>
      </c>
      <c r="C3633" s="9">
        <v>3080.17</v>
      </c>
      <c r="D3633" s="9">
        <v>3090.72</v>
      </c>
      <c r="E3633" s="9">
        <f t="shared" si="168"/>
        <v>-7.998418474527258E-3</v>
      </c>
      <c r="F3633" s="9">
        <f t="shared" si="169"/>
        <v>-2.8810401106359823E-2</v>
      </c>
      <c r="G3633" s="9">
        <f t="shared" si="170"/>
        <v>1.9461270924142949E-2</v>
      </c>
    </row>
    <row r="3634" spans="1:7" x14ac:dyDescent="0.2">
      <c r="A3634" s="12">
        <v>42422</v>
      </c>
      <c r="B3634" s="9">
        <v>3176.19</v>
      </c>
      <c r="C3634" s="9">
        <v>3101.48</v>
      </c>
      <c r="D3634" s="9">
        <v>3176.19</v>
      </c>
      <c r="E3634" s="9">
        <f t="shared" si="168"/>
        <v>2.7278291797260351E-2</v>
      </c>
      <c r="F3634" s="9">
        <f t="shared" si="169"/>
        <v>-8.876827295808987E-3</v>
      </c>
      <c r="G3634" s="9">
        <f t="shared" si="170"/>
        <v>2.0084899634243758E-2</v>
      </c>
    </row>
    <row r="3635" spans="1:7" x14ac:dyDescent="0.2">
      <c r="A3635" s="12">
        <v>42423</v>
      </c>
      <c r="B3635" s="9">
        <v>3174.88</v>
      </c>
      <c r="C3635" s="9">
        <v>3125.54</v>
      </c>
      <c r="D3635" s="9">
        <v>3127.14</v>
      </c>
      <c r="E3635" s="9">
        <f t="shared" si="168"/>
        <v>-1.5563516453270598E-2</v>
      </c>
      <c r="F3635" s="9">
        <f t="shared" si="169"/>
        <v>-3.4870977445986058E-2</v>
      </c>
      <c r="G3635" s="9">
        <f t="shared" si="170"/>
        <v>2.0166728572147349E-2</v>
      </c>
    </row>
    <row r="3636" spans="1:7" x14ac:dyDescent="0.2">
      <c r="A3636" s="12">
        <v>42424</v>
      </c>
      <c r="B3636" s="9">
        <v>3127.82</v>
      </c>
      <c r="C3636" s="9">
        <v>3043.93</v>
      </c>
      <c r="D3636" s="9">
        <v>3057.68</v>
      </c>
      <c r="E3636" s="9">
        <f t="shared" si="168"/>
        <v>-2.246239034636522E-2</v>
      </c>
      <c r="F3636" s="9">
        <f t="shared" si="169"/>
        <v>-6.4656454909412797E-2</v>
      </c>
      <c r="G3636" s="9">
        <f t="shared" si="170"/>
        <v>2.0465553006908214E-2</v>
      </c>
    </row>
    <row r="3637" spans="1:7" x14ac:dyDescent="0.2">
      <c r="A3637" s="12">
        <v>42425</v>
      </c>
      <c r="B3637" s="9">
        <v>3119.14</v>
      </c>
      <c r="C3637" s="9">
        <v>3060.48</v>
      </c>
      <c r="D3637" s="9">
        <v>3106.14</v>
      </c>
      <c r="E3637" s="9">
        <f t="shared" si="168"/>
        <v>1.5724339287445668E-2</v>
      </c>
      <c r="F3637" s="9">
        <f t="shared" si="169"/>
        <v>-2.1321927254736542E-2</v>
      </c>
      <c r="G3637" s="9">
        <f t="shared" si="170"/>
        <v>2.0133565814803051E-2</v>
      </c>
    </row>
    <row r="3638" spans="1:7" x14ac:dyDescent="0.2">
      <c r="A3638" s="12">
        <v>42426</v>
      </c>
      <c r="B3638" s="9">
        <v>3140.85</v>
      </c>
      <c r="C3638" s="9">
        <v>3109.52</v>
      </c>
      <c r="D3638" s="9">
        <v>3129.27</v>
      </c>
      <c r="E3638" s="9">
        <f t="shared" si="168"/>
        <v>7.4189527524766629E-3</v>
      </c>
      <c r="F3638" s="9">
        <f t="shared" si="169"/>
        <v>1.7520865853503126E-2</v>
      </c>
      <c r="G3638" s="9">
        <f t="shared" si="170"/>
        <v>1.932298816648088E-2</v>
      </c>
    </row>
    <row r="3639" spans="1:7" x14ac:dyDescent="0.2">
      <c r="A3639" s="12">
        <v>42429</v>
      </c>
      <c r="B3639" s="9">
        <v>3133.62</v>
      </c>
      <c r="C3639" s="9">
        <v>3073.87</v>
      </c>
      <c r="D3639" s="9">
        <v>3131.49</v>
      </c>
      <c r="E3639" s="9">
        <f t="shared" si="168"/>
        <v>7.0917910702302965E-4</v>
      </c>
      <c r="F3639" s="9">
        <f t="shared" si="169"/>
        <v>2.1144933954476502E-2</v>
      </c>
      <c r="G3639" s="9">
        <f t="shared" si="170"/>
        <v>1.9311684616909332E-2</v>
      </c>
    </row>
    <row r="3640" spans="1:7" x14ac:dyDescent="0.2">
      <c r="A3640" s="12">
        <v>42430</v>
      </c>
      <c r="B3640" s="9">
        <v>3187.04</v>
      </c>
      <c r="C3640" s="9">
        <v>3114.06</v>
      </c>
      <c r="D3640" s="9">
        <v>3186.95</v>
      </c>
      <c r="E3640" s="9">
        <f t="shared" si="168"/>
        <v>1.7555416956226075E-2</v>
      </c>
      <c r="F3640" s="9">
        <f t="shared" si="169"/>
        <v>2.1064691975930042E-2</v>
      </c>
      <c r="G3640" s="9">
        <f t="shared" si="170"/>
        <v>1.9309264184852872E-2</v>
      </c>
    </row>
    <row r="3641" spans="1:7" x14ac:dyDescent="0.2">
      <c r="A3641" s="12">
        <v>42431</v>
      </c>
      <c r="B3641" s="9">
        <v>3222.3</v>
      </c>
      <c r="C3641" s="9">
        <v>3142.26</v>
      </c>
      <c r="D3641" s="9">
        <v>3164.99</v>
      </c>
      <c r="E3641" s="9">
        <f t="shared" si="168"/>
        <v>-6.9144505431558171E-3</v>
      </c>
      <c r="F3641" s="9">
        <f t="shared" si="169"/>
        <v>4.5384269675674077E-2</v>
      </c>
      <c r="G3641" s="9">
        <f t="shared" si="170"/>
        <v>1.8411916025922636E-2</v>
      </c>
    </row>
    <row r="3642" spans="1:7" x14ac:dyDescent="0.2">
      <c r="A3642" s="12">
        <v>42432</v>
      </c>
      <c r="B3642" s="9">
        <v>3189.15</v>
      </c>
      <c r="C3642" s="9">
        <v>3159.66</v>
      </c>
      <c r="D3642" s="9">
        <v>3177.85</v>
      </c>
      <c r="E3642" s="9">
        <f t="shared" si="168"/>
        <v>4.0549714705681141E-3</v>
      </c>
      <c r="F3642" s="9">
        <f t="shared" si="169"/>
        <v>3.1457105231318637E-2</v>
      </c>
      <c r="G3642" s="9">
        <f t="shared" si="170"/>
        <v>1.8156141955939762E-2</v>
      </c>
    </row>
    <row r="3643" spans="1:7" x14ac:dyDescent="0.2">
      <c r="A3643" s="12">
        <v>42433</v>
      </c>
      <c r="B3643" s="9">
        <v>3199.93</v>
      </c>
      <c r="C3643" s="9">
        <v>3163.73</v>
      </c>
      <c r="D3643" s="9">
        <v>3187.08</v>
      </c>
      <c r="E3643" s="9">
        <f t="shared" si="168"/>
        <v>2.9002695928764519E-3</v>
      </c>
      <c r="F3643" s="9">
        <f t="shared" si="169"/>
        <v>4.4812029875873575E-3</v>
      </c>
      <c r="G3643" s="9">
        <f t="shared" si="170"/>
        <v>1.73283311578304E-2</v>
      </c>
    </row>
    <row r="3644" spans="1:7" x14ac:dyDescent="0.2">
      <c r="A3644" s="12">
        <v>42436</v>
      </c>
      <c r="B3644" s="9">
        <v>3193.24</v>
      </c>
      <c r="C3644" s="9">
        <v>3155.26</v>
      </c>
      <c r="D3644" s="9">
        <v>3180.95</v>
      </c>
      <c r="E3644" s="9">
        <f t="shared" si="168"/>
        <v>-1.9252427810278077E-3</v>
      </c>
      <c r="F3644" s="9">
        <f t="shared" si="169"/>
        <v>5.5483016721566934E-3</v>
      </c>
      <c r="G3644" s="9">
        <f t="shared" si="170"/>
        <v>1.7322754085431651E-2</v>
      </c>
    </row>
    <row r="3645" spans="1:7" x14ac:dyDescent="0.2">
      <c r="A3645" s="12">
        <v>42437</v>
      </c>
      <c r="B3645" s="9">
        <v>3179.3</v>
      </c>
      <c r="C3645" s="9">
        <v>3122.17</v>
      </c>
      <c r="D3645" s="9">
        <v>3133.92</v>
      </c>
      <c r="E3645" s="9">
        <f t="shared" si="168"/>
        <v>-1.4895277191606862E-2</v>
      </c>
      <c r="F3645" s="9">
        <f t="shared" si="169"/>
        <v>-2.540898356423035E-2</v>
      </c>
      <c r="G3645" s="9">
        <f t="shared" si="170"/>
        <v>1.7266314841264691E-2</v>
      </c>
    </row>
    <row r="3646" spans="1:7" x14ac:dyDescent="0.2">
      <c r="A3646" s="12">
        <v>42438</v>
      </c>
      <c r="B3646" s="9">
        <v>3160.28</v>
      </c>
      <c r="C3646" s="9">
        <v>3129.83</v>
      </c>
      <c r="D3646" s="9">
        <v>3150.9</v>
      </c>
      <c r="E3646" s="9">
        <f t="shared" si="168"/>
        <v>5.4035091904063911E-3</v>
      </c>
      <c r="F3646" s="9">
        <f t="shared" si="169"/>
        <v>-2.0860588552571266E-2</v>
      </c>
      <c r="G3646" s="9">
        <f t="shared" si="170"/>
        <v>1.7301709089797716E-2</v>
      </c>
    </row>
    <row r="3647" spans="1:7" x14ac:dyDescent="0.2">
      <c r="A3647" s="12">
        <v>42439</v>
      </c>
      <c r="B3647" s="9">
        <v>3215.33</v>
      </c>
      <c r="C3647" s="9">
        <v>3110.66</v>
      </c>
      <c r="D3647" s="9">
        <v>3110.82</v>
      </c>
      <c r="E3647" s="9">
        <f t="shared" si="168"/>
        <v>-1.2801769282368402E-2</v>
      </c>
      <c r="F3647" s="9">
        <f t="shared" si="169"/>
        <v>-2.2208653377978033E-2</v>
      </c>
      <c r="G3647" s="9">
        <f t="shared" si="170"/>
        <v>1.7332337326425553E-2</v>
      </c>
    </row>
    <row r="3648" spans="1:7" x14ac:dyDescent="0.2">
      <c r="A3648" s="12">
        <v>42440</v>
      </c>
      <c r="B3648" s="9">
        <v>3178.2</v>
      </c>
      <c r="C3648" s="9">
        <v>3123.17</v>
      </c>
      <c r="D3648" s="9">
        <v>3173.5</v>
      </c>
      <c r="E3648" s="9">
        <f t="shared" si="168"/>
        <v>1.9948722732053736E-2</v>
      </c>
      <c r="F3648" s="9">
        <f t="shared" si="169"/>
        <v>-1.4959237991214331E-2</v>
      </c>
      <c r="G3648" s="9">
        <f t="shared" si="170"/>
        <v>1.7575009929288267E-2</v>
      </c>
    </row>
    <row r="3649" spans="1:7" x14ac:dyDescent="0.2">
      <c r="A3649" s="12">
        <v>42443</v>
      </c>
      <c r="B3649" s="9">
        <v>3243.17</v>
      </c>
      <c r="C3649" s="9">
        <v>3174.19</v>
      </c>
      <c r="D3649" s="9">
        <v>3238.86</v>
      </c>
      <c r="E3649" s="9">
        <f t="shared" si="168"/>
        <v>2.0386336273612131E-2</v>
      </c>
      <c r="F3649" s="9">
        <f t="shared" si="169"/>
        <v>1.1283416147749002E-2</v>
      </c>
      <c r="G3649" s="9">
        <f t="shared" si="170"/>
        <v>1.7948268515266822E-2</v>
      </c>
    </row>
    <row r="3650" spans="1:7" x14ac:dyDescent="0.2">
      <c r="A3650" s="12">
        <v>42444</v>
      </c>
      <c r="B3650" s="9">
        <v>3238.86</v>
      </c>
      <c r="C3650" s="9">
        <v>3201.47</v>
      </c>
      <c r="D3650" s="9">
        <v>3207.31</v>
      </c>
      <c r="E3650" s="9">
        <f t="shared" si="168"/>
        <v>-9.7888364501140853E-3</v>
      </c>
      <c r="F3650" s="9">
        <f t="shared" si="169"/>
        <v>1.3080491667292027E-2</v>
      </c>
      <c r="G3650" s="9">
        <f t="shared" si="170"/>
        <v>1.7909926395867207E-2</v>
      </c>
    </row>
    <row r="3651" spans="1:7" x14ac:dyDescent="0.2">
      <c r="A3651" s="12">
        <v>42445</v>
      </c>
      <c r="B3651" s="9">
        <v>3227.32</v>
      </c>
      <c r="C3651" s="9">
        <v>3193.81</v>
      </c>
      <c r="D3651" s="9">
        <v>3206.27</v>
      </c>
      <c r="E3651" s="9">
        <f t="shared" si="168"/>
        <v>-3.2431185363418627E-4</v>
      </c>
      <c r="F3651" s="9">
        <f t="shared" si="169"/>
        <v>3.013512063257583E-2</v>
      </c>
      <c r="G3651" s="9">
        <f t="shared" si="170"/>
        <v>1.7592816416756887E-2</v>
      </c>
    </row>
    <row r="3652" spans="1:7" x14ac:dyDescent="0.2">
      <c r="A3652" s="12">
        <v>42446</v>
      </c>
      <c r="B3652" s="9">
        <v>3238.03</v>
      </c>
      <c r="C3652" s="9">
        <v>3172.94</v>
      </c>
      <c r="D3652" s="9">
        <v>3229.82</v>
      </c>
      <c r="E3652" s="9">
        <f t="shared" ref="E3652:E3715" si="171">LN(D3652/D3651)</f>
        <v>7.3181403932961785E-3</v>
      </c>
      <c r="F3652" s="9">
        <f t="shared" si="169"/>
        <v>3.9937790324064595E-2</v>
      </c>
      <c r="G3652" s="9">
        <f t="shared" si="170"/>
        <v>1.7616796518551817E-2</v>
      </c>
    </row>
    <row r="3653" spans="1:7" x14ac:dyDescent="0.2">
      <c r="A3653" s="12">
        <v>42447</v>
      </c>
      <c r="B3653" s="9">
        <v>3242.51</v>
      </c>
      <c r="C3653" s="9">
        <v>3210.5</v>
      </c>
      <c r="D3653" s="9">
        <v>3240.05</v>
      </c>
      <c r="E3653" s="9">
        <f t="shared" si="171"/>
        <v>3.1623536563820313E-3</v>
      </c>
      <c r="F3653" s="9">
        <f t="shared" si="169"/>
        <v>4.3712569138673218E-2</v>
      </c>
      <c r="G3653" s="9">
        <f t="shared" si="170"/>
        <v>1.7615915704325202E-2</v>
      </c>
    </row>
    <row r="3654" spans="1:7" x14ac:dyDescent="0.2">
      <c r="A3654" s="12">
        <v>42450</v>
      </c>
      <c r="B3654" s="9">
        <v>3259.18</v>
      </c>
      <c r="C3654" s="9">
        <v>3213.15</v>
      </c>
      <c r="D3654" s="9">
        <v>3236.54</v>
      </c>
      <c r="E3654" s="9">
        <f t="shared" si="171"/>
        <v>-1.0839038270581448E-3</v>
      </c>
      <c r="F3654" s="9">
        <f t="shared" si="169"/>
        <v>7.9024134190414416E-2</v>
      </c>
      <c r="G3654" s="9">
        <f t="shared" si="170"/>
        <v>1.6115286474775951E-2</v>
      </c>
    </row>
    <row r="3655" spans="1:7" x14ac:dyDescent="0.2">
      <c r="A3655" s="12">
        <v>42451</v>
      </c>
      <c r="B3655" s="9">
        <v>3236.42</v>
      </c>
      <c r="C3655" s="9">
        <v>3187.57</v>
      </c>
      <c r="D3655" s="9">
        <v>3223.42</v>
      </c>
      <c r="E3655" s="9">
        <f t="shared" si="171"/>
        <v>-4.0619502409867782E-3</v>
      </c>
      <c r="F3655" s="9">
        <f t="shared" si="169"/>
        <v>8.97434331662878E-2</v>
      </c>
      <c r="G3655" s="9">
        <f t="shared" si="170"/>
        <v>1.5832183573426081E-2</v>
      </c>
    </row>
    <row r="3656" spans="1:7" x14ac:dyDescent="0.2">
      <c r="A3656" s="12">
        <v>42452</v>
      </c>
      <c r="B3656" s="9">
        <v>3236.76</v>
      </c>
      <c r="C3656" s="9">
        <v>3190.78</v>
      </c>
      <c r="D3656" s="9">
        <v>3203.7</v>
      </c>
      <c r="E3656" s="9">
        <f t="shared" si="171"/>
        <v>-6.1365158524129106E-3</v>
      </c>
      <c r="F3656" s="9">
        <f t="shared" si="169"/>
        <v>7.6771902735881303E-2</v>
      </c>
      <c r="G3656" s="9">
        <f t="shared" si="170"/>
        <v>1.5900575886117825E-2</v>
      </c>
    </row>
    <row r="3657" spans="1:7" x14ac:dyDescent="0.2">
      <c r="A3657" s="12">
        <v>42453</v>
      </c>
      <c r="B3657" s="9">
        <v>3200.48</v>
      </c>
      <c r="C3657" s="9">
        <v>3147.57</v>
      </c>
      <c r="D3657" s="9">
        <v>3149.05</v>
      </c>
      <c r="E3657" s="9">
        <f t="shared" si="171"/>
        <v>-1.7205571814113602E-2</v>
      </c>
      <c r="F3657" s="9">
        <f t="shared" si="169"/>
        <v>9.6835293867737857E-2</v>
      </c>
      <c r="G3657" s="9">
        <f t="shared" si="170"/>
        <v>1.4530553095475601E-2</v>
      </c>
    </row>
    <row r="3658" spans="1:7" x14ac:dyDescent="0.2">
      <c r="A3658" s="12">
        <v>42458</v>
      </c>
      <c r="B3658" s="9">
        <v>3172.53</v>
      </c>
      <c r="C3658" s="9">
        <v>3140.62</v>
      </c>
      <c r="D3658" s="9">
        <v>3165.09</v>
      </c>
      <c r="E3658" s="9">
        <f t="shared" si="171"/>
        <v>5.0806711614424099E-3</v>
      </c>
      <c r="F3658" s="9">
        <f t="shared" si="169"/>
        <v>8.4671228274634719E-2</v>
      </c>
      <c r="G3658" s="9">
        <f t="shared" si="170"/>
        <v>1.4293716656259689E-2</v>
      </c>
    </row>
    <row r="3659" spans="1:7" x14ac:dyDescent="0.2">
      <c r="A3659" s="12">
        <v>42459</v>
      </c>
      <c r="B3659" s="9">
        <v>3231.02</v>
      </c>
      <c r="C3659" s="9">
        <v>3165.09</v>
      </c>
      <c r="D3659" s="9">
        <v>3231.02</v>
      </c>
      <c r="E3659" s="9">
        <f t="shared" si="171"/>
        <v>2.0616385646447331E-2</v>
      </c>
      <c r="F3659" s="9">
        <f t="shared" si="169"/>
        <v>7.4072261277542129E-2</v>
      </c>
      <c r="G3659" s="9">
        <f t="shared" si="170"/>
        <v>1.368578517057864E-2</v>
      </c>
    </row>
    <row r="3660" spans="1:7" x14ac:dyDescent="0.2">
      <c r="A3660" s="12">
        <v>42460</v>
      </c>
      <c r="B3660" s="9">
        <v>3230.31</v>
      </c>
      <c r="C3660" s="9">
        <v>3174.37</v>
      </c>
      <c r="D3660" s="9">
        <v>3179.39</v>
      </c>
      <c r="E3660" s="9">
        <f t="shared" si="171"/>
        <v>-1.6108522365091183E-2</v>
      </c>
      <c r="F3660" s="9">
        <f t="shared" si="169"/>
        <v>6.2670934834274869E-2</v>
      </c>
      <c r="G3660" s="9">
        <f t="shared" si="170"/>
        <v>1.404551224959737E-2</v>
      </c>
    </row>
    <row r="3661" spans="1:7" x14ac:dyDescent="0.2">
      <c r="A3661" s="12">
        <v>42461</v>
      </c>
      <c r="B3661" s="9">
        <v>3173.5</v>
      </c>
      <c r="C3661" s="9">
        <v>3099.89</v>
      </c>
      <c r="D3661" s="9">
        <v>3122.27</v>
      </c>
      <c r="E3661" s="9">
        <f t="shared" si="171"/>
        <v>-1.8129053114655087E-2</v>
      </c>
      <c r="F3661" s="9">
        <f t="shared" si="169"/>
        <v>1.1908162844890251E-2</v>
      </c>
      <c r="G3661" s="9">
        <f t="shared" si="170"/>
        <v>1.3275481288565604E-2</v>
      </c>
    </row>
    <row r="3662" spans="1:7" x14ac:dyDescent="0.2">
      <c r="A3662" s="12">
        <v>42464</v>
      </c>
      <c r="B3662" s="9">
        <v>3149.7</v>
      </c>
      <c r="C3662" s="9">
        <v>3105.04</v>
      </c>
      <c r="D3662" s="9">
        <v>3129.48</v>
      </c>
      <c r="E3662" s="9">
        <f t="shared" si="171"/>
        <v>2.3065551874438877E-3</v>
      </c>
      <c r="F3662" s="9">
        <f t="shared" si="169"/>
        <v>4.4643646145727254E-3</v>
      </c>
      <c r="G3662" s="9">
        <f t="shared" si="170"/>
        <v>1.3163726236698642E-2</v>
      </c>
    </row>
    <row r="3663" spans="1:7" x14ac:dyDescent="0.2">
      <c r="A3663" s="12">
        <v>42465</v>
      </c>
      <c r="B3663" s="9">
        <v>3129.48</v>
      </c>
      <c r="C3663" s="9">
        <v>3074.03</v>
      </c>
      <c r="D3663" s="9">
        <v>3088.52</v>
      </c>
      <c r="E3663" s="9">
        <f t="shared" si="171"/>
        <v>-1.3174844796674313E-2</v>
      </c>
      <c r="F3663" s="9">
        <f t="shared" si="169"/>
        <v>-7.1206170757424979E-4</v>
      </c>
      <c r="G3663" s="9">
        <f t="shared" si="170"/>
        <v>1.3307343387019777E-2</v>
      </c>
    </row>
    <row r="3664" spans="1:7" x14ac:dyDescent="0.2">
      <c r="A3664" s="12">
        <v>42466</v>
      </c>
      <c r="B3664" s="9">
        <v>3092.05</v>
      </c>
      <c r="C3664" s="9">
        <v>3051.88</v>
      </c>
      <c r="D3664" s="9">
        <v>3073.12</v>
      </c>
      <c r="E3664" s="9">
        <f t="shared" si="171"/>
        <v>-4.9986795938669068E-3</v>
      </c>
      <c r="F3664" s="9">
        <f t="shared" si="169"/>
        <v>-3.298903309870159E-2</v>
      </c>
      <c r="G3664" s="9">
        <f t="shared" si="170"/>
        <v>1.2289747438727608E-2</v>
      </c>
    </row>
    <row r="3665" spans="1:7" x14ac:dyDescent="0.2">
      <c r="A3665" s="12">
        <v>42467</v>
      </c>
      <c r="B3665" s="9">
        <v>3093.37</v>
      </c>
      <c r="C3665" s="9">
        <v>3031.96</v>
      </c>
      <c r="D3665" s="9">
        <v>3031.96</v>
      </c>
      <c r="E3665" s="9">
        <f t="shared" si="171"/>
        <v>-1.3484057093439989E-2</v>
      </c>
      <c r="F3665" s="9">
        <f t="shared" si="169"/>
        <v>-3.0909573738870919E-2</v>
      </c>
      <c r="G3665" s="9">
        <f t="shared" si="170"/>
        <v>1.2210968464374515E-2</v>
      </c>
    </row>
    <row r="3666" spans="1:7" x14ac:dyDescent="0.2">
      <c r="A3666" s="12">
        <v>42468</v>
      </c>
      <c r="B3666" s="9">
        <v>3097.26</v>
      </c>
      <c r="C3666" s="9">
        <v>3039.42</v>
      </c>
      <c r="D3666" s="9">
        <v>3092.81</v>
      </c>
      <c r="E3666" s="9">
        <f t="shared" si="171"/>
        <v>1.9870787701826535E-2</v>
      </c>
      <c r="F3666" s="9">
        <f t="shared" si="169"/>
        <v>1.1423604309320712E-2</v>
      </c>
      <c r="G3666" s="9">
        <f t="shared" si="170"/>
        <v>1.2094328629895219E-2</v>
      </c>
    </row>
    <row r="3667" spans="1:7" x14ac:dyDescent="0.2">
      <c r="A3667" s="12">
        <v>42471</v>
      </c>
      <c r="B3667" s="9">
        <v>3114.66</v>
      </c>
      <c r="C3667" s="9">
        <v>3070.66</v>
      </c>
      <c r="D3667" s="9">
        <v>3102.32</v>
      </c>
      <c r="E3667" s="9">
        <f t="shared" si="171"/>
        <v>3.0701559031016006E-3</v>
      </c>
      <c r="F3667" s="9">
        <f t="shared" si="169"/>
        <v>-1.2305790750233774E-3</v>
      </c>
      <c r="G3667" s="9">
        <f t="shared" si="170"/>
        <v>1.1756702060473776E-2</v>
      </c>
    </row>
    <row r="3668" spans="1:7" x14ac:dyDescent="0.2">
      <c r="A3668" s="12">
        <v>42472</v>
      </c>
      <c r="B3668" s="9">
        <v>3112.2</v>
      </c>
      <c r="C3668" s="9">
        <v>3063.47</v>
      </c>
      <c r="D3668" s="9">
        <v>3111.82</v>
      </c>
      <c r="E3668" s="9">
        <f t="shared" si="171"/>
        <v>3.057545340452788E-3</v>
      </c>
      <c r="F3668" s="9">
        <f t="shared" si="169"/>
        <v>-5.5919864870472699E-3</v>
      </c>
      <c r="G3668" s="9">
        <f t="shared" si="170"/>
        <v>1.1688038557198341E-2</v>
      </c>
    </row>
    <row r="3669" spans="1:7" x14ac:dyDescent="0.2">
      <c r="A3669" s="12">
        <v>42473</v>
      </c>
      <c r="B3669" s="9">
        <v>3157.38</v>
      </c>
      <c r="C3669" s="9">
        <v>3107.64</v>
      </c>
      <c r="D3669" s="9">
        <v>3154.58</v>
      </c>
      <c r="E3669" s="9">
        <f t="shared" si="171"/>
        <v>1.3647601076781053E-2</v>
      </c>
      <c r="F3669" s="9">
        <f t="shared" si="169"/>
        <v>7.3464354827106138E-3</v>
      </c>
      <c r="G3669" s="9">
        <f t="shared" si="170"/>
        <v>1.1957820315476623E-2</v>
      </c>
    </row>
    <row r="3670" spans="1:7" x14ac:dyDescent="0.2">
      <c r="A3670" s="12">
        <v>42474</v>
      </c>
      <c r="B3670" s="9">
        <v>3179.12</v>
      </c>
      <c r="C3670" s="9">
        <v>3152.67</v>
      </c>
      <c r="D3670" s="9">
        <v>3179.12</v>
      </c>
      <c r="E3670" s="9">
        <f t="shared" si="171"/>
        <v>7.7490638325204827E-3</v>
      </c>
      <c r="F3670" s="9">
        <f t="shared" si="169"/>
        <v>-2.4599176409948716E-3</v>
      </c>
      <c r="G3670" s="9">
        <f t="shared" si="170"/>
        <v>1.1596888936722715E-2</v>
      </c>
    </row>
    <row r="3671" spans="1:7" x14ac:dyDescent="0.2">
      <c r="A3671" s="12">
        <v>42475</v>
      </c>
      <c r="B3671" s="9">
        <v>3183.35</v>
      </c>
      <c r="C3671" s="9">
        <v>3163.88</v>
      </c>
      <c r="D3671" s="9">
        <v>3175.69</v>
      </c>
      <c r="E3671" s="9">
        <f t="shared" si="171"/>
        <v>-1.0794973675328377E-3</v>
      </c>
      <c r="F3671" s="9">
        <f t="shared" si="169"/>
        <v>3.3750355346281575E-3</v>
      </c>
      <c r="G3671" s="9">
        <f t="shared" si="170"/>
        <v>1.1527066882597713E-2</v>
      </c>
    </row>
    <row r="3672" spans="1:7" x14ac:dyDescent="0.2">
      <c r="A3672" s="12">
        <v>42478</v>
      </c>
      <c r="B3672" s="9">
        <v>3199.53</v>
      </c>
      <c r="C3672" s="9">
        <v>3137.2</v>
      </c>
      <c r="D3672" s="9">
        <v>3192.58</v>
      </c>
      <c r="E3672" s="9">
        <f t="shared" si="171"/>
        <v>5.3044357738800899E-3</v>
      </c>
      <c r="F3672" s="9">
        <f t="shared" si="169"/>
        <v>4.6244998379399256E-3</v>
      </c>
      <c r="G3672" s="9">
        <f t="shared" si="170"/>
        <v>1.1544047474456922E-2</v>
      </c>
    </row>
    <row r="3673" spans="1:7" x14ac:dyDescent="0.2">
      <c r="A3673" s="12">
        <v>42479</v>
      </c>
      <c r="B3673" s="9">
        <v>3246.47</v>
      </c>
      <c r="C3673" s="9">
        <v>3193.96</v>
      </c>
      <c r="D3673" s="9">
        <v>3245.31</v>
      </c>
      <c r="E3673" s="9">
        <f t="shared" si="171"/>
        <v>1.6381509838264707E-2</v>
      </c>
      <c r="F3673" s="9">
        <f t="shared" si="169"/>
        <v>1.8105740083328162E-2</v>
      </c>
      <c r="G3673" s="9">
        <f t="shared" si="170"/>
        <v>1.1911185466609256E-2</v>
      </c>
    </row>
    <row r="3674" spans="1:7" x14ac:dyDescent="0.2">
      <c r="A3674" s="12">
        <v>42480</v>
      </c>
      <c r="B3674" s="9">
        <v>3255.49</v>
      </c>
      <c r="C3674" s="9">
        <v>3232.16</v>
      </c>
      <c r="D3674" s="9">
        <v>3255.49</v>
      </c>
      <c r="E3674" s="9">
        <f t="shared" si="171"/>
        <v>3.1319247850296033E-3</v>
      </c>
      <c r="F3674" s="9">
        <f t="shared" si="169"/>
        <v>2.3162907649385681E-2</v>
      </c>
      <c r="G3674" s="9">
        <f t="shared" si="170"/>
        <v>1.1909948726804852E-2</v>
      </c>
    </row>
    <row r="3675" spans="1:7" x14ac:dyDescent="0.2">
      <c r="A3675" s="12">
        <v>42481</v>
      </c>
      <c r="B3675" s="9">
        <v>3258.7</v>
      </c>
      <c r="C3675" s="9">
        <v>3186.3</v>
      </c>
      <c r="D3675" s="9">
        <v>3213.71</v>
      </c>
      <c r="E3675" s="9">
        <f t="shared" si="171"/>
        <v>-1.2916768963648989E-2</v>
      </c>
      <c r="F3675" s="9">
        <f t="shared" si="169"/>
        <v>2.5141415877343365E-2</v>
      </c>
      <c r="G3675" s="9">
        <f t="shared" si="170"/>
        <v>1.1825378081058218E-2</v>
      </c>
    </row>
    <row r="3676" spans="1:7" x14ac:dyDescent="0.2">
      <c r="A3676" s="12">
        <v>42482</v>
      </c>
      <c r="B3676" s="9">
        <v>3211.1</v>
      </c>
      <c r="C3676" s="9">
        <v>3157.43</v>
      </c>
      <c r="D3676" s="9">
        <v>3178.55</v>
      </c>
      <c r="E3676" s="9">
        <f t="shared" si="171"/>
        <v>-1.1000915040461622E-2</v>
      </c>
      <c r="F3676" s="9">
        <f t="shared" si="169"/>
        <v>8.7369916464754283E-3</v>
      </c>
      <c r="G3676" s="9">
        <f t="shared" si="170"/>
        <v>1.1985184602185412E-2</v>
      </c>
    </row>
    <row r="3677" spans="1:7" x14ac:dyDescent="0.2">
      <c r="A3677" s="12">
        <v>42485</v>
      </c>
      <c r="B3677" s="9">
        <v>3181.9</v>
      </c>
      <c r="C3677" s="9">
        <v>3119.57</v>
      </c>
      <c r="D3677" s="9">
        <v>3122.96</v>
      </c>
      <c r="E3677" s="9">
        <f t="shared" si="171"/>
        <v>-1.764384793950809E-2</v>
      </c>
      <c r="F3677" s="9">
        <f t="shared" si="169"/>
        <v>3.8949129893357907E-3</v>
      </c>
      <c r="G3677" s="9">
        <f t="shared" si="170"/>
        <v>1.2198295166901565E-2</v>
      </c>
    </row>
    <row r="3678" spans="1:7" x14ac:dyDescent="0.2">
      <c r="A3678" s="12">
        <v>42486</v>
      </c>
      <c r="B3678" s="9">
        <v>3180.99</v>
      </c>
      <c r="C3678" s="9">
        <v>3120.51</v>
      </c>
      <c r="D3678" s="9">
        <v>3157.42</v>
      </c>
      <c r="E3678" s="9">
        <f t="shared" si="171"/>
        <v>1.0973968399469019E-2</v>
      </c>
      <c r="F3678" s="9">
        <f t="shared" si="169"/>
        <v>-5.0798413432490168E-3</v>
      </c>
      <c r="G3678" s="9">
        <f t="shared" si="170"/>
        <v>1.179900011370974E-2</v>
      </c>
    </row>
    <row r="3679" spans="1:7" x14ac:dyDescent="0.2">
      <c r="A3679" s="12">
        <v>42487</v>
      </c>
      <c r="B3679" s="9">
        <v>3169.27</v>
      </c>
      <c r="C3679" s="9">
        <v>3126.27</v>
      </c>
      <c r="D3679" s="9">
        <v>3158.79</v>
      </c>
      <c r="E3679" s="9">
        <f t="shared" si="171"/>
        <v>4.3380445599005267E-4</v>
      </c>
      <c r="F3679" s="9">
        <f t="shared" si="169"/>
        <v>-2.5032373160871077E-2</v>
      </c>
      <c r="G3679" s="9">
        <f t="shared" si="170"/>
        <v>1.1144558007863676E-2</v>
      </c>
    </row>
    <row r="3680" spans="1:7" x14ac:dyDescent="0.2">
      <c r="A3680" s="12">
        <v>42488</v>
      </c>
      <c r="B3680" s="9">
        <v>3180.84</v>
      </c>
      <c r="C3680" s="9">
        <v>3130.95</v>
      </c>
      <c r="D3680" s="9">
        <v>3179.06</v>
      </c>
      <c r="E3680" s="9">
        <f t="shared" si="171"/>
        <v>6.3965127331321262E-3</v>
      </c>
      <c r="F3680" s="9">
        <f t="shared" si="169"/>
        <v>-8.8470239776249019E-3</v>
      </c>
      <c r="G3680" s="9">
        <f t="shared" si="170"/>
        <v>1.1087747832195046E-2</v>
      </c>
    </row>
    <row r="3681" spans="1:7" x14ac:dyDescent="0.2">
      <c r="A3681" s="12">
        <v>42489</v>
      </c>
      <c r="B3681" s="9">
        <v>3179.06</v>
      </c>
      <c r="C3681" s="9">
        <v>3144.1</v>
      </c>
      <c r="D3681" s="9">
        <v>3144.34</v>
      </c>
      <c r="E3681" s="9">
        <f t="shared" si="171"/>
        <v>-1.0981544396640022E-2</v>
      </c>
      <c r="F3681" s="9">
        <f t="shared" ref="F3681:F3744" si="172">LN(D3681/D3651)</f>
        <v>-1.9504256520630713E-2</v>
      </c>
      <c r="G3681" s="9">
        <f t="shared" ref="G3681:G3744" si="173">STDEV(E3652:E3681)</f>
        <v>1.1258137298061759E-2</v>
      </c>
    </row>
    <row r="3682" spans="1:7" x14ac:dyDescent="0.2">
      <c r="A3682" s="12">
        <v>42492</v>
      </c>
      <c r="B3682" s="9">
        <v>3144.34</v>
      </c>
      <c r="C3682" s="9">
        <v>3122.1</v>
      </c>
      <c r="D3682" s="9">
        <v>3130.1</v>
      </c>
      <c r="E3682" s="9">
        <f t="shared" si="171"/>
        <v>-4.5390582901246226E-3</v>
      </c>
      <c r="F3682" s="9">
        <f t="shared" si="172"/>
        <v>-3.1361455204051529E-2</v>
      </c>
      <c r="G3682" s="9">
        <f t="shared" si="173"/>
        <v>1.117658839581365E-2</v>
      </c>
    </row>
    <row r="3683" spans="1:7" x14ac:dyDescent="0.2">
      <c r="A3683" s="12">
        <v>42493</v>
      </c>
      <c r="B3683" s="9">
        <v>3130.1</v>
      </c>
      <c r="C3683" s="9">
        <v>3085.62</v>
      </c>
      <c r="D3683" s="9">
        <v>3100.55</v>
      </c>
      <c r="E3683" s="9">
        <f t="shared" si="171"/>
        <v>-9.4854378145093274E-3</v>
      </c>
      <c r="F3683" s="9">
        <f t="shared" si="172"/>
        <v>-4.4009246674942999E-2</v>
      </c>
      <c r="G3683" s="9">
        <f t="shared" si="173"/>
        <v>1.1250693469486242E-2</v>
      </c>
    </row>
    <row r="3684" spans="1:7" x14ac:dyDescent="0.2">
      <c r="A3684" s="12">
        <v>42494</v>
      </c>
      <c r="B3684" s="9">
        <v>3100.55</v>
      </c>
      <c r="C3684" s="9">
        <v>3068.94</v>
      </c>
      <c r="D3684" s="9">
        <v>3070.19</v>
      </c>
      <c r="E3684" s="9">
        <f t="shared" si="171"/>
        <v>-9.8400661741274622E-3</v>
      </c>
      <c r="F3684" s="9">
        <f t="shared" si="172"/>
        <v>-5.2765409022012336E-2</v>
      </c>
      <c r="G3684" s="9">
        <f t="shared" si="173"/>
        <v>1.1353521765198063E-2</v>
      </c>
    </row>
    <row r="3685" spans="1:7" x14ac:dyDescent="0.2">
      <c r="A3685" s="12">
        <v>42496</v>
      </c>
      <c r="B3685" s="9">
        <v>3083.48</v>
      </c>
      <c r="C3685" s="9">
        <v>3046.45</v>
      </c>
      <c r="D3685" s="9">
        <v>3072.7</v>
      </c>
      <c r="E3685" s="9">
        <f t="shared" si="171"/>
        <v>8.172049767085506E-4</v>
      </c>
      <c r="F3685" s="9">
        <f t="shared" si="172"/>
        <v>-4.7886253804317103E-2</v>
      </c>
      <c r="G3685" s="9">
        <f t="shared" si="173"/>
        <v>1.1354339073555222E-2</v>
      </c>
    </row>
    <row r="3686" spans="1:7" x14ac:dyDescent="0.2">
      <c r="A3686" s="12">
        <v>42499</v>
      </c>
      <c r="B3686" s="9">
        <v>3104.7</v>
      </c>
      <c r="C3686" s="9">
        <v>3072.63</v>
      </c>
      <c r="D3686" s="9">
        <v>3082.57</v>
      </c>
      <c r="E3686" s="9">
        <f t="shared" si="171"/>
        <v>3.2070107271797293E-3</v>
      </c>
      <c r="F3686" s="9">
        <f t="shared" si="172"/>
        <v>-3.8542727224724432E-2</v>
      </c>
      <c r="G3686" s="9">
        <f t="shared" si="173"/>
        <v>1.1353650380375698E-2</v>
      </c>
    </row>
    <row r="3687" spans="1:7" x14ac:dyDescent="0.2">
      <c r="A3687" s="12">
        <v>42500</v>
      </c>
      <c r="B3687" s="9">
        <v>3107.95</v>
      </c>
      <c r="C3687" s="9">
        <v>3066.88</v>
      </c>
      <c r="D3687" s="9">
        <v>3080.05</v>
      </c>
      <c r="E3687" s="9">
        <f t="shared" si="171"/>
        <v>-8.178340187968827E-4</v>
      </c>
      <c r="F3687" s="9">
        <f t="shared" si="172"/>
        <v>-2.2154989429407777E-2</v>
      </c>
      <c r="G3687" s="9">
        <f t="shared" si="173"/>
        <v>1.0948231933638393E-2</v>
      </c>
    </row>
    <row r="3688" spans="1:7" x14ac:dyDescent="0.2">
      <c r="A3688" s="12">
        <v>42501</v>
      </c>
      <c r="B3688" s="9">
        <v>3091.27</v>
      </c>
      <c r="C3688" s="9">
        <v>3066.28</v>
      </c>
      <c r="D3688" s="9">
        <v>3088.55</v>
      </c>
      <c r="E3688" s="9">
        <f t="shared" si="171"/>
        <v>2.7558944913784961E-3</v>
      </c>
      <c r="F3688" s="9">
        <f t="shared" si="172"/>
        <v>-2.4479766099471691E-2</v>
      </c>
      <c r="G3688" s="9">
        <f t="shared" si="173"/>
        <v>1.0913796362651645E-2</v>
      </c>
    </row>
    <row r="3689" spans="1:7" x14ac:dyDescent="0.2">
      <c r="A3689" s="12">
        <v>42502</v>
      </c>
      <c r="B3689" s="9">
        <v>3109.26</v>
      </c>
      <c r="C3689" s="9">
        <v>3061.78</v>
      </c>
      <c r="D3689" s="9">
        <v>3066.41</v>
      </c>
      <c r="E3689" s="9">
        <f t="shared" si="171"/>
        <v>-7.194228879294837E-3</v>
      </c>
      <c r="F3689" s="9">
        <f t="shared" si="172"/>
        <v>-5.2290380625213823E-2</v>
      </c>
      <c r="G3689" s="9">
        <f t="shared" si="173"/>
        <v>1.0187503592170126E-2</v>
      </c>
    </row>
    <row r="3690" spans="1:7" x14ac:dyDescent="0.2">
      <c r="A3690" s="12">
        <v>42503</v>
      </c>
      <c r="B3690" s="9">
        <v>3079.03</v>
      </c>
      <c r="C3690" s="9">
        <v>3045.04</v>
      </c>
      <c r="D3690" s="9">
        <v>3072.47</v>
      </c>
      <c r="E3690" s="9">
        <f t="shared" si="171"/>
        <v>1.9743021425482716E-3</v>
      </c>
      <c r="F3690" s="9">
        <f t="shared" si="172"/>
        <v>-3.4207556117574256E-2</v>
      </c>
      <c r="G3690" s="9">
        <f t="shared" si="173"/>
        <v>9.8371614158977855E-3</v>
      </c>
    </row>
    <row r="3691" spans="1:7" x14ac:dyDescent="0.2">
      <c r="A3691" s="12">
        <v>42506</v>
      </c>
      <c r="B3691" s="9">
        <v>3090.04</v>
      </c>
      <c r="C3691" s="9">
        <v>3059.54</v>
      </c>
      <c r="D3691" s="9">
        <v>3089.09</v>
      </c>
      <c r="E3691" s="9">
        <f t="shared" si="171"/>
        <v>5.3947507800300399E-3</v>
      </c>
      <c r="F3691" s="9">
        <f t="shared" si="172"/>
        <v>-1.068375222288913E-2</v>
      </c>
      <c r="G3691" s="9">
        <f t="shared" si="173"/>
        <v>9.362367523843923E-3</v>
      </c>
    </row>
    <row r="3692" spans="1:7" x14ac:dyDescent="0.2">
      <c r="A3692" s="12">
        <v>42507</v>
      </c>
      <c r="B3692" s="9">
        <v>3113.53</v>
      </c>
      <c r="C3692" s="9">
        <v>3078.99</v>
      </c>
      <c r="D3692" s="9">
        <v>3089.71</v>
      </c>
      <c r="E3692" s="9">
        <f t="shared" si="171"/>
        <v>2.0068621806205918E-4</v>
      </c>
      <c r="F3692" s="9">
        <f t="shared" si="172"/>
        <v>-1.2789621192271002E-2</v>
      </c>
      <c r="G3692" s="9">
        <f t="shared" si="173"/>
        <v>9.3496011232091503E-3</v>
      </c>
    </row>
    <row r="3693" spans="1:7" x14ac:dyDescent="0.2">
      <c r="A3693" s="12">
        <v>42508</v>
      </c>
      <c r="B3693" s="9">
        <v>3102.63</v>
      </c>
      <c r="C3693" s="9">
        <v>3073.12</v>
      </c>
      <c r="D3693" s="9">
        <v>3102.63</v>
      </c>
      <c r="E3693" s="9">
        <f t="shared" si="171"/>
        <v>4.1729035382827356E-3</v>
      </c>
      <c r="F3693" s="9">
        <f t="shared" si="172"/>
        <v>4.5581271426858392E-3</v>
      </c>
      <c r="G3693" s="9">
        <f t="shared" si="173"/>
        <v>9.0661034321422689E-3</v>
      </c>
    </row>
    <row r="3694" spans="1:7" x14ac:dyDescent="0.2">
      <c r="A3694" s="12">
        <v>42509</v>
      </c>
      <c r="B3694" s="9">
        <v>3101.81</v>
      </c>
      <c r="C3694" s="9">
        <v>3066.13</v>
      </c>
      <c r="D3694" s="9">
        <v>3074</v>
      </c>
      <c r="E3694" s="9">
        <f t="shared" si="171"/>
        <v>-9.2704937945535092E-3</v>
      </c>
      <c r="F3694" s="9">
        <f t="shared" si="172"/>
        <v>2.8631294199946676E-4</v>
      </c>
      <c r="G3694" s="9">
        <f t="shared" si="173"/>
        <v>9.1825880725695582E-3</v>
      </c>
    </row>
    <row r="3695" spans="1:7" x14ac:dyDescent="0.2">
      <c r="A3695" s="12">
        <v>42510</v>
      </c>
      <c r="B3695" s="9">
        <v>3119.97</v>
      </c>
      <c r="C3695" s="9">
        <v>3077.23</v>
      </c>
      <c r="D3695" s="9">
        <v>3119.73</v>
      </c>
      <c r="E3695" s="9">
        <f t="shared" si="171"/>
        <v>1.4766814498779705E-2</v>
      </c>
      <c r="F3695" s="9">
        <f t="shared" si="172"/>
        <v>2.8537184534219124E-2</v>
      </c>
      <c r="G3695" s="9">
        <f t="shared" si="173"/>
        <v>9.1996511143467002E-3</v>
      </c>
    </row>
    <row r="3696" spans="1:7" x14ac:dyDescent="0.2">
      <c r="A3696" s="12">
        <v>42513</v>
      </c>
      <c r="B3696" s="9">
        <v>3124.47</v>
      </c>
      <c r="C3696" s="9">
        <v>3099.04</v>
      </c>
      <c r="D3696" s="9">
        <v>3112.26</v>
      </c>
      <c r="E3696" s="9">
        <f t="shared" si="171"/>
        <v>-2.3973092311008149E-3</v>
      </c>
      <c r="F3696" s="9">
        <f t="shared" si="172"/>
        <v>6.2690876012919282E-3</v>
      </c>
      <c r="G3696" s="9">
        <f t="shared" si="173"/>
        <v>8.491594980074884E-3</v>
      </c>
    </row>
    <row r="3697" spans="1:7" x14ac:dyDescent="0.2">
      <c r="A3697" s="12">
        <v>42514</v>
      </c>
      <c r="B3697" s="9">
        <v>3160.45</v>
      </c>
      <c r="C3697" s="9">
        <v>3087.25</v>
      </c>
      <c r="D3697" s="9">
        <v>3158.82</v>
      </c>
      <c r="E3697" s="9">
        <f t="shared" si="171"/>
        <v>1.4849389755459921E-2</v>
      </c>
      <c r="F3697" s="9">
        <f t="shared" si="172"/>
        <v>1.8048321453650169E-2</v>
      </c>
      <c r="G3697" s="9">
        <f t="shared" si="173"/>
        <v>8.8913729550968001E-3</v>
      </c>
    </row>
    <row r="3698" spans="1:7" x14ac:dyDescent="0.2">
      <c r="A3698" s="12">
        <v>42515</v>
      </c>
      <c r="B3698" s="9">
        <v>3186.07</v>
      </c>
      <c r="C3698" s="9">
        <v>3160.23</v>
      </c>
      <c r="D3698" s="9">
        <v>3186.07</v>
      </c>
      <c r="E3698" s="9">
        <f t="shared" si="171"/>
        <v>8.5896422306181632E-3</v>
      </c>
      <c r="F3698" s="9">
        <f t="shared" si="172"/>
        <v>2.3580418343815607E-2</v>
      </c>
      <c r="G3698" s="9">
        <f t="shared" si="173"/>
        <v>9.0007581555138737E-3</v>
      </c>
    </row>
    <row r="3699" spans="1:7" x14ac:dyDescent="0.2">
      <c r="A3699" s="12">
        <v>42516</v>
      </c>
      <c r="B3699" s="9">
        <v>3222.95</v>
      </c>
      <c r="C3699" s="9">
        <v>3178.6</v>
      </c>
      <c r="D3699" s="9">
        <v>3222.91</v>
      </c>
      <c r="E3699" s="9">
        <f t="shared" si="171"/>
        <v>1.1496495779113242E-2</v>
      </c>
      <c r="F3699" s="9">
        <f t="shared" si="172"/>
        <v>2.14293130461479E-2</v>
      </c>
      <c r="G3699" s="9">
        <f t="shared" si="173"/>
        <v>8.9027998881734353E-3</v>
      </c>
    </row>
    <row r="3700" spans="1:7" x14ac:dyDescent="0.2">
      <c r="A3700" s="12">
        <v>42517</v>
      </c>
      <c r="B3700" s="9">
        <v>3231.91</v>
      </c>
      <c r="C3700" s="9">
        <v>3214.83</v>
      </c>
      <c r="D3700" s="9">
        <v>3229.79</v>
      </c>
      <c r="E3700" s="9">
        <f t="shared" si="171"/>
        <v>2.1324414918165854E-3</v>
      </c>
      <c r="F3700" s="9">
        <f t="shared" si="172"/>
        <v>1.5812690705444058E-2</v>
      </c>
      <c r="G3700" s="9">
        <f t="shared" si="173"/>
        <v>8.808317624265885E-3</v>
      </c>
    </row>
    <row r="3701" spans="1:7" x14ac:dyDescent="0.2">
      <c r="A3701" s="12">
        <v>42520</v>
      </c>
      <c r="B3701" s="9">
        <v>3243.4</v>
      </c>
      <c r="C3701" s="9">
        <v>3222.03</v>
      </c>
      <c r="D3701" s="9">
        <v>3234.26</v>
      </c>
      <c r="E3701" s="9">
        <f t="shared" si="171"/>
        <v>1.3830340769369421E-3</v>
      </c>
      <c r="F3701" s="9">
        <f t="shared" si="172"/>
        <v>1.8275222149913888E-2</v>
      </c>
      <c r="G3701" s="9">
        <f t="shared" si="173"/>
        <v>8.8043028374988914E-3</v>
      </c>
    </row>
    <row r="3702" spans="1:7" x14ac:dyDescent="0.2">
      <c r="A3702" s="12">
        <v>42521</v>
      </c>
      <c r="B3702" s="9">
        <v>3256.17</v>
      </c>
      <c r="C3702" s="9">
        <v>3225.94</v>
      </c>
      <c r="D3702" s="9">
        <v>3248.29</v>
      </c>
      <c r="E3702" s="9">
        <f t="shared" si="171"/>
        <v>4.3285503099571099E-3</v>
      </c>
      <c r="F3702" s="9">
        <f t="shared" si="172"/>
        <v>1.7299336685990895E-2</v>
      </c>
      <c r="G3702" s="9">
        <f t="shared" si="173"/>
        <v>8.788144908881964E-3</v>
      </c>
    </row>
    <row r="3703" spans="1:7" x14ac:dyDescent="0.2">
      <c r="A3703" s="12">
        <v>42522</v>
      </c>
      <c r="B3703" s="9">
        <v>3248.23</v>
      </c>
      <c r="C3703" s="9">
        <v>3215.26</v>
      </c>
      <c r="D3703" s="9">
        <v>3227.16</v>
      </c>
      <c r="E3703" s="9">
        <f t="shared" si="171"/>
        <v>-6.5262105325022447E-3</v>
      </c>
      <c r="F3703" s="9">
        <f t="shared" si="172"/>
        <v>-5.6083836847759892E-3</v>
      </c>
      <c r="G3703" s="9">
        <f t="shared" si="173"/>
        <v>8.3519105791053094E-3</v>
      </c>
    </row>
    <row r="3704" spans="1:7" x14ac:dyDescent="0.2">
      <c r="A3704" s="12">
        <v>42523</v>
      </c>
      <c r="B3704" s="9">
        <v>3239.44</v>
      </c>
      <c r="C3704" s="9">
        <v>3213.56</v>
      </c>
      <c r="D3704" s="9">
        <v>3235.7</v>
      </c>
      <c r="E3704" s="9">
        <f t="shared" si="171"/>
        <v>2.6427943574632144E-3</v>
      </c>
      <c r="F3704" s="9">
        <f t="shared" si="172"/>
        <v>-6.097514112342526E-3</v>
      </c>
      <c r="G3704" s="9">
        <f t="shared" si="173"/>
        <v>8.3456832770208867E-3</v>
      </c>
    </row>
    <row r="3705" spans="1:7" x14ac:dyDescent="0.2">
      <c r="A3705" s="12">
        <v>42524</v>
      </c>
      <c r="B3705" s="9">
        <v>3268.09</v>
      </c>
      <c r="C3705" s="9">
        <v>3215.54</v>
      </c>
      <c r="D3705" s="9">
        <v>3224.9</v>
      </c>
      <c r="E3705" s="9">
        <f t="shared" si="171"/>
        <v>-3.3433458378983581E-3</v>
      </c>
      <c r="F3705" s="9">
        <f t="shared" si="172"/>
        <v>3.4759090134081081E-3</v>
      </c>
      <c r="G3705" s="9">
        <f t="shared" si="173"/>
        <v>8.0194463725505993E-3</v>
      </c>
    </row>
    <row r="3706" spans="1:7" x14ac:dyDescent="0.2">
      <c r="A3706" s="12">
        <v>42527</v>
      </c>
      <c r="B3706" s="9">
        <v>3254.49</v>
      </c>
      <c r="C3706" s="9">
        <v>3222.82</v>
      </c>
      <c r="D3706" s="9">
        <v>3254.13</v>
      </c>
      <c r="E3706" s="9">
        <f t="shared" si="171"/>
        <v>9.0230168135334403E-3</v>
      </c>
      <c r="F3706" s="9">
        <f t="shared" si="172"/>
        <v>2.3499840867403247E-2</v>
      </c>
      <c r="G3706" s="9">
        <f t="shared" si="173"/>
        <v>7.8946149949946295E-3</v>
      </c>
    </row>
    <row r="3707" spans="1:7" x14ac:dyDescent="0.2">
      <c r="A3707" s="12">
        <v>42528</v>
      </c>
      <c r="B3707" s="9">
        <v>3293.47</v>
      </c>
      <c r="C3707" s="9">
        <v>3254.05</v>
      </c>
      <c r="D3707" s="9">
        <v>3293.47</v>
      </c>
      <c r="E3707" s="9">
        <f t="shared" si="171"/>
        <v>1.2016761377776995E-2</v>
      </c>
      <c r="F3707" s="9">
        <f t="shared" si="172"/>
        <v>5.3160450184688395E-2</v>
      </c>
      <c r="G3707" s="9">
        <f t="shared" si="173"/>
        <v>7.3454832101322943E-3</v>
      </c>
    </row>
    <row r="3708" spans="1:7" x14ac:dyDescent="0.2">
      <c r="A3708" s="12">
        <v>42529</v>
      </c>
      <c r="B3708" s="9">
        <v>3294.61</v>
      </c>
      <c r="C3708" s="9">
        <v>3282.13</v>
      </c>
      <c r="D3708" s="9">
        <v>3290.93</v>
      </c>
      <c r="E3708" s="9">
        <f t="shared" si="171"/>
        <v>-7.715206020270294E-4</v>
      </c>
      <c r="F3708" s="9">
        <f t="shared" si="172"/>
        <v>4.1414961183192329E-2</v>
      </c>
      <c r="G3708" s="9">
        <f t="shared" si="173"/>
        <v>7.1484810560705396E-3</v>
      </c>
    </row>
    <row r="3709" spans="1:7" x14ac:dyDescent="0.2">
      <c r="A3709" s="12">
        <v>42530</v>
      </c>
      <c r="B3709" s="9">
        <v>3290.07</v>
      </c>
      <c r="C3709" s="9">
        <v>3257.08</v>
      </c>
      <c r="D3709" s="9">
        <v>3262.24</v>
      </c>
      <c r="E3709" s="9">
        <f t="shared" si="171"/>
        <v>-8.7561236178039185E-3</v>
      </c>
      <c r="F3709" s="9">
        <f t="shared" si="172"/>
        <v>3.2225033109398192E-2</v>
      </c>
      <c r="G3709" s="9">
        <f t="shared" si="173"/>
        <v>7.3834913331367489E-3</v>
      </c>
    </row>
    <row r="3710" spans="1:7" x14ac:dyDescent="0.2">
      <c r="A3710" s="12">
        <v>42531</v>
      </c>
      <c r="B3710" s="9">
        <v>3262.14</v>
      </c>
      <c r="C3710" s="9">
        <v>3201.31</v>
      </c>
      <c r="D3710" s="9">
        <v>3203.62</v>
      </c>
      <c r="E3710" s="9">
        <f t="shared" si="171"/>
        <v>-1.8132655561972959E-2</v>
      </c>
      <c r="F3710" s="9">
        <f t="shared" si="172"/>
        <v>7.695864814293245E-3</v>
      </c>
      <c r="G3710" s="9">
        <f t="shared" si="173"/>
        <v>8.0974263410249527E-3</v>
      </c>
    </row>
    <row r="3711" spans="1:7" x14ac:dyDescent="0.2">
      <c r="A3711" s="12">
        <v>42534</v>
      </c>
      <c r="B3711" s="9">
        <v>3194.86</v>
      </c>
      <c r="C3711" s="9">
        <v>3140.16</v>
      </c>
      <c r="D3711" s="9">
        <v>3152.85</v>
      </c>
      <c r="E3711" s="9">
        <f t="shared" si="171"/>
        <v>-1.5974614732592516E-2</v>
      </c>
      <c r="F3711" s="9">
        <f t="shared" si="172"/>
        <v>2.702794478340632E-3</v>
      </c>
      <c r="G3711" s="9">
        <f t="shared" si="173"/>
        <v>8.3826705347464052E-3</v>
      </c>
    </row>
    <row r="3712" spans="1:7" x14ac:dyDescent="0.2">
      <c r="A3712" s="12">
        <v>42535</v>
      </c>
      <c r="B3712" s="9">
        <v>3148.76</v>
      </c>
      <c r="C3712" s="9">
        <v>3098.45</v>
      </c>
      <c r="D3712" s="9">
        <v>3098.45</v>
      </c>
      <c r="E3712" s="9">
        <f t="shared" si="171"/>
        <v>-1.7404819242543432E-2</v>
      </c>
      <c r="F3712" s="9">
        <f t="shared" si="172"/>
        <v>-1.0162966474078139E-2</v>
      </c>
      <c r="G3712" s="9">
        <f t="shared" si="173"/>
        <v>8.9383542351958931E-3</v>
      </c>
    </row>
    <row r="3713" spans="1:7" x14ac:dyDescent="0.2">
      <c r="A3713" s="12">
        <v>42536</v>
      </c>
      <c r="B3713" s="9">
        <v>3139.22</v>
      </c>
      <c r="C3713" s="9">
        <v>3101.95</v>
      </c>
      <c r="D3713" s="9">
        <v>3134.23</v>
      </c>
      <c r="E3713" s="9">
        <f t="shared" si="171"/>
        <v>1.1481543432311102E-2</v>
      </c>
      <c r="F3713" s="9">
        <f t="shared" si="172"/>
        <v>1.0804014772742376E-2</v>
      </c>
      <c r="G3713" s="9">
        <f t="shared" si="173"/>
        <v>9.0178661696950733E-3</v>
      </c>
    </row>
    <row r="3714" spans="1:7" x14ac:dyDescent="0.2">
      <c r="A3714" s="12">
        <v>42537</v>
      </c>
      <c r="B3714" s="9">
        <v>3128.69</v>
      </c>
      <c r="C3714" s="9">
        <v>3076.88</v>
      </c>
      <c r="D3714" s="9">
        <v>3086.81</v>
      </c>
      <c r="E3714" s="9">
        <f t="shared" si="171"/>
        <v>-1.5245334684784659E-2</v>
      </c>
      <c r="F3714" s="9">
        <f t="shared" si="172"/>
        <v>5.3987462620851924E-3</v>
      </c>
      <c r="G3714" s="9">
        <f t="shared" si="173"/>
        <v>9.2789120705708827E-3</v>
      </c>
    </row>
    <row r="3715" spans="1:7" x14ac:dyDescent="0.2">
      <c r="A3715" s="12">
        <v>42538</v>
      </c>
      <c r="B3715" s="9">
        <v>3137.88</v>
      </c>
      <c r="C3715" s="9">
        <v>3092.68</v>
      </c>
      <c r="D3715" s="9">
        <v>3124.71</v>
      </c>
      <c r="E3715" s="9">
        <f t="shared" si="171"/>
        <v>1.2203283685233881E-2</v>
      </c>
      <c r="F3715" s="9">
        <f t="shared" si="172"/>
        <v>1.6784824970610575E-2</v>
      </c>
      <c r="G3715" s="9">
        <f t="shared" si="173"/>
        <v>9.5351996036828705E-3</v>
      </c>
    </row>
    <row r="3716" spans="1:7" x14ac:dyDescent="0.2">
      <c r="A3716" s="12">
        <v>42541</v>
      </c>
      <c r="B3716" s="9">
        <v>3226.15</v>
      </c>
      <c r="C3716" s="9">
        <v>3142.27</v>
      </c>
      <c r="D3716" s="9">
        <v>3225.87</v>
      </c>
      <c r="E3716" s="9">
        <f t="shared" ref="E3716:E3779" si="174">LN(D3716/D3715)</f>
        <v>3.1861202426724244E-2</v>
      </c>
      <c r="F3716" s="9">
        <f t="shared" si="172"/>
        <v>4.5439016670155055E-2</v>
      </c>
      <c r="G3716" s="9">
        <f t="shared" si="173"/>
        <v>1.1113985833894226E-2</v>
      </c>
    </row>
    <row r="3717" spans="1:7" x14ac:dyDescent="0.2">
      <c r="A3717" s="12">
        <v>42542</v>
      </c>
      <c r="B3717" s="9">
        <v>3237.98</v>
      </c>
      <c r="C3717" s="9">
        <v>3203.3</v>
      </c>
      <c r="D3717" s="9">
        <v>3232.86</v>
      </c>
      <c r="E3717" s="9">
        <f t="shared" si="174"/>
        <v>2.1645130634290401E-3</v>
      </c>
      <c r="F3717" s="9">
        <f t="shared" si="172"/>
        <v>4.8421363752380951E-2</v>
      </c>
      <c r="G3717" s="9">
        <f t="shared" si="173"/>
        <v>1.1105738201427141E-2</v>
      </c>
    </row>
    <row r="3718" spans="1:7" x14ac:dyDescent="0.2">
      <c r="A3718" s="12">
        <v>42543</v>
      </c>
      <c r="B3718" s="9">
        <v>3251.85</v>
      </c>
      <c r="C3718" s="9">
        <v>3217.96</v>
      </c>
      <c r="D3718" s="9">
        <v>3245.7</v>
      </c>
      <c r="E3718" s="9">
        <f t="shared" si="174"/>
        <v>3.9638490071687207E-3</v>
      </c>
      <c r="F3718" s="9">
        <f t="shared" si="172"/>
        <v>4.9629318268170942E-2</v>
      </c>
      <c r="G3718" s="9">
        <f t="shared" si="173"/>
        <v>1.1112208768913709E-2</v>
      </c>
    </row>
    <row r="3719" spans="1:7" x14ac:dyDescent="0.2">
      <c r="A3719" s="12">
        <v>42544</v>
      </c>
      <c r="B3719" s="9">
        <v>3291.74</v>
      </c>
      <c r="C3719" s="9">
        <v>3242.46</v>
      </c>
      <c r="D3719" s="9">
        <v>3271.4</v>
      </c>
      <c r="E3719" s="9">
        <f t="shared" si="174"/>
        <v>7.8869844627878702E-3</v>
      </c>
      <c r="F3719" s="9">
        <f t="shared" si="172"/>
        <v>6.4710531610253738E-2</v>
      </c>
      <c r="G3719" s="9">
        <f t="shared" si="173"/>
        <v>1.103899431184545E-2</v>
      </c>
    </row>
    <row r="3720" spans="1:7" x14ac:dyDescent="0.2">
      <c r="A3720" s="12">
        <v>42548</v>
      </c>
      <c r="B3720" s="9">
        <v>3248.23</v>
      </c>
      <c r="C3720" s="9">
        <v>2996.12</v>
      </c>
      <c r="D3720" s="9">
        <v>2997.29</v>
      </c>
      <c r="E3720" s="9">
        <f t="shared" si="174"/>
        <v>-8.7509480758944075E-2</v>
      </c>
      <c r="F3720" s="9">
        <f t="shared" si="172"/>
        <v>-2.4773251291238616E-2</v>
      </c>
      <c r="G3720" s="9">
        <f t="shared" si="173"/>
        <v>1.9745849368801381E-2</v>
      </c>
    </row>
    <row r="3721" spans="1:7" x14ac:dyDescent="0.2">
      <c r="A3721" s="12">
        <v>42549</v>
      </c>
      <c r="B3721" s="9">
        <v>3104.73</v>
      </c>
      <c r="C3721" s="9">
        <v>3003.41</v>
      </c>
      <c r="D3721" s="9">
        <v>3071.96</v>
      </c>
      <c r="E3721" s="9">
        <f t="shared" si="174"/>
        <v>2.4607247283976359E-2</v>
      </c>
      <c r="F3721" s="9">
        <f t="shared" si="172"/>
        <v>-5.5607547872922256E-3</v>
      </c>
      <c r="G3721" s="9">
        <f t="shared" si="173"/>
        <v>2.0259436399900708E-2</v>
      </c>
    </row>
    <row r="3722" spans="1:7" x14ac:dyDescent="0.2">
      <c r="A3722" s="12">
        <v>42550</v>
      </c>
      <c r="B3722" s="9">
        <v>3154.4</v>
      </c>
      <c r="C3722" s="9">
        <v>3076.56</v>
      </c>
      <c r="D3722" s="9">
        <v>3154.24</v>
      </c>
      <c r="E3722" s="9">
        <f t="shared" si="174"/>
        <v>2.6431785127616472E-2</v>
      </c>
      <c r="F3722" s="9">
        <f t="shared" si="172"/>
        <v>2.0670344122262232E-2</v>
      </c>
      <c r="G3722" s="9">
        <f t="shared" si="173"/>
        <v>2.083455828831262E-2</v>
      </c>
    </row>
    <row r="3723" spans="1:7" x14ac:dyDescent="0.2">
      <c r="A3723" s="12">
        <v>42551</v>
      </c>
      <c r="B3723" s="9">
        <v>3199.5</v>
      </c>
      <c r="C3723" s="9">
        <v>3141.32</v>
      </c>
      <c r="D3723" s="9">
        <v>3198.2</v>
      </c>
      <c r="E3723" s="9">
        <f t="shared" si="174"/>
        <v>1.384057204826755E-2</v>
      </c>
      <c r="F3723" s="9">
        <f t="shared" si="172"/>
        <v>3.0338012632246909E-2</v>
      </c>
      <c r="G3723" s="9">
        <f t="shared" si="173"/>
        <v>2.0964663483412541E-2</v>
      </c>
    </row>
    <row r="3724" spans="1:7" x14ac:dyDescent="0.2">
      <c r="A3724" s="12">
        <v>42552</v>
      </c>
      <c r="B3724" s="9">
        <v>3272.23</v>
      </c>
      <c r="C3724" s="9">
        <v>3199.09</v>
      </c>
      <c r="D3724" s="9">
        <v>3262.35</v>
      </c>
      <c r="E3724" s="9">
        <f t="shared" si="174"/>
        <v>1.9859643037137734E-2</v>
      </c>
      <c r="F3724" s="9">
        <f t="shared" si="172"/>
        <v>5.9468149463938226E-2</v>
      </c>
      <c r="G3724" s="9">
        <f t="shared" si="173"/>
        <v>2.1145846178525936E-2</v>
      </c>
    </row>
    <row r="3725" spans="1:7" x14ac:dyDescent="0.2">
      <c r="A3725" s="12">
        <v>42555</v>
      </c>
      <c r="B3725" s="9">
        <v>3283.23</v>
      </c>
      <c r="C3725" s="9">
        <v>3236.31</v>
      </c>
      <c r="D3725" s="9">
        <v>3236.31</v>
      </c>
      <c r="E3725" s="9">
        <f t="shared" si="174"/>
        <v>-8.0140026917702722E-3</v>
      </c>
      <c r="F3725" s="9">
        <f t="shared" si="172"/>
        <v>3.6687332273388336E-2</v>
      </c>
      <c r="G3725" s="9">
        <f t="shared" si="173"/>
        <v>2.1079847884342674E-2</v>
      </c>
    </row>
    <row r="3726" spans="1:7" x14ac:dyDescent="0.2">
      <c r="A3726" s="12">
        <v>42556</v>
      </c>
      <c r="B3726" s="9">
        <v>3231.78</v>
      </c>
      <c r="C3726" s="9">
        <v>3149.36</v>
      </c>
      <c r="D3726" s="9">
        <v>3163.11</v>
      </c>
      <c r="E3726" s="9">
        <f t="shared" si="174"/>
        <v>-2.2878071059431678E-2</v>
      </c>
      <c r="F3726" s="9">
        <f t="shared" si="172"/>
        <v>1.620657044505747E-2</v>
      </c>
      <c r="G3726" s="9">
        <f t="shared" si="173"/>
        <v>2.1528016156413234E-2</v>
      </c>
    </row>
    <row r="3727" spans="1:7" x14ac:dyDescent="0.2">
      <c r="A3727" s="12">
        <v>42557</v>
      </c>
      <c r="B3727" s="9">
        <v>3167.9</v>
      </c>
      <c r="C3727" s="9">
        <v>3112.64</v>
      </c>
      <c r="D3727" s="9">
        <v>3134.61</v>
      </c>
      <c r="E3727" s="9">
        <f t="shared" si="174"/>
        <v>-9.0509563966918536E-3</v>
      </c>
      <c r="F3727" s="9">
        <f t="shared" si="172"/>
        <v>-7.6937757070944905E-3</v>
      </c>
      <c r="G3727" s="9">
        <f t="shared" si="173"/>
        <v>2.142219788372134E-2</v>
      </c>
    </row>
    <row r="3728" spans="1:7" x14ac:dyDescent="0.2">
      <c r="A3728" s="12">
        <v>42558</v>
      </c>
      <c r="B3728" s="9">
        <v>3182.06</v>
      </c>
      <c r="C3728" s="9">
        <v>3134.84</v>
      </c>
      <c r="D3728" s="9">
        <v>3160.67</v>
      </c>
      <c r="E3728" s="9">
        <f t="shared" si="174"/>
        <v>8.2792660086371869E-3</v>
      </c>
      <c r="F3728" s="9">
        <f t="shared" si="172"/>
        <v>-8.0041519290755449E-3</v>
      </c>
      <c r="G3728" s="9">
        <f t="shared" si="173"/>
        <v>2.1417852838485376E-2</v>
      </c>
    </row>
    <row r="3729" spans="1:7" x14ac:dyDescent="0.2">
      <c r="A3729" s="12">
        <v>42559</v>
      </c>
      <c r="B3729" s="9">
        <v>3219.18</v>
      </c>
      <c r="C3729" s="9">
        <v>3152.56</v>
      </c>
      <c r="D3729" s="9">
        <v>3219.18</v>
      </c>
      <c r="E3729" s="9">
        <f t="shared" si="174"/>
        <v>1.8342638299185445E-2</v>
      </c>
      <c r="F3729" s="9">
        <f t="shared" si="172"/>
        <v>-1.1580094090032811E-3</v>
      </c>
      <c r="G3729" s="9">
        <f t="shared" si="173"/>
        <v>2.1583344472100186E-2</v>
      </c>
    </row>
    <row r="3730" spans="1:7" x14ac:dyDescent="0.2">
      <c r="A3730" s="12">
        <v>42562</v>
      </c>
      <c r="B3730" s="9">
        <v>3282.92</v>
      </c>
      <c r="C3730" s="9">
        <v>3226.67</v>
      </c>
      <c r="D3730" s="9">
        <v>3281.61</v>
      </c>
      <c r="E3730" s="9">
        <f t="shared" si="174"/>
        <v>1.9207486885067834E-2</v>
      </c>
      <c r="F3730" s="9">
        <f t="shared" si="172"/>
        <v>1.591703598424794E-2</v>
      </c>
      <c r="G3730" s="9">
        <f t="shared" si="173"/>
        <v>2.1865862132298391E-2</v>
      </c>
    </row>
    <row r="3731" spans="1:7" x14ac:dyDescent="0.2">
      <c r="A3731" s="12">
        <v>42563</v>
      </c>
      <c r="B3731" s="9">
        <v>3317.07</v>
      </c>
      <c r="C3731" s="9">
        <v>3284.17</v>
      </c>
      <c r="D3731" s="9">
        <v>3305.54</v>
      </c>
      <c r="E3731" s="9">
        <f t="shared" si="174"/>
        <v>7.2656931366545992E-3</v>
      </c>
      <c r="F3731" s="9">
        <f t="shared" si="172"/>
        <v>2.1799695043965787E-2</v>
      </c>
      <c r="G3731" s="9">
        <f t="shared" si="173"/>
        <v>2.1900120900354047E-2</v>
      </c>
    </row>
    <row r="3732" spans="1:7" x14ac:dyDescent="0.2">
      <c r="A3732" s="12">
        <v>42564</v>
      </c>
      <c r="B3732" s="9">
        <v>3335.46</v>
      </c>
      <c r="C3732" s="9">
        <v>3302.21</v>
      </c>
      <c r="D3732" s="9">
        <v>3328.75</v>
      </c>
      <c r="E3732" s="9">
        <f t="shared" si="174"/>
        <v>6.9970093840111269E-3</v>
      </c>
      <c r="F3732" s="9">
        <f t="shared" si="172"/>
        <v>2.4468154118019812E-2</v>
      </c>
      <c r="G3732" s="9">
        <f t="shared" si="173"/>
        <v>2.1920664080775053E-2</v>
      </c>
    </row>
    <row r="3733" spans="1:7" x14ac:dyDescent="0.2">
      <c r="A3733" s="12">
        <v>42565</v>
      </c>
      <c r="B3733" s="9">
        <v>3353.91</v>
      </c>
      <c r="C3733" s="9">
        <v>3327.13</v>
      </c>
      <c r="D3733" s="9">
        <v>3342.24</v>
      </c>
      <c r="E3733" s="9">
        <f t="shared" si="174"/>
        <v>4.0443827342043102E-3</v>
      </c>
      <c r="F3733" s="9">
        <f t="shared" si="172"/>
        <v>3.5038747384726419E-2</v>
      </c>
      <c r="G3733" s="9">
        <f t="shared" si="173"/>
        <v>2.1883506672727954E-2</v>
      </c>
    </row>
    <row r="3734" spans="1:7" x14ac:dyDescent="0.2">
      <c r="A3734" s="12">
        <v>42566</v>
      </c>
      <c r="B3734" s="9">
        <v>3341.38</v>
      </c>
      <c r="C3734" s="9">
        <v>3307.61</v>
      </c>
      <c r="D3734" s="9">
        <v>3332.3</v>
      </c>
      <c r="E3734" s="9">
        <f t="shared" si="174"/>
        <v>-2.9784846142057245E-3</v>
      </c>
      <c r="F3734" s="9">
        <f t="shared" si="172"/>
        <v>2.9417468413057448E-2</v>
      </c>
      <c r="G3734" s="9">
        <f t="shared" si="173"/>
        <v>2.1894506175048345E-2</v>
      </c>
    </row>
    <row r="3735" spans="1:7" x14ac:dyDescent="0.2">
      <c r="A3735" s="12">
        <v>42569</v>
      </c>
      <c r="B3735" s="9">
        <v>3342.2</v>
      </c>
      <c r="C3735" s="9">
        <v>3317.91</v>
      </c>
      <c r="D3735" s="9">
        <v>3331.83</v>
      </c>
      <c r="E3735" s="9">
        <f t="shared" si="174"/>
        <v>-1.4105367115574297E-4</v>
      </c>
      <c r="F3735" s="9">
        <f t="shared" si="172"/>
        <v>3.2619760579800157E-2</v>
      </c>
      <c r="G3735" s="9">
        <f t="shared" si="173"/>
        <v>2.188050030093637E-2</v>
      </c>
    </row>
    <row r="3736" spans="1:7" x14ac:dyDescent="0.2">
      <c r="A3736" s="12">
        <v>42570</v>
      </c>
      <c r="B3736" s="9">
        <v>3348.49</v>
      </c>
      <c r="C3736" s="9">
        <v>3296.87</v>
      </c>
      <c r="D3736" s="9">
        <v>3337.96</v>
      </c>
      <c r="E3736" s="9">
        <f t="shared" si="174"/>
        <v>1.8381393495090768E-3</v>
      </c>
      <c r="F3736" s="9">
        <f t="shared" si="172"/>
        <v>2.5434883115775957E-2</v>
      </c>
      <c r="G3736" s="9">
        <f t="shared" si="173"/>
        <v>2.1829906947729186E-2</v>
      </c>
    </row>
    <row r="3737" spans="1:7" x14ac:dyDescent="0.2">
      <c r="A3737" s="12">
        <v>42571</v>
      </c>
      <c r="B3737" s="9">
        <v>3369.26</v>
      </c>
      <c r="C3737" s="9">
        <v>3328.18</v>
      </c>
      <c r="D3737" s="9">
        <v>3361.53</v>
      </c>
      <c r="E3737" s="9">
        <f t="shared" si="174"/>
        <v>7.0363855300115694E-3</v>
      </c>
      <c r="F3737" s="9">
        <f t="shared" si="172"/>
        <v>2.0454507268010222E-2</v>
      </c>
      <c r="G3737" s="9">
        <f t="shared" si="173"/>
        <v>2.1760868599616377E-2</v>
      </c>
    </row>
    <row r="3738" spans="1:7" x14ac:dyDescent="0.2">
      <c r="A3738" s="12">
        <v>42572</v>
      </c>
      <c r="B3738" s="9">
        <v>3381.99</v>
      </c>
      <c r="C3738" s="9">
        <v>3340.26</v>
      </c>
      <c r="D3738" s="9">
        <v>3358.32</v>
      </c>
      <c r="E3738" s="9">
        <f t="shared" si="174"/>
        <v>-9.5537854093771389E-4</v>
      </c>
      <c r="F3738" s="9">
        <f t="shared" si="172"/>
        <v>2.0270649329099593E-2</v>
      </c>
      <c r="G3738" s="9">
        <f t="shared" si="173"/>
        <v>2.1761317908486507E-2</v>
      </c>
    </row>
    <row r="3739" spans="1:7" x14ac:dyDescent="0.2">
      <c r="A3739" s="12">
        <v>42573</v>
      </c>
      <c r="B3739" s="9">
        <v>3394.23</v>
      </c>
      <c r="C3739" s="9">
        <v>3349.45</v>
      </c>
      <c r="D3739" s="9">
        <v>3382.59</v>
      </c>
      <c r="E3739" s="9">
        <f t="shared" si="174"/>
        <v>7.2008393142037504E-3</v>
      </c>
      <c r="F3739" s="9">
        <f t="shared" si="172"/>
        <v>3.6227612261107475E-2</v>
      </c>
      <c r="G3739" s="9">
        <f t="shared" si="173"/>
        <v>2.1717801999345414E-2</v>
      </c>
    </row>
    <row r="3740" spans="1:7" x14ac:dyDescent="0.2">
      <c r="A3740" s="12">
        <v>42576</v>
      </c>
      <c r="B3740" s="9">
        <v>3416.27</v>
      </c>
      <c r="C3740" s="9">
        <v>3379.58</v>
      </c>
      <c r="D3740" s="9">
        <v>3398.56</v>
      </c>
      <c r="E3740" s="9">
        <f t="shared" si="174"/>
        <v>4.7101242488034123E-3</v>
      </c>
      <c r="F3740" s="9">
        <f t="shared" si="172"/>
        <v>5.9070392071883616E-2</v>
      </c>
      <c r="G3740" s="9">
        <f t="shared" si="173"/>
        <v>2.1414669868609348E-2</v>
      </c>
    </row>
    <row r="3741" spans="1:7" x14ac:dyDescent="0.2">
      <c r="A3741" s="12">
        <v>42577</v>
      </c>
      <c r="B3741" s="9">
        <v>3423.7</v>
      </c>
      <c r="C3741" s="9">
        <v>3391.32</v>
      </c>
      <c r="D3741" s="9">
        <v>3414.19</v>
      </c>
      <c r="E3741" s="9">
        <f t="shared" si="174"/>
        <v>4.5884635199654744E-3</v>
      </c>
      <c r="F3741" s="9">
        <f t="shared" si="172"/>
        <v>7.9633470324441569E-2</v>
      </c>
      <c r="G3741" s="9">
        <f t="shared" si="173"/>
        <v>2.1147957878861794E-2</v>
      </c>
    </row>
    <row r="3742" spans="1:7" x14ac:dyDescent="0.2">
      <c r="A3742" s="12">
        <v>42578</v>
      </c>
      <c r="B3742" s="9">
        <v>3448.62</v>
      </c>
      <c r="C3742" s="9">
        <v>3409.26</v>
      </c>
      <c r="D3742" s="9">
        <v>3411.77</v>
      </c>
      <c r="E3742" s="9">
        <f t="shared" si="174"/>
        <v>-7.0905780326592429E-4</v>
      </c>
      <c r="F3742" s="9">
        <f t="shared" si="172"/>
        <v>9.6329231763719034E-2</v>
      </c>
      <c r="G3742" s="9">
        <f t="shared" si="173"/>
        <v>2.0819002320628912E-2</v>
      </c>
    </row>
    <row r="3743" spans="1:7" x14ac:dyDescent="0.2">
      <c r="A3743" s="12">
        <v>42579</v>
      </c>
      <c r="B3743" s="9">
        <v>3439.96</v>
      </c>
      <c r="C3743" s="9">
        <v>3395.62</v>
      </c>
      <c r="D3743" s="9">
        <v>3395.62</v>
      </c>
      <c r="E3743" s="9">
        <f t="shared" si="174"/>
        <v>-4.7448523735453812E-3</v>
      </c>
      <c r="F3743" s="9">
        <f t="shared" si="172"/>
        <v>8.0102835957862606E-2</v>
      </c>
      <c r="G3743" s="9">
        <f t="shared" si="173"/>
        <v>2.0807501306306212E-2</v>
      </c>
    </row>
    <row r="3744" spans="1:7" x14ac:dyDescent="0.2">
      <c r="A3744" s="12">
        <v>42580</v>
      </c>
      <c r="B3744" s="9">
        <v>3403.29</v>
      </c>
      <c r="C3744" s="9">
        <v>3383.45</v>
      </c>
      <c r="D3744" s="9">
        <v>3384.23</v>
      </c>
      <c r="E3744" s="9">
        <f t="shared" si="174"/>
        <v>-3.3599595021871044E-3</v>
      </c>
      <c r="F3744" s="9">
        <f t="shared" si="172"/>
        <v>9.1988211140460255E-2</v>
      </c>
      <c r="G3744" s="9">
        <f t="shared" si="173"/>
        <v>2.0566378167788123E-2</v>
      </c>
    </row>
    <row r="3745" spans="1:7" x14ac:dyDescent="0.2">
      <c r="A3745" s="12">
        <v>42583</v>
      </c>
      <c r="B3745" s="9">
        <v>3408.59</v>
      </c>
      <c r="C3745" s="9">
        <v>3345.24</v>
      </c>
      <c r="D3745" s="9">
        <v>3358.72</v>
      </c>
      <c r="E3745" s="9">
        <f t="shared" si="174"/>
        <v>-7.5664573240365194E-3</v>
      </c>
      <c r="F3745" s="9">
        <f t="shared" ref="F3745:F3808" si="175">LN(D3745/D3715)</f>
        <v>7.221847013118983E-2</v>
      </c>
      <c r="G3745" s="9">
        <f t="shared" ref="G3745:G3808" si="176">STDEV(E3716:E3745)</f>
        <v>2.0580241064877474E-2</v>
      </c>
    </row>
    <row r="3746" spans="1:7" x14ac:dyDescent="0.2">
      <c r="A3746" s="12">
        <v>42584</v>
      </c>
      <c r="B3746" s="9">
        <v>3359.69</v>
      </c>
      <c r="C3746" s="9">
        <v>3306.96</v>
      </c>
      <c r="D3746" s="9">
        <v>3317.18</v>
      </c>
      <c r="E3746" s="9">
        <f t="shared" si="174"/>
        <v>-1.2444924617869519E-2</v>
      </c>
      <c r="F3746" s="9">
        <f t="shared" si="175"/>
        <v>2.7912343086596254E-2</v>
      </c>
      <c r="G3746" s="9">
        <f t="shared" si="176"/>
        <v>1.9974521322145819E-2</v>
      </c>
    </row>
    <row r="3747" spans="1:7" x14ac:dyDescent="0.2">
      <c r="A3747" s="12">
        <v>42585</v>
      </c>
      <c r="B3747" s="9">
        <v>3334.11</v>
      </c>
      <c r="C3747" s="9">
        <v>3300.85</v>
      </c>
      <c r="D3747" s="9">
        <v>3311.05</v>
      </c>
      <c r="E3747" s="9">
        <f t="shared" si="174"/>
        <v>-1.8496647665192999E-3</v>
      </c>
      <c r="F3747" s="9">
        <f t="shared" si="175"/>
        <v>2.3898165256647827E-2</v>
      </c>
      <c r="G3747" s="9">
        <f t="shared" si="176"/>
        <v>1.9979413763357119E-2</v>
      </c>
    </row>
    <row r="3748" spans="1:7" x14ac:dyDescent="0.2">
      <c r="A3748" s="12">
        <v>42586</v>
      </c>
      <c r="B3748" s="9">
        <v>3344.37</v>
      </c>
      <c r="C3748" s="9">
        <v>3292.32</v>
      </c>
      <c r="D3748" s="9">
        <v>3339.94</v>
      </c>
      <c r="E3748" s="9">
        <f t="shared" si="174"/>
        <v>8.6874831264174522E-3</v>
      </c>
      <c r="F3748" s="9">
        <f t="shared" si="175"/>
        <v>2.8621799375896526E-2</v>
      </c>
      <c r="G3748" s="9">
        <f t="shared" si="176"/>
        <v>2.0023798785605534E-2</v>
      </c>
    </row>
    <row r="3749" spans="1:7" x14ac:dyDescent="0.2">
      <c r="A3749" s="12">
        <v>42587</v>
      </c>
      <c r="B3749" s="9">
        <v>3381.75</v>
      </c>
      <c r="C3749" s="9">
        <v>3342.3</v>
      </c>
      <c r="D3749" s="9">
        <v>3374.38</v>
      </c>
      <c r="E3749" s="9">
        <f t="shared" si="174"/>
        <v>1.0258760989800478E-2</v>
      </c>
      <c r="F3749" s="9">
        <f t="shared" si="175"/>
        <v>3.0993575902909121E-2</v>
      </c>
      <c r="G3749" s="9">
        <f t="shared" si="176"/>
        <v>2.0056770741375848E-2</v>
      </c>
    </row>
    <row r="3750" spans="1:7" x14ac:dyDescent="0.2">
      <c r="A3750" s="12">
        <v>42590</v>
      </c>
      <c r="B3750" s="9">
        <v>3406.77</v>
      </c>
      <c r="C3750" s="9">
        <v>3375.66</v>
      </c>
      <c r="D3750" s="9">
        <v>3403.72</v>
      </c>
      <c r="E3750" s="9">
        <f t="shared" si="174"/>
        <v>8.6573474134933152E-3</v>
      </c>
      <c r="F3750" s="9">
        <f t="shared" si="175"/>
        <v>0.12716040407534654</v>
      </c>
      <c r="G3750" s="9">
        <f t="shared" si="176"/>
        <v>1.1104543564577797E-2</v>
      </c>
    </row>
    <row r="3751" spans="1:7" x14ac:dyDescent="0.2">
      <c r="A3751" s="12">
        <v>42591</v>
      </c>
      <c r="B3751" s="9">
        <v>3459.8</v>
      </c>
      <c r="C3751" s="9">
        <v>3398.71</v>
      </c>
      <c r="D3751" s="9">
        <v>3459.8</v>
      </c>
      <c r="E3751" s="9">
        <f t="shared" si="174"/>
        <v>1.6341832772049366E-2</v>
      </c>
      <c r="F3751" s="9">
        <f t="shared" si="175"/>
        <v>0.11889498956341929</v>
      </c>
      <c r="G3751" s="9">
        <f t="shared" si="176"/>
        <v>1.0676022579975252E-2</v>
      </c>
    </row>
    <row r="3752" spans="1:7" x14ac:dyDescent="0.2">
      <c r="A3752" s="12">
        <v>42592</v>
      </c>
      <c r="B3752" s="9">
        <v>3456.51</v>
      </c>
      <c r="C3752" s="9">
        <v>3432.93</v>
      </c>
      <c r="D3752" s="9">
        <v>3443.33</v>
      </c>
      <c r="E3752" s="9">
        <f t="shared" si="174"/>
        <v>-4.7717575219821083E-3</v>
      </c>
      <c r="F3752" s="9">
        <f t="shared" si="175"/>
        <v>8.7691446913820914E-2</v>
      </c>
      <c r="G3752" s="9">
        <f t="shared" si="176"/>
        <v>9.9035886562845385E-3</v>
      </c>
    </row>
    <row r="3753" spans="1:7" x14ac:dyDescent="0.2">
      <c r="A3753" s="12">
        <v>42593</v>
      </c>
      <c r="B3753" s="9">
        <v>3461.5</v>
      </c>
      <c r="C3753" s="9">
        <v>3434.78</v>
      </c>
      <c r="D3753" s="9">
        <v>3461.25</v>
      </c>
      <c r="E3753" s="9">
        <f t="shared" si="174"/>
        <v>5.1907690942766226E-3</v>
      </c>
      <c r="F3753" s="9">
        <f t="shared" si="175"/>
        <v>7.9041643959829863E-2</v>
      </c>
      <c r="G3753" s="9">
        <f t="shared" si="176"/>
        <v>9.698573023037959E-3</v>
      </c>
    </row>
    <row r="3754" spans="1:7" x14ac:dyDescent="0.2">
      <c r="A3754" s="12">
        <v>42594</v>
      </c>
      <c r="B3754" s="9">
        <v>3469.1</v>
      </c>
      <c r="C3754" s="9">
        <v>3442.77</v>
      </c>
      <c r="D3754" s="9">
        <v>3448.09</v>
      </c>
      <c r="E3754" s="9">
        <f t="shared" si="174"/>
        <v>-3.8093409540743265E-3</v>
      </c>
      <c r="F3754" s="9">
        <f t="shared" si="175"/>
        <v>5.5372659968617774E-2</v>
      </c>
      <c r="G3754" s="9">
        <f t="shared" si="176"/>
        <v>9.1988778032795204E-3</v>
      </c>
    </row>
    <row r="3755" spans="1:7" x14ac:dyDescent="0.2">
      <c r="A3755" s="12">
        <v>42597</v>
      </c>
      <c r="B3755" s="9">
        <v>3460.19</v>
      </c>
      <c r="C3755" s="9">
        <v>3439.31</v>
      </c>
      <c r="D3755" s="9">
        <v>3453.16</v>
      </c>
      <c r="E3755" s="9">
        <f t="shared" si="174"/>
        <v>1.4692993043606826E-3</v>
      </c>
      <c r="F3755" s="9">
        <f t="shared" si="175"/>
        <v>6.4855961964748757E-2</v>
      </c>
      <c r="G3755" s="9">
        <f t="shared" si="176"/>
        <v>9.0093636270604429E-3</v>
      </c>
    </row>
    <row r="3756" spans="1:7" x14ac:dyDescent="0.2">
      <c r="A3756" s="12">
        <v>42598</v>
      </c>
      <c r="B3756" s="9">
        <v>3451.03</v>
      </c>
      <c r="C3756" s="9">
        <v>3405.64</v>
      </c>
      <c r="D3756" s="9">
        <v>3405.64</v>
      </c>
      <c r="E3756" s="9">
        <f t="shared" si="174"/>
        <v>-1.3856873029909006E-2</v>
      </c>
      <c r="F3756" s="9">
        <f t="shared" si="175"/>
        <v>7.387715999427151E-2</v>
      </c>
      <c r="G3756" s="9">
        <f t="shared" si="176"/>
        <v>8.2645466012271403E-3</v>
      </c>
    </row>
    <row r="3757" spans="1:7" x14ac:dyDescent="0.2">
      <c r="A3757" s="12">
        <v>42599</v>
      </c>
      <c r="B3757" s="9">
        <v>3412.6</v>
      </c>
      <c r="C3757" s="9">
        <v>3362.7</v>
      </c>
      <c r="D3757" s="9">
        <v>3362.7</v>
      </c>
      <c r="E3757" s="9">
        <f t="shared" si="174"/>
        <v>-1.2688658110389594E-2</v>
      </c>
      <c r="F3757" s="9">
        <f t="shared" si="175"/>
        <v>7.0239458280573666E-2</v>
      </c>
      <c r="G3757" s="9">
        <f t="shared" si="176"/>
        <v>8.463586357948338E-3</v>
      </c>
    </row>
    <row r="3758" spans="1:7" x14ac:dyDescent="0.2">
      <c r="A3758" s="12">
        <v>42600</v>
      </c>
      <c r="B3758" s="9">
        <v>3401.07</v>
      </c>
      <c r="C3758" s="9">
        <v>3365.01</v>
      </c>
      <c r="D3758" s="9">
        <v>3401.03</v>
      </c>
      <c r="E3758" s="9">
        <f t="shared" si="174"/>
        <v>1.1334104208151157E-2</v>
      </c>
      <c r="F3758" s="9">
        <f t="shared" si="175"/>
        <v>7.3294296480087701E-2</v>
      </c>
      <c r="G3758" s="9">
        <f t="shared" si="176"/>
        <v>8.5553702697216249E-3</v>
      </c>
    </row>
    <row r="3759" spans="1:7" x14ac:dyDescent="0.2">
      <c r="A3759" s="12">
        <v>42601</v>
      </c>
      <c r="B3759" s="9">
        <v>3404.09</v>
      </c>
      <c r="C3759" s="9">
        <v>3355.83</v>
      </c>
      <c r="D3759" s="9">
        <v>3377.45</v>
      </c>
      <c r="E3759" s="9">
        <f t="shared" si="174"/>
        <v>-6.9573400275353327E-3</v>
      </c>
      <c r="F3759" s="9">
        <f t="shared" si="175"/>
        <v>4.7994318153366938E-2</v>
      </c>
      <c r="G3759" s="9">
        <f t="shared" si="176"/>
        <v>8.172441701658522E-3</v>
      </c>
    </row>
    <row r="3760" spans="1:7" x14ac:dyDescent="0.2">
      <c r="A3760" s="12">
        <v>42604</v>
      </c>
      <c r="B3760" s="9">
        <v>3405.86</v>
      </c>
      <c r="C3760" s="9">
        <v>3363.2</v>
      </c>
      <c r="D3760" s="9">
        <v>3368.98</v>
      </c>
      <c r="E3760" s="9">
        <f t="shared" si="174"/>
        <v>-2.5109589665107471E-3</v>
      </c>
      <c r="F3760" s="9">
        <f t="shared" si="175"/>
        <v>2.6275872301788208E-2</v>
      </c>
      <c r="G3760" s="9">
        <f t="shared" si="176"/>
        <v>7.4925720238869821E-3</v>
      </c>
    </row>
    <row r="3761" spans="1:7" x14ac:dyDescent="0.2">
      <c r="A3761" s="12">
        <v>42605</v>
      </c>
      <c r="B3761" s="9">
        <v>3401.7</v>
      </c>
      <c r="C3761" s="9">
        <v>3368.98</v>
      </c>
      <c r="D3761" s="9">
        <v>3398.15</v>
      </c>
      <c r="E3761" s="9">
        <f t="shared" si="174"/>
        <v>8.621137962202971E-3</v>
      </c>
      <c r="F3761" s="9">
        <f t="shared" si="175"/>
        <v>2.7631317127336547E-2</v>
      </c>
      <c r="G3761" s="9">
        <f t="shared" si="176"/>
        <v>7.5363911287109281E-3</v>
      </c>
    </row>
    <row r="3762" spans="1:7" x14ac:dyDescent="0.2">
      <c r="A3762" s="12">
        <v>42606</v>
      </c>
      <c r="B3762" s="9">
        <v>3409.61</v>
      </c>
      <c r="C3762" s="9">
        <v>3376.53</v>
      </c>
      <c r="D3762" s="9">
        <v>3405.78</v>
      </c>
      <c r="E3762" s="9">
        <f t="shared" si="174"/>
        <v>2.242822368366996E-3</v>
      </c>
      <c r="F3762" s="9">
        <f t="shared" si="175"/>
        <v>2.287713011169238E-2</v>
      </c>
      <c r="G3762" s="9">
        <f t="shared" si="176"/>
        <v>7.4537536900668791E-3</v>
      </c>
    </row>
    <row r="3763" spans="1:7" x14ac:dyDescent="0.2">
      <c r="A3763" s="12">
        <v>42607</v>
      </c>
      <c r="B3763" s="9">
        <v>3405.63</v>
      </c>
      <c r="C3763" s="9">
        <v>3372.71</v>
      </c>
      <c r="D3763" s="9">
        <v>3385.86</v>
      </c>
      <c r="E3763" s="9">
        <f t="shared" si="174"/>
        <v>-5.8660521233485727E-3</v>
      </c>
      <c r="F3763" s="9">
        <f t="shared" si="175"/>
        <v>1.2966695254139536E-2</v>
      </c>
      <c r="G3763" s="9">
        <f t="shared" si="176"/>
        <v>7.5225851751043234E-3</v>
      </c>
    </row>
    <row r="3764" spans="1:7" x14ac:dyDescent="0.2">
      <c r="A3764" s="12">
        <v>42608</v>
      </c>
      <c r="B3764" s="9">
        <v>3420.86</v>
      </c>
      <c r="C3764" s="9">
        <v>3379.07</v>
      </c>
      <c r="D3764" s="9">
        <v>3420.78</v>
      </c>
      <c r="E3764" s="9">
        <f t="shared" si="174"/>
        <v>1.0260659111555029E-2</v>
      </c>
      <c r="F3764" s="9">
        <f t="shared" si="175"/>
        <v>2.6205838979900403E-2</v>
      </c>
      <c r="G3764" s="9">
        <f t="shared" si="176"/>
        <v>7.7017957412612772E-3</v>
      </c>
    </row>
    <row r="3765" spans="1:7" x14ac:dyDescent="0.2">
      <c r="A3765" s="12">
        <v>42611</v>
      </c>
      <c r="B3765" s="9">
        <v>3418.89</v>
      </c>
      <c r="C3765" s="9">
        <v>3390.09</v>
      </c>
      <c r="D3765" s="9">
        <v>3408.56</v>
      </c>
      <c r="E3765" s="9">
        <f t="shared" si="174"/>
        <v>-3.5786805289372077E-3</v>
      </c>
      <c r="F3765" s="9">
        <f t="shared" si="175"/>
        <v>2.2768212122118946E-2</v>
      </c>
      <c r="G3765" s="9">
        <f t="shared" si="176"/>
        <v>7.742874247725586E-3</v>
      </c>
    </row>
    <row r="3766" spans="1:7" x14ac:dyDescent="0.2">
      <c r="A3766" s="12">
        <v>42612</v>
      </c>
      <c r="B3766" s="9">
        <v>3428.55</v>
      </c>
      <c r="C3766" s="9">
        <v>3395.28</v>
      </c>
      <c r="D3766" s="9">
        <v>3395.28</v>
      </c>
      <c r="E3766" s="9">
        <f t="shared" si="174"/>
        <v>-3.9036828803149216E-3</v>
      </c>
      <c r="F3766" s="9">
        <f t="shared" si="175"/>
        <v>1.7026389892294644E-2</v>
      </c>
      <c r="G3766" s="9">
        <f t="shared" si="176"/>
        <v>7.7861224505732414E-3</v>
      </c>
    </row>
    <row r="3767" spans="1:7" x14ac:dyDescent="0.2">
      <c r="A3767" s="12">
        <v>42613</v>
      </c>
      <c r="B3767" s="9">
        <v>3409.98</v>
      </c>
      <c r="C3767" s="9">
        <v>3369.2</v>
      </c>
      <c r="D3767" s="9">
        <v>3369.52</v>
      </c>
      <c r="E3767" s="9">
        <f t="shared" si="174"/>
        <v>-7.6159308513790488E-3</v>
      </c>
      <c r="F3767" s="9">
        <f t="shared" si="175"/>
        <v>2.374073510904331E-3</v>
      </c>
      <c r="G3767" s="9">
        <f t="shared" si="176"/>
        <v>7.8258071170715839E-3</v>
      </c>
    </row>
    <row r="3768" spans="1:7" x14ac:dyDescent="0.2">
      <c r="A3768" s="12">
        <v>42614</v>
      </c>
      <c r="B3768" s="9">
        <v>3410.63</v>
      </c>
      <c r="C3768" s="9">
        <v>3371.73</v>
      </c>
      <c r="D3768" s="9">
        <v>3380.32</v>
      </c>
      <c r="E3768" s="9">
        <f t="shared" si="174"/>
        <v>3.2000785845149506E-3</v>
      </c>
      <c r="F3768" s="9">
        <f t="shared" si="175"/>
        <v>6.5295306363568851E-3</v>
      </c>
      <c r="G3768" s="9">
        <f t="shared" si="176"/>
        <v>7.8436201263808337E-3</v>
      </c>
    </row>
    <row r="3769" spans="1:7" x14ac:dyDescent="0.2">
      <c r="A3769" s="12">
        <v>42615</v>
      </c>
      <c r="B3769" s="9">
        <v>3451.01</v>
      </c>
      <c r="C3769" s="9">
        <v>3381.39</v>
      </c>
      <c r="D3769" s="9">
        <v>3451.01</v>
      </c>
      <c r="E3769" s="9">
        <f t="shared" si="174"/>
        <v>2.0696562252688993E-2</v>
      </c>
      <c r="F3769" s="9">
        <f t="shared" si="175"/>
        <v>2.0025253574842042E-2</v>
      </c>
      <c r="G3769" s="9">
        <f t="shared" si="176"/>
        <v>8.6077324082697755E-3</v>
      </c>
    </row>
    <row r="3770" spans="1:7" x14ac:dyDescent="0.2">
      <c r="A3770" s="12">
        <v>42618</v>
      </c>
      <c r="B3770" s="9">
        <v>3474.74</v>
      </c>
      <c r="C3770" s="9">
        <v>3444.8</v>
      </c>
      <c r="D3770" s="9">
        <v>3446.27</v>
      </c>
      <c r="E3770" s="9">
        <f t="shared" si="174"/>
        <v>-1.3744550739436688E-3</v>
      </c>
      <c r="F3770" s="9">
        <f t="shared" si="175"/>
        <v>1.3940674252094984E-2</v>
      </c>
      <c r="G3770" s="9">
        <f t="shared" si="176"/>
        <v>8.5808356267408434E-3</v>
      </c>
    </row>
    <row r="3771" spans="1:7" x14ac:dyDescent="0.2">
      <c r="A3771" s="12">
        <v>42619</v>
      </c>
      <c r="B3771" s="9">
        <v>3467.41</v>
      </c>
      <c r="C3771" s="9">
        <v>3445.94</v>
      </c>
      <c r="D3771" s="9">
        <v>3448.01</v>
      </c>
      <c r="E3771" s="9">
        <f t="shared" si="174"/>
        <v>5.0476628072679947E-4</v>
      </c>
      <c r="F3771" s="9">
        <f t="shared" si="175"/>
        <v>9.8569770128564826E-3</v>
      </c>
      <c r="G3771" s="9">
        <f t="shared" si="176"/>
        <v>8.5454800847582762E-3</v>
      </c>
    </row>
    <row r="3772" spans="1:7" x14ac:dyDescent="0.2">
      <c r="A3772" s="12">
        <v>42620</v>
      </c>
      <c r="B3772" s="9">
        <v>3474.08</v>
      </c>
      <c r="C3772" s="9">
        <v>3444.79</v>
      </c>
      <c r="D3772" s="9">
        <v>3474.08</v>
      </c>
      <c r="E3772" s="9">
        <f t="shared" si="174"/>
        <v>7.5324427340651787E-3</v>
      </c>
      <c r="F3772" s="9">
        <f t="shared" si="175"/>
        <v>1.8098477550187363E-2</v>
      </c>
      <c r="G3772" s="9">
        <f t="shared" si="176"/>
        <v>8.6428897770946048E-3</v>
      </c>
    </row>
    <row r="3773" spans="1:7" x14ac:dyDescent="0.2">
      <c r="A3773" s="12">
        <v>42621</v>
      </c>
      <c r="B3773" s="9">
        <v>3488.05</v>
      </c>
      <c r="C3773" s="9">
        <v>3446.81</v>
      </c>
      <c r="D3773" s="9">
        <v>3466.37</v>
      </c>
      <c r="E3773" s="9">
        <f t="shared" si="174"/>
        <v>-2.2217588690981536E-3</v>
      </c>
      <c r="F3773" s="9">
        <f t="shared" si="175"/>
        <v>2.0621571054634597E-2</v>
      </c>
      <c r="G3773" s="9">
        <f t="shared" si="176"/>
        <v>8.6012286189862449E-3</v>
      </c>
    </row>
    <row r="3774" spans="1:7" x14ac:dyDescent="0.2">
      <c r="A3774" s="12">
        <v>42622</v>
      </c>
      <c r="B3774" s="9">
        <v>3465.63</v>
      </c>
      <c r="C3774" s="9">
        <v>3408.35</v>
      </c>
      <c r="D3774" s="9">
        <v>3413.9</v>
      </c>
      <c r="E3774" s="9">
        <f t="shared" si="174"/>
        <v>-1.525260410504335E-2</v>
      </c>
      <c r="F3774" s="9">
        <f t="shared" si="175"/>
        <v>8.7289264517783228E-3</v>
      </c>
      <c r="G3774" s="9">
        <f t="shared" si="176"/>
        <v>9.0562240950125949E-3</v>
      </c>
    </row>
    <row r="3775" spans="1:7" x14ac:dyDescent="0.2">
      <c r="A3775" s="12">
        <v>42625</v>
      </c>
      <c r="B3775" s="9">
        <v>3407.44</v>
      </c>
      <c r="C3775" s="9">
        <v>3333.68</v>
      </c>
      <c r="D3775" s="9">
        <v>3375.81</v>
      </c>
      <c r="E3775" s="9">
        <f t="shared" si="174"/>
        <v>-1.1220037260082926E-2</v>
      </c>
      <c r="F3775" s="9">
        <f t="shared" si="175"/>
        <v>5.0753465157320557E-3</v>
      </c>
      <c r="G3775" s="9">
        <f t="shared" si="176"/>
        <v>9.1891235891300629E-3</v>
      </c>
    </row>
    <row r="3776" spans="1:7" x14ac:dyDescent="0.2">
      <c r="A3776" s="12">
        <v>42626</v>
      </c>
      <c r="B3776" s="9">
        <v>3406.38</v>
      </c>
      <c r="C3776" s="9">
        <v>3343.15</v>
      </c>
      <c r="D3776" s="9">
        <v>3343.57</v>
      </c>
      <c r="E3776" s="9">
        <f t="shared" si="174"/>
        <v>-9.5961970916035519E-3</v>
      </c>
      <c r="F3776" s="9">
        <f t="shared" si="175"/>
        <v>7.9240740419979638E-3</v>
      </c>
      <c r="G3776" s="9">
        <f t="shared" si="176"/>
        <v>9.0682018026178729E-3</v>
      </c>
    </row>
    <row r="3777" spans="1:7" x14ac:dyDescent="0.2">
      <c r="A3777" s="12">
        <v>42627</v>
      </c>
      <c r="B3777" s="9">
        <v>3368.1</v>
      </c>
      <c r="C3777" s="9">
        <v>3344.99</v>
      </c>
      <c r="D3777" s="9">
        <v>3347.13</v>
      </c>
      <c r="E3777" s="9">
        <f t="shared" si="174"/>
        <v>1.0641637903234271E-3</v>
      </c>
      <c r="F3777" s="9">
        <f t="shared" si="175"/>
        <v>1.0837902598840574E-2</v>
      </c>
      <c r="G3777" s="9">
        <f t="shared" si="176"/>
        <v>9.0603819527666375E-3</v>
      </c>
    </row>
    <row r="3778" spans="1:7" x14ac:dyDescent="0.2">
      <c r="A3778" s="12">
        <v>42628</v>
      </c>
      <c r="B3778" s="9">
        <v>3370.37</v>
      </c>
      <c r="C3778" s="9">
        <v>3335.42</v>
      </c>
      <c r="D3778" s="9">
        <v>3369.69</v>
      </c>
      <c r="E3778" s="9">
        <f t="shared" si="174"/>
        <v>6.7174897747189618E-3</v>
      </c>
      <c r="F3778" s="9">
        <f t="shared" si="175"/>
        <v>8.8679092471420935E-3</v>
      </c>
      <c r="G3778" s="9">
        <f t="shared" si="176"/>
        <v>9.0049247621416199E-3</v>
      </c>
    </row>
    <row r="3779" spans="1:7" x14ac:dyDescent="0.2">
      <c r="A3779" s="12">
        <v>42629</v>
      </c>
      <c r="B3779" s="9">
        <v>3382.82</v>
      </c>
      <c r="C3779" s="9">
        <v>3343.33</v>
      </c>
      <c r="D3779" s="9">
        <v>3359.08</v>
      </c>
      <c r="E3779" s="9">
        <f t="shared" si="174"/>
        <v>-3.1536250439074304E-3</v>
      </c>
      <c r="F3779" s="9">
        <f t="shared" si="175"/>
        <v>-4.544476786565773E-3</v>
      </c>
      <c r="G3779" s="9">
        <f t="shared" si="176"/>
        <v>8.8243540766381832E-3</v>
      </c>
    </row>
    <row r="3780" spans="1:7" x14ac:dyDescent="0.2">
      <c r="A3780" s="12">
        <v>42632</v>
      </c>
      <c r="B3780" s="9">
        <v>3406.12</v>
      </c>
      <c r="C3780" s="9">
        <v>3366.78</v>
      </c>
      <c r="D3780" s="9">
        <v>3402.39</v>
      </c>
      <c r="E3780" s="9">
        <f t="shared" ref="E3780:E3843" si="177">LN(D3780/D3779)</f>
        <v>1.2810998892525507E-2</v>
      </c>
      <c r="F3780" s="9">
        <f t="shared" si="175"/>
        <v>-3.9082530753365845E-4</v>
      </c>
      <c r="G3780" s="9">
        <f t="shared" si="176"/>
        <v>8.9982045471681919E-3</v>
      </c>
    </row>
    <row r="3781" spans="1:7" x14ac:dyDescent="0.2">
      <c r="A3781" s="12">
        <v>42633</v>
      </c>
      <c r="B3781" s="9">
        <v>3410.59</v>
      </c>
      <c r="C3781" s="9">
        <v>3394.31</v>
      </c>
      <c r="D3781" s="9">
        <v>3399.27</v>
      </c>
      <c r="E3781" s="9">
        <f t="shared" si="177"/>
        <v>-9.1742316400202138E-4</v>
      </c>
      <c r="F3781" s="9">
        <f t="shared" si="175"/>
        <v>-1.7650081243584966E-2</v>
      </c>
      <c r="G3781" s="9">
        <f t="shared" si="176"/>
        <v>8.4516269532913437E-3</v>
      </c>
    </row>
    <row r="3782" spans="1:7" x14ac:dyDescent="0.2">
      <c r="A3782" s="12">
        <v>42634</v>
      </c>
      <c r="B3782" s="9">
        <v>3436.34</v>
      </c>
      <c r="C3782" s="9">
        <v>3402.63</v>
      </c>
      <c r="D3782" s="9">
        <v>3422.5</v>
      </c>
      <c r="E3782" s="9">
        <f t="shared" si="177"/>
        <v>6.8105754933117752E-3</v>
      </c>
      <c r="F3782" s="9">
        <f t="shared" si="175"/>
        <v>-6.0677482282909829E-3</v>
      </c>
      <c r="G3782" s="9">
        <f t="shared" si="176"/>
        <v>8.518218086926278E-3</v>
      </c>
    </row>
    <row r="3783" spans="1:7" x14ac:dyDescent="0.2">
      <c r="A3783" s="12">
        <v>42635</v>
      </c>
      <c r="B3783" s="9">
        <v>3494.02</v>
      </c>
      <c r="C3783" s="9">
        <v>3427.88</v>
      </c>
      <c r="D3783" s="9">
        <v>3493.35</v>
      </c>
      <c r="E3783" s="9">
        <f t="shared" si="177"/>
        <v>2.0489883025304821E-2</v>
      </c>
      <c r="F3783" s="9">
        <f t="shared" si="175"/>
        <v>9.2313657027371064E-3</v>
      </c>
      <c r="G3783" s="9">
        <f t="shared" si="176"/>
        <v>9.2764421930050262E-3</v>
      </c>
    </row>
    <row r="3784" spans="1:7" x14ac:dyDescent="0.2">
      <c r="A3784" s="12">
        <v>42636</v>
      </c>
      <c r="B3784" s="9">
        <v>3494.77</v>
      </c>
      <c r="C3784" s="9">
        <v>3463.11</v>
      </c>
      <c r="D3784" s="9">
        <v>3483.83</v>
      </c>
      <c r="E3784" s="9">
        <f t="shared" si="177"/>
        <v>-2.7288978950980713E-3</v>
      </c>
      <c r="F3784" s="9">
        <f t="shared" si="175"/>
        <v>1.0311808761713243E-2</v>
      </c>
      <c r="G3784" s="9">
        <f t="shared" si="176"/>
        <v>9.2619931111813502E-3</v>
      </c>
    </row>
    <row r="3785" spans="1:7" x14ac:dyDescent="0.2">
      <c r="A3785" s="12">
        <v>42639</v>
      </c>
      <c r="B3785" s="9">
        <v>3480.96</v>
      </c>
      <c r="C3785" s="9">
        <v>3445.94</v>
      </c>
      <c r="D3785" s="9">
        <v>3449.38</v>
      </c>
      <c r="E3785" s="9">
        <f t="shared" si="177"/>
        <v>-9.9377585621356363E-3</v>
      </c>
      <c r="F3785" s="9">
        <f t="shared" si="175"/>
        <v>-1.0952491047830472E-3</v>
      </c>
      <c r="G3785" s="9">
        <f t="shared" si="176"/>
        <v>9.4465020731575866E-3</v>
      </c>
    </row>
    <row r="3786" spans="1:7" x14ac:dyDescent="0.2">
      <c r="A3786" s="12">
        <v>42640</v>
      </c>
      <c r="B3786" s="9">
        <v>3473.62</v>
      </c>
      <c r="C3786" s="9">
        <v>3428.59</v>
      </c>
      <c r="D3786" s="9">
        <v>3455.94</v>
      </c>
      <c r="E3786" s="9">
        <f t="shared" si="177"/>
        <v>1.8999849314543572E-3</v>
      </c>
      <c r="F3786" s="9">
        <f t="shared" si="175"/>
        <v>1.4661608856580325E-2</v>
      </c>
      <c r="G3786" s="9">
        <f t="shared" si="176"/>
        <v>9.0826230708702278E-3</v>
      </c>
    </row>
    <row r="3787" spans="1:7" x14ac:dyDescent="0.2">
      <c r="A3787" s="12">
        <v>42641</v>
      </c>
      <c r="B3787" s="9">
        <v>3478.09</v>
      </c>
      <c r="C3787" s="9">
        <v>3454.82</v>
      </c>
      <c r="D3787" s="9">
        <v>3472.27</v>
      </c>
      <c r="E3787" s="9">
        <f t="shared" si="177"/>
        <v>4.7140690715309561E-3</v>
      </c>
      <c r="F3787" s="9">
        <f t="shared" si="175"/>
        <v>3.2064336038500972E-2</v>
      </c>
      <c r="G3787" s="9">
        <f t="shared" si="176"/>
        <v>8.762070138869411E-3</v>
      </c>
    </row>
    <row r="3788" spans="1:7" x14ac:dyDescent="0.2">
      <c r="A3788" s="12">
        <v>42642</v>
      </c>
      <c r="B3788" s="9">
        <v>3501.38</v>
      </c>
      <c r="C3788" s="9">
        <v>3464.07</v>
      </c>
      <c r="D3788" s="9">
        <v>3469.03</v>
      </c>
      <c r="E3788" s="9">
        <f t="shared" si="177"/>
        <v>-9.3354277593684309E-4</v>
      </c>
      <c r="F3788" s="9">
        <f t="shared" si="175"/>
        <v>1.9796689054412897E-2</v>
      </c>
      <c r="G3788" s="9">
        <f t="shared" si="176"/>
        <v>8.550174420385144E-3</v>
      </c>
    </row>
    <row r="3789" spans="1:7" x14ac:dyDescent="0.2">
      <c r="A3789" s="12">
        <v>42643</v>
      </c>
      <c r="B3789" s="9">
        <v>3489.67</v>
      </c>
      <c r="C3789" s="9">
        <v>3412.45</v>
      </c>
      <c r="D3789" s="9">
        <v>3489.6</v>
      </c>
      <c r="E3789" s="9">
        <f t="shared" si="177"/>
        <v>5.9121004896412867E-3</v>
      </c>
      <c r="F3789" s="9">
        <f t="shared" si="175"/>
        <v>3.2666129571589521E-2</v>
      </c>
      <c r="G3789" s="9">
        <f t="shared" si="176"/>
        <v>8.4773568121671149E-3</v>
      </c>
    </row>
    <row r="3790" spans="1:7" x14ac:dyDescent="0.2">
      <c r="A3790" s="12">
        <v>42646</v>
      </c>
      <c r="B3790" s="9">
        <v>3501.93</v>
      </c>
      <c r="C3790" s="9">
        <v>3481.51</v>
      </c>
      <c r="D3790" s="9">
        <v>3499.57</v>
      </c>
      <c r="E3790" s="9">
        <f t="shared" si="177"/>
        <v>2.8529873397263564E-3</v>
      </c>
      <c r="F3790" s="9">
        <f t="shared" si="175"/>
        <v>3.8030075877826544E-2</v>
      </c>
      <c r="G3790" s="9">
        <f t="shared" si="176"/>
        <v>8.4553513843037692E-3</v>
      </c>
    </row>
    <row r="3791" spans="1:7" x14ac:dyDescent="0.2">
      <c r="A3791" s="12">
        <v>42647</v>
      </c>
      <c r="B3791" s="9">
        <v>3518.73</v>
      </c>
      <c r="C3791" s="9">
        <v>3498.53</v>
      </c>
      <c r="D3791" s="9">
        <v>3515.65</v>
      </c>
      <c r="E3791" s="9">
        <f t="shared" si="177"/>
        <v>4.5843261256216777E-3</v>
      </c>
      <c r="F3791" s="9">
        <f t="shared" si="175"/>
        <v>3.3993264041245357E-2</v>
      </c>
      <c r="G3791" s="9">
        <f t="shared" si="176"/>
        <v>8.3659398944905278E-3</v>
      </c>
    </row>
    <row r="3792" spans="1:7" x14ac:dyDescent="0.2">
      <c r="A3792" s="12">
        <v>42648</v>
      </c>
      <c r="B3792" s="9">
        <v>3509.08</v>
      </c>
      <c r="C3792" s="9">
        <v>3483.94</v>
      </c>
      <c r="D3792" s="9">
        <v>3506.1</v>
      </c>
      <c r="E3792" s="9">
        <f t="shared" si="177"/>
        <v>-2.7201213054916396E-3</v>
      </c>
      <c r="F3792" s="9">
        <f t="shared" si="175"/>
        <v>2.9030320367386685E-2</v>
      </c>
      <c r="G3792" s="9">
        <f t="shared" si="176"/>
        <v>8.3922674801380891E-3</v>
      </c>
    </row>
    <row r="3793" spans="1:7" x14ac:dyDescent="0.2">
      <c r="A3793" s="12">
        <v>42649</v>
      </c>
      <c r="B3793" s="9">
        <v>3510.49</v>
      </c>
      <c r="C3793" s="9">
        <v>3486.67</v>
      </c>
      <c r="D3793" s="9">
        <v>3487.18</v>
      </c>
      <c r="E3793" s="9">
        <f t="shared" si="177"/>
        <v>-5.4109219598656427E-3</v>
      </c>
      <c r="F3793" s="9">
        <f t="shared" si="175"/>
        <v>2.9485450530869498E-2</v>
      </c>
      <c r="G3793" s="9">
        <f t="shared" si="176"/>
        <v>8.3798901650074201E-3</v>
      </c>
    </row>
    <row r="3794" spans="1:7" x14ac:dyDescent="0.2">
      <c r="A3794" s="12">
        <v>42650</v>
      </c>
      <c r="B3794" s="9">
        <v>3485.8</v>
      </c>
      <c r="C3794" s="9">
        <v>3461.97</v>
      </c>
      <c r="D3794" s="9">
        <v>3464.39</v>
      </c>
      <c r="E3794" s="9">
        <f t="shared" si="177"/>
        <v>-6.5568156973448413E-3</v>
      </c>
      <c r="F3794" s="9">
        <f t="shared" si="175"/>
        <v>1.2667975721969704E-2</v>
      </c>
      <c r="G3794" s="9">
        <f t="shared" si="176"/>
        <v>8.2999696626768604E-3</v>
      </c>
    </row>
    <row r="3795" spans="1:7" x14ac:dyDescent="0.2">
      <c r="A3795" s="12">
        <v>42653</v>
      </c>
      <c r="B3795" s="9">
        <v>3503.28</v>
      </c>
      <c r="C3795" s="9">
        <v>3456.2</v>
      </c>
      <c r="D3795" s="9">
        <v>3503.28</v>
      </c>
      <c r="E3795" s="9">
        <f t="shared" si="177"/>
        <v>1.1163101540422049E-2</v>
      </c>
      <c r="F3795" s="9">
        <f t="shared" si="175"/>
        <v>2.740975779132869E-2</v>
      </c>
      <c r="G3795" s="9">
        <f t="shared" si="176"/>
        <v>8.4891601676396408E-3</v>
      </c>
    </row>
    <row r="3796" spans="1:7" x14ac:dyDescent="0.2">
      <c r="A3796" s="12">
        <v>42654</v>
      </c>
      <c r="B3796" s="9">
        <v>3520.81</v>
      </c>
      <c r="C3796" s="9">
        <v>3483.49</v>
      </c>
      <c r="D3796" s="9">
        <v>3483.58</v>
      </c>
      <c r="E3796" s="9">
        <f t="shared" si="177"/>
        <v>-5.6391718756061068E-3</v>
      </c>
      <c r="F3796" s="9">
        <f t="shared" si="175"/>
        <v>2.5674268796037708E-2</v>
      </c>
      <c r="G3796" s="9">
        <f t="shared" si="176"/>
        <v>8.5289401473625966E-3</v>
      </c>
    </row>
    <row r="3797" spans="1:7" x14ac:dyDescent="0.2">
      <c r="A3797" s="12">
        <v>42655</v>
      </c>
      <c r="B3797" s="9">
        <v>3487.24</v>
      </c>
      <c r="C3797" s="9">
        <v>3454.73</v>
      </c>
      <c r="D3797" s="9">
        <v>3460.66</v>
      </c>
      <c r="E3797" s="9">
        <f t="shared" si="177"/>
        <v>-6.601178308713338E-3</v>
      </c>
      <c r="F3797" s="9">
        <f t="shared" si="175"/>
        <v>2.6689021338703375E-2</v>
      </c>
      <c r="G3797" s="9">
        <f t="shared" si="176"/>
        <v>8.4961324683749326E-3</v>
      </c>
    </row>
    <row r="3798" spans="1:7" x14ac:dyDescent="0.2">
      <c r="A3798" s="12">
        <v>42656</v>
      </c>
      <c r="B3798" s="9">
        <v>3460.67</v>
      </c>
      <c r="C3798" s="9">
        <v>3418.37</v>
      </c>
      <c r="D3798" s="9">
        <v>3429.54</v>
      </c>
      <c r="E3798" s="9">
        <f t="shared" si="177"/>
        <v>-9.0331809269551307E-3</v>
      </c>
      <c r="F3798" s="9">
        <f t="shared" si="175"/>
        <v>1.445576182723338E-2</v>
      </c>
      <c r="G3798" s="9">
        <f t="shared" si="176"/>
        <v>8.6731440872693123E-3</v>
      </c>
    </row>
    <row r="3799" spans="1:7" x14ac:dyDescent="0.2">
      <c r="A3799" s="12">
        <v>42657</v>
      </c>
      <c r="B3799" s="9">
        <v>3464.41</v>
      </c>
      <c r="C3799" s="9">
        <v>3429.54</v>
      </c>
      <c r="D3799" s="9">
        <v>3460.43</v>
      </c>
      <c r="E3799" s="9">
        <f t="shared" si="177"/>
        <v>8.9667174074559968E-3</v>
      </c>
      <c r="F3799" s="9">
        <f t="shared" si="175"/>
        <v>2.7259169820002573E-3</v>
      </c>
      <c r="G3799" s="9">
        <f t="shared" si="176"/>
        <v>7.9659873988858002E-3</v>
      </c>
    </row>
    <row r="3800" spans="1:7" x14ac:dyDescent="0.2">
      <c r="A3800" s="12">
        <v>42660</v>
      </c>
      <c r="B3800" s="9">
        <v>3470.2</v>
      </c>
      <c r="C3800" s="9">
        <v>3438.22</v>
      </c>
      <c r="D3800" s="9">
        <v>3455.03</v>
      </c>
      <c r="E3800" s="9">
        <f t="shared" si="177"/>
        <v>-1.5617185545238137E-3</v>
      </c>
      <c r="F3800" s="9">
        <f t="shared" si="175"/>
        <v>2.5386535014202895E-3</v>
      </c>
      <c r="G3800" s="9">
        <f t="shared" si="176"/>
        <v>7.9672484803683403E-3</v>
      </c>
    </row>
    <row r="3801" spans="1:7" x14ac:dyDescent="0.2">
      <c r="A3801" s="12">
        <v>42661</v>
      </c>
      <c r="B3801" s="9">
        <v>3502.08</v>
      </c>
      <c r="C3801" s="9">
        <v>3462.3</v>
      </c>
      <c r="D3801" s="9">
        <v>3500.27</v>
      </c>
      <c r="E3801" s="9">
        <f t="shared" si="177"/>
        <v>1.3008968127200645E-2</v>
      </c>
      <c r="F3801" s="9">
        <f t="shared" si="175"/>
        <v>1.5042855347894016E-2</v>
      </c>
      <c r="G3801" s="9">
        <f t="shared" si="176"/>
        <v>8.3097051145774418E-3</v>
      </c>
    </row>
    <row r="3802" spans="1:7" x14ac:dyDescent="0.2">
      <c r="A3802" s="12">
        <v>42662</v>
      </c>
      <c r="B3802" s="9">
        <v>3507.49</v>
      </c>
      <c r="C3802" s="9">
        <v>3485.81</v>
      </c>
      <c r="D3802" s="9">
        <v>3502.7</v>
      </c>
      <c r="E3802" s="9">
        <f t="shared" si="177"/>
        <v>6.9399129156018488E-4</v>
      </c>
      <c r="F3802" s="9">
        <f t="shared" si="175"/>
        <v>8.2044039053891914E-3</v>
      </c>
      <c r="G3802" s="9">
        <f t="shared" si="176"/>
        <v>8.2032959716070598E-3</v>
      </c>
    </row>
    <row r="3803" spans="1:7" x14ac:dyDescent="0.2">
      <c r="A3803" s="12">
        <v>42663</v>
      </c>
      <c r="B3803" s="9">
        <v>3514.33</v>
      </c>
      <c r="C3803" s="9">
        <v>3489.18</v>
      </c>
      <c r="D3803" s="9">
        <v>3508.37</v>
      </c>
      <c r="E3803" s="9">
        <f t="shared" si="177"/>
        <v>1.617442483420261E-3</v>
      </c>
      <c r="F3803" s="9">
        <f t="shared" si="175"/>
        <v>1.2043605257907535E-2</v>
      </c>
      <c r="G3803" s="9">
        <f t="shared" si="176"/>
        <v>8.1929670864536244E-3</v>
      </c>
    </row>
    <row r="3804" spans="1:7" x14ac:dyDescent="0.2">
      <c r="A3804" s="12">
        <v>42664</v>
      </c>
      <c r="B3804" s="9">
        <v>3512.42</v>
      </c>
      <c r="C3804" s="9">
        <v>3489.42</v>
      </c>
      <c r="D3804" s="9">
        <v>3499.55</v>
      </c>
      <c r="E3804" s="9">
        <f t="shared" si="177"/>
        <v>-2.5171533513521967E-3</v>
      </c>
      <c r="F3804" s="9">
        <f t="shared" si="175"/>
        <v>2.4779056011598841E-2</v>
      </c>
      <c r="G3804" s="9">
        <f t="shared" si="176"/>
        <v>7.6669441305915985E-3</v>
      </c>
    </row>
    <row r="3805" spans="1:7" x14ac:dyDescent="0.2">
      <c r="A3805" s="12">
        <v>42667</v>
      </c>
      <c r="B3805" s="9">
        <v>3522.36</v>
      </c>
      <c r="C3805" s="9">
        <v>3498.61</v>
      </c>
      <c r="D3805" s="9">
        <v>3501.72</v>
      </c>
      <c r="E3805" s="9">
        <f t="shared" si="177"/>
        <v>6.1988755453991178E-4</v>
      </c>
      <c r="F3805" s="9">
        <f t="shared" si="175"/>
        <v>3.6618980826221663E-2</v>
      </c>
      <c r="G3805" s="9">
        <f t="shared" si="176"/>
        <v>7.3224792215366074E-3</v>
      </c>
    </row>
    <row r="3806" spans="1:7" x14ac:dyDescent="0.2">
      <c r="A3806" s="12">
        <v>42668</v>
      </c>
      <c r="B3806" s="9">
        <v>3523.44</v>
      </c>
      <c r="C3806" s="9">
        <v>3490.31</v>
      </c>
      <c r="D3806" s="9">
        <v>3511.37</v>
      </c>
      <c r="E3806" s="9">
        <f t="shared" si="177"/>
        <v>2.7519983603095997E-3</v>
      </c>
      <c r="F3806" s="9">
        <f t="shared" si="175"/>
        <v>4.8967176278134718E-2</v>
      </c>
      <c r="G3806" s="9">
        <f t="shared" si="176"/>
        <v>7.0348909582413875E-3</v>
      </c>
    </row>
    <row r="3807" spans="1:7" x14ac:dyDescent="0.2">
      <c r="A3807" s="12">
        <v>42669</v>
      </c>
      <c r="B3807" s="9">
        <v>3529.85</v>
      </c>
      <c r="C3807" s="9">
        <v>3489.18</v>
      </c>
      <c r="D3807" s="9">
        <v>3517.73</v>
      </c>
      <c r="E3807" s="9">
        <f t="shared" si="177"/>
        <v>1.8096205020856366E-3</v>
      </c>
      <c r="F3807" s="9">
        <f t="shared" si="175"/>
        <v>4.9712632989896796E-2</v>
      </c>
      <c r="G3807" s="9">
        <f t="shared" si="176"/>
        <v>7.034131723379685E-3</v>
      </c>
    </row>
    <row r="3808" spans="1:7" x14ac:dyDescent="0.2">
      <c r="A3808" s="12">
        <v>42670</v>
      </c>
      <c r="B3808" s="9">
        <v>3518.04</v>
      </c>
      <c r="C3808" s="9">
        <v>3461.91</v>
      </c>
      <c r="D3808" s="9">
        <v>3470.75</v>
      </c>
      <c r="E3808" s="9">
        <f t="shared" si="177"/>
        <v>-1.3445186284942252E-2</v>
      </c>
      <c r="F3808" s="9">
        <f t="shared" si="175"/>
        <v>2.9549956930235648E-2</v>
      </c>
      <c r="G3808" s="9">
        <f t="shared" si="176"/>
        <v>7.4828796783152655E-3</v>
      </c>
    </row>
    <row r="3809" spans="1:7" x14ac:dyDescent="0.2">
      <c r="A3809" s="12">
        <v>42671</v>
      </c>
      <c r="B3809" s="9">
        <v>3482.1</v>
      </c>
      <c r="C3809" s="9">
        <v>3441.55</v>
      </c>
      <c r="D3809" s="9">
        <v>3472.34</v>
      </c>
      <c r="E3809" s="9">
        <f t="shared" si="177"/>
        <v>4.5800933814635472E-4</v>
      </c>
      <c r="F3809" s="9">
        <f t="shared" ref="F3809:F3872" si="178">LN(D3809/D3779)</f>
        <v>3.3161591312289351E-2</v>
      </c>
      <c r="G3809" s="9">
        <f t="shared" ref="G3809:G3872" si="179">STDEV(E3780:E3809)</f>
        <v>7.4429459212995109E-3</v>
      </c>
    </row>
    <row r="3810" spans="1:7" x14ac:dyDescent="0.2">
      <c r="A3810" s="12">
        <v>42674</v>
      </c>
      <c r="B3810" s="9">
        <v>3470.65</v>
      </c>
      <c r="C3810" s="9">
        <v>3452.54</v>
      </c>
      <c r="D3810" s="9">
        <v>3453.27</v>
      </c>
      <c r="E3810" s="9">
        <f t="shared" si="177"/>
        <v>-5.5071100442090591E-3</v>
      </c>
      <c r="F3810" s="9">
        <f t="shared" si="178"/>
        <v>1.4843482375554948E-2</v>
      </c>
      <c r="G3810" s="9">
        <f t="shared" si="179"/>
        <v>7.1968492060882454E-3</v>
      </c>
    </row>
    <row r="3811" spans="1:7" x14ac:dyDescent="0.2">
      <c r="A3811" s="12">
        <v>42675</v>
      </c>
      <c r="B3811" s="9">
        <v>3469.02</v>
      </c>
      <c r="C3811" s="9">
        <v>3417.1</v>
      </c>
      <c r="D3811" s="9">
        <v>3417.1</v>
      </c>
      <c r="E3811" s="9">
        <f t="shared" si="177"/>
        <v>-1.0529370084263417E-2</v>
      </c>
      <c r="F3811" s="9">
        <f t="shared" si="178"/>
        <v>5.2315354552934052E-3</v>
      </c>
      <c r="G3811" s="9">
        <f t="shared" si="179"/>
        <v>7.4706378937889166E-3</v>
      </c>
    </row>
    <row r="3812" spans="1:7" x14ac:dyDescent="0.2">
      <c r="A3812" s="12">
        <v>42676</v>
      </c>
      <c r="B3812" s="9">
        <v>3417.02</v>
      </c>
      <c r="C3812" s="9">
        <v>3379.53</v>
      </c>
      <c r="D3812" s="9">
        <v>3380.4</v>
      </c>
      <c r="E3812" s="9">
        <f t="shared" si="177"/>
        <v>-1.0798192454258245E-2</v>
      </c>
      <c r="F3812" s="9">
        <f t="shared" si="178"/>
        <v>-1.2377232492276735E-2</v>
      </c>
      <c r="G3812" s="9">
        <f t="shared" si="179"/>
        <v>7.6214879457160824E-3</v>
      </c>
    </row>
    <row r="3813" spans="1:7" x14ac:dyDescent="0.2">
      <c r="A3813" s="12">
        <v>42677</v>
      </c>
      <c r="B3813" s="9">
        <v>3402.73</v>
      </c>
      <c r="C3813" s="9">
        <v>3375.08</v>
      </c>
      <c r="D3813" s="9">
        <v>3380.59</v>
      </c>
      <c r="E3813" s="9">
        <f t="shared" si="177"/>
        <v>5.6204786591868408E-5</v>
      </c>
      <c r="F3813" s="9">
        <f t="shared" si="178"/>
        <v>-3.2810910730989545E-2</v>
      </c>
      <c r="G3813" s="9">
        <f t="shared" si="179"/>
        <v>6.5229421733801049E-3</v>
      </c>
    </row>
    <row r="3814" spans="1:7" x14ac:dyDescent="0.2">
      <c r="A3814" s="12">
        <v>42678</v>
      </c>
      <c r="B3814" s="9">
        <v>3379.9</v>
      </c>
      <c r="C3814" s="9">
        <v>3338.86</v>
      </c>
      <c r="D3814" s="9">
        <v>3343.42</v>
      </c>
      <c r="E3814" s="9">
        <f t="shared" si="177"/>
        <v>-1.1056015271722805E-2</v>
      </c>
      <c r="F3814" s="9">
        <f t="shared" si="178"/>
        <v>-4.1138028107614272E-2</v>
      </c>
      <c r="G3814" s="9">
        <f t="shared" si="179"/>
        <v>6.7675111390582904E-3</v>
      </c>
    </row>
    <row r="3815" spans="1:7" x14ac:dyDescent="0.2">
      <c r="A3815" s="12">
        <v>42681</v>
      </c>
      <c r="B3815" s="9">
        <v>3405.69</v>
      </c>
      <c r="C3815" s="9">
        <v>3353.86</v>
      </c>
      <c r="D3815" s="9">
        <v>3389.57</v>
      </c>
      <c r="E3815" s="9">
        <f t="shared" si="177"/>
        <v>1.3708834486145309E-2</v>
      </c>
      <c r="F3815" s="9">
        <f t="shared" si="178"/>
        <v>-1.7491435059333232E-2</v>
      </c>
      <c r="G3815" s="9">
        <f t="shared" si="179"/>
        <v>7.1040614976317683E-3</v>
      </c>
    </row>
    <row r="3816" spans="1:7" x14ac:dyDescent="0.2">
      <c r="A3816" s="12">
        <v>42682</v>
      </c>
      <c r="B3816" s="9">
        <v>3408.24</v>
      </c>
      <c r="C3816" s="9">
        <v>3383.78</v>
      </c>
      <c r="D3816" s="9">
        <v>3400.14</v>
      </c>
      <c r="E3816" s="9">
        <f t="shared" si="177"/>
        <v>3.1135375557714926E-3</v>
      </c>
      <c r="F3816" s="9">
        <f t="shared" si="178"/>
        <v>-1.6277882435016006E-2</v>
      </c>
      <c r="G3816" s="9">
        <f t="shared" si="179"/>
        <v>7.1221199977356221E-3</v>
      </c>
    </row>
    <row r="3817" spans="1:7" x14ac:dyDescent="0.2">
      <c r="A3817" s="12">
        <v>42683</v>
      </c>
      <c r="B3817" s="9">
        <v>3477.59</v>
      </c>
      <c r="C3817" s="9">
        <v>3265.85</v>
      </c>
      <c r="D3817" s="9">
        <v>3475.53</v>
      </c>
      <c r="E3817" s="9">
        <f t="shared" si="177"/>
        <v>2.1930378127705263E-2</v>
      </c>
      <c r="F3817" s="9">
        <f t="shared" si="178"/>
        <v>9.3842662115827436E-4</v>
      </c>
      <c r="G3817" s="9">
        <f t="shared" si="179"/>
        <v>8.1759428489649438E-3</v>
      </c>
    </row>
    <row r="3818" spans="1:7" x14ac:dyDescent="0.2">
      <c r="A3818" s="12">
        <v>42684</v>
      </c>
      <c r="B3818" s="9">
        <v>3547.98</v>
      </c>
      <c r="C3818" s="9">
        <v>3477.65</v>
      </c>
      <c r="D3818" s="9">
        <v>3499.91</v>
      </c>
      <c r="E3818" s="9">
        <f t="shared" si="177"/>
        <v>6.9902685063542615E-3</v>
      </c>
      <c r="F3818" s="9">
        <f t="shared" si="178"/>
        <v>8.8622379034494544E-3</v>
      </c>
      <c r="G3818" s="9">
        <f t="shared" si="179"/>
        <v>8.2711357969067843E-3</v>
      </c>
    </row>
    <row r="3819" spans="1:7" x14ac:dyDescent="0.2">
      <c r="A3819" s="12">
        <v>42685</v>
      </c>
      <c r="B3819" s="9">
        <v>3515.72</v>
      </c>
      <c r="C3819" s="9">
        <v>3436.56</v>
      </c>
      <c r="D3819" s="9">
        <v>3442.5</v>
      </c>
      <c r="E3819" s="9">
        <f t="shared" si="177"/>
        <v>-1.6539302258362875E-2</v>
      </c>
      <c r="F3819" s="9">
        <f t="shared" si="178"/>
        <v>-1.3589164844554693E-2</v>
      </c>
      <c r="G3819" s="9">
        <f t="shared" si="179"/>
        <v>8.747407463676686E-3</v>
      </c>
    </row>
    <row r="3820" spans="1:7" x14ac:dyDescent="0.2">
      <c r="A3820" s="12">
        <v>42688</v>
      </c>
      <c r="B3820" s="9">
        <v>3472.12</v>
      </c>
      <c r="C3820" s="9">
        <v>3390.2</v>
      </c>
      <c r="D3820" s="9">
        <v>3392.22</v>
      </c>
      <c r="E3820" s="9">
        <f t="shared" si="177"/>
        <v>-1.471337730367119E-2</v>
      </c>
      <c r="F3820" s="9">
        <f t="shared" si="178"/>
        <v>-3.115552948795227E-2</v>
      </c>
      <c r="G3820" s="9">
        <f t="shared" si="179"/>
        <v>9.0993384825267098E-3</v>
      </c>
    </row>
    <row r="3821" spans="1:7" x14ac:dyDescent="0.2">
      <c r="A3821" s="12">
        <v>42689</v>
      </c>
      <c r="B3821" s="9">
        <v>3424.74</v>
      </c>
      <c r="C3821" s="9">
        <v>3374.38</v>
      </c>
      <c r="D3821" s="9">
        <v>3420.6</v>
      </c>
      <c r="E3821" s="9">
        <f t="shared" si="177"/>
        <v>8.3313999664524126E-3</v>
      </c>
      <c r="F3821" s="9">
        <f t="shared" si="178"/>
        <v>-2.7408455647121487E-2</v>
      </c>
      <c r="G3821" s="9">
        <f t="shared" si="179"/>
        <v>9.2042940298191715E-3</v>
      </c>
    </row>
    <row r="3822" spans="1:7" x14ac:dyDescent="0.2">
      <c r="A3822" s="12">
        <v>42690</v>
      </c>
      <c r="B3822" s="9">
        <v>3444.43</v>
      </c>
      <c r="C3822" s="9">
        <v>3392.44</v>
      </c>
      <c r="D3822" s="9">
        <v>3404.02</v>
      </c>
      <c r="E3822" s="9">
        <f t="shared" si="177"/>
        <v>-4.8588881489286485E-3</v>
      </c>
      <c r="F3822" s="9">
        <f t="shared" si="178"/>
        <v>-2.9547222490558533E-2</v>
      </c>
      <c r="G3822" s="9">
        <f t="shared" si="179"/>
        <v>9.2270237775684237E-3</v>
      </c>
    </row>
    <row r="3823" spans="1:7" x14ac:dyDescent="0.2">
      <c r="A3823" s="12">
        <v>42691</v>
      </c>
      <c r="B3823" s="9">
        <v>3425.87</v>
      </c>
      <c r="C3823" s="9">
        <v>3392.68</v>
      </c>
      <c r="D3823" s="9">
        <v>3425.12</v>
      </c>
      <c r="E3823" s="9">
        <f t="shared" si="177"/>
        <v>6.1794214622497593E-3</v>
      </c>
      <c r="F3823" s="9">
        <f t="shared" si="178"/>
        <v>-1.7956879068443059E-2</v>
      </c>
      <c r="G3823" s="9">
        <f t="shared" si="179"/>
        <v>9.2778215353565823E-3</v>
      </c>
    </row>
    <row r="3824" spans="1:7" x14ac:dyDescent="0.2">
      <c r="A3824" s="12">
        <v>42692</v>
      </c>
      <c r="B3824" s="9">
        <v>3446.49</v>
      </c>
      <c r="C3824" s="9">
        <v>3411.3</v>
      </c>
      <c r="D3824" s="9">
        <v>3435.27</v>
      </c>
      <c r="E3824" s="9">
        <f t="shared" si="177"/>
        <v>2.959017608600734E-3</v>
      </c>
      <c r="F3824" s="9">
        <f t="shared" si="178"/>
        <v>-8.4410457624974344E-3</v>
      </c>
      <c r="G3824" s="9">
        <f t="shared" si="179"/>
        <v>9.2296344848836736E-3</v>
      </c>
    </row>
    <row r="3825" spans="1:7" x14ac:dyDescent="0.2">
      <c r="A3825" s="12">
        <v>42695</v>
      </c>
      <c r="B3825" s="9">
        <v>3450.64</v>
      </c>
      <c r="C3825" s="9">
        <v>3418.53</v>
      </c>
      <c r="D3825" s="9">
        <v>3443.52</v>
      </c>
      <c r="E3825" s="9">
        <f t="shared" si="177"/>
        <v>2.3986788245144467E-3</v>
      </c>
      <c r="F3825" s="9">
        <f t="shared" si="178"/>
        <v>-1.7205468478404949E-2</v>
      </c>
      <c r="G3825" s="9">
        <f t="shared" si="179"/>
        <v>8.9905020573378819E-3</v>
      </c>
    </row>
    <row r="3826" spans="1:7" x14ac:dyDescent="0.2">
      <c r="A3826" s="12">
        <v>42696</v>
      </c>
      <c r="B3826" s="9">
        <v>3479.77</v>
      </c>
      <c r="C3826" s="9">
        <v>3446.12</v>
      </c>
      <c r="D3826" s="9">
        <v>3472.61</v>
      </c>
      <c r="E3826" s="9">
        <f t="shared" si="177"/>
        <v>8.4122685805537965E-3</v>
      </c>
      <c r="F3826" s="9">
        <f t="shared" si="178"/>
        <v>-3.154028022245015E-3</v>
      </c>
      <c r="G3826" s="9">
        <f t="shared" si="179"/>
        <v>9.0830397116562177E-3</v>
      </c>
    </row>
    <row r="3827" spans="1:7" x14ac:dyDescent="0.2">
      <c r="A3827" s="12">
        <v>42697</v>
      </c>
      <c r="B3827" s="9">
        <v>3500.66</v>
      </c>
      <c r="C3827" s="9">
        <v>3471.96</v>
      </c>
      <c r="D3827" s="9">
        <v>3481.95</v>
      </c>
      <c r="E3827" s="9">
        <f t="shared" si="177"/>
        <v>2.6860090689842524E-3</v>
      </c>
      <c r="F3827" s="9">
        <f t="shared" si="178"/>
        <v>6.1331593554526109E-3</v>
      </c>
      <c r="G3827" s="9">
        <f t="shared" si="179"/>
        <v>9.011991117191127E-3</v>
      </c>
    </row>
    <row r="3828" spans="1:7" x14ac:dyDescent="0.2">
      <c r="A3828" s="12">
        <v>42698</v>
      </c>
      <c r="B3828" s="9">
        <v>3506.37</v>
      </c>
      <c r="C3828" s="9">
        <v>3484.92</v>
      </c>
      <c r="D3828" s="9">
        <v>3506.37</v>
      </c>
      <c r="E3828" s="9">
        <f t="shared" si="177"/>
        <v>6.9888326227231382E-3</v>
      </c>
      <c r="F3828" s="9">
        <f t="shared" si="178"/>
        <v>2.2155172905130745E-2</v>
      </c>
      <c r="G3828" s="9">
        <f t="shared" si="179"/>
        <v>8.9199526221688911E-3</v>
      </c>
    </row>
    <row r="3829" spans="1:7" x14ac:dyDescent="0.2">
      <c r="A3829" s="12">
        <v>42699</v>
      </c>
      <c r="B3829" s="9">
        <v>3519.76</v>
      </c>
      <c r="C3829" s="9">
        <v>3497.04</v>
      </c>
      <c r="D3829" s="9">
        <v>3516.26</v>
      </c>
      <c r="E3829" s="9">
        <f t="shared" si="177"/>
        <v>2.8166104545893737E-3</v>
      </c>
      <c r="F3829" s="9">
        <f t="shared" si="178"/>
        <v>1.600506595226401E-2</v>
      </c>
      <c r="G3829" s="9">
        <f t="shared" si="179"/>
        <v>8.7941111704500259E-3</v>
      </c>
    </row>
    <row r="3830" spans="1:7" x14ac:dyDescent="0.2">
      <c r="A3830" s="12">
        <v>42702</v>
      </c>
      <c r="B3830" s="9">
        <v>3516.14</v>
      </c>
      <c r="C3830" s="9">
        <v>3476.81</v>
      </c>
      <c r="D3830" s="9">
        <v>3480.1</v>
      </c>
      <c r="E3830" s="9">
        <f t="shared" si="177"/>
        <v>-1.0336895751034436E-2</v>
      </c>
      <c r="F3830" s="9">
        <f t="shared" si="178"/>
        <v>7.2298887557534887E-3</v>
      </c>
      <c r="G3830" s="9">
        <f t="shared" si="179"/>
        <v>9.0095048612151424E-3</v>
      </c>
    </row>
    <row r="3831" spans="1:7" x14ac:dyDescent="0.2">
      <c r="A3831" s="12">
        <v>42703</v>
      </c>
      <c r="B3831" s="9">
        <v>3486.79</v>
      </c>
      <c r="C3831" s="9">
        <v>3458.35</v>
      </c>
      <c r="D3831" s="9">
        <v>3470.89</v>
      </c>
      <c r="E3831" s="9">
        <f t="shared" si="177"/>
        <v>-2.6499837835192086E-3</v>
      </c>
      <c r="F3831" s="9">
        <f t="shared" si="178"/>
        <v>-8.4290631549664204E-3</v>
      </c>
      <c r="G3831" s="9">
        <f t="shared" si="179"/>
        <v>8.6923021684870375E-3</v>
      </c>
    </row>
    <row r="3832" spans="1:7" x14ac:dyDescent="0.2">
      <c r="A3832" s="12">
        <v>42704</v>
      </c>
      <c r="B3832" s="9">
        <v>3509.72</v>
      </c>
      <c r="C3832" s="9">
        <v>3471.28</v>
      </c>
      <c r="D3832" s="9">
        <v>3491.1</v>
      </c>
      <c r="E3832" s="9">
        <f t="shared" si="177"/>
        <v>5.8058275778166057E-3</v>
      </c>
      <c r="F3832" s="9">
        <f t="shared" si="178"/>
        <v>-3.3172268687101229E-3</v>
      </c>
      <c r="G3832" s="9">
        <f t="shared" si="179"/>
        <v>8.7618981299123575E-3</v>
      </c>
    </row>
    <row r="3833" spans="1:7" x14ac:dyDescent="0.2">
      <c r="A3833" s="12">
        <v>42705</v>
      </c>
      <c r="B3833" s="9">
        <v>3514.11</v>
      </c>
      <c r="C3833" s="9">
        <v>3477.91</v>
      </c>
      <c r="D3833" s="9">
        <v>3484.35</v>
      </c>
      <c r="E3833" s="9">
        <f t="shared" si="177"/>
        <v>-1.9353596131889623E-3</v>
      </c>
      <c r="F3833" s="9">
        <f t="shared" si="178"/>
        <v>-6.8700289653193022E-3</v>
      </c>
      <c r="G3833" s="9">
        <f t="shared" si="179"/>
        <v>8.7617467151488281E-3</v>
      </c>
    </row>
    <row r="3834" spans="1:7" x14ac:dyDescent="0.2">
      <c r="A3834" s="12">
        <v>42706</v>
      </c>
      <c r="B3834" s="9">
        <v>3483.87</v>
      </c>
      <c r="C3834" s="9">
        <v>3451.19</v>
      </c>
      <c r="D3834" s="9">
        <v>3462.25</v>
      </c>
      <c r="E3834" s="9">
        <f t="shared" si="177"/>
        <v>-6.3628464461248603E-3</v>
      </c>
      <c r="F3834" s="9">
        <f t="shared" si="178"/>
        <v>-1.0715722060091932E-2</v>
      </c>
      <c r="G3834" s="9">
        <f t="shared" si="179"/>
        <v>8.824287409031956E-3</v>
      </c>
    </row>
    <row r="3835" spans="1:7" x14ac:dyDescent="0.2">
      <c r="A3835" s="12">
        <v>42709</v>
      </c>
      <c r="B3835" s="9">
        <v>3506.53</v>
      </c>
      <c r="C3835" s="9">
        <v>3451.36</v>
      </c>
      <c r="D3835" s="9">
        <v>3500</v>
      </c>
      <c r="E3835" s="9">
        <f t="shared" si="177"/>
        <v>1.0844301754677961E-2</v>
      </c>
      <c r="F3835" s="9">
        <f t="shared" si="178"/>
        <v>-4.9130785995390362E-4</v>
      </c>
      <c r="G3835" s="9">
        <f t="shared" si="179"/>
        <v>9.057683974610509E-3</v>
      </c>
    </row>
    <row r="3836" spans="1:7" x14ac:dyDescent="0.2">
      <c r="A3836" s="12">
        <v>42711</v>
      </c>
      <c r="B3836" s="9">
        <v>3571.18</v>
      </c>
      <c r="C3836" s="9">
        <v>3501.87</v>
      </c>
      <c r="D3836" s="9">
        <v>3571.18</v>
      </c>
      <c r="E3836" s="9">
        <f t="shared" si="177"/>
        <v>2.0133104895327034E-2</v>
      </c>
      <c r="F3836" s="9">
        <f t="shared" si="178"/>
        <v>1.68897986750636E-2</v>
      </c>
      <c r="G3836" s="9">
        <f t="shared" si="179"/>
        <v>9.7688370660871052E-3</v>
      </c>
    </row>
    <row r="3837" spans="1:7" x14ac:dyDescent="0.2">
      <c r="A3837" s="12">
        <v>42712</v>
      </c>
      <c r="B3837" s="9">
        <v>3587.1</v>
      </c>
      <c r="C3837" s="9">
        <v>3559.87</v>
      </c>
      <c r="D3837" s="9">
        <v>3587.1</v>
      </c>
      <c r="E3837" s="9">
        <f t="shared" si="177"/>
        <v>4.4480032208119233E-3</v>
      </c>
      <c r="F3837" s="9">
        <f t="shared" si="178"/>
        <v>1.9528181393789899E-2</v>
      </c>
      <c r="G3837" s="9">
        <f t="shared" si="179"/>
        <v>9.7922952443168822E-3</v>
      </c>
    </row>
    <row r="3838" spans="1:7" x14ac:dyDescent="0.2">
      <c r="A3838" s="12">
        <v>42713</v>
      </c>
      <c r="B3838" s="9">
        <v>3602.45</v>
      </c>
      <c r="C3838" s="9">
        <v>3571.45</v>
      </c>
      <c r="D3838" s="9">
        <v>3600.53</v>
      </c>
      <c r="E3838" s="9">
        <f t="shared" si="177"/>
        <v>3.7369802366519073E-3</v>
      </c>
      <c r="F3838" s="9">
        <f t="shared" si="178"/>
        <v>3.6710347915384085E-2</v>
      </c>
      <c r="G3838" s="9">
        <f t="shared" si="179"/>
        <v>9.4353779101978962E-3</v>
      </c>
    </row>
    <row r="3839" spans="1:7" x14ac:dyDescent="0.2">
      <c r="A3839" s="12">
        <v>42716</v>
      </c>
      <c r="B3839" s="9">
        <v>3628.86</v>
      </c>
      <c r="C3839" s="9">
        <v>3593.46</v>
      </c>
      <c r="D3839" s="9">
        <v>3625.45</v>
      </c>
      <c r="E3839" s="9">
        <f t="shared" si="177"/>
        <v>6.8973616850384794E-3</v>
      </c>
      <c r="F3839" s="9">
        <f t="shared" si="178"/>
        <v>4.3149700262276186E-2</v>
      </c>
      <c r="G3839" s="9">
        <f t="shared" si="179"/>
        <v>9.490442728510769E-3</v>
      </c>
    </row>
    <row r="3840" spans="1:7" x14ac:dyDescent="0.2">
      <c r="A3840" s="12">
        <v>42717</v>
      </c>
      <c r="B3840" s="9">
        <v>3651.71</v>
      </c>
      <c r="C3840" s="9">
        <v>3620.89</v>
      </c>
      <c r="D3840" s="9">
        <v>3651.71</v>
      </c>
      <c r="E3840" s="9">
        <f t="shared" si="177"/>
        <v>7.2171325032356053E-3</v>
      </c>
      <c r="F3840" s="9">
        <f t="shared" si="178"/>
        <v>5.5873942809720946E-2</v>
      </c>
      <c r="G3840" s="9">
        <f t="shared" si="179"/>
        <v>9.4535986660594686E-3</v>
      </c>
    </row>
    <row r="3841" spans="1:7" x14ac:dyDescent="0.2">
      <c r="A3841" s="12">
        <v>42718</v>
      </c>
      <c r="B3841" s="9">
        <v>3654.76</v>
      </c>
      <c r="C3841" s="9">
        <v>3617.37</v>
      </c>
      <c r="D3841" s="9">
        <v>3626.29</v>
      </c>
      <c r="E3841" s="9">
        <f t="shared" si="177"/>
        <v>-6.9854639647173823E-3</v>
      </c>
      <c r="F3841" s="9">
        <f t="shared" si="178"/>
        <v>5.941784892926693E-2</v>
      </c>
      <c r="G3841" s="9">
        <f t="shared" si="179"/>
        <v>9.3145324608891935E-3</v>
      </c>
    </row>
    <row r="3842" spans="1:7" x14ac:dyDescent="0.2">
      <c r="A3842" s="12">
        <v>42719</v>
      </c>
      <c r="B3842" s="9">
        <v>3654.31</v>
      </c>
      <c r="C3842" s="9">
        <v>3616.73</v>
      </c>
      <c r="D3842" s="9">
        <v>3653.33</v>
      </c>
      <c r="E3842" s="9">
        <f t="shared" si="177"/>
        <v>7.4289933708690144E-3</v>
      </c>
      <c r="F3842" s="9">
        <f t="shared" si="178"/>
        <v>7.7645034754394118E-2</v>
      </c>
      <c r="G3842" s="9">
        <f t="shared" si="179"/>
        <v>9.0427494824243358E-3</v>
      </c>
    </row>
    <row r="3843" spans="1:7" x14ac:dyDescent="0.2">
      <c r="A3843" s="12">
        <v>42720</v>
      </c>
      <c r="B3843" s="9">
        <v>3665.65</v>
      </c>
      <c r="C3843" s="9">
        <v>3639.94</v>
      </c>
      <c r="D3843" s="9">
        <v>3640.01</v>
      </c>
      <c r="E3843" s="9">
        <f t="shared" si="177"/>
        <v>-3.6526515449615102E-3</v>
      </c>
      <c r="F3843" s="9">
        <f t="shared" si="178"/>
        <v>7.3936178422840781E-2</v>
      </c>
      <c r="G3843" s="9">
        <f t="shared" si="179"/>
        <v>9.1037065148114379E-3</v>
      </c>
    </row>
    <row r="3844" spans="1:7" x14ac:dyDescent="0.2">
      <c r="A3844" s="12">
        <v>42723</v>
      </c>
      <c r="B3844" s="9">
        <v>3662.06</v>
      </c>
      <c r="C3844" s="9">
        <v>3634.36</v>
      </c>
      <c r="D3844" s="9">
        <v>3654.15</v>
      </c>
      <c r="E3844" s="9">
        <f t="shared" ref="E3844:E3907" si="180">LN(D3844/D3843)</f>
        <v>3.8770791187467254E-3</v>
      </c>
      <c r="F3844" s="9">
        <f t="shared" si="178"/>
        <v>8.8869272813310279E-2</v>
      </c>
      <c r="G3844" s="9">
        <f t="shared" si="179"/>
        <v>8.7399268652970513E-3</v>
      </c>
    </row>
    <row r="3845" spans="1:7" x14ac:dyDescent="0.2">
      <c r="A3845" s="12">
        <v>42724</v>
      </c>
      <c r="B3845" s="9">
        <v>3680.3</v>
      </c>
      <c r="C3845" s="9">
        <v>3654.46</v>
      </c>
      <c r="D3845" s="9">
        <v>3662.84</v>
      </c>
      <c r="E3845" s="9">
        <f t="shared" si="180"/>
        <v>2.3752947826269025E-3</v>
      </c>
      <c r="F3845" s="9">
        <f t="shared" si="178"/>
        <v>7.7535733109791755E-2</v>
      </c>
      <c r="G3845" s="9">
        <f t="shared" si="179"/>
        <v>8.501071873790348E-3</v>
      </c>
    </row>
    <row r="3846" spans="1:7" x14ac:dyDescent="0.2">
      <c r="A3846" s="12">
        <v>42725</v>
      </c>
      <c r="B3846" s="9">
        <v>3684.48</v>
      </c>
      <c r="C3846" s="9">
        <v>3658.92</v>
      </c>
      <c r="D3846" s="9">
        <v>3675.46</v>
      </c>
      <c r="E3846" s="9">
        <f t="shared" si="180"/>
        <v>3.4394921007114879E-3</v>
      </c>
      <c r="F3846" s="9">
        <f t="shared" si="178"/>
        <v>7.7861687654731601E-2</v>
      </c>
      <c r="G3846" s="9">
        <f t="shared" si="179"/>
        <v>8.5019795674155275E-3</v>
      </c>
    </row>
    <row r="3847" spans="1:7" x14ac:dyDescent="0.2">
      <c r="A3847" s="12">
        <v>42726</v>
      </c>
      <c r="B3847" s="9">
        <v>3674.85</v>
      </c>
      <c r="C3847" s="9">
        <v>3637.04</v>
      </c>
      <c r="D3847" s="9">
        <v>3642.44</v>
      </c>
      <c r="E3847" s="9">
        <f t="shared" si="180"/>
        <v>-9.0245081513104231E-3</v>
      </c>
      <c r="F3847" s="9">
        <f t="shared" si="178"/>
        <v>4.6906801375715949E-2</v>
      </c>
      <c r="G3847" s="9">
        <f t="shared" si="179"/>
        <v>7.9339213157657972E-3</v>
      </c>
    </row>
    <row r="3848" spans="1:7" x14ac:dyDescent="0.2">
      <c r="A3848" s="12">
        <v>42727</v>
      </c>
      <c r="B3848" s="9">
        <v>3690.99</v>
      </c>
      <c r="C3848" s="9">
        <v>3641.11</v>
      </c>
      <c r="D3848" s="9">
        <v>3687.75</v>
      </c>
      <c r="E3848" s="9">
        <f t="shared" si="180"/>
        <v>1.2362729229623901E-2</v>
      </c>
      <c r="F3848" s="9">
        <f t="shared" si="178"/>
        <v>5.2279262098985681E-2</v>
      </c>
      <c r="G3848" s="9">
        <f t="shared" si="179"/>
        <v>8.1191066586504927E-3</v>
      </c>
    </row>
    <row r="3849" spans="1:7" x14ac:dyDescent="0.2">
      <c r="A3849" s="12">
        <v>42731</v>
      </c>
      <c r="B3849" s="9">
        <v>3698.1</v>
      </c>
      <c r="C3849" s="9">
        <v>3682.51</v>
      </c>
      <c r="D3849" s="9">
        <v>3689.5</v>
      </c>
      <c r="E3849" s="9">
        <f t="shared" si="180"/>
        <v>4.7443153826277863E-4</v>
      </c>
      <c r="F3849" s="9">
        <f t="shared" si="178"/>
        <v>6.9292995895611373E-2</v>
      </c>
      <c r="G3849" s="9">
        <f t="shared" si="179"/>
        <v>7.3564582464948911E-3</v>
      </c>
    </row>
    <row r="3850" spans="1:7" x14ac:dyDescent="0.2">
      <c r="A3850" s="12">
        <v>42732</v>
      </c>
      <c r="B3850" s="9">
        <v>3698.76</v>
      </c>
      <c r="C3850" s="9">
        <v>3684.04</v>
      </c>
      <c r="D3850" s="9">
        <v>3691.81</v>
      </c>
      <c r="E3850" s="9">
        <f t="shared" si="180"/>
        <v>6.2590517819018359E-4</v>
      </c>
      <c r="F3850" s="9">
        <f t="shared" si="178"/>
        <v>8.4632278377472767E-2</v>
      </c>
      <c r="G3850" s="9">
        <f t="shared" si="179"/>
        <v>6.6296400889110426E-3</v>
      </c>
    </row>
    <row r="3851" spans="1:7" x14ac:dyDescent="0.2">
      <c r="A3851" s="12">
        <v>42733</v>
      </c>
      <c r="B3851" s="9">
        <v>3688.45</v>
      </c>
      <c r="C3851" s="9">
        <v>3674.62</v>
      </c>
      <c r="D3851" s="9">
        <v>3680.9</v>
      </c>
      <c r="E3851" s="9">
        <f t="shared" si="180"/>
        <v>-2.9595651974411506E-3</v>
      </c>
      <c r="F3851" s="9">
        <f t="shared" si="178"/>
        <v>7.334131321357916E-2</v>
      </c>
      <c r="G3851" s="9">
        <f t="shared" si="179"/>
        <v>6.6265253675384531E-3</v>
      </c>
    </row>
    <row r="3852" spans="1:7" x14ac:dyDescent="0.2">
      <c r="A3852" s="12">
        <v>42734</v>
      </c>
      <c r="B3852" s="9">
        <v>3685.06</v>
      </c>
      <c r="C3852" s="9">
        <v>3663.19</v>
      </c>
      <c r="D3852" s="9">
        <v>3680.08</v>
      </c>
      <c r="E3852" s="9">
        <f t="shared" si="180"/>
        <v>-2.2279642205031539E-4</v>
      </c>
      <c r="F3852" s="9">
        <f t="shared" si="178"/>
        <v>7.7977404940457393E-2</v>
      </c>
      <c r="G3852" s="9">
        <f t="shared" si="179"/>
        <v>6.5032376832372734E-3</v>
      </c>
    </row>
    <row r="3853" spans="1:7" x14ac:dyDescent="0.2">
      <c r="A3853" s="12">
        <v>42737</v>
      </c>
      <c r="B3853" s="9">
        <v>3730.58</v>
      </c>
      <c r="C3853" s="9">
        <v>3676.36</v>
      </c>
      <c r="D3853" s="9">
        <v>3723.6</v>
      </c>
      <c r="E3853" s="9">
        <f t="shared" si="180"/>
        <v>1.1756451185214916E-2</v>
      </c>
      <c r="F3853" s="9">
        <f t="shared" si="178"/>
        <v>8.3554434663422578E-2</v>
      </c>
      <c r="G3853" s="9">
        <f t="shared" si="179"/>
        <v>6.686246502349725E-3</v>
      </c>
    </row>
    <row r="3854" spans="1:7" x14ac:dyDescent="0.2">
      <c r="A3854" s="12">
        <v>42738</v>
      </c>
      <c r="B3854" s="9">
        <v>3743.13</v>
      </c>
      <c r="C3854" s="9">
        <v>3715.68</v>
      </c>
      <c r="D3854" s="9">
        <v>3724.69</v>
      </c>
      <c r="E3854" s="9">
        <f t="shared" si="180"/>
        <v>2.9268463171586715E-4</v>
      </c>
      <c r="F3854" s="9">
        <f t="shared" si="178"/>
        <v>8.0888101686537733E-2</v>
      </c>
      <c r="G3854" s="9">
        <f t="shared" si="179"/>
        <v>6.7015593675575445E-3</v>
      </c>
    </row>
    <row r="3855" spans="1:7" x14ac:dyDescent="0.2">
      <c r="A3855" s="12">
        <v>42739</v>
      </c>
      <c r="B3855" s="9">
        <v>3732.22</v>
      </c>
      <c r="C3855" s="9">
        <v>3710.12</v>
      </c>
      <c r="D3855" s="9">
        <v>3717.65</v>
      </c>
      <c r="E3855" s="9">
        <f t="shared" si="180"/>
        <v>-1.8918786563903221E-3</v>
      </c>
      <c r="F3855" s="9">
        <f t="shared" si="178"/>
        <v>7.6597544205632917E-2</v>
      </c>
      <c r="G3855" s="9">
        <f t="shared" si="179"/>
        <v>6.7537089666191725E-3</v>
      </c>
    </row>
    <row r="3856" spans="1:7" x14ac:dyDescent="0.2">
      <c r="A3856" s="12">
        <v>42740</v>
      </c>
      <c r="B3856" s="9">
        <v>3727.06</v>
      </c>
      <c r="C3856" s="9">
        <v>3705.93</v>
      </c>
      <c r="D3856" s="9">
        <v>3711.22</v>
      </c>
      <c r="E3856" s="9">
        <f t="shared" si="180"/>
        <v>-1.731084702170677E-3</v>
      </c>
      <c r="F3856" s="9">
        <f t="shared" si="178"/>
        <v>6.6454190922908413E-2</v>
      </c>
      <c r="G3856" s="9">
        <f t="shared" si="179"/>
        <v>6.7039947616942003E-3</v>
      </c>
    </row>
    <row r="3857" spans="1:7" x14ac:dyDescent="0.2">
      <c r="A3857" s="12">
        <v>42744</v>
      </c>
      <c r="B3857" s="9">
        <v>3725.19</v>
      </c>
      <c r="C3857" s="9">
        <v>3681.31</v>
      </c>
      <c r="D3857" s="9">
        <v>3688.92</v>
      </c>
      <c r="E3857" s="9">
        <f t="shared" si="180"/>
        <v>-6.0269312477529728E-3</v>
      </c>
      <c r="F3857" s="9">
        <f t="shared" si="178"/>
        <v>5.7741250606170982E-2</v>
      </c>
      <c r="G3857" s="9">
        <f t="shared" si="179"/>
        <v>6.8695789453733988E-3</v>
      </c>
    </row>
    <row r="3858" spans="1:7" x14ac:dyDescent="0.2">
      <c r="A3858" s="12">
        <v>42745</v>
      </c>
      <c r="B3858" s="9">
        <v>3699.3</v>
      </c>
      <c r="C3858" s="9">
        <v>3677.6</v>
      </c>
      <c r="D3858" s="9">
        <v>3681.72</v>
      </c>
      <c r="E3858" s="9">
        <f t="shared" si="180"/>
        <v>-1.9536979937052157E-3</v>
      </c>
      <c r="F3858" s="9">
        <f t="shared" si="178"/>
        <v>4.879871998974275E-2</v>
      </c>
      <c r="G3858" s="9">
        <f t="shared" si="179"/>
        <v>6.8361952122874513E-3</v>
      </c>
    </row>
    <row r="3859" spans="1:7" x14ac:dyDescent="0.2">
      <c r="A3859" s="12">
        <v>42746</v>
      </c>
      <c r="B3859" s="9">
        <v>3685.11</v>
      </c>
      <c r="C3859" s="9">
        <v>3654.12</v>
      </c>
      <c r="D3859" s="9">
        <v>3679.22</v>
      </c>
      <c r="E3859" s="9">
        <f t="shared" si="180"/>
        <v>-6.792610987520815E-4</v>
      </c>
      <c r="F3859" s="9">
        <f t="shared" si="178"/>
        <v>4.5302848436401359E-2</v>
      </c>
      <c r="G3859" s="9">
        <f t="shared" si="179"/>
        <v>6.8450008240634646E-3</v>
      </c>
    </row>
    <row r="3860" spans="1:7" x14ac:dyDescent="0.2">
      <c r="A3860" s="12">
        <v>42747</v>
      </c>
      <c r="B3860" s="9">
        <v>3675.77</v>
      </c>
      <c r="C3860" s="9">
        <v>3640.69</v>
      </c>
      <c r="D3860" s="9">
        <v>3646.06</v>
      </c>
      <c r="E3860" s="9">
        <f t="shared" si="180"/>
        <v>-9.0536406815108113E-3</v>
      </c>
      <c r="F3860" s="9">
        <f t="shared" si="178"/>
        <v>4.6586103505924931E-2</v>
      </c>
      <c r="G3860" s="9">
        <f t="shared" si="179"/>
        <v>6.7720355075155825E-3</v>
      </c>
    </row>
    <row r="3861" spans="1:7" x14ac:dyDescent="0.2">
      <c r="A3861" s="12">
        <v>42748</v>
      </c>
      <c r="B3861" s="9">
        <v>3687.52</v>
      </c>
      <c r="C3861" s="9">
        <v>3648.88</v>
      </c>
      <c r="D3861" s="9">
        <v>3687.02</v>
      </c>
      <c r="E3861" s="9">
        <f t="shared" si="180"/>
        <v>1.1171411189997807E-2</v>
      </c>
      <c r="F3861" s="9">
        <f t="shared" si="178"/>
        <v>6.0407498479441948E-2</v>
      </c>
      <c r="G3861" s="9">
        <f t="shared" si="179"/>
        <v>6.9442065542393832E-3</v>
      </c>
    </row>
    <row r="3862" spans="1:7" x14ac:dyDescent="0.2">
      <c r="A3862" s="12">
        <v>42751</v>
      </c>
      <c r="B3862" s="9">
        <v>3686.29</v>
      </c>
      <c r="C3862" s="9">
        <v>3663.1</v>
      </c>
      <c r="D3862" s="9">
        <v>3668.21</v>
      </c>
      <c r="E3862" s="9">
        <f t="shared" si="180"/>
        <v>-5.1147390378417984E-3</v>
      </c>
      <c r="F3862" s="9">
        <f t="shared" si="178"/>
        <v>4.9486931863783536E-2</v>
      </c>
      <c r="G3862" s="9">
        <f t="shared" si="179"/>
        <v>7.0243289167105632E-3</v>
      </c>
    </row>
    <row r="3863" spans="1:7" x14ac:dyDescent="0.2">
      <c r="A3863" s="12">
        <v>42752</v>
      </c>
      <c r="B3863" s="9">
        <v>3666.43</v>
      </c>
      <c r="C3863" s="9">
        <v>3628.05</v>
      </c>
      <c r="D3863" s="9">
        <v>3644.85</v>
      </c>
      <c r="E3863" s="9">
        <f t="shared" si="180"/>
        <v>-6.3885923133180401E-3</v>
      </c>
      <c r="F3863" s="9">
        <f t="shared" si="178"/>
        <v>4.5033699163654441E-2</v>
      </c>
      <c r="G3863" s="9">
        <f t="shared" si="179"/>
        <v>7.1486529852084982E-3</v>
      </c>
    </row>
    <row r="3864" spans="1:7" x14ac:dyDescent="0.2">
      <c r="A3864" s="12">
        <v>42753</v>
      </c>
      <c r="B3864" s="9">
        <v>3664.51</v>
      </c>
      <c r="C3864" s="9">
        <v>3634.73</v>
      </c>
      <c r="D3864" s="9">
        <v>3664.51</v>
      </c>
      <c r="E3864" s="9">
        <f t="shared" si="180"/>
        <v>5.3794169148255501E-3</v>
      </c>
      <c r="F3864" s="9">
        <f t="shared" si="178"/>
        <v>5.6775962524604894E-2</v>
      </c>
      <c r="G3864" s="9">
        <f t="shared" si="179"/>
        <v>7.0235983058357723E-3</v>
      </c>
    </row>
    <row r="3865" spans="1:7" x14ac:dyDescent="0.2">
      <c r="A3865" s="12">
        <v>42754</v>
      </c>
      <c r="B3865" s="9">
        <v>3699.91</v>
      </c>
      <c r="C3865" s="9">
        <v>3664.63</v>
      </c>
      <c r="D3865" s="9">
        <v>3692.47</v>
      </c>
      <c r="E3865" s="9">
        <f t="shared" si="180"/>
        <v>7.6009815482535013E-3</v>
      </c>
      <c r="F3865" s="9">
        <f t="shared" si="178"/>
        <v>5.3532642318180314E-2</v>
      </c>
      <c r="G3865" s="9">
        <f t="shared" si="179"/>
        <v>6.9050172643506857E-3</v>
      </c>
    </row>
    <row r="3866" spans="1:7" x14ac:dyDescent="0.2">
      <c r="A3866" s="12">
        <v>42755</v>
      </c>
      <c r="B3866" s="9">
        <v>3715.93</v>
      </c>
      <c r="C3866" s="9">
        <v>3691.17</v>
      </c>
      <c r="D3866" s="9">
        <v>3711.15</v>
      </c>
      <c r="E3866" s="9">
        <f t="shared" si="180"/>
        <v>5.0461908198984346E-3</v>
      </c>
      <c r="F3866" s="9">
        <f t="shared" si="178"/>
        <v>3.8445728242751685E-2</v>
      </c>
      <c r="G3866" s="9">
        <f t="shared" si="179"/>
        <v>6.01456974523348E-3</v>
      </c>
    </row>
    <row r="3867" spans="1:7" x14ac:dyDescent="0.2">
      <c r="A3867" s="12">
        <v>42758</v>
      </c>
      <c r="B3867" s="9">
        <v>3713.3</v>
      </c>
      <c r="C3867" s="9">
        <v>3682.14</v>
      </c>
      <c r="D3867" s="9">
        <v>3684.66</v>
      </c>
      <c r="E3867" s="9">
        <f t="shared" si="180"/>
        <v>-7.1635461919230675E-3</v>
      </c>
      <c r="F3867" s="9">
        <f t="shared" si="178"/>
        <v>2.6834178830016861E-2</v>
      </c>
      <c r="G3867" s="9">
        <f t="shared" si="179"/>
        <v>6.1752419590568597E-3</v>
      </c>
    </row>
    <row r="3868" spans="1:7" x14ac:dyDescent="0.2">
      <c r="A3868" s="12">
        <v>42759</v>
      </c>
      <c r="B3868" s="9">
        <v>3720.99</v>
      </c>
      <c r="C3868" s="9">
        <v>3684.81</v>
      </c>
      <c r="D3868" s="9">
        <v>3720.99</v>
      </c>
      <c r="E3868" s="9">
        <f t="shared" si="180"/>
        <v>9.8115064697401055E-3</v>
      </c>
      <c r="F3868" s="9">
        <f t="shared" si="178"/>
        <v>3.2908705063105122E-2</v>
      </c>
      <c r="G3868" s="9">
        <f t="shared" si="179"/>
        <v>6.3682359158985045E-3</v>
      </c>
    </row>
    <row r="3869" spans="1:7" x14ac:dyDescent="0.2">
      <c r="A3869" s="12">
        <v>42760</v>
      </c>
      <c r="B3869" s="9">
        <v>3745.68</v>
      </c>
      <c r="C3869" s="9">
        <v>3718.57</v>
      </c>
      <c r="D3869" s="9">
        <v>3741.08</v>
      </c>
      <c r="E3869" s="9">
        <f t="shared" si="180"/>
        <v>5.3845778826056732E-3</v>
      </c>
      <c r="F3869" s="9">
        <f t="shared" si="178"/>
        <v>3.1395921260672421E-2</v>
      </c>
      <c r="G3869" s="9">
        <f t="shared" si="179"/>
        <v>6.3265754361585295E-3</v>
      </c>
    </row>
    <row r="3870" spans="1:7" x14ac:dyDescent="0.2">
      <c r="A3870" s="12">
        <v>42761</v>
      </c>
      <c r="B3870" s="9">
        <v>3773.89</v>
      </c>
      <c r="C3870" s="9">
        <v>3723.22</v>
      </c>
      <c r="D3870" s="9">
        <v>3735.13</v>
      </c>
      <c r="E3870" s="9">
        <f t="shared" si="180"/>
        <v>-1.5917159245722617E-3</v>
      </c>
      <c r="F3870" s="9">
        <f t="shared" si="178"/>
        <v>2.2587072832864565E-2</v>
      </c>
      <c r="G3870" s="9">
        <f t="shared" si="179"/>
        <v>6.2340517557368932E-3</v>
      </c>
    </row>
    <row r="3871" spans="1:7" x14ac:dyDescent="0.2">
      <c r="A3871" s="12">
        <v>42762</v>
      </c>
      <c r="B3871" s="9">
        <v>3754.03</v>
      </c>
      <c r="C3871" s="9">
        <v>3714.21</v>
      </c>
      <c r="D3871" s="9">
        <v>3739.6</v>
      </c>
      <c r="E3871" s="9">
        <f t="shared" si="180"/>
        <v>1.1960299657263252E-3</v>
      </c>
      <c r="F3871" s="9">
        <f t="shared" si="178"/>
        <v>3.0768566763308098E-2</v>
      </c>
      <c r="G3871" s="9">
        <f t="shared" si="179"/>
        <v>6.060389929971874E-3</v>
      </c>
    </row>
    <row r="3872" spans="1:7" x14ac:dyDescent="0.2">
      <c r="A3872" s="12">
        <v>42765</v>
      </c>
      <c r="B3872" s="9">
        <v>3739.64</v>
      </c>
      <c r="C3872" s="9">
        <v>3683.05</v>
      </c>
      <c r="D3872" s="9">
        <v>3689.76</v>
      </c>
      <c r="E3872" s="9">
        <f t="shared" si="180"/>
        <v>-1.3417238548228986E-2</v>
      </c>
      <c r="F3872" s="9">
        <f t="shared" si="178"/>
        <v>9.9223348442100835E-3</v>
      </c>
      <c r="G3872" s="9">
        <f t="shared" si="179"/>
        <v>6.481349557428415E-3</v>
      </c>
    </row>
    <row r="3873" spans="1:7" x14ac:dyDescent="0.2">
      <c r="A3873" s="12">
        <v>42766</v>
      </c>
      <c r="B3873" s="9">
        <v>3677.5</v>
      </c>
      <c r="C3873" s="9">
        <v>3622.14</v>
      </c>
      <c r="D3873" s="9">
        <v>3623.05</v>
      </c>
      <c r="E3873" s="9">
        <f t="shared" si="180"/>
        <v>-1.8245202751445984E-2</v>
      </c>
      <c r="F3873" s="9">
        <f t="shared" ref="F3873:F3936" si="181">LN(D3873/D3843)</f>
        <v>-4.6702163622743551E-3</v>
      </c>
      <c r="G3873" s="9">
        <f t="shared" ref="G3873:G3936" si="182">STDEV(E3844:E3873)</f>
        <v>7.2879900203002444E-3</v>
      </c>
    </row>
    <row r="3874" spans="1:7" x14ac:dyDescent="0.2">
      <c r="A3874" s="12">
        <v>42767</v>
      </c>
      <c r="B3874" s="9">
        <v>3663.36</v>
      </c>
      <c r="C3874" s="9">
        <v>3619.03</v>
      </c>
      <c r="D3874" s="9">
        <v>3651.69</v>
      </c>
      <c r="E3874" s="9">
        <f t="shared" si="180"/>
        <v>7.8738615999148776E-3</v>
      </c>
      <c r="F3874" s="9">
        <f t="shared" si="181"/>
        <v>-6.7343388110613323E-4</v>
      </c>
      <c r="G3874" s="9">
        <f t="shared" si="182"/>
        <v>7.3999231709309665E-3</v>
      </c>
    </row>
    <row r="3875" spans="1:7" x14ac:dyDescent="0.2">
      <c r="A3875" s="12">
        <v>42768</v>
      </c>
      <c r="B3875" s="9">
        <v>3681.03</v>
      </c>
      <c r="C3875" s="9">
        <v>3644.04</v>
      </c>
      <c r="D3875" s="9">
        <v>3677.42</v>
      </c>
      <c r="E3875" s="9">
        <f t="shared" si="180"/>
        <v>7.0213452126667662E-3</v>
      </c>
      <c r="F3875" s="9">
        <f t="shared" si="181"/>
        <v>3.9726165489339807E-3</v>
      </c>
      <c r="G3875" s="9">
        <f t="shared" si="182"/>
        <v>7.4997778115533974E-3</v>
      </c>
    </row>
    <row r="3876" spans="1:7" x14ac:dyDescent="0.2">
      <c r="A3876" s="12">
        <v>42769</v>
      </c>
      <c r="B3876" s="9">
        <v>3691.21</v>
      </c>
      <c r="C3876" s="9">
        <v>3649.13</v>
      </c>
      <c r="D3876" s="9">
        <v>3654.06</v>
      </c>
      <c r="E3876" s="9">
        <f t="shared" si="180"/>
        <v>-6.3725411656801144E-3</v>
      </c>
      <c r="F3876" s="9">
        <f t="shared" si="181"/>
        <v>-5.8394167174576741E-3</v>
      </c>
      <c r="G3876" s="9">
        <f t="shared" si="182"/>
        <v>7.5642579558950242E-3</v>
      </c>
    </row>
    <row r="3877" spans="1:7" x14ac:dyDescent="0.2">
      <c r="A3877" s="12">
        <v>42772</v>
      </c>
      <c r="B3877" s="9">
        <v>3674.1</v>
      </c>
      <c r="C3877" s="9">
        <v>3638.67</v>
      </c>
      <c r="D3877" s="9">
        <v>3638.7</v>
      </c>
      <c r="E3877" s="9">
        <f t="shared" si="180"/>
        <v>-4.2124031814428269E-3</v>
      </c>
      <c r="F3877" s="9">
        <f t="shared" si="181"/>
        <v>-1.0273117475899541E-3</v>
      </c>
      <c r="G3877" s="9">
        <f t="shared" si="182"/>
        <v>7.4202100414985494E-3</v>
      </c>
    </row>
    <row r="3878" spans="1:7" x14ac:dyDescent="0.2">
      <c r="A3878" s="12">
        <v>42773</v>
      </c>
      <c r="B3878" s="9">
        <v>3663.09</v>
      </c>
      <c r="C3878" s="9">
        <v>3628.22</v>
      </c>
      <c r="D3878" s="9">
        <v>3654.82</v>
      </c>
      <c r="E3878" s="9">
        <f t="shared" si="180"/>
        <v>4.4203693822120619E-3</v>
      </c>
      <c r="F3878" s="9">
        <f t="shared" si="181"/>
        <v>-8.9696715950017946E-3</v>
      </c>
      <c r="G3878" s="9">
        <f t="shared" si="182"/>
        <v>7.0973086972370104E-3</v>
      </c>
    </row>
    <row r="3879" spans="1:7" x14ac:dyDescent="0.2">
      <c r="A3879" s="12">
        <v>42774</v>
      </c>
      <c r="B3879" s="9">
        <v>3683.17</v>
      </c>
      <c r="C3879" s="9">
        <v>3629.47</v>
      </c>
      <c r="D3879" s="9">
        <v>3652.49</v>
      </c>
      <c r="E3879" s="9">
        <f t="shared" si="180"/>
        <v>-6.377175948371228E-4</v>
      </c>
      <c r="F3879" s="9">
        <f t="shared" si="181"/>
        <v>-1.0081820728101947E-2</v>
      </c>
      <c r="G3879" s="9">
        <f t="shared" si="182"/>
        <v>7.0960340064406303E-3</v>
      </c>
    </row>
    <row r="3880" spans="1:7" x14ac:dyDescent="0.2">
      <c r="A3880" s="12">
        <v>42775</v>
      </c>
      <c r="B3880" s="9">
        <v>3683.45</v>
      </c>
      <c r="C3880" s="9">
        <v>3660.63</v>
      </c>
      <c r="D3880" s="9">
        <v>3681.93</v>
      </c>
      <c r="E3880" s="9">
        <f t="shared" si="180"/>
        <v>8.0279444351405334E-3</v>
      </c>
      <c r="F3880" s="9">
        <f t="shared" si="181"/>
        <v>-2.6797814711514802E-3</v>
      </c>
      <c r="G3880" s="9">
        <f t="shared" si="182"/>
        <v>7.2574863224753681E-3</v>
      </c>
    </row>
    <row r="3881" spans="1:7" x14ac:dyDescent="0.2">
      <c r="A3881" s="12">
        <v>42776</v>
      </c>
      <c r="B3881" s="9">
        <v>3707.49</v>
      </c>
      <c r="C3881" s="9">
        <v>3681.48</v>
      </c>
      <c r="D3881" s="9">
        <v>3697.69</v>
      </c>
      <c r="E3881" s="9">
        <f t="shared" si="180"/>
        <v>4.2712291309460262E-3</v>
      </c>
      <c r="F3881" s="9">
        <f t="shared" si="181"/>
        <v>4.5510128572356472E-3</v>
      </c>
      <c r="G3881" s="9">
        <f t="shared" si="182"/>
        <v>7.2789149431243859E-3</v>
      </c>
    </row>
    <row r="3882" spans="1:7" x14ac:dyDescent="0.2">
      <c r="A3882" s="12">
        <v>42779</v>
      </c>
      <c r="B3882" s="9">
        <v>3725.52</v>
      </c>
      <c r="C3882" s="9">
        <v>3699.64</v>
      </c>
      <c r="D3882" s="9">
        <v>3723.44</v>
      </c>
      <c r="E3882" s="9">
        <f t="shared" si="180"/>
        <v>6.9396718131068246E-3</v>
      </c>
      <c r="F3882" s="9">
        <f t="shared" si="181"/>
        <v>1.1713481092392905E-2</v>
      </c>
      <c r="G3882" s="9">
        <f t="shared" si="182"/>
        <v>7.3829294149706445E-3</v>
      </c>
    </row>
    <row r="3883" spans="1:7" x14ac:dyDescent="0.2">
      <c r="A3883" s="12">
        <v>42780</v>
      </c>
      <c r="B3883" s="9">
        <v>3737.14</v>
      </c>
      <c r="C3883" s="9">
        <v>3702.66</v>
      </c>
      <c r="D3883" s="9">
        <v>3724.52</v>
      </c>
      <c r="E3883" s="9">
        <f t="shared" si="180"/>
        <v>2.9001230070236522E-4</v>
      </c>
      <c r="F3883" s="9">
        <f t="shared" si="181"/>
        <v>2.4704220788043519E-4</v>
      </c>
      <c r="G3883" s="9">
        <f t="shared" si="182"/>
        <v>7.0641474710574853E-3</v>
      </c>
    </row>
    <row r="3884" spans="1:7" x14ac:dyDescent="0.2">
      <c r="A3884" s="12">
        <v>42781</v>
      </c>
      <c r="B3884" s="9">
        <v>3751.55</v>
      </c>
      <c r="C3884" s="9">
        <v>3724.66</v>
      </c>
      <c r="D3884" s="9">
        <v>3749.43</v>
      </c>
      <c r="E3884" s="9">
        <f t="shared" si="180"/>
        <v>6.6658439610704518E-3</v>
      </c>
      <c r="F3884" s="9">
        <f t="shared" si="181"/>
        <v>6.6202015372350265E-3</v>
      </c>
      <c r="G3884" s="9">
        <f t="shared" si="182"/>
        <v>7.1680617029963225E-3</v>
      </c>
    </row>
    <row r="3885" spans="1:7" x14ac:dyDescent="0.2">
      <c r="A3885" s="12">
        <v>42782</v>
      </c>
      <c r="B3885" s="9">
        <v>3765.41</v>
      </c>
      <c r="C3885" s="9">
        <v>3744.51</v>
      </c>
      <c r="D3885" s="9">
        <v>3745.25</v>
      </c>
      <c r="E3885" s="9">
        <f t="shared" si="180"/>
        <v>-1.1154580137944033E-3</v>
      </c>
      <c r="F3885" s="9">
        <f t="shared" si="181"/>
        <v>7.3966221798310097E-3</v>
      </c>
      <c r="G3885" s="9">
        <f t="shared" si="182"/>
        <v>7.1615699142122732E-3</v>
      </c>
    </row>
    <row r="3886" spans="1:7" x14ac:dyDescent="0.2">
      <c r="A3886" s="12">
        <v>42783</v>
      </c>
      <c r="B3886" s="9">
        <v>3750.22</v>
      </c>
      <c r="C3886" s="9">
        <v>3715.97</v>
      </c>
      <c r="D3886" s="9">
        <v>3728.24</v>
      </c>
      <c r="E3886" s="9">
        <f t="shared" si="180"/>
        <v>-4.5520979817601503E-3</v>
      </c>
      <c r="F3886" s="9">
        <f t="shared" si="181"/>
        <v>4.575608900241503E-3</v>
      </c>
      <c r="G3886" s="9">
        <f t="shared" si="182"/>
        <v>7.2068099053250751E-3</v>
      </c>
    </row>
    <row r="3887" spans="1:7" x14ac:dyDescent="0.2">
      <c r="A3887" s="12">
        <v>42786</v>
      </c>
      <c r="B3887" s="9">
        <v>3750.4</v>
      </c>
      <c r="C3887" s="9">
        <v>3728.7</v>
      </c>
      <c r="D3887" s="9">
        <v>3741.06</v>
      </c>
      <c r="E3887" s="9">
        <f t="shared" si="180"/>
        <v>3.4327212961815265E-3</v>
      </c>
      <c r="F3887" s="9">
        <f t="shared" si="181"/>
        <v>1.4035261444175936E-2</v>
      </c>
      <c r="G3887" s="9">
        <f t="shared" si="182"/>
        <v>7.1336899199166536E-3</v>
      </c>
    </row>
    <row r="3888" spans="1:7" x14ac:dyDescent="0.2">
      <c r="A3888" s="12">
        <v>42787</v>
      </c>
      <c r="B3888" s="9">
        <v>3762.29</v>
      </c>
      <c r="C3888" s="9">
        <v>3725.09</v>
      </c>
      <c r="D3888" s="9">
        <v>3759.42</v>
      </c>
      <c r="E3888" s="9">
        <f t="shared" si="180"/>
        <v>4.8956964543033325E-3</v>
      </c>
      <c r="F3888" s="9">
        <f t="shared" si="181"/>
        <v>2.0884655892184616E-2</v>
      </c>
      <c r="G3888" s="9">
        <f t="shared" si="182"/>
        <v>7.1630629549238704E-3</v>
      </c>
    </row>
    <row r="3889" spans="1:7" x14ac:dyDescent="0.2">
      <c r="A3889" s="12">
        <v>42788</v>
      </c>
      <c r="B3889" s="9">
        <v>3775.93</v>
      </c>
      <c r="C3889" s="9">
        <v>3739.97</v>
      </c>
      <c r="D3889" s="9">
        <v>3747.62</v>
      </c>
      <c r="E3889" s="9">
        <f t="shared" si="180"/>
        <v>-3.1437183545705888E-3</v>
      </c>
      <c r="F3889" s="9">
        <f t="shared" si="181"/>
        <v>1.8420198636366014E-2</v>
      </c>
      <c r="G3889" s="9">
        <f t="shared" si="182"/>
        <v>7.1934478406302932E-3</v>
      </c>
    </row>
    <row r="3890" spans="1:7" x14ac:dyDescent="0.2">
      <c r="A3890" s="12">
        <v>42789</v>
      </c>
      <c r="B3890" s="9">
        <v>3758.83</v>
      </c>
      <c r="C3890" s="9">
        <v>3737.92</v>
      </c>
      <c r="D3890" s="9">
        <v>3738.49</v>
      </c>
      <c r="E3890" s="9">
        <f t="shared" si="180"/>
        <v>-2.4391852448528099E-3</v>
      </c>
      <c r="F3890" s="9">
        <f t="shared" si="181"/>
        <v>2.5034654073024205E-2</v>
      </c>
      <c r="G3890" s="9">
        <f t="shared" si="182"/>
        <v>6.9852684199996724E-3</v>
      </c>
    </row>
    <row r="3891" spans="1:7" x14ac:dyDescent="0.2">
      <c r="A3891" s="12">
        <v>42790</v>
      </c>
      <c r="B3891" s="9">
        <v>3745.89</v>
      </c>
      <c r="C3891" s="9">
        <v>3691.31</v>
      </c>
      <c r="D3891" s="9">
        <v>3712.48</v>
      </c>
      <c r="E3891" s="9">
        <f t="shared" si="180"/>
        <v>-6.9816696757357567E-3</v>
      </c>
      <c r="F3891" s="9">
        <f t="shared" si="181"/>
        <v>6.8815732072905035E-3</v>
      </c>
      <c r="G3891" s="9">
        <f t="shared" si="182"/>
        <v>6.8437768125181363E-3</v>
      </c>
    </row>
    <row r="3892" spans="1:7" x14ac:dyDescent="0.2">
      <c r="A3892" s="12">
        <v>42793</v>
      </c>
      <c r="B3892" s="9">
        <v>3734.28</v>
      </c>
      <c r="C3892" s="9">
        <v>3706.84</v>
      </c>
      <c r="D3892" s="9">
        <v>3716.96</v>
      </c>
      <c r="E3892" s="9">
        <f t="shared" si="180"/>
        <v>1.2060129815978488E-3</v>
      </c>
      <c r="F3892" s="9">
        <f t="shared" si="181"/>
        <v>1.320232522673013E-2</v>
      </c>
      <c r="G3892" s="9">
        <f t="shared" si="182"/>
        <v>6.7704824644151985E-3</v>
      </c>
    </row>
    <row r="3893" spans="1:7" x14ac:dyDescent="0.2">
      <c r="A3893" s="12">
        <v>42794</v>
      </c>
      <c r="B3893" s="9">
        <v>3728.76</v>
      </c>
      <c r="C3893" s="9">
        <v>3700.39</v>
      </c>
      <c r="D3893" s="9">
        <v>3718.77</v>
      </c>
      <c r="E3893" s="9">
        <f t="shared" si="180"/>
        <v>4.8683855808354581E-4</v>
      </c>
      <c r="F3893" s="9">
        <f t="shared" si="181"/>
        <v>2.0077756098131887E-2</v>
      </c>
      <c r="G3893" s="9">
        <f t="shared" si="182"/>
        <v>6.6465943780896035E-3</v>
      </c>
    </row>
    <row r="3894" spans="1:7" x14ac:dyDescent="0.2">
      <c r="A3894" s="12">
        <v>42795</v>
      </c>
      <c r="B3894" s="9">
        <v>3765.08</v>
      </c>
      <c r="C3894" s="9">
        <v>3717.08</v>
      </c>
      <c r="D3894" s="9">
        <v>3761.42</v>
      </c>
      <c r="E3894" s="9">
        <f t="shared" si="180"/>
        <v>1.1403577232242702E-2</v>
      </c>
      <c r="F3894" s="9">
        <f t="shared" si="181"/>
        <v>2.6101916415548938E-2</v>
      </c>
      <c r="G3894" s="9">
        <f t="shared" si="182"/>
        <v>6.8806816279874316E-3</v>
      </c>
    </row>
    <row r="3895" spans="1:7" x14ac:dyDescent="0.2">
      <c r="A3895" s="12">
        <v>42796</v>
      </c>
      <c r="B3895" s="9">
        <v>3779.13</v>
      </c>
      <c r="C3895" s="9">
        <v>3761.47</v>
      </c>
      <c r="D3895" s="9">
        <v>3774.27</v>
      </c>
      <c r="E3895" s="9">
        <f t="shared" si="180"/>
        <v>3.4104408368640644E-3</v>
      </c>
      <c r="F3895" s="9">
        <f t="shared" si="181"/>
        <v>2.1911375704159783E-2</v>
      </c>
      <c r="G3895" s="9">
        <f t="shared" si="182"/>
        <v>6.7811414926445416E-3</v>
      </c>
    </row>
    <row r="3896" spans="1:7" x14ac:dyDescent="0.2">
      <c r="A3896" s="12">
        <v>42797</v>
      </c>
      <c r="B3896" s="9">
        <v>3775.98</v>
      </c>
      <c r="C3896" s="9">
        <v>3757.38</v>
      </c>
      <c r="D3896" s="9">
        <v>3774.62</v>
      </c>
      <c r="E3896" s="9">
        <f t="shared" si="180"/>
        <v>9.27288648398426E-5</v>
      </c>
      <c r="F3896" s="9">
        <f t="shared" si="181"/>
        <v>1.6957913749101015E-2</v>
      </c>
      <c r="G3896" s="9">
        <f t="shared" si="182"/>
        <v>6.7325636696832069E-3</v>
      </c>
    </row>
    <row r="3897" spans="1:7" x14ac:dyDescent="0.2">
      <c r="A3897" s="12">
        <v>42800</v>
      </c>
      <c r="B3897" s="9">
        <v>3774.48</v>
      </c>
      <c r="C3897" s="9">
        <v>3754.67</v>
      </c>
      <c r="D3897" s="9">
        <v>3759.74</v>
      </c>
      <c r="E3897" s="9">
        <f t="shared" si="180"/>
        <v>-3.9499093078129658E-3</v>
      </c>
      <c r="F3897" s="9">
        <f t="shared" si="181"/>
        <v>2.0171550633211219E-2</v>
      </c>
      <c r="G3897" s="9">
        <f t="shared" si="182"/>
        <v>6.6301376410680948E-3</v>
      </c>
    </row>
    <row r="3898" spans="1:7" x14ac:dyDescent="0.2">
      <c r="A3898" s="12">
        <v>42801</v>
      </c>
      <c r="B3898" s="9">
        <v>3776.87</v>
      </c>
      <c r="C3898" s="9">
        <v>3756.46</v>
      </c>
      <c r="D3898" s="9">
        <v>3760.47</v>
      </c>
      <c r="E3898" s="9">
        <f t="shared" si="180"/>
        <v>1.9414351521906273E-4</v>
      </c>
      <c r="F3898" s="9">
        <f t="shared" si="181"/>
        <v>1.0554187678690171E-2</v>
      </c>
      <c r="G3898" s="9">
        <f t="shared" si="182"/>
        <v>6.4015759934319787E-3</v>
      </c>
    </row>
    <row r="3899" spans="1:7" x14ac:dyDescent="0.2">
      <c r="A3899" s="12">
        <v>42802</v>
      </c>
      <c r="B3899" s="9">
        <v>3768.06</v>
      </c>
      <c r="C3899" s="9">
        <v>3749.64</v>
      </c>
      <c r="D3899" s="9">
        <v>3754.61</v>
      </c>
      <c r="E3899" s="9">
        <f t="shared" si="180"/>
        <v>-1.5595312858129845E-3</v>
      </c>
      <c r="F3899" s="9">
        <f t="shared" si="181"/>
        <v>3.61007851027169E-3</v>
      </c>
      <c r="G3899" s="9">
        <f t="shared" si="182"/>
        <v>6.3385578330155323E-3</v>
      </c>
    </row>
    <row r="3900" spans="1:7" x14ac:dyDescent="0.2">
      <c r="A3900" s="12">
        <v>42803</v>
      </c>
      <c r="B3900" s="9">
        <v>3754.95</v>
      </c>
      <c r="C3900" s="9">
        <v>3729.42</v>
      </c>
      <c r="D3900" s="9">
        <v>3751</v>
      </c>
      <c r="E3900" s="9">
        <f t="shared" si="180"/>
        <v>-9.619472043908545E-4</v>
      </c>
      <c r="F3900" s="9">
        <f t="shared" si="181"/>
        <v>4.239847230453086E-3</v>
      </c>
      <c r="G3900" s="9">
        <f t="shared" si="182"/>
        <v>6.3337332826823448E-3</v>
      </c>
    </row>
    <row r="3901" spans="1:7" x14ac:dyDescent="0.2">
      <c r="A3901" s="12">
        <v>42804</v>
      </c>
      <c r="B3901" s="9">
        <v>3773.35</v>
      </c>
      <c r="C3901" s="9">
        <v>3750.39</v>
      </c>
      <c r="D3901" s="9">
        <v>3750.47</v>
      </c>
      <c r="E3901" s="9">
        <f t="shared" si="180"/>
        <v>-1.4130563766355449E-4</v>
      </c>
      <c r="F3901" s="9">
        <f t="shared" si="181"/>
        <v>2.9025116270630816E-3</v>
      </c>
      <c r="G3901" s="9">
        <f t="shared" si="182"/>
        <v>6.3307596434183967E-3</v>
      </c>
    </row>
    <row r="3902" spans="1:7" x14ac:dyDescent="0.2">
      <c r="A3902" s="12">
        <v>42807</v>
      </c>
      <c r="B3902" s="9">
        <v>3758.99</v>
      </c>
      <c r="C3902" s="9">
        <v>3741.75</v>
      </c>
      <c r="D3902" s="9">
        <v>3756.33</v>
      </c>
      <c r="E3902" s="9">
        <f t="shared" si="180"/>
        <v>1.5612514494367652E-3</v>
      </c>
      <c r="F3902" s="9">
        <f t="shared" si="181"/>
        <v>1.7881001624728866E-2</v>
      </c>
      <c r="G3902" s="9">
        <f t="shared" si="182"/>
        <v>5.7962989773270796E-3</v>
      </c>
    </row>
    <row r="3903" spans="1:7" x14ac:dyDescent="0.2">
      <c r="A3903" s="12">
        <v>42808</v>
      </c>
      <c r="B3903" s="9">
        <v>3762.15</v>
      </c>
      <c r="C3903" s="9">
        <v>3744.01</v>
      </c>
      <c r="D3903" s="9">
        <v>3756.25</v>
      </c>
      <c r="E3903" s="9">
        <f t="shared" si="180"/>
        <v>-2.1297610142704982E-5</v>
      </c>
      <c r="F3903" s="9">
        <f t="shared" si="181"/>
        <v>3.610490676603223E-2</v>
      </c>
      <c r="G3903" s="9">
        <f t="shared" si="182"/>
        <v>4.5811982103508789E-3</v>
      </c>
    </row>
    <row r="3904" spans="1:7" x14ac:dyDescent="0.2">
      <c r="A3904" s="12">
        <v>42809</v>
      </c>
      <c r="B3904" s="9">
        <v>3780.25</v>
      </c>
      <c r="C3904" s="9">
        <v>3756.48</v>
      </c>
      <c r="D3904" s="9">
        <v>3780.25</v>
      </c>
      <c r="E3904" s="9">
        <f t="shared" si="180"/>
        <v>6.3690257092607625E-3</v>
      </c>
      <c r="F3904" s="9">
        <f t="shared" si="181"/>
        <v>3.4600070875378086E-2</v>
      </c>
      <c r="G3904" s="9">
        <f t="shared" si="182"/>
        <v>4.5133800029907526E-3</v>
      </c>
    </row>
    <row r="3905" spans="1:7" x14ac:dyDescent="0.2">
      <c r="A3905" s="12">
        <v>42810</v>
      </c>
      <c r="B3905" s="9">
        <v>3817.87</v>
      </c>
      <c r="C3905" s="9">
        <v>3787.48</v>
      </c>
      <c r="D3905" s="9">
        <v>3805.84</v>
      </c>
      <c r="E3905" s="9">
        <f t="shared" si="180"/>
        <v>6.7465840936879783E-3</v>
      </c>
      <c r="F3905" s="9">
        <f t="shared" si="181"/>
        <v>3.4325309756399129E-2</v>
      </c>
      <c r="G3905" s="9">
        <f t="shared" si="182"/>
        <v>4.5013245099990223E-3</v>
      </c>
    </row>
    <row r="3906" spans="1:7" x14ac:dyDescent="0.2">
      <c r="A3906" s="12">
        <v>42811</v>
      </c>
      <c r="B3906" s="9">
        <v>3814.3</v>
      </c>
      <c r="C3906" s="9">
        <v>3779.6</v>
      </c>
      <c r="D3906" s="9">
        <v>3814.3</v>
      </c>
      <c r="E3906" s="9">
        <f t="shared" si="180"/>
        <v>2.2204325578994103E-3</v>
      </c>
      <c r="F3906" s="9">
        <f t="shared" si="181"/>
        <v>4.2918283479978725E-2</v>
      </c>
      <c r="G3906" s="9">
        <f t="shared" si="182"/>
        <v>4.2741876243164766E-3</v>
      </c>
    </row>
    <row r="3907" spans="1:7" x14ac:dyDescent="0.2">
      <c r="A3907" s="12">
        <v>42814</v>
      </c>
      <c r="B3907" s="9">
        <v>3832.57</v>
      </c>
      <c r="C3907" s="9">
        <v>3810.1</v>
      </c>
      <c r="D3907" s="9">
        <v>3825.51</v>
      </c>
      <c r="E3907" s="9">
        <f t="shared" si="180"/>
        <v>2.9346300615047953E-3</v>
      </c>
      <c r="F3907" s="9">
        <f t="shared" si="181"/>
        <v>5.0065316722926141E-2</v>
      </c>
      <c r="G3907" s="9">
        <f t="shared" si="182"/>
        <v>4.1460722275515954E-3</v>
      </c>
    </row>
    <row r="3908" spans="1:7" x14ac:dyDescent="0.2">
      <c r="A3908" s="12">
        <v>42815</v>
      </c>
      <c r="B3908" s="9">
        <v>3834.51</v>
      </c>
      <c r="C3908" s="9">
        <v>3770.64</v>
      </c>
      <c r="D3908" s="9">
        <v>3772.38</v>
      </c>
      <c r="E3908" s="9">
        <f t="shared" ref="E3908:E3944" si="183">LN(D3908/D3907)</f>
        <v>-1.398568971491757E-2</v>
      </c>
      <c r="F3908" s="9">
        <f t="shared" si="181"/>
        <v>3.1659257625796612E-2</v>
      </c>
      <c r="G3908" s="9">
        <f t="shared" si="182"/>
        <v>4.9989940208624243E-3</v>
      </c>
    </row>
    <row r="3909" spans="1:7" x14ac:dyDescent="0.2">
      <c r="A3909" s="12">
        <v>42816</v>
      </c>
      <c r="B3909" s="9">
        <v>3772.19</v>
      </c>
      <c r="C3909" s="9">
        <v>3711</v>
      </c>
      <c r="D3909" s="9">
        <v>3756.47</v>
      </c>
      <c r="E3909" s="9">
        <f t="shared" si="183"/>
        <v>-4.2264153709547581E-3</v>
      </c>
      <c r="F3909" s="9">
        <f t="shared" si="181"/>
        <v>2.8070559849679086E-2</v>
      </c>
      <c r="G3909" s="9">
        <f t="shared" si="182"/>
        <v>5.0831339572499521E-3</v>
      </c>
    </row>
    <row r="3910" spans="1:7" x14ac:dyDescent="0.2">
      <c r="A3910" s="12">
        <v>42817</v>
      </c>
      <c r="B3910" s="9">
        <v>3788</v>
      </c>
      <c r="C3910" s="9">
        <v>3739.49</v>
      </c>
      <c r="D3910" s="9">
        <v>3787.83</v>
      </c>
      <c r="E3910" s="9">
        <f t="shared" si="183"/>
        <v>8.3136091150116682E-3</v>
      </c>
      <c r="F3910" s="9">
        <f t="shared" si="181"/>
        <v>2.8356224529550146E-2</v>
      </c>
      <c r="G3910" s="9">
        <f t="shared" si="182"/>
        <v>5.0971262153917648E-3</v>
      </c>
    </row>
    <row r="3911" spans="1:7" x14ac:dyDescent="0.2">
      <c r="A3911" s="12">
        <v>42818</v>
      </c>
      <c r="B3911" s="9">
        <v>3788.66</v>
      </c>
      <c r="C3911" s="9">
        <v>3757.87</v>
      </c>
      <c r="D3911" s="9">
        <v>3772.93</v>
      </c>
      <c r="E3911" s="9">
        <f t="shared" si="183"/>
        <v>-3.9414078185020761E-3</v>
      </c>
      <c r="F3911" s="9">
        <f t="shared" si="181"/>
        <v>2.014358758010194E-2</v>
      </c>
      <c r="G3911" s="9">
        <f t="shared" si="182"/>
        <v>5.1327498722515807E-3</v>
      </c>
    </row>
    <row r="3912" spans="1:7" x14ac:dyDescent="0.2">
      <c r="A3912" s="12">
        <v>42821</v>
      </c>
      <c r="B3912" s="9">
        <v>3772.93</v>
      </c>
      <c r="C3912" s="9">
        <v>3725.94</v>
      </c>
      <c r="D3912" s="9">
        <v>3759.15</v>
      </c>
      <c r="E3912" s="9">
        <f t="shared" si="183"/>
        <v>-3.659019918634222E-3</v>
      </c>
      <c r="F3912" s="9">
        <f t="shared" si="181"/>
        <v>9.5448958483610232E-3</v>
      </c>
      <c r="G3912" s="9">
        <f t="shared" si="182"/>
        <v>5.0505258664448674E-3</v>
      </c>
    </row>
    <row r="3913" spans="1:7" x14ac:dyDescent="0.2">
      <c r="A3913" s="12">
        <v>42822</v>
      </c>
      <c r="B3913" s="9">
        <v>3769.34</v>
      </c>
      <c r="C3913" s="9">
        <v>3746.58</v>
      </c>
      <c r="D3913" s="9">
        <v>3768.03</v>
      </c>
      <c r="E3913" s="9">
        <f t="shared" si="183"/>
        <v>2.3594504501246246E-3</v>
      </c>
      <c r="F3913" s="9">
        <f t="shared" si="181"/>
        <v>1.1614333997783258E-2</v>
      </c>
      <c r="G3913" s="9">
        <f t="shared" si="182"/>
        <v>5.0642419285355936E-3</v>
      </c>
    </row>
    <row r="3914" spans="1:7" x14ac:dyDescent="0.2">
      <c r="A3914" s="12">
        <v>42823</v>
      </c>
      <c r="B3914" s="9">
        <v>3780.81</v>
      </c>
      <c r="C3914" s="9">
        <v>3757.96</v>
      </c>
      <c r="D3914" s="9">
        <v>3776.42</v>
      </c>
      <c r="E3914" s="9">
        <f t="shared" si="183"/>
        <v>2.2241524454865475E-3</v>
      </c>
      <c r="F3914" s="9">
        <f t="shared" si="181"/>
        <v>7.1726424821990098E-3</v>
      </c>
      <c r="G3914" s="9">
        <f t="shared" si="182"/>
        <v>4.9376971918719268E-3</v>
      </c>
    </row>
    <row r="3915" spans="1:7" x14ac:dyDescent="0.2">
      <c r="A3915" s="12">
        <v>42824</v>
      </c>
      <c r="B3915" s="9">
        <v>3778.1</v>
      </c>
      <c r="C3915" s="9">
        <v>3750.5</v>
      </c>
      <c r="D3915" s="9">
        <v>3778.1</v>
      </c>
      <c r="E3915" s="9">
        <f t="shared" si="183"/>
        <v>4.4476684890490539E-4</v>
      </c>
      <c r="F3915" s="9">
        <f t="shared" si="181"/>
        <v>8.7328673448983374E-3</v>
      </c>
      <c r="G3915" s="9">
        <f t="shared" si="182"/>
        <v>4.9311505212719774E-3</v>
      </c>
    </row>
    <row r="3916" spans="1:7" x14ac:dyDescent="0.2">
      <c r="A3916" s="12">
        <v>42825</v>
      </c>
      <c r="B3916" s="9">
        <v>3789.19</v>
      </c>
      <c r="C3916" s="9">
        <v>3762.72</v>
      </c>
      <c r="D3916" s="9">
        <v>3789.14</v>
      </c>
      <c r="E3916" s="9">
        <f t="shared" si="183"/>
        <v>2.917842656688617E-3</v>
      </c>
      <c r="F3916" s="9">
        <f t="shared" si="181"/>
        <v>1.6202807983347129E-2</v>
      </c>
      <c r="G3916" s="9">
        <f t="shared" si="182"/>
        <v>4.8663318847283121E-3</v>
      </c>
    </row>
    <row r="3917" spans="1:7" x14ac:dyDescent="0.2">
      <c r="A3917" s="12">
        <v>42828</v>
      </c>
      <c r="B3917" s="9">
        <v>3804.49</v>
      </c>
      <c r="C3917" s="9">
        <v>3779.88</v>
      </c>
      <c r="D3917" s="9">
        <v>3780.87</v>
      </c>
      <c r="E3917" s="9">
        <f t="shared" si="183"/>
        <v>-2.1849385377433537E-3</v>
      </c>
      <c r="F3917" s="9">
        <f t="shared" si="181"/>
        <v>1.0585148149422264E-2</v>
      </c>
      <c r="G3917" s="9">
        <f t="shared" si="182"/>
        <v>4.8592640381472521E-3</v>
      </c>
    </row>
    <row r="3918" spans="1:7" x14ac:dyDescent="0.2">
      <c r="A3918" s="12">
        <v>42829</v>
      </c>
      <c r="B3918" s="9">
        <v>3797.99</v>
      </c>
      <c r="C3918" s="9">
        <v>3773.39</v>
      </c>
      <c r="D3918" s="9">
        <v>3789.1</v>
      </c>
      <c r="E3918" s="9">
        <f t="shared" si="183"/>
        <v>2.1743819969104738E-3</v>
      </c>
      <c r="F3918" s="9">
        <f t="shared" si="181"/>
        <v>7.8638336920295454E-3</v>
      </c>
      <c r="G3918" s="9">
        <f t="shared" si="182"/>
        <v>4.7965309738499532E-3</v>
      </c>
    </row>
    <row r="3919" spans="1:7" x14ac:dyDescent="0.2">
      <c r="A3919" s="12">
        <v>42830</v>
      </c>
      <c r="B3919" s="9">
        <v>3799.23</v>
      </c>
      <c r="C3919" s="9">
        <v>3761.62</v>
      </c>
      <c r="D3919" s="9">
        <v>3761.72</v>
      </c>
      <c r="E3919" s="9">
        <f t="shared" si="183"/>
        <v>-7.2522242626888427E-3</v>
      </c>
      <c r="F3919" s="9">
        <f t="shared" si="181"/>
        <v>3.755327783911161E-3</v>
      </c>
      <c r="G3919" s="9">
        <f t="shared" si="182"/>
        <v>4.9532212097395632E-3</v>
      </c>
    </row>
    <row r="3920" spans="1:7" x14ac:dyDescent="0.2">
      <c r="A3920" s="12">
        <v>42831</v>
      </c>
      <c r="B3920" s="9">
        <v>3780.17</v>
      </c>
      <c r="C3920" s="9">
        <v>3729.63</v>
      </c>
      <c r="D3920" s="9">
        <v>3779.97</v>
      </c>
      <c r="E3920" s="9">
        <f t="shared" si="183"/>
        <v>4.8397734786460676E-3</v>
      </c>
      <c r="F3920" s="9">
        <f t="shared" si="181"/>
        <v>1.1034286507410077E-2</v>
      </c>
      <c r="G3920" s="9">
        <f t="shared" si="182"/>
        <v>5.0013203767855733E-3</v>
      </c>
    </row>
    <row r="3921" spans="1:7" x14ac:dyDescent="0.2">
      <c r="A3921" s="12">
        <v>42832</v>
      </c>
      <c r="B3921" s="9">
        <v>3787.3</v>
      </c>
      <c r="C3921" s="9">
        <v>3757.34</v>
      </c>
      <c r="D3921" s="9">
        <v>3786.83</v>
      </c>
      <c r="E3921" s="9">
        <f t="shared" si="183"/>
        <v>1.8131844054113052E-3</v>
      </c>
      <c r="F3921" s="9">
        <f t="shared" si="181"/>
        <v>1.9829140588557049E-2</v>
      </c>
      <c r="G3921" s="9">
        <f t="shared" si="182"/>
        <v>4.8097562778890495E-3</v>
      </c>
    </row>
    <row r="3922" spans="1:7" x14ac:dyDescent="0.2">
      <c r="A3922" s="12">
        <v>42835</v>
      </c>
      <c r="B3922" s="9">
        <v>3797.77</v>
      </c>
      <c r="C3922" s="9">
        <v>3781.13</v>
      </c>
      <c r="D3922" s="9">
        <v>3797.77</v>
      </c>
      <c r="E3922" s="9">
        <f t="shared" si="183"/>
        <v>2.8847948703759258E-3</v>
      </c>
      <c r="F3922" s="9">
        <f t="shared" si="181"/>
        <v>2.1507922477335219E-2</v>
      </c>
      <c r="G3922" s="9">
        <f t="shared" si="182"/>
        <v>4.8260545932247607E-3</v>
      </c>
    </row>
    <row r="3923" spans="1:7" x14ac:dyDescent="0.2">
      <c r="A3923" s="12">
        <v>42836</v>
      </c>
      <c r="B3923" s="9">
        <v>3793.84</v>
      </c>
      <c r="C3923" s="9">
        <v>3766.26</v>
      </c>
      <c r="D3923" s="9">
        <v>3779.57</v>
      </c>
      <c r="E3923" s="9">
        <f t="shared" si="183"/>
        <v>-4.80380582088729E-3</v>
      </c>
      <c r="F3923" s="9">
        <f t="shared" si="181"/>
        <v>1.6217278098364232E-2</v>
      </c>
      <c r="G3923" s="9">
        <f t="shared" si="182"/>
        <v>4.930292865432096E-3</v>
      </c>
    </row>
    <row r="3924" spans="1:7" x14ac:dyDescent="0.2">
      <c r="A3924" s="12">
        <v>42837</v>
      </c>
      <c r="B3924" s="9">
        <v>3811.96</v>
      </c>
      <c r="C3924" s="9">
        <v>3779.33</v>
      </c>
      <c r="D3924" s="9">
        <v>3811.96</v>
      </c>
      <c r="E3924" s="9">
        <f t="shared" si="183"/>
        <v>8.5332460105030858E-3</v>
      </c>
      <c r="F3924" s="9">
        <f t="shared" si="181"/>
        <v>1.3346946876624686E-2</v>
      </c>
      <c r="G3924" s="9">
        <f t="shared" si="182"/>
        <v>4.7362475889071651E-3</v>
      </c>
    </row>
    <row r="3925" spans="1:7" x14ac:dyDescent="0.2">
      <c r="A3925" s="12">
        <v>42838</v>
      </c>
      <c r="B3925" s="9">
        <v>3817.12</v>
      </c>
      <c r="C3925" s="9">
        <v>3785.62</v>
      </c>
      <c r="D3925" s="9">
        <v>3813.42</v>
      </c>
      <c r="E3925" s="9">
        <f t="shared" si="183"/>
        <v>3.8293174054045094E-4</v>
      </c>
      <c r="F3925" s="9">
        <f t="shared" si="181"/>
        <v>1.0319437780300976E-2</v>
      </c>
      <c r="G3925" s="9">
        <f t="shared" si="182"/>
        <v>4.7030183460057516E-3</v>
      </c>
    </row>
    <row r="3926" spans="1:7" x14ac:dyDescent="0.2">
      <c r="A3926" s="12">
        <v>42843</v>
      </c>
      <c r="B3926" s="9">
        <v>3829.7</v>
      </c>
      <c r="C3926" s="9">
        <v>3778.35</v>
      </c>
      <c r="D3926" s="9">
        <v>3779.76</v>
      </c>
      <c r="E3926" s="9">
        <f t="shared" si="183"/>
        <v>-8.8659087457109258E-3</v>
      </c>
      <c r="F3926" s="9">
        <f t="shared" si="181"/>
        <v>1.3608001697501266E-3</v>
      </c>
      <c r="G3926" s="9">
        <f t="shared" si="182"/>
        <v>4.9948828016626572E-3</v>
      </c>
    </row>
    <row r="3927" spans="1:7" x14ac:dyDescent="0.2">
      <c r="A3927" s="12">
        <v>42844</v>
      </c>
      <c r="B3927" s="9">
        <v>3794.16</v>
      </c>
      <c r="C3927" s="9">
        <v>3770.78</v>
      </c>
      <c r="D3927" s="9">
        <v>3774.65</v>
      </c>
      <c r="E3927" s="9">
        <f t="shared" si="183"/>
        <v>-1.3528523814207891E-3</v>
      </c>
      <c r="F3927" s="9">
        <f t="shared" si="181"/>
        <v>3.9578570961421155E-3</v>
      </c>
      <c r="G3927" s="9">
        <f t="shared" si="182"/>
        <v>4.9455126625608282E-3</v>
      </c>
    </row>
    <row r="3928" spans="1:7" x14ac:dyDescent="0.2">
      <c r="A3928" s="12">
        <v>42845</v>
      </c>
      <c r="B3928" s="9">
        <v>3817.47</v>
      </c>
      <c r="C3928" s="9">
        <v>3774.36</v>
      </c>
      <c r="D3928" s="9">
        <v>3816.37</v>
      </c>
      <c r="E3928" s="9">
        <f t="shared" si="183"/>
        <v>1.0992045882544628E-2</v>
      </c>
      <c r="F3928" s="9">
        <f t="shared" si="181"/>
        <v>1.4755759463467721E-2</v>
      </c>
      <c r="G3928" s="9">
        <f t="shared" si="182"/>
        <v>5.3283126554265776E-3</v>
      </c>
    </row>
    <row r="3929" spans="1:7" x14ac:dyDescent="0.2">
      <c r="A3929" s="12">
        <v>42846</v>
      </c>
      <c r="B3929" s="9">
        <v>3823.84</v>
      </c>
      <c r="C3929" s="9">
        <v>3800.01</v>
      </c>
      <c r="D3929" s="9">
        <v>3802.27</v>
      </c>
      <c r="E3929" s="9">
        <f t="shared" si="183"/>
        <v>-3.7014522535192248E-3</v>
      </c>
      <c r="F3929" s="9">
        <f t="shared" si="181"/>
        <v>1.2613838495761266E-2</v>
      </c>
      <c r="G3929" s="9">
        <f t="shared" si="182"/>
        <v>5.3709284017679042E-3</v>
      </c>
    </row>
    <row r="3930" spans="1:7" x14ac:dyDescent="0.2">
      <c r="A3930" s="12">
        <v>42849</v>
      </c>
      <c r="B3930" s="9">
        <v>3890.99</v>
      </c>
      <c r="C3930" s="9">
        <v>3806.53</v>
      </c>
      <c r="D3930" s="9">
        <v>3889.67</v>
      </c>
      <c r="E3930" s="9">
        <f t="shared" si="183"/>
        <v>2.2726064327053767E-2</v>
      </c>
      <c r="F3930" s="9">
        <f t="shared" si="181"/>
        <v>3.6301850027205936E-2</v>
      </c>
      <c r="G3930" s="9">
        <f t="shared" si="182"/>
        <v>6.7299743708174355E-3</v>
      </c>
    </row>
    <row r="3931" spans="1:7" x14ac:dyDescent="0.2">
      <c r="A3931" s="12">
        <v>42850</v>
      </c>
      <c r="B3931" s="9">
        <v>3935.94</v>
      </c>
      <c r="C3931" s="9">
        <v>3889.67</v>
      </c>
      <c r="D3931" s="9">
        <v>3930.87</v>
      </c>
      <c r="E3931" s="9">
        <f t="shared" si="183"/>
        <v>1.0536454300396634E-2</v>
      </c>
      <c r="F3931" s="9">
        <f t="shared" si="181"/>
        <v>4.6979609965266185E-2</v>
      </c>
      <c r="G3931" s="9">
        <f t="shared" si="182"/>
        <v>6.9352647480198492E-3</v>
      </c>
    </row>
    <row r="3932" spans="1:7" x14ac:dyDescent="0.2">
      <c r="A3932" s="12">
        <v>42851</v>
      </c>
      <c r="B3932" s="9">
        <v>3957.14</v>
      </c>
      <c r="C3932" s="9">
        <v>3921.96</v>
      </c>
      <c r="D3932" s="9">
        <v>3954.99</v>
      </c>
      <c r="E3932" s="9">
        <f t="shared" si="183"/>
        <v>6.117297344061445E-3</v>
      </c>
      <c r="F3932" s="9">
        <f t="shared" si="181"/>
        <v>5.1535655859890971E-2</v>
      </c>
      <c r="G3932" s="9">
        <f t="shared" si="182"/>
        <v>6.9848641820000222E-3</v>
      </c>
    </row>
    <row r="3933" spans="1:7" x14ac:dyDescent="0.2">
      <c r="A3933" s="12">
        <v>42852</v>
      </c>
      <c r="B3933" s="9">
        <v>4006.5</v>
      </c>
      <c r="C3933" s="9">
        <v>3943.14</v>
      </c>
      <c r="D3933" s="9">
        <v>3950.32</v>
      </c>
      <c r="E3933" s="9">
        <f t="shared" si="183"/>
        <v>-1.1814844815040309E-3</v>
      </c>
      <c r="F3933" s="9">
        <f t="shared" si="181"/>
        <v>5.037546898852948E-2</v>
      </c>
      <c r="G3933" s="9">
        <f t="shared" si="182"/>
        <v>6.9980247259460475E-3</v>
      </c>
    </row>
    <row r="3934" spans="1:7" x14ac:dyDescent="0.2">
      <c r="A3934" s="12">
        <v>42853</v>
      </c>
      <c r="B3934" s="9">
        <v>3961.13</v>
      </c>
      <c r="C3934" s="9">
        <v>3928.7</v>
      </c>
      <c r="D3934" s="9">
        <v>3930.03</v>
      </c>
      <c r="E3934" s="9">
        <f t="shared" si="183"/>
        <v>-5.1495288500897282E-3</v>
      </c>
      <c r="F3934" s="9">
        <f t="shared" si="181"/>
        <v>3.8856914429178983E-2</v>
      </c>
      <c r="G3934" s="9">
        <f t="shared" si="182"/>
        <v>7.0476512269167079E-3</v>
      </c>
    </row>
    <row r="3935" spans="1:7" x14ac:dyDescent="0.2">
      <c r="A3935" s="12">
        <v>42857</v>
      </c>
      <c r="B3935" s="9">
        <v>3975.28</v>
      </c>
      <c r="C3935" s="9">
        <v>3930.04</v>
      </c>
      <c r="D3935" s="9">
        <v>3975.24</v>
      </c>
      <c r="E3935" s="9">
        <f t="shared" si="183"/>
        <v>1.1438064202325862E-2</v>
      </c>
      <c r="F3935" s="9">
        <f t="shared" si="181"/>
        <v>4.3548394537816879E-2</v>
      </c>
      <c r="G3935" s="9">
        <f t="shared" si="182"/>
        <v>7.222661655184065E-3</v>
      </c>
    </row>
    <row r="3936" spans="1:7" x14ac:dyDescent="0.2">
      <c r="A3936" s="12">
        <v>42858</v>
      </c>
      <c r="B3936" s="9">
        <v>3967.25</v>
      </c>
      <c r="C3936" s="9">
        <v>3929.21</v>
      </c>
      <c r="D3936" s="9">
        <v>3956.36</v>
      </c>
      <c r="E3936" s="9">
        <f t="shared" si="183"/>
        <v>-4.7607130108992092E-3</v>
      </c>
      <c r="F3936" s="9">
        <f t="shared" si="181"/>
        <v>3.6567248969018182E-2</v>
      </c>
      <c r="G3936" s="9">
        <f t="shared" si="182"/>
        <v>7.3089830576875021E-3</v>
      </c>
    </row>
    <row r="3937" spans="1:7" x14ac:dyDescent="0.2">
      <c r="A3937" s="12">
        <v>42859</v>
      </c>
      <c r="B3937" s="9">
        <v>3982.13</v>
      </c>
      <c r="C3937" s="9">
        <v>3951.57</v>
      </c>
      <c r="D3937" s="9">
        <v>3981.2</v>
      </c>
      <c r="E3937" s="9">
        <f t="shared" si="183"/>
        <v>6.2588707585242535E-3</v>
      </c>
      <c r="F3937" s="9">
        <f t="shared" ref="F3937:F3944" si="184">LN(D3937/D3907)</f>
        <v>3.9891489666037713E-2</v>
      </c>
      <c r="G3937" s="9">
        <f t="shared" ref="G3937:G3944" si="185">STDEV(E3908:E3937)</f>
        <v>7.3609054322100274E-3</v>
      </c>
    </row>
    <row r="3938" spans="1:7" x14ac:dyDescent="0.2">
      <c r="A3938" s="12">
        <v>42860</v>
      </c>
      <c r="B3938" s="9">
        <v>4008.97</v>
      </c>
      <c r="C3938" s="9">
        <v>3968.44</v>
      </c>
      <c r="D3938" s="9">
        <v>4008.97</v>
      </c>
      <c r="E3938" s="9">
        <f t="shared" si="183"/>
        <v>6.9510690797158587E-3</v>
      </c>
      <c r="F3938" s="9">
        <f t="shared" si="184"/>
        <v>6.0828248460671155E-2</v>
      </c>
      <c r="G3938" s="9">
        <f t="shared" si="185"/>
        <v>6.8323048158182523E-3</v>
      </c>
    </row>
    <row r="3939" spans="1:7" x14ac:dyDescent="0.2">
      <c r="A3939" s="12">
        <v>42863</v>
      </c>
      <c r="B3939" s="9">
        <v>4023.94</v>
      </c>
      <c r="C3939" s="9">
        <v>3972.3</v>
      </c>
      <c r="D3939" s="9">
        <v>3989.47</v>
      </c>
      <c r="E3939" s="9">
        <f t="shared" si="183"/>
        <v>-4.8759604708778692E-3</v>
      </c>
      <c r="F3939" s="9">
        <f t="shared" si="184"/>
        <v>6.0178703360748091E-2</v>
      </c>
      <c r="G3939" s="9">
        <f t="shared" si="185"/>
        <v>6.853802543460125E-3</v>
      </c>
    </row>
    <row r="3940" spans="1:7" x14ac:dyDescent="0.2">
      <c r="A3940" s="12">
        <v>42864</v>
      </c>
      <c r="B3940" s="9">
        <v>4016.56</v>
      </c>
      <c r="C3940" s="9">
        <v>3988.53</v>
      </c>
      <c r="D3940" s="9">
        <v>4007.95</v>
      </c>
      <c r="E3940" s="9">
        <f t="shared" si="183"/>
        <v>4.6214986562399104E-3</v>
      </c>
      <c r="F3940" s="9">
        <f t="shared" si="184"/>
        <v>5.6486592901976447E-2</v>
      </c>
      <c r="G3940" s="9">
        <f t="shared" si="185"/>
        <v>6.7692608006606715E-3</v>
      </c>
    </row>
    <row r="3941" spans="1:7" x14ac:dyDescent="0.2">
      <c r="A3941" s="12">
        <v>42865</v>
      </c>
      <c r="B3941" s="9">
        <v>4014.11</v>
      </c>
      <c r="C3941" s="9">
        <v>3984.42</v>
      </c>
      <c r="D3941" s="9">
        <v>4008.2</v>
      </c>
      <c r="E3941" s="9">
        <f t="shared" si="183"/>
        <v>6.2374082341508757E-5</v>
      </c>
      <c r="F3941" s="9">
        <f t="shared" si="184"/>
        <v>6.0490374802819935E-2</v>
      </c>
      <c r="G3941" s="9">
        <f t="shared" si="185"/>
        <v>6.6894703187838278E-3</v>
      </c>
    </row>
    <row r="3942" spans="1:7" x14ac:dyDescent="0.2">
      <c r="A3942" s="12">
        <v>42866</v>
      </c>
      <c r="B3942" s="9">
        <v>4019.07</v>
      </c>
      <c r="C3942" s="9">
        <v>3985.57</v>
      </c>
      <c r="D3942" s="9">
        <v>3999.14</v>
      </c>
      <c r="E3942" s="9">
        <f t="shared" si="183"/>
        <v>-2.2629247331136014E-3</v>
      </c>
      <c r="F3942" s="9">
        <f t="shared" si="184"/>
        <v>6.1886469988340569E-2</v>
      </c>
      <c r="G3942" s="9">
        <f t="shared" si="185"/>
        <v>6.6533859464475188E-3</v>
      </c>
    </row>
    <row r="3943" spans="1:7" x14ac:dyDescent="0.2">
      <c r="A3943" s="12">
        <v>42867</v>
      </c>
      <c r="B3943" s="9">
        <v>4002.83</v>
      </c>
      <c r="C3943" s="9">
        <v>3974.71</v>
      </c>
      <c r="D3943" s="9">
        <v>3987.77</v>
      </c>
      <c r="E3943" s="9">
        <f t="shared" si="183"/>
        <v>-2.8471605866950411E-3</v>
      </c>
      <c r="F3943" s="9">
        <f t="shared" si="184"/>
        <v>5.6679858951520959E-2</v>
      </c>
      <c r="G3943" s="9">
        <f t="shared" si="185"/>
        <v>6.7130232005112329E-3</v>
      </c>
    </row>
    <row r="3944" spans="1:7" x14ac:dyDescent="0.2">
      <c r="A3944" s="12">
        <v>42870</v>
      </c>
      <c r="B3944" s="9">
        <v>4003.93</v>
      </c>
      <c r="C3944" s="9">
        <v>3983.75</v>
      </c>
      <c r="D3944" s="9">
        <v>4002.51</v>
      </c>
      <c r="E3944" s="9">
        <f t="shared" si="183"/>
        <v>3.6894869067054755E-3</v>
      </c>
      <c r="F3944" s="9">
        <f t="shared" si="184"/>
        <v>5.814519341273993E-2</v>
      </c>
      <c r="G3944" s="9">
        <f t="shared" si="185"/>
        <v>6.720869770153232E-3</v>
      </c>
    </row>
  </sheetData>
  <sortState ref="A2:D3944">
    <sortCondition ref="A2:A39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65"/>
  <sheetViews>
    <sheetView workbookViewId="0">
      <selection activeCell="P30" sqref="P30"/>
    </sheetView>
  </sheetViews>
  <sheetFormatPr baseColWidth="10" defaultColWidth="8.83203125" defaultRowHeight="15" x14ac:dyDescent="0.2"/>
  <cols>
    <col min="1" max="1" width="8.1640625" style="9" bestFit="1" customWidth="1"/>
    <col min="2" max="2" width="12.33203125" style="9" bestFit="1" customWidth="1"/>
    <col min="3" max="4" width="8.5" style="9" bestFit="1" customWidth="1"/>
    <col min="5" max="5" width="8.83203125" style="9"/>
    <col min="6" max="6" width="10.6640625" style="9" customWidth="1"/>
    <col min="7" max="7" width="10.5" style="9" customWidth="1"/>
    <col min="8" max="16384" width="8.83203125" style="9"/>
  </cols>
  <sheetData>
    <row r="1" spans="1:7" x14ac:dyDescent="0.2">
      <c r="A1" s="17" t="s">
        <v>833</v>
      </c>
      <c r="B1" s="17" t="s">
        <v>817</v>
      </c>
      <c r="C1" s="17" t="s">
        <v>832</v>
      </c>
      <c r="D1" s="17" t="s">
        <v>831</v>
      </c>
      <c r="E1" s="17" t="s">
        <v>835</v>
      </c>
      <c r="F1" s="17" t="s">
        <v>843</v>
      </c>
      <c r="G1" s="17" t="s">
        <v>845</v>
      </c>
    </row>
    <row r="2" spans="1:7" x14ac:dyDescent="0.2">
      <c r="A2" s="11">
        <v>35062</v>
      </c>
    </row>
    <row r="3" spans="1:7" x14ac:dyDescent="0.2">
      <c r="A3" s="11">
        <v>35066</v>
      </c>
      <c r="B3" s="10">
        <v>77.985200000000006</v>
      </c>
    </row>
    <row r="4" spans="1:7" x14ac:dyDescent="0.2">
      <c r="A4" s="11">
        <v>35067</v>
      </c>
      <c r="B4" s="10">
        <v>79.757300000000001</v>
      </c>
      <c r="E4" s="13">
        <f t="shared" ref="E4:E67" si="0">LN(B4/B3)</f>
        <v>2.2469208429686232E-2</v>
      </c>
    </row>
    <row r="5" spans="1:7" x14ac:dyDescent="0.2">
      <c r="A5" s="11">
        <v>35068</v>
      </c>
      <c r="B5" s="10">
        <v>79.7102</v>
      </c>
      <c r="E5" s="13">
        <f t="shared" si="0"/>
        <v>-5.9071599378692939E-4</v>
      </c>
    </row>
    <row r="6" spans="1:7" x14ac:dyDescent="0.2">
      <c r="A6" s="11">
        <v>35069</v>
      </c>
      <c r="B6" s="10">
        <v>79.410399999999996</v>
      </c>
      <c r="E6" s="13">
        <f t="shared" si="0"/>
        <v>-3.7682154887483561E-3</v>
      </c>
    </row>
    <row r="7" spans="1:7" x14ac:dyDescent="0.2">
      <c r="A7" s="11">
        <v>35072</v>
      </c>
      <c r="B7" s="10">
        <v>80.337999999999994</v>
      </c>
      <c r="E7" s="13">
        <f t="shared" si="0"/>
        <v>1.1613392378211929E-2</v>
      </c>
    </row>
    <row r="8" spans="1:7" x14ac:dyDescent="0.2">
      <c r="A8" s="11">
        <v>35073</v>
      </c>
      <c r="B8" s="10">
        <v>79.91</v>
      </c>
      <c r="E8" s="13">
        <f t="shared" si="0"/>
        <v>-5.3417330352474347E-3</v>
      </c>
    </row>
    <row r="9" spans="1:7" x14ac:dyDescent="0.2">
      <c r="A9" s="11">
        <v>35074</v>
      </c>
      <c r="B9" s="10">
        <v>78.788300000000007</v>
      </c>
      <c r="E9" s="13">
        <f t="shared" si="0"/>
        <v>-1.4136492703722544E-2</v>
      </c>
    </row>
    <row r="10" spans="1:7" x14ac:dyDescent="0.2">
      <c r="A10" s="11">
        <v>35075</v>
      </c>
      <c r="B10" s="10">
        <v>79.517899999999997</v>
      </c>
      <c r="E10" s="13">
        <f t="shared" si="0"/>
        <v>9.2176448662563866E-3</v>
      </c>
    </row>
    <row r="11" spans="1:7" x14ac:dyDescent="0.2">
      <c r="A11" s="11">
        <v>35076</v>
      </c>
      <c r="B11" s="10">
        <v>79.287899999999993</v>
      </c>
      <c r="E11" s="13">
        <f t="shared" si="0"/>
        <v>-2.8966216701947771E-3</v>
      </c>
    </row>
    <row r="12" spans="1:7" x14ac:dyDescent="0.2">
      <c r="A12" s="11">
        <v>35079</v>
      </c>
      <c r="B12" s="10">
        <v>78.396199999999993</v>
      </c>
      <c r="E12" s="13">
        <f t="shared" si="0"/>
        <v>-1.1310075084782089E-2</v>
      </c>
    </row>
    <row r="13" spans="1:7" x14ac:dyDescent="0.2">
      <c r="A13" s="11">
        <v>35080</v>
      </c>
      <c r="B13" s="10">
        <v>78.060599999999994</v>
      </c>
      <c r="E13" s="13">
        <f t="shared" si="0"/>
        <v>-4.2900086759188587E-3</v>
      </c>
    </row>
    <row r="14" spans="1:7" x14ac:dyDescent="0.2">
      <c r="A14" s="11">
        <v>35081</v>
      </c>
      <c r="B14" s="10">
        <v>77.9041</v>
      </c>
      <c r="E14" s="13">
        <f t="shared" si="0"/>
        <v>-2.0068650473524128E-3</v>
      </c>
    </row>
    <row r="15" spans="1:7" x14ac:dyDescent="0.2">
      <c r="A15" s="11">
        <v>35082</v>
      </c>
      <c r="B15" s="10">
        <v>78.488500000000002</v>
      </c>
      <c r="E15" s="13">
        <f t="shared" si="0"/>
        <v>7.4735341707125738E-3</v>
      </c>
    </row>
    <row r="16" spans="1:7" x14ac:dyDescent="0.2">
      <c r="A16" s="11">
        <v>35083</v>
      </c>
      <c r="B16" s="10">
        <v>78.467799999999997</v>
      </c>
      <c r="E16" s="13">
        <f t="shared" si="0"/>
        <v>-2.6376768718448839E-4</v>
      </c>
    </row>
    <row r="17" spans="1:7" x14ac:dyDescent="0.2">
      <c r="A17" s="11">
        <v>35086</v>
      </c>
      <c r="B17" s="10">
        <v>78.218900000000005</v>
      </c>
      <c r="E17" s="13">
        <f t="shared" si="0"/>
        <v>-3.177043225214669E-3</v>
      </c>
    </row>
    <row r="18" spans="1:7" x14ac:dyDescent="0.2">
      <c r="A18" s="11">
        <v>35087</v>
      </c>
      <c r="B18" s="10">
        <v>77.841899999999995</v>
      </c>
      <c r="E18" s="13">
        <f t="shared" si="0"/>
        <v>-4.8314597049235698E-3</v>
      </c>
    </row>
    <row r="19" spans="1:7" x14ac:dyDescent="0.2">
      <c r="A19" s="11">
        <v>35088</v>
      </c>
      <c r="B19" s="10">
        <v>77.979500000000002</v>
      </c>
      <c r="E19" s="13">
        <f t="shared" si="0"/>
        <v>1.7661250093608091E-3</v>
      </c>
    </row>
    <row r="20" spans="1:7" x14ac:dyDescent="0.2">
      <c r="A20" s="11">
        <v>35089</v>
      </c>
      <c r="B20" s="10">
        <v>77.866399999999999</v>
      </c>
      <c r="E20" s="13">
        <f t="shared" si="0"/>
        <v>-1.4514340108437481E-3</v>
      </c>
    </row>
    <row r="21" spans="1:7" x14ac:dyDescent="0.2">
      <c r="A21" s="11">
        <v>35090</v>
      </c>
      <c r="B21" s="10">
        <v>77.508200000000002</v>
      </c>
      <c r="E21" s="13">
        <f t="shared" si="0"/>
        <v>-4.6108004087573942E-3</v>
      </c>
    </row>
    <row r="22" spans="1:7" x14ac:dyDescent="0.2">
      <c r="A22" s="11">
        <v>35093</v>
      </c>
      <c r="B22" s="10">
        <v>77.298900000000003</v>
      </c>
      <c r="E22" s="13">
        <f t="shared" si="0"/>
        <v>-2.7040119933501986E-3</v>
      </c>
    </row>
    <row r="23" spans="1:7" x14ac:dyDescent="0.2">
      <c r="A23" s="11">
        <v>35094</v>
      </c>
      <c r="B23" s="10">
        <v>77.170699999999997</v>
      </c>
      <c r="E23" s="13">
        <f t="shared" si="0"/>
        <v>-1.6598739096174875E-3</v>
      </c>
    </row>
    <row r="24" spans="1:7" x14ac:dyDescent="0.2">
      <c r="A24" s="11">
        <v>35095</v>
      </c>
      <c r="B24" s="10">
        <v>77.860699999999994</v>
      </c>
      <c r="E24" s="13">
        <f t="shared" si="0"/>
        <v>8.901481326818169E-3</v>
      </c>
    </row>
    <row r="25" spans="1:7" x14ac:dyDescent="0.2">
      <c r="A25" s="11">
        <v>35096</v>
      </c>
      <c r="B25" s="10">
        <v>78.254800000000003</v>
      </c>
      <c r="E25" s="13">
        <f t="shared" si="0"/>
        <v>5.0488367543061853E-3</v>
      </c>
    </row>
    <row r="26" spans="1:7" x14ac:dyDescent="0.2">
      <c r="A26" s="11">
        <v>35097</v>
      </c>
      <c r="B26" s="10">
        <v>78.942899999999995</v>
      </c>
      <c r="E26" s="13">
        <f t="shared" si="0"/>
        <v>8.7546369300573103E-3</v>
      </c>
    </row>
    <row r="27" spans="1:7" x14ac:dyDescent="0.2">
      <c r="A27" s="11">
        <v>35100</v>
      </c>
      <c r="B27" s="10">
        <v>78.53</v>
      </c>
      <c r="E27" s="13">
        <f t="shared" si="0"/>
        <v>-5.2440889352372089E-3</v>
      </c>
    </row>
    <row r="28" spans="1:7" x14ac:dyDescent="0.2">
      <c r="A28" s="11">
        <v>35101</v>
      </c>
      <c r="B28" s="10">
        <v>78.650700000000001</v>
      </c>
      <c r="E28" s="13">
        <f t="shared" si="0"/>
        <v>1.5358122686154393E-3</v>
      </c>
    </row>
    <row r="29" spans="1:7" x14ac:dyDescent="0.2">
      <c r="A29" s="11">
        <v>35102</v>
      </c>
      <c r="B29" s="10">
        <v>79.101200000000006</v>
      </c>
      <c r="E29" s="13">
        <f t="shared" si="0"/>
        <v>5.7115156731739154E-3</v>
      </c>
    </row>
    <row r="30" spans="1:7" x14ac:dyDescent="0.2">
      <c r="A30" s="11">
        <v>35103</v>
      </c>
      <c r="B30" s="10">
        <v>79.108800000000002</v>
      </c>
      <c r="E30" s="13">
        <f t="shared" si="0"/>
        <v>9.6074837315567564E-5</v>
      </c>
    </row>
    <row r="31" spans="1:7" x14ac:dyDescent="0.2">
      <c r="A31" s="11">
        <v>35104</v>
      </c>
      <c r="B31" s="10">
        <v>79.040899999999993</v>
      </c>
      <c r="E31" s="13">
        <f t="shared" si="0"/>
        <v>-8.586801514271343E-4</v>
      </c>
    </row>
    <row r="32" spans="1:7" x14ac:dyDescent="0.2">
      <c r="A32" s="11">
        <v>35107</v>
      </c>
      <c r="B32" s="10">
        <v>79.152100000000004</v>
      </c>
      <c r="E32" s="13">
        <f t="shared" si="0"/>
        <v>1.4058778620483149E-3</v>
      </c>
      <c r="F32" s="9">
        <f t="shared" ref="F32:F95" si="1">LN(B32/B3)</f>
        <v>1.4852252780253573E-2</v>
      </c>
      <c r="G32" s="9">
        <f>STDEV(E4:E32)</f>
        <v>7.2978568813933178E-3</v>
      </c>
    </row>
    <row r="33" spans="1:7" x14ac:dyDescent="0.2">
      <c r="A33" s="11">
        <v>35108</v>
      </c>
      <c r="B33" s="10">
        <v>79.516000000000005</v>
      </c>
      <c r="E33" s="13">
        <f t="shared" si="0"/>
        <v>4.5869413957654757E-3</v>
      </c>
      <c r="F33" s="9">
        <f t="shared" si="1"/>
        <v>-3.0300142536671335E-3</v>
      </c>
      <c r="G33" s="9">
        <f t="shared" ref="G33:G96" si="2">STDEV(E5:E33)</f>
        <v>6.0199331728652749E-3</v>
      </c>
    </row>
    <row r="34" spans="1:7" x14ac:dyDescent="0.2">
      <c r="A34" s="11">
        <v>35109</v>
      </c>
      <c r="B34" s="10">
        <v>79.772400000000005</v>
      </c>
      <c r="E34" s="13">
        <f t="shared" si="0"/>
        <v>3.2193206968573534E-3</v>
      </c>
      <c r="F34" s="9">
        <f t="shared" si="1"/>
        <v>7.8002243697706045E-4</v>
      </c>
      <c r="G34" s="9">
        <f t="shared" si="2"/>
        <v>6.0504408249822117E-3</v>
      </c>
    </row>
    <row r="35" spans="1:7" x14ac:dyDescent="0.2">
      <c r="A35" s="11">
        <v>35110</v>
      </c>
      <c r="B35" s="10">
        <v>79.693200000000004</v>
      </c>
      <c r="E35" s="13">
        <f t="shared" si="0"/>
        <v>-9.9331776272867955E-4</v>
      </c>
      <c r="F35" s="9">
        <f t="shared" si="1"/>
        <v>3.5549201629967628E-3</v>
      </c>
      <c r="G35" s="9">
        <f t="shared" si="2"/>
        <v>6.0100861512681911E-3</v>
      </c>
    </row>
    <row r="36" spans="1:7" x14ac:dyDescent="0.2">
      <c r="A36" s="11">
        <v>35111</v>
      </c>
      <c r="B36" s="10">
        <v>79.923199999999994</v>
      </c>
      <c r="E36" s="13">
        <f t="shared" si="0"/>
        <v>2.8819113723533201E-3</v>
      </c>
      <c r="F36" s="9">
        <f t="shared" si="1"/>
        <v>-5.1765608428617702E-3</v>
      </c>
      <c r="G36" s="9">
        <f t="shared" si="2"/>
        <v>5.6199201612507207E-3</v>
      </c>
    </row>
    <row r="37" spans="1:7" x14ac:dyDescent="0.2">
      <c r="A37" s="11">
        <v>35114</v>
      </c>
      <c r="B37" s="10">
        <v>78.910799999999995</v>
      </c>
      <c r="E37" s="13">
        <f t="shared" si="0"/>
        <v>-1.2748072965154872E-2</v>
      </c>
      <c r="F37" s="9">
        <f t="shared" si="1"/>
        <v>-1.2582900772769169E-2</v>
      </c>
      <c r="G37" s="9">
        <f t="shared" si="2"/>
        <v>6.0171828915241195E-3</v>
      </c>
    </row>
    <row r="38" spans="1:7" x14ac:dyDescent="0.2">
      <c r="A38" s="11">
        <v>35115</v>
      </c>
      <c r="B38" s="10">
        <v>78.935299999999998</v>
      </c>
      <c r="E38" s="13">
        <f t="shared" si="0"/>
        <v>3.1042895829230956E-4</v>
      </c>
      <c r="F38" s="9">
        <f t="shared" si="1"/>
        <v>1.8640208892457132E-3</v>
      </c>
      <c r="G38" s="9">
        <f t="shared" si="2"/>
        <v>5.4095731284154258E-3</v>
      </c>
    </row>
    <row r="39" spans="1:7" x14ac:dyDescent="0.2">
      <c r="A39" s="11">
        <v>35116</v>
      </c>
      <c r="B39" s="10">
        <v>80.073999999999998</v>
      </c>
      <c r="E39" s="13">
        <f t="shared" si="0"/>
        <v>1.4322677553121948E-2</v>
      </c>
      <c r="F39" s="9">
        <f t="shared" si="1"/>
        <v>6.9690535761112509E-3</v>
      </c>
      <c r="G39" s="9">
        <f t="shared" si="2"/>
        <v>5.7879081461959187E-3</v>
      </c>
    </row>
    <row r="40" spans="1:7" x14ac:dyDescent="0.2">
      <c r="A40" s="11">
        <v>35117</v>
      </c>
      <c r="B40" s="10">
        <v>81.029899999999998</v>
      </c>
      <c r="E40" s="13">
        <f t="shared" si="0"/>
        <v>1.1867015236032704E-2</v>
      </c>
      <c r="F40" s="9">
        <f t="shared" si="1"/>
        <v>2.1732690482338921E-2</v>
      </c>
      <c r="G40" s="9">
        <f t="shared" si="2"/>
        <v>6.1406738108818288E-3</v>
      </c>
    </row>
    <row r="41" spans="1:7" x14ac:dyDescent="0.2">
      <c r="A41" s="11">
        <v>35118</v>
      </c>
      <c r="B41" s="10">
        <v>81.418199999999999</v>
      </c>
      <c r="E41" s="13">
        <f t="shared" si="0"/>
        <v>4.7806128791345473E-3</v>
      </c>
      <c r="F41" s="9">
        <f t="shared" si="1"/>
        <v>3.782337844625553E-2</v>
      </c>
      <c r="G41" s="9">
        <f t="shared" si="2"/>
        <v>5.7249834501102732E-3</v>
      </c>
    </row>
    <row r="42" spans="1:7" x14ac:dyDescent="0.2">
      <c r="A42" s="11">
        <v>35121</v>
      </c>
      <c r="B42" s="10">
        <v>80.862099999999998</v>
      </c>
      <c r="E42" s="13">
        <f t="shared" si="0"/>
        <v>-6.8536005510425203E-3</v>
      </c>
      <c r="F42" s="9">
        <f t="shared" si="1"/>
        <v>3.5259786571131907E-2</v>
      </c>
      <c r="G42" s="9">
        <f t="shared" si="2"/>
        <v>5.8332188844177372E-3</v>
      </c>
    </row>
    <row r="43" spans="1:7" x14ac:dyDescent="0.2">
      <c r="A43" s="11">
        <v>35122</v>
      </c>
      <c r="B43" s="10">
        <v>80.556700000000006</v>
      </c>
      <c r="E43" s="13">
        <f t="shared" si="0"/>
        <v>-3.7839503750510149E-3</v>
      </c>
      <c r="F43" s="9">
        <f t="shared" si="1"/>
        <v>3.3482701243433249E-2</v>
      </c>
      <c r="G43" s="9">
        <f t="shared" si="2"/>
        <v>5.8774497083779326E-3</v>
      </c>
    </row>
    <row r="44" spans="1:7" x14ac:dyDescent="0.2">
      <c r="A44" s="11">
        <v>35123</v>
      </c>
      <c r="B44" s="10">
        <v>80.14</v>
      </c>
      <c r="E44" s="13">
        <f t="shared" si="0"/>
        <v>-5.186179106091645E-3</v>
      </c>
      <c r="F44" s="9">
        <f t="shared" si="1"/>
        <v>2.0822987966628886E-2</v>
      </c>
      <c r="G44" s="9">
        <f t="shared" si="2"/>
        <v>5.8614755216352555E-3</v>
      </c>
    </row>
    <row r="45" spans="1:7" x14ac:dyDescent="0.2">
      <c r="A45" s="11">
        <v>35124</v>
      </c>
      <c r="B45" s="10">
        <v>79.915700000000001</v>
      </c>
      <c r="E45" s="13">
        <f t="shared" si="0"/>
        <v>-2.8027761189807366E-3</v>
      </c>
      <c r="F45" s="9">
        <f t="shared" si="1"/>
        <v>1.8283979534832646E-2</v>
      </c>
      <c r="G45" s="9">
        <f t="shared" si="2"/>
        <v>5.8955277920814024E-3</v>
      </c>
    </row>
    <row r="46" spans="1:7" x14ac:dyDescent="0.2">
      <c r="A46" s="11">
        <v>35125</v>
      </c>
      <c r="B46" s="10">
        <v>81.503</v>
      </c>
      <c r="E46" s="13">
        <f t="shared" si="0"/>
        <v>1.9667500296285632E-2</v>
      </c>
      <c r="F46" s="9">
        <f t="shared" si="1"/>
        <v>4.1128523056332814E-2</v>
      </c>
      <c r="G46" s="9">
        <f t="shared" si="2"/>
        <v>6.8220182677357962E-3</v>
      </c>
    </row>
    <row r="47" spans="1:7" x14ac:dyDescent="0.2">
      <c r="A47" s="11">
        <v>35128</v>
      </c>
      <c r="B47" s="10">
        <v>81.897099999999995</v>
      </c>
      <c r="E47" s="13">
        <f t="shared" si="0"/>
        <v>4.8237518113965761E-3</v>
      </c>
      <c r="F47" s="9">
        <f t="shared" si="1"/>
        <v>5.0783734572652971E-2</v>
      </c>
      <c r="G47" s="9">
        <f t="shared" si="2"/>
        <v>6.7412445759964541E-3</v>
      </c>
    </row>
    <row r="48" spans="1:7" x14ac:dyDescent="0.2">
      <c r="A48" s="11">
        <v>35129</v>
      </c>
      <c r="B48" s="10">
        <v>81.878200000000007</v>
      </c>
      <c r="E48" s="13">
        <f t="shared" si="0"/>
        <v>-2.3080403557667885E-4</v>
      </c>
      <c r="F48" s="9">
        <f t="shared" si="1"/>
        <v>4.8786805527715679E-2</v>
      </c>
      <c r="G48" s="9">
        <f t="shared" si="2"/>
        <v>6.7512778125616993E-3</v>
      </c>
    </row>
    <row r="49" spans="1:7" x14ac:dyDescent="0.2">
      <c r="A49" s="11">
        <v>35130</v>
      </c>
      <c r="B49" s="10">
        <v>81.765100000000004</v>
      </c>
      <c r="E49" s="13">
        <f t="shared" si="0"/>
        <v>-1.3822749603338456E-3</v>
      </c>
      <c r="F49" s="9">
        <f t="shared" si="1"/>
        <v>4.8855964578225587E-2</v>
      </c>
      <c r="G49" s="9">
        <f t="shared" si="2"/>
        <v>6.7501434489259356E-3</v>
      </c>
    </row>
    <row r="50" spans="1:7" x14ac:dyDescent="0.2">
      <c r="A50" s="11">
        <v>35131</v>
      </c>
      <c r="B50" s="10">
        <v>81.799000000000007</v>
      </c>
      <c r="E50" s="13">
        <f t="shared" si="0"/>
        <v>4.1451639431153381E-4</v>
      </c>
      <c r="F50" s="9">
        <f t="shared" si="1"/>
        <v>5.3881281381294471E-2</v>
      </c>
      <c r="G50" s="9">
        <f t="shared" si="2"/>
        <v>6.6464640451977686E-3</v>
      </c>
    </row>
    <row r="51" spans="1:7" x14ac:dyDescent="0.2">
      <c r="A51" s="11">
        <v>35132</v>
      </c>
      <c r="B51" s="10">
        <v>81.090199999999996</v>
      </c>
      <c r="E51" s="13">
        <f t="shared" si="0"/>
        <v>-8.7029032463134381E-3</v>
      </c>
      <c r="F51" s="9">
        <f t="shared" si="1"/>
        <v>4.7882390128331252E-2</v>
      </c>
      <c r="G51" s="9">
        <f t="shared" si="2"/>
        <v>6.8826725150921489E-3</v>
      </c>
    </row>
    <row r="52" spans="1:7" x14ac:dyDescent="0.2">
      <c r="A52" s="11">
        <v>35135</v>
      </c>
      <c r="B52" s="10">
        <v>80.794200000000004</v>
      </c>
      <c r="E52" s="13">
        <f t="shared" si="0"/>
        <v>-3.6569345764194293E-3</v>
      </c>
      <c r="F52" s="9">
        <f t="shared" si="1"/>
        <v>4.5885329461529456E-2</v>
      </c>
      <c r="G52" s="9">
        <f t="shared" si="2"/>
        <v>6.926832637937393E-3</v>
      </c>
    </row>
    <row r="53" spans="1:7" x14ac:dyDescent="0.2">
      <c r="A53" s="11">
        <v>35136</v>
      </c>
      <c r="B53" s="10">
        <v>81.052499999999995</v>
      </c>
      <c r="E53" s="13">
        <f t="shared" si="0"/>
        <v>3.1919120909251145E-3</v>
      </c>
      <c r="F53" s="9">
        <f t="shared" si="1"/>
        <v>4.0175760225636334E-2</v>
      </c>
      <c r="G53" s="9">
        <f t="shared" si="2"/>
        <v>6.7911814600879099E-3</v>
      </c>
    </row>
    <row r="54" spans="1:7" x14ac:dyDescent="0.2">
      <c r="A54" s="11">
        <v>35137</v>
      </c>
      <c r="B54" s="10">
        <v>81.054400000000001</v>
      </c>
      <c r="E54" s="13">
        <f t="shared" si="0"/>
        <v>2.3441321746213756E-5</v>
      </c>
      <c r="F54" s="9">
        <f t="shared" si="1"/>
        <v>3.5150364793076323E-2</v>
      </c>
      <c r="G54" s="9">
        <f t="shared" si="2"/>
        <v>6.758399802039362E-3</v>
      </c>
    </row>
    <row r="55" spans="1:7" x14ac:dyDescent="0.2">
      <c r="A55" s="11">
        <v>35138</v>
      </c>
      <c r="B55" s="10">
        <v>81.3202</v>
      </c>
      <c r="E55" s="13">
        <f t="shared" si="0"/>
        <v>3.2739139916588959E-3</v>
      </c>
      <c r="F55" s="9">
        <f t="shared" si="1"/>
        <v>2.9669641854678106E-2</v>
      </c>
      <c r="G55" s="9">
        <f t="shared" si="2"/>
        <v>6.615059409573759E-3</v>
      </c>
    </row>
    <row r="56" spans="1:7" x14ac:dyDescent="0.2">
      <c r="A56" s="11">
        <v>35139</v>
      </c>
      <c r="B56" s="10">
        <v>81.246700000000004</v>
      </c>
      <c r="E56" s="13">
        <f t="shared" si="0"/>
        <v>-9.0424317629408013E-4</v>
      </c>
      <c r="F56" s="9">
        <f t="shared" si="1"/>
        <v>3.400948761362127E-2</v>
      </c>
      <c r="G56" s="9">
        <f t="shared" si="2"/>
        <v>6.516572067566998E-3</v>
      </c>
    </row>
    <row r="57" spans="1:7" x14ac:dyDescent="0.2">
      <c r="A57" s="11">
        <v>35142</v>
      </c>
      <c r="B57" s="10">
        <v>82.072400000000002</v>
      </c>
      <c r="E57" s="13">
        <f t="shared" si="0"/>
        <v>1.0111579542503725E-2</v>
      </c>
      <c r="F57" s="9">
        <f t="shared" si="1"/>
        <v>4.2585254887509451E-2</v>
      </c>
      <c r="G57" s="9">
        <f t="shared" si="2"/>
        <v>6.724886999395132E-3</v>
      </c>
    </row>
    <row r="58" spans="1:7" x14ac:dyDescent="0.2">
      <c r="A58" s="11">
        <v>35143</v>
      </c>
      <c r="B58" s="10">
        <v>82.294899999999998</v>
      </c>
      <c r="E58" s="13">
        <f t="shared" si="0"/>
        <v>2.7073528117323416E-3</v>
      </c>
      <c r="F58" s="9">
        <f t="shared" si="1"/>
        <v>3.9581092026067799E-2</v>
      </c>
      <c r="G58" s="9">
        <f t="shared" si="2"/>
        <v>6.6801813863908164E-3</v>
      </c>
    </row>
    <row r="59" spans="1:7" x14ac:dyDescent="0.2">
      <c r="A59" s="11">
        <v>35144</v>
      </c>
      <c r="B59" s="10">
        <v>81.480400000000003</v>
      </c>
      <c r="E59" s="13">
        <f t="shared" si="0"/>
        <v>-9.9466368279185063E-3</v>
      </c>
      <c r="F59" s="9">
        <f t="shared" si="1"/>
        <v>2.9538380360833796E-2</v>
      </c>
      <c r="G59" s="9">
        <f t="shared" si="2"/>
        <v>7.0009119529562984E-3</v>
      </c>
    </row>
    <row r="60" spans="1:7" x14ac:dyDescent="0.2">
      <c r="A60" s="11">
        <v>35145</v>
      </c>
      <c r="B60" s="10">
        <v>81.619900000000001</v>
      </c>
      <c r="E60" s="13">
        <f t="shared" si="0"/>
        <v>1.7106042602825281E-3</v>
      </c>
      <c r="F60" s="9">
        <f t="shared" si="1"/>
        <v>3.2107664772543634E-2</v>
      </c>
      <c r="G60" s="9">
        <f t="shared" si="2"/>
        <v>6.9925591837944881E-3</v>
      </c>
    </row>
    <row r="61" spans="1:7" x14ac:dyDescent="0.2">
      <c r="A61" s="11">
        <v>35146</v>
      </c>
      <c r="B61" s="10">
        <v>81.638800000000003</v>
      </c>
      <c r="E61" s="13">
        <f t="shared" si="0"/>
        <v>2.3153436949377529E-4</v>
      </c>
      <c r="F61" s="9">
        <f t="shared" si="1"/>
        <v>3.0933321279988883E-2</v>
      </c>
      <c r="G61" s="9">
        <f t="shared" si="2"/>
        <v>6.9941676866325589E-3</v>
      </c>
    </row>
    <row r="62" spans="1:7" x14ac:dyDescent="0.2">
      <c r="A62" s="11">
        <v>35149</v>
      </c>
      <c r="B62" s="10">
        <v>81.678399999999996</v>
      </c>
      <c r="E62" s="13">
        <f t="shared" si="0"/>
        <v>4.8494586946210146E-4</v>
      </c>
      <c r="F62" s="9">
        <f t="shared" si="1"/>
        <v>2.6831325753685641E-2</v>
      </c>
      <c r="G62" s="9">
        <f t="shared" si="2"/>
        <v>6.9618360867105588E-3</v>
      </c>
    </row>
    <row r="63" spans="1:7" x14ac:dyDescent="0.2">
      <c r="A63" s="11">
        <v>35150</v>
      </c>
      <c r="B63" s="10">
        <v>81.220299999999995</v>
      </c>
      <c r="E63" s="13">
        <f t="shared" si="0"/>
        <v>-5.6243691031209637E-3</v>
      </c>
      <c r="F63" s="9">
        <f t="shared" si="1"/>
        <v>1.7987635953707379E-2</v>
      </c>
      <c r="G63" s="9">
        <f t="shared" si="2"/>
        <v>7.0508808670573181E-3</v>
      </c>
    </row>
    <row r="64" spans="1:7" x14ac:dyDescent="0.2">
      <c r="A64" s="11">
        <v>35151</v>
      </c>
      <c r="B64" s="10">
        <v>81.431399999999996</v>
      </c>
      <c r="E64" s="13">
        <f t="shared" si="0"/>
        <v>2.5957320892381519E-3</v>
      </c>
      <c r="F64" s="9">
        <f t="shared" si="1"/>
        <v>2.1576685805673942E-2</v>
      </c>
      <c r="G64" s="9">
        <f t="shared" si="2"/>
        <v>7.0530450339847551E-3</v>
      </c>
    </row>
    <row r="65" spans="1:7" x14ac:dyDescent="0.2">
      <c r="A65" s="11">
        <v>35152</v>
      </c>
      <c r="B65" s="10">
        <v>80.786699999999996</v>
      </c>
      <c r="E65" s="13">
        <f t="shared" si="0"/>
        <v>-7.9485999941426907E-3</v>
      </c>
      <c r="F65" s="9">
        <f t="shared" si="1"/>
        <v>1.0746174439177971E-2</v>
      </c>
      <c r="G65" s="9">
        <f t="shared" si="2"/>
        <v>7.2205528927040009E-3</v>
      </c>
    </row>
    <row r="66" spans="1:7" x14ac:dyDescent="0.2">
      <c r="A66" s="11">
        <v>35153</v>
      </c>
      <c r="B66" s="10">
        <v>80.466200000000001</v>
      </c>
      <c r="E66" s="13">
        <f t="shared" si="0"/>
        <v>-3.9751275423304481E-3</v>
      </c>
      <c r="F66" s="9">
        <f t="shared" si="1"/>
        <v>1.9519119862002297E-2</v>
      </c>
      <c r="G66" s="9">
        <f t="shared" si="2"/>
        <v>6.8241988342096424E-3</v>
      </c>
    </row>
    <row r="67" spans="1:7" x14ac:dyDescent="0.2">
      <c r="A67" s="11">
        <v>35156</v>
      </c>
      <c r="B67" s="10">
        <v>80.833799999999997</v>
      </c>
      <c r="E67" s="13">
        <f t="shared" si="0"/>
        <v>4.5579744130350604E-3</v>
      </c>
      <c r="F67" s="9">
        <f t="shared" si="1"/>
        <v>2.3766665316745168E-2</v>
      </c>
      <c r="G67" s="9">
        <f t="shared" si="2"/>
        <v>6.8616171934307597E-3</v>
      </c>
    </row>
    <row r="68" spans="1:7" x14ac:dyDescent="0.2">
      <c r="A68" s="11">
        <v>35157</v>
      </c>
      <c r="B68" s="10">
        <v>81.4465</v>
      </c>
      <c r="E68" s="13">
        <f t="shared" ref="E68:E131" si="3">LN(B68/B67)</f>
        <v>7.5511680881846857E-3</v>
      </c>
      <c r="F68" s="9">
        <f t="shared" si="1"/>
        <v>1.6995155851807973E-2</v>
      </c>
      <c r="G68" s="9">
        <f t="shared" si="2"/>
        <v>6.4908976927283901E-3</v>
      </c>
    </row>
    <row r="69" spans="1:7" x14ac:dyDescent="0.2">
      <c r="A69" s="11">
        <v>35158</v>
      </c>
      <c r="B69" s="10">
        <v>81.491699999999994</v>
      </c>
      <c r="E69" s="13">
        <f t="shared" si="3"/>
        <v>5.5481159310021824E-4</v>
      </c>
      <c r="F69" s="9">
        <f t="shared" si="1"/>
        <v>5.682952208875324E-3</v>
      </c>
      <c r="G69" s="9">
        <f t="shared" si="2"/>
        <v>6.117939168372344E-3</v>
      </c>
    </row>
    <row r="70" spans="1:7" x14ac:dyDescent="0.2">
      <c r="A70" s="11">
        <v>35164</v>
      </c>
      <c r="B70" s="10">
        <v>81.995099999999994</v>
      </c>
      <c r="E70" s="13">
        <f t="shared" si="3"/>
        <v>6.1583148113008596E-3</v>
      </c>
      <c r="F70" s="9">
        <f t="shared" si="1"/>
        <v>7.0606541410415296E-3</v>
      </c>
      <c r="G70" s="9">
        <f t="shared" si="2"/>
        <v>6.1600156611542681E-3</v>
      </c>
    </row>
    <row r="71" spans="1:7" x14ac:dyDescent="0.2">
      <c r="A71" s="11">
        <v>35165</v>
      </c>
      <c r="B71" s="10">
        <v>83.275199999999998</v>
      </c>
      <c r="E71" s="13">
        <f t="shared" si="3"/>
        <v>1.5491296376810739E-2</v>
      </c>
      <c r="F71" s="9">
        <f t="shared" si="1"/>
        <v>2.9405551068894847E-2</v>
      </c>
      <c r="G71" s="9">
        <f t="shared" si="2"/>
        <v>6.6208353895817664E-3</v>
      </c>
    </row>
    <row r="72" spans="1:7" x14ac:dyDescent="0.2">
      <c r="A72" s="11">
        <v>35166</v>
      </c>
      <c r="B72" s="10">
        <v>83.847999999999999</v>
      </c>
      <c r="E72" s="13">
        <f t="shared" si="3"/>
        <v>6.8548501098401517E-3</v>
      </c>
      <c r="F72" s="9">
        <f t="shared" si="1"/>
        <v>4.004435155378612E-2</v>
      </c>
      <c r="G72" s="9">
        <f t="shared" si="2"/>
        <v>6.6402063962968556E-3</v>
      </c>
    </row>
    <row r="73" spans="1:7" x14ac:dyDescent="0.2">
      <c r="A73" s="11">
        <v>35167</v>
      </c>
      <c r="B73" s="10">
        <v>84.373500000000007</v>
      </c>
      <c r="E73" s="13">
        <f t="shared" si="3"/>
        <v>6.2477353890134099E-3</v>
      </c>
      <c r="F73" s="9">
        <f t="shared" si="1"/>
        <v>5.1478266048891032E-2</v>
      </c>
      <c r="G73" s="9">
        <f t="shared" si="2"/>
        <v>6.5754912968476699E-3</v>
      </c>
    </row>
    <row r="74" spans="1:7" x14ac:dyDescent="0.2">
      <c r="A74" s="11">
        <v>35170</v>
      </c>
      <c r="B74" s="10">
        <v>84.903700000000001</v>
      </c>
      <c r="E74" s="13">
        <f t="shared" si="3"/>
        <v>6.2643017939581786E-3</v>
      </c>
      <c r="F74" s="9">
        <f t="shared" si="1"/>
        <v>6.0545343961830242E-2</v>
      </c>
      <c r="G74" s="9">
        <f t="shared" si="2"/>
        <v>6.5656010038781217E-3</v>
      </c>
    </row>
    <row r="75" spans="1:7" x14ac:dyDescent="0.2">
      <c r="A75" s="11">
        <v>35171</v>
      </c>
      <c r="B75" s="10">
        <v>84.264700000000005</v>
      </c>
      <c r="E75" s="13">
        <f t="shared" si="3"/>
        <v>-7.5546383261996097E-3</v>
      </c>
      <c r="F75" s="9">
        <f t="shared" si="1"/>
        <v>3.3323205339345026E-2</v>
      </c>
      <c r="G75" s="9">
        <f t="shared" si="2"/>
        <v>5.8717700555574849E-3</v>
      </c>
    </row>
    <row r="76" spans="1:7" x14ac:dyDescent="0.2">
      <c r="A76" s="11">
        <v>35172</v>
      </c>
      <c r="B76" s="10">
        <v>84.3703</v>
      </c>
      <c r="E76" s="13">
        <f t="shared" si="3"/>
        <v>1.2524092128330178E-3</v>
      </c>
      <c r="F76" s="9">
        <f t="shared" si="1"/>
        <v>2.9751862740781301E-2</v>
      </c>
      <c r="G76" s="9">
        <f t="shared" si="2"/>
        <v>5.8292451306933097E-3</v>
      </c>
    </row>
    <row r="77" spans="1:7" x14ac:dyDescent="0.2">
      <c r="A77" s="11">
        <v>35173</v>
      </c>
      <c r="B77" s="10">
        <v>85.001400000000004</v>
      </c>
      <c r="E77" s="13">
        <f t="shared" si="3"/>
        <v>7.452283005431967E-3</v>
      </c>
      <c r="F77" s="9">
        <f t="shared" si="1"/>
        <v>3.7434949781789767E-2</v>
      </c>
      <c r="G77" s="9">
        <f t="shared" si="2"/>
        <v>5.9435617757893789E-3</v>
      </c>
    </row>
    <row r="78" spans="1:7" x14ac:dyDescent="0.2">
      <c r="A78" s="11">
        <v>35174</v>
      </c>
      <c r="B78" s="10">
        <v>85.370699999999999</v>
      </c>
      <c r="E78" s="13">
        <f t="shared" si="3"/>
        <v>4.3352236474189856E-3</v>
      </c>
      <c r="F78" s="9">
        <f t="shared" si="1"/>
        <v>4.3152448389542603E-2</v>
      </c>
      <c r="G78" s="9">
        <f t="shared" si="2"/>
        <v>5.9465512388295208E-3</v>
      </c>
    </row>
    <row r="79" spans="1:7" x14ac:dyDescent="0.2">
      <c r="A79" s="11">
        <v>35177</v>
      </c>
      <c r="B79" s="10">
        <v>86.203000000000003</v>
      </c>
      <c r="E79" s="13">
        <f t="shared" si="3"/>
        <v>9.702029257935273E-3</v>
      </c>
      <c r="F79" s="9">
        <f t="shared" si="1"/>
        <v>5.2439961253166287E-2</v>
      </c>
      <c r="G79" s="9">
        <f t="shared" si="2"/>
        <v>6.1338184856771366E-3</v>
      </c>
    </row>
    <row r="80" spans="1:7" x14ac:dyDescent="0.2">
      <c r="A80" s="11">
        <v>35178</v>
      </c>
      <c r="B80" s="10">
        <v>86.587000000000003</v>
      </c>
      <c r="E80" s="13">
        <f t="shared" si="3"/>
        <v>4.4447089782256415E-3</v>
      </c>
      <c r="F80" s="9">
        <f t="shared" si="1"/>
        <v>6.5587573477705441E-2</v>
      </c>
      <c r="G80" s="9">
        <f t="shared" si="2"/>
        <v>5.8063071215956113E-3</v>
      </c>
    </row>
    <row r="81" spans="1:7" x14ac:dyDescent="0.2">
      <c r="A81" s="11">
        <v>35179</v>
      </c>
      <c r="B81" s="10">
        <v>86.928799999999995</v>
      </c>
      <c r="E81" s="13">
        <f t="shared" si="3"/>
        <v>3.9397039589169061E-3</v>
      </c>
      <c r="F81" s="9">
        <f t="shared" si="1"/>
        <v>7.3184212013041816E-2</v>
      </c>
      <c r="G81" s="9">
        <f t="shared" si="2"/>
        <v>5.7001443303915742E-3</v>
      </c>
    </row>
    <row r="82" spans="1:7" x14ac:dyDescent="0.2">
      <c r="A82" s="11">
        <v>35180</v>
      </c>
      <c r="B82" s="10">
        <v>87.670900000000003</v>
      </c>
      <c r="E82" s="13">
        <f t="shared" si="3"/>
        <v>8.5006385317541421E-3</v>
      </c>
      <c r="F82" s="9">
        <f t="shared" si="1"/>
        <v>7.8492938453870648E-2</v>
      </c>
      <c r="G82" s="9">
        <f t="shared" si="2"/>
        <v>5.8066239122997335E-3</v>
      </c>
    </row>
    <row r="83" spans="1:7" x14ac:dyDescent="0.2">
      <c r="A83" s="11">
        <v>35181</v>
      </c>
      <c r="B83" s="10">
        <v>88.519099999999995</v>
      </c>
      <c r="E83" s="13">
        <f t="shared" si="3"/>
        <v>9.6283166201441023E-3</v>
      </c>
      <c r="F83" s="9">
        <f t="shared" si="1"/>
        <v>8.8097813752268564E-2</v>
      </c>
      <c r="G83" s="9">
        <f t="shared" si="2"/>
        <v>5.9209112384115596E-3</v>
      </c>
    </row>
    <row r="84" spans="1:7" x14ac:dyDescent="0.2">
      <c r="A84" s="11">
        <v>35184</v>
      </c>
      <c r="B84" s="10">
        <v>88.601299999999995</v>
      </c>
      <c r="E84" s="13">
        <f t="shared" si="3"/>
        <v>9.2818225231453867E-4</v>
      </c>
      <c r="F84" s="9">
        <f t="shared" si="1"/>
        <v>8.5752082012924072E-2</v>
      </c>
      <c r="G84" s="9">
        <f t="shared" si="2"/>
        <v>5.9335805119989813E-3</v>
      </c>
    </row>
    <row r="85" spans="1:7" x14ac:dyDescent="0.2">
      <c r="A85" s="11">
        <v>35185</v>
      </c>
      <c r="B85" s="10">
        <v>87.902100000000004</v>
      </c>
      <c r="E85" s="13">
        <f t="shared" si="3"/>
        <v>-7.922834998888597E-3</v>
      </c>
      <c r="F85" s="9">
        <f t="shared" si="1"/>
        <v>7.8733490190329589E-2</v>
      </c>
      <c r="G85" s="9">
        <f t="shared" si="2"/>
        <v>6.2323152637958953E-3</v>
      </c>
    </row>
    <row r="86" spans="1:7" x14ac:dyDescent="0.2">
      <c r="A86" s="11">
        <v>35187</v>
      </c>
      <c r="B86" s="10">
        <v>87.836799999999997</v>
      </c>
      <c r="E86" s="13">
        <f t="shared" si="3"/>
        <v>-7.4314796559298544E-4</v>
      </c>
      <c r="F86" s="9">
        <f t="shared" si="1"/>
        <v>6.787876268223296E-2</v>
      </c>
      <c r="G86" s="9">
        <f t="shared" si="2"/>
        <v>6.0967041233650869E-3</v>
      </c>
    </row>
    <row r="87" spans="1:7" x14ac:dyDescent="0.2">
      <c r="A87" s="11">
        <v>35188</v>
      </c>
      <c r="B87" s="10">
        <v>87.184700000000007</v>
      </c>
      <c r="E87" s="13">
        <f t="shared" si="3"/>
        <v>-7.4516904204846579E-3</v>
      </c>
      <c r="F87" s="9">
        <f t="shared" si="1"/>
        <v>5.7719719450015916E-2</v>
      </c>
      <c r="G87" s="9">
        <f t="shared" si="2"/>
        <v>6.3610168728835811E-3</v>
      </c>
    </row>
    <row r="88" spans="1:7" x14ac:dyDescent="0.2">
      <c r="A88" s="11">
        <v>35191</v>
      </c>
      <c r="B88" s="10">
        <v>86.422700000000006</v>
      </c>
      <c r="E88" s="13">
        <f t="shared" si="3"/>
        <v>-8.7784840210365957E-3</v>
      </c>
      <c r="F88" s="9">
        <f t="shared" si="1"/>
        <v>5.888787225689792E-2</v>
      </c>
      <c r="G88" s="9">
        <f t="shared" si="2"/>
        <v>6.2859824502372102E-3</v>
      </c>
    </row>
    <row r="89" spans="1:7" x14ac:dyDescent="0.2">
      <c r="A89" s="11">
        <v>35192</v>
      </c>
      <c r="B89" s="10">
        <v>86.274100000000004</v>
      </c>
      <c r="E89" s="13">
        <f t="shared" si="3"/>
        <v>-1.7209356128743945E-3</v>
      </c>
      <c r="F89" s="9">
        <f t="shared" si="1"/>
        <v>5.5456332383740932E-2</v>
      </c>
      <c r="G89" s="9">
        <f t="shared" si="2"/>
        <v>6.324402268785047E-3</v>
      </c>
    </row>
    <row r="90" spans="1:7" x14ac:dyDescent="0.2">
      <c r="A90" s="11">
        <v>35193</v>
      </c>
      <c r="B90" s="10">
        <v>85.3232</v>
      </c>
      <c r="E90" s="13">
        <f t="shared" si="3"/>
        <v>-1.1083038410632238E-2</v>
      </c>
      <c r="F90" s="9">
        <f t="shared" si="1"/>
        <v>4.414175960361489E-2</v>
      </c>
      <c r="G90" s="9">
        <f t="shared" si="2"/>
        <v>6.7654185979761933E-3</v>
      </c>
    </row>
    <row r="91" spans="1:7" x14ac:dyDescent="0.2">
      <c r="A91" s="11">
        <v>35194</v>
      </c>
      <c r="B91" s="10">
        <v>85.698800000000006</v>
      </c>
      <c r="E91" s="13">
        <f t="shared" si="3"/>
        <v>4.3924244118649751E-3</v>
      </c>
      <c r="F91" s="9">
        <f t="shared" si="1"/>
        <v>4.8049238146017664E-2</v>
      </c>
      <c r="G91" s="9">
        <f t="shared" si="2"/>
        <v>6.7829124388794002E-3</v>
      </c>
    </row>
    <row r="92" spans="1:7" x14ac:dyDescent="0.2">
      <c r="A92" s="11">
        <v>35195</v>
      </c>
      <c r="B92" s="10">
        <v>86.276899999999998</v>
      </c>
      <c r="E92" s="13">
        <f t="shared" si="3"/>
        <v>6.7230681717391797E-3</v>
      </c>
      <c r="F92" s="9">
        <f t="shared" si="1"/>
        <v>6.0396675420877871E-2</v>
      </c>
      <c r="G92" s="9">
        <f t="shared" si="2"/>
        <v>6.6965181047333447E-3</v>
      </c>
    </row>
    <row r="93" spans="1:7" x14ac:dyDescent="0.2">
      <c r="A93" s="11">
        <v>35198</v>
      </c>
      <c r="B93" s="10">
        <v>86.586299999999994</v>
      </c>
      <c r="E93" s="13">
        <f t="shared" si="3"/>
        <v>3.5797130956325726E-3</v>
      </c>
      <c r="F93" s="9">
        <f t="shared" si="1"/>
        <v>6.138065642727232E-2</v>
      </c>
      <c r="G93" s="9">
        <f t="shared" si="2"/>
        <v>6.7017015484253876E-3</v>
      </c>
    </row>
    <row r="94" spans="1:7" x14ac:dyDescent="0.2">
      <c r="A94" s="11">
        <v>35199</v>
      </c>
      <c r="B94" s="10">
        <v>86.667699999999996</v>
      </c>
      <c r="E94" s="13">
        <f t="shared" si="3"/>
        <v>9.3966091391162849E-4</v>
      </c>
      <c r="F94" s="9">
        <f t="shared" si="1"/>
        <v>7.0268917335326822E-2</v>
      </c>
      <c r="G94" s="9">
        <f t="shared" si="2"/>
        <v>6.4223708179083116E-3</v>
      </c>
    </row>
    <row r="95" spans="1:7" x14ac:dyDescent="0.2">
      <c r="A95" s="11">
        <v>35200</v>
      </c>
      <c r="B95" s="10">
        <v>86.313999999999993</v>
      </c>
      <c r="E95" s="13">
        <f t="shared" si="3"/>
        <v>-4.089455623680076E-3</v>
      </c>
      <c r="F95" s="9">
        <f t="shared" si="1"/>
        <v>7.0154589253977231E-2</v>
      </c>
      <c r="G95" s="9">
        <f t="shared" si="2"/>
        <v>6.4264723728030011E-3</v>
      </c>
    </row>
    <row r="96" spans="1:7" x14ac:dyDescent="0.2">
      <c r="A96" s="11">
        <v>35205</v>
      </c>
      <c r="B96" s="10">
        <v>86.329899999999995</v>
      </c>
      <c r="E96" s="13">
        <f t="shared" si="3"/>
        <v>1.8419417129661886E-4</v>
      </c>
      <c r="F96" s="9">
        <f t="shared" ref="F96:F159" si="4">LN(B96/B67)</f>
        <v>6.5780809012238692E-2</v>
      </c>
      <c r="G96" s="9">
        <f t="shared" si="2"/>
        <v>6.4258070506960606E-3</v>
      </c>
    </row>
    <row r="97" spans="1:7" x14ac:dyDescent="0.2">
      <c r="A97" s="11">
        <v>35206</v>
      </c>
      <c r="B97" s="10">
        <v>87.179699999999997</v>
      </c>
      <c r="E97" s="13">
        <f t="shared" si="3"/>
        <v>9.7955017472189376E-3</v>
      </c>
      <c r="F97" s="9">
        <f t="shared" si="4"/>
        <v>6.8025142671272812E-2</v>
      </c>
      <c r="G97" s="9">
        <f t="shared" ref="G97:G160" si="5">STDEV(E69:E97)</f>
        <v>6.5047352485322037E-3</v>
      </c>
    </row>
    <row r="98" spans="1:7" x14ac:dyDescent="0.2">
      <c r="A98" s="11">
        <v>35207</v>
      </c>
      <c r="B98" s="10">
        <v>86.940200000000004</v>
      </c>
      <c r="E98" s="13">
        <f t="shared" si="3"/>
        <v>-2.7509796530141386E-3</v>
      </c>
      <c r="F98" s="9">
        <f t="shared" si="4"/>
        <v>6.4719351425158528E-2</v>
      </c>
      <c r="G98" s="9">
        <f t="shared" si="5"/>
        <v>6.5659191724690433E-3</v>
      </c>
    </row>
    <row r="99" spans="1:7" x14ac:dyDescent="0.2">
      <c r="A99" s="11">
        <v>35208</v>
      </c>
      <c r="B99" s="10">
        <v>87.366</v>
      </c>
      <c r="E99" s="13">
        <f t="shared" si="3"/>
        <v>4.8856649617393137E-3</v>
      </c>
      <c r="F99" s="9">
        <f t="shared" si="4"/>
        <v>6.3446701575597203E-2</v>
      </c>
      <c r="G99" s="9">
        <f t="shared" si="5"/>
        <v>6.5429504848038816E-3</v>
      </c>
    </row>
    <row r="100" spans="1:7" x14ac:dyDescent="0.2">
      <c r="A100" s="11">
        <v>35209</v>
      </c>
      <c r="B100" s="10">
        <v>87.464100000000002</v>
      </c>
      <c r="E100" s="13">
        <f t="shared" si="3"/>
        <v>1.1222325022480872E-3</v>
      </c>
      <c r="F100" s="9">
        <f t="shared" si="4"/>
        <v>4.9077637701034516E-2</v>
      </c>
      <c r="G100" s="9">
        <f t="shared" si="5"/>
        <v>6.0229290736650669E-3</v>
      </c>
    </row>
    <row r="101" spans="1:7" x14ac:dyDescent="0.2">
      <c r="A101" s="11">
        <v>35213</v>
      </c>
      <c r="B101" s="10">
        <v>87.932500000000005</v>
      </c>
      <c r="E101" s="13">
        <f t="shared" si="3"/>
        <v>5.3410512347066138E-3</v>
      </c>
      <c r="F101" s="9">
        <f t="shared" si="4"/>
        <v>4.7563838825900984E-2</v>
      </c>
      <c r="G101" s="9">
        <f t="shared" si="5"/>
        <v>5.9830159294238664E-3</v>
      </c>
    </row>
    <row r="102" spans="1:7" x14ac:dyDescent="0.2">
      <c r="A102" s="11">
        <v>35214</v>
      </c>
      <c r="B102" s="10">
        <v>88.396299999999997</v>
      </c>
      <c r="E102" s="13">
        <f t="shared" si="3"/>
        <v>5.2606388702471068E-3</v>
      </c>
      <c r="F102" s="9">
        <f t="shared" si="4"/>
        <v>4.6576742307134607E-2</v>
      </c>
      <c r="G102" s="9">
        <f t="shared" si="5"/>
        <v>5.9586248781193949E-3</v>
      </c>
    </row>
    <row r="103" spans="1:7" x14ac:dyDescent="0.2">
      <c r="A103" s="11">
        <v>35215</v>
      </c>
      <c r="B103" s="10">
        <v>88.215599999999995</v>
      </c>
      <c r="E103" s="13">
        <f t="shared" si="3"/>
        <v>-2.046295442766138E-3</v>
      </c>
      <c r="F103" s="9">
        <f t="shared" si="4"/>
        <v>3.8266145070410262E-2</v>
      </c>
      <c r="G103" s="9">
        <f t="shared" si="5"/>
        <v>5.9263496452164072E-3</v>
      </c>
    </row>
    <row r="104" spans="1:7" x14ac:dyDescent="0.2">
      <c r="A104" s="11">
        <v>35216</v>
      </c>
      <c r="B104" s="10">
        <v>88.607500000000002</v>
      </c>
      <c r="E104" s="13">
        <f t="shared" si="3"/>
        <v>4.4326860200253676E-3</v>
      </c>
      <c r="F104" s="9">
        <f t="shared" si="4"/>
        <v>5.0253469416635124E-2</v>
      </c>
      <c r="G104" s="9">
        <f t="shared" si="5"/>
        <v>5.6989704382699865E-3</v>
      </c>
    </row>
    <row r="105" spans="1:7" x14ac:dyDescent="0.2">
      <c r="A105" s="11">
        <v>35219</v>
      </c>
      <c r="B105" s="10">
        <v>88.330699999999993</v>
      </c>
      <c r="E105" s="13">
        <f t="shared" si="3"/>
        <v>-3.1287785882919811E-3</v>
      </c>
      <c r="F105" s="9">
        <f t="shared" si="4"/>
        <v>4.5872281615510095E-2</v>
      </c>
      <c r="G105" s="9">
        <f t="shared" si="5"/>
        <v>5.7697931395906928E-3</v>
      </c>
    </row>
    <row r="106" spans="1:7" x14ac:dyDescent="0.2">
      <c r="A106" s="11">
        <v>35220</v>
      </c>
      <c r="B106" s="10">
        <v>89.057299999999998</v>
      </c>
      <c r="E106" s="13">
        <f t="shared" si="3"/>
        <v>8.1922572405390762E-3</v>
      </c>
      <c r="F106" s="9">
        <f t="shared" si="4"/>
        <v>4.6612255850617353E-2</v>
      </c>
      <c r="G106" s="9">
        <f t="shared" si="5"/>
        <v>5.7982480391735045E-3</v>
      </c>
    </row>
    <row r="107" spans="1:7" x14ac:dyDescent="0.2">
      <c r="A107" s="11">
        <v>35221</v>
      </c>
      <c r="B107" s="10">
        <v>88.987499999999997</v>
      </c>
      <c r="E107" s="13">
        <f t="shared" si="3"/>
        <v>-7.840723635390048E-4</v>
      </c>
      <c r="F107" s="9">
        <f t="shared" si="4"/>
        <v>4.14929598396594E-2</v>
      </c>
      <c r="G107" s="9">
        <f t="shared" si="5"/>
        <v>5.7901537217529848E-3</v>
      </c>
    </row>
    <row r="108" spans="1:7" x14ac:dyDescent="0.2">
      <c r="A108" s="11">
        <v>35222</v>
      </c>
      <c r="B108" s="10">
        <v>89.296899999999994</v>
      </c>
      <c r="E108" s="13">
        <f t="shared" si="3"/>
        <v>3.470862404212606E-3</v>
      </c>
      <c r="F108" s="9">
        <f t="shared" si="4"/>
        <v>3.5261792985937047E-2</v>
      </c>
      <c r="G108" s="9">
        <f t="shared" si="5"/>
        <v>5.5842069526458159E-3</v>
      </c>
    </row>
    <row r="109" spans="1:7" x14ac:dyDescent="0.2">
      <c r="A109" s="11">
        <v>35223</v>
      </c>
      <c r="B109" s="10">
        <v>88.334699999999998</v>
      </c>
      <c r="E109" s="13">
        <f t="shared" si="3"/>
        <v>-1.083376393766408E-2</v>
      </c>
      <c r="F109" s="9">
        <f t="shared" si="4"/>
        <v>1.9983320070047321E-2</v>
      </c>
      <c r="G109" s="9">
        <f t="shared" si="5"/>
        <v>5.9757092757229489E-3</v>
      </c>
    </row>
    <row r="110" spans="1:7" x14ac:dyDescent="0.2">
      <c r="A110" s="11">
        <v>35226</v>
      </c>
      <c r="B110" s="10">
        <v>89.944199999999995</v>
      </c>
      <c r="E110" s="13">
        <f t="shared" si="3"/>
        <v>1.8056469154245081E-2</v>
      </c>
      <c r="F110" s="9">
        <f t="shared" si="4"/>
        <v>3.4100085265375495E-2</v>
      </c>
      <c r="G110" s="9">
        <f t="shared" si="5"/>
        <v>6.7719027130667287E-3</v>
      </c>
    </row>
    <row r="111" spans="1:7" x14ac:dyDescent="0.2">
      <c r="A111" s="11">
        <v>35227</v>
      </c>
      <c r="B111" s="10">
        <v>90.112399999999994</v>
      </c>
      <c r="E111" s="13">
        <f t="shared" si="3"/>
        <v>1.8683019553395847E-3</v>
      </c>
      <c r="F111" s="9">
        <f t="shared" si="4"/>
        <v>2.7467748688961062E-2</v>
      </c>
      <c r="G111" s="9">
        <f t="shared" si="5"/>
        <v>6.6261198405942077E-3</v>
      </c>
    </row>
    <row r="112" spans="1:7" x14ac:dyDescent="0.2">
      <c r="A112" s="11">
        <v>35228</v>
      </c>
      <c r="B112" s="10">
        <v>90.305199999999999</v>
      </c>
      <c r="E112" s="13">
        <f t="shared" si="3"/>
        <v>2.137264583842446E-3</v>
      </c>
      <c r="F112" s="9">
        <f t="shared" si="4"/>
        <v>1.9976696652659425E-2</v>
      </c>
      <c r="G112" s="9">
        <f t="shared" si="5"/>
        <v>6.4183662003931951E-3</v>
      </c>
    </row>
    <row r="113" spans="1:7" x14ac:dyDescent="0.2">
      <c r="A113" s="11">
        <v>35229</v>
      </c>
      <c r="B113" s="10">
        <v>90.0595</v>
      </c>
      <c r="E113" s="13">
        <f t="shared" si="3"/>
        <v>-2.7244815862727547E-3</v>
      </c>
      <c r="F113" s="9">
        <f t="shared" si="4"/>
        <v>1.6324032814072062E-2</v>
      </c>
      <c r="G113" s="9">
        <f t="shared" si="5"/>
        <v>6.4492673673059477E-3</v>
      </c>
    </row>
    <row r="114" spans="1:7" x14ac:dyDescent="0.2">
      <c r="A114" s="11">
        <v>35230</v>
      </c>
      <c r="B114" s="10">
        <v>89.745000000000005</v>
      </c>
      <c r="E114" s="13">
        <f t="shared" si="3"/>
        <v>-3.4982474935897497E-3</v>
      </c>
      <c r="F114" s="9">
        <f t="shared" si="4"/>
        <v>2.0748620319370744E-2</v>
      </c>
      <c r="G114" s="9">
        <f t="shared" si="5"/>
        <v>6.2917620771848915E-3</v>
      </c>
    </row>
    <row r="115" spans="1:7" x14ac:dyDescent="0.2">
      <c r="A115" s="11">
        <v>35233</v>
      </c>
      <c r="B115" s="10">
        <v>89.794399999999996</v>
      </c>
      <c r="E115" s="13">
        <f t="shared" si="3"/>
        <v>5.5029705175163558E-4</v>
      </c>
      <c r="F115" s="9">
        <f t="shared" si="4"/>
        <v>2.2042065336715395E-2</v>
      </c>
      <c r="G115" s="9">
        <f t="shared" si="5"/>
        <v>6.2856343808335288E-3</v>
      </c>
    </row>
    <row r="116" spans="1:7" x14ac:dyDescent="0.2">
      <c r="A116" s="11">
        <v>35234</v>
      </c>
      <c r="B116" s="10">
        <v>89.679199999999994</v>
      </c>
      <c r="E116" s="13">
        <f t="shared" si="3"/>
        <v>-1.2837544443421709E-3</v>
      </c>
      <c r="F116" s="9">
        <f t="shared" si="4"/>
        <v>2.8210001312857842E-2</v>
      </c>
      <c r="G116" s="9">
        <f t="shared" si="5"/>
        <v>6.0994435914625573E-3</v>
      </c>
    </row>
    <row r="117" spans="1:7" x14ac:dyDescent="0.2">
      <c r="A117" s="11">
        <v>35235</v>
      </c>
      <c r="B117" s="10">
        <v>89.196399999999997</v>
      </c>
      <c r="E117" s="13">
        <f t="shared" si="3"/>
        <v>-5.3981780903813335E-3</v>
      </c>
      <c r="F117" s="9">
        <f t="shared" si="4"/>
        <v>3.1590307243513117E-2</v>
      </c>
      <c r="G117" s="9">
        <f t="shared" si="5"/>
        <v>5.936563533910694E-3</v>
      </c>
    </row>
    <row r="118" spans="1:7" x14ac:dyDescent="0.2">
      <c r="A118" s="11">
        <v>35236</v>
      </c>
      <c r="B118" s="10">
        <v>88.841800000000006</v>
      </c>
      <c r="E118" s="13">
        <f t="shared" si="3"/>
        <v>-3.9834200625314849E-3</v>
      </c>
      <c r="F118" s="9">
        <f t="shared" si="4"/>
        <v>2.9327822793855964E-2</v>
      </c>
      <c r="G118" s="9">
        <f t="shared" si="5"/>
        <v>5.989445098258296E-3</v>
      </c>
    </row>
    <row r="119" spans="1:7" x14ac:dyDescent="0.2">
      <c r="A119" s="11">
        <v>35237</v>
      </c>
      <c r="B119" s="10">
        <v>88.708500000000001</v>
      </c>
      <c r="E119" s="13">
        <f t="shared" si="3"/>
        <v>-1.5015466044869686E-3</v>
      </c>
      <c r="F119" s="9">
        <f t="shared" si="4"/>
        <v>3.8909314600001271E-2</v>
      </c>
      <c r="G119" s="9">
        <f t="shared" si="5"/>
        <v>5.5463381695912937E-3</v>
      </c>
    </row>
    <row r="120" spans="1:7" x14ac:dyDescent="0.2">
      <c r="A120" s="11">
        <v>35240</v>
      </c>
      <c r="B120" s="10">
        <v>89.608099999999993</v>
      </c>
      <c r="E120" s="13">
        <f t="shared" si="3"/>
        <v>1.0090004320489166E-2</v>
      </c>
      <c r="F120" s="9">
        <f t="shared" si="4"/>
        <v>4.4606894508625435E-2</v>
      </c>
      <c r="G120" s="9">
        <f t="shared" si="5"/>
        <v>5.7552422941039892E-3</v>
      </c>
    </row>
    <row r="121" spans="1:7" x14ac:dyDescent="0.2">
      <c r="A121" s="11">
        <v>35241</v>
      </c>
      <c r="B121" s="10">
        <v>87.727999999999994</v>
      </c>
      <c r="E121" s="13">
        <f t="shared" si="3"/>
        <v>-2.1204599018911269E-2</v>
      </c>
      <c r="F121" s="9">
        <f t="shared" si="4"/>
        <v>1.667922731797513E-2</v>
      </c>
      <c r="G121" s="9">
        <f t="shared" si="5"/>
        <v>7.0480344458612211E-3</v>
      </c>
    </row>
    <row r="122" spans="1:7" x14ac:dyDescent="0.2">
      <c r="A122" s="11">
        <v>35242</v>
      </c>
      <c r="B122" s="10">
        <v>88.379099999999994</v>
      </c>
      <c r="E122" s="13">
        <f t="shared" si="3"/>
        <v>7.3943976896620554E-3</v>
      </c>
      <c r="F122" s="9">
        <f t="shared" si="4"/>
        <v>2.0493911912004652E-2</v>
      </c>
      <c r="G122" s="9">
        <f t="shared" si="5"/>
        <v>7.1410960855544667E-3</v>
      </c>
    </row>
    <row r="123" spans="1:7" x14ac:dyDescent="0.2">
      <c r="A123" s="11">
        <v>35243</v>
      </c>
      <c r="B123" s="10">
        <v>87.743499999999997</v>
      </c>
      <c r="E123" s="13">
        <f t="shared" si="3"/>
        <v>-7.2177308230732973E-3</v>
      </c>
      <c r="F123" s="9">
        <f t="shared" si="4"/>
        <v>1.2336520175019641E-2</v>
      </c>
      <c r="G123" s="9">
        <f t="shared" si="5"/>
        <v>7.2906853970741833E-3</v>
      </c>
    </row>
    <row r="124" spans="1:7" x14ac:dyDescent="0.2">
      <c r="A124" s="11">
        <v>35244</v>
      </c>
      <c r="B124" s="10">
        <v>88.177099999999996</v>
      </c>
      <c r="E124" s="13">
        <f t="shared" si="3"/>
        <v>4.9295065846854131E-3</v>
      </c>
      <c r="F124" s="9">
        <f t="shared" si="4"/>
        <v>2.1355482383385294E-2</v>
      </c>
      <c r="G124" s="9">
        <f t="shared" si="5"/>
        <v>7.2835745704091636E-3</v>
      </c>
    </row>
    <row r="125" spans="1:7" x14ac:dyDescent="0.2">
      <c r="A125" s="11">
        <v>35247</v>
      </c>
      <c r="B125" s="10">
        <v>89.136499999999998</v>
      </c>
      <c r="E125" s="13">
        <f t="shared" si="3"/>
        <v>1.0821610555611934E-2</v>
      </c>
      <c r="F125" s="9">
        <f t="shared" si="4"/>
        <v>3.199289876770043E-2</v>
      </c>
      <c r="G125" s="9">
        <f t="shared" si="5"/>
        <v>7.5188277531755407E-3</v>
      </c>
    </row>
    <row r="126" spans="1:7" x14ac:dyDescent="0.2">
      <c r="A126" s="11">
        <v>35248</v>
      </c>
      <c r="B126" s="10">
        <v>89.727699999999999</v>
      </c>
      <c r="E126" s="13">
        <f t="shared" si="3"/>
        <v>6.6106258599564396E-3</v>
      </c>
      <c r="F126" s="9">
        <f t="shared" si="4"/>
        <v>2.8808022880437864E-2</v>
      </c>
      <c r="G126" s="9">
        <f t="shared" si="5"/>
        <v>7.4097991584634636E-3</v>
      </c>
    </row>
    <row r="127" spans="1:7" x14ac:dyDescent="0.2">
      <c r="A127" s="11">
        <v>35249</v>
      </c>
      <c r="B127" s="10">
        <v>89.592100000000002</v>
      </c>
      <c r="E127" s="13">
        <f t="shared" si="3"/>
        <v>-1.5123820776788929E-3</v>
      </c>
      <c r="F127" s="9">
        <f t="shared" si="4"/>
        <v>3.0046620455773131E-2</v>
      </c>
      <c r="G127" s="9">
        <f t="shared" si="5"/>
        <v>7.3909915564060189E-3</v>
      </c>
    </row>
    <row r="128" spans="1:7" x14ac:dyDescent="0.2">
      <c r="A128" s="11">
        <v>35250</v>
      </c>
      <c r="B128" s="10">
        <v>90.109700000000004</v>
      </c>
      <c r="E128" s="13">
        <f t="shared" si="3"/>
        <v>5.7606705263151779E-3</v>
      </c>
      <c r="F128" s="9">
        <f t="shared" si="4"/>
        <v>3.0921626020348869E-2</v>
      </c>
      <c r="G128" s="9">
        <f t="shared" si="5"/>
        <v>7.4090321451180429E-3</v>
      </c>
    </row>
    <row r="129" spans="1:7" x14ac:dyDescent="0.2">
      <c r="A129" s="11">
        <v>35251</v>
      </c>
      <c r="B129" s="10">
        <v>89.653800000000004</v>
      </c>
      <c r="E129" s="13">
        <f t="shared" si="3"/>
        <v>-5.0722307635435856E-3</v>
      </c>
      <c r="F129" s="9">
        <f t="shared" si="4"/>
        <v>2.4727162754557205E-2</v>
      </c>
      <c r="G129" s="9">
        <f t="shared" si="5"/>
        <v>7.4961419290694251E-3</v>
      </c>
    </row>
    <row r="130" spans="1:7" x14ac:dyDescent="0.2">
      <c r="A130" s="11">
        <v>35254</v>
      </c>
      <c r="B130" s="10">
        <v>88.905600000000007</v>
      </c>
      <c r="E130" s="13">
        <f t="shared" si="3"/>
        <v>-8.3804535517052262E-3</v>
      </c>
      <c r="F130" s="9">
        <f t="shared" si="4"/>
        <v>1.1005657968145418E-2</v>
      </c>
      <c r="G130" s="9">
        <f t="shared" si="5"/>
        <v>7.6344902890695876E-3</v>
      </c>
    </row>
    <row r="131" spans="1:7" x14ac:dyDescent="0.2">
      <c r="A131" s="11">
        <v>35255</v>
      </c>
      <c r="B131" s="10">
        <v>89.856800000000007</v>
      </c>
      <c r="E131" s="13">
        <f t="shared" si="3"/>
        <v>1.0642159395639115E-2</v>
      </c>
      <c r="F131" s="9">
        <f t="shared" si="4"/>
        <v>1.6387178493537508E-2</v>
      </c>
      <c r="G131" s="9">
        <f t="shared" si="5"/>
        <v>7.8205095075967457E-3</v>
      </c>
    </row>
    <row r="132" spans="1:7" x14ac:dyDescent="0.2">
      <c r="A132" s="11">
        <v>35256</v>
      </c>
      <c r="B132" s="10">
        <v>90.392600000000002</v>
      </c>
      <c r="E132" s="13">
        <f t="shared" ref="E132:E195" si="6">LN(B132/B131)</f>
        <v>5.9451135829070613E-3</v>
      </c>
      <c r="F132" s="9">
        <f t="shared" si="4"/>
        <v>2.4378587519210751E-2</v>
      </c>
      <c r="G132" s="9">
        <f t="shared" si="5"/>
        <v>7.8658705113236645E-3</v>
      </c>
    </row>
    <row r="133" spans="1:7" x14ac:dyDescent="0.2">
      <c r="A133" s="11">
        <v>35257</v>
      </c>
      <c r="B133" s="10">
        <v>90.248199999999997</v>
      </c>
      <c r="E133" s="13">
        <f t="shared" si="6"/>
        <v>-1.5987532247127853E-3</v>
      </c>
      <c r="F133" s="9">
        <f t="shared" si="4"/>
        <v>1.8347148274472723E-2</v>
      </c>
      <c r="G133" s="9">
        <f t="shared" si="5"/>
        <v>7.8472178023046152E-3</v>
      </c>
    </row>
    <row r="134" spans="1:7" x14ac:dyDescent="0.2">
      <c r="A134" s="11">
        <v>35258</v>
      </c>
      <c r="B134" s="10">
        <v>89.248699999999999</v>
      </c>
      <c r="E134" s="13">
        <f t="shared" si="6"/>
        <v>-1.1136797688420949E-2</v>
      </c>
      <c r="F134" s="9">
        <f t="shared" si="4"/>
        <v>1.0339129174343667E-2</v>
      </c>
      <c r="G134" s="9">
        <f t="shared" si="5"/>
        <v>8.1204494028659039E-3</v>
      </c>
    </row>
    <row r="135" spans="1:7" x14ac:dyDescent="0.2">
      <c r="A135" s="11">
        <v>35261</v>
      </c>
      <c r="B135" s="10">
        <v>88.975800000000007</v>
      </c>
      <c r="E135" s="13">
        <f t="shared" si="6"/>
        <v>-3.0624320818121E-3</v>
      </c>
      <c r="F135" s="9">
        <f t="shared" si="4"/>
        <v>-9.1556014800738157E-4</v>
      </c>
      <c r="G135" s="9">
        <f t="shared" si="5"/>
        <v>8.0006477156673583E-3</v>
      </c>
    </row>
    <row r="136" spans="1:7" x14ac:dyDescent="0.2">
      <c r="A136" s="11">
        <v>35262</v>
      </c>
      <c r="B136" s="10">
        <v>87.195099999999996</v>
      </c>
      <c r="E136" s="13">
        <f t="shared" si="6"/>
        <v>-2.0216285970006423E-2</v>
      </c>
      <c r="F136" s="9">
        <f t="shared" si="4"/>
        <v>-2.0347773754474885E-2</v>
      </c>
      <c r="G136" s="9">
        <f t="shared" si="5"/>
        <v>8.8360575819117979E-3</v>
      </c>
    </row>
    <row r="137" spans="1:7" x14ac:dyDescent="0.2">
      <c r="A137" s="11">
        <v>35263</v>
      </c>
      <c r="B137" s="10">
        <v>87.034700000000001</v>
      </c>
      <c r="E137" s="13">
        <f t="shared" si="6"/>
        <v>-1.841246965967223E-3</v>
      </c>
      <c r="F137" s="9">
        <f t="shared" si="4"/>
        <v>-2.5659883124654718E-2</v>
      </c>
      <c r="G137" s="9">
        <f t="shared" si="5"/>
        <v>8.8014637135549554E-3</v>
      </c>
    </row>
    <row r="138" spans="1:7" x14ac:dyDescent="0.2">
      <c r="A138" s="11">
        <v>35264</v>
      </c>
      <c r="B138" s="10">
        <v>86.415599999999998</v>
      </c>
      <c r="E138" s="13">
        <f t="shared" si="6"/>
        <v>-7.1386746421765413E-3</v>
      </c>
      <c r="F138" s="9">
        <f t="shared" si="4"/>
        <v>-2.1964793829167294E-2</v>
      </c>
      <c r="G138" s="9">
        <f t="shared" si="5"/>
        <v>8.6781741825568085E-3</v>
      </c>
    </row>
    <row r="139" spans="1:7" x14ac:dyDescent="0.2">
      <c r="A139" s="11">
        <v>35265</v>
      </c>
      <c r="B139" s="10">
        <v>87.005399999999995</v>
      </c>
      <c r="E139" s="13">
        <f t="shared" si="6"/>
        <v>6.8019706265294074E-3</v>
      </c>
      <c r="F139" s="9">
        <f t="shared" si="4"/>
        <v>-3.3219292356882979E-2</v>
      </c>
      <c r="G139" s="9">
        <f t="shared" si="5"/>
        <v>8.0345556064255787E-3</v>
      </c>
    </row>
    <row r="140" spans="1:7" x14ac:dyDescent="0.2">
      <c r="A140" s="11">
        <v>35268</v>
      </c>
      <c r="B140" s="10">
        <v>86.415000000000006</v>
      </c>
      <c r="E140" s="13">
        <f t="shared" si="6"/>
        <v>-6.8089138414461322E-3</v>
      </c>
      <c r="F140" s="9">
        <f t="shared" si="4"/>
        <v>-4.1896508153668799E-2</v>
      </c>
      <c r="G140" s="9">
        <f t="shared" si="5"/>
        <v>8.079757283286873E-3</v>
      </c>
    </row>
    <row r="141" spans="1:7" x14ac:dyDescent="0.2">
      <c r="A141" s="11">
        <v>35269</v>
      </c>
      <c r="B141" s="10">
        <v>86.959900000000005</v>
      </c>
      <c r="E141" s="13">
        <f t="shared" si="6"/>
        <v>6.2858210058348131E-3</v>
      </c>
      <c r="F141" s="9">
        <f t="shared" si="4"/>
        <v>-3.7747951731676416E-2</v>
      </c>
      <c r="G141" s="9">
        <f t="shared" si="5"/>
        <v>8.1815263491840165E-3</v>
      </c>
    </row>
    <row r="142" spans="1:7" x14ac:dyDescent="0.2">
      <c r="A142" s="11">
        <v>35270</v>
      </c>
      <c r="B142" s="10">
        <v>85.362700000000004</v>
      </c>
      <c r="E142" s="13">
        <f t="shared" si="6"/>
        <v>-1.8537855624640769E-2</v>
      </c>
      <c r="F142" s="9">
        <f t="shared" si="4"/>
        <v>-5.3561325770044375E-2</v>
      </c>
      <c r="G142" s="9">
        <f t="shared" si="5"/>
        <v>8.7844949115163783E-3</v>
      </c>
    </row>
    <row r="143" spans="1:7" x14ac:dyDescent="0.2">
      <c r="A143" s="11">
        <v>35271</v>
      </c>
      <c r="B143" s="10">
        <v>85.997699999999995</v>
      </c>
      <c r="E143" s="13">
        <f t="shared" si="6"/>
        <v>7.4113144761787228E-3</v>
      </c>
      <c r="F143" s="9">
        <f t="shared" si="4"/>
        <v>-4.2651763800275876E-2</v>
      </c>
      <c r="G143" s="9">
        <f t="shared" si="5"/>
        <v>8.9434138678702556E-3</v>
      </c>
    </row>
    <row r="144" spans="1:7" x14ac:dyDescent="0.2">
      <c r="A144" s="11">
        <v>35272</v>
      </c>
      <c r="B144" s="10">
        <v>85.915099999999995</v>
      </c>
      <c r="E144" s="13">
        <f t="shared" si="6"/>
        <v>-9.6095237069337178E-4</v>
      </c>
      <c r="F144" s="9">
        <f t="shared" si="4"/>
        <v>-4.4163013222720864E-2</v>
      </c>
      <c r="G144" s="9">
        <f t="shared" si="5"/>
        <v>8.9356164385474331E-3</v>
      </c>
    </row>
    <row r="145" spans="1:7" x14ac:dyDescent="0.2">
      <c r="A145" s="11">
        <v>35275</v>
      </c>
      <c r="B145" s="10">
        <v>86.137299999999996</v>
      </c>
      <c r="E145" s="13">
        <f t="shared" si="6"/>
        <v>2.582935472390527E-3</v>
      </c>
      <c r="F145" s="9">
        <f t="shared" si="4"/>
        <v>-4.0296323305988202E-2</v>
      </c>
      <c r="G145" s="9">
        <f t="shared" si="5"/>
        <v>8.968101396848633E-3</v>
      </c>
    </row>
    <row r="146" spans="1:7" x14ac:dyDescent="0.2">
      <c r="A146" s="11">
        <v>35276</v>
      </c>
      <c r="B146" s="10">
        <v>85.569199999999995</v>
      </c>
      <c r="E146" s="13">
        <f t="shared" si="6"/>
        <v>-6.6171294962015913E-3</v>
      </c>
      <c r="F146" s="9">
        <f t="shared" si="4"/>
        <v>-4.1515274711808499E-2</v>
      </c>
      <c r="G146" s="9">
        <f t="shared" si="5"/>
        <v>8.9903895107749515E-3</v>
      </c>
    </row>
    <row r="147" spans="1:7" x14ac:dyDescent="0.2">
      <c r="A147" s="11">
        <v>35277</v>
      </c>
      <c r="B147" s="10">
        <v>84.758099999999999</v>
      </c>
      <c r="E147" s="13">
        <f t="shared" si="6"/>
        <v>-9.5240884005463253E-3</v>
      </c>
      <c r="F147" s="9">
        <f t="shared" si="4"/>
        <v>-4.7055943049823405E-2</v>
      </c>
      <c r="G147" s="9">
        <f t="shared" si="5"/>
        <v>9.1047031135847705E-3</v>
      </c>
    </row>
    <row r="148" spans="1:7" x14ac:dyDescent="0.2">
      <c r="A148" s="11">
        <v>35278</v>
      </c>
      <c r="B148" s="10">
        <v>85.3459</v>
      </c>
      <c r="E148" s="13">
        <f t="shared" si="6"/>
        <v>6.9110936791570692E-3</v>
      </c>
      <c r="F148" s="9">
        <f t="shared" si="4"/>
        <v>-3.8643302766179541E-2</v>
      </c>
      <c r="G148" s="9">
        <f t="shared" si="5"/>
        <v>9.2416883185660586E-3</v>
      </c>
    </row>
    <row r="149" spans="1:7" x14ac:dyDescent="0.2">
      <c r="A149" s="11">
        <v>35279</v>
      </c>
      <c r="B149" s="10">
        <v>86.498099999999994</v>
      </c>
      <c r="E149" s="13">
        <f t="shared" si="6"/>
        <v>1.3410037784738258E-2</v>
      </c>
      <c r="F149" s="9">
        <f t="shared" si="4"/>
        <v>-3.5323269301930409E-2</v>
      </c>
      <c r="G149" s="9">
        <f t="shared" si="5"/>
        <v>9.4073212221352578E-3</v>
      </c>
    </row>
    <row r="150" spans="1:7" x14ac:dyDescent="0.2">
      <c r="A150" s="11">
        <v>35282</v>
      </c>
      <c r="B150" s="10">
        <v>86.458399999999997</v>
      </c>
      <c r="E150" s="13">
        <f t="shared" si="6"/>
        <v>-4.5907497778030482E-4</v>
      </c>
      <c r="F150" s="9">
        <f t="shared" si="4"/>
        <v>-1.4577745260799527E-2</v>
      </c>
      <c r="G150" s="9">
        <f t="shared" si="5"/>
        <v>8.5861359528267376E-3</v>
      </c>
    </row>
    <row r="151" spans="1:7" x14ac:dyDescent="0.2">
      <c r="A151" s="11">
        <v>35283</v>
      </c>
      <c r="B151" s="10">
        <v>86.799700000000001</v>
      </c>
      <c r="E151" s="13">
        <f t="shared" si="6"/>
        <v>3.939792038240476E-3</v>
      </c>
      <c r="F151" s="9">
        <f t="shared" si="4"/>
        <v>-1.8032350912221082E-2</v>
      </c>
      <c r="G151" s="9">
        <f t="shared" si="5"/>
        <v>8.4961517443701041E-3</v>
      </c>
    </row>
    <row r="152" spans="1:7" x14ac:dyDescent="0.2">
      <c r="A152" s="11">
        <v>35284</v>
      </c>
      <c r="B152" s="10">
        <v>87.219700000000003</v>
      </c>
      <c r="E152" s="13">
        <f t="shared" si="6"/>
        <v>4.8270573914929431E-3</v>
      </c>
      <c r="F152" s="9">
        <f t="shared" si="4"/>
        <v>-5.9875626976547353E-3</v>
      </c>
      <c r="G152" s="9">
        <f t="shared" si="5"/>
        <v>8.4565060778698485E-3</v>
      </c>
    </row>
    <row r="153" spans="1:7" x14ac:dyDescent="0.2">
      <c r="A153" s="11">
        <v>35285</v>
      </c>
      <c r="B153" s="10">
        <v>87.409099999999995</v>
      </c>
      <c r="E153" s="13">
        <f t="shared" si="6"/>
        <v>2.1691734039920281E-3</v>
      </c>
      <c r="F153" s="9">
        <f t="shared" si="4"/>
        <v>-8.747895878348292E-3</v>
      </c>
      <c r="G153" s="9">
        <f t="shared" si="5"/>
        <v>8.4120503719642033E-3</v>
      </c>
    </row>
    <row r="154" spans="1:7" x14ac:dyDescent="0.2">
      <c r="A154" s="11">
        <v>35286</v>
      </c>
      <c r="B154" s="10">
        <v>87.205699999999993</v>
      </c>
      <c r="E154" s="13">
        <f t="shared" si="6"/>
        <v>-2.3297004835350862E-3</v>
      </c>
      <c r="F154" s="9">
        <f t="shared" si="4"/>
        <v>-2.1899206917495227E-2</v>
      </c>
      <c r="G154" s="9">
        <f t="shared" si="5"/>
        <v>8.1411094119244569E-3</v>
      </c>
    </row>
    <row r="155" spans="1:7" x14ac:dyDescent="0.2">
      <c r="A155" s="11">
        <v>35289</v>
      </c>
      <c r="B155" s="10">
        <v>86.462800000000001</v>
      </c>
      <c r="E155" s="13">
        <f t="shared" si="6"/>
        <v>-8.5554321180967337E-3</v>
      </c>
      <c r="F155" s="9">
        <f t="shared" si="4"/>
        <v>-3.7065264895548442E-2</v>
      </c>
      <c r="G155" s="9">
        <f t="shared" si="5"/>
        <v>8.1381664525775506E-3</v>
      </c>
    </row>
    <row r="156" spans="1:7" x14ac:dyDescent="0.2">
      <c r="A156" s="11">
        <v>35290</v>
      </c>
      <c r="B156" s="10">
        <v>86.247600000000006</v>
      </c>
      <c r="E156" s="13">
        <f t="shared" si="6"/>
        <v>-2.4920341956267507E-3</v>
      </c>
      <c r="F156" s="9">
        <f t="shared" si="4"/>
        <v>-3.8044917013496264E-2</v>
      </c>
      <c r="G156" s="9">
        <f t="shared" si="5"/>
        <v>8.1412062980089957E-3</v>
      </c>
    </row>
    <row r="157" spans="1:7" x14ac:dyDescent="0.2">
      <c r="A157" s="11">
        <v>35291</v>
      </c>
      <c r="B157" s="10">
        <v>86.268699999999995</v>
      </c>
      <c r="E157" s="13">
        <f t="shared" si="6"/>
        <v>2.4461456807505232E-4</v>
      </c>
      <c r="F157" s="9">
        <f t="shared" si="4"/>
        <v>-4.3560972971736375E-2</v>
      </c>
      <c r="G157" s="9">
        <f t="shared" si="5"/>
        <v>8.0337926252224637E-3</v>
      </c>
    </row>
    <row r="158" spans="1:7" x14ac:dyDescent="0.2">
      <c r="A158" s="11">
        <v>35292</v>
      </c>
      <c r="B158" s="10">
        <v>86.746899999999997</v>
      </c>
      <c r="E158" s="13">
        <f t="shared" si="6"/>
        <v>5.5278393127109098E-3</v>
      </c>
      <c r="F158" s="9">
        <f t="shared" si="4"/>
        <v>-3.2960902895481939E-2</v>
      </c>
      <c r="G158" s="9">
        <f t="shared" si="5"/>
        <v>8.1063705170952381E-3</v>
      </c>
    </row>
    <row r="159" spans="1:7" x14ac:dyDescent="0.2">
      <c r="A159" s="11">
        <v>35293</v>
      </c>
      <c r="B159" s="10">
        <v>87.312100000000001</v>
      </c>
      <c r="E159" s="13">
        <f t="shared" si="6"/>
        <v>6.4943724430147455E-3</v>
      </c>
      <c r="F159" s="9">
        <f t="shared" si="4"/>
        <v>-1.8086076900762017E-2</v>
      </c>
      <c r="G159" s="9">
        <f t="shared" si="5"/>
        <v>8.1022460476165431E-3</v>
      </c>
    </row>
    <row r="160" spans="1:7" x14ac:dyDescent="0.2">
      <c r="A160" s="11">
        <v>35296</v>
      </c>
      <c r="B160" s="10">
        <v>87.218999999999994</v>
      </c>
      <c r="E160" s="13">
        <f t="shared" si="6"/>
        <v>-1.0668586725282245E-3</v>
      </c>
      <c r="F160" s="9">
        <f t="shared" ref="F160:F223" si="7">LN(B160/B131)</f>
        <v>-2.9795094968929438E-2</v>
      </c>
      <c r="G160" s="9">
        <f t="shared" si="5"/>
        <v>7.8071604348033587E-3</v>
      </c>
    </row>
    <row r="161" spans="1:7" x14ac:dyDescent="0.2">
      <c r="A161" s="11">
        <v>35297</v>
      </c>
      <c r="B161" s="10">
        <v>87.178700000000006</v>
      </c>
      <c r="E161" s="13">
        <f t="shared" si="6"/>
        <v>-4.6216206655604888E-4</v>
      </c>
      <c r="F161" s="9">
        <f t="shared" si="7"/>
        <v>-3.6202370618392613E-2</v>
      </c>
      <c r="G161" s="9">
        <f t="shared" ref="G161:G224" si="8">STDEV(E133:E161)</f>
        <v>7.6926143060680385E-3</v>
      </c>
    </row>
    <row r="162" spans="1:7" x14ac:dyDescent="0.2">
      <c r="A162" s="11">
        <v>35298</v>
      </c>
      <c r="B162" s="10">
        <v>87.593999999999994</v>
      </c>
      <c r="E162" s="13">
        <f t="shared" si="6"/>
        <v>4.7524674238215679E-3</v>
      </c>
      <c r="F162" s="9">
        <f t="shared" si="7"/>
        <v>-2.9851149969858326E-2</v>
      </c>
      <c r="G162" s="9">
        <f t="shared" si="8"/>
        <v>7.7722789782857255E-3</v>
      </c>
    </row>
    <row r="163" spans="1:7" x14ac:dyDescent="0.2">
      <c r="A163" s="11">
        <v>35299</v>
      </c>
      <c r="B163" s="10">
        <v>88.169899999999998</v>
      </c>
      <c r="E163" s="13">
        <f t="shared" si="6"/>
        <v>6.5531324797736936E-3</v>
      </c>
      <c r="F163" s="9">
        <f t="shared" si="7"/>
        <v>-1.2161219801663828E-2</v>
      </c>
      <c r="G163" s="9">
        <f t="shared" si="8"/>
        <v>7.6438016471709934E-3</v>
      </c>
    </row>
    <row r="164" spans="1:7" x14ac:dyDescent="0.2">
      <c r="A164" s="11">
        <v>35300</v>
      </c>
      <c r="B164" s="10">
        <v>88.108400000000003</v>
      </c>
      <c r="E164" s="13">
        <f t="shared" si="6"/>
        <v>-6.9776033119448239E-4</v>
      </c>
      <c r="F164" s="9">
        <f t="shared" si="7"/>
        <v>-9.7965480510462909E-3</v>
      </c>
      <c r="G164" s="9">
        <f t="shared" si="8"/>
        <v>7.627194124381914E-3</v>
      </c>
    </row>
    <row r="165" spans="1:7" x14ac:dyDescent="0.2">
      <c r="A165" s="11">
        <v>35303</v>
      </c>
      <c r="B165" s="10">
        <v>87.652299999999997</v>
      </c>
      <c r="E165" s="13">
        <f t="shared" si="6"/>
        <v>-5.190022841338523E-3</v>
      </c>
      <c r="F165" s="9">
        <f t="shared" si="7"/>
        <v>5.2297150776216281E-3</v>
      </c>
      <c r="G165" s="9">
        <f t="shared" si="8"/>
        <v>6.6801382989470246E-3</v>
      </c>
    </row>
    <row r="166" spans="1:7" x14ac:dyDescent="0.2">
      <c r="A166" s="11">
        <v>35304</v>
      </c>
      <c r="B166" s="10">
        <v>87.466200000000001</v>
      </c>
      <c r="E166" s="13">
        <f t="shared" si="6"/>
        <v>-2.1254187314008023E-3</v>
      </c>
      <c r="F166" s="9">
        <f t="shared" si="7"/>
        <v>4.9455433121880985E-3</v>
      </c>
      <c r="G166" s="9">
        <f t="shared" si="8"/>
        <v>6.6834172648890687E-3</v>
      </c>
    </row>
    <row r="167" spans="1:7" x14ac:dyDescent="0.2">
      <c r="A167" s="11">
        <v>35305</v>
      </c>
      <c r="B167" s="10">
        <v>87.971800000000002</v>
      </c>
      <c r="E167" s="13">
        <f t="shared" si="6"/>
        <v>5.7638755544845736E-3</v>
      </c>
      <c r="F167" s="9">
        <f t="shared" si="7"/>
        <v>1.784809350884925E-2</v>
      </c>
      <c r="G167" s="9">
        <f t="shared" si="8"/>
        <v>6.6085069642831179E-3</v>
      </c>
    </row>
    <row r="168" spans="1:7" x14ac:dyDescent="0.2">
      <c r="A168" s="11">
        <v>35306</v>
      </c>
      <c r="B168" s="10">
        <v>88.099400000000003</v>
      </c>
      <c r="E168" s="13">
        <f t="shared" si="6"/>
        <v>1.4494139000416361E-3</v>
      </c>
      <c r="F168" s="9">
        <f t="shared" si="7"/>
        <v>1.2495536782361502E-2</v>
      </c>
      <c r="G168" s="9">
        <f t="shared" si="8"/>
        <v>6.5034626721146797E-3</v>
      </c>
    </row>
    <row r="169" spans="1:7" x14ac:dyDescent="0.2">
      <c r="A169" s="11">
        <v>35307</v>
      </c>
      <c r="B169" s="10">
        <v>87.366500000000002</v>
      </c>
      <c r="E169" s="13">
        <f t="shared" si="6"/>
        <v>-8.353808485661196E-3</v>
      </c>
      <c r="F169" s="9">
        <f t="shared" si="7"/>
        <v>1.0950642138146467E-2</v>
      </c>
      <c r="G169" s="9">
        <f t="shared" si="8"/>
        <v>6.5708625958593812E-3</v>
      </c>
    </row>
    <row r="170" spans="1:7" x14ac:dyDescent="0.2">
      <c r="A170" s="11">
        <v>35310</v>
      </c>
      <c r="B170" s="10">
        <v>87.9191</v>
      </c>
      <c r="E170" s="13">
        <f t="shared" si="6"/>
        <v>6.3051594736612589E-3</v>
      </c>
      <c r="F170" s="9">
        <f t="shared" si="7"/>
        <v>1.096998060597288E-2</v>
      </c>
      <c r="G170" s="9">
        <f t="shared" si="8"/>
        <v>6.5714845565190642E-3</v>
      </c>
    </row>
    <row r="171" spans="1:7" x14ac:dyDescent="0.2">
      <c r="A171" s="11">
        <v>35311</v>
      </c>
      <c r="B171" s="10">
        <v>87.035899999999998</v>
      </c>
      <c r="E171" s="13">
        <f t="shared" si="6"/>
        <v>-1.0096396245508092E-2</v>
      </c>
      <c r="F171" s="9">
        <f t="shared" si="7"/>
        <v>1.9411439985105573E-2</v>
      </c>
      <c r="G171" s="9">
        <f t="shared" si="8"/>
        <v>5.8511446249127439E-3</v>
      </c>
    </row>
    <row r="172" spans="1:7" x14ac:dyDescent="0.2">
      <c r="A172" s="11">
        <v>35312</v>
      </c>
      <c r="B172" s="10">
        <v>88.480500000000006</v>
      </c>
      <c r="E172" s="13">
        <f t="shared" si="6"/>
        <v>1.6461511533877208E-2</v>
      </c>
      <c r="F172" s="9">
        <f t="shared" si="7"/>
        <v>2.8461637042803932E-2</v>
      </c>
      <c r="G172" s="9">
        <f t="shared" si="8"/>
        <v>6.4357227604847035E-3</v>
      </c>
    </row>
    <row r="173" spans="1:7" x14ac:dyDescent="0.2">
      <c r="A173" s="11">
        <v>35313</v>
      </c>
      <c r="B173" s="10">
        <v>88.4619</v>
      </c>
      <c r="E173" s="13">
        <f t="shared" si="6"/>
        <v>-2.1023790870382765E-4</v>
      </c>
      <c r="F173" s="9">
        <f t="shared" si="7"/>
        <v>2.9212351504793541E-2</v>
      </c>
      <c r="G173" s="9">
        <f t="shared" si="8"/>
        <v>6.4291372159239833E-3</v>
      </c>
    </row>
    <row r="174" spans="1:7" x14ac:dyDescent="0.2">
      <c r="A174" s="11">
        <v>35314</v>
      </c>
      <c r="B174" s="10">
        <v>88.483699999999999</v>
      </c>
      <c r="E174" s="13">
        <f t="shared" si="6"/>
        <v>2.4640341562949015E-4</v>
      </c>
      <c r="F174" s="9">
        <f t="shared" si="7"/>
        <v>2.687581944803254E-2</v>
      </c>
      <c r="G174" s="9">
        <f t="shared" si="8"/>
        <v>6.4233245076420666E-3</v>
      </c>
    </row>
    <row r="175" spans="1:7" x14ac:dyDescent="0.2">
      <c r="A175" s="11">
        <v>35317</v>
      </c>
      <c r="B175" s="10">
        <v>89.061400000000006</v>
      </c>
      <c r="E175" s="13">
        <f t="shared" si="6"/>
        <v>6.5076652499454889E-3</v>
      </c>
      <c r="F175" s="9">
        <f t="shared" si="7"/>
        <v>4.0000614194179648E-2</v>
      </c>
      <c r="G175" s="9">
        <f t="shared" si="8"/>
        <v>6.3345739584692333E-3</v>
      </c>
    </row>
    <row r="176" spans="1:7" x14ac:dyDescent="0.2">
      <c r="A176" s="11">
        <v>35318</v>
      </c>
      <c r="B176" s="10">
        <v>89.191900000000004</v>
      </c>
      <c r="E176" s="13">
        <f t="shared" si="6"/>
        <v>1.4642087783505986E-3</v>
      </c>
      <c r="F176" s="9">
        <f t="shared" si="7"/>
        <v>5.0988911373076526E-2</v>
      </c>
      <c r="G176" s="9">
        <f t="shared" si="8"/>
        <v>5.9776675461194933E-3</v>
      </c>
    </row>
    <row r="177" spans="1:7" x14ac:dyDescent="0.2">
      <c r="A177" s="11">
        <v>35319</v>
      </c>
      <c r="B177" s="10">
        <v>88.646100000000004</v>
      </c>
      <c r="E177" s="13">
        <f t="shared" si="6"/>
        <v>-6.1381899671788644E-3</v>
      </c>
      <c r="F177" s="9">
        <f t="shared" si="7"/>
        <v>3.7939627726740727E-2</v>
      </c>
      <c r="G177" s="9">
        <f t="shared" si="8"/>
        <v>6.0664182957743994E-3</v>
      </c>
    </row>
    <row r="178" spans="1:7" x14ac:dyDescent="0.2">
      <c r="A178" s="11">
        <v>35320</v>
      </c>
      <c r="B178" s="10">
        <v>89.280299999999997</v>
      </c>
      <c r="E178" s="13">
        <f t="shared" si="6"/>
        <v>7.1288205217331395E-3</v>
      </c>
      <c r="F178" s="9">
        <f t="shared" si="7"/>
        <v>3.1658410463735569E-2</v>
      </c>
      <c r="G178" s="9">
        <f t="shared" si="8"/>
        <v>5.7212184374708704E-3</v>
      </c>
    </row>
    <row r="179" spans="1:7" x14ac:dyDescent="0.2">
      <c r="A179" s="11">
        <v>35321</v>
      </c>
      <c r="B179" s="10">
        <v>89.768100000000004</v>
      </c>
      <c r="E179" s="13">
        <f t="shared" si="6"/>
        <v>5.4488195022465826E-3</v>
      </c>
      <c r="F179" s="9">
        <f t="shared" si="7"/>
        <v>3.7566304943762681E-2</v>
      </c>
      <c r="G179" s="9">
        <f t="shared" si="8"/>
        <v>5.76901180571226E-3</v>
      </c>
    </row>
    <row r="180" spans="1:7" x14ac:dyDescent="0.2">
      <c r="A180" s="11">
        <v>35324</v>
      </c>
      <c r="B180" s="10">
        <v>90.119399999999999</v>
      </c>
      <c r="E180" s="13">
        <f t="shared" si="6"/>
        <v>3.9057794076109978E-3</v>
      </c>
      <c r="F180" s="9">
        <f t="shared" si="7"/>
        <v>3.7532292313132973E-2</v>
      </c>
      <c r="G180" s="9">
        <f t="shared" si="8"/>
        <v>5.768458424980796E-3</v>
      </c>
    </row>
    <row r="181" spans="1:7" x14ac:dyDescent="0.2">
      <c r="A181" s="11">
        <v>35325</v>
      </c>
      <c r="B181" s="10">
        <v>89.708100000000002</v>
      </c>
      <c r="E181" s="13">
        <f t="shared" si="6"/>
        <v>-4.5743917610618556E-3</v>
      </c>
      <c r="F181" s="9">
        <f t="shared" si="7"/>
        <v>2.8130843160578112E-2</v>
      </c>
      <c r="G181" s="9">
        <f t="shared" si="8"/>
        <v>5.8267085901875558E-3</v>
      </c>
    </row>
    <row r="182" spans="1:7" x14ac:dyDescent="0.2">
      <c r="A182" s="11">
        <v>35326</v>
      </c>
      <c r="B182" s="10">
        <v>89.183400000000006</v>
      </c>
      <c r="E182" s="13">
        <f t="shared" si="6"/>
        <v>-5.8661423784528198E-3</v>
      </c>
      <c r="F182" s="9">
        <f t="shared" si="7"/>
        <v>2.0095527378133391E-2</v>
      </c>
      <c r="G182" s="9">
        <f t="shared" si="8"/>
        <v>5.9572398712523685E-3</v>
      </c>
    </row>
    <row r="183" spans="1:7" x14ac:dyDescent="0.2">
      <c r="A183" s="11">
        <v>35327</v>
      </c>
      <c r="B183" s="10">
        <v>89.511399999999995</v>
      </c>
      <c r="E183" s="13">
        <f t="shared" si="6"/>
        <v>3.6710678583161734E-3</v>
      </c>
      <c r="F183" s="9">
        <f t="shared" si="7"/>
        <v>2.6096295719984442E-2</v>
      </c>
      <c r="G183" s="9">
        <f t="shared" si="8"/>
        <v>5.9527150914249899E-3</v>
      </c>
    </row>
    <row r="184" spans="1:7" x14ac:dyDescent="0.2">
      <c r="A184" s="11">
        <v>35328</v>
      </c>
      <c r="B184" s="10">
        <v>89.921700000000001</v>
      </c>
      <c r="E184" s="13">
        <f t="shared" si="6"/>
        <v>4.5733001895528246E-3</v>
      </c>
      <c r="F184" s="9">
        <f t="shared" si="7"/>
        <v>3.9225028027634154E-2</v>
      </c>
      <c r="G184" s="9">
        <f t="shared" si="8"/>
        <v>5.7018875125179154E-3</v>
      </c>
    </row>
    <row r="185" spans="1:7" x14ac:dyDescent="0.2">
      <c r="A185" s="11">
        <v>35331</v>
      </c>
      <c r="B185" s="10">
        <v>89.682299999999998</v>
      </c>
      <c r="E185" s="13">
        <f t="shared" si="6"/>
        <v>-2.6658664816098057E-3</v>
      </c>
      <c r="F185" s="9">
        <f t="shared" si="7"/>
        <v>3.9051195741650897E-2</v>
      </c>
      <c r="G185" s="9">
        <f t="shared" si="8"/>
        <v>5.706163359753106E-3</v>
      </c>
    </row>
    <row r="186" spans="1:7" x14ac:dyDescent="0.2">
      <c r="A186" s="11">
        <v>35332</v>
      </c>
      <c r="B186" s="10">
        <v>89.716499999999996</v>
      </c>
      <c r="E186" s="13">
        <f t="shared" si="6"/>
        <v>3.8127345795287073E-4</v>
      </c>
      <c r="F186" s="9">
        <f t="shared" si="7"/>
        <v>3.9187854631528858E-2</v>
      </c>
      <c r="G186" s="9">
        <f t="shared" si="8"/>
        <v>5.7052771606863218E-3</v>
      </c>
    </row>
    <row r="187" spans="1:7" x14ac:dyDescent="0.2">
      <c r="A187" s="11">
        <v>35333</v>
      </c>
      <c r="B187" s="10">
        <v>89.798599999999993</v>
      </c>
      <c r="E187" s="13">
        <f t="shared" si="6"/>
        <v>9.1468634921623455E-4</v>
      </c>
      <c r="F187" s="9">
        <f t="shared" si="7"/>
        <v>3.4574701668034231E-2</v>
      </c>
      <c r="G187" s="9">
        <f t="shared" si="8"/>
        <v>5.6486996471057744E-3</v>
      </c>
    </row>
    <row r="188" spans="1:7" x14ac:dyDescent="0.2">
      <c r="A188" s="11">
        <v>35334</v>
      </c>
      <c r="B188" s="10">
        <v>90.397199999999998</v>
      </c>
      <c r="E188" s="13">
        <f t="shared" si="6"/>
        <v>6.6439084809362349E-3</v>
      </c>
      <c r="F188" s="9">
        <f t="shared" si="7"/>
        <v>3.4724237705955653E-2</v>
      </c>
      <c r="G188" s="9">
        <f t="shared" si="8"/>
        <v>5.653778534456198E-3</v>
      </c>
    </row>
    <row r="189" spans="1:7" x14ac:dyDescent="0.2">
      <c r="A189" s="11">
        <v>35335</v>
      </c>
      <c r="B189" s="10">
        <v>90.474800000000002</v>
      </c>
      <c r="E189" s="13">
        <f t="shared" si="6"/>
        <v>8.5806542484473457E-4</v>
      </c>
      <c r="F189" s="9">
        <f t="shared" si="7"/>
        <v>3.664916180332848E-2</v>
      </c>
      <c r="G189" s="9">
        <f t="shared" si="8"/>
        <v>5.6375225266722196E-3</v>
      </c>
    </row>
    <row r="190" spans="1:7" x14ac:dyDescent="0.2">
      <c r="A190" s="11">
        <v>35338</v>
      </c>
      <c r="B190" s="10">
        <v>89.652500000000003</v>
      </c>
      <c r="E190" s="13">
        <f t="shared" si="6"/>
        <v>-9.1302730054271808E-3</v>
      </c>
      <c r="F190" s="9">
        <f t="shared" si="7"/>
        <v>2.7981050864457437E-2</v>
      </c>
      <c r="G190" s="9">
        <f t="shared" si="8"/>
        <v>5.9532487319577197E-3</v>
      </c>
    </row>
    <row r="191" spans="1:7" x14ac:dyDescent="0.2">
      <c r="A191" s="11">
        <v>35339</v>
      </c>
      <c r="B191" s="10">
        <v>90.549000000000007</v>
      </c>
      <c r="E191" s="13">
        <f t="shared" si="6"/>
        <v>9.9500547595995411E-3</v>
      </c>
      <c r="F191" s="9">
        <f t="shared" si="7"/>
        <v>3.3178638200235387E-2</v>
      </c>
      <c r="G191" s="9">
        <f t="shared" si="8"/>
        <v>6.1464535052341944E-3</v>
      </c>
    </row>
    <row r="192" spans="1:7" x14ac:dyDescent="0.2">
      <c r="A192" s="11">
        <v>35340</v>
      </c>
      <c r="B192" s="10">
        <v>91.453999999999994</v>
      </c>
      <c r="E192" s="13">
        <f t="shared" si="6"/>
        <v>9.944972982683032E-3</v>
      </c>
      <c r="F192" s="9">
        <f t="shared" si="7"/>
        <v>3.6570478703144858E-2</v>
      </c>
      <c r="G192" s="9">
        <f t="shared" si="8"/>
        <v>6.2837944172245922E-3</v>
      </c>
    </row>
    <row r="193" spans="1:7" x14ac:dyDescent="0.2">
      <c r="A193" s="11">
        <v>35341</v>
      </c>
      <c r="B193" s="10">
        <v>91.628900000000002</v>
      </c>
      <c r="E193" s="13">
        <f t="shared" si="6"/>
        <v>1.9106104743267004E-3</v>
      </c>
      <c r="F193" s="9">
        <f t="shared" si="7"/>
        <v>3.9178849508665979E-2</v>
      </c>
      <c r="G193" s="9">
        <f t="shared" si="8"/>
        <v>6.2734144345084012E-3</v>
      </c>
    </row>
    <row r="194" spans="1:7" x14ac:dyDescent="0.2">
      <c r="A194" s="11">
        <v>35342</v>
      </c>
      <c r="B194" s="10">
        <v>92.727599999999995</v>
      </c>
      <c r="E194" s="13">
        <f t="shared" si="6"/>
        <v>1.1919438782339521E-2</v>
      </c>
      <c r="F194" s="9">
        <f t="shared" si="7"/>
        <v>5.6288311132344157E-2</v>
      </c>
      <c r="G194" s="9">
        <f t="shared" si="8"/>
        <v>6.4386479115576276E-3</v>
      </c>
    </row>
    <row r="195" spans="1:7" x14ac:dyDescent="0.2">
      <c r="A195" s="11">
        <v>35345</v>
      </c>
      <c r="B195" s="10">
        <v>93.025199999999998</v>
      </c>
      <c r="E195" s="13">
        <f t="shared" si="6"/>
        <v>3.2042613045808604E-3</v>
      </c>
      <c r="F195" s="9">
        <f t="shared" si="7"/>
        <v>6.1617991168325649E-2</v>
      </c>
      <c r="G195" s="9">
        <f t="shared" si="8"/>
        <v>6.3943447542373971E-3</v>
      </c>
    </row>
    <row r="196" spans="1:7" x14ac:dyDescent="0.2">
      <c r="A196" s="11">
        <v>35346</v>
      </c>
      <c r="B196" s="10">
        <v>93.605699999999999</v>
      </c>
      <c r="E196" s="13">
        <f t="shared" ref="E196:E259" si="9">LN(B196/B195)</f>
        <v>6.22085487520691E-3</v>
      </c>
      <c r="F196" s="9">
        <f t="shared" si="7"/>
        <v>6.207497048904799E-2</v>
      </c>
      <c r="G196" s="9">
        <f t="shared" si="8"/>
        <v>6.4041886045609463E-3</v>
      </c>
    </row>
    <row r="197" spans="1:7" x14ac:dyDescent="0.2">
      <c r="A197" s="11">
        <v>35347</v>
      </c>
      <c r="B197" s="10">
        <v>94.142099999999999</v>
      </c>
      <c r="E197" s="13">
        <f t="shared" si="9"/>
        <v>5.7140638609634959E-3</v>
      </c>
      <c r="F197" s="9">
        <f t="shared" si="7"/>
        <v>6.6339620449969883E-2</v>
      </c>
      <c r="G197" s="9">
        <f t="shared" si="8"/>
        <v>6.4366338841187493E-3</v>
      </c>
    </row>
    <row r="198" spans="1:7" x14ac:dyDescent="0.2">
      <c r="A198" s="11">
        <v>35348</v>
      </c>
      <c r="B198" s="10">
        <v>93.729699999999994</v>
      </c>
      <c r="E198" s="13">
        <f t="shared" si="9"/>
        <v>-4.3902348557739229E-3</v>
      </c>
      <c r="F198" s="9">
        <f t="shared" si="7"/>
        <v>7.030319407985719E-2</v>
      </c>
      <c r="G198" s="9">
        <f t="shared" si="8"/>
        <v>6.24173612776699E-3</v>
      </c>
    </row>
    <row r="199" spans="1:7" x14ac:dyDescent="0.2">
      <c r="A199" s="11">
        <v>35349</v>
      </c>
      <c r="B199" s="10">
        <v>94.126400000000004</v>
      </c>
      <c r="E199" s="13">
        <f t="shared" si="9"/>
        <v>4.2234517769648618E-3</v>
      </c>
      <c r="F199" s="9">
        <f t="shared" si="7"/>
        <v>6.8221486383160779E-2</v>
      </c>
      <c r="G199" s="9">
        <f t="shared" si="8"/>
        <v>6.2073855385352096E-3</v>
      </c>
    </row>
    <row r="200" spans="1:7" x14ac:dyDescent="0.2">
      <c r="A200" s="11">
        <v>35352</v>
      </c>
      <c r="B200" s="10">
        <v>94.366200000000006</v>
      </c>
      <c r="E200" s="13">
        <f t="shared" si="9"/>
        <v>2.5443983410633119E-3</v>
      </c>
      <c r="F200" s="9">
        <f t="shared" si="7"/>
        <v>8.0862280969732095E-2</v>
      </c>
      <c r="G200" s="9">
        <f t="shared" si="8"/>
        <v>5.7272484291272883E-3</v>
      </c>
    </row>
    <row r="201" spans="1:7" x14ac:dyDescent="0.2">
      <c r="A201" s="11">
        <v>35353</v>
      </c>
      <c r="B201" s="10">
        <v>95.415099999999995</v>
      </c>
      <c r="E201" s="13">
        <f t="shared" si="9"/>
        <v>1.1053888663081228E-2</v>
      </c>
      <c r="F201" s="9">
        <f t="shared" si="7"/>
        <v>7.545465809893602E-2</v>
      </c>
      <c r="G201" s="9">
        <f t="shared" si="8"/>
        <v>5.3411942275052469E-3</v>
      </c>
    </row>
    <row r="202" spans="1:7" x14ac:dyDescent="0.2">
      <c r="A202" s="11">
        <v>35354</v>
      </c>
      <c r="B202" s="10">
        <v>94.931799999999996</v>
      </c>
      <c r="E202" s="13">
        <f t="shared" si="9"/>
        <v>-5.0781077976912144E-3</v>
      </c>
      <c r="F202" s="9">
        <f t="shared" si="7"/>
        <v>7.0586788209948598E-2</v>
      </c>
      <c r="G202" s="9">
        <f t="shared" si="8"/>
        <v>5.5066554039421576E-3</v>
      </c>
    </row>
    <row r="203" spans="1:7" x14ac:dyDescent="0.2">
      <c r="A203" s="11">
        <v>35355</v>
      </c>
      <c r="B203" s="10">
        <v>95.076099999999997</v>
      </c>
      <c r="E203" s="13">
        <f t="shared" si="9"/>
        <v>1.5188845068209043E-3</v>
      </c>
      <c r="F203" s="9">
        <f t="shared" si="7"/>
        <v>7.1859269301140269E-2</v>
      </c>
      <c r="G203" s="9">
        <f t="shared" si="8"/>
        <v>5.4936556209124795E-3</v>
      </c>
    </row>
    <row r="204" spans="1:7" x14ac:dyDescent="0.2">
      <c r="A204" s="11">
        <v>35356</v>
      </c>
      <c r="B204" s="10">
        <v>94.981999999999999</v>
      </c>
      <c r="E204" s="13">
        <f t="shared" si="9"/>
        <v>-9.9022359677477471E-4</v>
      </c>
      <c r="F204" s="9">
        <f t="shared" si="7"/>
        <v>6.4361380454420122E-2</v>
      </c>
      <c r="G204" s="9">
        <f t="shared" si="8"/>
        <v>5.4736298213101673E-3</v>
      </c>
    </row>
    <row r="205" spans="1:7" x14ac:dyDescent="0.2">
      <c r="A205" s="11">
        <v>35359</v>
      </c>
      <c r="B205" s="10">
        <v>94.676100000000005</v>
      </c>
      <c r="E205" s="13">
        <f t="shared" si="9"/>
        <v>-3.2258075480247057E-3</v>
      </c>
      <c r="F205" s="9">
        <f t="shared" si="7"/>
        <v>5.9671364128044677E-2</v>
      </c>
      <c r="G205" s="9">
        <f t="shared" si="8"/>
        <v>5.5652574747634236E-3</v>
      </c>
    </row>
    <row r="206" spans="1:7" x14ac:dyDescent="0.2">
      <c r="A206" s="11">
        <v>35360</v>
      </c>
      <c r="B206" s="10">
        <v>94.103999999999999</v>
      </c>
      <c r="E206" s="13">
        <f t="shared" si="9"/>
        <v>-6.061038757759242E-3</v>
      </c>
      <c r="F206" s="9">
        <f t="shared" si="7"/>
        <v>5.9748515337464399E-2</v>
      </c>
      <c r="G206" s="9">
        <f t="shared" si="8"/>
        <v>5.5612166352671565E-3</v>
      </c>
    </row>
    <row r="207" spans="1:7" x14ac:dyDescent="0.2">
      <c r="A207" s="11">
        <v>35361</v>
      </c>
      <c r="B207" s="10">
        <v>93.006500000000003</v>
      </c>
      <c r="E207" s="13">
        <f t="shared" si="9"/>
        <v>-1.1731170474131018E-2</v>
      </c>
      <c r="F207" s="9">
        <f t="shared" si="7"/>
        <v>4.0888524341600042E-2</v>
      </c>
      <c r="G207" s="9">
        <f t="shared" si="8"/>
        <v>6.030306432147514E-3</v>
      </c>
    </row>
    <row r="208" spans="1:7" x14ac:dyDescent="0.2">
      <c r="A208" s="11">
        <v>35362</v>
      </c>
      <c r="B208" s="10">
        <v>93.836500000000001</v>
      </c>
      <c r="E208" s="13">
        <f t="shared" si="9"/>
        <v>8.8845229379341702E-3</v>
      </c>
      <c r="F208" s="9">
        <f t="shared" si="7"/>
        <v>4.4324227777287548E-2</v>
      </c>
      <c r="G208" s="9">
        <f t="shared" si="8"/>
        <v>6.1451444885332164E-3</v>
      </c>
    </row>
    <row r="209" spans="1:7" x14ac:dyDescent="0.2">
      <c r="A209" s="11">
        <v>35363</v>
      </c>
      <c r="B209" s="10">
        <v>93.306600000000003</v>
      </c>
      <c r="E209" s="13">
        <f t="shared" si="9"/>
        <v>-5.6630612207297457E-3</v>
      </c>
      <c r="F209" s="9">
        <f t="shared" si="7"/>
        <v>3.4755387148946895E-2</v>
      </c>
      <c r="G209" s="9">
        <f t="shared" si="8"/>
        <v>6.268591443064987E-3</v>
      </c>
    </row>
    <row r="210" spans="1:7" x14ac:dyDescent="0.2">
      <c r="A210" s="11">
        <v>35366</v>
      </c>
      <c r="B210" s="10">
        <v>93.936700000000002</v>
      </c>
      <c r="E210" s="13">
        <f t="shared" si="9"/>
        <v>6.7303062749841528E-3</v>
      </c>
      <c r="F210" s="9">
        <f t="shared" si="7"/>
        <v>4.6060085184992813E-2</v>
      </c>
      <c r="G210" s="9">
        <f t="shared" si="8"/>
        <v>6.2482437149523409E-3</v>
      </c>
    </row>
    <row r="211" spans="1:7" x14ac:dyDescent="0.2">
      <c r="A211" s="11">
        <v>35367</v>
      </c>
      <c r="B211" s="10">
        <v>93.002700000000004</v>
      </c>
      <c r="E211" s="13">
        <f t="shared" si="9"/>
        <v>-9.992626186304877E-3</v>
      </c>
      <c r="F211" s="9">
        <f t="shared" si="7"/>
        <v>4.1933601377140722E-2</v>
      </c>
      <c r="G211" s="9">
        <f t="shared" si="8"/>
        <v>6.4672172860755902E-3</v>
      </c>
    </row>
    <row r="212" spans="1:7" x14ac:dyDescent="0.2">
      <c r="A212" s="11">
        <v>35368</v>
      </c>
      <c r="B212" s="10">
        <v>93.009399999999999</v>
      </c>
      <c r="E212" s="13">
        <f t="shared" si="9"/>
        <v>7.2038324419665682E-5</v>
      </c>
      <c r="F212" s="9">
        <f t="shared" si="7"/>
        <v>3.8334571843244292E-2</v>
      </c>
      <c r="G212" s="9">
        <f t="shared" si="8"/>
        <v>6.457518522284213E-3</v>
      </c>
    </row>
    <row r="213" spans="1:7" x14ac:dyDescent="0.2">
      <c r="A213" s="11">
        <v>35369</v>
      </c>
      <c r="B213" s="10">
        <v>92.903899999999993</v>
      </c>
      <c r="E213" s="13">
        <f t="shared" si="9"/>
        <v>-1.1349377513541017E-3</v>
      </c>
      <c r="F213" s="9">
        <f t="shared" si="7"/>
        <v>3.2626333902337476E-2</v>
      </c>
      <c r="G213" s="9">
        <f t="shared" si="8"/>
        <v>6.4418495794821527E-3</v>
      </c>
    </row>
    <row r="214" spans="1:7" x14ac:dyDescent="0.2">
      <c r="A214" s="11">
        <v>35370</v>
      </c>
      <c r="B214" s="10">
        <v>93.950900000000004</v>
      </c>
      <c r="E214" s="13">
        <f t="shared" si="9"/>
        <v>1.1206679814230142E-2</v>
      </c>
      <c r="F214" s="9">
        <f t="shared" si="7"/>
        <v>4.6498880198177391E-2</v>
      </c>
      <c r="G214" s="9">
        <f t="shared" si="8"/>
        <v>6.6616174812213179E-3</v>
      </c>
    </row>
    <row r="215" spans="1:7" x14ac:dyDescent="0.2">
      <c r="A215" s="11">
        <v>35373</v>
      </c>
      <c r="B215" s="10">
        <v>93.9148</v>
      </c>
      <c r="E215" s="13">
        <f t="shared" si="9"/>
        <v>-3.8431709933564758E-4</v>
      </c>
      <c r="F215" s="9">
        <f t="shared" si="7"/>
        <v>4.5733289640888693E-2</v>
      </c>
      <c r="G215" s="9">
        <f t="shared" si="8"/>
        <v>6.6681475219515628E-3</v>
      </c>
    </row>
    <row r="216" spans="1:7" x14ac:dyDescent="0.2">
      <c r="A216" s="11">
        <v>35374</v>
      </c>
      <c r="B216" s="10">
        <v>94.582999999999998</v>
      </c>
      <c r="E216" s="13">
        <f t="shared" si="9"/>
        <v>7.0897676143650695E-3</v>
      </c>
      <c r="F216" s="9">
        <f t="shared" si="7"/>
        <v>5.1908370906037733E-2</v>
      </c>
      <c r="G216" s="9">
        <f t="shared" si="8"/>
        <v>6.7444005843726928E-3</v>
      </c>
    </row>
    <row r="217" spans="1:7" x14ac:dyDescent="0.2">
      <c r="A217" s="11">
        <v>35375</v>
      </c>
      <c r="B217" s="10">
        <v>94.646500000000003</v>
      </c>
      <c r="E217" s="13">
        <f t="shared" si="9"/>
        <v>6.7114273814112245E-4</v>
      </c>
      <c r="F217" s="9">
        <f t="shared" si="7"/>
        <v>4.5935605163242819E-2</v>
      </c>
      <c r="G217" s="9">
        <f t="shared" si="8"/>
        <v>6.6817846905762425E-3</v>
      </c>
    </row>
    <row r="218" spans="1:7" x14ac:dyDescent="0.2">
      <c r="A218" s="11">
        <v>35376</v>
      </c>
      <c r="B218" s="10">
        <v>94.369200000000006</v>
      </c>
      <c r="E218" s="13">
        <f t="shared" si="9"/>
        <v>-2.9341499033684361E-3</v>
      </c>
      <c r="F218" s="9">
        <f t="shared" si="7"/>
        <v>4.2143389835029778E-2</v>
      </c>
      <c r="G218" s="9">
        <f t="shared" si="8"/>
        <v>6.7334071387964468E-3</v>
      </c>
    </row>
    <row r="219" spans="1:7" x14ac:dyDescent="0.2">
      <c r="A219" s="11">
        <v>35377</v>
      </c>
      <c r="B219" s="10">
        <v>94.915999999999997</v>
      </c>
      <c r="E219" s="13">
        <f t="shared" si="9"/>
        <v>5.7775412025206606E-3</v>
      </c>
      <c r="F219" s="9">
        <f t="shared" si="7"/>
        <v>5.7051204042977345E-2</v>
      </c>
      <c r="G219" s="9">
        <f t="shared" si="8"/>
        <v>6.4600737444541288E-3</v>
      </c>
    </row>
    <row r="220" spans="1:7" x14ac:dyDescent="0.2">
      <c r="A220" s="11">
        <v>35380</v>
      </c>
      <c r="B220" s="10">
        <v>95.3703</v>
      </c>
      <c r="E220" s="13">
        <f t="shared" si="9"/>
        <v>4.7749192996465496E-3</v>
      </c>
      <c r="F220" s="9">
        <f t="shared" si="7"/>
        <v>5.1876068583024564E-2</v>
      </c>
      <c r="G220" s="9">
        <f t="shared" si="8"/>
        <v>6.3012077508500623E-3</v>
      </c>
    </row>
    <row r="221" spans="1:7" x14ac:dyDescent="0.2">
      <c r="A221" s="11">
        <v>35381</v>
      </c>
      <c r="B221" s="10">
        <v>95.388000000000005</v>
      </c>
      <c r="E221" s="13">
        <f t="shared" si="9"/>
        <v>1.8557514981832891E-4</v>
      </c>
      <c r="F221" s="9">
        <f t="shared" si="7"/>
        <v>4.2116670750159783E-2</v>
      </c>
      <c r="G221" s="9">
        <f t="shared" si="8"/>
        <v>6.1076929027195923E-3</v>
      </c>
    </row>
    <row r="222" spans="1:7" x14ac:dyDescent="0.2">
      <c r="A222" s="11">
        <v>35382</v>
      </c>
      <c r="B222" s="10">
        <v>95.292299999999997</v>
      </c>
      <c r="E222" s="13">
        <f t="shared" si="9"/>
        <v>-1.0037744647488057E-3</v>
      </c>
      <c r="F222" s="9">
        <f t="shared" si="7"/>
        <v>3.9202285811084238E-2</v>
      </c>
      <c r="G222" s="9">
        <f t="shared" si="8"/>
        <v>6.1238378370144448E-3</v>
      </c>
    </row>
    <row r="223" spans="1:7" x14ac:dyDescent="0.2">
      <c r="A223" s="11">
        <v>35383</v>
      </c>
      <c r="B223" s="10">
        <v>95.623000000000005</v>
      </c>
      <c r="E223" s="13">
        <f t="shared" si="9"/>
        <v>3.4643669810706574E-3</v>
      </c>
      <c r="F223" s="9">
        <f t="shared" si="7"/>
        <v>3.0747214009815286E-2</v>
      </c>
      <c r="G223" s="9">
        <f t="shared" si="8"/>
        <v>5.7952006130403454E-3</v>
      </c>
    </row>
    <row r="224" spans="1:7" x14ac:dyDescent="0.2">
      <c r="A224" s="11">
        <v>35384</v>
      </c>
      <c r="B224" s="10">
        <v>96.828100000000006</v>
      </c>
      <c r="E224" s="13">
        <f t="shared" si="9"/>
        <v>1.2523864517658042E-2</v>
      </c>
      <c r="F224" s="9">
        <f t="shared" ref="F224:F287" si="10">LN(B224/B195)</f>
        <v>4.0066817222892598E-2</v>
      </c>
      <c r="G224" s="9">
        <f t="shared" si="8"/>
        <v>6.1649484426021875E-3</v>
      </c>
    </row>
    <row r="225" spans="1:7" x14ac:dyDescent="0.2">
      <c r="A225" s="11">
        <v>35387</v>
      </c>
      <c r="B225" s="10">
        <v>97.009900000000002</v>
      </c>
      <c r="E225" s="13">
        <f t="shared" si="9"/>
        <v>1.8757937381401553E-3</v>
      </c>
      <c r="F225" s="9">
        <f t="shared" si="10"/>
        <v>3.5721756085825833E-2</v>
      </c>
      <c r="G225" s="9">
        <f t="shared" ref="G225:G288" si="11">STDEV(E197:E225)</f>
        <v>6.0955471040767938E-3</v>
      </c>
    </row>
    <row r="226" spans="1:7" x14ac:dyDescent="0.2">
      <c r="A226" s="11">
        <v>35388</v>
      </c>
      <c r="B226" s="10">
        <v>97.708600000000004</v>
      </c>
      <c r="E226" s="13">
        <f t="shared" si="9"/>
        <v>7.1765445887011347E-3</v>
      </c>
      <c r="F226" s="9">
        <f t="shared" si="10"/>
        <v>3.7184236813563573E-2</v>
      </c>
      <c r="G226" s="9">
        <f t="shared" si="11"/>
        <v>6.1398436351062496E-3</v>
      </c>
    </row>
    <row r="227" spans="1:7" x14ac:dyDescent="0.2">
      <c r="A227" s="11">
        <v>35389</v>
      </c>
      <c r="B227" s="10">
        <v>98.006600000000006</v>
      </c>
      <c r="E227" s="13">
        <f t="shared" si="9"/>
        <v>3.045243601846949E-3</v>
      </c>
      <c r="F227" s="9">
        <f t="shared" si="10"/>
        <v>4.4619715271184336E-2</v>
      </c>
      <c r="G227" s="9">
        <f t="shared" si="11"/>
        <v>6.0490855041445126E-3</v>
      </c>
    </row>
    <row r="228" spans="1:7" x14ac:dyDescent="0.2">
      <c r="A228" s="11">
        <v>35390</v>
      </c>
      <c r="B228" s="10">
        <v>97.954800000000006</v>
      </c>
      <c r="E228" s="13">
        <f t="shared" si="9"/>
        <v>-5.2867555759961236E-4</v>
      </c>
      <c r="F228" s="9">
        <f t="shared" si="10"/>
        <v>3.9867587936619923E-2</v>
      </c>
      <c r="G228" s="9">
        <f t="shared" si="11"/>
        <v>6.0381134128765302E-3</v>
      </c>
    </row>
    <row r="229" spans="1:7" x14ac:dyDescent="0.2">
      <c r="A229" s="11">
        <v>35391</v>
      </c>
      <c r="B229" s="10">
        <v>98.735100000000003</v>
      </c>
      <c r="E229" s="13">
        <f t="shared" si="9"/>
        <v>7.9343585367882483E-3</v>
      </c>
      <c r="F229" s="9">
        <f t="shared" si="10"/>
        <v>4.5257548132344921E-2</v>
      </c>
      <c r="G229" s="9">
        <f t="shared" si="11"/>
        <v>6.1571835103115665E-3</v>
      </c>
    </row>
    <row r="230" spans="1:7" x14ac:dyDescent="0.2">
      <c r="A230" s="11">
        <v>35394</v>
      </c>
      <c r="B230" s="10">
        <v>98.555099999999996</v>
      </c>
      <c r="E230" s="13">
        <f t="shared" si="9"/>
        <v>-1.8247236805908407E-3</v>
      </c>
      <c r="F230" s="9">
        <f t="shared" si="10"/>
        <v>3.2378935788672888E-2</v>
      </c>
      <c r="G230" s="9">
        <f t="shared" si="11"/>
        <v>5.9073930683259833E-3</v>
      </c>
    </row>
    <row r="231" spans="1:7" x14ac:dyDescent="0.2">
      <c r="A231" s="11">
        <v>35395</v>
      </c>
      <c r="B231" s="10">
        <v>98.442400000000006</v>
      </c>
      <c r="E231" s="13">
        <f t="shared" si="9"/>
        <v>-1.1441770813843978E-3</v>
      </c>
      <c r="F231" s="9">
        <f t="shared" si="10"/>
        <v>3.6312866504979738E-2</v>
      </c>
      <c r="G231" s="9">
        <f t="shared" si="11"/>
        <v>5.8043331362990381E-3</v>
      </c>
    </row>
    <row r="232" spans="1:7" x14ac:dyDescent="0.2">
      <c r="A232" s="11">
        <v>35396</v>
      </c>
      <c r="B232" s="10">
        <v>97.547899999999998</v>
      </c>
      <c r="E232" s="13">
        <f t="shared" si="9"/>
        <v>-9.1280661432905693E-3</v>
      </c>
      <c r="F232" s="9">
        <f t="shared" si="10"/>
        <v>2.5665915854868122E-2</v>
      </c>
      <c r="G232" s="9">
        <f t="shared" si="11"/>
        <v>6.1152536631892858E-3</v>
      </c>
    </row>
    <row r="233" spans="1:7" x14ac:dyDescent="0.2">
      <c r="A233" s="11">
        <v>35397</v>
      </c>
      <c r="B233" s="10">
        <v>98.047300000000007</v>
      </c>
      <c r="E233" s="13">
        <f t="shared" si="9"/>
        <v>5.1064758767058564E-3</v>
      </c>
      <c r="F233" s="9">
        <f t="shared" si="10"/>
        <v>3.1762615328348773E-2</v>
      </c>
      <c r="G233" s="9">
        <f t="shared" si="11"/>
        <v>6.1531625458991143E-3</v>
      </c>
    </row>
    <row r="234" spans="1:7" x14ac:dyDescent="0.2">
      <c r="A234" s="11">
        <v>35398</v>
      </c>
      <c r="B234" s="10">
        <v>98.913499999999999</v>
      </c>
      <c r="E234" s="13">
        <f t="shared" si="9"/>
        <v>8.7957155375928825E-3</v>
      </c>
      <c r="F234" s="9">
        <f t="shared" si="10"/>
        <v>4.3784138413966132E-2</v>
      </c>
      <c r="G234" s="9">
        <f t="shared" si="11"/>
        <v>6.2557443422323706E-3</v>
      </c>
    </row>
    <row r="235" spans="1:7" x14ac:dyDescent="0.2">
      <c r="A235" s="11">
        <v>35401</v>
      </c>
      <c r="B235" s="10">
        <v>100.191</v>
      </c>
      <c r="E235" s="13">
        <f t="shared" si="9"/>
        <v>1.2832633427527456E-2</v>
      </c>
      <c r="F235" s="9">
        <f t="shared" si="10"/>
        <v>6.2677810599252828E-2</v>
      </c>
      <c r="G235" s="9">
        <f t="shared" si="11"/>
        <v>6.4207841690672538E-3</v>
      </c>
    </row>
    <row r="236" spans="1:7" x14ac:dyDescent="0.2">
      <c r="A236" s="11">
        <v>35402</v>
      </c>
      <c r="B236" s="10">
        <v>101.2744</v>
      </c>
      <c r="E236" s="13">
        <f t="shared" si="9"/>
        <v>1.0755300350716125E-2</v>
      </c>
      <c r="F236" s="9">
        <f t="shared" si="10"/>
        <v>8.5164281424099958E-2</v>
      </c>
      <c r="G236" s="9">
        <f t="shared" si="11"/>
        <v>6.0289811002543388E-3</v>
      </c>
    </row>
    <row r="237" spans="1:7" x14ac:dyDescent="0.2">
      <c r="A237" s="11">
        <v>35403</v>
      </c>
      <c r="B237" s="10">
        <v>100.3464</v>
      </c>
      <c r="E237" s="13">
        <f t="shared" si="9"/>
        <v>-9.2054644487267884E-3</v>
      </c>
      <c r="F237" s="9">
        <f t="shared" si="10"/>
        <v>6.7074294037439031E-2</v>
      </c>
      <c r="G237" s="9">
        <f t="shared" si="11"/>
        <v>6.3204099723520547E-3</v>
      </c>
    </row>
    <row r="238" spans="1:7" x14ac:dyDescent="0.2">
      <c r="A238" s="11">
        <v>35404</v>
      </c>
      <c r="B238" s="10">
        <v>101.2338</v>
      </c>
      <c r="E238" s="13">
        <f t="shared" si="9"/>
        <v>8.8044930259009498E-3</v>
      </c>
      <c r="F238" s="9">
        <f t="shared" si="10"/>
        <v>8.1541848284069685E-2</v>
      </c>
      <c r="G238" s="9">
        <f t="shared" si="11"/>
        <v>6.2388166820706737E-3</v>
      </c>
    </row>
    <row r="239" spans="1:7" x14ac:dyDescent="0.2">
      <c r="A239" s="11">
        <v>35405</v>
      </c>
      <c r="B239" s="10">
        <v>98.754499999999993</v>
      </c>
      <c r="E239" s="13">
        <f t="shared" si="9"/>
        <v>-2.4795720822062255E-2</v>
      </c>
      <c r="F239" s="9">
        <f t="shared" si="10"/>
        <v>5.0015821187023198E-2</v>
      </c>
      <c r="G239" s="9">
        <f t="shared" si="11"/>
        <v>8.0231517857791458E-3</v>
      </c>
    </row>
    <row r="240" spans="1:7" x14ac:dyDescent="0.2">
      <c r="A240" s="11">
        <v>35408</v>
      </c>
      <c r="B240" s="10">
        <v>100.36369999999999</v>
      </c>
      <c r="E240" s="13">
        <f t="shared" si="9"/>
        <v>1.6163615733219349E-2</v>
      </c>
      <c r="F240" s="9">
        <f t="shared" si="10"/>
        <v>7.617206310654738E-2</v>
      </c>
      <c r="G240" s="9">
        <f t="shared" si="11"/>
        <v>8.128396173644515E-3</v>
      </c>
    </row>
    <row r="241" spans="1:7" x14ac:dyDescent="0.2">
      <c r="A241" s="11">
        <v>35409</v>
      </c>
      <c r="B241" s="10">
        <v>101.19799999999999</v>
      </c>
      <c r="E241" s="13">
        <f t="shared" si="9"/>
        <v>8.2784057157877459E-3</v>
      </c>
      <c r="F241" s="9">
        <f t="shared" si="10"/>
        <v>8.4378430497915297E-2</v>
      </c>
      <c r="G241" s="9">
        <f t="shared" si="11"/>
        <v>8.1789748008626699E-3</v>
      </c>
    </row>
    <row r="242" spans="1:7" x14ac:dyDescent="0.2">
      <c r="A242" s="11">
        <v>35410</v>
      </c>
      <c r="B242" s="10">
        <v>99.077799999999996</v>
      </c>
      <c r="E242" s="13">
        <f t="shared" si="9"/>
        <v>-2.1173593716957827E-2</v>
      </c>
      <c r="F242" s="9">
        <f t="shared" si="10"/>
        <v>6.4339774532311628E-2</v>
      </c>
      <c r="G242" s="9">
        <f t="shared" si="11"/>
        <v>9.3022138470852771E-3</v>
      </c>
    </row>
    <row r="243" spans="1:7" x14ac:dyDescent="0.2">
      <c r="A243" s="11">
        <v>35411</v>
      </c>
      <c r="B243" s="10">
        <v>99.490200000000002</v>
      </c>
      <c r="E243" s="13">
        <f t="shared" si="9"/>
        <v>4.1537467562646471E-3</v>
      </c>
      <c r="F243" s="9">
        <f t="shared" si="10"/>
        <v>5.7286841474346192E-2</v>
      </c>
      <c r="G243" s="9">
        <f t="shared" si="11"/>
        <v>9.1497798558813903E-3</v>
      </c>
    </row>
    <row r="244" spans="1:7" x14ac:dyDescent="0.2">
      <c r="A244" s="11">
        <v>35412</v>
      </c>
      <c r="B244" s="10">
        <v>98.595399999999998</v>
      </c>
      <c r="E244" s="13">
        <f t="shared" si="9"/>
        <v>-9.0345394752527394E-3</v>
      </c>
      <c r="F244" s="9">
        <f t="shared" si="10"/>
        <v>4.8636619098429097E-2</v>
      </c>
      <c r="G244" s="9">
        <f t="shared" si="11"/>
        <v>9.3678546620853832E-3</v>
      </c>
    </row>
    <row r="245" spans="1:7" x14ac:dyDescent="0.2">
      <c r="A245" s="11">
        <v>35415</v>
      </c>
      <c r="B245" s="10">
        <v>99.274699999999996</v>
      </c>
      <c r="E245" s="13">
        <f t="shared" si="9"/>
        <v>6.8661477276284466E-3</v>
      </c>
      <c r="F245" s="9">
        <f t="shared" si="10"/>
        <v>4.8412999211692287E-2</v>
      </c>
      <c r="G245" s="9">
        <f t="shared" si="11"/>
        <v>9.3633311371025211E-3</v>
      </c>
    </row>
    <row r="246" spans="1:7" x14ac:dyDescent="0.2">
      <c r="A246" s="11">
        <v>35416</v>
      </c>
      <c r="B246" s="10">
        <v>97.715699999999998</v>
      </c>
      <c r="E246" s="13">
        <f t="shared" si="9"/>
        <v>-1.5828512957205131E-2</v>
      </c>
      <c r="F246" s="9">
        <f t="shared" si="10"/>
        <v>3.1913343516345914E-2</v>
      </c>
      <c r="G246" s="9">
        <f t="shared" si="11"/>
        <v>9.9114084966414363E-3</v>
      </c>
    </row>
    <row r="247" spans="1:7" x14ac:dyDescent="0.2">
      <c r="A247" s="11">
        <v>35417</v>
      </c>
      <c r="B247" s="10">
        <v>98.151300000000006</v>
      </c>
      <c r="E247" s="13">
        <f t="shared" si="9"/>
        <v>4.4479235211630505E-3</v>
      </c>
      <c r="F247" s="9">
        <f t="shared" si="10"/>
        <v>3.9295416940877577E-2</v>
      </c>
      <c r="G247" s="9">
        <f t="shared" si="11"/>
        <v>9.8988758557272405E-3</v>
      </c>
    </row>
    <row r="248" spans="1:7" x14ac:dyDescent="0.2">
      <c r="A248" s="11">
        <v>35418</v>
      </c>
      <c r="B248" s="10">
        <v>98.967200000000005</v>
      </c>
      <c r="E248" s="13">
        <f t="shared" si="9"/>
        <v>8.2783164390876976E-3</v>
      </c>
      <c r="F248" s="9">
        <f t="shared" si="10"/>
        <v>4.1796192177444715E-2</v>
      </c>
      <c r="G248" s="9">
        <f t="shared" si="11"/>
        <v>9.9495414948096821E-3</v>
      </c>
    </row>
    <row r="249" spans="1:7" x14ac:dyDescent="0.2">
      <c r="A249" s="11">
        <v>35419</v>
      </c>
      <c r="B249" s="10">
        <v>100.459</v>
      </c>
      <c r="E249" s="13">
        <f t="shared" si="9"/>
        <v>1.4961201954768223E-2</v>
      </c>
      <c r="F249" s="9">
        <f t="shared" si="10"/>
        <v>5.1982474832566544E-2</v>
      </c>
      <c r="G249" s="9">
        <f t="shared" si="11"/>
        <v>1.0246798060895937E-2</v>
      </c>
    </row>
    <row r="250" spans="1:7" x14ac:dyDescent="0.2">
      <c r="A250" s="11">
        <v>35422</v>
      </c>
      <c r="B250" s="10">
        <v>100.625</v>
      </c>
      <c r="E250" s="13">
        <f t="shared" si="9"/>
        <v>1.6510516770033169E-3</v>
      </c>
      <c r="F250" s="9">
        <f t="shared" si="10"/>
        <v>5.3447951359751528E-2</v>
      </c>
      <c r="G250" s="9">
        <f t="shared" si="11"/>
        <v>1.0242202819719017E-2</v>
      </c>
    </row>
    <row r="251" spans="1:7" x14ac:dyDescent="0.2">
      <c r="A251" s="11">
        <v>35426</v>
      </c>
      <c r="B251" s="10">
        <v>102.5874</v>
      </c>
      <c r="E251" s="13">
        <f t="shared" si="9"/>
        <v>1.9314382438998585E-2</v>
      </c>
      <c r="F251" s="9">
        <f t="shared" si="10"/>
        <v>7.3766108263499067E-2</v>
      </c>
      <c r="G251" s="9">
        <f t="shared" si="11"/>
        <v>1.0724112411083685E-2</v>
      </c>
    </row>
    <row r="252" spans="1:7" x14ac:dyDescent="0.2">
      <c r="A252" s="11">
        <v>35429</v>
      </c>
      <c r="B252" s="10">
        <v>103.3193</v>
      </c>
      <c r="E252" s="13">
        <f t="shared" si="9"/>
        <v>7.1090749592119902E-3</v>
      </c>
      <c r="F252" s="9">
        <f t="shared" si="10"/>
        <v>7.7410816241640271E-2</v>
      </c>
      <c r="G252" s="9">
        <f t="shared" si="11"/>
        <v>1.0756595470338071E-2</v>
      </c>
    </row>
    <row r="253" spans="1:7" x14ac:dyDescent="0.2">
      <c r="A253" s="11">
        <v>35432</v>
      </c>
      <c r="B253" s="10">
        <v>103.1664</v>
      </c>
      <c r="E253" s="13">
        <f t="shared" si="9"/>
        <v>-1.4809744979542791E-3</v>
      </c>
      <c r="F253" s="9">
        <f t="shared" si="10"/>
        <v>6.340597722602806E-2</v>
      </c>
      <c r="G253" s="9">
        <f t="shared" si="11"/>
        <v>1.0611772122436497E-2</v>
      </c>
    </row>
    <row r="254" spans="1:7" x14ac:dyDescent="0.2">
      <c r="A254" s="11">
        <v>35433</v>
      </c>
      <c r="B254" s="10">
        <v>105.3665</v>
      </c>
      <c r="E254" s="13">
        <f t="shared" si="9"/>
        <v>2.1101530135309E-2</v>
      </c>
      <c r="F254" s="9">
        <f t="shared" si="10"/>
        <v>8.2631713623196879E-2</v>
      </c>
      <c r="G254" s="9">
        <f t="shared" si="11"/>
        <v>1.1177162875220482E-2</v>
      </c>
    </row>
    <row r="255" spans="1:7" x14ac:dyDescent="0.2">
      <c r="A255" s="11">
        <v>35436</v>
      </c>
      <c r="B255" s="10">
        <v>107.1632</v>
      </c>
      <c r="E255" s="13">
        <f t="shared" si="9"/>
        <v>1.6908157345022271E-2</v>
      </c>
      <c r="F255" s="9">
        <f t="shared" si="10"/>
        <v>9.2363326379517816E-2</v>
      </c>
      <c r="G255" s="9">
        <f t="shared" si="11"/>
        <v>1.1454366862089041E-2</v>
      </c>
    </row>
    <row r="256" spans="1:7" x14ac:dyDescent="0.2">
      <c r="A256" s="11">
        <v>35437</v>
      </c>
      <c r="B256" s="10">
        <v>107.1896</v>
      </c>
      <c r="E256" s="13">
        <f t="shared" si="9"/>
        <v>2.4632288576106914E-4</v>
      </c>
      <c r="F256" s="9">
        <f t="shared" si="10"/>
        <v>8.9564405663431962E-2</v>
      </c>
      <c r="G256" s="9">
        <f t="shared" si="11"/>
        <v>1.1467370475982784E-2</v>
      </c>
    </row>
    <row r="257" spans="1:7" x14ac:dyDescent="0.2">
      <c r="A257" s="11">
        <v>35438</v>
      </c>
      <c r="B257" s="10">
        <v>108.62990000000001</v>
      </c>
      <c r="E257" s="13">
        <f t="shared" si="9"/>
        <v>1.3347462884143825E-2</v>
      </c>
      <c r="F257" s="9">
        <f t="shared" si="10"/>
        <v>0.10344054410517538</v>
      </c>
      <c r="G257" s="9">
        <f t="shared" si="11"/>
        <v>1.1599786332953242E-2</v>
      </c>
    </row>
    <row r="258" spans="1:7" x14ac:dyDescent="0.2">
      <c r="A258" s="11">
        <v>35439</v>
      </c>
      <c r="B258" s="10">
        <v>108.6412</v>
      </c>
      <c r="E258" s="13">
        <f t="shared" si="9"/>
        <v>1.0401751553866215E-4</v>
      </c>
      <c r="F258" s="9">
        <f t="shared" si="10"/>
        <v>9.5610203083925871E-2</v>
      </c>
      <c r="G258" s="9">
        <f t="shared" si="11"/>
        <v>1.1585619195283043E-2</v>
      </c>
    </row>
    <row r="259" spans="1:7" x14ac:dyDescent="0.2">
      <c r="A259" s="11">
        <v>35440</v>
      </c>
      <c r="B259" s="10">
        <v>107.69289999999999</v>
      </c>
      <c r="E259" s="13">
        <f t="shared" si="9"/>
        <v>-8.7670512780704552E-3</v>
      </c>
      <c r="F259" s="9">
        <f t="shared" si="10"/>
        <v>8.8667875486446265E-2</v>
      </c>
      <c r="G259" s="9">
        <f t="shared" si="11"/>
        <v>1.1765552067248192E-2</v>
      </c>
    </row>
    <row r="260" spans="1:7" x14ac:dyDescent="0.2">
      <c r="A260" s="11">
        <v>35443</v>
      </c>
      <c r="B260" s="10">
        <v>108.907</v>
      </c>
      <c r="E260" s="13">
        <f t="shared" ref="E260:E323" si="12">LN(B260/B259)</f>
        <v>1.1210648901598461E-2</v>
      </c>
      <c r="F260" s="9">
        <f t="shared" si="10"/>
        <v>0.10102270146942915</v>
      </c>
      <c r="G260" s="9">
        <f t="shared" si="11"/>
        <v>1.1831474294588333E-2</v>
      </c>
    </row>
    <row r="261" spans="1:7" x14ac:dyDescent="0.2">
      <c r="A261" s="11">
        <v>35444</v>
      </c>
      <c r="B261" s="10">
        <v>108.9768</v>
      </c>
      <c r="E261" s="13">
        <f t="shared" si="12"/>
        <v>6.407085096530984E-4</v>
      </c>
      <c r="F261" s="9">
        <f t="shared" si="10"/>
        <v>0.11079147612237292</v>
      </c>
      <c r="G261" s="9">
        <f t="shared" si="11"/>
        <v>1.1596311530638146E-2</v>
      </c>
    </row>
    <row r="262" spans="1:7" x14ac:dyDescent="0.2">
      <c r="A262" s="11">
        <v>35445</v>
      </c>
      <c r="B262" s="10">
        <v>108.7166</v>
      </c>
      <c r="E262" s="13">
        <f t="shared" si="12"/>
        <v>-2.3905191789109913E-3</v>
      </c>
      <c r="F262" s="9">
        <f t="shared" si="10"/>
        <v>0.10329448106675594</v>
      </c>
      <c r="G262" s="9">
        <f t="shared" si="11"/>
        <v>1.1650057804688394E-2</v>
      </c>
    </row>
    <row r="263" spans="1:7" x14ac:dyDescent="0.2">
      <c r="A263" s="11">
        <v>35446</v>
      </c>
      <c r="B263" s="10">
        <v>109.6046</v>
      </c>
      <c r="E263" s="13">
        <f t="shared" si="12"/>
        <v>8.1348480770566667E-3</v>
      </c>
      <c r="F263" s="9">
        <f t="shared" si="10"/>
        <v>0.10263361360621978</v>
      </c>
      <c r="G263" s="9">
        <f t="shared" si="11"/>
        <v>1.1640096422798037E-2</v>
      </c>
    </row>
    <row r="264" spans="1:7" x14ac:dyDescent="0.2">
      <c r="A264" s="11">
        <v>35447</v>
      </c>
      <c r="B264" s="10">
        <v>109.5838</v>
      </c>
      <c r="E264" s="13">
        <f t="shared" si="12"/>
        <v>-1.8979106615537225E-4</v>
      </c>
      <c r="F264" s="9">
        <f t="shared" si="10"/>
        <v>8.9611189112537071E-2</v>
      </c>
      <c r="G264" s="9">
        <f t="shared" si="11"/>
        <v>1.1519329333213051E-2</v>
      </c>
    </row>
    <row r="265" spans="1:7" x14ac:dyDescent="0.2">
      <c r="A265" s="11">
        <v>35450</v>
      </c>
      <c r="B265" s="10">
        <v>111.4483</v>
      </c>
      <c r="E265" s="13">
        <f t="shared" si="12"/>
        <v>1.6871252868717025E-2</v>
      </c>
      <c r="F265" s="9">
        <f t="shared" si="10"/>
        <v>9.5727141630537901E-2</v>
      </c>
      <c r="G265" s="9">
        <f t="shared" si="11"/>
        <v>1.171893207037693E-2</v>
      </c>
    </row>
    <row r="266" spans="1:7" x14ac:dyDescent="0.2">
      <c r="A266" s="11">
        <v>35451</v>
      </c>
      <c r="B266" s="10">
        <v>110.5321</v>
      </c>
      <c r="E266" s="13">
        <f t="shared" si="12"/>
        <v>-8.2548297295808905E-3</v>
      </c>
      <c r="F266" s="9">
        <f t="shared" si="10"/>
        <v>9.6677776349683997E-2</v>
      </c>
      <c r="G266" s="9">
        <f t="shared" si="11"/>
        <v>1.1683976872566674E-2</v>
      </c>
    </row>
    <row r="267" spans="1:7" x14ac:dyDescent="0.2">
      <c r="A267" s="11">
        <v>35452</v>
      </c>
      <c r="B267" s="10">
        <v>111.1052</v>
      </c>
      <c r="E267" s="13">
        <f t="shared" si="12"/>
        <v>5.1715237216813075E-3</v>
      </c>
      <c r="F267" s="9">
        <f t="shared" si="10"/>
        <v>9.3044807045464389E-2</v>
      </c>
      <c r="G267" s="9">
        <f t="shared" si="11"/>
        <v>1.1642627733548428E-2</v>
      </c>
    </row>
    <row r="268" spans="1:7" x14ac:dyDescent="0.2">
      <c r="A268" s="11">
        <v>35453</v>
      </c>
      <c r="B268" s="10">
        <v>112.2251</v>
      </c>
      <c r="E268" s="13">
        <f t="shared" si="12"/>
        <v>1.0029175503904105E-2</v>
      </c>
      <c r="F268" s="9">
        <f t="shared" si="10"/>
        <v>0.12786970337143083</v>
      </c>
      <c r="G268" s="9">
        <f t="shared" si="11"/>
        <v>1.0378362413998796E-2</v>
      </c>
    </row>
    <row r="269" spans="1:7" x14ac:dyDescent="0.2">
      <c r="A269" s="11">
        <v>35454</v>
      </c>
      <c r="B269" s="10">
        <v>111.4691</v>
      </c>
      <c r="E269" s="13">
        <f t="shared" si="12"/>
        <v>-6.7592532869481681E-3</v>
      </c>
      <c r="F269" s="9">
        <f t="shared" si="10"/>
        <v>0.10494683435126342</v>
      </c>
      <c r="G269" s="9">
        <f t="shared" si="11"/>
        <v>1.0323940260092618E-2</v>
      </c>
    </row>
    <row r="270" spans="1:7" x14ac:dyDescent="0.2">
      <c r="A270" s="11">
        <v>35457</v>
      </c>
      <c r="B270" s="10">
        <v>110.9016</v>
      </c>
      <c r="E270" s="13">
        <f t="shared" si="12"/>
        <v>-5.1041007833731921E-3</v>
      </c>
      <c r="F270" s="9">
        <f t="shared" si="10"/>
        <v>9.1564327852102584E-2</v>
      </c>
      <c r="G270" s="9">
        <f t="shared" si="11"/>
        <v>1.0406982207345837E-2</v>
      </c>
    </row>
    <row r="271" spans="1:7" x14ac:dyDescent="0.2">
      <c r="A271" s="11">
        <v>35458</v>
      </c>
      <c r="B271" s="10">
        <v>111.3446</v>
      </c>
      <c r="E271" s="13">
        <f t="shared" si="12"/>
        <v>3.9865751289187568E-3</v>
      </c>
      <c r="F271" s="9">
        <f t="shared" si="10"/>
        <v>0.11672449669797909</v>
      </c>
      <c r="G271" s="9">
        <f t="shared" si="11"/>
        <v>9.2955630525989996E-3</v>
      </c>
    </row>
    <row r="272" spans="1:7" x14ac:dyDescent="0.2">
      <c r="A272" s="11">
        <v>35459</v>
      </c>
      <c r="B272" s="10">
        <v>110.8526</v>
      </c>
      <c r="E272" s="13">
        <f t="shared" si="12"/>
        <v>-4.4285058864646683E-3</v>
      </c>
      <c r="F272" s="9">
        <f t="shared" si="10"/>
        <v>0.10814224405524975</v>
      </c>
      <c r="G272" s="9">
        <f t="shared" si="11"/>
        <v>9.4270030980479168E-3</v>
      </c>
    </row>
    <row r="273" spans="1:7" x14ac:dyDescent="0.2">
      <c r="A273" s="11">
        <v>35460</v>
      </c>
      <c r="B273" s="10">
        <v>111.2353</v>
      </c>
      <c r="E273" s="13">
        <f t="shared" si="12"/>
        <v>3.4463865775285372E-3</v>
      </c>
      <c r="F273" s="9">
        <f t="shared" si="10"/>
        <v>0.12062317010803131</v>
      </c>
      <c r="G273" s="9">
        <f t="shared" si="11"/>
        <v>9.1028139420109584E-3</v>
      </c>
    </row>
    <row r="274" spans="1:7" x14ac:dyDescent="0.2">
      <c r="A274" s="11">
        <v>35461</v>
      </c>
      <c r="B274" s="10">
        <v>112.05540000000001</v>
      </c>
      <c r="E274" s="13">
        <f t="shared" si="12"/>
        <v>7.3456143724732244E-3</v>
      </c>
      <c r="F274" s="9">
        <f t="shared" si="10"/>
        <v>0.12110263675287611</v>
      </c>
      <c r="G274" s="9">
        <f t="shared" si="11"/>
        <v>9.1083394662207304E-3</v>
      </c>
    </row>
    <row r="275" spans="1:7" x14ac:dyDescent="0.2">
      <c r="A275" s="11">
        <v>35464</v>
      </c>
      <c r="B275" s="10">
        <v>112.99420000000001</v>
      </c>
      <c r="E275" s="13">
        <f t="shared" si="12"/>
        <v>8.3430981046284606E-3</v>
      </c>
      <c r="F275" s="9">
        <f t="shared" si="10"/>
        <v>0.14527424781470966</v>
      </c>
      <c r="G275" s="9">
        <f t="shared" si="11"/>
        <v>8.2807242812214677E-3</v>
      </c>
    </row>
    <row r="276" spans="1:7" x14ac:dyDescent="0.2">
      <c r="A276" s="11">
        <v>35465</v>
      </c>
      <c r="B276" s="10">
        <v>112.9301</v>
      </c>
      <c r="E276" s="13">
        <f t="shared" si="12"/>
        <v>-5.6744672193302615E-4</v>
      </c>
      <c r="F276" s="9">
        <f t="shared" si="10"/>
        <v>0.14025887757161346</v>
      </c>
      <c r="G276" s="9">
        <f t="shared" si="11"/>
        <v>8.3449946625244603E-3</v>
      </c>
    </row>
    <row r="277" spans="1:7" x14ac:dyDescent="0.2">
      <c r="A277" s="11">
        <v>35466</v>
      </c>
      <c r="B277" s="10">
        <v>112.3683</v>
      </c>
      <c r="E277" s="13">
        <f t="shared" si="12"/>
        <v>-4.9871740271496667E-3</v>
      </c>
      <c r="F277" s="9">
        <f t="shared" si="10"/>
        <v>0.12699338710537611</v>
      </c>
      <c r="G277" s="9">
        <f t="shared" si="11"/>
        <v>8.511506873980515E-3</v>
      </c>
    </row>
    <row r="278" spans="1:7" x14ac:dyDescent="0.2">
      <c r="A278" s="11">
        <v>35467</v>
      </c>
      <c r="B278" s="10">
        <v>112.7152</v>
      </c>
      <c r="E278" s="13">
        <f t="shared" si="12"/>
        <v>3.0824140789176184E-3</v>
      </c>
      <c r="F278" s="9">
        <f t="shared" si="10"/>
        <v>0.11511459922952531</v>
      </c>
      <c r="G278" s="9">
        <f t="shared" si="11"/>
        <v>8.2663590220276775E-3</v>
      </c>
    </row>
    <row r="279" spans="1:7" x14ac:dyDescent="0.2">
      <c r="A279" s="11">
        <v>35468</v>
      </c>
      <c r="B279" s="10">
        <v>113.3373</v>
      </c>
      <c r="E279" s="13">
        <f t="shared" si="12"/>
        <v>5.5040450383622031E-3</v>
      </c>
      <c r="F279" s="9">
        <f t="shared" si="10"/>
        <v>0.11896759259088426</v>
      </c>
      <c r="G279" s="9">
        <f t="shared" si="11"/>
        <v>8.2587254959448752E-3</v>
      </c>
    </row>
    <row r="280" spans="1:7" x14ac:dyDescent="0.2">
      <c r="A280" s="11">
        <v>35471</v>
      </c>
      <c r="B280" s="10">
        <v>112.90560000000001</v>
      </c>
      <c r="E280" s="13">
        <f t="shared" si="12"/>
        <v>-3.8162569869215502E-3</v>
      </c>
      <c r="F280" s="9">
        <f t="shared" si="10"/>
        <v>9.5836953164963934E-2</v>
      </c>
      <c r="G280" s="9">
        <f t="shared" si="11"/>
        <v>7.8436317171778312E-3</v>
      </c>
    </row>
    <row r="281" spans="1:7" x14ac:dyDescent="0.2">
      <c r="A281" s="11">
        <v>35472</v>
      </c>
      <c r="B281" s="10">
        <v>111.9875</v>
      </c>
      <c r="E281" s="13">
        <f t="shared" si="12"/>
        <v>-8.1648134189933799E-3</v>
      </c>
      <c r="F281" s="9">
        <f t="shared" si="10"/>
        <v>8.056306478675862E-2</v>
      </c>
      <c r="G281" s="9">
        <f t="shared" si="11"/>
        <v>8.0880517154766265E-3</v>
      </c>
    </row>
    <row r="282" spans="1:7" x14ac:dyDescent="0.2">
      <c r="A282" s="11">
        <v>35473</v>
      </c>
      <c r="B282" s="10">
        <v>112.866</v>
      </c>
      <c r="E282" s="13">
        <f t="shared" si="12"/>
        <v>7.8140164152418652E-3</v>
      </c>
      <c r="F282" s="9">
        <f t="shared" si="10"/>
        <v>8.9858055699954559E-2</v>
      </c>
      <c r="G282" s="9">
        <f t="shared" si="11"/>
        <v>8.09741353882437E-3</v>
      </c>
    </row>
    <row r="283" spans="1:7" x14ac:dyDescent="0.2">
      <c r="A283" s="11">
        <v>35474</v>
      </c>
      <c r="B283" s="10">
        <v>114.4478</v>
      </c>
      <c r="E283" s="13">
        <f t="shared" si="12"/>
        <v>1.3917549507038794E-2</v>
      </c>
      <c r="F283" s="9">
        <f t="shared" si="10"/>
        <v>8.2674075071684505E-2</v>
      </c>
      <c r="G283" s="9">
        <f t="shared" si="11"/>
        <v>7.6229700737430227E-3</v>
      </c>
    </row>
    <row r="284" spans="1:7" x14ac:dyDescent="0.2">
      <c r="A284" s="11">
        <v>35475</v>
      </c>
      <c r="B284" s="10">
        <v>115.6996</v>
      </c>
      <c r="E284" s="13">
        <f t="shared" si="12"/>
        <v>1.0878353130737014E-2</v>
      </c>
      <c r="F284" s="9">
        <f t="shared" si="10"/>
        <v>7.6644270857399235E-2</v>
      </c>
      <c r="G284" s="9">
        <f t="shared" si="11"/>
        <v>7.3012958042297108E-3</v>
      </c>
    </row>
    <row r="285" spans="1:7" x14ac:dyDescent="0.2">
      <c r="A285" s="11">
        <v>35478</v>
      </c>
      <c r="B285" s="10">
        <v>116.514</v>
      </c>
      <c r="E285" s="13">
        <f t="shared" si="12"/>
        <v>7.0142604828233677E-3</v>
      </c>
      <c r="F285" s="9">
        <f t="shared" si="10"/>
        <v>8.3412208454461581E-2</v>
      </c>
      <c r="G285" s="9">
        <f t="shared" si="11"/>
        <v>7.3300638776123686E-3</v>
      </c>
    </row>
    <row r="286" spans="1:7" x14ac:dyDescent="0.2">
      <c r="A286" s="11">
        <v>35479</v>
      </c>
      <c r="B286" s="10">
        <v>118.52930000000001</v>
      </c>
      <c r="E286" s="13">
        <f t="shared" si="12"/>
        <v>1.7148749936545249E-2</v>
      </c>
      <c r="F286" s="9">
        <f t="shared" si="10"/>
        <v>8.721349550686304E-2</v>
      </c>
      <c r="G286" s="9">
        <f t="shared" si="11"/>
        <v>7.5545512680291436E-3</v>
      </c>
    </row>
    <row r="287" spans="1:7" x14ac:dyDescent="0.2">
      <c r="A287" s="11">
        <v>35480</v>
      </c>
      <c r="B287" s="10">
        <v>120.46169999999999</v>
      </c>
      <c r="E287" s="13">
        <f t="shared" si="12"/>
        <v>1.6171672688397941E-2</v>
      </c>
      <c r="F287" s="9">
        <f t="shared" si="10"/>
        <v>0.10328115067972241</v>
      </c>
      <c r="G287" s="9">
        <f t="shared" si="11"/>
        <v>7.9146386244499049E-3</v>
      </c>
    </row>
    <row r="288" spans="1:7" x14ac:dyDescent="0.2">
      <c r="A288" s="11">
        <v>35481</v>
      </c>
      <c r="B288" s="10">
        <v>120.7426</v>
      </c>
      <c r="E288" s="13">
        <f t="shared" si="12"/>
        <v>2.3291469263894376E-3</v>
      </c>
      <c r="F288" s="9">
        <f t="shared" ref="F288:F351" si="13">LN(B288/B259)</f>
        <v>0.11437734888418224</v>
      </c>
      <c r="G288" s="9">
        <f t="shared" si="11"/>
        <v>7.5575027338517951E-3</v>
      </c>
    </row>
    <row r="289" spans="1:7" x14ac:dyDescent="0.2">
      <c r="A289" s="11">
        <v>35482</v>
      </c>
      <c r="B289" s="10">
        <v>119.75660000000001</v>
      </c>
      <c r="E289" s="13">
        <f t="shared" si="12"/>
        <v>-8.1996574160648622E-3</v>
      </c>
      <c r="F289" s="9">
        <f t="shared" si="13"/>
        <v>9.4967042566519014E-2</v>
      </c>
      <c r="G289" s="9">
        <f t="shared" ref="G289:G352" si="14">STDEV(E261:E289)</f>
        <v>7.7480828113288764E-3</v>
      </c>
    </row>
    <row r="290" spans="1:7" x14ac:dyDescent="0.2">
      <c r="A290" s="11">
        <v>35485</v>
      </c>
      <c r="B290" s="10">
        <v>116.2105</v>
      </c>
      <c r="E290" s="13">
        <f t="shared" si="12"/>
        <v>-3.0058147813561208E-2</v>
      </c>
      <c r="F290" s="9">
        <f t="shared" si="13"/>
        <v>6.426818624330452E-2</v>
      </c>
      <c r="G290" s="9">
        <f t="shared" si="14"/>
        <v>9.9149296042111978E-3</v>
      </c>
    </row>
    <row r="291" spans="1:7" x14ac:dyDescent="0.2">
      <c r="A291" s="11">
        <v>35486</v>
      </c>
      <c r="B291" s="10">
        <v>116.497</v>
      </c>
      <c r="E291" s="13">
        <f t="shared" si="12"/>
        <v>2.462319819984946E-3</v>
      </c>
      <c r="F291" s="9">
        <f t="shared" si="13"/>
        <v>6.9121025242200401E-2</v>
      </c>
      <c r="G291" s="9">
        <f t="shared" si="14"/>
        <v>9.8752764816257381E-3</v>
      </c>
    </row>
    <row r="292" spans="1:7" x14ac:dyDescent="0.2">
      <c r="A292" s="11">
        <v>35487</v>
      </c>
      <c r="B292" s="10">
        <v>115.1472</v>
      </c>
      <c r="E292" s="13">
        <f t="shared" si="12"/>
        <v>-1.1654211739599038E-2</v>
      </c>
      <c r="F292" s="9">
        <f t="shared" si="13"/>
        <v>4.9331965425544827E-2</v>
      </c>
      <c r="G292" s="9">
        <f t="shared" si="14"/>
        <v>1.0143726789288529E-2</v>
      </c>
    </row>
    <row r="293" spans="1:7" x14ac:dyDescent="0.2">
      <c r="A293" s="11">
        <v>35488</v>
      </c>
      <c r="B293" s="10">
        <v>114.5307</v>
      </c>
      <c r="E293" s="13">
        <f t="shared" si="12"/>
        <v>-5.368400534945892E-3</v>
      </c>
      <c r="F293" s="9">
        <f t="shared" si="13"/>
        <v>4.4153355956754271E-2</v>
      </c>
      <c r="G293" s="9">
        <f t="shared" si="14"/>
        <v>1.0223472716171706E-2</v>
      </c>
    </row>
    <row r="294" spans="1:7" x14ac:dyDescent="0.2">
      <c r="A294" s="11">
        <v>35489</v>
      </c>
      <c r="B294" s="10">
        <v>113.50320000000001</v>
      </c>
      <c r="E294" s="13">
        <f t="shared" si="12"/>
        <v>-9.0118789700665038E-3</v>
      </c>
      <c r="F294" s="9">
        <f t="shared" si="13"/>
        <v>1.8270224117970954E-2</v>
      </c>
      <c r="G294" s="9">
        <f t="shared" si="14"/>
        <v>9.9621287116271797E-3</v>
      </c>
    </row>
    <row r="295" spans="1:7" x14ac:dyDescent="0.2">
      <c r="A295" s="11">
        <v>35492</v>
      </c>
      <c r="B295" s="10">
        <v>112.9358</v>
      </c>
      <c r="E295" s="13">
        <f t="shared" si="12"/>
        <v>-5.0115146907877221E-3</v>
      </c>
      <c r="F295" s="9">
        <f t="shared" si="13"/>
        <v>2.1513539156764096E-2</v>
      </c>
      <c r="G295" s="9">
        <f t="shared" si="14"/>
        <v>9.8766607071995634E-3</v>
      </c>
    </row>
    <row r="296" spans="1:7" x14ac:dyDescent="0.2">
      <c r="A296" s="11">
        <v>35493</v>
      </c>
      <c r="B296" s="10">
        <v>114.9134</v>
      </c>
      <c r="E296" s="13">
        <f t="shared" si="12"/>
        <v>1.7359285539494652E-2</v>
      </c>
      <c r="F296" s="9">
        <f t="shared" si="13"/>
        <v>3.3701300974577304E-2</v>
      </c>
      <c r="G296" s="9">
        <f t="shared" si="14"/>
        <v>1.0321183269124351E-2</v>
      </c>
    </row>
    <row r="297" spans="1:7" x14ac:dyDescent="0.2">
      <c r="A297" s="11">
        <v>35494</v>
      </c>
      <c r="B297" s="10">
        <v>115.2565</v>
      </c>
      <c r="E297" s="13">
        <f t="shared" si="12"/>
        <v>2.9812782133829879E-3</v>
      </c>
      <c r="F297" s="9">
        <f t="shared" si="13"/>
        <v>2.6653403684056057E-2</v>
      </c>
      <c r="G297" s="9">
        <f t="shared" si="14"/>
        <v>1.0187041476558552E-2</v>
      </c>
    </row>
    <row r="298" spans="1:7" x14ac:dyDescent="0.2">
      <c r="A298" s="11">
        <v>35495</v>
      </c>
      <c r="B298" s="10">
        <v>117.33410000000001</v>
      </c>
      <c r="E298" s="13">
        <f t="shared" si="12"/>
        <v>1.7865341580841684E-2</v>
      </c>
      <c r="F298" s="9">
        <f t="shared" si="13"/>
        <v>5.1277998551846005E-2</v>
      </c>
      <c r="G298" s="9">
        <f t="shared" si="14"/>
        <v>1.0544179669231419E-2</v>
      </c>
    </row>
    <row r="299" spans="1:7" x14ac:dyDescent="0.2">
      <c r="A299" s="11">
        <v>35496</v>
      </c>
      <c r="B299" s="10">
        <v>117.67529999999999</v>
      </c>
      <c r="E299" s="13">
        <f t="shared" si="12"/>
        <v>2.9037156789255584E-3</v>
      </c>
      <c r="F299" s="9">
        <f t="shared" si="13"/>
        <v>5.9285815014144809E-2</v>
      </c>
      <c r="G299" s="9">
        <f t="shared" si="14"/>
        <v>1.0462316484266182E-2</v>
      </c>
    </row>
    <row r="300" spans="1:7" x14ac:dyDescent="0.2">
      <c r="A300" s="11">
        <v>35499</v>
      </c>
      <c r="B300" s="10">
        <v>118.29179999999999</v>
      </c>
      <c r="E300" s="13">
        <f t="shared" si="12"/>
        <v>5.2253166033650773E-3</v>
      </c>
      <c r="F300" s="9">
        <f t="shared" si="13"/>
        <v>6.0524556488591126E-2</v>
      </c>
      <c r="G300" s="9">
        <f t="shared" si="14"/>
        <v>1.0473052631216074E-2</v>
      </c>
    </row>
    <row r="301" spans="1:7" x14ac:dyDescent="0.2">
      <c r="A301" s="11">
        <v>35500</v>
      </c>
      <c r="B301" s="10">
        <v>118.91200000000001</v>
      </c>
      <c r="E301" s="13">
        <f t="shared" si="12"/>
        <v>5.2292704694785631E-3</v>
      </c>
      <c r="F301" s="9">
        <f t="shared" si="13"/>
        <v>7.0182332844534456E-2</v>
      </c>
      <c r="G301" s="9">
        <f t="shared" si="14"/>
        <v>1.0411840772516156E-2</v>
      </c>
    </row>
    <row r="302" spans="1:7" x14ac:dyDescent="0.2">
      <c r="A302" s="11">
        <v>35501</v>
      </c>
      <c r="B302" s="10">
        <v>118.14660000000001</v>
      </c>
      <c r="E302" s="13">
        <f t="shared" si="12"/>
        <v>-6.4574975108842893E-3</v>
      </c>
      <c r="F302" s="9">
        <f t="shared" si="13"/>
        <v>6.0278448756121573E-2</v>
      </c>
      <c r="G302" s="9">
        <f t="shared" si="14"/>
        <v>1.0538629231273052E-2</v>
      </c>
    </row>
    <row r="303" spans="1:7" x14ac:dyDescent="0.2">
      <c r="A303" s="11">
        <v>35502</v>
      </c>
      <c r="B303" s="10">
        <v>117.9392</v>
      </c>
      <c r="E303" s="13">
        <f t="shared" si="12"/>
        <v>-1.7569888011376802E-3</v>
      </c>
      <c r="F303" s="9">
        <f t="shared" si="13"/>
        <v>5.1175845582510676E-2</v>
      </c>
      <c r="G303" s="9">
        <f t="shared" si="14"/>
        <v>1.0511674331056117E-2</v>
      </c>
    </row>
    <row r="304" spans="1:7" x14ac:dyDescent="0.2">
      <c r="A304" s="11">
        <v>35503</v>
      </c>
      <c r="B304" s="10">
        <v>118.48779999999999</v>
      </c>
      <c r="E304" s="13">
        <f t="shared" si="12"/>
        <v>4.6407642493069444E-3</v>
      </c>
      <c r="F304" s="9">
        <f t="shared" si="13"/>
        <v>4.7473511727189235E-2</v>
      </c>
      <c r="G304" s="9">
        <f t="shared" si="14"/>
        <v>1.0451233635330757E-2</v>
      </c>
    </row>
    <row r="305" spans="1:7" x14ac:dyDescent="0.2">
      <c r="A305" s="11">
        <v>35506</v>
      </c>
      <c r="B305" s="10">
        <v>117.6772</v>
      </c>
      <c r="E305" s="13">
        <f t="shared" si="12"/>
        <v>-6.8647190163529737E-3</v>
      </c>
      <c r="F305" s="9">
        <f t="shared" si="13"/>
        <v>4.1176239432769129E-2</v>
      </c>
      <c r="G305" s="9">
        <f t="shared" si="14"/>
        <v>1.0563488995669924E-2</v>
      </c>
    </row>
    <row r="306" spans="1:7" x14ac:dyDescent="0.2">
      <c r="A306" s="11">
        <v>35507</v>
      </c>
      <c r="B306" s="10">
        <v>116.497</v>
      </c>
      <c r="E306" s="13">
        <f t="shared" si="12"/>
        <v>-1.0079761071021404E-2</v>
      </c>
      <c r="F306" s="9">
        <f t="shared" si="13"/>
        <v>3.6083652388897422E-2</v>
      </c>
      <c r="G306" s="9">
        <f t="shared" si="14"/>
        <v>1.0715045175412352E-2</v>
      </c>
    </row>
    <row r="307" spans="1:7" x14ac:dyDescent="0.2">
      <c r="A307" s="11">
        <v>35508</v>
      </c>
      <c r="B307" s="10">
        <v>115.0284</v>
      </c>
      <c r="E307" s="13">
        <f t="shared" si="12"/>
        <v>-1.2686467204982425E-2</v>
      </c>
      <c r="F307" s="9">
        <f t="shared" si="13"/>
        <v>2.031477110499751E-2</v>
      </c>
      <c r="G307" s="9">
        <f t="shared" si="14"/>
        <v>1.1014363153227593E-2</v>
      </c>
    </row>
    <row r="308" spans="1:7" x14ac:dyDescent="0.2">
      <c r="A308" s="11">
        <v>35509</v>
      </c>
      <c r="B308" s="10">
        <v>112.1591</v>
      </c>
      <c r="E308" s="13">
        <f t="shared" si="12"/>
        <v>-2.5260655393231399E-2</v>
      </c>
      <c r="F308" s="9">
        <f t="shared" si="13"/>
        <v>-1.0449929326596122E-2</v>
      </c>
      <c r="G308" s="9">
        <f t="shared" si="14"/>
        <v>1.1974861783365818E-2</v>
      </c>
    </row>
    <row r="309" spans="1:7" x14ac:dyDescent="0.2">
      <c r="A309" s="11">
        <v>35510</v>
      </c>
      <c r="B309" s="10">
        <v>113.2657</v>
      </c>
      <c r="E309" s="13">
        <f t="shared" si="12"/>
        <v>9.8179870982691049E-3</v>
      </c>
      <c r="F309" s="9">
        <f t="shared" si="13"/>
        <v>3.1843147585945502E-3</v>
      </c>
      <c r="G309" s="9">
        <f t="shared" si="14"/>
        <v>1.2101313045470066E-2</v>
      </c>
    </row>
    <row r="310" spans="1:7" x14ac:dyDescent="0.2">
      <c r="A310" s="11">
        <v>35513</v>
      </c>
      <c r="B310" s="10">
        <v>113.1884</v>
      </c>
      <c r="E310" s="13">
        <f t="shared" si="12"/>
        <v>-6.8269908120289179E-4</v>
      </c>
      <c r="F310" s="9">
        <f t="shared" si="13"/>
        <v>1.0666429096384916E-2</v>
      </c>
      <c r="G310" s="9">
        <f t="shared" si="14"/>
        <v>1.199791368951557E-2</v>
      </c>
    </row>
    <row r="311" spans="1:7" x14ac:dyDescent="0.2">
      <c r="A311" s="11">
        <v>35514</v>
      </c>
      <c r="B311" s="10">
        <v>114.5496</v>
      </c>
      <c r="E311" s="13">
        <f t="shared" si="12"/>
        <v>1.1954229948402416E-2</v>
      </c>
      <c r="F311" s="9">
        <f t="shared" si="13"/>
        <v>1.4806642629545464E-2</v>
      </c>
      <c r="G311" s="9">
        <f t="shared" si="14"/>
        <v>1.2113755749742099E-2</v>
      </c>
    </row>
    <row r="312" spans="1:7" x14ac:dyDescent="0.2">
      <c r="A312" s="11">
        <v>35515</v>
      </c>
      <c r="B312" s="10">
        <v>114.9511</v>
      </c>
      <c r="E312" s="13">
        <f t="shared" si="12"/>
        <v>3.498903572910615E-3</v>
      </c>
      <c r="F312" s="9">
        <f t="shared" si="13"/>
        <v>4.3879966954173963E-3</v>
      </c>
      <c r="G312" s="9">
        <f t="shared" si="14"/>
        <v>1.1853640598650225E-2</v>
      </c>
    </row>
    <row r="313" spans="1:7" x14ac:dyDescent="0.2">
      <c r="A313" s="11">
        <v>35521</v>
      </c>
      <c r="B313" s="10">
        <v>111.4936</v>
      </c>
      <c r="E313" s="13">
        <f t="shared" si="12"/>
        <v>-3.0539630391751865E-2</v>
      </c>
      <c r="F313" s="9">
        <f t="shared" si="13"/>
        <v>-3.7029986827071447E-2</v>
      </c>
      <c r="G313" s="9">
        <f t="shared" si="14"/>
        <v>1.2958666753961803E-2</v>
      </c>
    </row>
    <row r="314" spans="1:7" x14ac:dyDescent="0.2">
      <c r="A314" s="11">
        <v>35522</v>
      </c>
      <c r="B314" s="10">
        <v>111.3805</v>
      </c>
      <c r="E314" s="13">
        <f t="shared" si="12"/>
        <v>-1.0149228619063539E-3</v>
      </c>
      <c r="F314" s="9">
        <f t="shared" si="13"/>
        <v>-4.5059170171801242E-2</v>
      </c>
      <c r="G314" s="9">
        <f t="shared" si="14"/>
        <v>1.2860598128986649E-2</v>
      </c>
    </row>
    <row r="315" spans="1:7" x14ac:dyDescent="0.2">
      <c r="A315" s="11">
        <v>35523</v>
      </c>
      <c r="B315" s="10">
        <v>111.36539999999999</v>
      </c>
      <c r="E315" s="13">
        <f t="shared" si="12"/>
        <v>-1.3558049798565692E-4</v>
      </c>
      <c r="F315" s="9">
        <f t="shared" si="13"/>
        <v>-6.2343500606332244E-2</v>
      </c>
      <c r="G315" s="9">
        <f t="shared" si="14"/>
        <v>1.2353404823760907E-2</v>
      </c>
    </row>
    <row r="316" spans="1:7" x14ac:dyDescent="0.2">
      <c r="A316" s="11">
        <v>35524</v>
      </c>
      <c r="B316" s="10">
        <v>111.1391</v>
      </c>
      <c r="E316" s="13">
        <f t="shared" si="12"/>
        <v>-2.0341168653112119E-3</v>
      </c>
      <c r="F316" s="9">
        <f t="shared" si="13"/>
        <v>-8.0549290160041476E-2</v>
      </c>
      <c r="G316" s="9">
        <f t="shared" si="14"/>
        <v>1.1841050965297325E-2</v>
      </c>
    </row>
    <row r="317" spans="1:7" x14ac:dyDescent="0.2">
      <c r="A317" s="11">
        <v>35527</v>
      </c>
      <c r="B317" s="10">
        <v>114.476</v>
      </c>
      <c r="E317" s="13">
        <f t="shared" si="12"/>
        <v>2.9582624112340378E-2</v>
      </c>
      <c r="F317" s="9">
        <f t="shared" si="13"/>
        <v>-5.3295812974090404E-2</v>
      </c>
      <c r="G317" s="9">
        <f t="shared" si="14"/>
        <v>1.3257591731871484E-2</v>
      </c>
    </row>
    <row r="318" spans="1:7" x14ac:dyDescent="0.2">
      <c r="A318" s="11">
        <v>35528</v>
      </c>
      <c r="B318" s="10">
        <v>114.5967</v>
      </c>
      <c r="E318" s="13">
        <f t="shared" si="12"/>
        <v>1.0538140177333954E-3</v>
      </c>
      <c r="F318" s="9">
        <f t="shared" si="13"/>
        <v>-4.4042341540292143E-2</v>
      </c>
      <c r="G318" s="9">
        <f t="shared" si="14"/>
        <v>1.3210277367698786E-2</v>
      </c>
    </row>
    <row r="319" spans="1:7" x14ac:dyDescent="0.2">
      <c r="A319" s="11">
        <v>35529</v>
      </c>
      <c r="B319" s="10">
        <v>115.7693</v>
      </c>
      <c r="E319" s="13">
        <f t="shared" si="12"/>
        <v>1.0180409673391472E-2</v>
      </c>
      <c r="F319" s="9">
        <f t="shared" si="13"/>
        <v>-3.8037840533393791E-3</v>
      </c>
      <c r="G319" s="9">
        <f t="shared" si="14"/>
        <v>1.2178518445537788E-2</v>
      </c>
    </row>
    <row r="320" spans="1:7" x14ac:dyDescent="0.2">
      <c r="A320" s="11">
        <v>35530</v>
      </c>
      <c r="B320" s="10">
        <v>115.2603</v>
      </c>
      <c r="E320" s="13">
        <f t="shared" si="12"/>
        <v>-4.4063689117362238E-3</v>
      </c>
      <c r="F320" s="9">
        <f t="shared" si="13"/>
        <v>-1.0672472785060463E-2</v>
      </c>
      <c r="G320" s="9">
        <f t="shared" si="14"/>
        <v>1.2193061654242747E-2</v>
      </c>
    </row>
    <row r="321" spans="1:7" x14ac:dyDescent="0.2">
      <c r="A321" s="11">
        <v>35531</v>
      </c>
      <c r="B321" s="10">
        <v>114.3497</v>
      </c>
      <c r="E321" s="13">
        <f t="shared" si="12"/>
        <v>-7.9317518750878207E-3</v>
      </c>
      <c r="F321" s="9">
        <f t="shared" si="13"/>
        <v>-6.9500129205492299E-3</v>
      </c>
      <c r="G321" s="9">
        <f t="shared" si="14"/>
        <v>1.2089155620090507E-2</v>
      </c>
    </row>
    <row r="322" spans="1:7" x14ac:dyDescent="0.2">
      <c r="A322" s="11">
        <v>35534</v>
      </c>
      <c r="B322" s="10">
        <v>113.82559999999999</v>
      </c>
      <c r="E322" s="13">
        <f t="shared" si="12"/>
        <v>-4.5938444844029298E-3</v>
      </c>
      <c r="F322" s="9">
        <f t="shared" si="13"/>
        <v>-6.1754568700062235E-3</v>
      </c>
      <c r="G322" s="9">
        <f t="shared" si="14"/>
        <v>1.2078270615574212E-2</v>
      </c>
    </row>
    <row r="323" spans="1:7" x14ac:dyDescent="0.2">
      <c r="A323" s="11">
        <v>35535</v>
      </c>
      <c r="B323" s="10">
        <v>115.6562</v>
      </c>
      <c r="E323" s="13">
        <f t="shared" si="12"/>
        <v>1.5954544814067391E-2</v>
      </c>
      <c r="F323" s="9">
        <f t="shared" si="13"/>
        <v>1.8790966914127585E-2</v>
      </c>
      <c r="G323" s="9">
        <f t="shared" si="14"/>
        <v>1.2316136473820197E-2</v>
      </c>
    </row>
    <row r="324" spans="1:7" x14ac:dyDescent="0.2">
      <c r="A324" s="11">
        <v>35536</v>
      </c>
      <c r="B324" s="10">
        <v>115.5638</v>
      </c>
      <c r="E324" s="13">
        <f t="shared" ref="E324:E387" si="15">LN(B324/B323)</f>
        <v>-7.9923886271626363E-4</v>
      </c>
      <c r="F324" s="9">
        <f t="shared" si="13"/>
        <v>2.3003242742199257E-2</v>
      </c>
      <c r="G324" s="9">
        <f t="shared" si="14"/>
        <v>1.227176630530658E-2</v>
      </c>
    </row>
    <row r="325" spans="1:7" x14ac:dyDescent="0.2">
      <c r="A325" s="11">
        <v>35537</v>
      </c>
      <c r="B325" s="10">
        <v>115.496</v>
      </c>
      <c r="E325" s="13">
        <f t="shared" si="15"/>
        <v>-5.8686108051592752E-4</v>
      </c>
      <c r="F325" s="9">
        <f t="shared" si="13"/>
        <v>5.0570961221886339E-3</v>
      </c>
      <c r="G325" s="9">
        <f t="shared" si="14"/>
        <v>1.1851852200305095E-2</v>
      </c>
    </row>
    <row r="326" spans="1:7" x14ac:dyDescent="0.2">
      <c r="A326" s="11">
        <v>35538</v>
      </c>
      <c r="B326" s="10">
        <v>115.9748</v>
      </c>
      <c r="E326" s="13">
        <f t="shared" si="15"/>
        <v>4.1370287992144768E-3</v>
      </c>
      <c r="F326" s="9">
        <f t="shared" si="13"/>
        <v>6.2128467080201921E-3</v>
      </c>
      <c r="G326" s="9">
        <f t="shared" si="14"/>
        <v>1.1863565257557581E-2</v>
      </c>
    </row>
    <row r="327" spans="1:7" x14ac:dyDescent="0.2">
      <c r="A327" s="11">
        <v>35541</v>
      </c>
      <c r="B327" s="10">
        <v>118.0467</v>
      </c>
      <c r="E327" s="13">
        <f t="shared" si="15"/>
        <v>1.7707382757395577E-2</v>
      </c>
      <c r="F327" s="9">
        <f t="shared" si="13"/>
        <v>6.0548878845740686E-3</v>
      </c>
      <c r="G327" s="9">
        <f t="shared" si="14"/>
        <v>1.185520508388835E-2</v>
      </c>
    </row>
    <row r="328" spans="1:7" x14ac:dyDescent="0.2">
      <c r="A328" s="11">
        <v>35542</v>
      </c>
      <c r="B328" s="10">
        <v>119.0836</v>
      </c>
      <c r="E328" s="13">
        <f t="shared" si="15"/>
        <v>8.7454585834377888E-3</v>
      </c>
      <c r="F328" s="9">
        <f t="shared" si="13"/>
        <v>1.189663078908627E-2</v>
      </c>
      <c r="G328" s="9">
        <f t="shared" si="14"/>
        <v>1.1951868039917499E-2</v>
      </c>
    </row>
    <row r="329" spans="1:7" x14ac:dyDescent="0.2">
      <c r="A329" s="11">
        <v>35543</v>
      </c>
      <c r="B329" s="10">
        <v>119.15900000000001</v>
      </c>
      <c r="E329" s="13">
        <f t="shared" si="15"/>
        <v>6.3296826442804947E-4</v>
      </c>
      <c r="F329" s="9">
        <f t="shared" si="13"/>
        <v>7.3042824501492482E-3</v>
      </c>
      <c r="G329" s="9">
        <f t="shared" si="14"/>
        <v>1.1916161745969425E-2</v>
      </c>
    </row>
    <row r="330" spans="1:7" x14ac:dyDescent="0.2">
      <c r="A330" s="11">
        <v>35544</v>
      </c>
      <c r="B330" s="10">
        <v>118.5369</v>
      </c>
      <c r="E330" s="13">
        <f t="shared" si="15"/>
        <v>-5.2344312242927574E-3</v>
      </c>
      <c r="F330" s="9">
        <f t="shared" si="13"/>
        <v>-3.1594192436220098E-3</v>
      </c>
      <c r="G330" s="9">
        <f t="shared" si="14"/>
        <v>1.1918483604589001E-2</v>
      </c>
    </row>
    <row r="331" spans="1:7" x14ac:dyDescent="0.2">
      <c r="A331" s="11">
        <v>35545</v>
      </c>
      <c r="B331" s="10">
        <v>117.0569</v>
      </c>
      <c r="E331" s="13">
        <f t="shared" si="15"/>
        <v>-1.256416314118803E-2</v>
      </c>
      <c r="F331" s="9">
        <f t="shared" si="13"/>
        <v>-9.2660848739259619E-3</v>
      </c>
      <c r="G331" s="9">
        <f t="shared" si="14"/>
        <v>1.2087404106489681E-2</v>
      </c>
    </row>
    <row r="332" spans="1:7" x14ac:dyDescent="0.2">
      <c r="A332" s="11">
        <v>35548</v>
      </c>
      <c r="B332" s="10">
        <v>116.9419</v>
      </c>
      <c r="E332" s="13">
        <f t="shared" si="15"/>
        <v>-9.8291110260892954E-4</v>
      </c>
      <c r="F332" s="9">
        <f t="shared" si="13"/>
        <v>-8.4920071753971978E-3</v>
      </c>
      <c r="G332" s="9">
        <f t="shared" si="14"/>
        <v>1.2084970852941544E-2</v>
      </c>
    </row>
    <row r="333" spans="1:7" x14ac:dyDescent="0.2">
      <c r="A333" s="11">
        <v>35549</v>
      </c>
      <c r="B333" s="10">
        <v>118.69329999999999</v>
      </c>
      <c r="E333" s="13">
        <f t="shared" si="15"/>
        <v>1.4865624939782999E-2</v>
      </c>
      <c r="F333" s="9">
        <f t="shared" si="13"/>
        <v>1.7328535150787059E-3</v>
      </c>
      <c r="G333" s="9">
        <f t="shared" si="14"/>
        <v>1.2379614346599092E-2</v>
      </c>
    </row>
    <row r="334" spans="1:7" x14ac:dyDescent="0.2">
      <c r="A334" s="11">
        <v>35550</v>
      </c>
      <c r="B334" s="10">
        <v>118.4483</v>
      </c>
      <c r="E334" s="13">
        <f t="shared" si="15"/>
        <v>-2.0662767491568899E-3</v>
      </c>
      <c r="F334" s="9">
        <f t="shared" si="13"/>
        <v>6.5312957822748607E-3</v>
      </c>
      <c r="G334" s="9">
        <f t="shared" si="14"/>
        <v>1.2315660117333998E-2</v>
      </c>
    </row>
    <row r="335" spans="1:7" x14ac:dyDescent="0.2">
      <c r="A335" s="11">
        <v>35552</v>
      </c>
      <c r="B335" s="10">
        <v>118.009</v>
      </c>
      <c r="E335" s="13">
        <f t="shared" si="15"/>
        <v>-3.7156857109192079E-3</v>
      </c>
      <c r="F335" s="9">
        <f t="shared" si="13"/>
        <v>1.2895371142377062E-2</v>
      </c>
      <c r="G335" s="9">
        <f t="shared" si="14"/>
        <v>1.2181448268235945E-2</v>
      </c>
    </row>
    <row r="336" spans="1:7" x14ac:dyDescent="0.2">
      <c r="A336" s="11">
        <v>35555</v>
      </c>
      <c r="B336" s="10">
        <v>119.6605</v>
      </c>
      <c r="E336" s="13">
        <f t="shared" si="15"/>
        <v>1.3897673715315702E-2</v>
      </c>
      <c r="F336" s="9">
        <f t="shared" si="13"/>
        <v>3.9479512062675241E-2</v>
      </c>
      <c r="G336" s="9">
        <f t="shared" si="14"/>
        <v>1.2158245599989856E-2</v>
      </c>
    </row>
    <row r="337" spans="1:7" x14ac:dyDescent="0.2">
      <c r="A337" s="11">
        <v>35556</v>
      </c>
      <c r="B337" s="10">
        <v>119.6831</v>
      </c>
      <c r="E337" s="13">
        <f t="shared" si="15"/>
        <v>1.8884983820059508E-4</v>
      </c>
      <c r="F337" s="9">
        <f t="shared" si="13"/>
        <v>6.4929017294107119E-2</v>
      </c>
      <c r="G337" s="9">
        <f t="shared" si="14"/>
        <v>1.1034607021585595E-2</v>
      </c>
    </row>
    <row r="338" spans="1:7" x14ac:dyDescent="0.2">
      <c r="A338" s="11">
        <v>35557</v>
      </c>
      <c r="B338" s="10">
        <v>119.9866</v>
      </c>
      <c r="E338" s="13">
        <f t="shared" si="15"/>
        <v>2.5326535830701847E-3</v>
      </c>
      <c r="F338" s="9">
        <f t="shared" si="13"/>
        <v>5.7643683778908279E-2</v>
      </c>
      <c r="G338" s="9">
        <f t="shared" si="14"/>
        <v>1.0938407824172987E-2</v>
      </c>
    </row>
    <row r="339" spans="1:7" x14ac:dyDescent="0.2">
      <c r="A339" s="11">
        <v>35559</v>
      </c>
      <c r="B339" s="10">
        <v>120.34480000000001</v>
      </c>
      <c r="E339" s="13">
        <f t="shared" si="15"/>
        <v>2.9808861034187582E-3</v>
      </c>
      <c r="F339" s="9">
        <f t="shared" si="13"/>
        <v>6.1307268963529872E-2</v>
      </c>
      <c r="G339" s="9">
        <f t="shared" si="14"/>
        <v>1.0927615587787059E-2</v>
      </c>
    </row>
    <row r="340" spans="1:7" x14ac:dyDescent="0.2">
      <c r="A340" s="11">
        <v>35562</v>
      </c>
      <c r="B340" s="10">
        <v>120.6521</v>
      </c>
      <c r="E340" s="13">
        <f t="shared" si="15"/>
        <v>2.5502416549733928E-3</v>
      </c>
      <c r="F340" s="9">
        <f t="shared" si="13"/>
        <v>5.190328067010086E-2</v>
      </c>
      <c r="G340" s="9">
        <f t="shared" si="14"/>
        <v>1.0763478974691423E-2</v>
      </c>
    </row>
    <row r="341" spans="1:7" x14ac:dyDescent="0.2">
      <c r="A341" s="11">
        <v>35563</v>
      </c>
      <c r="B341" s="10">
        <v>120.7747</v>
      </c>
      <c r="E341" s="13">
        <f t="shared" si="15"/>
        <v>1.0156288410276828E-3</v>
      </c>
      <c r="F341" s="9">
        <f t="shared" si="13"/>
        <v>4.9420005938217736E-2</v>
      </c>
      <c r="G341" s="9">
        <f t="shared" si="14"/>
        <v>1.0759273301231675E-2</v>
      </c>
    </row>
    <row r="342" spans="1:7" x14ac:dyDescent="0.2">
      <c r="A342" s="11">
        <v>35564</v>
      </c>
      <c r="B342" s="10">
        <v>121.05370000000001</v>
      </c>
      <c r="E342" s="13">
        <f t="shared" si="15"/>
        <v>2.3074223191948545E-3</v>
      </c>
      <c r="F342" s="9">
        <f t="shared" si="13"/>
        <v>8.2267058649164601E-2</v>
      </c>
      <c r="G342" s="9">
        <f t="shared" si="14"/>
        <v>8.7929229543448201E-3</v>
      </c>
    </row>
    <row r="343" spans="1:7" x14ac:dyDescent="0.2">
      <c r="A343" s="11">
        <v>35565</v>
      </c>
      <c r="B343" s="10">
        <v>120.5616</v>
      </c>
      <c r="E343" s="13">
        <f t="shared" si="15"/>
        <v>-4.0734231684989835E-3</v>
      </c>
      <c r="F343" s="9">
        <f t="shared" si="13"/>
        <v>7.9208558342571983E-2</v>
      </c>
      <c r="G343" s="9">
        <f t="shared" si="14"/>
        <v>8.8588669328256483E-3</v>
      </c>
    </row>
    <row r="344" spans="1:7" x14ac:dyDescent="0.2">
      <c r="A344" s="11">
        <v>35566</v>
      </c>
      <c r="B344" s="10">
        <v>121.44199999999999</v>
      </c>
      <c r="E344" s="13">
        <f t="shared" si="15"/>
        <v>7.2759569196062081E-3</v>
      </c>
      <c r="F344" s="9">
        <f t="shared" si="13"/>
        <v>8.6620095760163981E-2</v>
      </c>
      <c r="G344" s="9">
        <f t="shared" si="14"/>
        <v>8.8800879757915431E-3</v>
      </c>
    </row>
    <row r="345" spans="1:7" x14ac:dyDescent="0.2">
      <c r="A345" s="11">
        <v>35570</v>
      </c>
      <c r="B345" s="10">
        <v>121.7342</v>
      </c>
      <c r="E345" s="13">
        <f t="shared" si="15"/>
        <v>2.4031968640837323E-3</v>
      </c>
      <c r="F345" s="9">
        <f t="shared" si="13"/>
        <v>9.1057409489558885E-2</v>
      </c>
      <c r="G345" s="9">
        <f t="shared" si="14"/>
        <v>8.8285617905352332E-3</v>
      </c>
    </row>
    <row r="346" spans="1:7" x14ac:dyDescent="0.2">
      <c r="A346" s="11">
        <v>35571</v>
      </c>
      <c r="B346" s="10">
        <v>123.9136</v>
      </c>
      <c r="E346" s="13">
        <f t="shared" si="15"/>
        <v>1.7744569137532615E-2</v>
      </c>
      <c r="F346" s="9">
        <f t="shared" si="13"/>
        <v>7.9219354514750998E-2</v>
      </c>
      <c r="G346" s="9">
        <f t="shared" si="14"/>
        <v>7.7728112417232388E-3</v>
      </c>
    </row>
    <row r="347" spans="1:7" x14ac:dyDescent="0.2">
      <c r="A347" s="11">
        <v>35572</v>
      </c>
      <c r="B347" s="10">
        <v>124.6583</v>
      </c>
      <c r="E347" s="13">
        <f t="shared" si="15"/>
        <v>5.9918456432947239E-3</v>
      </c>
      <c r="F347" s="9">
        <f t="shared" si="13"/>
        <v>8.4157386140312374E-2</v>
      </c>
      <c r="G347" s="9">
        <f t="shared" si="14"/>
        <v>7.7888130525420448E-3</v>
      </c>
    </row>
    <row r="348" spans="1:7" x14ac:dyDescent="0.2">
      <c r="A348" s="11">
        <v>35573</v>
      </c>
      <c r="B348" s="10">
        <v>125.7479</v>
      </c>
      <c r="E348" s="13">
        <f t="shared" si="15"/>
        <v>8.7027148443867275E-3</v>
      </c>
      <c r="F348" s="9">
        <f t="shared" si="13"/>
        <v>8.2679691311307479E-2</v>
      </c>
      <c r="G348" s="9">
        <f t="shared" si="14"/>
        <v>7.7442022837618408E-3</v>
      </c>
    </row>
    <row r="349" spans="1:7" x14ac:dyDescent="0.2">
      <c r="A349" s="11">
        <v>35576</v>
      </c>
      <c r="B349" s="10">
        <v>127.2769</v>
      </c>
      <c r="E349" s="13">
        <f t="shared" si="15"/>
        <v>1.2085918942612784E-2</v>
      </c>
      <c r="F349" s="9">
        <f t="shared" si="13"/>
        <v>9.9171979165656371E-2</v>
      </c>
      <c r="G349" s="9">
        <f t="shared" si="14"/>
        <v>7.7975937524574308E-3</v>
      </c>
    </row>
    <row r="350" spans="1:7" x14ac:dyDescent="0.2">
      <c r="A350" s="11">
        <v>35577</v>
      </c>
      <c r="B350" s="10">
        <v>126.9884</v>
      </c>
      <c r="E350" s="13">
        <f t="shared" si="15"/>
        <v>-2.2692842775335976E-3</v>
      </c>
      <c r="F350" s="9">
        <f t="shared" si="13"/>
        <v>0.10483444676321062</v>
      </c>
      <c r="G350" s="9">
        <f t="shared" si="14"/>
        <v>7.570790417126206E-3</v>
      </c>
    </row>
    <row r="351" spans="1:7" x14ac:dyDescent="0.2">
      <c r="A351" s="11">
        <v>35578</v>
      </c>
      <c r="B351" s="10">
        <v>127.2976</v>
      </c>
      <c r="E351" s="13">
        <f t="shared" si="15"/>
        <v>2.4319085784407263E-3</v>
      </c>
      <c r="F351" s="9">
        <f t="shared" si="13"/>
        <v>0.11186019982605414</v>
      </c>
      <c r="G351" s="9">
        <f t="shared" si="14"/>
        <v>7.4094173333942746E-3</v>
      </c>
    </row>
    <row r="352" spans="1:7" x14ac:dyDescent="0.2">
      <c r="A352" s="11">
        <v>35579</v>
      </c>
      <c r="B352" s="10">
        <v>126.9602</v>
      </c>
      <c r="E352" s="13">
        <f t="shared" si="15"/>
        <v>-2.6540007665126217E-3</v>
      </c>
      <c r="F352" s="9">
        <f t="shared" ref="F352:F415" si="16">LN(B352/B323)</f>
        <v>9.32516542454742E-2</v>
      </c>
      <c r="G352" s="9">
        <f t="shared" si="14"/>
        <v>7.1246458230238511E-3</v>
      </c>
    </row>
    <row r="353" spans="1:7" x14ac:dyDescent="0.2">
      <c r="A353" s="11">
        <v>35580</v>
      </c>
      <c r="B353" s="10">
        <v>125.7423</v>
      </c>
      <c r="E353" s="13">
        <f t="shared" si="15"/>
        <v>-9.6390770155373E-3</v>
      </c>
      <c r="F353" s="9">
        <f t="shared" si="16"/>
        <v>8.4411816092652955E-2</v>
      </c>
      <c r="G353" s="9">
        <f t="shared" ref="G353:G416" si="17">STDEV(E325:E353)</f>
        <v>7.4826583920572587E-3</v>
      </c>
    </row>
    <row r="354" spans="1:7" x14ac:dyDescent="0.2">
      <c r="A354" s="11">
        <v>35583</v>
      </c>
      <c r="B354" s="10">
        <v>127.51439999999999</v>
      </c>
      <c r="E354" s="13">
        <f t="shared" si="15"/>
        <v>1.3994724896894512E-2</v>
      </c>
      <c r="F354" s="9">
        <f t="shared" si="16"/>
        <v>9.8993402070063505E-2</v>
      </c>
      <c r="G354" s="9">
        <f t="shared" si="17"/>
        <v>7.7252237124754075E-3</v>
      </c>
    </row>
    <row r="355" spans="1:7" x14ac:dyDescent="0.2">
      <c r="A355" s="11">
        <v>35584</v>
      </c>
      <c r="B355" s="10">
        <v>127.9461</v>
      </c>
      <c r="E355" s="13">
        <f t="shared" si="15"/>
        <v>3.3797820871698382E-3</v>
      </c>
      <c r="F355" s="9">
        <f t="shared" si="16"/>
        <v>9.8236155358018828E-2</v>
      </c>
      <c r="G355" s="9">
        <f t="shared" si="17"/>
        <v>7.7239706862411725E-3</v>
      </c>
    </row>
    <row r="356" spans="1:7" x14ac:dyDescent="0.2">
      <c r="A356" s="11">
        <v>35585</v>
      </c>
      <c r="B356" s="10">
        <v>127.53700000000001</v>
      </c>
      <c r="E356" s="13">
        <f t="shared" si="15"/>
        <v>-3.202562906572086E-3</v>
      </c>
      <c r="F356" s="9">
        <f t="shared" si="16"/>
        <v>7.7326209694051171E-2</v>
      </c>
      <c r="G356" s="9">
        <f t="shared" si="17"/>
        <v>7.304019059298973E-3</v>
      </c>
    </row>
    <row r="357" spans="1:7" x14ac:dyDescent="0.2">
      <c r="A357" s="11">
        <v>35586</v>
      </c>
      <c r="B357" s="10">
        <v>126.2098</v>
      </c>
      <c r="E357" s="13">
        <f t="shared" si="15"/>
        <v>-1.0460916969377525E-2</v>
      </c>
      <c r="F357" s="9">
        <f t="shared" si="16"/>
        <v>5.8119834141235692E-2</v>
      </c>
      <c r="G357" s="9">
        <f t="shared" si="17"/>
        <v>7.5979686693472843E-3</v>
      </c>
    </row>
    <row r="358" spans="1:7" x14ac:dyDescent="0.2">
      <c r="A358" s="11">
        <v>35587</v>
      </c>
      <c r="B358" s="10">
        <v>127.47110000000001</v>
      </c>
      <c r="E358" s="13">
        <f t="shared" si="15"/>
        <v>9.9440706302455963E-3</v>
      </c>
      <c r="F358" s="9">
        <f t="shared" si="16"/>
        <v>6.7430936507053396E-2</v>
      </c>
      <c r="G358" s="9">
        <f t="shared" si="17"/>
        <v>7.7334814139978615E-3</v>
      </c>
    </row>
    <row r="359" spans="1:7" x14ac:dyDescent="0.2">
      <c r="A359" s="11">
        <v>35590</v>
      </c>
      <c r="B359" s="10">
        <v>128.76060000000001</v>
      </c>
      <c r="E359" s="13">
        <f t="shared" si="15"/>
        <v>1.0065194012953802E-2</v>
      </c>
      <c r="F359" s="9">
        <f t="shared" si="16"/>
        <v>8.2730561744299838E-2</v>
      </c>
      <c r="G359" s="9">
        <f t="shared" si="17"/>
        <v>7.7212051228268174E-3</v>
      </c>
    </row>
    <row r="360" spans="1:7" x14ac:dyDescent="0.2">
      <c r="A360" s="11">
        <v>35591</v>
      </c>
      <c r="B360" s="10">
        <v>128.15539999999999</v>
      </c>
      <c r="E360" s="13">
        <f t="shared" si="15"/>
        <v>-4.7112762103108229E-3</v>
      </c>
      <c r="F360" s="9">
        <f t="shared" si="16"/>
        <v>9.0583448675177189E-2</v>
      </c>
      <c r="G360" s="9">
        <f t="shared" si="17"/>
        <v>7.2866869907790496E-3</v>
      </c>
    </row>
    <row r="361" spans="1:7" x14ac:dyDescent="0.2">
      <c r="A361" s="11">
        <v>35592</v>
      </c>
      <c r="B361" s="10">
        <v>126.962</v>
      </c>
      <c r="E361" s="13">
        <f t="shared" si="15"/>
        <v>-9.3557609545404288E-3</v>
      </c>
      <c r="F361" s="9">
        <f t="shared" si="16"/>
        <v>8.2210598823245717E-2</v>
      </c>
      <c r="G361" s="9">
        <f t="shared" si="17"/>
        <v>7.6137461940473678E-3</v>
      </c>
    </row>
    <row r="362" spans="1:7" x14ac:dyDescent="0.2">
      <c r="A362" s="11">
        <v>35593</v>
      </c>
      <c r="B362" s="10">
        <v>127.2825</v>
      </c>
      <c r="E362" s="13">
        <f t="shared" si="15"/>
        <v>2.5211964842479046E-3</v>
      </c>
      <c r="F362" s="9">
        <f t="shared" si="16"/>
        <v>6.986617036771052E-2</v>
      </c>
      <c r="G362" s="9">
        <f t="shared" si="17"/>
        <v>7.2536685499490694E-3</v>
      </c>
    </row>
    <row r="363" spans="1:7" x14ac:dyDescent="0.2">
      <c r="A363" s="11">
        <v>35594</v>
      </c>
      <c r="B363" s="10">
        <v>128.13839999999999</v>
      </c>
      <c r="E363" s="13">
        <f t="shared" si="15"/>
        <v>6.70190421846495E-3</v>
      </c>
      <c r="F363" s="9">
        <f t="shared" si="16"/>
        <v>7.8634351335332614E-2</v>
      </c>
      <c r="G363" s="9">
        <f t="shared" si="17"/>
        <v>7.2431902436182012E-3</v>
      </c>
    </row>
    <row r="364" spans="1:7" x14ac:dyDescent="0.2">
      <c r="A364" s="11">
        <v>35597</v>
      </c>
      <c r="B364" s="10">
        <v>126.83759999999999</v>
      </c>
      <c r="E364" s="13">
        <f t="shared" si="15"/>
        <v>-1.0203401774600078E-2</v>
      </c>
      <c r="F364" s="9">
        <f t="shared" si="16"/>
        <v>7.2146635271651716E-2</v>
      </c>
      <c r="G364" s="9">
        <f t="shared" si="17"/>
        <v>7.5427862765426543E-3</v>
      </c>
    </row>
    <row r="365" spans="1:7" x14ac:dyDescent="0.2">
      <c r="A365" s="11">
        <v>35598</v>
      </c>
      <c r="B365" s="10">
        <v>126.6283</v>
      </c>
      <c r="E365" s="13">
        <f t="shared" si="15"/>
        <v>-1.6515045816543786E-3</v>
      </c>
      <c r="F365" s="9">
        <f t="shared" si="16"/>
        <v>5.6597456974681569E-2</v>
      </c>
      <c r="G365" s="9">
        <f t="shared" si="17"/>
        <v>7.2497129246334299E-3</v>
      </c>
    </row>
    <row r="366" spans="1:7" x14ac:dyDescent="0.2">
      <c r="A366" s="11">
        <v>35599</v>
      </c>
      <c r="B366" s="10">
        <v>125.7894</v>
      </c>
      <c r="E366" s="13">
        <f t="shared" si="15"/>
        <v>-6.6469434487179402E-3</v>
      </c>
      <c r="F366" s="9">
        <f t="shared" si="16"/>
        <v>4.9761663687763198E-2</v>
      </c>
      <c r="G366" s="9">
        <f t="shared" si="17"/>
        <v>7.4182455967780198E-3</v>
      </c>
    </row>
    <row r="367" spans="1:7" x14ac:dyDescent="0.2">
      <c r="A367" s="11">
        <v>35600</v>
      </c>
      <c r="B367" s="10">
        <v>126.67919999999999</v>
      </c>
      <c r="E367" s="13">
        <f t="shared" si="15"/>
        <v>7.0488265408890352E-3</v>
      </c>
      <c r="F367" s="9">
        <f t="shared" si="16"/>
        <v>5.4277836645582007E-2</v>
      </c>
      <c r="G367" s="9">
        <f t="shared" si="17"/>
        <v>7.4831234788419404E-3</v>
      </c>
    </row>
    <row r="368" spans="1:7" x14ac:dyDescent="0.2">
      <c r="A368" s="11">
        <v>35601</v>
      </c>
      <c r="B368" s="10">
        <v>126.5831</v>
      </c>
      <c r="E368" s="13">
        <f t="shared" si="15"/>
        <v>-7.5889703767352437E-4</v>
      </c>
      <c r="F368" s="9">
        <f t="shared" si="16"/>
        <v>5.0538053504489804E-2</v>
      </c>
      <c r="G368" s="9">
        <f t="shared" si="17"/>
        <v>7.4955389838298825E-3</v>
      </c>
    </row>
    <row r="369" spans="1:7" x14ac:dyDescent="0.2">
      <c r="A369" s="11">
        <v>35604</v>
      </c>
      <c r="B369" s="10">
        <v>126.4511</v>
      </c>
      <c r="E369" s="13">
        <f t="shared" si="15"/>
        <v>-1.0433373194144162E-3</v>
      </c>
      <c r="F369" s="9">
        <f t="shared" si="16"/>
        <v>4.6944474530102011E-2</v>
      </c>
      <c r="G369" s="9">
        <f t="shared" si="17"/>
        <v>7.5113995413883536E-3</v>
      </c>
    </row>
    <row r="370" spans="1:7" x14ac:dyDescent="0.2">
      <c r="A370" s="11">
        <v>35605</v>
      </c>
      <c r="B370" s="10">
        <v>127.1374</v>
      </c>
      <c r="E370" s="13">
        <f t="shared" si="15"/>
        <v>5.4127192327233682E-3</v>
      </c>
      <c r="F370" s="9">
        <f t="shared" si="16"/>
        <v>5.1341564921797499E-2</v>
      </c>
      <c r="G370" s="9">
        <f t="shared" si="17"/>
        <v>7.5431022655554226E-3</v>
      </c>
    </row>
    <row r="371" spans="1:7" x14ac:dyDescent="0.2">
      <c r="A371" s="11">
        <v>35606</v>
      </c>
      <c r="B371" s="10">
        <v>127.6784</v>
      </c>
      <c r="E371" s="13">
        <f t="shared" si="15"/>
        <v>4.246210893249767E-3</v>
      </c>
      <c r="F371" s="9">
        <f t="shared" si="16"/>
        <v>5.3280353495852598E-2</v>
      </c>
      <c r="G371" s="9">
        <f t="shared" si="17"/>
        <v>7.5566115897158096E-3</v>
      </c>
    </row>
    <row r="372" spans="1:7" x14ac:dyDescent="0.2">
      <c r="A372" s="11">
        <v>35607</v>
      </c>
      <c r="B372" s="10">
        <v>128.5155</v>
      </c>
      <c r="E372" s="13">
        <f t="shared" si="15"/>
        <v>6.5349173343908877E-3</v>
      </c>
      <c r="F372" s="9">
        <f t="shared" si="16"/>
        <v>6.3888693998742516E-2</v>
      </c>
      <c r="G372" s="9">
        <f t="shared" si="17"/>
        <v>7.5169284359366166E-3</v>
      </c>
    </row>
    <row r="373" spans="1:7" x14ac:dyDescent="0.2">
      <c r="A373" s="11">
        <v>35608</v>
      </c>
      <c r="B373" s="10">
        <v>129.17529999999999</v>
      </c>
      <c r="E373" s="13">
        <f t="shared" si="15"/>
        <v>5.1208769723115315E-3</v>
      </c>
      <c r="F373" s="9">
        <f t="shared" si="16"/>
        <v>6.173361405144745E-2</v>
      </c>
      <c r="G373" s="9">
        <f t="shared" si="17"/>
        <v>7.4755247840694178E-3</v>
      </c>
    </row>
    <row r="374" spans="1:7" x14ac:dyDescent="0.2">
      <c r="A374" s="11">
        <v>35611</v>
      </c>
      <c r="B374" s="10">
        <v>129.27709999999999</v>
      </c>
      <c r="E374" s="13">
        <f t="shared" si="15"/>
        <v>7.8776598913018927E-4</v>
      </c>
      <c r="F374" s="9">
        <f t="shared" si="16"/>
        <v>6.0118183176494054E-2</v>
      </c>
      <c r="G374" s="9">
        <f t="shared" si="17"/>
        <v>7.4794243891942308E-3</v>
      </c>
    </row>
    <row r="375" spans="1:7" x14ac:dyDescent="0.2">
      <c r="A375" s="11">
        <v>35612</v>
      </c>
      <c r="B375" s="10">
        <v>130.79470000000001</v>
      </c>
      <c r="E375" s="13">
        <f t="shared" si="15"/>
        <v>1.1670755733977552E-2</v>
      </c>
      <c r="F375" s="9">
        <f t="shared" si="16"/>
        <v>5.4044369772938868E-2</v>
      </c>
      <c r="G375" s="9">
        <f t="shared" si="17"/>
        <v>7.1003453594793544E-3</v>
      </c>
    </row>
    <row r="376" spans="1:7" x14ac:dyDescent="0.2">
      <c r="A376" s="11">
        <v>35613</v>
      </c>
      <c r="B376" s="10">
        <v>132.04839999999999</v>
      </c>
      <c r="E376" s="13">
        <f t="shared" si="15"/>
        <v>9.5396037227725907E-3</v>
      </c>
      <c r="F376" s="9">
        <f t="shared" si="16"/>
        <v>5.7592127852417026E-2</v>
      </c>
      <c r="G376" s="9">
        <f t="shared" si="17"/>
        <v>7.2038232073327784E-3</v>
      </c>
    </row>
    <row r="377" spans="1:7" x14ac:dyDescent="0.2">
      <c r="A377" s="11">
        <v>35614</v>
      </c>
      <c r="B377" s="10">
        <v>133.4605</v>
      </c>
      <c r="E377" s="13">
        <f t="shared" si="15"/>
        <v>1.0637031862081012E-2</v>
      </c>
      <c r="F377" s="9">
        <f t="shared" si="16"/>
        <v>5.9526444870111273E-2</v>
      </c>
      <c r="G377" s="9">
        <f t="shared" si="17"/>
        <v>7.2768204647031386E-3</v>
      </c>
    </row>
    <row r="378" spans="1:7" x14ac:dyDescent="0.2">
      <c r="A378" s="11">
        <v>35615</v>
      </c>
      <c r="B378" s="10">
        <v>134.2561</v>
      </c>
      <c r="E378" s="13">
        <f t="shared" si="15"/>
        <v>5.9436160637805612E-3</v>
      </c>
      <c r="F378" s="9">
        <f t="shared" si="16"/>
        <v>5.3384141991278944E-2</v>
      </c>
      <c r="G378" s="9">
        <f t="shared" si="17"/>
        <v>7.0605322750422889E-3</v>
      </c>
    </row>
    <row r="379" spans="1:7" x14ac:dyDescent="0.2">
      <c r="A379" s="11">
        <v>35618</v>
      </c>
      <c r="B379" s="10">
        <v>134.58789999999999</v>
      </c>
      <c r="E379" s="13">
        <f t="shared" si="15"/>
        <v>2.4683472085237357E-3</v>
      </c>
      <c r="F379" s="9">
        <f t="shared" si="16"/>
        <v>5.8121773477336221E-2</v>
      </c>
      <c r="G379" s="9">
        <f t="shared" si="17"/>
        <v>7.0167096287114747E-3</v>
      </c>
    </row>
    <row r="380" spans="1:7" x14ac:dyDescent="0.2">
      <c r="A380" s="11">
        <v>35619</v>
      </c>
      <c r="B380" s="10">
        <v>134.4691</v>
      </c>
      <c r="E380" s="13">
        <f t="shared" si="15"/>
        <v>-8.8308431091095455E-4</v>
      </c>
      <c r="F380" s="9">
        <f t="shared" si="16"/>
        <v>5.4806780587984605E-2</v>
      </c>
      <c r="G380" s="9">
        <f t="shared" si="17"/>
        <v>7.0364675726205762E-3</v>
      </c>
    </row>
    <row r="381" spans="1:7" x14ac:dyDescent="0.2">
      <c r="A381" s="11">
        <v>35620</v>
      </c>
      <c r="B381" s="10">
        <v>133.6848</v>
      </c>
      <c r="E381" s="13">
        <f t="shared" si="15"/>
        <v>-5.8496425854778931E-3</v>
      </c>
      <c r="F381" s="9">
        <f t="shared" si="16"/>
        <v>5.161113876901928E-2</v>
      </c>
      <c r="G381" s="9">
        <f t="shared" si="17"/>
        <v>7.1345081865209639E-3</v>
      </c>
    </row>
    <row r="382" spans="1:7" x14ac:dyDescent="0.2">
      <c r="A382" s="11">
        <v>35621</v>
      </c>
      <c r="B382" s="10">
        <v>133.31530000000001</v>
      </c>
      <c r="E382" s="13">
        <f t="shared" si="15"/>
        <v>-2.7677909924727615E-3</v>
      </c>
      <c r="F382" s="9">
        <f t="shared" si="16"/>
        <v>5.8482424792083904E-2</v>
      </c>
      <c r="G382" s="9">
        <f t="shared" si="17"/>
        <v>6.8501746362077242E-3</v>
      </c>
    </row>
    <row r="383" spans="1:7" x14ac:dyDescent="0.2">
      <c r="A383" s="11">
        <v>35622</v>
      </c>
      <c r="B383" s="10">
        <v>134.53319999999999</v>
      </c>
      <c r="E383" s="13">
        <f t="shared" si="15"/>
        <v>9.0940094378092612E-3</v>
      </c>
      <c r="F383" s="9">
        <f t="shared" si="16"/>
        <v>5.3581709332998731E-2</v>
      </c>
      <c r="G383" s="9">
        <f t="shared" si="17"/>
        <v>6.6000092346787682E-3</v>
      </c>
    </row>
    <row r="384" spans="1:7" x14ac:dyDescent="0.2">
      <c r="A384" s="11">
        <v>35625</v>
      </c>
      <c r="B384" s="10">
        <v>134.4333</v>
      </c>
      <c r="E384" s="13">
        <f t="shared" si="15"/>
        <v>-7.4284347376989796E-4</v>
      </c>
      <c r="F384" s="9">
        <f t="shared" si="16"/>
        <v>4.9459083772058959E-2</v>
      </c>
      <c r="G384" s="9">
        <f t="shared" si="17"/>
        <v>6.6102207939495771E-3</v>
      </c>
    </row>
    <row r="385" spans="1:7" x14ac:dyDescent="0.2">
      <c r="A385" s="11">
        <v>35626</v>
      </c>
      <c r="B385" s="10">
        <v>135.33439999999999</v>
      </c>
      <c r="E385" s="13">
        <f t="shared" si="15"/>
        <v>6.6805874191551966E-3</v>
      </c>
      <c r="F385" s="9">
        <f t="shared" si="16"/>
        <v>5.9342234097786176E-2</v>
      </c>
      <c r="G385" s="9">
        <f t="shared" si="17"/>
        <v>6.6029080897959001E-3</v>
      </c>
    </row>
    <row r="386" spans="1:7" x14ac:dyDescent="0.2">
      <c r="A386" s="11">
        <v>35627</v>
      </c>
      <c r="B386" s="10">
        <v>137.49109999999999</v>
      </c>
      <c r="E386" s="13">
        <f t="shared" si="15"/>
        <v>1.5810435063037545E-2</v>
      </c>
      <c r="F386" s="9">
        <f t="shared" si="16"/>
        <v>8.5613586130201161E-2</v>
      </c>
      <c r="G386" s="9">
        <f t="shared" si="17"/>
        <v>6.6278023790044662E-3</v>
      </c>
    </row>
    <row r="387" spans="1:7" x14ac:dyDescent="0.2">
      <c r="A387" s="11">
        <v>35628</v>
      </c>
      <c r="B387" s="10">
        <v>136.9161</v>
      </c>
      <c r="E387" s="13">
        <f t="shared" si="15"/>
        <v>-4.1908582688369818E-3</v>
      </c>
      <c r="F387" s="9">
        <f t="shared" si="16"/>
        <v>7.1478657231118528E-2</v>
      </c>
      <c r="G387" s="9">
        <f t="shared" si="17"/>
        <v>6.6149848717191925E-3</v>
      </c>
    </row>
    <row r="388" spans="1:7" x14ac:dyDescent="0.2">
      <c r="A388" s="11">
        <v>35629</v>
      </c>
      <c r="B388" s="10">
        <v>134.94229999999999</v>
      </c>
      <c r="E388" s="13">
        <f t="shared" ref="E388:E451" si="18">LN(B388/B387)</f>
        <v>-1.4521049803719557E-2</v>
      </c>
      <c r="F388" s="9">
        <f t="shared" si="16"/>
        <v>4.689241341444518E-2</v>
      </c>
      <c r="G388" s="9">
        <f t="shared" si="17"/>
        <v>7.1592413437664834E-3</v>
      </c>
    </row>
    <row r="389" spans="1:7" x14ac:dyDescent="0.2">
      <c r="A389" s="11">
        <v>35632</v>
      </c>
      <c r="B389" s="10">
        <v>133.34739999999999</v>
      </c>
      <c r="E389" s="13">
        <f t="shared" si="18"/>
        <v>-1.1889526791303184E-2</v>
      </c>
      <c r="F389" s="9">
        <f t="shared" si="16"/>
        <v>3.9714162833452811E-2</v>
      </c>
      <c r="G389" s="9">
        <f t="shared" si="17"/>
        <v>7.5017491252879591E-3</v>
      </c>
    </row>
    <row r="390" spans="1:7" x14ac:dyDescent="0.2">
      <c r="A390" s="11">
        <v>35633</v>
      </c>
      <c r="B390" s="10">
        <v>134.45779999999999</v>
      </c>
      <c r="E390" s="13">
        <f t="shared" si="18"/>
        <v>8.2926422886277183E-3</v>
      </c>
      <c r="F390" s="9">
        <f t="shared" si="16"/>
        <v>5.7362566076621206E-2</v>
      </c>
      <c r="G390" s="9">
        <f t="shared" si="17"/>
        <v>7.3141126079659868E-3</v>
      </c>
    </row>
    <row r="391" spans="1:7" x14ac:dyDescent="0.2">
      <c r="A391" s="11">
        <v>35634</v>
      </c>
      <c r="B391" s="10">
        <v>137.3083</v>
      </c>
      <c r="E391" s="13">
        <f t="shared" si="18"/>
        <v>2.0978367348950651E-2</v>
      </c>
      <c r="F391" s="9">
        <f t="shared" si="16"/>
        <v>7.5819736941324115E-2</v>
      </c>
      <c r="G391" s="9">
        <f t="shared" si="17"/>
        <v>8.121545076139481E-3</v>
      </c>
    </row>
    <row r="392" spans="1:7" x14ac:dyDescent="0.2">
      <c r="A392" s="11">
        <v>35635</v>
      </c>
      <c r="B392" s="10">
        <v>137.02549999999999</v>
      </c>
      <c r="E392" s="13">
        <f t="shared" si="18"/>
        <v>-2.0617226180284069E-3</v>
      </c>
      <c r="F392" s="9">
        <f t="shared" si="16"/>
        <v>6.705611010483073E-2</v>
      </c>
      <c r="G392" s="9">
        <f t="shared" si="17"/>
        <v>8.1270651259258107E-3</v>
      </c>
    </row>
    <row r="393" spans="1:7" x14ac:dyDescent="0.2">
      <c r="A393" s="11">
        <v>35636</v>
      </c>
      <c r="B393" s="10">
        <v>136.77099999999999</v>
      </c>
      <c r="E393" s="13">
        <f t="shared" si="18"/>
        <v>-1.8590454830289306E-3</v>
      </c>
      <c r="F393" s="9">
        <f t="shared" si="16"/>
        <v>7.5400466396401883E-2</v>
      </c>
      <c r="G393" s="9">
        <f t="shared" si="17"/>
        <v>7.8096413585277812E-3</v>
      </c>
    </row>
    <row r="394" spans="1:7" x14ac:dyDescent="0.2">
      <c r="A394" s="11">
        <v>35639</v>
      </c>
      <c r="B394" s="10">
        <v>136.8954</v>
      </c>
      <c r="E394" s="13">
        <f t="shared" si="18"/>
        <v>9.0913614947512819E-4</v>
      </c>
      <c r="F394" s="9">
        <f t="shared" si="16"/>
        <v>7.7961107127531376E-2</v>
      </c>
      <c r="G394" s="9">
        <f t="shared" si="17"/>
        <v>7.7742512175344872E-3</v>
      </c>
    </row>
    <row r="395" spans="1:7" x14ac:dyDescent="0.2">
      <c r="A395" s="11">
        <v>35640</v>
      </c>
      <c r="B395" s="10">
        <v>136.196</v>
      </c>
      <c r="E395" s="13">
        <f t="shared" si="18"/>
        <v>-5.1221058526121042E-3</v>
      </c>
      <c r="F395" s="9">
        <f t="shared" si="16"/>
        <v>7.9485944723637125E-2</v>
      </c>
      <c r="G395" s="9">
        <f t="shared" si="17"/>
        <v>7.71377928831874E-3</v>
      </c>
    </row>
    <row r="396" spans="1:7" x14ac:dyDescent="0.2">
      <c r="A396" s="11">
        <v>35641</v>
      </c>
      <c r="B396" s="10">
        <v>137.9134</v>
      </c>
      <c r="E396" s="13">
        <f t="shared" si="18"/>
        <v>1.2530927233522922E-2</v>
      </c>
      <c r="F396" s="9">
        <f t="shared" si="16"/>
        <v>8.4968045416270857E-2</v>
      </c>
      <c r="G396" s="9">
        <f t="shared" si="17"/>
        <v>7.888321116877128E-3</v>
      </c>
    </row>
    <row r="397" spans="1:7" x14ac:dyDescent="0.2">
      <c r="A397" s="11">
        <v>35642</v>
      </c>
      <c r="B397" s="10">
        <v>138.97110000000001</v>
      </c>
      <c r="E397" s="13">
        <f t="shared" si="18"/>
        <v>7.6400459025380701E-3</v>
      </c>
      <c r="F397" s="9">
        <f t="shared" si="16"/>
        <v>9.3366988356482591E-2</v>
      </c>
      <c r="G397" s="9">
        <f t="shared" si="17"/>
        <v>7.9022200617013694E-3</v>
      </c>
    </row>
    <row r="398" spans="1:7" x14ac:dyDescent="0.2">
      <c r="A398" s="11">
        <v>35643</v>
      </c>
      <c r="B398" s="10">
        <v>138.6148</v>
      </c>
      <c r="E398" s="13">
        <f t="shared" si="18"/>
        <v>-2.5671346828021035E-3</v>
      </c>
      <c r="F398" s="9">
        <f t="shared" si="16"/>
        <v>9.1843190993094764E-2</v>
      </c>
      <c r="G398" s="9">
        <f t="shared" si="17"/>
        <v>7.9365693855346781E-3</v>
      </c>
    </row>
    <row r="399" spans="1:7" x14ac:dyDescent="0.2">
      <c r="A399" s="11">
        <v>35646</v>
      </c>
      <c r="B399" s="10">
        <v>139.20859999999999</v>
      </c>
      <c r="E399" s="13">
        <f t="shared" si="18"/>
        <v>4.2746644393279751E-3</v>
      </c>
      <c r="F399" s="9">
        <f t="shared" si="16"/>
        <v>9.0705136199699471E-2</v>
      </c>
      <c r="G399" s="9">
        <f t="shared" si="17"/>
        <v>7.9278774874255217E-3</v>
      </c>
    </row>
    <row r="400" spans="1:7" x14ac:dyDescent="0.2">
      <c r="A400" s="11">
        <v>35647</v>
      </c>
      <c r="B400" s="10">
        <v>140.8639</v>
      </c>
      <c r="E400" s="13">
        <f t="shared" si="18"/>
        <v>1.1820648398046031E-2</v>
      </c>
      <c r="F400" s="9">
        <f t="shared" si="16"/>
        <v>9.8279573704495526E-2</v>
      </c>
      <c r="G400" s="9">
        <f t="shared" si="17"/>
        <v>8.0891720802045708E-3</v>
      </c>
    </row>
    <row r="401" spans="1:7" x14ac:dyDescent="0.2">
      <c r="A401" s="11">
        <v>35648</v>
      </c>
      <c r="B401" s="10">
        <v>142.44929999999999</v>
      </c>
      <c r="E401" s="13">
        <f t="shared" si="18"/>
        <v>1.1191970927773921E-2</v>
      </c>
      <c r="F401" s="9">
        <f t="shared" si="16"/>
        <v>0.10293662729787866</v>
      </c>
      <c r="G401" s="9">
        <f t="shared" si="17"/>
        <v>8.1993333543193027E-3</v>
      </c>
    </row>
    <row r="402" spans="1:7" x14ac:dyDescent="0.2">
      <c r="A402" s="11">
        <v>35649</v>
      </c>
      <c r="B402" s="10">
        <v>143.70869999999999</v>
      </c>
      <c r="E402" s="13">
        <f t="shared" si="18"/>
        <v>8.8021871229033034E-3</v>
      </c>
      <c r="F402" s="9">
        <f t="shared" si="16"/>
        <v>0.10661793744847052</v>
      </c>
      <c r="G402" s="9">
        <f t="shared" si="17"/>
        <v>8.2528518600933267E-3</v>
      </c>
    </row>
    <row r="403" spans="1:7" x14ac:dyDescent="0.2">
      <c r="A403" s="11">
        <v>35650</v>
      </c>
      <c r="B403" s="10">
        <v>142.6379</v>
      </c>
      <c r="E403" s="13">
        <f t="shared" si="18"/>
        <v>-7.4790829813376151E-3</v>
      </c>
      <c r="F403" s="9">
        <f t="shared" si="16"/>
        <v>9.8351088478002502E-2</v>
      </c>
      <c r="G403" s="9">
        <f t="shared" si="17"/>
        <v>8.4954045031099008E-3</v>
      </c>
    </row>
    <row r="404" spans="1:7" x14ac:dyDescent="0.2">
      <c r="A404" s="11">
        <v>35653</v>
      </c>
      <c r="B404" s="10">
        <v>142.35130000000001</v>
      </c>
      <c r="E404" s="13">
        <f t="shared" si="18"/>
        <v>-2.0113049660575202E-3</v>
      </c>
      <c r="F404" s="9">
        <f t="shared" si="16"/>
        <v>8.4669027777967615E-2</v>
      </c>
      <c r="G404" s="9">
        <f t="shared" si="17"/>
        <v>8.3985542012286769E-3</v>
      </c>
    </row>
    <row r="405" spans="1:7" x14ac:dyDescent="0.2">
      <c r="A405" s="11">
        <v>35654</v>
      </c>
      <c r="B405" s="10">
        <v>143.2072</v>
      </c>
      <c r="E405" s="13">
        <f t="shared" si="18"/>
        <v>5.9945864897533157E-3</v>
      </c>
      <c r="F405" s="9">
        <f t="shared" si="16"/>
        <v>8.1124010544948263E-2</v>
      </c>
      <c r="G405" s="9">
        <f t="shared" si="17"/>
        <v>8.3242285163524759E-3</v>
      </c>
    </row>
    <row r="406" spans="1:7" x14ac:dyDescent="0.2">
      <c r="A406" s="11">
        <v>35655</v>
      </c>
      <c r="B406" s="10">
        <v>140.845</v>
      </c>
      <c r="E406" s="13">
        <f t="shared" si="18"/>
        <v>-1.6632537657448737E-2</v>
      </c>
      <c r="F406" s="9">
        <f t="shared" si="16"/>
        <v>5.385444102541851E-2</v>
      </c>
      <c r="G406" s="9">
        <f t="shared" si="17"/>
        <v>8.925519188998662E-3</v>
      </c>
    </row>
    <row r="407" spans="1:7" x14ac:dyDescent="0.2">
      <c r="A407" s="11">
        <v>35656</v>
      </c>
      <c r="B407" s="10">
        <v>139.89109999999999</v>
      </c>
      <c r="E407" s="13">
        <f t="shared" si="18"/>
        <v>-6.7957321561379321E-3</v>
      </c>
      <c r="F407" s="9">
        <f t="shared" si="16"/>
        <v>4.1115092805500117E-2</v>
      </c>
      <c r="G407" s="9">
        <f t="shared" si="17"/>
        <v>9.0300912944916954E-3</v>
      </c>
    </row>
    <row r="408" spans="1:7" x14ac:dyDescent="0.2">
      <c r="A408" s="11">
        <v>35657</v>
      </c>
      <c r="B408" s="10">
        <v>138.4281</v>
      </c>
      <c r="E408" s="13">
        <f t="shared" si="18"/>
        <v>-1.0513205521705768E-2</v>
      </c>
      <c r="F408" s="9">
        <f t="shared" si="16"/>
        <v>2.8133540075270535E-2</v>
      </c>
      <c r="G408" s="9">
        <f t="shared" si="17"/>
        <v>9.2940544725706783E-3</v>
      </c>
    </row>
    <row r="409" spans="1:7" x14ac:dyDescent="0.2">
      <c r="A409" s="11">
        <v>35660</v>
      </c>
      <c r="B409" s="10">
        <v>136.22989999999999</v>
      </c>
      <c r="E409" s="13">
        <f t="shared" si="18"/>
        <v>-1.600715753190364E-2</v>
      </c>
      <c r="F409" s="9">
        <f t="shared" si="16"/>
        <v>1.3009466854278078E-2</v>
      </c>
      <c r="G409" s="9">
        <f t="shared" si="17"/>
        <v>9.8116743598096069E-3</v>
      </c>
    </row>
    <row r="410" spans="1:7" x14ac:dyDescent="0.2">
      <c r="A410" s="11">
        <v>35661</v>
      </c>
      <c r="B410" s="10">
        <v>137.30260000000001</v>
      </c>
      <c r="E410" s="13">
        <f t="shared" si="18"/>
        <v>7.8433495047403479E-3</v>
      </c>
      <c r="F410" s="9">
        <f t="shared" si="16"/>
        <v>2.6702458944496261E-2</v>
      </c>
      <c r="G410" s="9">
        <f t="shared" si="17"/>
        <v>9.8272210373039712E-3</v>
      </c>
    </row>
    <row r="411" spans="1:7" x14ac:dyDescent="0.2">
      <c r="A411" s="11">
        <v>35662</v>
      </c>
      <c r="B411" s="10">
        <v>137.07069999999999</v>
      </c>
      <c r="E411" s="13">
        <f t="shared" si="18"/>
        <v>-1.6903981197890455E-3</v>
      </c>
      <c r="F411" s="9">
        <f t="shared" si="16"/>
        <v>2.7779851817179908E-2</v>
      </c>
      <c r="G411" s="9">
        <f t="shared" si="17"/>
        <v>9.8148072051592455E-3</v>
      </c>
    </row>
    <row r="412" spans="1:7" x14ac:dyDescent="0.2">
      <c r="A412" s="11">
        <v>35663</v>
      </c>
      <c r="B412" s="10">
        <v>137.07640000000001</v>
      </c>
      <c r="E412" s="13">
        <f t="shared" si="18"/>
        <v>4.1583514841785271E-5</v>
      </c>
      <c r="F412" s="9">
        <f t="shared" si="16"/>
        <v>1.8727425894212373E-2</v>
      </c>
      <c r="G412" s="9">
        <f t="shared" si="17"/>
        <v>9.6899624489052757E-3</v>
      </c>
    </row>
    <row r="413" spans="1:7" x14ac:dyDescent="0.2">
      <c r="A413" s="11">
        <v>35664</v>
      </c>
      <c r="B413" s="10">
        <v>135.30609999999999</v>
      </c>
      <c r="E413" s="13">
        <f t="shared" si="18"/>
        <v>-1.2998815468039085E-2</v>
      </c>
      <c r="F413" s="9">
        <f t="shared" si="16"/>
        <v>6.4714538999432556E-3</v>
      </c>
      <c r="G413" s="9">
        <f t="shared" si="17"/>
        <v>1.0014520447261392E-2</v>
      </c>
    </row>
    <row r="414" spans="1:7" x14ac:dyDescent="0.2">
      <c r="A414" s="11">
        <v>35667</v>
      </c>
      <c r="B414" s="10">
        <v>135.2628</v>
      </c>
      <c r="E414" s="13">
        <f t="shared" si="18"/>
        <v>-3.2006635182122312E-4</v>
      </c>
      <c r="F414" s="9">
        <f t="shared" si="16"/>
        <v>-5.2919987103321425E-4</v>
      </c>
      <c r="G414" s="9">
        <f t="shared" si="17"/>
        <v>9.9373825589222035E-3</v>
      </c>
    </row>
    <row r="415" spans="1:7" x14ac:dyDescent="0.2">
      <c r="A415" s="11">
        <v>35668</v>
      </c>
      <c r="B415" s="10">
        <v>134.36160000000001</v>
      </c>
      <c r="E415" s="13">
        <f t="shared" si="18"/>
        <v>-6.6848798256954646E-3</v>
      </c>
      <c r="F415" s="9">
        <f t="shared" si="16"/>
        <v>-2.3024514759766138E-2</v>
      </c>
      <c r="G415" s="9">
        <f t="shared" si="17"/>
        <v>9.5272000689307617E-3</v>
      </c>
    </row>
    <row r="416" spans="1:7" x14ac:dyDescent="0.2">
      <c r="A416" s="11">
        <v>35669</v>
      </c>
      <c r="B416" s="10">
        <v>134.3107</v>
      </c>
      <c r="E416" s="13">
        <f t="shared" si="18"/>
        <v>-3.7890024843624775E-4</v>
      </c>
      <c r="F416" s="9">
        <f t="shared" ref="F416:F479" si="19">LN(B416/B387)</f>
        <v>-1.9212556739365356E-2</v>
      </c>
      <c r="G416" s="9">
        <f t="shared" si="17"/>
        <v>9.5049298369503116E-3</v>
      </c>
    </row>
    <row r="417" spans="1:7" x14ac:dyDescent="0.2">
      <c r="A417" s="11">
        <v>35670</v>
      </c>
      <c r="B417" s="10">
        <v>134.78020000000001</v>
      </c>
      <c r="E417" s="13">
        <f t="shared" si="18"/>
        <v>3.4895306858623259E-3</v>
      </c>
      <c r="F417" s="9">
        <f t="shared" si="19"/>
        <v>-1.2019762497834125E-3</v>
      </c>
      <c r="G417" s="9">
        <f t="shared" ref="G417:G480" si="20">STDEV(E389:E417)</f>
        <v>9.1488052075632074E-3</v>
      </c>
    </row>
    <row r="418" spans="1:7" x14ac:dyDescent="0.2">
      <c r="A418" s="11">
        <v>35671</v>
      </c>
      <c r="B418" s="10">
        <v>136.13380000000001</v>
      </c>
      <c r="E418" s="13">
        <f t="shared" si="18"/>
        <v>9.9929222116200006E-3</v>
      </c>
      <c r="F418" s="9">
        <f t="shared" si="19"/>
        <v>2.068047275313982E-2</v>
      </c>
      <c r="G418" s="9">
        <f t="shared" si="20"/>
        <v>9.0384449528301148E-3</v>
      </c>
    </row>
    <row r="419" spans="1:7" x14ac:dyDescent="0.2">
      <c r="A419" s="11">
        <v>35674</v>
      </c>
      <c r="B419" s="10">
        <v>137.80029999999999</v>
      </c>
      <c r="E419" s="13">
        <f t="shared" si="18"/>
        <v>1.2167310017124683E-2</v>
      </c>
      <c r="F419" s="9">
        <f t="shared" si="19"/>
        <v>2.4555140481636716E-2</v>
      </c>
      <c r="G419" s="9">
        <f t="shared" si="20"/>
        <v>9.1819879228128877E-3</v>
      </c>
    </row>
    <row r="420" spans="1:7" x14ac:dyDescent="0.2">
      <c r="A420" s="11">
        <v>35675</v>
      </c>
      <c r="B420" s="10">
        <v>139.2576</v>
      </c>
      <c r="E420" s="13">
        <f t="shared" si="18"/>
        <v>1.0519919769608073E-2</v>
      </c>
      <c r="F420" s="9">
        <f t="shared" si="19"/>
        <v>1.4096692902293997E-2</v>
      </c>
      <c r="G420" s="9">
        <f t="shared" si="20"/>
        <v>8.5464389507673936E-3</v>
      </c>
    </row>
    <row r="421" spans="1:7" x14ac:dyDescent="0.2">
      <c r="A421" s="11">
        <v>35676</v>
      </c>
      <c r="B421" s="10">
        <v>139.02950000000001</v>
      </c>
      <c r="E421" s="13">
        <f t="shared" si="18"/>
        <v>-1.6393145861383254E-3</v>
      </c>
      <c r="F421" s="9">
        <f t="shared" si="19"/>
        <v>1.4519100934184136E-2</v>
      </c>
      <c r="G421" s="9">
        <f t="shared" si="20"/>
        <v>8.5423005539075302E-3</v>
      </c>
    </row>
    <row r="422" spans="1:7" x14ac:dyDescent="0.2">
      <c r="A422" s="11">
        <v>35677</v>
      </c>
      <c r="B422" s="10">
        <v>139.08799999999999</v>
      </c>
      <c r="E422" s="13">
        <f t="shared" si="18"/>
        <v>4.2068550783557016E-4</v>
      </c>
      <c r="F422" s="9">
        <f t="shared" si="19"/>
        <v>1.6798831925048708E-2</v>
      </c>
      <c r="G422" s="9">
        <f t="shared" si="20"/>
        <v>8.5302908682432267E-3</v>
      </c>
    </row>
    <row r="423" spans="1:7" x14ac:dyDescent="0.2">
      <c r="A423" s="11">
        <v>35678</v>
      </c>
      <c r="B423" s="10">
        <v>139.69309999999999</v>
      </c>
      <c r="E423" s="13">
        <f t="shared" si="18"/>
        <v>4.3410471530761462E-3</v>
      </c>
      <c r="F423" s="9">
        <f t="shared" si="19"/>
        <v>2.0230742928649608E-2</v>
      </c>
      <c r="G423" s="9">
        <f t="shared" si="20"/>
        <v>8.5587886349657583E-3</v>
      </c>
    </row>
    <row r="424" spans="1:7" x14ac:dyDescent="0.2">
      <c r="A424" s="11">
        <v>35681</v>
      </c>
      <c r="B424" s="10">
        <v>139.6611</v>
      </c>
      <c r="E424" s="13">
        <f t="shared" si="18"/>
        <v>-2.2909983196925626E-4</v>
      </c>
      <c r="F424" s="9">
        <f t="shared" si="19"/>
        <v>2.5123748949292576E-2</v>
      </c>
      <c r="G424" s="9">
        <f t="shared" si="20"/>
        <v>8.4878995225825538E-3</v>
      </c>
    </row>
    <row r="425" spans="1:7" x14ac:dyDescent="0.2">
      <c r="A425" s="11">
        <v>35682</v>
      </c>
      <c r="B425" s="10">
        <v>140.1456</v>
      </c>
      <c r="E425" s="13">
        <f t="shared" si="18"/>
        <v>3.4631085261513624E-3</v>
      </c>
      <c r="F425" s="9">
        <f t="shared" si="19"/>
        <v>1.6055930241920993E-2</v>
      </c>
      <c r="G425" s="9">
        <f t="shared" si="20"/>
        <v>8.2051583473397565E-3</v>
      </c>
    </row>
    <row r="426" spans="1:7" x14ac:dyDescent="0.2">
      <c r="A426" s="11">
        <v>35683</v>
      </c>
      <c r="B426" s="10">
        <v>139.47819999999999</v>
      </c>
      <c r="E426" s="13">
        <f t="shared" si="18"/>
        <v>-4.7735655357841952E-3</v>
      </c>
      <c r="F426" s="9">
        <f t="shared" si="19"/>
        <v>3.6423188035986528E-3</v>
      </c>
      <c r="G426" s="9">
        <f t="shared" si="20"/>
        <v>8.1458535241429667E-3</v>
      </c>
    </row>
    <row r="427" spans="1:7" x14ac:dyDescent="0.2">
      <c r="A427" s="11">
        <v>35684</v>
      </c>
      <c r="B427" s="10">
        <v>138.7561</v>
      </c>
      <c r="E427" s="13">
        <f t="shared" si="18"/>
        <v>-5.1906010240613922E-3</v>
      </c>
      <c r="F427" s="9">
        <f t="shared" si="19"/>
        <v>1.0188524623394035E-3</v>
      </c>
      <c r="G427" s="9">
        <f t="shared" si="20"/>
        <v>8.1912668176912697E-3</v>
      </c>
    </row>
    <row r="428" spans="1:7" x14ac:dyDescent="0.2">
      <c r="A428" s="11">
        <v>35685</v>
      </c>
      <c r="B428" s="10">
        <v>137.90969999999999</v>
      </c>
      <c r="E428" s="13">
        <f t="shared" si="18"/>
        <v>-6.1185924719791051E-3</v>
      </c>
      <c r="F428" s="9">
        <f t="shared" si="19"/>
        <v>-9.3744044489675101E-3</v>
      </c>
      <c r="G428" s="9">
        <f t="shared" si="20"/>
        <v>8.226442003403122E-3</v>
      </c>
    </row>
    <row r="429" spans="1:7" x14ac:dyDescent="0.2">
      <c r="A429" s="11">
        <v>35688</v>
      </c>
      <c r="B429" s="10">
        <v>137.5515</v>
      </c>
      <c r="E429" s="13">
        <f t="shared" si="18"/>
        <v>-2.6007307156100451E-3</v>
      </c>
      <c r="F429" s="9">
        <f t="shared" si="19"/>
        <v>-2.3795783562623546E-2</v>
      </c>
      <c r="G429" s="9">
        <f t="shared" si="20"/>
        <v>7.8953481992028E-3</v>
      </c>
    </row>
    <row r="430" spans="1:7" x14ac:dyDescent="0.2">
      <c r="A430" s="11">
        <v>35689</v>
      </c>
      <c r="B430" s="10">
        <v>137.79839999999999</v>
      </c>
      <c r="E430" s="13">
        <f t="shared" si="18"/>
        <v>1.7933550451385443E-3</v>
      </c>
      <c r="F430" s="9">
        <f t="shared" si="19"/>
        <v>-3.3194399445258913E-2</v>
      </c>
      <c r="G430" s="9">
        <f t="shared" si="20"/>
        <v>7.5708760540561656E-3</v>
      </c>
    </row>
    <row r="431" spans="1:7" x14ac:dyDescent="0.2">
      <c r="A431" s="11">
        <v>35690</v>
      </c>
      <c r="B431" s="10">
        <v>138.15479999999999</v>
      </c>
      <c r="E431" s="13">
        <f t="shared" si="18"/>
        <v>2.5830481267292895E-3</v>
      </c>
      <c r="F431" s="9">
        <f t="shared" si="19"/>
        <v>-3.9413538441432888E-2</v>
      </c>
      <c r="G431" s="9">
        <f t="shared" si="20"/>
        <v>7.3643233679621745E-3</v>
      </c>
    </row>
    <row r="432" spans="1:7" x14ac:dyDescent="0.2">
      <c r="A432" s="11">
        <v>35691</v>
      </c>
      <c r="B432" s="10">
        <v>138.8278</v>
      </c>
      <c r="E432" s="13">
        <f t="shared" si="18"/>
        <v>4.8595205937416184E-3</v>
      </c>
      <c r="F432" s="9">
        <f t="shared" si="19"/>
        <v>-2.7074934866353643E-2</v>
      </c>
      <c r="G432" s="9">
        <f t="shared" si="20"/>
        <v>7.3545376930906218E-3</v>
      </c>
    </row>
    <row r="433" spans="1:7" x14ac:dyDescent="0.2">
      <c r="A433" s="11">
        <v>35692</v>
      </c>
      <c r="B433" s="10">
        <v>139.02760000000001</v>
      </c>
      <c r="E433" s="13">
        <f t="shared" si="18"/>
        <v>1.4381583689731026E-3</v>
      </c>
      <c r="F433" s="9">
        <f t="shared" si="19"/>
        <v>-2.3625471531322943E-2</v>
      </c>
      <c r="G433" s="9">
        <f t="shared" si="20"/>
        <v>7.3643734692965639E-3</v>
      </c>
    </row>
    <row r="434" spans="1:7" x14ac:dyDescent="0.2">
      <c r="A434" s="11">
        <v>35695</v>
      </c>
      <c r="B434" s="10">
        <v>139.6215</v>
      </c>
      <c r="E434" s="13">
        <f t="shared" si="18"/>
        <v>4.2627153599279202E-3</v>
      </c>
      <c r="F434" s="9">
        <f t="shared" si="19"/>
        <v>-2.5357342661148485E-2</v>
      </c>
      <c r="G434" s="9">
        <f t="shared" si="20"/>
        <v>7.3140333338510312E-3</v>
      </c>
    </row>
    <row r="435" spans="1:7" x14ac:dyDescent="0.2">
      <c r="A435" s="11">
        <v>35696</v>
      </c>
      <c r="B435" s="10">
        <v>138.86359999999999</v>
      </c>
      <c r="E435" s="13">
        <f t="shared" si="18"/>
        <v>-5.4430335494908763E-3</v>
      </c>
      <c r="F435" s="9">
        <f t="shared" si="19"/>
        <v>-1.416783855319065E-2</v>
      </c>
      <c r="G435" s="9">
        <f t="shared" si="20"/>
        <v>6.7244177620164767E-3</v>
      </c>
    </row>
    <row r="436" spans="1:7" x14ac:dyDescent="0.2">
      <c r="A436" s="11">
        <v>35697</v>
      </c>
      <c r="B436" s="10">
        <v>139.12379999999999</v>
      </c>
      <c r="E436" s="13">
        <f t="shared" si="18"/>
        <v>1.8720278400314709E-3</v>
      </c>
      <c r="F436" s="9">
        <f t="shared" si="19"/>
        <v>-5.5000785570212063E-3</v>
      </c>
      <c r="G436" s="9">
        <f t="shared" si="20"/>
        <v>6.6259750258131616E-3</v>
      </c>
    </row>
    <row r="437" spans="1:7" x14ac:dyDescent="0.2">
      <c r="A437" s="11">
        <v>35698</v>
      </c>
      <c r="B437" s="10">
        <v>139.75530000000001</v>
      </c>
      <c r="E437" s="13">
        <f t="shared" si="18"/>
        <v>4.5288519603276451E-3</v>
      </c>
      <c r="F437" s="9">
        <f t="shared" si="19"/>
        <v>9.5419789250123874E-3</v>
      </c>
      <c r="G437" s="9">
        <f t="shared" si="20"/>
        <v>6.3728939686904977E-3</v>
      </c>
    </row>
    <row r="438" spans="1:7" x14ac:dyDescent="0.2">
      <c r="A438" s="11">
        <v>35699</v>
      </c>
      <c r="B438" s="10">
        <v>140.0419</v>
      </c>
      <c r="E438" s="13">
        <f t="shared" si="18"/>
        <v>2.0486273646434894E-3</v>
      </c>
      <c r="F438" s="9">
        <f t="shared" si="19"/>
        <v>2.7597763821559547E-2</v>
      </c>
      <c r="G438" s="9">
        <f t="shared" si="20"/>
        <v>5.5485836547883608E-3</v>
      </c>
    </row>
    <row r="439" spans="1:7" x14ac:dyDescent="0.2">
      <c r="A439" s="11">
        <v>35702</v>
      </c>
      <c r="B439" s="10">
        <v>140.41139999999999</v>
      </c>
      <c r="E439" s="13">
        <f t="shared" si="18"/>
        <v>2.635021330088836E-3</v>
      </c>
      <c r="F439" s="9">
        <f t="shared" si="19"/>
        <v>2.2389435646907915E-2</v>
      </c>
      <c r="G439" s="9">
        <f t="shared" si="20"/>
        <v>5.3998433815022843E-3</v>
      </c>
    </row>
    <row r="440" spans="1:7" x14ac:dyDescent="0.2">
      <c r="A440" s="11">
        <v>35703</v>
      </c>
      <c r="B440" s="10">
        <v>141.13339999999999</v>
      </c>
      <c r="E440" s="13">
        <f t="shared" si="18"/>
        <v>5.1288575224566167E-3</v>
      </c>
      <c r="F440" s="9">
        <f t="shared" si="19"/>
        <v>2.9208691289153807E-2</v>
      </c>
      <c r="G440" s="9">
        <f t="shared" si="20"/>
        <v>5.4371317322647415E-3</v>
      </c>
    </row>
    <row r="441" spans="1:7" x14ac:dyDescent="0.2">
      <c r="A441" s="11">
        <v>35704</v>
      </c>
      <c r="B441" s="10">
        <v>140.95249999999999</v>
      </c>
      <c r="E441" s="13">
        <f t="shared" si="18"/>
        <v>-1.2825882101789971E-3</v>
      </c>
      <c r="F441" s="9">
        <f t="shared" si="19"/>
        <v>2.7884519564132872E-2</v>
      </c>
      <c r="G441" s="9">
        <f t="shared" si="20"/>
        <v>5.4510729057478582E-3</v>
      </c>
    </row>
    <row r="442" spans="1:7" x14ac:dyDescent="0.2">
      <c r="A442" s="11">
        <v>35705</v>
      </c>
      <c r="B442" s="10">
        <v>141.61420000000001</v>
      </c>
      <c r="E442" s="13">
        <f t="shared" si="18"/>
        <v>4.6835045286219689E-3</v>
      </c>
      <c r="F442" s="9">
        <f t="shared" si="19"/>
        <v>4.5566839560793965E-2</v>
      </c>
      <c r="G442" s="9">
        <f t="shared" si="20"/>
        <v>4.7815778068828092E-3</v>
      </c>
    </row>
    <row r="443" spans="1:7" x14ac:dyDescent="0.2">
      <c r="A443" s="11">
        <v>35706</v>
      </c>
      <c r="B443" s="10">
        <v>143.6842</v>
      </c>
      <c r="E443" s="13">
        <f t="shared" si="18"/>
        <v>1.4511377034946326E-2</v>
      </c>
      <c r="F443" s="9">
        <f t="shared" si="19"/>
        <v>6.0398282947561326E-2</v>
      </c>
      <c r="G443" s="9">
        <f t="shared" si="20"/>
        <v>5.3333907489646762E-3</v>
      </c>
    </row>
    <row r="444" spans="1:7" x14ac:dyDescent="0.2">
      <c r="A444" s="11">
        <v>35709</v>
      </c>
      <c r="B444" s="10">
        <v>144.23660000000001</v>
      </c>
      <c r="E444" s="13">
        <f t="shared" si="18"/>
        <v>3.8371710400165542E-3</v>
      </c>
      <c r="F444" s="9">
        <f t="shared" si="19"/>
        <v>7.0920333813273215E-2</v>
      </c>
      <c r="G444" s="9">
        <f t="shared" si="20"/>
        <v>5.0668798827829499E-3</v>
      </c>
    </row>
    <row r="445" spans="1:7" x14ac:dyDescent="0.2">
      <c r="A445" s="11">
        <v>35710</v>
      </c>
      <c r="B445" s="10">
        <v>145.44120000000001</v>
      </c>
      <c r="E445" s="13">
        <f t="shared" si="18"/>
        <v>8.316874427707982E-3</v>
      </c>
      <c r="F445" s="9">
        <f t="shared" si="19"/>
        <v>7.9616108489417345E-2</v>
      </c>
      <c r="G445" s="9">
        <f t="shared" si="20"/>
        <v>5.1503794740362964E-3</v>
      </c>
    </row>
    <row r="446" spans="1:7" x14ac:dyDescent="0.2">
      <c r="A446" s="11">
        <v>35711</v>
      </c>
      <c r="B446" s="10">
        <v>144.78890000000001</v>
      </c>
      <c r="E446" s="13">
        <f t="shared" si="18"/>
        <v>-4.4950616654940217E-3</v>
      </c>
      <c r="F446" s="9">
        <f t="shared" si="19"/>
        <v>7.1631516138061097E-2</v>
      </c>
      <c r="G446" s="9">
        <f t="shared" si="20"/>
        <v>5.3198124442430149E-3</v>
      </c>
    </row>
    <row r="447" spans="1:7" x14ac:dyDescent="0.2">
      <c r="A447" s="11">
        <v>35712</v>
      </c>
      <c r="B447" s="10">
        <v>144.48349999999999</v>
      </c>
      <c r="E447" s="13">
        <f t="shared" si="18"/>
        <v>-2.1115053732584641E-3</v>
      </c>
      <c r="F447" s="9">
        <f t="shared" si="19"/>
        <v>5.9527088553182401E-2</v>
      </c>
      <c r="G447" s="9">
        <f t="shared" si="20"/>
        <v>5.1815472964925327E-3</v>
      </c>
    </row>
    <row r="448" spans="1:7" x14ac:dyDescent="0.2">
      <c r="A448" s="11">
        <v>35713</v>
      </c>
      <c r="B448" s="10">
        <v>144.5514</v>
      </c>
      <c r="E448" s="13">
        <f t="shared" si="18"/>
        <v>4.6983946401690156E-4</v>
      </c>
      <c r="F448" s="9">
        <f t="shared" si="19"/>
        <v>4.782961800007459E-2</v>
      </c>
      <c r="G448" s="9">
        <f t="shared" si="20"/>
        <v>4.8078690599473893E-3</v>
      </c>
    </row>
    <row r="449" spans="1:7" x14ac:dyDescent="0.2">
      <c r="A449" s="11">
        <v>35716</v>
      </c>
      <c r="B449" s="10">
        <v>146.4744</v>
      </c>
      <c r="E449" s="13">
        <f t="shared" si="18"/>
        <v>1.3215515514824005E-2</v>
      </c>
      <c r="F449" s="9">
        <f t="shared" si="19"/>
        <v>5.0525213745290641E-2</v>
      </c>
      <c r="G449" s="9">
        <f t="shared" si="20"/>
        <v>5.0074082216060283E-3</v>
      </c>
    </row>
    <row r="450" spans="1:7" x14ac:dyDescent="0.2">
      <c r="A450" s="11">
        <v>35717</v>
      </c>
      <c r="B450" s="10">
        <v>146.5592</v>
      </c>
      <c r="E450" s="13">
        <f t="shared" si="18"/>
        <v>5.7877323533662051E-4</v>
      </c>
      <c r="F450" s="9">
        <f t="shared" si="19"/>
        <v>5.2743301566765675E-2</v>
      </c>
      <c r="G450" s="9">
        <f t="shared" si="20"/>
        <v>4.9707174360868406E-3</v>
      </c>
    </row>
    <row r="451" spans="1:7" x14ac:dyDescent="0.2">
      <c r="A451" s="11">
        <v>35718</v>
      </c>
      <c r="B451" s="10">
        <v>145.99170000000001</v>
      </c>
      <c r="E451" s="13">
        <f t="shared" si="18"/>
        <v>-3.8796716183541785E-3</v>
      </c>
      <c r="F451" s="9">
        <f t="shared" si="19"/>
        <v>4.8442944440575883E-2</v>
      </c>
      <c r="G451" s="9">
        <f t="shared" si="20"/>
        <v>5.0769243034664655E-3</v>
      </c>
    </row>
    <row r="452" spans="1:7" x14ac:dyDescent="0.2">
      <c r="A452" s="11">
        <v>35719</v>
      </c>
      <c r="B452" s="10">
        <v>148.3125</v>
      </c>
      <c r="E452" s="13">
        <f t="shared" ref="E452:E515" si="21">LN(B452/B451)</f>
        <v>1.5771763418697776E-2</v>
      </c>
      <c r="F452" s="9">
        <f t="shared" si="19"/>
        <v>5.9873660706197707E-2</v>
      </c>
      <c r="G452" s="9">
        <f t="shared" si="20"/>
        <v>5.6974742641453767E-3</v>
      </c>
    </row>
    <row r="453" spans="1:7" x14ac:dyDescent="0.2">
      <c r="A453" s="11">
        <v>35720</v>
      </c>
      <c r="B453" s="10">
        <v>146.90610000000001</v>
      </c>
      <c r="E453" s="13">
        <f t="shared" si="21"/>
        <v>-9.5279270314486235E-3</v>
      </c>
      <c r="F453" s="9">
        <f t="shared" si="19"/>
        <v>5.0574833506718354E-2</v>
      </c>
      <c r="G453" s="9">
        <f t="shared" si="20"/>
        <v>6.0799967497418214E-3</v>
      </c>
    </row>
    <row r="454" spans="1:7" x14ac:dyDescent="0.2">
      <c r="A454" s="11">
        <v>35723</v>
      </c>
      <c r="B454" s="10">
        <v>146.80430000000001</v>
      </c>
      <c r="E454" s="13">
        <f t="shared" si="21"/>
        <v>-6.9319985997409175E-4</v>
      </c>
      <c r="F454" s="9">
        <f t="shared" si="19"/>
        <v>4.6418525120592989E-2</v>
      </c>
      <c r="G454" s="9">
        <f t="shared" si="20"/>
        <v>6.0870080670492009E-3</v>
      </c>
    </row>
    <row r="455" spans="1:7" x14ac:dyDescent="0.2">
      <c r="A455" s="11">
        <v>35724</v>
      </c>
      <c r="B455" s="10">
        <v>149.37200000000001</v>
      </c>
      <c r="E455" s="13">
        <f t="shared" si="21"/>
        <v>1.7339431497527407E-2</v>
      </c>
      <c r="F455" s="9">
        <f t="shared" si="19"/>
        <v>6.8531522153904428E-2</v>
      </c>
      <c r="G455" s="9">
        <f t="shared" si="20"/>
        <v>6.6215671898221286E-3</v>
      </c>
    </row>
    <row r="456" spans="1:7" x14ac:dyDescent="0.2">
      <c r="A456" s="11">
        <v>35725</v>
      </c>
      <c r="B456" s="10">
        <v>148.9365</v>
      </c>
      <c r="E456" s="13">
        <f t="shared" si="21"/>
        <v>-2.9197981914324813E-3</v>
      </c>
      <c r="F456" s="9">
        <f t="shared" si="19"/>
        <v>7.0802324986533396E-2</v>
      </c>
      <c r="G456" s="9">
        <f t="shared" si="20"/>
        <v>6.541998399262219E-3</v>
      </c>
    </row>
    <row r="457" spans="1:7" x14ac:dyDescent="0.2">
      <c r="A457" s="11">
        <v>35726</v>
      </c>
      <c r="B457" s="10">
        <v>146.0521</v>
      </c>
      <c r="E457" s="13">
        <f t="shared" si="21"/>
        <v>-1.9556633242823286E-2</v>
      </c>
      <c r="F457" s="9">
        <f t="shared" si="19"/>
        <v>5.7364284215689239E-2</v>
      </c>
      <c r="G457" s="9">
        <f t="shared" si="20"/>
        <v>7.5657864067986821E-3</v>
      </c>
    </row>
    <row r="458" spans="1:7" x14ac:dyDescent="0.2">
      <c r="A458" s="11">
        <v>35727</v>
      </c>
      <c r="B458" s="10">
        <v>146.73259999999999</v>
      </c>
      <c r="E458" s="13">
        <f t="shared" si="21"/>
        <v>4.6484753156263089E-3</v>
      </c>
      <c r="F458" s="9">
        <f t="shared" si="19"/>
        <v>6.4613490246925559E-2</v>
      </c>
      <c r="G458" s="9">
        <f t="shared" si="20"/>
        <v>7.5287659990522018E-3</v>
      </c>
    </row>
    <row r="459" spans="1:7" x14ac:dyDescent="0.2">
      <c r="A459" s="11">
        <v>35730</v>
      </c>
      <c r="B459" s="10">
        <v>143.88030000000001</v>
      </c>
      <c r="E459" s="13">
        <f t="shared" si="21"/>
        <v>-1.9630178787315627E-2</v>
      </c>
      <c r="F459" s="9">
        <f t="shared" si="19"/>
        <v>4.3189956414471327E-2</v>
      </c>
      <c r="G459" s="9">
        <f t="shared" si="20"/>
        <v>8.5541795938553732E-3</v>
      </c>
    </row>
    <row r="460" spans="1:7" x14ac:dyDescent="0.2">
      <c r="A460" s="11">
        <v>35731</v>
      </c>
      <c r="B460" s="10">
        <v>136.0018</v>
      </c>
      <c r="E460" s="13">
        <f t="shared" si="21"/>
        <v>-5.6313582953557921E-2</v>
      </c>
      <c r="F460" s="9">
        <f t="shared" si="19"/>
        <v>-1.5706674665815906E-2</v>
      </c>
      <c r="G460" s="9">
        <f t="shared" si="20"/>
        <v>1.3718125999567315E-2</v>
      </c>
    </row>
    <row r="461" spans="1:7" x14ac:dyDescent="0.2">
      <c r="A461" s="11">
        <v>35732</v>
      </c>
      <c r="B461" s="10">
        <v>142.8245</v>
      </c>
      <c r="E461" s="13">
        <f t="shared" si="21"/>
        <v>4.8948482874137229E-2</v>
      </c>
      <c r="F461" s="9">
        <f t="shared" si="19"/>
        <v>2.8382287614579789E-2</v>
      </c>
      <c r="G461" s="9">
        <f t="shared" si="20"/>
        <v>1.6499246360053489E-2</v>
      </c>
    </row>
    <row r="462" spans="1:7" x14ac:dyDescent="0.2">
      <c r="A462" s="11">
        <v>35733</v>
      </c>
      <c r="B462" s="10">
        <v>139.5008</v>
      </c>
      <c r="E462" s="13">
        <f t="shared" si="21"/>
        <v>-2.3546267804719519E-2</v>
      </c>
      <c r="F462" s="9">
        <f t="shared" si="19"/>
        <v>3.3978614408869739E-3</v>
      </c>
      <c r="G462" s="9">
        <f t="shared" si="20"/>
        <v>1.7115199692091423E-2</v>
      </c>
    </row>
    <row r="463" spans="1:7" x14ac:dyDescent="0.2">
      <c r="A463" s="11">
        <v>35734</v>
      </c>
      <c r="B463" s="10">
        <v>138.61660000000001</v>
      </c>
      <c r="E463" s="13">
        <f t="shared" si="21"/>
        <v>-6.3584873081780407E-3</v>
      </c>
      <c r="F463" s="9">
        <f t="shared" si="19"/>
        <v>-7.2233412272189115E-3</v>
      </c>
      <c r="G463" s="9">
        <f t="shared" si="20"/>
        <v>1.7136948633294739E-2</v>
      </c>
    </row>
    <row r="464" spans="1:7" x14ac:dyDescent="0.2">
      <c r="A464" s="11">
        <v>35737</v>
      </c>
      <c r="B464" s="10">
        <v>140.29259999999999</v>
      </c>
      <c r="E464" s="13">
        <f t="shared" si="21"/>
        <v>1.2018392893828089E-2</v>
      </c>
      <c r="F464" s="9">
        <f t="shared" si="19"/>
        <v>1.023808521610018E-2</v>
      </c>
      <c r="G464" s="9">
        <f t="shared" si="20"/>
        <v>1.7254295695287462E-2</v>
      </c>
    </row>
    <row r="465" spans="1:7" x14ac:dyDescent="0.2">
      <c r="A465" s="11">
        <v>35738</v>
      </c>
      <c r="B465" s="10">
        <v>138.75049999999999</v>
      </c>
      <c r="E465" s="13">
        <f t="shared" si="21"/>
        <v>-1.105288537399733E-2</v>
      </c>
      <c r="F465" s="9">
        <f t="shared" si="19"/>
        <v>-2.686827997928712E-3</v>
      </c>
      <c r="G465" s="9">
        <f t="shared" si="20"/>
        <v>1.7380127650172508E-2</v>
      </c>
    </row>
    <row r="466" spans="1:7" x14ac:dyDescent="0.2">
      <c r="A466" s="11">
        <v>35739</v>
      </c>
      <c r="B466" s="10">
        <v>139.4537</v>
      </c>
      <c r="E466" s="13">
        <f t="shared" si="21"/>
        <v>5.0552903053125995E-3</v>
      </c>
      <c r="F466" s="9">
        <f t="shared" si="19"/>
        <v>-2.1603896529438175E-3</v>
      </c>
      <c r="G466" s="9">
        <f t="shared" si="20"/>
        <v>1.7385401194655283E-2</v>
      </c>
    </row>
    <row r="467" spans="1:7" x14ac:dyDescent="0.2">
      <c r="A467" s="11">
        <v>35740</v>
      </c>
      <c r="B467" s="10">
        <v>139.67240000000001</v>
      </c>
      <c r="E467" s="13">
        <f t="shared" si="21"/>
        <v>1.5670340018596556E-3</v>
      </c>
      <c r="F467" s="9">
        <f t="shared" si="19"/>
        <v>-2.6419830157277629E-3</v>
      </c>
      <c r="G467" s="9">
        <f t="shared" si="20"/>
        <v>1.7383530651629737E-2</v>
      </c>
    </row>
    <row r="468" spans="1:7" x14ac:dyDescent="0.2">
      <c r="A468" s="11">
        <v>35741</v>
      </c>
      <c r="B468" s="10">
        <v>138.1189</v>
      </c>
      <c r="E468" s="13">
        <f t="shared" si="21"/>
        <v>-1.1184772129946568E-2</v>
      </c>
      <c r="F468" s="9">
        <f t="shared" si="19"/>
        <v>-1.6461776475762982E-2</v>
      </c>
      <c r="G468" s="9">
        <f t="shared" si="20"/>
        <v>1.7495195114226678E-2</v>
      </c>
    </row>
    <row r="469" spans="1:7" x14ac:dyDescent="0.2">
      <c r="A469" s="11">
        <v>35744</v>
      </c>
      <c r="B469" s="10">
        <v>137.65889999999999</v>
      </c>
      <c r="E469" s="13">
        <f t="shared" si="21"/>
        <v>-3.3360221643168966E-3</v>
      </c>
      <c r="F469" s="9">
        <f t="shared" si="19"/>
        <v>-2.4926656162536618E-2</v>
      </c>
      <c r="G469" s="9">
        <f t="shared" si="20"/>
        <v>1.7467351947595168E-2</v>
      </c>
    </row>
    <row r="470" spans="1:7" x14ac:dyDescent="0.2">
      <c r="A470" s="11">
        <v>35745</v>
      </c>
      <c r="B470" s="10">
        <v>137.20840000000001</v>
      </c>
      <c r="E470" s="13">
        <f t="shared" si="21"/>
        <v>-3.2779483291250962E-3</v>
      </c>
      <c r="F470" s="9">
        <f t="shared" si="19"/>
        <v>-2.6922016281482657E-2</v>
      </c>
      <c r="G470" s="9">
        <f t="shared" si="20"/>
        <v>1.747300692855111E-2</v>
      </c>
    </row>
    <row r="471" spans="1:7" x14ac:dyDescent="0.2">
      <c r="A471" s="11">
        <v>35746</v>
      </c>
      <c r="B471" s="10">
        <v>134.21459999999999</v>
      </c>
      <c r="E471" s="13">
        <f t="shared" si="21"/>
        <v>-2.206092644087166E-2</v>
      </c>
      <c r="F471" s="9">
        <f t="shared" si="19"/>
        <v>-5.3666447250976239E-2</v>
      </c>
      <c r="G471" s="9">
        <f t="shared" si="20"/>
        <v>1.7867564405315492E-2</v>
      </c>
    </row>
    <row r="472" spans="1:7" x14ac:dyDescent="0.2">
      <c r="A472" s="11">
        <v>35747</v>
      </c>
      <c r="B472" s="10">
        <v>134.76320000000001</v>
      </c>
      <c r="E472" s="13">
        <f t="shared" si="21"/>
        <v>4.0791527085259826E-3</v>
      </c>
      <c r="F472" s="9">
        <f t="shared" si="19"/>
        <v>-6.4098671577396515E-2</v>
      </c>
      <c r="G472" s="9">
        <f t="shared" si="20"/>
        <v>1.7629816033343883E-2</v>
      </c>
    </row>
    <row r="473" spans="1:7" x14ac:dyDescent="0.2">
      <c r="A473" s="11">
        <v>35748</v>
      </c>
      <c r="B473" s="10">
        <v>133.19659999999999</v>
      </c>
      <c r="E473" s="13">
        <f t="shared" si="21"/>
        <v>-1.1692931920111239E-2</v>
      </c>
      <c r="F473" s="9">
        <f t="shared" si="19"/>
        <v>-7.9628774537524122E-2</v>
      </c>
      <c r="G473" s="9">
        <f t="shared" si="20"/>
        <v>1.7675369579798251E-2</v>
      </c>
    </row>
    <row r="474" spans="1:7" x14ac:dyDescent="0.2">
      <c r="A474" s="11">
        <v>35751</v>
      </c>
      <c r="B474" s="10">
        <v>134.4691</v>
      </c>
      <c r="E474" s="13">
        <f t="shared" si="21"/>
        <v>9.5082006157355872E-3</v>
      </c>
      <c r="F474" s="9">
        <f t="shared" si="19"/>
        <v>-7.8437448349496466E-2</v>
      </c>
      <c r="G474" s="9">
        <f t="shared" si="20"/>
        <v>1.7703361451164364E-2</v>
      </c>
    </row>
    <row r="475" spans="1:7" x14ac:dyDescent="0.2">
      <c r="A475" s="11">
        <v>35752</v>
      </c>
      <c r="B475" s="10">
        <v>135.30430000000001</v>
      </c>
      <c r="E475" s="13">
        <f t="shared" si="21"/>
        <v>6.1918830279162158E-3</v>
      </c>
      <c r="F475" s="9">
        <f t="shared" si="19"/>
        <v>-6.7750503656086244E-2</v>
      </c>
      <c r="G475" s="9">
        <f t="shared" si="20"/>
        <v>1.777584489134091E-2</v>
      </c>
    </row>
    <row r="476" spans="1:7" x14ac:dyDescent="0.2">
      <c r="A476" s="11">
        <v>35753</v>
      </c>
      <c r="B476" s="10">
        <v>134.8725</v>
      </c>
      <c r="E476" s="13">
        <f t="shared" si="21"/>
        <v>-3.196428173308518E-3</v>
      </c>
      <c r="F476" s="9">
        <f t="shared" si="19"/>
        <v>-6.8835426456136259E-2</v>
      </c>
      <c r="G476" s="9">
        <f t="shared" si="20"/>
        <v>1.777649671097143E-2</v>
      </c>
    </row>
    <row r="477" spans="1:7" x14ac:dyDescent="0.2">
      <c r="A477" s="11">
        <v>35754</v>
      </c>
      <c r="B477" s="10">
        <v>134.98570000000001</v>
      </c>
      <c r="E477" s="13">
        <f t="shared" si="21"/>
        <v>8.389591766319337E-4</v>
      </c>
      <c r="F477" s="9">
        <f t="shared" si="19"/>
        <v>-6.8466306743521221E-2</v>
      </c>
      <c r="G477" s="9">
        <f t="shared" si="20"/>
        <v>1.7778737406137467E-2</v>
      </c>
    </row>
    <row r="478" spans="1:7" x14ac:dyDescent="0.2">
      <c r="A478" s="11">
        <v>35755</v>
      </c>
      <c r="B478" s="10">
        <v>135.12139999999999</v>
      </c>
      <c r="E478" s="13">
        <f t="shared" si="21"/>
        <v>1.0047867043617182E-3</v>
      </c>
      <c r="F478" s="9">
        <f t="shared" si="19"/>
        <v>-8.0677035553983784E-2</v>
      </c>
      <c r="G478" s="9">
        <f t="shared" si="20"/>
        <v>1.7539648568128098E-2</v>
      </c>
    </row>
    <row r="479" spans="1:7" x14ac:dyDescent="0.2">
      <c r="A479" s="11">
        <v>35758</v>
      </c>
      <c r="B479" s="10">
        <v>132.34630000000001</v>
      </c>
      <c r="E479" s="13">
        <f t="shared" si="21"/>
        <v>-2.0751661500792863E-2</v>
      </c>
      <c r="F479" s="9">
        <f t="shared" si="19"/>
        <v>-0.10200747029011334</v>
      </c>
      <c r="G479" s="9">
        <f t="shared" si="20"/>
        <v>1.7838387326228385E-2</v>
      </c>
    </row>
    <row r="480" spans="1:7" x14ac:dyDescent="0.2">
      <c r="A480" s="11">
        <v>35759</v>
      </c>
      <c r="B480" s="10">
        <v>130.07839999999999</v>
      </c>
      <c r="E480" s="13">
        <f t="shared" si="21"/>
        <v>-1.7284626504673304E-2</v>
      </c>
      <c r="F480" s="9">
        <f t="shared" ref="F480:F543" si="22">LN(B480/B451)</f>
        <v>-0.11541242517643244</v>
      </c>
      <c r="G480" s="9">
        <f t="shared" si="20"/>
        <v>1.8020853074199792E-2</v>
      </c>
    </row>
    <row r="481" spans="1:7" x14ac:dyDescent="0.2">
      <c r="A481" s="11">
        <v>35760</v>
      </c>
      <c r="B481" s="10">
        <v>130.05009999999999</v>
      </c>
      <c r="E481" s="13">
        <f t="shared" si="21"/>
        <v>-2.1758477146215099E-4</v>
      </c>
      <c r="F481" s="9">
        <f t="shared" si="22"/>
        <v>-0.13140177336659248</v>
      </c>
      <c r="G481" s="9">
        <f t="shared" ref="G481:G544" si="23">STDEV(E453:E481)</f>
        <v>1.7635443411817976E-2</v>
      </c>
    </row>
    <row r="482" spans="1:7" x14ac:dyDescent="0.2">
      <c r="A482" s="11">
        <v>35761</v>
      </c>
      <c r="B482" s="10">
        <v>131.76</v>
      </c>
      <c r="E482" s="13">
        <f t="shared" si="21"/>
        <v>1.3062325039994955E-2</v>
      </c>
      <c r="F482" s="9">
        <f t="shared" si="22"/>
        <v>-0.10881152129514883</v>
      </c>
      <c r="G482" s="9">
        <f t="shared" si="23"/>
        <v>1.7903721784371444E-2</v>
      </c>
    </row>
    <row r="483" spans="1:7" x14ac:dyDescent="0.2">
      <c r="A483" s="11">
        <v>35762</v>
      </c>
      <c r="B483" s="10">
        <v>132.29159999999999</v>
      </c>
      <c r="E483" s="13">
        <f t="shared" si="21"/>
        <v>4.0264911723267025E-3</v>
      </c>
      <c r="F483" s="9">
        <f t="shared" si="22"/>
        <v>-0.10409183026284821</v>
      </c>
      <c r="G483" s="9">
        <f t="shared" si="23"/>
        <v>1.7953902080020401E-2</v>
      </c>
    </row>
    <row r="484" spans="1:7" x14ac:dyDescent="0.2">
      <c r="A484" s="11">
        <v>35765</v>
      </c>
      <c r="B484" s="10">
        <v>132.49520000000001</v>
      </c>
      <c r="E484" s="13">
        <f t="shared" si="21"/>
        <v>1.5378413132787613E-3</v>
      </c>
      <c r="F484" s="9">
        <f t="shared" si="22"/>
        <v>-0.11989342044709672</v>
      </c>
      <c r="G484" s="9">
        <f t="shared" si="23"/>
        <v>1.7530846531322936E-2</v>
      </c>
    </row>
    <row r="485" spans="1:7" x14ac:dyDescent="0.2">
      <c r="A485" s="11">
        <v>35766</v>
      </c>
      <c r="B485" s="10">
        <v>132.46879999999999</v>
      </c>
      <c r="E485" s="13">
        <f t="shared" si="21"/>
        <v>-1.9927235463977386E-4</v>
      </c>
      <c r="F485" s="9">
        <f t="shared" si="22"/>
        <v>-0.11717289461030403</v>
      </c>
      <c r="G485" s="9">
        <f t="shared" si="23"/>
        <v>1.7544850908149601E-2</v>
      </c>
    </row>
    <row r="486" spans="1:7" x14ac:dyDescent="0.2">
      <c r="A486" s="11">
        <v>35767</v>
      </c>
      <c r="B486" s="10">
        <v>131.3038</v>
      </c>
      <c r="E486" s="13">
        <f t="shared" si="21"/>
        <v>-8.8334237547189106E-3</v>
      </c>
      <c r="F486" s="9">
        <f t="shared" si="22"/>
        <v>-0.1064496851221997</v>
      </c>
      <c r="G486" s="9">
        <f t="shared" si="23"/>
        <v>1.7317688808143189E-2</v>
      </c>
    </row>
    <row r="487" spans="1:7" x14ac:dyDescent="0.2">
      <c r="A487" s="11">
        <v>35768</v>
      </c>
      <c r="B487" s="10">
        <v>133.30969999999999</v>
      </c>
      <c r="E487" s="13">
        <f t="shared" si="21"/>
        <v>1.5161270483603002E-2</v>
      </c>
      <c r="F487" s="9">
        <f t="shared" si="22"/>
        <v>-9.5936889954223087E-2</v>
      </c>
      <c r="G487" s="9">
        <f t="shared" si="23"/>
        <v>1.7605689696874496E-2</v>
      </c>
    </row>
    <row r="488" spans="1:7" x14ac:dyDescent="0.2">
      <c r="A488" s="11">
        <v>35769</v>
      </c>
      <c r="B488" s="10">
        <v>134.2259</v>
      </c>
      <c r="E488" s="13">
        <f t="shared" si="21"/>
        <v>6.849208716166775E-3</v>
      </c>
      <c r="F488" s="9">
        <f t="shared" si="22"/>
        <v>-6.945750245074063E-2</v>
      </c>
      <c r="G488" s="9">
        <f t="shared" si="23"/>
        <v>1.7414561958003553E-2</v>
      </c>
    </row>
    <row r="489" spans="1:7" x14ac:dyDescent="0.2">
      <c r="A489" s="11">
        <v>35772</v>
      </c>
      <c r="B489" s="10">
        <v>136.89920000000001</v>
      </c>
      <c r="E489" s="13">
        <f t="shared" si="21"/>
        <v>1.9720687150408322E-2</v>
      </c>
      <c r="F489" s="9">
        <f t="shared" si="22"/>
        <v>6.576767653225641E-3</v>
      </c>
      <c r="G489" s="9">
        <f t="shared" si="23"/>
        <v>1.4484013582732862E-2</v>
      </c>
    </row>
    <row r="490" spans="1:7" x14ac:dyDescent="0.2">
      <c r="A490" s="11">
        <v>35773</v>
      </c>
      <c r="B490" s="10">
        <v>137.76259999999999</v>
      </c>
      <c r="E490" s="13">
        <f t="shared" si="21"/>
        <v>6.2870253085303193E-3</v>
      </c>
      <c r="F490" s="9">
        <f t="shared" si="22"/>
        <v>-3.6084689912381299E-2</v>
      </c>
      <c r="G490" s="9">
        <f t="shared" si="23"/>
        <v>1.1139040485595355E-2</v>
      </c>
    </row>
    <row r="491" spans="1:7" x14ac:dyDescent="0.2">
      <c r="A491" s="11">
        <v>35774</v>
      </c>
      <c r="B491" s="10">
        <v>137.18950000000001</v>
      </c>
      <c r="E491" s="13">
        <f t="shared" si="21"/>
        <v>-4.1687321534165838E-3</v>
      </c>
      <c r="F491" s="9">
        <f t="shared" si="22"/>
        <v>-1.670715426107838E-2</v>
      </c>
      <c r="G491" s="9">
        <f t="shared" si="23"/>
        <v>1.0303288087516351E-2</v>
      </c>
    </row>
    <row r="492" spans="1:7" x14ac:dyDescent="0.2">
      <c r="A492" s="11">
        <v>35775</v>
      </c>
      <c r="B492" s="10">
        <v>135.09119999999999</v>
      </c>
      <c r="E492" s="13">
        <f t="shared" si="21"/>
        <v>-1.5413075841875745E-2</v>
      </c>
      <c r="F492" s="9">
        <f t="shared" si="22"/>
        <v>-2.5761742794776166E-2</v>
      </c>
      <c r="G492" s="9">
        <f t="shared" si="23"/>
        <v>1.061718531646466E-2</v>
      </c>
    </row>
    <row r="493" spans="1:7" x14ac:dyDescent="0.2">
      <c r="A493" s="11">
        <v>35776</v>
      </c>
      <c r="B493" s="10">
        <v>135.31370000000001</v>
      </c>
      <c r="E493" s="13">
        <f t="shared" si="21"/>
        <v>1.6456806087151133E-3</v>
      </c>
      <c r="F493" s="9">
        <f t="shared" si="22"/>
        <v>-3.6134455079889306E-2</v>
      </c>
      <c r="G493" s="9">
        <f t="shared" si="23"/>
        <v>1.0337893116661069E-2</v>
      </c>
    </row>
    <row r="494" spans="1:7" x14ac:dyDescent="0.2">
      <c r="A494" s="11">
        <v>35779</v>
      </c>
      <c r="B494" s="10">
        <v>133.93180000000001</v>
      </c>
      <c r="E494" s="13">
        <f t="shared" si="21"/>
        <v>-1.0265071352404247E-2</v>
      </c>
      <c r="F494" s="9">
        <f t="shared" si="22"/>
        <v>-3.5346641058296192E-2</v>
      </c>
      <c r="G494" s="9">
        <f t="shared" si="23"/>
        <v>1.0312205363500733E-2</v>
      </c>
    </row>
    <row r="495" spans="1:7" x14ac:dyDescent="0.2">
      <c r="A495" s="11">
        <v>35780</v>
      </c>
      <c r="B495" s="10">
        <v>133.84700000000001</v>
      </c>
      <c r="E495" s="13">
        <f t="shared" si="21"/>
        <v>-6.3335859922248325E-4</v>
      </c>
      <c r="F495" s="9">
        <f t="shared" si="22"/>
        <v>-4.1035289962831331E-2</v>
      </c>
      <c r="G495" s="9">
        <f t="shared" si="23"/>
        <v>1.0242464660237847E-2</v>
      </c>
    </row>
    <row r="496" spans="1:7" x14ac:dyDescent="0.2">
      <c r="A496" s="11">
        <v>35781</v>
      </c>
      <c r="B496" s="10">
        <v>133.7131</v>
      </c>
      <c r="E496" s="13">
        <f t="shared" si="21"/>
        <v>-1.0008967045412624E-3</v>
      </c>
      <c r="F496" s="9">
        <f t="shared" si="22"/>
        <v>-4.3603220669232251E-2</v>
      </c>
      <c r="G496" s="9">
        <f t="shared" si="23"/>
        <v>1.0226851595707687E-2</v>
      </c>
    </row>
    <row r="497" spans="1:7" x14ac:dyDescent="0.2">
      <c r="A497" s="11">
        <v>35782</v>
      </c>
      <c r="B497" s="10">
        <v>132.47069999999999</v>
      </c>
      <c r="E497" s="13">
        <f t="shared" si="21"/>
        <v>-9.3349709640917541E-3</v>
      </c>
      <c r="F497" s="9">
        <f t="shared" si="22"/>
        <v>-4.1753419503377479E-2</v>
      </c>
      <c r="G497" s="9">
        <f t="shared" si="23"/>
        <v>1.0169922311019387E-2</v>
      </c>
    </row>
    <row r="498" spans="1:7" x14ac:dyDescent="0.2">
      <c r="A498" s="11">
        <v>35783</v>
      </c>
      <c r="B498" s="10">
        <v>131.17750000000001</v>
      </c>
      <c r="E498" s="13">
        <f t="shared" si="21"/>
        <v>-9.8101209967137847E-3</v>
      </c>
      <c r="F498" s="9">
        <f t="shared" si="22"/>
        <v>-4.8227518335774371E-2</v>
      </c>
      <c r="G498" s="9">
        <f t="shared" si="23"/>
        <v>1.0283458648131039E-2</v>
      </c>
    </row>
    <row r="499" spans="1:7" x14ac:dyDescent="0.2">
      <c r="A499" s="11">
        <v>35786</v>
      </c>
      <c r="B499" s="10">
        <v>129.4393</v>
      </c>
      <c r="E499" s="13">
        <f t="shared" si="21"/>
        <v>-1.3339322516231478E-2</v>
      </c>
      <c r="F499" s="9">
        <f t="shared" si="22"/>
        <v>-5.8288892522880782E-2</v>
      </c>
      <c r="G499" s="9">
        <f t="shared" si="23"/>
        <v>1.050718116074565E-2</v>
      </c>
    </row>
    <row r="500" spans="1:7" x14ac:dyDescent="0.2">
      <c r="A500" s="11">
        <v>35787</v>
      </c>
      <c r="B500" s="10">
        <v>130.30840000000001</v>
      </c>
      <c r="E500" s="13">
        <f t="shared" si="21"/>
        <v>6.6919032838616077E-3</v>
      </c>
      <c r="F500" s="9">
        <f t="shared" si="22"/>
        <v>-2.9536062798147363E-2</v>
      </c>
      <c r="G500" s="9">
        <f t="shared" si="23"/>
        <v>9.8857716547774855E-3</v>
      </c>
    </row>
    <row r="501" spans="1:7" x14ac:dyDescent="0.2">
      <c r="A501" s="11">
        <v>35793</v>
      </c>
      <c r="B501" s="10">
        <v>132.31989999999999</v>
      </c>
      <c r="E501" s="13">
        <f t="shared" si="21"/>
        <v>1.5318526863024628E-2</v>
      </c>
      <c r="F501" s="9">
        <f t="shared" si="22"/>
        <v>-1.8296688643648848E-2</v>
      </c>
      <c r="G501" s="9">
        <f t="shared" si="23"/>
        <v>1.0304218163224122E-2</v>
      </c>
    </row>
    <row r="502" spans="1:7" x14ac:dyDescent="0.2">
      <c r="A502" s="11">
        <v>35794</v>
      </c>
      <c r="B502" s="10">
        <v>134.79339999999999</v>
      </c>
      <c r="E502" s="13">
        <f t="shared" si="21"/>
        <v>1.8520760323780725E-2</v>
      </c>
      <c r="F502" s="9">
        <f t="shared" si="22"/>
        <v>1.1917003600243094E-2</v>
      </c>
      <c r="G502" s="9">
        <f t="shared" si="23"/>
        <v>1.066686144258259E-2</v>
      </c>
    </row>
    <row r="503" spans="1:7" x14ac:dyDescent="0.2">
      <c r="A503" s="11">
        <v>35797</v>
      </c>
      <c r="B503" s="10">
        <v>137.81729999999999</v>
      </c>
      <c r="E503" s="13">
        <f t="shared" si="21"/>
        <v>2.2185659111365181E-2</v>
      </c>
      <c r="F503" s="9">
        <f t="shared" si="22"/>
        <v>2.459446209587288E-2</v>
      </c>
      <c r="G503" s="9">
        <f t="shared" si="23"/>
        <v>1.1294326313332494E-2</v>
      </c>
    </row>
    <row r="504" spans="1:7" x14ac:dyDescent="0.2">
      <c r="A504" s="11">
        <v>35800</v>
      </c>
      <c r="B504" s="10">
        <v>138.5016</v>
      </c>
      <c r="E504" s="13">
        <f t="shared" si="21"/>
        <v>4.9529829406459421E-3</v>
      </c>
      <c r="F504" s="9">
        <f t="shared" si="22"/>
        <v>2.3355562008602518E-2</v>
      </c>
      <c r="G504" s="9">
        <f t="shared" si="23"/>
        <v>1.127571929165707E-2</v>
      </c>
    </row>
    <row r="505" spans="1:7" x14ac:dyDescent="0.2">
      <c r="A505" s="11">
        <v>35801</v>
      </c>
      <c r="B505" s="10">
        <v>135.70580000000001</v>
      </c>
      <c r="E505" s="13">
        <f t="shared" si="21"/>
        <v>-2.0392570638603436E-2</v>
      </c>
      <c r="F505" s="9">
        <f t="shared" si="22"/>
        <v>6.1594195433075684E-3</v>
      </c>
      <c r="G505" s="9">
        <f t="shared" si="23"/>
        <v>1.19270295827822E-2</v>
      </c>
    </row>
    <row r="506" spans="1:7" x14ac:dyDescent="0.2">
      <c r="A506" s="11">
        <v>35802</v>
      </c>
      <c r="B506" s="10">
        <v>133.97329999999999</v>
      </c>
      <c r="E506" s="13">
        <f t="shared" si="21"/>
        <v>-1.2848780902726233E-2</v>
      </c>
      <c r="F506" s="9">
        <f t="shared" si="22"/>
        <v>-7.5283205360504642E-3</v>
      </c>
      <c r="G506" s="9">
        <f t="shared" si="23"/>
        <v>1.2169713842020339E-2</v>
      </c>
    </row>
    <row r="507" spans="1:7" x14ac:dyDescent="0.2">
      <c r="A507" s="11">
        <v>35803</v>
      </c>
      <c r="B507" s="10">
        <v>132.2483</v>
      </c>
      <c r="E507" s="13">
        <f t="shared" si="21"/>
        <v>-1.2959310152460279E-2</v>
      </c>
      <c r="F507" s="9">
        <f t="shared" si="22"/>
        <v>-2.1492417392872401E-2</v>
      </c>
      <c r="G507" s="9">
        <f t="shared" si="23"/>
        <v>1.2392126274108359E-2</v>
      </c>
    </row>
    <row r="508" spans="1:7" x14ac:dyDescent="0.2">
      <c r="A508" s="11">
        <v>35804</v>
      </c>
      <c r="B508" s="10">
        <v>128.0385</v>
      </c>
      <c r="E508" s="13">
        <f t="shared" si="21"/>
        <v>-3.2350216269440249E-2</v>
      </c>
      <c r="F508" s="9">
        <f t="shared" si="22"/>
        <v>-3.3090972161519842E-2</v>
      </c>
      <c r="G508" s="9">
        <f t="shared" si="23"/>
        <v>1.3220504397424285E-2</v>
      </c>
    </row>
    <row r="509" spans="1:7" x14ac:dyDescent="0.2">
      <c r="A509" s="11">
        <v>35807</v>
      </c>
      <c r="B509" s="10">
        <v>121.9567</v>
      </c>
      <c r="E509" s="13">
        <f t="shared" si="21"/>
        <v>-4.8664936241847367E-2</v>
      </c>
      <c r="F509" s="9">
        <f t="shared" si="22"/>
        <v>-6.4471281898693972E-2</v>
      </c>
      <c r="G509" s="9">
        <f t="shared" si="23"/>
        <v>1.5650007073588903E-2</v>
      </c>
    </row>
    <row r="510" spans="1:7" x14ac:dyDescent="0.2">
      <c r="A510" s="11">
        <v>35808</v>
      </c>
      <c r="B510" s="10">
        <v>125.2653</v>
      </c>
      <c r="E510" s="13">
        <f t="shared" si="21"/>
        <v>2.676782449104035E-2</v>
      </c>
      <c r="F510" s="9">
        <f t="shared" si="22"/>
        <v>-3.7485872636191499E-2</v>
      </c>
      <c r="G510" s="9">
        <f t="shared" si="23"/>
        <v>1.6549902474024387E-2</v>
      </c>
    </row>
    <row r="511" spans="1:7" x14ac:dyDescent="0.2">
      <c r="A511" s="11">
        <v>35809</v>
      </c>
      <c r="B511" s="10">
        <v>127.2222</v>
      </c>
      <c r="E511" s="13">
        <f t="shared" si="21"/>
        <v>1.5501275786418059E-2</v>
      </c>
      <c r="F511" s="9">
        <f t="shared" si="22"/>
        <v>-3.5046921889768511E-2</v>
      </c>
      <c r="G511" s="9">
        <f t="shared" si="23"/>
        <v>1.6631451448225726E-2</v>
      </c>
    </row>
    <row r="512" spans="1:7" x14ac:dyDescent="0.2">
      <c r="A512" s="11">
        <v>35810</v>
      </c>
      <c r="B512" s="10">
        <v>127.3768</v>
      </c>
      <c r="E512" s="13">
        <f t="shared" si="21"/>
        <v>1.2144589648958853E-3</v>
      </c>
      <c r="F512" s="9">
        <f t="shared" si="22"/>
        <v>-3.78589540971992E-2</v>
      </c>
      <c r="G512" s="9">
        <f t="shared" si="23"/>
        <v>1.6608020659311769E-2</v>
      </c>
    </row>
    <row r="513" spans="1:7" x14ac:dyDescent="0.2">
      <c r="A513" s="11">
        <v>35811</v>
      </c>
      <c r="B513" s="10">
        <v>128.48339999999999</v>
      </c>
      <c r="E513" s="13">
        <f t="shared" si="21"/>
        <v>8.650090166557909E-3</v>
      </c>
      <c r="F513" s="9">
        <f t="shared" si="22"/>
        <v>-3.0746705243920036E-2</v>
      </c>
      <c r="G513" s="9">
        <f t="shared" si="23"/>
        <v>1.6703744709954046E-2</v>
      </c>
    </row>
    <row r="514" spans="1:7" x14ac:dyDescent="0.2">
      <c r="A514" s="11">
        <v>35814</v>
      </c>
      <c r="B514" s="10">
        <v>130.83250000000001</v>
      </c>
      <c r="E514" s="13">
        <f t="shared" si="21"/>
        <v>1.8118165996246802E-2</v>
      </c>
      <c r="F514" s="9">
        <f t="shared" si="22"/>
        <v>-1.24292668930334E-2</v>
      </c>
      <c r="G514" s="9">
        <f t="shared" si="23"/>
        <v>1.7079563984179699E-2</v>
      </c>
    </row>
    <row r="515" spans="1:7" x14ac:dyDescent="0.2">
      <c r="A515" s="11">
        <v>35815</v>
      </c>
      <c r="B515" s="10">
        <v>132.7347</v>
      </c>
      <c r="E515" s="13">
        <f t="shared" si="21"/>
        <v>1.4434520135163151E-2</v>
      </c>
      <c r="F515" s="9">
        <f t="shared" si="22"/>
        <v>1.0838676996848571E-2</v>
      </c>
      <c r="G515" s="9">
        <f t="shared" si="23"/>
        <v>1.7216607803961271E-2</v>
      </c>
    </row>
    <row r="516" spans="1:7" x14ac:dyDescent="0.2">
      <c r="A516" s="11">
        <v>35816</v>
      </c>
      <c r="B516" s="10">
        <v>131.41120000000001</v>
      </c>
      <c r="E516" s="13">
        <f t="shared" ref="E516:E579" si="24">LN(B516/B515)</f>
        <v>-1.0021060903492239E-2</v>
      </c>
      <c r="F516" s="9">
        <f t="shared" si="22"/>
        <v>-1.4343654390246643E-2</v>
      </c>
      <c r="G516" s="9">
        <f t="shared" si="23"/>
        <v>1.7078639885650039E-2</v>
      </c>
    </row>
    <row r="517" spans="1:7" x14ac:dyDescent="0.2">
      <c r="A517" s="11">
        <v>35817</v>
      </c>
      <c r="B517" s="10">
        <v>128.82839999999999</v>
      </c>
      <c r="E517" s="13">
        <f t="shared" si="24"/>
        <v>-1.9850052080192204E-2</v>
      </c>
      <c r="F517" s="9">
        <f t="shared" si="22"/>
        <v>-4.1042915186605494E-2</v>
      </c>
      <c r="G517" s="9">
        <f t="shared" si="23"/>
        <v>1.7385501766989029E-2</v>
      </c>
    </row>
    <row r="518" spans="1:7" x14ac:dyDescent="0.2">
      <c r="A518" s="11">
        <v>35818</v>
      </c>
      <c r="B518" s="10">
        <v>129.20359999999999</v>
      </c>
      <c r="E518" s="13">
        <f t="shared" si="24"/>
        <v>2.9081684786076423E-3</v>
      </c>
      <c r="F518" s="9">
        <f t="shared" si="22"/>
        <v>-5.7855433858406198E-2</v>
      </c>
      <c r="G518" s="9">
        <f t="shared" si="23"/>
        <v>1.6929871340085764E-2</v>
      </c>
    </row>
    <row r="519" spans="1:7" x14ac:dyDescent="0.2">
      <c r="A519" s="11">
        <v>35821</v>
      </c>
      <c r="B519" s="10">
        <v>128.30430000000001</v>
      </c>
      <c r="E519" s="13">
        <f t="shared" si="24"/>
        <v>-6.9846684786813292E-3</v>
      </c>
      <c r="F519" s="9">
        <f t="shared" si="22"/>
        <v>-7.1127127645617835E-2</v>
      </c>
      <c r="G519" s="9">
        <f t="shared" si="23"/>
        <v>1.6877294502854495E-2</v>
      </c>
    </row>
    <row r="520" spans="1:7" x14ac:dyDescent="0.2">
      <c r="A520" s="11">
        <v>35822</v>
      </c>
      <c r="B520" s="10">
        <v>129.7654</v>
      </c>
      <c r="E520" s="13">
        <f t="shared" si="24"/>
        <v>1.1323418532254246E-2</v>
      </c>
      <c r="F520" s="9">
        <f t="shared" si="22"/>
        <v>-5.5634976959946875E-2</v>
      </c>
      <c r="G520" s="9">
        <f t="shared" si="23"/>
        <v>1.7065174731499322E-2</v>
      </c>
    </row>
    <row r="521" spans="1:7" x14ac:dyDescent="0.2">
      <c r="A521" s="11">
        <v>35823</v>
      </c>
      <c r="B521" s="10">
        <v>129.79929999999999</v>
      </c>
      <c r="E521" s="13">
        <f t="shared" si="24"/>
        <v>2.612065522986995E-4</v>
      </c>
      <c r="F521" s="9">
        <f t="shared" si="22"/>
        <v>-3.9960694565772371E-2</v>
      </c>
      <c r="G521" s="9">
        <f t="shared" si="23"/>
        <v>1.6869604265791715E-2</v>
      </c>
    </row>
    <row r="522" spans="1:7" x14ac:dyDescent="0.2">
      <c r="A522" s="11">
        <v>35824</v>
      </c>
      <c r="B522" s="10">
        <v>131.00970000000001</v>
      </c>
      <c r="E522" s="13">
        <f t="shared" si="24"/>
        <v>9.2819549181480596E-3</v>
      </c>
      <c r="F522" s="9">
        <f t="shared" si="22"/>
        <v>-3.2324420256339206E-2</v>
      </c>
      <c r="G522" s="9">
        <f t="shared" si="23"/>
        <v>1.6977737388216712E-2</v>
      </c>
    </row>
    <row r="523" spans="1:7" x14ac:dyDescent="0.2">
      <c r="A523" s="11">
        <v>35825</v>
      </c>
      <c r="B523" s="10">
        <v>130.72309999999999</v>
      </c>
      <c r="E523" s="13">
        <f t="shared" si="24"/>
        <v>-2.1900206206408148E-3</v>
      </c>
      <c r="F523" s="9">
        <f t="shared" si="22"/>
        <v>-2.4249369524575813E-2</v>
      </c>
      <c r="G523" s="9">
        <f t="shared" si="23"/>
        <v>1.6888285611093141E-2</v>
      </c>
    </row>
    <row r="524" spans="1:7" x14ac:dyDescent="0.2">
      <c r="A524" s="11">
        <v>35828</v>
      </c>
      <c r="B524" s="10">
        <v>133.41149999999999</v>
      </c>
      <c r="E524" s="13">
        <f t="shared" si="24"/>
        <v>2.0356991021691421E-2</v>
      </c>
      <c r="F524" s="9">
        <f t="shared" si="22"/>
        <v>-3.2590199036617133E-3</v>
      </c>
      <c r="G524" s="9">
        <f t="shared" si="23"/>
        <v>1.7341026908984328E-2</v>
      </c>
    </row>
    <row r="525" spans="1:7" x14ac:dyDescent="0.2">
      <c r="A525" s="11">
        <v>35829</v>
      </c>
      <c r="B525" s="10">
        <v>133.977</v>
      </c>
      <c r="E525" s="13">
        <f t="shared" si="24"/>
        <v>4.2298067652545837E-3</v>
      </c>
      <c r="F525" s="9">
        <f t="shared" si="22"/>
        <v>1.9716835661341627E-3</v>
      </c>
      <c r="G525" s="9">
        <f t="shared" si="23"/>
        <v>1.735864920884754E-2</v>
      </c>
    </row>
    <row r="526" spans="1:7" x14ac:dyDescent="0.2">
      <c r="A526" s="11">
        <v>35830</v>
      </c>
      <c r="B526" s="10">
        <v>133.67160000000001</v>
      </c>
      <c r="E526" s="13">
        <f t="shared" si="24"/>
        <v>-2.2820977396692311E-3</v>
      </c>
      <c r="F526" s="9">
        <f t="shared" si="22"/>
        <v>9.0245567905567255E-3</v>
      </c>
      <c r="G526" s="9">
        <f t="shared" si="23"/>
        <v>1.7271392159679197E-2</v>
      </c>
    </row>
    <row r="527" spans="1:7" x14ac:dyDescent="0.2">
      <c r="A527" s="11">
        <v>35831</v>
      </c>
      <c r="B527" s="10">
        <v>134.52379999999999</v>
      </c>
      <c r="E527" s="13">
        <f t="shared" si="24"/>
        <v>6.3550893725961557E-3</v>
      </c>
      <c r="F527" s="9">
        <f t="shared" si="22"/>
        <v>2.5189767159866538E-2</v>
      </c>
      <c r="G527" s="9">
        <f t="shared" si="23"/>
        <v>1.7193753581723904E-2</v>
      </c>
    </row>
    <row r="528" spans="1:7" x14ac:dyDescent="0.2">
      <c r="A528" s="11">
        <v>35832</v>
      </c>
      <c r="B528" s="10">
        <v>134.37110000000001</v>
      </c>
      <c r="E528" s="13">
        <f t="shared" si="24"/>
        <v>-1.1357598557249966E-3</v>
      </c>
      <c r="F528" s="9">
        <f t="shared" si="22"/>
        <v>3.7393329820373036E-2</v>
      </c>
      <c r="G528" s="9">
        <f t="shared" si="23"/>
        <v>1.6981630009499215E-2</v>
      </c>
    </row>
    <row r="529" spans="1:7" x14ac:dyDescent="0.2">
      <c r="A529" s="11">
        <v>35835</v>
      </c>
      <c r="B529" s="10">
        <v>134.0223</v>
      </c>
      <c r="E529" s="13">
        <f t="shared" si="24"/>
        <v>-2.599171189495732E-3</v>
      </c>
      <c r="F529" s="9">
        <f t="shared" si="22"/>
        <v>2.8102255347015593E-2</v>
      </c>
      <c r="G529" s="9">
        <f t="shared" si="23"/>
        <v>1.6963699623587753E-2</v>
      </c>
    </row>
    <row r="530" spans="1:7" x14ac:dyDescent="0.2">
      <c r="A530" s="11">
        <v>35836</v>
      </c>
      <c r="B530" s="10">
        <v>132.01070000000001</v>
      </c>
      <c r="E530" s="13">
        <f t="shared" si="24"/>
        <v>-1.512322410823666E-2</v>
      </c>
      <c r="F530" s="9">
        <f t="shared" si="22"/>
        <v>-2.3394956242455953E-3</v>
      </c>
      <c r="G530" s="9">
        <f t="shared" si="23"/>
        <v>1.6985894515141344E-2</v>
      </c>
    </row>
    <row r="531" spans="1:7" x14ac:dyDescent="0.2">
      <c r="A531" s="11">
        <v>35837</v>
      </c>
      <c r="B531" s="10">
        <v>132.9948</v>
      </c>
      <c r="E531" s="13">
        <f t="shared" si="24"/>
        <v>7.4270498058580381E-3</v>
      </c>
      <c r="F531" s="9">
        <f t="shared" si="22"/>
        <v>-1.3433206142168426E-2</v>
      </c>
      <c r="G531" s="9">
        <f t="shared" si="23"/>
        <v>1.6674066624620881E-2</v>
      </c>
    </row>
    <row r="532" spans="1:7" x14ac:dyDescent="0.2">
      <c r="A532" s="11">
        <v>35838</v>
      </c>
      <c r="B532" s="10">
        <v>131.18879999999999</v>
      </c>
      <c r="E532" s="13">
        <f t="shared" si="24"/>
        <v>-1.3672522700597944E-2</v>
      </c>
      <c r="F532" s="9">
        <f t="shared" si="22"/>
        <v>-4.9291387954131662E-2</v>
      </c>
      <c r="G532" s="9">
        <f t="shared" si="23"/>
        <v>1.6258911922027785E-2</v>
      </c>
    </row>
    <row r="533" spans="1:7" x14ac:dyDescent="0.2">
      <c r="A533" s="11">
        <v>35839</v>
      </c>
      <c r="B533" s="10">
        <v>131.74680000000001</v>
      </c>
      <c r="E533" s="13">
        <f t="shared" si="24"/>
        <v>4.2443916889975718E-3</v>
      </c>
      <c r="F533" s="9">
        <f t="shared" si="22"/>
        <v>-4.999997920577999E-2</v>
      </c>
      <c r="G533" s="9">
        <f t="shared" si="23"/>
        <v>1.6249086557210919E-2</v>
      </c>
    </row>
    <row r="534" spans="1:7" x14ac:dyDescent="0.2">
      <c r="A534" s="11">
        <v>35842</v>
      </c>
      <c r="B534" s="10">
        <v>133.01750000000001</v>
      </c>
      <c r="E534" s="13">
        <f t="shared" si="24"/>
        <v>9.5987998119160221E-3</v>
      </c>
      <c r="F534" s="9">
        <f t="shared" si="22"/>
        <v>-2.000860875526039E-2</v>
      </c>
      <c r="G534" s="9">
        <f t="shared" si="23"/>
        <v>1.5970509267868263E-2</v>
      </c>
    </row>
    <row r="535" spans="1:7" x14ac:dyDescent="0.2">
      <c r="A535" s="11">
        <v>35843</v>
      </c>
      <c r="B535" s="10">
        <v>135.37020000000001</v>
      </c>
      <c r="E535" s="13">
        <f t="shared" si="24"/>
        <v>1.7532549115454554E-2</v>
      </c>
      <c r="F535" s="9">
        <f t="shared" si="22"/>
        <v>1.0372721262920419E-2</v>
      </c>
      <c r="G535" s="9">
        <f t="shared" si="23"/>
        <v>1.614000644832737E-2</v>
      </c>
    </row>
    <row r="536" spans="1:7" x14ac:dyDescent="0.2">
      <c r="A536" s="11">
        <v>35844</v>
      </c>
      <c r="B536" s="10">
        <v>133.9016</v>
      </c>
      <c r="E536" s="13">
        <f t="shared" si="24"/>
        <v>-1.090804578725808E-2</v>
      </c>
      <c r="F536" s="9">
        <f t="shared" si="22"/>
        <v>1.2423985628122587E-2</v>
      </c>
      <c r="G536" s="9">
        <f t="shared" si="23"/>
        <v>1.6083958164079839E-2</v>
      </c>
    </row>
    <row r="537" spans="1:7" x14ac:dyDescent="0.2">
      <c r="A537" s="11">
        <v>35845</v>
      </c>
      <c r="B537" s="10">
        <v>134.40119999999999</v>
      </c>
      <c r="E537" s="13">
        <f t="shared" si="24"/>
        <v>3.7241547790500648E-3</v>
      </c>
      <c r="F537" s="9">
        <f t="shared" si="22"/>
        <v>4.8498356676612703E-2</v>
      </c>
      <c r="G537" s="9">
        <f t="shared" si="23"/>
        <v>1.4802235292869503E-2</v>
      </c>
    </row>
    <row r="538" spans="1:7" x14ac:dyDescent="0.2">
      <c r="A538" s="11">
        <v>35846</v>
      </c>
      <c r="B538" s="10">
        <v>134.2089</v>
      </c>
      <c r="E538" s="13">
        <f t="shared" si="24"/>
        <v>-1.4318153550649201E-3</v>
      </c>
      <c r="F538" s="9">
        <f t="shared" si="22"/>
        <v>9.5731477563395284E-2</v>
      </c>
      <c r="G538" s="9">
        <f t="shared" si="23"/>
        <v>1.1234251854995526E-2</v>
      </c>
    </row>
    <row r="539" spans="1:7" x14ac:dyDescent="0.2">
      <c r="A539" s="11">
        <v>35849</v>
      </c>
      <c r="B539" s="10">
        <v>134.31829999999999</v>
      </c>
      <c r="E539" s="13">
        <f t="shared" si="24"/>
        <v>8.1481508057861668E-4</v>
      </c>
      <c r="F539" s="9">
        <f t="shared" si="22"/>
        <v>6.9778468152933509E-2</v>
      </c>
      <c r="G539" s="9">
        <f t="shared" si="23"/>
        <v>1.0292339642802359E-2</v>
      </c>
    </row>
    <row r="540" spans="1:7" x14ac:dyDescent="0.2">
      <c r="A540" s="11">
        <v>35850</v>
      </c>
      <c r="B540" s="10">
        <v>132.9948</v>
      </c>
      <c r="E540" s="13">
        <f t="shared" si="24"/>
        <v>-9.9023266330757163E-3</v>
      </c>
      <c r="F540" s="9">
        <f t="shared" si="22"/>
        <v>4.4374865733439794E-2</v>
      </c>
      <c r="G540" s="9">
        <f t="shared" si="23"/>
        <v>1.0218796452510554E-2</v>
      </c>
    </row>
    <row r="541" spans="1:7" x14ac:dyDescent="0.2">
      <c r="A541" s="11">
        <v>35851</v>
      </c>
      <c r="B541" s="10">
        <v>134.50299999999999</v>
      </c>
      <c r="E541" s="13">
        <f t="shared" si="24"/>
        <v>1.1276473912802138E-2</v>
      </c>
      <c r="F541" s="9">
        <f t="shared" si="22"/>
        <v>5.4436880681346153E-2</v>
      </c>
      <c r="G541" s="9">
        <f t="shared" si="23"/>
        <v>1.0377286426118893E-2</v>
      </c>
    </row>
    <row r="542" spans="1:7" x14ac:dyDescent="0.2">
      <c r="A542" s="11">
        <v>35852</v>
      </c>
      <c r="B542" s="10">
        <v>136.50139999999999</v>
      </c>
      <c r="E542" s="13">
        <f t="shared" si="24"/>
        <v>1.4748367356815784E-2</v>
      </c>
      <c r="F542" s="9">
        <f t="shared" si="22"/>
        <v>6.0535157871604031E-2</v>
      </c>
      <c r="G542" s="9">
        <f t="shared" si="23"/>
        <v>1.057925766417119E-2</v>
      </c>
    </row>
    <row r="543" spans="1:7" x14ac:dyDescent="0.2">
      <c r="A543" s="11">
        <v>35853</v>
      </c>
      <c r="B543" s="10">
        <v>136.55609999999999</v>
      </c>
      <c r="E543" s="13">
        <f t="shared" si="24"/>
        <v>4.0064822047886485E-4</v>
      </c>
      <c r="F543" s="9">
        <f t="shared" si="22"/>
        <v>4.2817640095835975E-2</v>
      </c>
      <c r="G543" s="9">
        <f t="shared" si="23"/>
        <v>1.0122138490354267E-2</v>
      </c>
    </row>
    <row r="544" spans="1:7" x14ac:dyDescent="0.2">
      <c r="A544" s="11">
        <v>35856</v>
      </c>
      <c r="B544" s="10">
        <v>139.0616</v>
      </c>
      <c r="E544" s="13">
        <f t="shared" si="24"/>
        <v>1.8181481226351107E-2</v>
      </c>
      <c r="F544" s="9">
        <f t="shared" ref="F544:F607" si="25">LN(B544/B515)</f>
        <v>4.6564601187023963E-2</v>
      </c>
      <c r="G544" s="9">
        <f t="shared" si="23"/>
        <v>1.0315517886162884E-2</v>
      </c>
    </row>
    <row r="545" spans="1:7" x14ac:dyDescent="0.2">
      <c r="A545" s="11">
        <v>35857</v>
      </c>
      <c r="B545" s="10">
        <v>139.87790000000001</v>
      </c>
      <c r="E545" s="13">
        <f t="shared" si="24"/>
        <v>5.8528987848040556E-3</v>
      </c>
      <c r="F545" s="9">
        <f t="shared" si="25"/>
        <v>6.2438560875320327E-2</v>
      </c>
      <c r="G545" s="9">
        <f t="shared" ref="G545:G608" si="26">STDEV(E517:E545)</f>
        <v>1.0095342450981093E-2</v>
      </c>
    </row>
    <row r="546" spans="1:7" x14ac:dyDescent="0.2">
      <c r="A546" s="11">
        <v>35858</v>
      </c>
      <c r="B546" s="10">
        <v>139.9118</v>
      </c>
      <c r="E546" s="13">
        <f t="shared" si="24"/>
        <v>2.4232486160777274E-4</v>
      </c>
      <c r="F546" s="9">
        <f t="shared" si="25"/>
        <v>8.2530937817120148E-2</v>
      </c>
      <c r="G546" s="9">
        <f t="shared" si="26"/>
        <v>9.1792461938783147E-3</v>
      </c>
    </row>
    <row r="547" spans="1:7" x14ac:dyDescent="0.2">
      <c r="A547" s="11">
        <v>35859</v>
      </c>
      <c r="B547" s="10">
        <v>137.74940000000001</v>
      </c>
      <c r="E547" s="13">
        <f t="shared" si="24"/>
        <v>-1.5576131769256535E-2</v>
      </c>
      <c r="F547" s="9">
        <f t="shared" si="25"/>
        <v>6.4046637569256062E-2</v>
      </c>
      <c r="G547" s="9">
        <f t="shared" si="26"/>
        <v>9.7958175618417399E-3</v>
      </c>
    </row>
    <row r="548" spans="1:7" x14ac:dyDescent="0.2">
      <c r="A548" s="11">
        <v>35860</v>
      </c>
      <c r="B548" s="10">
        <v>140.74510000000001</v>
      </c>
      <c r="E548" s="13">
        <f t="shared" si="24"/>
        <v>2.1514360608024551E-2</v>
      </c>
      <c r="F548" s="9">
        <f t="shared" si="25"/>
        <v>9.2545666655961936E-2</v>
      </c>
      <c r="G548" s="9">
        <f t="shared" si="26"/>
        <v>1.0259177236773732E-2</v>
      </c>
    </row>
    <row r="549" spans="1:7" x14ac:dyDescent="0.2">
      <c r="A549" s="11">
        <v>35863</v>
      </c>
      <c r="B549" s="10">
        <v>140.2757</v>
      </c>
      <c r="E549" s="13">
        <f t="shared" si="24"/>
        <v>-3.3406810922735788E-3</v>
      </c>
      <c r="F549" s="9">
        <f t="shared" si="25"/>
        <v>7.7881567031433951E-2</v>
      </c>
      <c r="G549" s="9">
        <f t="shared" si="26"/>
        <v>1.020528300287657E-2</v>
      </c>
    </row>
    <row r="550" spans="1:7" x14ac:dyDescent="0.2">
      <c r="A550" s="11">
        <v>35864</v>
      </c>
      <c r="B550" s="10">
        <v>142.15710000000001</v>
      </c>
      <c r="E550" s="13">
        <f t="shared" si="24"/>
        <v>1.3323012266109012E-2</v>
      </c>
      <c r="F550" s="9">
        <f t="shared" si="25"/>
        <v>9.0943372745244111E-2</v>
      </c>
      <c r="G550" s="9">
        <f t="shared" si="26"/>
        <v>1.0381186467523475E-2</v>
      </c>
    </row>
    <row r="551" spans="1:7" x14ac:dyDescent="0.2">
      <c r="A551" s="11">
        <v>35865</v>
      </c>
      <c r="B551" s="10">
        <v>143.23929999999999</v>
      </c>
      <c r="E551" s="13">
        <f t="shared" si="24"/>
        <v>7.5838741266718397E-3</v>
      </c>
      <c r="F551" s="9">
        <f t="shared" si="25"/>
        <v>8.9245291953767888E-2</v>
      </c>
      <c r="G551" s="9">
        <f t="shared" si="26"/>
        <v>1.035002454776702E-2</v>
      </c>
    </row>
    <row r="552" spans="1:7" x14ac:dyDescent="0.2">
      <c r="A552" s="11">
        <v>35866</v>
      </c>
      <c r="B552" s="10">
        <v>143.83500000000001</v>
      </c>
      <c r="E552" s="13">
        <f t="shared" si="24"/>
        <v>4.1501510585630411E-3</v>
      </c>
      <c r="F552" s="9">
        <f t="shared" si="25"/>
        <v>9.5585463632971698E-2</v>
      </c>
      <c r="G552" s="9">
        <f t="shared" si="26"/>
        <v>1.0301634526936278E-2</v>
      </c>
    </row>
    <row r="553" spans="1:7" x14ac:dyDescent="0.2">
      <c r="A553" s="11">
        <v>35867</v>
      </c>
      <c r="B553" s="10">
        <v>145.2885</v>
      </c>
      <c r="E553" s="13">
        <f t="shared" si="24"/>
        <v>1.0054611576970698E-2</v>
      </c>
      <c r="F553" s="9">
        <f t="shared" si="25"/>
        <v>8.5283084188250979E-2</v>
      </c>
      <c r="G553" s="9">
        <f t="shared" si="26"/>
        <v>9.8604646358770708E-3</v>
      </c>
    </row>
    <row r="554" spans="1:7" x14ac:dyDescent="0.2">
      <c r="A554" s="11">
        <v>35870</v>
      </c>
      <c r="B554" s="10">
        <v>145.28659999999999</v>
      </c>
      <c r="E554" s="13">
        <f t="shared" si="24"/>
        <v>-1.3077514212584592E-5</v>
      </c>
      <c r="F554" s="9">
        <f t="shared" si="25"/>
        <v>8.104019990878375E-2</v>
      </c>
      <c r="G554" s="9">
        <f t="shared" si="26"/>
        <v>9.8721260166828723E-3</v>
      </c>
    </row>
    <row r="555" spans="1:7" x14ac:dyDescent="0.2">
      <c r="A555" s="11">
        <v>35871</v>
      </c>
      <c r="B555" s="10">
        <v>144.65889999999999</v>
      </c>
      <c r="E555" s="13">
        <f t="shared" si="24"/>
        <v>-4.3297859813410952E-3</v>
      </c>
      <c r="F555" s="9">
        <f t="shared" si="25"/>
        <v>7.8992511667111937E-2</v>
      </c>
      <c r="G555" s="9">
        <f t="shared" si="26"/>
        <v>9.9169540886726564E-3</v>
      </c>
    </row>
    <row r="556" spans="1:7" x14ac:dyDescent="0.2">
      <c r="A556" s="11">
        <v>35872</v>
      </c>
      <c r="B556" s="10">
        <v>144.39869999999999</v>
      </c>
      <c r="E556" s="13">
        <f t="shared" si="24"/>
        <v>-1.8003337070538143E-3</v>
      </c>
      <c r="F556" s="9">
        <f t="shared" si="25"/>
        <v>7.0837088587461919E-2</v>
      </c>
      <c r="G556" s="9">
        <f t="shared" si="26"/>
        <v>9.9259341740838246E-3</v>
      </c>
    </row>
    <row r="557" spans="1:7" x14ac:dyDescent="0.2">
      <c r="A557" s="11">
        <v>35873</v>
      </c>
      <c r="B557" s="10">
        <v>145.56379999999999</v>
      </c>
      <c r="E557" s="13">
        <f t="shared" si="24"/>
        <v>8.0362548281809471E-3</v>
      </c>
      <c r="F557" s="9">
        <f t="shared" si="25"/>
        <v>8.0009103271367926E-2</v>
      </c>
      <c r="G557" s="9">
        <f t="shared" si="26"/>
        <v>9.9539279645467025E-3</v>
      </c>
    </row>
    <row r="558" spans="1:7" x14ac:dyDescent="0.2">
      <c r="A558" s="11">
        <v>35874</v>
      </c>
      <c r="B558" s="10">
        <v>145.12260000000001</v>
      </c>
      <c r="E558" s="13">
        <f t="shared" si="24"/>
        <v>-3.0355760626884203E-3</v>
      </c>
      <c r="F558" s="9">
        <f t="shared" si="25"/>
        <v>7.9572698398175046E-2</v>
      </c>
      <c r="G558" s="9">
        <f t="shared" si="26"/>
        <v>9.9626437663138719E-3</v>
      </c>
    </row>
    <row r="559" spans="1:7" x14ac:dyDescent="0.2">
      <c r="A559" s="11">
        <v>35877</v>
      </c>
      <c r="B559" s="10">
        <v>146.874</v>
      </c>
      <c r="E559" s="13">
        <f t="shared" si="24"/>
        <v>1.199617395099712E-2</v>
      </c>
      <c r="F559" s="9">
        <f t="shared" si="25"/>
        <v>0.10669209645740896</v>
      </c>
      <c r="G559" s="9">
        <f t="shared" si="26"/>
        <v>9.4870777399912731E-3</v>
      </c>
    </row>
    <row r="560" spans="1:7" x14ac:dyDescent="0.2">
      <c r="A560" s="11">
        <v>35878</v>
      </c>
      <c r="B560" s="10">
        <v>146.41589999999999</v>
      </c>
      <c r="E560" s="13">
        <f t="shared" si="24"/>
        <v>-3.1238741772840338E-3</v>
      </c>
      <c r="F560" s="9">
        <f t="shared" si="25"/>
        <v>9.6141172474266803E-2</v>
      </c>
      <c r="G560" s="9">
        <f t="shared" si="26"/>
        <v>9.5403716632895992E-3</v>
      </c>
    </row>
    <row r="561" spans="1:7" x14ac:dyDescent="0.2">
      <c r="A561" s="11">
        <v>35879</v>
      </c>
      <c r="B561" s="10">
        <v>147.15870000000001</v>
      </c>
      <c r="E561" s="13">
        <f t="shared" si="24"/>
        <v>5.0603940879697992E-3</v>
      </c>
      <c r="F561" s="9">
        <f t="shared" si="25"/>
        <v>0.11487408926283478</v>
      </c>
      <c r="G561" s="9">
        <f t="shared" si="26"/>
        <v>8.9659775488383081E-3</v>
      </c>
    </row>
    <row r="562" spans="1:7" x14ac:dyDescent="0.2">
      <c r="A562" s="11">
        <v>35880</v>
      </c>
      <c r="B562" s="10">
        <v>146.47999999999999</v>
      </c>
      <c r="E562" s="13">
        <f t="shared" si="24"/>
        <v>-4.6226959090376373E-3</v>
      </c>
      <c r="F562" s="9">
        <f t="shared" si="25"/>
        <v>0.10600700166479947</v>
      </c>
      <c r="G562" s="9">
        <f t="shared" si="26"/>
        <v>9.1060743402611565E-3</v>
      </c>
    </row>
    <row r="563" spans="1:7" x14ac:dyDescent="0.2">
      <c r="A563" s="11">
        <v>35881</v>
      </c>
      <c r="B563" s="10">
        <v>148.10319999999999</v>
      </c>
      <c r="E563" s="13">
        <f t="shared" si="24"/>
        <v>1.1020427696351691E-2</v>
      </c>
      <c r="F563" s="9">
        <f t="shared" si="25"/>
        <v>0.10742862954923503</v>
      </c>
      <c r="G563" s="9">
        <f t="shared" si="26"/>
        <v>9.1429645447178333E-3</v>
      </c>
    </row>
    <row r="564" spans="1:7" x14ac:dyDescent="0.2">
      <c r="A564" s="11">
        <v>35884</v>
      </c>
      <c r="B564" s="10">
        <v>148.00710000000001</v>
      </c>
      <c r="E564" s="13">
        <f t="shared" si="24"/>
        <v>-6.490824761851145E-4</v>
      </c>
      <c r="F564" s="9">
        <f t="shared" si="25"/>
        <v>8.9246997957595511E-2</v>
      </c>
      <c r="G564" s="9">
        <f t="shared" si="26"/>
        <v>8.7769254831619719E-3</v>
      </c>
    </row>
    <row r="565" spans="1:7" x14ac:dyDescent="0.2">
      <c r="A565" s="11">
        <v>35885</v>
      </c>
      <c r="B565" s="10">
        <v>146.3631</v>
      </c>
      <c r="E565" s="13">
        <f t="shared" si="24"/>
        <v>-1.116972500927166E-2</v>
      </c>
      <c r="F565" s="9">
        <f t="shared" si="25"/>
        <v>8.8985318735581992E-2</v>
      </c>
      <c r="G565" s="9">
        <f t="shared" si="26"/>
        <v>8.7919389731863449E-3</v>
      </c>
    </row>
    <row r="566" spans="1:7" x14ac:dyDescent="0.2">
      <c r="A566" s="11">
        <v>35886</v>
      </c>
      <c r="B566" s="10">
        <v>147.4528</v>
      </c>
      <c r="E566" s="13">
        <f t="shared" si="24"/>
        <v>7.4176039917988879E-3</v>
      </c>
      <c r="F566" s="9">
        <f t="shared" si="25"/>
        <v>9.2678767948330937E-2</v>
      </c>
      <c r="G566" s="9">
        <f t="shared" si="26"/>
        <v>8.828452521332986E-3</v>
      </c>
    </row>
    <row r="567" spans="1:7" x14ac:dyDescent="0.2">
      <c r="A567" s="11">
        <v>35887</v>
      </c>
      <c r="B567" s="10">
        <v>148.4331</v>
      </c>
      <c r="E567" s="13">
        <f t="shared" si="24"/>
        <v>6.6262271154121583E-3</v>
      </c>
      <c r="F567" s="9">
        <f t="shared" si="25"/>
        <v>0.10073681041880807</v>
      </c>
      <c r="G567" s="9">
        <f t="shared" si="26"/>
        <v>8.8043774103361873E-3</v>
      </c>
    </row>
    <row r="568" spans="1:7" x14ac:dyDescent="0.2">
      <c r="A568" s="11">
        <v>35888</v>
      </c>
      <c r="B568" s="10">
        <v>149.71700000000001</v>
      </c>
      <c r="E568" s="13">
        <f t="shared" si="24"/>
        <v>8.6124937479629925E-3</v>
      </c>
      <c r="F568" s="9">
        <f t="shared" si="25"/>
        <v>0.10853448908619248</v>
      </c>
      <c r="G568" s="9">
        <f t="shared" si="26"/>
        <v>8.8392768718664003E-3</v>
      </c>
    </row>
    <row r="569" spans="1:7" x14ac:dyDescent="0.2">
      <c r="A569" s="11">
        <v>35891</v>
      </c>
      <c r="B569" s="10">
        <v>151.3647</v>
      </c>
      <c r="E569" s="13">
        <f t="shared" si="24"/>
        <v>1.094531118618685E-2</v>
      </c>
      <c r="F569" s="9">
        <f t="shared" si="25"/>
        <v>0.12938212690545522</v>
      </c>
      <c r="G569" s="9">
        <f t="shared" si="26"/>
        <v>8.5323504926185859E-3</v>
      </c>
    </row>
    <row r="570" spans="1:7" x14ac:dyDescent="0.2">
      <c r="A570" s="11">
        <v>35892</v>
      </c>
      <c r="B570" s="10">
        <v>151.37790000000001</v>
      </c>
      <c r="E570" s="13">
        <f t="shared" si="24"/>
        <v>8.720279213019905E-5</v>
      </c>
      <c r="F570" s="9">
        <f t="shared" si="25"/>
        <v>0.11819285578478313</v>
      </c>
      <c r="G570" s="9">
        <f t="shared" si="26"/>
        <v>8.4658989291114088E-3</v>
      </c>
    </row>
    <row r="571" spans="1:7" x14ac:dyDescent="0.2">
      <c r="A571" s="11">
        <v>35893</v>
      </c>
      <c r="B571" s="10">
        <v>150.7689</v>
      </c>
      <c r="E571" s="13">
        <f t="shared" si="24"/>
        <v>-4.0311585275728118E-3</v>
      </c>
      <c r="F571" s="9">
        <f t="shared" si="25"/>
        <v>9.9413329900394448E-2</v>
      </c>
      <c r="G571" s="9">
        <f t="shared" si="26"/>
        <v>8.3376331798034418E-3</v>
      </c>
    </row>
    <row r="572" spans="1:7" x14ac:dyDescent="0.2">
      <c r="A572" s="11">
        <v>35899</v>
      </c>
      <c r="B572" s="10">
        <v>150.89529999999999</v>
      </c>
      <c r="E572" s="13">
        <f t="shared" si="24"/>
        <v>8.3801795106784463E-4</v>
      </c>
      <c r="F572" s="9">
        <f t="shared" si="25"/>
        <v>9.9850699630983655E-2</v>
      </c>
      <c r="G572" s="9">
        <f t="shared" si="26"/>
        <v>8.3323553284851224E-3</v>
      </c>
    </row>
    <row r="573" spans="1:7" x14ac:dyDescent="0.2">
      <c r="A573" s="11">
        <v>35900</v>
      </c>
      <c r="B573" s="10">
        <v>152.0754</v>
      </c>
      <c r="E573" s="13">
        <f t="shared" si="24"/>
        <v>7.790231650284557E-3</v>
      </c>
      <c r="F573" s="9">
        <f t="shared" si="25"/>
        <v>8.9459450054917025E-2</v>
      </c>
      <c r="G573" s="9">
        <f t="shared" si="26"/>
        <v>7.8874740949872457E-3</v>
      </c>
    </row>
    <row r="574" spans="1:7" x14ac:dyDescent="0.2">
      <c r="A574" s="11">
        <v>35901</v>
      </c>
      <c r="B574" s="10">
        <v>151.114</v>
      </c>
      <c r="E574" s="13">
        <f t="shared" si="24"/>
        <v>-6.3419316262239176E-3</v>
      </c>
      <c r="F574" s="9">
        <f t="shared" si="25"/>
        <v>7.7264619643889004E-2</v>
      </c>
      <c r="G574" s="9">
        <f t="shared" si="26"/>
        <v>8.0578621238991469E-3</v>
      </c>
    </row>
    <row r="575" spans="1:7" x14ac:dyDescent="0.2">
      <c r="A575" s="11">
        <v>35902</v>
      </c>
      <c r="B575" s="10">
        <v>150.72559999999999</v>
      </c>
      <c r="E575" s="13">
        <f t="shared" si="24"/>
        <v>-2.5735537309896461E-3</v>
      </c>
      <c r="F575" s="9">
        <f t="shared" si="25"/>
        <v>7.4448741051291678E-2</v>
      </c>
      <c r="G575" s="9">
        <f t="shared" si="26"/>
        <v>8.1049184560453187E-3</v>
      </c>
    </row>
    <row r="576" spans="1:7" x14ac:dyDescent="0.2">
      <c r="A576" s="11">
        <v>35905</v>
      </c>
      <c r="B576" s="10">
        <v>152.06219999999999</v>
      </c>
      <c r="E576" s="13">
        <f t="shared" si="24"/>
        <v>8.828682541591297E-3</v>
      </c>
      <c r="F576" s="9">
        <f t="shared" si="25"/>
        <v>9.8853555362139453E-2</v>
      </c>
      <c r="G576" s="9">
        <f t="shared" si="26"/>
        <v>7.3891805723606766E-3</v>
      </c>
    </row>
    <row r="577" spans="1:7" x14ac:dyDescent="0.2">
      <c r="A577" s="11">
        <v>35906</v>
      </c>
      <c r="B577" s="10">
        <v>151.99440000000001</v>
      </c>
      <c r="E577" s="13">
        <f t="shared" si="24"/>
        <v>-4.4596960647261231E-4</v>
      </c>
      <c r="F577" s="9">
        <f t="shared" si="25"/>
        <v>7.6893225147642283E-2</v>
      </c>
      <c r="G577" s="9">
        <f t="shared" si="26"/>
        <v>6.5443967828650602E-3</v>
      </c>
    </row>
    <row r="578" spans="1:7" x14ac:dyDescent="0.2">
      <c r="A578" s="11">
        <v>35907</v>
      </c>
      <c r="B578" s="10">
        <v>152.15649999999999</v>
      </c>
      <c r="E578" s="13">
        <f t="shared" si="24"/>
        <v>1.065918367152007E-3</v>
      </c>
      <c r="F578" s="9">
        <f t="shared" si="25"/>
        <v>8.1299824607067986E-2</v>
      </c>
      <c r="G578" s="9">
        <f t="shared" si="26"/>
        <v>6.4507860737531616E-3</v>
      </c>
    </row>
    <row r="579" spans="1:7" x14ac:dyDescent="0.2">
      <c r="A579" s="11">
        <v>35908</v>
      </c>
      <c r="B579" s="10">
        <v>153.66470000000001</v>
      </c>
      <c r="E579" s="13">
        <f t="shared" si="24"/>
        <v>9.8633595525200284E-3</v>
      </c>
      <c r="F579" s="9">
        <f t="shared" si="25"/>
        <v>7.7840171893478916E-2</v>
      </c>
      <c r="G579" s="9">
        <f t="shared" si="26"/>
        <v>6.2789964366894236E-3</v>
      </c>
    </row>
    <row r="580" spans="1:7" x14ac:dyDescent="0.2">
      <c r="A580" s="11">
        <v>35909</v>
      </c>
      <c r="B580" s="10">
        <v>154.35849999999999</v>
      </c>
      <c r="E580" s="13">
        <f t="shared" ref="E580:E643" si="27">LN(B580/B579)</f>
        <v>4.5048630967989911E-3</v>
      </c>
      <c r="F580" s="9">
        <f t="shared" si="25"/>
        <v>7.4761160863606152E-2</v>
      </c>
      <c r="G580" s="9">
        <f t="shared" si="26"/>
        <v>6.2189314932420518E-3</v>
      </c>
    </row>
    <row r="581" spans="1:7" x14ac:dyDescent="0.2">
      <c r="A581" s="11">
        <v>35912</v>
      </c>
      <c r="B581" s="10">
        <v>150.2373</v>
      </c>
      <c r="E581" s="13">
        <f t="shared" si="27"/>
        <v>-2.706177502633561E-2</v>
      </c>
      <c r="F581" s="9">
        <f t="shared" si="25"/>
        <v>4.3549234778707424E-2</v>
      </c>
      <c r="G581" s="9">
        <f t="shared" si="26"/>
        <v>8.2923227940355539E-3</v>
      </c>
    </row>
    <row r="582" spans="1:7" x14ac:dyDescent="0.2">
      <c r="A582" s="11">
        <v>35913</v>
      </c>
      <c r="B582" s="10">
        <v>149.96209999999999</v>
      </c>
      <c r="E582" s="13">
        <f t="shared" si="27"/>
        <v>-1.8334485484726435E-3</v>
      </c>
      <c r="F582" s="9">
        <f t="shared" si="25"/>
        <v>3.1661174653264089E-2</v>
      </c>
      <c r="G582" s="9">
        <f t="shared" si="26"/>
        <v>8.1469776198315781E-3</v>
      </c>
    </row>
    <row r="583" spans="1:7" x14ac:dyDescent="0.2">
      <c r="A583" s="11">
        <v>35914</v>
      </c>
      <c r="B583" s="10">
        <v>149.5718</v>
      </c>
      <c r="E583" s="13">
        <f t="shared" si="27"/>
        <v>-2.6060504062710094E-3</v>
      </c>
      <c r="F583" s="9">
        <f t="shared" si="25"/>
        <v>2.9068201761205531E-2</v>
      </c>
      <c r="G583" s="9">
        <f t="shared" si="26"/>
        <v>8.1737212986289845E-3</v>
      </c>
    </row>
    <row r="584" spans="1:7" x14ac:dyDescent="0.2">
      <c r="A584" s="11">
        <v>35915</v>
      </c>
      <c r="B584" s="10">
        <v>150.54079999999999</v>
      </c>
      <c r="E584" s="13">
        <f t="shared" si="27"/>
        <v>6.4575986967529905E-3</v>
      </c>
      <c r="F584" s="9">
        <f t="shared" si="25"/>
        <v>3.9855586439299609E-2</v>
      </c>
      <c r="G584" s="9">
        <f t="shared" si="26"/>
        <v>8.1678540279052966E-3</v>
      </c>
    </row>
    <row r="585" spans="1:7" x14ac:dyDescent="0.2">
      <c r="A585" s="11">
        <v>35919</v>
      </c>
      <c r="B585" s="10">
        <v>152.37139999999999</v>
      </c>
      <c r="E585" s="13">
        <f t="shared" si="27"/>
        <v>1.2086817804980488E-2</v>
      </c>
      <c r="F585" s="9">
        <f t="shared" si="25"/>
        <v>5.3742737951333941E-2</v>
      </c>
      <c r="G585" s="9">
        <f t="shared" si="26"/>
        <v>8.3794312172894153E-3</v>
      </c>
    </row>
    <row r="586" spans="1:7" x14ac:dyDescent="0.2">
      <c r="A586" s="11">
        <v>35920</v>
      </c>
      <c r="B586" s="10">
        <v>151.83600000000001</v>
      </c>
      <c r="E586" s="13">
        <f t="shared" si="27"/>
        <v>-3.519970604324402E-3</v>
      </c>
      <c r="F586" s="9">
        <f t="shared" si="25"/>
        <v>4.2186512518828573E-2</v>
      </c>
      <c r="G586" s="9">
        <f t="shared" si="26"/>
        <v>8.3496193030600605E-3</v>
      </c>
    </row>
    <row r="587" spans="1:7" x14ac:dyDescent="0.2">
      <c r="A587" s="11">
        <v>35921</v>
      </c>
      <c r="B587" s="10">
        <v>152.5599</v>
      </c>
      <c r="E587" s="13">
        <f t="shared" si="27"/>
        <v>4.7563148170106373E-3</v>
      </c>
      <c r="F587" s="9">
        <f t="shared" si="25"/>
        <v>4.9978403398527708E-2</v>
      </c>
      <c r="G587" s="9">
        <f t="shared" si="26"/>
        <v>8.3252979056383496E-3</v>
      </c>
    </row>
    <row r="588" spans="1:7" x14ac:dyDescent="0.2">
      <c r="A588" s="11">
        <v>35922</v>
      </c>
      <c r="B588" s="10">
        <v>149.0421</v>
      </c>
      <c r="E588" s="13">
        <f t="shared" si="27"/>
        <v>-2.3328489440936451E-2</v>
      </c>
      <c r="F588" s="9">
        <f t="shared" si="25"/>
        <v>1.4653740006594113E-2</v>
      </c>
      <c r="G588" s="9">
        <f t="shared" si="26"/>
        <v>9.2961868196079957E-3</v>
      </c>
    </row>
    <row r="589" spans="1:7" x14ac:dyDescent="0.2">
      <c r="A589" s="11">
        <v>35923</v>
      </c>
      <c r="B589" s="10">
        <v>149.0308</v>
      </c>
      <c r="E589" s="13">
        <f t="shared" si="27"/>
        <v>-7.582037820562089E-5</v>
      </c>
      <c r="F589" s="9">
        <f t="shared" si="25"/>
        <v>1.770179380567255E-2</v>
      </c>
      <c r="G589" s="9">
        <f t="shared" si="26"/>
        <v>9.2708855399139655E-3</v>
      </c>
    </row>
    <row r="590" spans="1:7" x14ac:dyDescent="0.2">
      <c r="A590" s="11">
        <v>35926</v>
      </c>
      <c r="B590" s="10">
        <v>150.32400000000001</v>
      </c>
      <c r="E590" s="13">
        <f t="shared" si="27"/>
        <v>8.6399686570597101E-3</v>
      </c>
      <c r="F590" s="9">
        <f t="shared" si="25"/>
        <v>2.1281368374762334E-2</v>
      </c>
      <c r="G590" s="9">
        <f t="shared" si="26"/>
        <v>9.3556907075548808E-3</v>
      </c>
    </row>
    <row r="591" spans="1:7" x14ac:dyDescent="0.2">
      <c r="A591" s="11">
        <v>35927</v>
      </c>
      <c r="B591" s="10">
        <v>149.50389999999999</v>
      </c>
      <c r="E591" s="13">
        <f t="shared" si="27"/>
        <v>-5.4704852030512188E-3</v>
      </c>
      <c r="F591" s="9">
        <f t="shared" si="25"/>
        <v>2.0433579080748918E-2</v>
      </c>
      <c r="G591" s="9">
        <f t="shared" si="26"/>
        <v>9.3743322650460797E-3</v>
      </c>
    </row>
    <row r="592" spans="1:7" x14ac:dyDescent="0.2">
      <c r="A592" s="11">
        <v>35928</v>
      </c>
      <c r="B592" s="10">
        <v>150.25800000000001</v>
      </c>
      <c r="E592" s="13">
        <f t="shared" si="27"/>
        <v>5.0313371432160513E-3</v>
      </c>
      <c r="F592" s="9">
        <f t="shared" si="25"/>
        <v>1.444448852761326E-2</v>
      </c>
      <c r="G592" s="9">
        <f t="shared" si="26"/>
        <v>9.2033660567486936E-3</v>
      </c>
    </row>
    <row r="593" spans="1:7" x14ac:dyDescent="0.2">
      <c r="A593" s="11">
        <v>35929</v>
      </c>
      <c r="B593" s="10">
        <v>149.63210000000001</v>
      </c>
      <c r="E593" s="13">
        <f t="shared" si="27"/>
        <v>-4.1742018746502565E-3</v>
      </c>
      <c r="F593" s="9">
        <f t="shared" si="25"/>
        <v>1.0919369129148109E-2</v>
      </c>
      <c r="G593" s="9">
        <f t="shared" si="26"/>
        <v>9.2422560015951137E-3</v>
      </c>
    </row>
    <row r="594" spans="1:7" x14ac:dyDescent="0.2">
      <c r="A594" s="11">
        <v>35930</v>
      </c>
      <c r="B594" s="10">
        <v>148.7876</v>
      </c>
      <c r="E594" s="13">
        <f t="shared" si="27"/>
        <v>-5.6598291223269514E-3</v>
      </c>
      <c r="F594" s="9">
        <f t="shared" si="25"/>
        <v>1.6429265016092889E-2</v>
      </c>
      <c r="G594" s="9">
        <f t="shared" si="26"/>
        <v>9.0510754187015548E-3</v>
      </c>
    </row>
    <row r="595" spans="1:7" x14ac:dyDescent="0.2">
      <c r="A595" s="11">
        <v>35933</v>
      </c>
      <c r="B595" s="10">
        <v>147.34530000000001</v>
      </c>
      <c r="E595" s="13">
        <f t="shared" si="27"/>
        <v>-9.7409737625027241E-3</v>
      </c>
      <c r="F595" s="9">
        <f t="shared" si="25"/>
        <v>-7.2931273820892126E-4</v>
      </c>
      <c r="G595" s="9">
        <f t="shared" si="26"/>
        <v>9.1475407432786635E-3</v>
      </c>
    </row>
    <row r="596" spans="1:7" x14ac:dyDescent="0.2">
      <c r="A596" s="11">
        <v>35934</v>
      </c>
      <c r="B596" s="10">
        <v>145.8107</v>
      </c>
      <c r="E596" s="13">
        <f t="shared" si="27"/>
        <v>-1.0469606745947073E-2</v>
      </c>
      <c r="F596" s="9">
        <f t="shared" si="25"/>
        <v>-1.7825146599568138E-2</v>
      </c>
      <c r="G596" s="9">
        <f t="shared" si="26"/>
        <v>9.253836575869227E-3</v>
      </c>
    </row>
    <row r="597" spans="1:7" x14ac:dyDescent="0.2">
      <c r="A597" s="11">
        <v>35935</v>
      </c>
      <c r="B597" s="10">
        <v>146.08789999999999</v>
      </c>
      <c r="E597" s="13">
        <f t="shared" si="27"/>
        <v>1.899290255785301E-3</v>
      </c>
      <c r="F597" s="9">
        <f t="shared" si="25"/>
        <v>-2.4538350091745771E-2</v>
      </c>
      <c r="G597" s="9">
        <f t="shared" si="26"/>
        <v>9.097415836017279E-3</v>
      </c>
    </row>
    <row r="598" spans="1:7" x14ac:dyDescent="0.2">
      <c r="A598" s="11">
        <v>35937</v>
      </c>
      <c r="B598" s="10">
        <v>144.57210000000001</v>
      </c>
      <c r="E598" s="13">
        <f t="shared" si="27"/>
        <v>-1.0430150290490872E-2</v>
      </c>
      <c r="F598" s="9">
        <f t="shared" si="25"/>
        <v>-4.5913811568423543E-2</v>
      </c>
      <c r="G598" s="9">
        <f t="shared" si="26"/>
        <v>8.9730196225718852E-3</v>
      </c>
    </row>
    <row r="599" spans="1:7" x14ac:dyDescent="0.2">
      <c r="A599" s="11">
        <v>35940</v>
      </c>
      <c r="B599" s="10">
        <v>144.14420000000001</v>
      </c>
      <c r="E599" s="13">
        <f t="shared" si="27"/>
        <v>-2.9641576405785757E-3</v>
      </c>
      <c r="F599" s="9">
        <f t="shared" si="25"/>
        <v>-4.8965172001132228E-2</v>
      </c>
      <c r="G599" s="9">
        <f t="shared" si="26"/>
        <v>8.9706222822767273E-3</v>
      </c>
    </row>
    <row r="600" spans="1:7" x14ac:dyDescent="0.2">
      <c r="A600" s="11">
        <v>35941</v>
      </c>
      <c r="B600" s="10">
        <v>143.63140000000001</v>
      </c>
      <c r="E600" s="13">
        <f t="shared" si="27"/>
        <v>-3.5638917459979652E-3</v>
      </c>
      <c r="F600" s="9">
        <f t="shared" si="25"/>
        <v>-4.8497905219557422E-2</v>
      </c>
      <c r="G600" s="9">
        <f t="shared" si="26"/>
        <v>8.9666829135094366E-3</v>
      </c>
    </row>
    <row r="601" spans="1:7" x14ac:dyDescent="0.2">
      <c r="A601" s="11">
        <v>35942</v>
      </c>
      <c r="B601" s="10">
        <v>139.69499999999999</v>
      </c>
      <c r="E601" s="13">
        <f t="shared" si="27"/>
        <v>-2.7788821021780409E-2</v>
      </c>
      <c r="F601" s="9">
        <f t="shared" si="25"/>
        <v>-7.7124744192405781E-2</v>
      </c>
      <c r="G601" s="9">
        <f t="shared" si="26"/>
        <v>1.0174810254816209E-2</v>
      </c>
    </row>
    <row r="602" spans="1:7" x14ac:dyDescent="0.2">
      <c r="A602" s="11">
        <v>35943</v>
      </c>
      <c r="B602" s="10">
        <v>139.34809999999999</v>
      </c>
      <c r="E602" s="13">
        <f t="shared" si="27"/>
        <v>-2.4863555394149767E-3</v>
      </c>
      <c r="F602" s="9">
        <f t="shared" si="25"/>
        <v>-8.740133138210536E-2</v>
      </c>
      <c r="G602" s="9">
        <f t="shared" si="26"/>
        <v>9.9748636648610729E-3</v>
      </c>
    </row>
    <row r="603" spans="1:7" x14ac:dyDescent="0.2">
      <c r="A603" s="11">
        <v>35944</v>
      </c>
      <c r="B603" s="10">
        <v>139.20480000000001</v>
      </c>
      <c r="E603" s="13">
        <f t="shared" si="27"/>
        <v>-1.0288890378925082E-3</v>
      </c>
      <c r="F603" s="9">
        <f t="shared" si="25"/>
        <v>-8.2088288793773903E-2</v>
      </c>
      <c r="G603" s="9">
        <f t="shared" si="26"/>
        <v>9.9603352206726163E-3</v>
      </c>
    </row>
    <row r="604" spans="1:7" x14ac:dyDescent="0.2">
      <c r="A604" s="11">
        <v>35948</v>
      </c>
      <c r="B604" s="10">
        <v>139.0729</v>
      </c>
      <c r="E604" s="13">
        <f t="shared" si="27"/>
        <v>-9.4797398338222175E-4</v>
      </c>
      <c r="F604" s="9">
        <f t="shared" si="25"/>
        <v>-8.0462709046166467E-2</v>
      </c>
      <c r="G604" s="9">
        <f t="shared" si="26"/>
        <v>9.9664060050085636E-3</v>
      </c>
    </row>
    <row r="605" spans="1:7" x14ac:dyDescent="0.2">
      <c r="A605" s="11">
        <v>35949</v>
      </c>
      <c r="B605" s="10">
        <v>136.8879</v>
      </c>
      <c r="E605" s="13">
        <f t="shared" si="27"/>
        <v>-1.5835913375862858E-2</v>
      </c>
      <c r="F605" s="9">
        <f t="shared" si="25"/>
        <v>-0.10512730496362063</v>
      </c>
      <c r="G605" s="9">
        <f t="shared" si="26"/>
        <v>9.9932201278459861E-3</v>
      </c>
    </row>
    <row r="606" spans="1:7" x14ac:dyDescent="0.2">
      <c r="A606" s="11">
        <v>35950</v>
      </c>
      <c r="B606" s="10">
        <v>136.21289999999999</v>
      </c>
      <c r="E606" s="13">
        <f t="shared" si="27"/>
        <v>-4.9432398184338609E-3</v>
      </c>
      <c r="F606" s="9">
        <f t="shared" si="25"/>
        <v>-0.10962457517558181</v>
      </c>
      <c r="G606" s="9">
        <f t="shared" si="26"/>
        <v>9.9770055928500544E-3</v>
      </c>
    </row>
    <row r="607" spans="1:7" x14ac:dyDescent="0.2">
      <c r="A607" s="11">
        <v>35951</v>
      </c>
      <c r="B607" s="10">
        <v>139.45930000000001</v>
      </c>
      <c r="E607" s="13">
        <f t="shared" si="27"/>
        <v>2.3553699533133236E-2</v>
      </c>
      <c r="F607" s="9">
        <f t="shared" si="25"/>
        <v>-8.7136794009600685E-2</v>
      </c>
      <c r="G607" s="9">
        <f t="shared" si="26"/>
        <v>1.1169721981855512E-2</v>
      </c>
    </row>
    <row r="608" spans="1:7" x14ac:dyDescent="0.2">
      <c r="A608" s="11">
        <v>35954</v>
      </c>
      <c r="B608" s="10">
        <v>142.38900000000001</v>
      </c>
      <c r="E608" s="13">
        <f t="shared" si="27"/>
        <v>2.0789946383268556E-2</v>
      </c>
      <c r="F608" s="9">
        <f t="shared" ref="F608:F671" si="28">LN(B608/B579)</f>
        <v>-7.621020717885206E-2</v>
      </c>
      <c r="G608" s="9">
        <f t="shared" si="26"/>
        <v>1.1786549539757196E-2</v>
      </c>
    </row>
    <row r="609" spans="1:7" x14ac:dyDescent="0.2">
      <c r="A609" s="11">
        <v>35955</v>
      </c>
      <c r="B609" s="10">
        <v>142.63220000000001</v>
      </c>
      <c r="E609" s="13">
        <f t="shared" si="27"/>
        <v>1.7065401382227135E-3</v>
      </c>
      <c r="F609" s="9">
        <f t="shared" si="28"/>
        <v>-7.9008530137428354E-2</v>
      </c>
      <c r="G609" s="9">
        <f t="shared" ref="G609:G672" si="29">STDEV(E581:E609)</f>
        <v>1.1737421578394507E-2</v>
      </c>
    </row>
    <row r="610" spans="1:7" x14ac:dyDescent="0.2">
      <c r="A610" s="11">
        <v>35956</v>
      </c>
      <c r="B610" s="10">
        <v>140.40010000000001</v>
      </c>
      <c r="E610" s="13">
        <f t="shared" si="27"/>
        <v>-1.5773085099199516E-2</v>
      </c>
      <c r="F610" s="9">
        <f t="shared" si="28"/>
        <v>-6.7719840210292231E-2</v>
      </c>
      <c r="G610" s="9">
        <f t="shared" si="29"/>
        <v>1.106965707727053E-2</v>
      </c>
    </row>
    <row r="611" spans="1:7" x14ac:dyDescent="0.2">
      <c r="A611" s="11">
        <v>35957</v>
      </c>
      <c r="B611" s="10">
        <v>140.44909999999999</v>
      </c>
      <c r="E611" s="13">
        <f t="shared" si="27"/>
        <v>3.4894171318393651E-4</v>
      </c>
      <c r="F611" s="9">
        <f t="shared" si="28"/>
        <v>-6.5537449948635626E-2</v>
      </c>
      <c r="G611" s="9">
        <f t="shared" si="29"/>
        <v>1.1080602583168522E-2</v>
      </c>
    </row>
    <row r="612" spans="1:7" x14ac:dyDescent="0.2">
      <c r="A612" s="11">
        <v>35958</v>
      </c>
      <c r="B612" s="10">
        <v>138.38290000000001</v>
      </c>
      <c r="E612" s="13">
        <f t="shared" si="27"/>
        <v>-1.4820664918616005E-2</v>
      </c>
      <c r="F612" s="9">
        <f t="shared" si="28"/>
        <v>-7.7752064460980666E-2</v>
      </c>
      <c r="G612" s="9">
        <f t="shared" si="29"/>
        <v>1.1323712610380482E-2</v>
      </c>
    </row>
    <row r="613" spans="1:7" x14ac:dyDescent="0.2">
      <c r="A613" s="11">
        <v>35961</v>
      </c>
      <c r="B613" s="10">
        <v>134.83670000000001</v>
      </c>
      <c r="E613" s="13">
        <f t="shared" si="27"/>
        <v>-2.5960064020371869E-2</v>
      </c>
      <c r="F613" s="9">
        <f t="shared" si="28"/>
        <v>-0.11016972717810543</v>
      </c>
      <c r="G613" s="9">
        <f t="shared" si="29"/>
        <v>1.1970942452651921E-2</v>
      </c>
    </row>
    <row r="614" spans="1:7" x14ac:dyDescent="0.2">
      <c r="A614" s="11">
        <v>35962</v>
      </c>
      <c r="B614" s="10">
        <v>136.42410000000001</v>
      </c>
      <c r="E614" s="13">
        <f t="shared" si="27"/>
        <v>1.1703999402833804E-2</v>
      </c>
      <c r="F614" s="9">
        <f t="shared" si="28"/>
        <v>-0.1105525455802521</v>
      </c>
      <c r="G614" s="9">
        <f t="shared" si="29"/>
        <v>1.1952996834388477E-2</v>
      </c>
    </row>
    <row r="615" spans="1:7" x14ac:dyDescent="0.2">
      <c r="A615" s="11">
        <v>35963</v>
      </c>
      <c r="B615" s="10">
        <v>137.40629999999999</v>
      </c>
      <c r="E615" s="13">
        <f t="shared" si="27"/>
        <v>7.1738142462845393E-3</v>
      </c>
      <c r="F615" s="9">
        <f t="shared" si="28"/>
        <v>-9.9858760729643101E-2</v>
      </c>
      <c r="G615" s="9">
        <f t="shared" si="29"/>
        <v>1.2126032463978144E-2</v>
      </c>
    </row>
    <row r="616" spans="1:7" x14ac:dyDescent="0.2">
      <c r="A616" s="11">
        <v>35964</v>
      </c>
      <c r="B616" s="10">
        <v>134.40880000000001</v>
      </c>
      <c r="E616" s="13">
        <f t="shared" si="27"/>
        <v>-2.2056328129430747E-2</v>
      </c>
      <c r="F616" s="9">
        <f t="shared" si="28"/>
        <v>-0.12667140367608434</v>
      </c>
      <c r="G616" s="9">
        <f t="shared" si="29"/>
        <v>1.2495075853583448E-2</v>
      </c>
    </row>
    <row r="617" spans="1:7" x14ac:dyDescent="0.2">
      <c r="A617" s="11">
        <v>35965</v>
      </c>
      <c r="B617" s="10">
        <v>135.29859999999999</v>
      </c>
      <c r="E617" s="13">
        <f t="shared" si="27"/>
        <v>6.5982856109534707E-3</v>
      </c>
      <c r="F617" s="9">
        <f t="shared" si="28"/>
        <v>-9.6744628624194293E-2</v>
      </c>
      <c r="G617" s="9">
        <f t="shared" si="29"/>
        <v>1.2102875452568274E-2</v>
      </c>
    </row>
    <row r="618" spans="1:7" x14ac:dyDescent="0.2">
      <c r="A618" s="11">
        <v>35968</v>
      </c>
      <c r="B618" s="10">
        <v>134.95740000000001</v>
      </c>
      <c r="E618" s="13">
        <f t="shared" si="27"/>
        <v>-2.5250146622635057E-3</v>
      </c>
      <c r="F618" s="9">
        <f t="shared" si="28"/>
        <v>-9.9193822908252169E-2</v>
      </c>
      <c r="G618" s="9">
        <f t="shared" si="29"/>
        <v>1.2087848992448419E-2</v>
      </c>
    </row>
    <row r="619" spans="1:7" x14ac:dyDescent="0.2">
      <c r="A619" s="11">
        <v>35969</v>
      </c>
      <c r="B619" s="10">
        <v>136.32980000000001</v>
      </c>
      <c r="E619" s="13">
        <f t="shared" si="27"/>
        <v>1.0117777083685345E-2</v>
      </c>
      <c r="F619" s="9">
        <f t="shared" si="28"/>
        <v>-9.7716014481626715E-2</v>
      </c>
      <c r="G619" s="9">
        <f t="shared" si="29"/>
        <v>1.214349513856396E-2</v>
      </c>
    </row>
    <row r="620" spans="1:7" x14ac:dyDescent="0.2">
      <c r="A620" s="11">
        <v>35970</v>
      </c>
      <c r="B620" s="10">
        <v>137.5967</v>
      </c>
      <c r="E620" s="13">
        <f t="shared" si="27"/>
        <v>9.2499924850890126E-3</v>
      </c>
      <c r="F620" s="9">
        <f t="shared" si="28"/>
        <v>-8.2995536793486396E-2</v>
      </c>
      <c r="G620" s="9">
        <f t="shared" si="29"/>
        <v>1.2358298393621731E-2</v>
      </c>
    </row>
    <row r="621" spans="1:7" x14ac:dyDescent="0.2">
      <c r="A621" s="11">
        <v>35971</v>
      </c>
      <c r="B621" s="10">
        <v>139.1747</v>
      </c>
      <c r="E621" s="13">
        <f t="shared" si="27"/>
        <v>1.1403035854183285E-2</v>
      </c>
      <c r="F621" s="9">
        <f t="shared" si="28"/>
        <v>-7.6623838082519255E-2</v>
      </c>
      <c r="G621" s="9">
        <f t="shared" si="29"/>
        <v>1.2558657431738252E-2</v>
      </c>
    </row>
    <row r="622" spans="1:7" x14ac:dyDescent="0.2">
      <c r="A622" s="11">
        <v>35972</v>
      </c>
      <c r="B622" s="10">
        <v>139.6234</v>
      </c>
      <c r="E622" s="13">
        <f t="shared" si="27"/>
        <v>3.2188195501151699E-3</v>
      </c>
      <c r="F622" s="9">
        <f t="shared" si="28"/>
        <v>-6.9230816657753796E-2</v>
      </c>
      <c r="G622" s="9">
        <f t="shared" si="29"/>
        <v>1.2601412003415802E-2</v>
      </c>
    </row>
    <row r="623" spans="1:7" x14ac:dyDescent="0.2">
      <c r="A623" s="11">
        <v>35975</v>
      </c>
      <c r="B623" s="10">
        <v>140.09469999999999</v>
      </c>
      <c r="E623" s="13">
        <f t="shared" si="27"/>
        <v>3.3698244482260396E-3</v>
      </c>
      <c r="F623" s="9">
        <f t="shared" si="28"/>
        <v>-6.020116308720079E-2</v>
      </c>
      <c r="G623" s="9">
        <f t="shared" si="29"/>
        <v>1.2629188571051039E-2</v>
      </c>
    </row>
    <row r="624" spans="1:7" x14ac:dyDescent="0.2">
      <c r="A624" s="11">
        <v>35976</v>
      </c>
      <c r="B624" s="10">
        <v>140.1739</v>
      </c>
      <c r="E624" s="13">
        <f t="shared" si="27"/>
        <v>5.6517213921347263E-4</v>
      </c>
      <c r="F624" s="9">
        <f t="shared" si="28"/>
        <v>-4.9895017185484503E-2</v>
      </c>
      <c r="G624" s="9">
        <f t="shared" si="29"/>
        <v>1.2550552946263439E-2</v>
      </c>
    </row>
    <row r="625" spans="1:7" x14ac:dyDescent="0.2">
      <c r="A625" s="11">
        <v>35977</v>
      </c>
      <c r="B625" s="10">
        <v>143.2638</v>
      </c>
      <c r="E625" s="13">
        <f t="shared" si="27"/>
        <v>2.1803891388201633E-2</v>
      </c>
      <c r="F625" s="9">
        <f t="shared" si="28"/>
        <v>-1.7621519051335858E-2</v>
      </c>
      <c r="G625" s="9">
        <f t="shared" si="29"/>
        <v>1.3162980265812521E-2</v>
      </c>
    </row>
    <row r="626" spans="1:7" x14ac:dyDescent="0.2">
      <c r="A626" s="11">
        <v>35978</v>
      </c>
      <c r="B626" s="10">
        <v>142.9829</v>
      </c>
      <c r="E626" s="13">
        <f t="shared" si="27"/>
        <v>-1.9626433434389002E-3</v>
      </c>
      <c r="F626" s="9">
        <f t="shared" si="28"/>
        <v>-2.1483452650560057E-2</v>
      </c>
      <c r="G626" s="9">
        <f t="shared" si="29"/>
        <v>1.3156245715128823E-2</v>
      </c>
    </row>
    <row r="627" spans="1:7" x14ac:dyDescent="0.2">
      <c r="A627" s="11">
        <v>35979</v>
      </c>
      <c r="B627" s="10">
        <v>143.3467</v>
      </c>
      <c r="E627" s="13">
        <f t="shared" si="27"/>
        <v>2.5411287953803143E-3</v>
      </c>
      <c r="F627" s="9">
        <f t="shared" si="28"/>
        <v>-8.5121735646888613E-3</v>
      </c>
      <c r="G627" s="9">
        <f t="shared" si="29"/>
        <v>1.3035002802324915E-2</v>
      </c>
    </row>
    <row r="628" spans="1:7" x14ac:dyDescent="0.2">
      <c r="A628" s="11">
        <v>35982</v>
      </c>
      <c r="B628" s="10">
        <v>141.63679999999999</v>
      </c>
      <c r="E628" s="13">
        <f t="shared" si="27"/>
        <v>-1.2000136984907647E-2</v>
      </c>
      <c r="F628" s="9">
        <f t="shared" si="28"/>
        <v>-1.7548152909018053E-2</v>
      </c>
      <c r="G628" s="9">
        <f t="shared" si="29"/>
        <v>1.3207970243932639E-2</v>
      </c>
    </row>
    <row r="629" spans="1:7" x14ac:dyDescent="0.2">
      <c r="A629" s="11">
        <v>35983</v>
      </c>
      <c r="B629" s="10">
        <v>142.46440000000001</v>
      </c>
      <c r="E629" s="13">
        <f t="shared" si="27"/>
        <v>5.8261094354566233E-3</v>
      </c>
      <c r="F629" s="9">
        <f t="shared" si="28"/>
        <v>-8.1581517275633973E-3</v>
      </c>
      <c r="G629" s="9">
        <f t="shared" si="29"/>
        <v>1.3247882762094395E-2</v>
      </c>
    </row>
    <row r="630" spans="1:7" x14ac:dyDescent="0.2">
      <c r="A630" s="11">
        <v>35984</v>
      </c>
      <c r="B630" s="10">
        <v>141.44640000000001</v>
      </c>
      <c r="E630" s="13">
        <f t="shared" si="27"/>
        <v>-7.1712972015351723E-3</v>
      </c>
      <c r="F630" s="9">
        <f t="shared" si="28"/>
        <v>1.2459372092681678E-2</v>
      </c>
      <c r="G630" s="9">
        <f t="shared" si="29"/>
        <v>1.2233341612206031E-2</v>
      </c>
    </row>
    <row r="631" spans="1:7" x14ac:dyDescent="0.2">
      <c r="A631" s="11">
        <v>35985</v>
      </c>
      <c r="B631" s="10">
        <v>141.97049999999999</v>
      </c>
      <c r="E631" s="13">
        <f t="shared" si="27"/>
        <v>3.6984428056860788E-3</v>
      </c>
      <c r="F631" s="9">
        <f t="shared" si="28"/>
        <v>1.8644170437782687E-2</v>
      </c>
      <c r="G631" s="9">
        <f t="shared" si="29"/>
        <v>1.2234601419131175E-2</v>
      </c>
    </row>
    <row r="632" spans="1:7" x14ac:dyDescent="0.2">
      <c r="A632" s="11">
        <v>35986</v>
      </c>
      <c r="B632" s="10">
        <v>142.00069999999999</v>
      </c>
      <c r="E632" s="13">
        <f t="shared" si="27"/>
        <v>2.126976264767316E-4</v>
      </c>
      <c r="F632" s="9">
        <f t="shared" si="28"/>
        <v>1.9885757102151725E-2</v>
      </c>
      <c r="G632" s="9">
        <f t="shared" si="29"/>
        <v>1.2230714039692059E-2</v>
      </c>
    </row>
    <row r="633" spans="1:7" x14ac:dyDescent="0.2">
      <c r="A633" s="11">
        <v>35989</v>
      </c>
      <c r="B633" s="10">
        <v>142.4324</v>
      </c>
      <c r="E633" s="13">
        <f t="shared" si="27"/>
        <v>3.0355140205977653E-3</v>
      </c>
      <c r="F633" s="9">
        <f t="shared" si="28"/>
        <v>2.3869245106131688E-2</v>
      </c>
      <c r="G633" s="9">
        <f t="shared" si="29"/>
        <v>1.2234079562763601E-2</v>
      </c>
    </row>
    <row r="634" spans="1:7" x14ac:dyDescent="0.2">
      <c r="A634" s="11">
        <v>35990</v>
      </c>
      <c r="B634" s="10">
        <v>141.34460000000001</v>
      </c>
      <c r="E634" s="13">
        <f t="shared" si="27"/>
        <v>-7.6666208194222599E-3</v>
      </c>
      <c r="F634" s="9">
        <f t="shared" si="28"/>
        <v>3.2038537662572239E-2</v>
      </c>
      <c r="G634" s="9">
        <f t="shared" si="29"/>
        <v>1.1926991285121149E-2</v>
      </c>
    </row>
    <row r="635" spans="1:7" x14ac:dyDescent="0.2">
      <c r="A635" s="11">
        <v>35991</v>
      </c>
      <c r="B635" s="10">
        <v>142.53229999999999</v>
      </c>
      <c r="E635" s="13">
        <f t="shared" si="27"/>
        <v>8.3677603226135263E-3</v>
      </c>
      <c r="F635" s="9">
        <f t="shared" si="28"/>
        <v>4.5349537803619784E-2</v>
      </c>
      <c r="G635" s="9">
        <f t="shared" si="29"/>
        <v>1.1942047648553087E-2</v>
      </c>
    </row>
    <row r="636" spans="1:7" x14ac:dyDescent="0.2">
      <c r="A636" s="11">
        <v>35992</v>
      </c>
      <c r="B636" s="10">
        <v>141.6198</v>
      </c>
      <c r="E636" s="13">
        <f t="shared" si="27"/>
        <v>-6.4226386976444522E-3</v>
      </c>
      <c r="F636" s="9">
        <f t="shared" si="28"/>
        <v>1.5373199572841932E-2</v>
      </c>
      <c r="G636" s="9">
        <f t="shared" si="29"/>
        <v>1.1247842115365956E-2</v>
      </c>
    </row>
    <row r="637" spans="1:7" x14ac:dyDescent="0.2">
      <c r="A637" s="11">
        <v>35993</v>
      </c>
      <c r="B637" s="10">
        <v>144.00280000000001</v>
      </c>
      <c r="E637" s="13">
        <f t="shared" si="27"/>
        <v>1.6686741838684779E-2</v>
      </c>
      <c r="F637" s="9">
        <f t="shared" si="28"/>
        <v>1.1269995028257975E-2</v>
      </c>
      <c r="G637" s="9">
        <f t="shared" si="29"/>
        <v>1.1007117642405924E-2</v>
      </c>
    </row>
    <row r="638" spans="1:7" x14ac:dyDescent="0.2">
      <c r="A638" s="11">
        <v>35996</v>
      </c>
      <c r="B638" s="10">
        <v>144.63249999999999</v>
      </c>
      <c r="E638" s="13">
        <f t="shared" si="27"/>
        <v>4.363298591948955E-3</v>
      </c>
      <c r="F638" s="9">
        <f t="shared" si="28"/>
        <v>1.3926753481984425E-2</v>
      </c>
      <c r="G638" s="9">
        <f t="shared" si="29"/>
        <v>1.1029511788148273E-2</v>
      </c>
    </row>
    <row r="639" spans="1:7" x14ac:dyDescent="0.2">
      <c r="A639" s="11">
        <v>35997</v>
      </c>
      <c r="B639" s="10">
        <v>144.2535</v>
      </c>
      <c r="E639" s="13">
        <f t="shared" si="27"/>
        <v>-2.6238738979541317E-3</v>
      </c>
      <c r="F639" s="9">
        <f t="shared" si="28"/>
        <v>2.7075964683229734E-2</v>
      </c>
      <c r="G639" s="9">
        <f t="shared" si="29"/>
        <v>1.0599371025944219E-2</v>
      </c>
    </row>
    <row r="640" spans="1:7" x14ac:dyDescent="0.2">
      <c r="A640" s="11">
        <v>35998</v>
      </c>
      <c r="B640" s="10">
        <v>143.19030000000001</v>
      </c>
      <c r="E640" s="13">
        <f t="shared" si="27"/>
        <v>-7.3976537233047283E-3</v>
      </c>
      <c r="F640" s="9">
        <f t="shared" si="28"/>
        <v>1.9329369246741009E-2</v>
      </c>
      <c r="G640" s="9">
        <f t="shared" si="29"/>
        <v>1.0711652783446424E-2</v>
      </c>
    </row>
    <row r="641" spans="1:7" x14ac:dyDescent="0.2">
      <c r="A641" s="11">
        <v>35999</v>
      </c>
      <c r="B641" s="10">
        <v>142.16839999999999</v>
      </c>
      <c r="E641" s="13">
        <f t="shared" si="27"/>
        <v>-7.1622443501927133E-3</v>
      </c>
      <c r="F641" s="9">
        <f t="shared" si="28"/>
        <v>2.698778981516432E-2</v>
      </c>
      <c r="G641" s="9">
        <f t="shared" si="29"/>
        <v>1.0406248448137069E-2</v>
      </c>
    </row>
    <row r="642" spans="1:7" x14ac:dyDescent="0.2">
      <c r="A642" s="11">
        <v>36000</v>
      </c>
      <c r="B642" s="10">
        <v>140.04570000000001</v>
      </c>
      <c r="E642" s="13">
        <f t="shared" si="27"/>
        <v>-1.5043472537383364E-2</v>
      </c>
      <c r="F642" s="9">
        <f t="shared" si="28"/>
        <v>3.7904381298152878E-2</v>
      </c>
      <c r="G642" s="9">
        <f t="shared" si="29"/>
        <v>9.5619665110440941E-3</v>
      </c>
    </row>
    <row r="643" spans="1:7" x14ac:dyDescent="0.2">
      <c r="A643" s="11">
        <v>36003</v>
      </c>
      <c r="B643" s="10">
        <v>139.20859999999999</v>
      </c>
      <c r="E643" s="13">
        <f t="shared" si="27"/>
        <v>-5.9952703134086415E-3</v>
      </c>
      <c r="F643" s="9">
        <f t="shared" si="28"/>
        <v>2.0205111581910226E-2</v>
      </c>
      <c r="G643" s="9">
        <f t="shared" si="29"/>
        <v>9.438709674281922E-3</v>
      </c>
    </row>
    <row r="644" spans="1:7" x14ac:dyDescent="0.2">
      <c r="A644" s="11">
        <v>36004</v>
      </c>
      <c r="B644" s="10">
        <v>138.06049999999999</v>
      </c>
      <c r="E644" s="13">
        <f t="shared" ref="E644:E707" si="30">LN(B644/B643)</f>
        <v>-8.2815327185470702E-3</v>
      </c>
      <c r="F644" s="9">
        <f t="shared" si="28"/>
        <v>4.7497646170786513E-3</v>
      </c>
      <c r="G644" s="9">
        <f t="shared" si="29"/>
        <v>9.4960864659281632E-3</v>
      </c>
    </row>
    <row r="645" spans="1:7" x14ac:dyDescent="0.2">
      <c r="A645" s="11">
        <v>36005</v>
      </c>
      <c r="B645" s="10">
        <v>138.91069999999999</v>
      </c>
      <c r="E645" s="13">
        <f t="shared" si="30"/>
        <v>6.1392857480747371E-3</v>
      </c>
      <c r="F645" s="9">
        <f t="shared" si="28"/>
        <v>3.2945378494584059E-2</v>
      </c>
      <c r="G645" s="9">
        <f t="shared" si="29"/>
        <v>8.5345475898759762E-3</v>
      </c>
    </row>
    <row r="646" spans="1:7" x14ac:dyDescent="0.2">
      <c r="A646" s="11">
        <v>36006</v>
      </c>
      <c r="B646" s="10">
        <v>138.9956</v>
      </c>
      <c r="E646" s="13">
        <f t="shared" si="30"/>
        <v>6.1099732277559884E-4</v>
      </c>
      <c r="F646" s="9">
        <f t="shared" si="28"/>
        <v>2.6958090206406032E-2</v>
      </c>
      <c r="G646" s="9">
        <f t="shared" si="29"/>
        <v>8.469865869748603E-3</v>
      </c>
    </row>
    <row r="647" spans="1:7" x14ac:dyDescent="0.2">
      <c r="A647" s="11">
        <v>36007</v>
      </c>
      <c r="B647" s="10">
        <v>138.04349999999999</v>
      </c>
      <c r="E647" s="13">
        <f t="shared" si="30"/>
        <v>-6.8734250754680683E-3</v>
      </c>
      <c r="F647" s="9">
        <f t="shared" si="28"/>
        <v>2.2609679793201585E-2</v>
      </c>
      <c r="G647" s="9">
        <f t="shared" si="29"/>
        <v>8.5710940741694462E-3</v>
      </c>
    </row>
    <row r="648" spans="1:7" x14ac:dyDescent="0.2">
      <c r="A648" s="11">
        <v>36010</v>
      </c>
      <c r="B648" s="10">
        <v>135.47389999999999</v>
      </c>
      <c r="E648" s="13">
        <f t="shared" si="30"/>
        <v>-1.8789851037989212E-2</v>
      </c>
      <c r="F648" s="9">
        <f t="shared" si="28"/>
        <v>-6.2979483284728412E-3</v>
      </c>
      <c r="G648" s="9">
        <f t="shared" si="29"/>
        <v>9.110298656773725E-3</v>
      </c>
    </row>
    <row r="649" spans="1:7" x14ac:dyDescent="0.2">
      <c r="A649" s="11">
        <v>36011</v>
      </c>
      <c r="B649" s="10">
        <v>133.74700000000001</v>
      </c>
      <c r="E649" s="13">
        <f t="shared" si="30"/>
        <v>-1.2829046221935866E-2</v>
      </c>
      <c r="F649" s="9">
        <f t="shared" si="28"/>
        <v>-2.8376987035497691E-2</v>
      </c>
      <c r="G649" s="9">
        <f t="shared" si="29"/>
        <v>9.2128667832776581E-3</v>
      </c>
    </row>
    <row r="650" spans="1:7" x14ac:dyDescent="0.2">
      <c r="A650" s="11">
        <v>36012</v>
      </c>
      <c r="B650" s="10">
        <v>130.2688</v>
      </c>
      <c r="E650" s="13">
        <f t="shared" si="30"/>
        <v>-2.6349947588343098E-2</v>
      </c>
      <c r="F650" s="9">
        <f t="shared" si="28"/>
        <v>-6.6129970478024117E-2</v>
      </c>
      <c r="G650" s="9">
        <f t="shared" si="29"/>
        <v>1.0031757435862185E-2</v>
      </c>
    </row>
    <row r="651" spans="1:7" x14ac:dyDescent="0.2">
      <c r="A651" s="11">
        <v>36013</v>
      </c>
      <c r="B651" s="10">
        <v>127.8802</v>
      </c>
      <c r="E651" s="13">
        <f t="shared" si="30"/>
        <v>-1.8506119873040707E-2</v>
      </c>
      <c r="F651" s="9">
        <f t="shared" si="28"/>
        <v>-8.7854909901180139E-2</v>
      </c>
      <c r="G651" s="9">
        <f t="shared" si="29"/>
        <v>1.0410455739078867E-2</v>
      </c>
    </row>
    <row r="652" spans="1:7" x14ac:dyDescent="0.2">
      <c r="A652" s="11">
        <v>36014</v>
      </c>
      <c r="B652" s="10">
        <v>130.0538</v>
      </c>
      <c r="E652" s="13">
        <f t="shared" si="30"/>
        <v>1.6854322842091981E-2</v>
      </c>
      <c r="F652" s="9">
        <f t="shared" si="28"/>
        <v>-7.4370411507314244E-2</v>
      </c>
      <c r="G652" s="9">
        <f t="shared" si="29"/>
        <v>1.0991420247506911E-2</v>
      </c>
    </row>
    <row r="653" spans="1:7" x14ac:dyDescent="0.2">
      <c r="A653" s="11">
        <v>36017</v>
      </c>
      <c r="B653" s="10">
        <v>128.8058</v>
      </c>
      <c r="E653" s="13">
        <f t="shared" si="30"/>
        <v>-9.6423672864416037E-3</v>
      </c>
      <c r="F653" s="9">
        <f t="shared" si="28"/>
        <v>-8.4577950932969395E-2</v>
      </c>
      <c r="G653" s="9">
        <f t="shared" si="29"/>
        <v>1.1050897606987008E-2</v>
      </c>
    </row>
    <row r="654" spans="1:7" x14ac:dyDescent="0.2">
      <c r="A654" s="11">
        <v>36018</v>
      </c>
      <c r="B654" s="10">
        <v>124.34910000000001</v>
      </c>
      <c r="E654" s="13">
        <f t="shared" si="30"/>
        <v>-3.5212911124770138E-2</v>
      </c>
      <c r="F654" s="9">
        <f t="shared" si="28"/>
        <v>-0.14159475344594108</v>
      </c>
      <c r="G654" s="9">
        <f t="shared" si="29"/>
        <v>1.1556209676130325E-2</v>
      </c>
    </row>
    <row r="655" spans="1:7" x14ac:dyDescent="0.2">
      <c r="A655" s="11">
        <v>36019</v>
      </c>
      <c r="B655" s="10">
        <v>122.8673</v>
      </c>
      <c r="E655" s="13">
        <f t="shared" si="30"/>
        <v>-1.1988021394012874E-2</v>
      </c>
      <c r="F655" s="9">
        <f t="shared" si="28"/>
        <v>-0.15162013149651507</v>
      </c>
      <c r="G655" s="9">
        <f t="shared" si="29"/>
        <v>1.1615542253147211E-2</v>
      </c>
    </row>
    <row r="656" spans="1:7" x14ac:dyDescent="0.2">
      <c r="A656" s="11">
        <v>36020</v>
      </c>
      <c r="B656" s="10">
        <v>120.8519</v>
      </c>
      <c r="E656" s="13">
        <f t="shared" si="30"/>
        <v>-1.6539082198216731E-2</v>
      </c>
      <c r="F656" s="9">
        <f t="shared" si="28"/>
        <v>-0.17070034249011215</v>
      </c>
      <c r="G656" s="9">
        <f t="shared" si="29"/>
        <v>1.1699816738188784E-2</v>
      </c>
    </row>
    <row r="657" spans="1:7" x14ac:dyDescent="0.2">
      <c r="A657" s="11">
        <v>36021</v>
      </c>
      <c r="B657" s="10">
        <v>121.76819999999999</v>
      </c>
      <c r="E657" s="13">
        <f t="shared" si="30"/>
        <v>7.5534084483734427E-3</v>
      </c>
      <c r="F657" s="9">
        <f t="shared" si="28"/>
        <v>-0.15114679705683087</v>
      </c>
      <c r="G657" s="9">
        <f t="shared" si="29"/>
        <v>1.1896667198276759E-2</v>
      </c>
    </row>
    <row r="658" spans="1:7" x14ac:dyDescent="0.2">
      <c r="A658" s="11">
        <v>36024</v>
      </c>
      <c r="B658" s="10">
        <v>117.60550000000001</v>
      </c>
      <c r="E658" s="13">
        <f t="shared" si="30"/>
        <v>-3.4783434365272495E-2</v>
      </c>
      <c r="F658" s="9">
        <f t="shared" si="28"/>
        <v>-0.19175634085756002</v>
      </c>
      <c r="G658" s="9">
        <f t="shared" si="29"/>
        <v>1.2898817561676771E-2</v>
      </c>
    </row>
    <row r="659" spans="1:7" x14ac:dyDescent="0.2">
      <c r="A659" s="11">
        <v>36025</v>
      </c>
      <c r="B659" s="10">
        <v>119.7302</v>
      </c>
      <c r="E659" s="13">
        <f t="shared" si="30"/>
        <v>1.7905075074092607E-2</v>
      </c>
      <c r="F659" s="9">
        <f t="shared" si="28"/>
        <v>-0.16667996858193221</v>
      </c>
      <c r="G659" s="9">
        <f t="shared" si="29"/>
        <v>1.3677054332047507E-2</v>
      </c>
    </row>
    <row r="660" spans="1:7" x14ac:dyDescent="0.2">
      <c r="A660" s="11">
        <v>36026</v>
      </c>
      <c r="B660" s="10">
        <v>119.6133</v>
      </c>
      <c r="E660" s="13">
        <f t="shared" si="30"/>
        <v>-9.7683880527888161E-4</v>
      </c>
      <c r="F660" s="9">
        <f t="shared" si="28"/>
        <v>-0.17135525019289716</v>
      </c>
      <c r="G660" s="9">
        <f t="shared" si="29"/>
        <v>1.3589005100505978E-2</v>
      </c>
    </row>
    <row r="661" spans="1:7" x14ac:dyDescent="0.2">
      <c r="A661" s="11">
        <v>36027</v>
      </c>
      <c r="B661" s="10">
        <v>116.1973</v>
      </c>
      <c r="E661" s="13">
        <f t="shared" si="30"/>
        <v>-2.8974430999690135E-2</v>
      </c>
      <c r="F661" s="9">
        <f t="shared" si="28"/>
        <v>-0.20054237881906392</v>
      </c>
      <c r="G661" s="9">
        <f t="shared" si="29"/>
        <v>1.4187122812927168E-2</v>
      </c>
    </row>
    <row r="662" spans="1:7" x14ac:dyDescent="0.2">
      <c r="A662" s="11">
        <v>36028</v>
      </c>
      <c r="B662" s="10">
        <v>111.3296</v>
      </c>
      <c r="E662" s="13">
        <f t="shared" si="30"/>
        <v>-4.2794437535293689E-2</v>
      </c>
      <c r="F662" s="9">
        <f t="shared" si="28"/>
        <v>-0.24637233037495518</v>
      </c>
      <c r="G662" s="9">
        <f t="shared" si="29"/>
        <v>1.5528264138068102E-2</v>
      </c>
    </row>
    <row r="663" spans="1:7" x14ac:dyDescent="0.2">
      <c r="A663" s="11">
        <v>36031</v>
      </c>
      <c r="B663" s="10">
        <v>115.6204</v>
      </c>
      <c r="E663" s="13">
        <f t="shared" si="30"/>
        <v>3.7817240445192191E-2</v>
      </c>
      <c r="F663" s="9">
        <f t="shared" si="28"/>
        <v>-0.20088846911034072</v>
      </c>
      <c r="G663" s="9">
        <f t="shared" si="29"/>
        <v>1.7752675962681191E-2</v>
      </c>
    </row>
    <row r="664" spans="1:7" x14ac:dyDescent="0.2">
      <c r="A664" s="11">
        <v>36032</v>
      </c>
      <c r="B664" s="10">
        <v>118.0278</v>
      </c>
      <c r="E664" s="13">
        <f t="shared" si="30"/>
        <v>2.0607778680869344E-2</v>
      </c>
      <c r="F664" s="9">
        <f t="shared" si="28"/>
        <v>-0.18864845075208511</v>
      </c>
      <c r="G664" s="9">
        <f t="shared" si="29"/>
        <v>1.8267342961201742E-2</v>
      </c>
    </row>
    <row r="665" spans="1:7" x14ac:dyDescent="0.2">
      <c r="A665" s="11">
        <v>36033</v>
      </c>
      <c r="B665" s="10">
        <v>112.64919999999999</v>
      </c>
      <c r="E665" s="13">
        <f t="shared" si="30"/>
        <v>-4.6641624727497173E-2</v>
      </c>
      <c r="F665" s="9">
        <f t="shared" si="28"/>
        <v>-0.22886743678193786</v>
      </c>
      <c r="G665" s="9">
        <f t="shared" si="29"/>
        <v>1.9729091148279216E-2</v>
      </c>
    </row>
    <row r="666" spans="1:7" x14ac:dyDescent="0.2">
      <c r="A666" s="11">
        <v>36034</v>
      </c>
      <c r="B666" s="10">
        <v>107.95310000000001</v>
      </c>
      <c r="E666" s="13">
        <f t="shared" si="30"/>
        <v>-4.2581691663680046E-2</v>
      </c>
      <c r="F666" s="9">
        <f t="shared" si="28"/>
        <v>-0.28813587028430265</v>
      </c>
      <c r="G666" s="9">
        <f t="shared" si="29"/>
        <v>2.0157212725754735E-2</v>
      </c>
    </row>
    <row r="667" spans="1:7" x14ac:dyDescent="0.2">
      <c r="A667" s="11">
        <v>36035</v>
      </c>
      <c r="B667" s="10">
        <v>106.34869999999999</v>
      </c>
      <c r="E667" s="13">
        <f t="shared" si="30"/>
        <v>-1.4973555764941488E-2</v>
      </c>
      <c r="F667" s="9">
        <f t="shared" si="28"/>
        <v>-0.30747272464119296</v>
      </c>
      <c r="G667" s="9">
        <f t="shared" si="29"/>
        <v>1.998641912278094E-2</v>
      </c>
    </row>
    <row r="668" spans="1:7" x14ac:dyDescent="0.2">
      <c r="A668" s="11">
        <v>36038</v>
      </c>
      <c r="B668" s="10">
        <v>105.4457</v>
      </c>
      <c r="E668" s="13">
        <f t="shared" si="30"/>
        <v>-8.5271893085314323E-3</v>
      </c>
      <c r="F668" s="9">
        <f t="shared" si="28"/>
        <v>-0.31337604005177022</v>
      </c>
      <c r="G668" s="9">
        <f t="shared" si="29"/>
        <v>1.9932243472877607E-2</v>
      </c>
    </row>
    <row r="669" spans="1:7" x14ac:dyDescent="0.2">
      <c r="A669" s="11">
        <v>36039</v>
      </c>
      <c r="B669" s="10">
        <v>100.9663</v>
      </c>
      <c r="E669" s="13">
        <f t="shared" si="30"/>
        <v>-4.3409330676712495E-2</v>
      </c>
      <c r="F669" s="9">
        <f t="shared" si="28"/>
        <v>-0.34938771700517801</v>
      </c>
      <c r="G669" s="9">
        <f t="shared" si="29"/>
        <v>2.0814553515579044E-2</v>
      </c>
    </row>
    <row r="670" spans="1:7" x14ac:dyDescent="0.2">
      <c r="A670" s="11">
        <v>36040</v>
      </c>
      <c r="B670" s="10">
        <v>103.3305</v>
      </c>
      <c r="E670" s="13">
        <f t="shared" si="30"/>
        <v>2.3145791283409826E-2</v>
      </c>
      <c r="F670" s="9">
        <f t="shared" si="28"/>
        <v>-0.31907968137157555</v>
      </c>
      <c r="G670" s="9">
        <f t="shared" si="29"/>
        <v>2.1805902035232232E-2</v>
      </c>
    </row>
    <row r="671" spans="1:7" x14ac:dyDescent="0.2">
      <c r="A671" s="11">
        <v>36041</v>
      </c>
      <c r="B671" s="10">
        <v>99.067899999999995</v>
      </c>
      <c r="E671" s="13">
        <f t="shared" si="30"/>
        <v>-4.2127115453389839E-2</v>
      </c>
      <c r="F671" s="9">
        <f t="shared" si="28"/>
        <v>-0.3461633242875819</v>
      </c>
      <c r="G671" s="9">
        <f t="shared" si="29"/>
        <v>2.2552344725457339E-2</v>
      </c>
    </row>
    <row r="672" spans="1:7" x14ac:dyDescent="0.2">
      <c r="A672" s="11">
        <v>36042</v>
      </c>
      <c r="B672" s="10">
        <v>101.7638</v>
      </c>
      <c r="E672" s="13">
        <f t="shared" si="30"/>
        <v>2.6848968034947435E-2</v>
      </c>
      <c r="F672" s="9">
        <f t="shared" ref="F672:F735" si="31">LN(B672/B643)</f>
        <v>-0.31331908593922569</v>
      </c>
      <c r="G672" s="9">
        <f t="shared" si="29"/>
        <v>2.3658929341659463E-2</v>
      </c>
    </row>
    <row r="673" spans="1:7" x14ac:dyDescent="0.2">
      <c r="A673" s="11">
        <v>36045</v>
      </c>
      <c r="B673" s="10">
        <v>105.9679</v>
      </c>
      <c r="E673" s="13">
        <f t="shared" si="30"/>
        <v>4.0481776399183218E-2</v>
      </c>
      <c r="F673" s="9">
        <f t="shared" si="31"/>
        <v>-0.26455577682149539</v>
      </c>
      <c r="G673" s="9">
        <f t="shared" ref="G673:G736" si="32">STDEV(E645:E673)</f>
        <v>2.5505420619211804E-2</v>
      </c>
    </row>
    <row r="674" spans="1:7" x14ac:dyDescent="0.2">
      <c r="A674" s="11">
        <v>36046</v>
      </c>
      <c r="B674" s="10">
        <v>109.64790000000001</v>
      </c>
      <c r="E674" s="13">
        <f t="shared" si="30"/>
        <v>3.4138104772645894E-2</v>
      </c>
      <c r="F674" s="9">
        <f t="shared" si="31"/>
        <v>-0.23655695779692432</v>
      </c>
      <c r="G674" s="9">
        <f t="shared" si="32"/>
        <v>2.6609795063581462E-2</v>
      </c>
    </row>
    <row r="675" spans="1:7" x14ac:dyDescent="0.2">
      <c r="A675" s="11">
        <v>36047</v>
      </c>
      <c r="B675" s="10">
        <v>107.20650000000001</v>
      </c>
      <c r="E675" s="13">
        <f t="shared" si="30"/>
        <v>-2.2517441706839843E-2</v>
      </c>
      <c r="F675" s="9">
        <f t="shared" si="31"/>
        <v>-0.25968539682653963</v>
      </c>
      <c r="G675" s="9">
        <f t="shared" si="32"/>
        <v>2.6684108386099407E-2</v>
      </c>
    </row>
    <row r="676" spans="1:7" x14ac:dyDescent="0.2">
      <c r="A676" s="11">
        <v>36048</v>
      </c>
      <c r="B676" s="10">
        <v>102.30110000000001</v>
      </c>
      <c r="E676" s="13">
        <f t="shared" si="30"/>
        <v>-4.6836455538930101E-2</v>
      </c>
      <c r="F676" s="9">
        <f t="shared" si="31"/>
        <v>-0.29964842729000174</v>
      </c>
      <c r="G676" s="9">
        <f t="shared" si="32"/>
        <v>2.7589331297705147E-2</v>
      </c>
    </row>
    <row r="677" spans="1:7" x14ac:dyDescent="0.2">
      <c r="A677" s="11">
        <v>36049</v>
      </c>
      <c r="B677" s="10">
        <v>101.73180000000001</v>
      </c>
      <c r="E677" s="13">
        <f t="shared" si="30"/>
        <v>-5.5804870432152502E-3</v>
      </c>
      <c r="F677" s="9">
        <f t="shared" si="31"/>
        <v>-0.28643906329522784</v>
      </c>
      <c r="G677" s="9">
        <f t="shared" si="32"/>
        <v>2.7553737805581395E-2</v>
      </c>
    </row>
    <row r="678" spans="1:7" x14ac:dyDescent="0.2">
      <c r="A678" s="11">
        <v>36052</v>
      </c>
      <c r="B678" s="10">
        <v>105.5155</v>
      </c>
      <c r="E678" s="13">
        <f t="shared" si="30"/>
        <v>3.6517923011070277E-2</v>
      </c>
      <c r="F678" s="9">
        <f t="shared" si="31"/>
        <v>-0.2370920940622217</v>
      </c>
      <c r="G678" s="9">
        <f t="shared" si="32"/>
        <v>2.8857817859618971E-2</v>
      </c>
    </row>
    <row r="679" spans="1:7" x14ac:dyDescent="0.2">
      <c r="A679" s="11">
        <v>36053</v>
      </c>
      <c r="B679" s="10">
        <v>103.6604</v>
      </c>
      <c r="E679" s="13">
        <f t="shared" si="30"/>
        <v>-1.7737690032630034E-2</v>
      </c>
      <c r="F679" s="9">
        <f t="shared" si="31"/>
        <v>-0.22847983650650866</v>
      </c>
      <c r="G679" s="9">
        <f t="shared" si="32"/>
        <v>2.8708032163205621E-2</v>
      </c>
    </row>
    <row r="680" spans="1:7" x14ac:dyDescent="0.2">
      <c r="A680" s="11">
        <v>36054</v>
      </c>
      <c r="B680" s="10">
        <v>103.9205</v>
      </c>
      <c r="E680" s="13">
        <f t="shared" si="30"/>
        <v>2.5060122209807825E-3</v>
      </c>
      <c r="F680" s="9">
        <f t="shared" si="31"/>
        <v>-0.20746770441248713</v>
      </c>
      <c r="G680" s="9">
        <f t="shared" si="32"/>
        <v>2.8695384927452924E-2</v>
      </c>
    </row>
    <row r="681" spans="1:7" x14ac:dyDescent="0.2">
      <c r="A681" s="11">
        <v>36055</v>
      </c>
      <c r="B681" s="10">
        <v>96.660399999999996</v>
      </c>
      <c r="E681" s="13">
        <f t="shared" si="30"/>
        <v>-7.2422379119344613E-2</v>
      </c>
      <c r="F681" s="9">
        <f t="shared" si="31"/>
        <v>-0.29674440637392369</v>
      </c>
      <c r="G681" s="9">
        <f t="shared" si="32"/>
        <v>3.0743533324754643E-2</v>
      </c>
    </row>
    <row r="682" spans="1:7" x14ac:dyDescent="0.2">
      <c r="A682" s="11">
        <v>36056</v>
      </c>
      <c r="B682" s="10">
        <v>95.337000000000003</v>
      </c>
      <c r="E682" s="13">
        <f t="shared" si="30"/>
        <v>-1.3785821674225851E-2</v>
      </c>
      <c r="F682" s="9">
        <f t="shared" si="31"/>
        <v>-0.30088786076170781</v>
      </c>
      <c r="G682" s="9">
        <f t="shared" si="32"/>
        <v>3.0750319883518572E-2</v>
      </c>
    </row>
    <row r="683" spans="1:7" x14ac:dyDescent="0.2">
      <c r="A683" s="11">
        <v>36059</v>
      </c>
      <c r="B683" s="10">
        <v>90.422200000000004</v>
      </c>
      <c r="E683" s="13">
        <f t="shared" si="30"/>
        <v>-5.2928170479867573E-2</v>
      </c>
      <c r="F683" s="9">
        <f t="shared" si="31"/>
        <v>-0.31860312011680542</v>
      </c>
      <c r="G683" s="9">
        <f t="shared" si="32"/>
        <v>3.1429804940183381E-2</v>
      </c>
    </row>
    <row r="684" spans="1:7" x14ac:dyDescent="0.2">
      <c r="A684" s="11">
        <v>36060</v>
      </c>
      <c r="B684" s="10">
        <v>94.151200000000003</v>
      </c>
      <c r="E684" s="13">
        <f t="shared" si="30"/>
        <v>4.0412188169919448E-2</v>
      </c>
      <c r="F684" s="9">
        <f t="shared" si="31"/>
        <v>-0.26620291055287298</v>
      </c>
      <c r="G684" s="9">
        <f t="shared" si="32"/>
        <v>3.2844565979220426E-2</v>
      </c>
    </row>
    <row r="685" spans="1:7" x14ac:dyDescent="0.2">
      <c r="A685" s="11">
        <v>36061</v>
      </c>
      <c r="B685" s="10">
        <v>96.143900000000002</v>
      </c>
      <c r="E685" s="13">
        <f t="shared" si="30"/>
        <v>2.0944026843894105E-2</v>
      </c>
      <c r="F685" s="9">
        <f t="shared" si="31"/>
        <v>-0.22871980151076229</v>
      </c>
      <c r="G685" s="9">
        <f t="shared" si="32"/>
        <v>3.3279253201448006E-2</v>
      </c>
    </row>
    <row r="686" spans="1:7" x14ac:dyDescent="0.2">
      <c r="A686" s="11">
        <v>36062</v>
      </c>
      <c r="B686" s="10">
        <v>97.465400000000002</v>
      </c>
      <c r="E686" s="13">
        <f t="shared" si="30"/>
        <v>1.3651415742509204E-2</v>
      </c>
      <c r="F686" s="9">
        <f t="shared" si="31"/>
        <v>-0.22262179421662662</v>
      </c>
      <c r="G686" s="9">
        <f t="shared" si="32"/>
        <v>3.339934609674737E-2</v>
      </c>
    </row>
    <row r="687" spans="1:7" x14ac:dyDescent="0.2">
      <c r="A687" s="11">
        <v>36063</v>
      </c>
      <c r="B687" s="10">
        <v>94.371799999999993</v>
      </c>
      <c r="E687" s="13">
        <f t="shared" si="30"/>
        <v>-3.2255143517478019E-2</v>
      </c>
      <c r="F687" s="9">
        <f t="shared" si="31"/>
        <v>-0.22009350336883216</v>
      </c>
      <c r="G687" s="9">
        <f t="shared" si="32"/>
        <v>3.3329288347824358E-2</v>
      </c>
    </row>
    <row r="688" spans="1:7" x14ac:dyDescent="0.2">
      <c r="A688" s="11">
        <v>36066</v>
      </c>
      <c r="B688" s="10">
        <v>95.512299999999996</v>
      </c>
      <c r="E688" s="13">
        <f t="shared" si="30"/>
        <v>1.2012735295178822E-2</v>
      </c>
      <c r="F688" s="9">
        <f t="shared" si="31"/>
        <v>-0.22598584314774575</v>
      </c>
      <c r="G688" s="9">
        <f t="shared" si="32"/>
        <v>3.3185968840880452E-2</v>
      </c>
    </row>
    <row r="689" spans="1:7" x14ac:dyDescent="0.2">
      <c r="A689" s="11">
        <v>36067</v>
      </c>
      <c r="B689" s="10">
        <v>96.217399999999998</v>
      </c>
      <c r="E689" s="13">
        <f t="shared" si="30"/>
        <v>7.355179492217952E-3</v>
      </c>
      <c r="F689" s="9">
        <f t="shared" si="31"/>
        <v>-0.21765382485024898</v>
      </c>
      <c r="G689" s="9">
        <f t="shared" si="32"/>
        <v>3.3283010347750705E-2</v>
      </c>
    </row>
    <row r="690" spans="1:7" x14ac:dyDescent="0.2">
      <c r="A690" s="11">
        <v>36068</v>
      </c>
      <c r="B690" s="10">
        <v>95.0749</v>
      </c>
      <c r="E690" s="13">
        <f t="shared" si="30"/>
        <v>-1.1945212484391766E-2</v>
      </c>
      <c r="F690" s="9">
        <f t="shared" si="31"/>
        <v>-0.20062460633495058</v>
      </c>
      <c r="G690" s="9">
        <f t="shared" si="32"/>
        <v>3.304003813523719E-2</v>
      </c>
    </row>
    <row r="691" spans="1:7" x14ac:dyDescent="0.2">
      <c r="A691" s="11">
        <v>36069</v>
      </c>
      <c r="B691" s="10">
        <v>93.864599999999996</v>
      </c>
      <c r="E691" s="13">
        <f t="shared" si="30"/>
        <v>-1.2811683684616246E-2</v>
      </c>
      <c r="F691" s="9">
        <f t="shared" si="31"/>
        <v>-0.17064185248427322</v>
      </c>
      <c r="G691" s="9">
        <f t="shared" si="32"/>
        <v>3.2338973984587453E-2</v>
      </c>
    </row>
    <row r="692" spans="1:7" x14ac:dyDescent="0.2">
      <c r="A692" s="11">
        <v>36070</v>
      </c>
      <c r="B692" s="10">
        <v>92.384699999999995</v>
      </c>
      <c r="E692" s="13">
        <f t="shared" si="30"/>
        <v>-1.5891937806503206E-2</v>
      </c>
      <c r="F692" s="9">
        <f t="shared" si="31"/>
        <v>-0.22435103073596871</v>
      </c>
      <c r="G692" s="9">
        <f t="shared" si="32"/>
        <v>3.1267010124115958E-2</v>
      </c>
    </row>
    <row r="693" spans="1:7" x14ac:dyDescent="0.2">
      <c r="A693" s="11">
        <v>36073</v>
      </c>
      <c r="B693" s="10">
        <v>89.918800000000005</v>
      </c>
      <c r="E693" s="13">
        <f t="shared" si="30"/>
        <v>-2.7054339660837586E-2</v>
      </c>
      <c r="F693" s="9">
        <f t="shared" si="31"/>
        <v>-0.27201314907767554</v>
      </c>
      <c r="G693" s="9">
        <f t="shared" si="32"/>
        <v>3.0975219045751498E-2</v>
      </c>
    </row>
    <row r="694" spans="1:7" x14ac:dyDescent="0.2">
      <c r="A694" s="11">
        <v>36074</v>
      </c>
      <c r="B694" s="10">
        <v>88.810299999999998</v>
      </c>
      <c r="E694" s="13">
        <f t="shared" si="30"/>
        <v>-1.2404406597923103E-2</v>
      </c>
      <c r="F694" s="9">
        <f t="shared" si="31"/>
        <v>-0.2377759309481014</v>
      </c>
      <c r="G694" s="9">
        <f t="shared" si="32"/>
        <v>3.0145646093306146E-2</v>
      </c>
    </row>
    <row r="695" spans="1:7" x14ac:dyDescent="0.2">
      <c r="A695" s="11">
        <v>36075</v>
      </c>
      <c r="B695" s="10">
        <v>85.134</v>
      </c>
      <c r="E695" s="13">
        <f t="shared" si="30"/>
        <v>-4.2276148509449246E-2</v>
      </c>
      <c r="F695" s="9">
        <f t="shared" si="31"/>
        <v>-0.23747038779387047</v>
      </c>
      <c r="G695" s="9">
        <f t="shared" si="32"/>
        <v>3.0133251000423373E-2</v>
      </c>
    </row>
    <row r="696" spans="1:7" x14ac:dyDescent="0.2">
      <c r="A696" s="11">
        <v>36076</v>
      </c>
      <c r="B696" s="10">
        <v>79.964699999999993</v>
      </c>
      <c r="E696" s="13">
        <f t="shared" si="30"/>
        <v>-6.2641198458777816E-2</v>
      </c>
      <c r="F696" s="9">
        <f t="shared" si="31"/>
        <v>-0.28513803048770681</v>
      </c>
      <c r="G696" s="9">
        <f t="shared" si="32"/>
        <v>3.1772097812402519E-2</v>
      </c>
    </row>
    <row r="697" spans="1:7" x14ac:dyDescent="0.2">
      <c r="A697" s="11">
        <v>36077</v>
      </c>
      <c r="B697" s="10">
        <v>81.738699999999994</v>
      </c>
      <c r="E697" s="13">
        <f t="shared" si="30"/>
        <v>2.1942286629079585E-2</v>
      </c>
      <c r="F697" s="9">
        <f t="shared" si="31"/>
        <v>-0.25466855455009579</v>
      </c>
      <c r="G697" s="9">
        <f t="shared" si="32"/>
        <v>3.2315942553846878E-2</v>
      </c>
    </row>
    <row r="698" spans="1:7" x14ac:dyDescent="0.2">
      <c r="A698" s="11">
        <v>36080</v>
      </c>
      <c r="B698" s="10">
        <v>86.649799999999999</v>
      </c>
      <c r="E698" s="13">
        <f t="shared" si="30"/>
        <v>5.834713409923814E-2</v>
      </c>
      <c r="F698" s="9">
        <f t="shared" si="31"/>
        <v>-0.15291208977414511</v>
      </c>
      <c r="G698" s="9">
        <f t="shared" si="32"/>
        <v>3.3906972953539671E-2</v>
      </c>
    </row>
    <row r="699" spans="1:7" x14ac:dyDescent="0.2">
      <c r="A699" s="11">
        <v>36081</v>
      </c>
      <c r="B699" s="10">
        <v>87.034400000000005</v>
      </c>
      <c r="E699" s="13">
        <f t="shared" si="30"/>
        <v>4.4287347797740666E-3</v>
      </c>
      <c r="F699" s="9">
        <f t="shared" si="31"/>
        <v>-0.1716291462777807</v>
      </c>
      <c r="G699" s="9">
        <f t="shared" si="32"/>
        <v>3.3522668679735572E-2</v>
      </c>
    </row>
    <row r="700" spans="1:7" x14ac:dyDescent="0.2">
      <c r="A700" s="11">
        <v>36082</v>
      </c>
      <c r="B700" s="10">
        <v>86.858999999999995</v>
      </c>
      <c r="E700" s="13">
        <f t="shared" si="30"/>
        <v>-2.0173285413271199E-3</v>
      </c>
      <c r="F700" s="9">
        <f t="shared" si="31"/>
        <v>-0.13151935936571807</v>
      </c>
      <c r="G700" s="9">
        <f t="shared" si="32"/>
        <v>3.2794925623126928E-2</v>
      </c>
    </row>
    <row r="701" spans="1:7" x14ac:dyDescent="0.2">
      <c r="A701" s="11">
        <v>36083</v>
      </c>
      <c r="B701" s="10">
        <v>88.519900000000007</v>
      </c>
      <c r="E701" s="13">
        <f t="shared" si="30"/>
        <v>1.8941271232786588E-2</v>
      </c>
      <c r="F701" s="9">
        <f t="shared" si="31"/>
        <v>-0.13942705616787907</v>
      </c>
      <c r="G701" s="9">
        <f t="shared" si="32"/>
        <v>3.2556666710884682E-2</v>
      </c>
    </row>
    <row r="702" spans="1:7" x14ac:dyDescent="0.2">
      <c r="A702" s="11">
        <v>36084</v>
      </c>
      <c r="B702" s="10">
        <v>94.313299999999998</v>
      </c>
      <c r="E702" s="13">
        <f t="shared" si="30"/>
        <v>6.3394833436788284E-2</v>
      </c>
      <c r="F702" s="9">
        <f t="shared" si="31"/>
        <v>-0.11651399913027399</v>
      </c>
      <c r="G702" s="9">
        <f t="shared" si="32"/>
        <v>3.3943532113139809E-2</v>
      </c>
    </row>
    <row r="703" spans="1:7" x14ac:dyDescent="0.2">
      <c r="A703" s="11">
        <v>36087</v>
      </c>
      <c r="B703" s="10">
        <v>95.708399999999997</v>
      </c>
      <c r="E703" s="13">
        <f t="shared" si="30"/>
        <v>1.4683849970848362E-2</v>
      </c>
      <c r="F703" s="9">
        <f t="shared" si="31"/>
        <v>-0.13596825393207171</v>
      </c>
      <c r="G703" s="9">
        <f t="shared" si="32"/>
        <v>3.3349558467081736E-2</v>
      </c>
    </row>
    <row r="704" spans="1:7" x14ac:dyDescent="0.2">
      <c r="A704" s="11">
        <v>36088</v>
      </c>
      <c r="B704" s="10">
        <v>99.188599999999994</v>
      </c>
      <c r="E704" s="13">
        <f t="shared" si="30"/>
        <v>3.5717019430612021E-2</v>
      </c>
      <c r="F704" s="9">
        <f t="shared" si="31"/>
        <v>-7.7733792794619991E-2</v>
      </c>
      <c r="G704" s="9">
        <f t="shared" si="32"/>
        <v>3.3984874545578657E-2</v>
      </c>
    </row>
    <row r="705" spans="1:7" x14ac:dyDescent="0.2">
      <c r="A705" s="11">
        <v>36089</v>
      </c>
      <c r="B705" s="10">
        <v>99.011300000000006</v>
      </c>
      <c r="E705" s="13">
        <f t="shared" si="30"/>
        <v>-1.7891032971574859E-3</v>
      </c>
      <c r="F705" s="9">
        <f t="shared" si="31"/>
        <v>-3.2686440552847293E-2</v>
      </c>
      <c r="G705" s="9">
        <f t="shared" si="32"/>
        <v>3.2906945045996637E-2</v>
      </c>
    </row>
    <row r="706" spans="1:7" x14ac:dyDescent="0.2">
      <c r="A706" s="11">
        <v>36090</v>
      </c>
      <c r="B706" s="10">
        <v>100.9569</v>
      </c>
      <c r="E706" s="13">
        <f t="shared" si="30"/>
        <v>1.94597080565981E-2</v>
      </c>
      <c r="F706" s="9">
        <f t="shared" si="31"/>
        <v>-7.646245453034042E-3</v>
      </c>
      <c r="G706" s="9">
        <f t="shared" si="32"/>
        <v>3.3113786924152774E-2</v>
      </c>
    </row>
    <row r="707" spans="1:7" x14ac:dyDescent="0.2">
      <c r="A707" s="11">
        <v>36091</v>
      </c>
      <c r="B707" s="10">
        <v>99.001900000000006</v>
      </c>
      <c r="E707" s="13">
        <f t="shared" si="30"/>
        <v>-1.9554651222074539E-2</v>
      </c>
      <c r="F707" s="9">
        <f t="shared" si="31"/>
        <v>-6.3718819686178776E-2</v>
      </c>
      <c r="G707" s="9">
        <f t="shared" si="32"/>
        <v>3.2521135683042018E-2</v>
      </c>
    </row>
    <row r="708" spans="1:7" x14ac:dyDescent="0.2">
      <c r="A708" s="11">
        <v>36094</v>
      </c>
      <c r="B708" s="10">
        <v>101.29819999999999</v>
      </c>
      <c r="E708" s="13">
        <f t="shared" ref="E708:E771" si="33">LN(B708/B707)</f>
        <v>2.2929600224186192E-2</v>
      </c>
      <c r="F708" s="9">
        <f t="shared" si="31"/>
        <v>-2.3051529429362526E-2</v>
      </c>
      <c r="G708" s="9">
        <f t="shared" si="32"/>
        <v>3.2703374769402334E-2</v>
      </c>
    </row>
    <row r="709" spans="1:7" x14ac:dyDescent="0.2">
      <c r="A709" s="11">
        <v>36095</v>
      </c>
      <c r="B709" s="10">
        <v>106.75409999999999</v>
      </c>
      <c r="E709" s="13">
        <f t="shared" si="33"/>
        <v>5.2459416771524721E-2</v>
      </c>
      <c r="F709" s="9">
        <f t="shared" si="31"/>
        <v>2.6901875121181112E-2</v>
      </c>
      <c r="G709" s="9">
        <f t="shared" si="32"/>
        <v>3.4166283592594444E-2</v>
      </c>
    </row>
    <row r="710" spans="1:7" x14ac:dyDescent="0.2">
      <c r="A710" s="11">
        <v>36096</v>
      </c>
      <c r="B710" s="10">
        <v>103.2833</v>
      </c>
      <c r="E710" s="13">
        <f t="shared" si="33"/>
        <v>-3.305236086218357E-2</v>
      </c>
      <c r="F710" s="9">
        <f t="shared" si="31"/>
        <v>6.6271893378342245E-2</v>
      </c>
      <c r="G710" s="9">
        <f t="shared" si="32"/>
        <v>3.185140961585118E-2</v>
      </c>
    </row>
    <row r="711" spans="1:7" x14ac:dyDescent="0.2">
      <c r="A711" s="11">
        <v>36097</v>
      </c>
      <c r="B711" s="10">
        <v>105.9585</v>
      </c>
      <c r="E711" s="13">
        <f t="shared" si="33"/>
        <v>2.5571810015130536E-2</v>
      </c>
      <c r="F711" s="9">
        <f t="shared" si="31"/>
        <v>0.10562952506769872</v>
      </c>
      <c r="G711" s="9">
        <f t="shared" si="32"/>
        <v>3.1980415410333141E-2</v>
      </c>
    </row>
    <row r="712" spans="1:7" x14ac:dyDescent="0.2">
      <c r="A712" s="11">
        <v>36098</v>
      </c>
      <c r="B712" s="10">
        <v>110.9902</v>
      </c>
      <c r="E712" s="13">
        <f t="shared" si="33"/>
        <v>4.6394401108128411E-2</v>
      </c>
      <c r="F712" s="9">
        <f t="shared" si="31"/>
        <v>0.20495209665569461</v>
      </c>
      <c r="G712" s="9">
        <f t="shared" si="32"/>
        <v>3.1009358225676686E-2</v>
      </c>
    </row>
    <row r="713" spans="1:7" x14ac:dyDescent="0.2">
      <c r="A713" s="11">
        <v>36101</v>
      </c>
      <c r="B713" s="10">
        <v>114.0877</v>
      </c>
      <c r="E713" s="13">
        <f t="shared" si="33"/>
        <v>2.7525541755482972E-2</v>
      </c>
      <c r="F713" s="9">
        <f t="shared" si="31"/>
        <v>0.19206545024125829</v>
      </c>
      <c r="G713" s="9">
        <f t="shared" si="32"/>
        <v>3.0604143260099796E-2</v>
      </c>
    </row>
    <row r="714" spans="1:7" x14ac:dyDescent="0.2">
      <c r="A714" s="11">
        <v>36102</v>
      </c>
      <c r="B714" s="10">
        <v>110.0438</v>
      </c>
      <c r="E714" s="13">
        <f t="shared" si="33"/>
        <v>-3.6088982524633169E-2</v>
      </c>
      <c r="F714" s="9">
        <f t="shared" si="31"/>
        <v>0.13503244087273103</v>
      </c>
      <c r="G714" s="9">
        <f t="shared" si="32"/>
        <v>3.1471206588331468E-2</v>
      </c>
    </row>
    <row r="715" spans="1:7" x14ac:dyDescent="0.2">
      <c r="A715" s="11">
        <v>36103</v>
      </c>
      <c r="B715" s="10">
        <v>110.6</v>
      </c>
      <c r="E715" s="13">
        <f t="shared" si="33"/>
        <v>5.0416207309788999E-3</v>
      </c>
      <c r="F715" s="9">
        <f t="shared" si="31"/>
        <v>0.12642264586120089</v>
      </c>
      <c r="G715" s="9">
        <f t="shared" si="32"/>
        <v>3.1423894280411542E-2</v>
      </c>
    </row>
    <row r="716" spans="1:7" x14ac:dyDescent="0.2">
      <c r="A716" s="11">
        <v>36104</v>
      </c>
      <c r="B716" s="10">
        <v>106.42789999999999</v>
      </c>
      <c r="E716" s="13">
        <f t="shared" si="33"/>
        <v>-3.8452328508720518E-2</v>
      </c>
      <c r="F716" s="9">
        <f t="shared" si="31"/>
        <v>0.12022546086995839</v>
      </c>
      <c r="G716" s="9">
        <f t="shared" si="32"/>
        <v>3.1701626082425383E-2</v>
      </c>
    </row>
    <row r="717" spans="1:7" x14ac:dyDescent="0.2">
      <c r="A717" s="11">
        <v>36105</v>
      </c>
      <c r="B717" s="10">
        <v>105.4495</v>
      </c>
      <c r="E717" s="13">
        <f t="shared" si="33"/>
        <v>-9.2355952496604929E-3</v>
      </c>
      <c r="F717" s="9">
        <f t="shared" si="31"/>
        <v>9.8977130325118887E-2</v>
      </c>
      <c r="G717" s="9">
        <f t="shared" si="32"/>
        <v>3.175880478327979E-2</v>
      </c>
    </row>
    <row r="718" spans="1:7" x14ac:dyDescent="0.2">
      <c r="A718" s="11">
        <v>36108</v>
      </c>
      <c r="B718" s="10">
        <v>103.0665</v>
      </c>
      <c r="E718" s="13">
        <f t="shared" si="33"/>
        <v>-2.2857754362329542E-2</v>
      </c>
      <c r="F718" s="9">
        <f t="shared" si="31"/>
        <v>6.8764196470571512E-2</v>
      </c>
      <c r="G718" s="9">
        <f t="shared" si="32"/>
        <v>3.2118387314678941E-2</v>
      </c>
    </row>
    <row r="719" spans="1:7" x14ac:dyDescent="0.2">
      <c r="A719" s="11">
        <v>36109</v>
      </c>
      <c r="B719" s="10">
        <v>102.4312</v>
      </c>
      <c r="E719" s="13">
        <f t="shared" si="33"/>
        <v>-6.183057269926265E-3</v>
      </c>
      <c r="F719" s="9">
        <f t="shared" si="31"/>
        <v>7.4526351685036837E-2</v>
      </c>
      <c r="G719" s="9">
        <f t="shared" si="32"/>
        <v>3.204439636931241E-2</v>
      </c>
    </row>
    <row r="720" spans="1:7" x14ac:dyDescent="0.2">
      <c r="A720" s="11">
        <v>36110</v>
      </c>
      <c r="B720" s="10">
        <v>104.9914</v>
      </c>
      <c r="E720" s="13">
        <f t="shared" si="33"/>
        <v>2.4687088343642909E-2</v>
      </c>
      <c r="F720" s="9">
        <f t="shared" si="31"/>
        <v>0.11202512371329608</v>
      </c>
      <c r="G720" s="9">
        <f t="shared" si="32"/>
        <v>3.2157927326434486E-2</v>
      </c>
    </row>
    <row r="721" spans="1:7" x14ac:dyDescent="0.2">
      <c r="A721" s="11">
        <v>36111</v>
      </c>
      <c r="B721" s="10">
        <v>103.9111</v>
      </c>
      <c r="E721" s="13">
        <f t="shared" si="33"/>
        <v>-1.0342716148605923E-2</v>
      </c>
      <c r="F721" s="9">
        <f t="shared" si="31"/>
        <v>0.11757434537119341</v>
      </c>
      <c r="G721" s="9">
        <f t="shared" si="32"/>
        <v>3.2052517052067825E-2</v>
      </c>
    </row>
    <row r="722" spans="1:7" x14ac:dyDescent="0.2">
      <c r="A722" s="11">
        <v>36112</v>
      </c>
      <c r="B722" s="10">
        <v>104.0318</v>
      </c>
      <c r="E722" s="13">
        <f t="shared" si="33"/>
        <v>1.1608957416233496E-3</v>
      </c>
      <c r="F722" s="9">
        <f t="shared" si="31"/>
        <v>0.1457895807736542</v>
      </c>
      <c r="G722" s="9">
        <f t="shared" si="32"/>
        <v>3.1497937059413263E-2</v>
      </c>
    </row>
    <row r="723" spans="1:7" x14ac:dyDescent="0.2">
      <c r="A723" s="11">
        <v>36115</v>
      </c>
      <c r="B723" s="10">
        <v>103.10420000000001</v>
      </c>
      <c r="E723" s="13">
        <f t="shared" si="33"/>
        <v>-8.9564942926789286E-3</v>
      </c>
      <c r="F723" s="9">
        <f t="shared" si="31"/>
        <v>0.14923749307889825</v>
      </c>
      <c r="G723" s="9">
        <f t="shared" si="32"/>
        <v>3.1436235785052905E-2</v>
      </c>
    </row>
    <row r="724" spans="1:7" x14ac:dyDescent="0.2">
      <c r="A724" s="11">
        <v>36116</v>
      </c>
      <c r="B724" s="10">
        <v>101.01349999999999</v>
      </c>
      <c r="E724" s="13">
        <f t="shared" si="33"/>
        <v>-2.0485956066134594E-2</v>
      </c>
      <c r="F724" s="9">
        <f t="shared" si="31"/>
        <v>0.1710276855222129</v>
      </c>
      <c r="G724" s="9">
        <f t="shared" si="32"/>
        <v>3.0509010775618173E-2</v>
      </c>
    </row>
    <row r="725" spans="1:7" x14ac:dyDescent="0.2">
      <c r="A725" s="11">
        <v>36117</v>
      </c>
      <c r="B725" s="10">
        <v>100.3687</v>
      </c>
      <c r="E725" s="13">
        <f t="shared" si="33"/>
        <v>-6.4037656109280534E-3</v>
      </c>
      <c r="F725" s="9">
        <f t="shared" si="31"/>
        <v>0.22726511837006272</v>
      </c>
      <c r="G725" s="9">
        <f t="shared" si="32"/>
        <v>2.7650305507772924E-2</v>
      </c>
    </row>
    <row r="726" spans="1:7" x14ac:dyDescent="0.2">
      <c r="A726" s="11">
        <v>36118</v>
      </c>
      <c r="B726" s="10">
        <v>101.5998</v>
      </c>
      <c r="E726" s="13">
        <f t="shared" si="33"/>
        <v>1.2191160973990856E-2</v>
      </c>
      <c r="F726" s="9">
        <f t="shared" si="31"/>
        <v>0.21751399271497399</v>
      </c>
      <c r="G726" s="9">
        <f t="shared" si="32"/>
        <v>2.7531682128587451E-2</v>
      </c>
    </row>
    <row r="727" spans="1:7" x14ac:dyDescent="0.2">
      <c r="A727" s="11">
        <v>36119</v>
      </c>
      <c r="B727" s="10">
        <v>102.8723</v>
      </c>
      <c r="E727" s="13">
        <f t="shared" si="33"/>
        <v>1.2446846570809786E-2</v>
      </c>
      <c r="F727" s="9">
        <f t="shared" si="31"/>
        <v>0.17161370518654551</v>
      </c>
      <c r="G727" s="9">
        <f t="shared" si="32"/>
        <v>2.5766987178854305E-2</v>
      </c>
    </row>
    <row r="728" spans="1:7" x14ac:dyDescent="0.2">
      <c r="A728" s="11">
        <v>36122</v>
      </c>
      <c r="B728" s="10">
        <v>104.6332</v>
      </c>
      <c r="E728" s="13">
        <f t="shared" si="33"/>
        <v>1.6972487678494023E-2</v>
      </c>
      <c r="F728" s="9">
        <f t="shared" si="31"/>
        <v>0.18415745808526529</v>
      </c>
      <c r="G728" s="9">
        <f t="shared" si="32"/>
        <v>2.5846261707666619E-2</v>
      </c>
    </row>
    <row r="729" spans="1:7" x14ac:dyDescent="0.2">
      <c r="A729" s="11">
        <v>36123</v>
      </c>
      <c r="B729" s="10">
        <v>104.7538</v>
      </c>
      <c r="E729" s="13">
        <f t="shared" si="33"/>
        <v>1.1519341060892518E-3</v>
      </c>
      <c r="F729" s="9">
        <f t="shared" si="31"/>
        <v>0.1873267207326817</v>
      </c>
      <c r="G729" s="9">
        <f t="shared" si="32"/>
        <v>2.5816300608273328E-2</v>
      </c>
    </row>
    <row r="730" spans="1:7" x14ac:dyDescent="0.2">
      <c r="A730" s="11">
        <v>36124</v>
      </c>
      <c r="B730" s="10">
        <v>103.9092</v>
      </c>
      <c r="E730" s="13">
        <f t="shared" si="33"/>
        <v>-8.0953941292447075E-3</v>
      </c>
      <c r="F730" s="9">
        <f t="shared" si="31"/>
        <v>0.16029005537065047</v>
      </c>
      <c r="G730" s="9">
        <f t="shared" si="32"/>
        <v>2.5837628231809517E-2</v>
      </c>
    </row>
    <row r="731" spans="1:7" x14ac:dyDescent="0.2">
      <c r="A731" s="11">
        <v>36125</v>
      </c>
      <c r="B731" s="10">
        <v>104.45780000000001</v>
      </c>
      <c r="E731" s="13">
        <f t="shared" si="33"/>
        <v>5.2657212286295121E-3</v>
      </c>
      <c r="F731" s="9">
        <f t="shared" si="31"/>
        <v>0.10216094316249182</v>
      </c>
      <c r="G731" s="9">
        <f t="shared" si="32"/>
        <v>2.332014632905639E-2</v>
      </c>
    </row>
    <row r="732" spans="1:7" x14ac:dyDescent="0.2">
      <c r="A732" s="11">
        <v>36126</v>
      </c>
      <c r="B732" s="10">
        <v>104.965</v>
      </c>
      <c r="E732" s="13">
        <f t="shared" si="33"/>
        <v>4.8437991630008908E-3</v>
      </c>
      <c r="F732" s="9">
        <f t="shared" si="31"/>
        <v>9.2320892354644274E-2</v>
      </c>
      <c r="G732" s="9">
        <f t="shared" si="32"/>
        <v>2.3223337457339531E-2</v>
      </c>
    </row>
    <row r="733" spans="1:7" x14ac:dyDescent="0.2">
      <c r="A733" s="11">
        <v>36129</v>
      </c>
      <c r="B733" s="10">
        <v>104.3032</v>
      </c>
      <c r="E733" s="13">
        <f t="shared" si="33"/>
        <v>-6.3249189915355782E-3</v>
      </c>
      <c r="F733" s="9">
        <f t="shared" si="31"/>
        <v>5.0278953932496824E-2</v>
      </c>
      <c r="G733" s="9">
        <f t="shared" si="32"/>
        <v>2.2418172263722953E-2</v>
      </c>
    </row>
    <row r="734" spans="1:7" x14ac:dyDescent="0.2">
      <c r="A734" s="11">
        <v>36130</v>
      </c>
      <c r="B734" s="10">
        <v>99.578800000000001</v>
      </c>
      <c r="E734" s="13">
        <f t="shared" si="33"/>
        <v>-4.635275173589555E-2</v>
      </c>
      <c r="F734" s="9">
        <f t="shared" si="31"/>
        <v>5.7153054937587868E-3</v>
      </c>
      <c r="G734" s="9">
        <f t="shared" si="32"/>
        <v>2.4130231747577641E-2</v>
      </c>
    </row>
    <row r="735" spans="1:7" x14ac:dyDescent="0.2">
      <c r="A735" s="11">
        <v>36131</v>
      </c>
      <c r="B735" s="10">
        <v>98.18</v>
      </c>
      <c r="E735" s="13">
        <f t="shared" si="33"/>
        <v>-1.4146761898948179E-2</v>
      </c>
      <c r="F735" s="9">
        <f t="shared" si="31"/>
        <v>-2.7891164461787337E-2</v>
      </c>
      <c r="G735" s="9">
        <f t="shared" si="32"/>
        <v>2.3978605520234196E-2</v>
      </c>
    </row>
    <row r="736" spans="1:7" x14ac:dyDescent="0.2">
      <c r="A736" s="11">
        <v>36132</v>
      </c>
      <c r="B736" s="10">
        <v>96.385199999999998</v>
      </c>
      <c r="E736" s="13">
        <f t="shared" si="33"/>
        <v>-1.8449865770832768E-2</v>
      </c>
      <c r="F736" s="9">
        <f t="shared" ref="F736:F799" si="34">LN(B736/B707)</f>
        <v>-2.6786379010545626E-2</v>
      </c>
      <c r="G736" s="9">
        <f t="shared" si="32"/>
        <v>2.3948870236131084E-2</v>
      </c>
    </row>
    <row r="737" spans="1:7" x14ac:dyDescent="0.2">
      <c r="A737" s="11">
        <v>36133</v>
      </c>
      <c r="B737" s="10">
        <v>96.447400000000002</v>
      </c>
      <c r="E737" s="13">
        <f t="shared" si="33"/>
        <v>6.4511915679400724E-4</v>
      </c>
      <c r="F737" s="9">
        <f t="shared" si="34"/>
        <v>-4.9070860077937768E-2</v>
      </c>
      <c r="G737" s="9">
        <f t="shared" ref="G737:G800" si="35">STDEV(E709:E737)</f>
        <v>2.3509658654582988E-2</v>
      </c>
    </row>
    <row r="738" spans="1:7" x14ac:dyDescent="0.2">
      <c r="A738" s="11">
        <v>36136</v>
      </c>
      <c r="B738" s="10">
        <v>95.659400000000005</v>
      </c>
      <c r="E738" s="13">
        <f t="shared" si="33"/>
        <v>-8.2038159974789065E-3</v>
      </c>
      <c r="F738" s="9">
        <f t="shared" si="34"/>
        <v>-0.1097340928469413</v>
      </c>
      <c r="G738" s="9">
        <f t="shared" si="35"/>
        <v>2.1094034138358843E-2</v>
      </c>
    </row>
    <row r="739" spans="1:7" x14ac:dyDescent="0.2">
      <c r="A739" s="11">
        <v>36137</v>
      </c>
      <c r="B739" s="10">
        <v>97.280699999999996</v>
      </c>
      <c r="E739" s="13">
        <f t="shared" si="33"/>
        <v>1.6806647897263102E-2</v>
      </c>
      <c r="F739" s="9">
        <f t="shared" si="34"/>
        <v>-5.9875084087494611E-2</v>
      </c>
      <c r="G739" s="9">
        <f t="shared" si="35"/>
        <v>2.0650528879896862E-2</v>
      </c>
    </row>
    <row r="740" spans="1:7" x14ac:dyDescent="0.2">
      <c r="A740" s="11">
        <v>36138</v>
      </c>
      <c r="B740" s="10">
        <v>95.702699999999993</v>
      </c>
      <c r="E740" s="13">
        <f t="shared" si="33"/>
        <v>-1.6354102688583113E-2</v>
      </c>
      <c r="F740" s="9">
        <f t="shared" si="34"/>
        <v>-0.10180099679120827</v>
      </c>
      <c r="G740" s="9">
        <f t="shared" si="35"/>
        <v>2.0107072570430044E-2</v>
      </c>
    </row>
    <row r="741" spans="1:7" x14ac:dyDescent="0.2">
      <c r="A741" s="11">
        <v>36139</v>
      </c>
      <c r="B741" s="10">
        <v>95.995000000000005</v>
      </c>
      <c r="E741" s="13">
        <f t="shared" si="33"/>
        <v>3.0495955510502566E-3</v>
      </c>
      <c r="F741" s="9">
        <f t="shared" si="34"/>
        <v>-0.14514580234828645</v>
      </c>
      <c r="G741" s="9">
        <f t="shared" si="35"/>
        <v>1.7736164839339184E-2</v>
      </c>
    </row>
    <row r="742" spans="1:7" x14ac:dyDescent="0.2">
      <c r="A742" s="11">
        <v>36140</v>
      </c>
      <c r="B742" s="10">
        <v>95.086299999999994</v>
      </c>
      <c r="E742" s="13">
        <f t="shared" si="33"/>
        <v>-9.5112064896362217E-3</v>
      </c>
      <c r="F742" s="9">
        <f t="shared" si="34"/>
        <v>-0.18218255059340568</v>
      </c>
      <c r="G742" s="9">
        <f t="shared" si="35"/>
        <v>1.6607625395694978E-2</v>
      </c>
    </row>
    <row r="743" spans="1:7" x14ac:dyDescent="0.2">
      <c r="A743" s="11">
        <v>36143</v>
      </c>
      <c r="B743" s="10">
        <v>92.365799999999993</v>
      </c>
      <c r="E743" s="13">
        <f t="shared" si="33"/>
        <v>-2.902812002594151E-2</v>
      </c>
      <c r="F743" s="9">
        <f t="shared" si="34"/>
        <v>-0.17512168809471407</v>
      </c>
      <c r="G743" s="9">
        <f t="shared" si="35"/>
        <v>1.6201833026910997E-2</v>
      </c>
    </row>
    <row r="744" spans="1:7" x14ac:dyDescent="0.2">
      <c r="A744" s="11">
        <v>36144</v>
      </c>
      <c r="B744" s="10">
        <v>91.411900000000003</v>
      </c>
      <c r="E744" s="13">
        <f t="shared" si="33"/>
        <v>-1.0381113340779836E-2</v>
      </c>
      <c r="F744" s="9">
        <f t="shared" si="34"/>
        <v>-0.19054442216647294</v>
      </c>
      <c r="G744" s="9">
        <f t="shared" si="35"/>
        <v>1.6077784827708448E-2</v>
      </c>
    </row>
    <row r="745" spans="1:7" x14ac:dyDescent="0.2">
      <c r="A745" s="11">
        <v>36145</v>
      </c>
      <c r="B745" s="10">
        <v>95.001400000000004</v>
      </c>
      <c r="E745" s="13">
        <f t="shared" si="33"/>
        <v>3.8515961412298502E-2</v>
      </c>
      <c r="F745" s="9">
        <f t="shared" si="34"/>
        <v>-0.11357613224545396</v>
      </c>
      <c r="G745" s="9">
        <f t="shared" si="35"/>
        <v>1.6955743127792963E-2</v>
      </c>
    </row>
    <row r="746" spans="1:7" x14ac:dyDescent="0.2">
      <c r="A746" s="11">
        <v>36146</v>
      </c>
      <c r="B746" s="10">
        <v>95.499099999999999</v>
      </c>
      <c r="E746" s="13">
        <f t="shared" si="33"/>
        <v>5.225195024447904E-3</v>
      </c>
      <c r="F746" s="9">
        <f t="shared" si="34"/>
        <v>-9.9115341971345333E-2</v>
      </c>
      <c r="G746" s="9">
        <f t="shared" si="35"/>
        <v>1.7006287607660164E-2</v>
      </c>
    </row>
    <row r="747" spans="1:7" x14ac:dyDescent="0.2">
      <c r="A747" s="11">
        <v>36147</v>
      </c>
      <c r="B747" s="10">
        <v>94.360399999999998</v>
      </c>
      <c r="E747" s="13">
        <f t="shared" si="33"/>
        <v>-1.1995329743660806E-2</v>
      </c>
      <c r="F747" s="9">
        <f t="shared" si="34"/>
        <v>-8.8252917352676666E-2</v>
      </c>
      <c r="G747" s="9">
        <f t="shared" si="35"/>
        <v>1.6679306852937163E-2</v>
      </c>
    </row>
    <row r="748" spans="1:7" x14ac:dyDescent="0.2">
      <c r="A748" s="11">
        <v>36150</v>
      </c>
      <c r="B748" s="10">
        <v>94.933599999999998</v>
      </c>
      <c r="E748" s="13">
        <f t="shared" si="33"/>
        <v>6.0562062396827777E-3</v>
      </c>
      <c r="F748" s="9">
        <f t="shared" si="34"/>
        <v>-7.6013653843067658E-2</v>
      </c>
      <c r="G748" s="9">
        <f t="shared" si="35"/>
        <v>1.6751710835317069E-2</v>
      </c>
    </row>
    <row r="749" spans="1:7" x14ac:dyDescent="0.2">
      <c r="A749" s="11">
        <v>36151</v>
      </c>
      <c r="B749" s="10">
        <v>96.950800000000001</v>
      </c>
      <c r="E749" s="13">
        <f t="shared" si="33"/>
        <v>2.1025933476207719E-2</v>
      </c>
      <c r="F749" s="9">
        <f t="shared" si="34"/>
        <v>-7.9674808710502754E-2</v>
      </c>
      <c r="G749" s="9">
        <f t="shared" si="35"/>
        <v>1.6551151487207257E-2</v>
      </c>
    </row>
    <row r="750" spans="1:7" x14ac:dyDescent="0.2">
      <c r="A750" s="11">
        <v>36152</v>
      </c>
      <c r="B750" s="10">
        <v>99.469499999999996</v>
      </c>
      <c r="E750" s="13">
        <f t="shared" si="33"/>
        <v>2.5647431179752996E-2</v>
      </c>
      <c r="F750" s="9">
        <f t="shared" si="34"/>
        <v>-4.3684661382143858E-2</v>
      </c>
      <c r="G750" s="9">
        <f t="shared" si="35"/>
        <v>1.7293940069037114E-2</v>
      </c>
    </row>
    <row r="751" spans="1:7" x14ac:dyDescent="0.2">
      <c r="A751" s="11">
        <v>36157</v>
      </c>
      <c r="B751" s="10">
        <v>102.2898</v>
      </c>
      <c r="E751" s="13">
        <f t="shared" si="33"/>
        <v>2.7958896731174326E-2</v>
      </c>
      <c r="F751" s="9">
        <f t="shared" si="34"/>
        <v>-1.6886660392592914E-2</v>
      </c>
      <c r="G751" s="9">
        <f t="shared" si="35"/>
        <v>1.8136953669374772E-2</v>
      </c>
    </row>
    <row r="752" spans="1:7" x14ac:dyDescent="0.2">
      <c r="A752" s="11">
        <v>36158</v>
      </c>
      <c r="B752" s="10">
        <v>101.4641</v>
      </c>
      <c r="E752" s="13">
        <f t="shared" si="33"/>
        <v>-8.1049199057849873E-3</v>
      </c>
      <c r="F752" s="9">
        <f t="shared" si="34"/>
        <v>-1.603508600569897E-2</v>
      </c>
      <c r="G752" s="9">
        <f t="shared" si="35"/>
        <v>1.812359565696486E-2</v>
      </c>
    </row>
    <row r="753" spans="1:7" x14ac:dyDescent="0.2">
      <c r="A753" s="11">
        <v>36159</v>
      </c>
      <c r="B753" s="10">
        <v>101.7016</v>
      </c>
      <c r="E753" s="13">
        <f t="shared" si="33"/>
        <v>2.3379941415851624E-3</v>
      </c>
      <c r="F753" s="9">
        <f t="shared" si="34"/>
        <v>6.7888642020208414E-3</v>
      </c>
      <c r="G753" s="9">
        <f t="shared" si="35"/>
        <v>1.7718111241670647E-2</v>
      </c>
    </row>
    <row r="754" spans="1:7" x14ac:dyDescent="0.2">
      <c r="A754" s="11">
        <v>36164</v>
      </c>
      <c r="B754" s="10">
        <v>106.8766</v>
      </c>
      <c r="E754" s="13">
        <f t="shared" si="33"/>
        <v>4.9631862427632352E-2</v>
      </c>
      <c r="F754" s="9">
        <f t="shared" si="34"/>
        <v>6.2824492240581356E-2</v>
      </c>
      <c r="G754" s="9">
        <f t="shared" si="35"/>
        <v>1.9890668384414483E-2</v>
      </c>
    </row>
    <row r="755" spans="1:7" x14ac:dyDescent="0.2">
      <c r="A755" s="11">
        <v>36165</v>
      </c>
      <c r="B755" s="10">
        <v>107.43089999999999</v>
      </c>
      <c r="E755" s="13">
        <f t="shared" si="33"/>
        <v>5.1729522864329301E-3</v>
      </c>
      <c r="F755" s="9">
        <f t="shared" si="34"/>
        <v>5.5806283553023368E-2</v>
      </c>
      <c r="G755" s="9">
        <f t="shared" si="35"/>
        <v>1.9806860118126199E-2</v>
      </c>
    </row>
    <row r="756" spans="1:7" x14ac:dyDescent="0.2">
      <c r="A756" s="11">
        <v>36166</v>
      </c>
      <c r="B756" s="10">
        <v>110.3002</v>
      </c>
      <c r="E756" s="13">
        <f t="shared" si="33"/>
        <v>2.6357889302909943E-2</v>
      </c>
      <c r="F756" s="9">
        <f t="shared" si="34"/>
        <v>6.9717326285123518E-2</v>
      </c>
      <c r="G756" s="9">
        <f t="shared" si="35"/>
        <v>2.0234632258262063E-2</v>
      </c>
    </row>
    <row r="757" spans="1:7" x14ac:dyDescent="0.2">
      <c r="A757" s="11">
        <v>36167</v>
      </c>
      <c r="B757" s="10">
        <v>108.28489999999999</v>
      </c>
      <c r="E757" s="13">
        <f t="shared" si="33"/>
        <v>-1.8440022724573915E-2</v>
      </c>
      <c r="F757" s="9">
        <f t="shared" si="34"/>
        <v>3.4304815882055528E-2</v>
      </c>
      <c r="G757" s="9">
        <f t="shared" si="35"/>
        <v>2.0391982248758465E-2</v>
      </c>
    </row>
    <row r="758" spans="1:7" x14ac:dyDescent="0.2">
      <c r="A758" s="11">
        <v>36168</v>
      </c>
      <c r="B758" s="10">
        <v>112.1044</v>
      </c>
      <c r="E758" s="13">
        <f t="shared" si="33"/>
        <v>3.466486320700609E-2</v>
      </c>
      <c r="F758" s="9">
        <f t="shared" si="34"/>
        <v>6.7817744982972314E-2</v>
      </c>
      <c r="G758" s="9">
        <f t="shared" si="35"/>
        <v>2.1318698545920528E-2</v>
      </c>
    </row>
    <row r="759" spans="1:7" x14ac:dyDescent="0.2">
      <c r="A759" s="11">
        <v>36171</v>
      </c>
      <c r="B759" s="10">
        <v>111.3051</v>
      </c>
      <c r="E759" s="13">
        <f t="shared" si="33"/>
        <v>-7.1555006427477946E-3</v>
      </c>
      <c r="F759" s="9">
        <f t="shared" si="34"/>
        <v>6.8757638469469168E-2</v>
      </c>
      <c r="G759" s="9">
        <f t="shared" si="35"/>
        <v>2.1302978307969195E-2</v>
      </c>
    </row>
    <row r="760" spans="1:7" x14ac:dyDescent="0.2">
      <c r="A760" s="11">
        <v>36172</v>
      </c>
      <c r="B760" s="10">
        <v>108.96550000000001</v>
      </c>
      <c r="E760" s="13">
        <f t="shared" si="33"/>
        <v>-2.1243760967501305E-2</v>
      </c>
      <c r="F760" s="9">
        <f t="shared" si="34"/>
        <v>4.2248156273338174E-2</v>
      </c>
      <c r="G760" s="9">
        <f t="shared" si="35"/>
        <v>2.1738638214345671E-2</v>
      </c>
    </row>
    <row r="761" spans="1:7" x14ac:dyDescent="0.2">
      <c r="A761" s="11">
        <v>36173</v>
      </c>
      <c r="B761" s="10">
        <v>103.17400000000001</v>
      </c>
      <c r="E761" s="13">
        <f t="shared" si="33"/>
        <v>-5.4614435045362314E-2</v>
      </c>
      <c r="F761" s="9">
        <f t="shared" si="34"/>
        <v>-1.7210077935024898E-2</v>
      </c>
      <c r="G761" s="9">
        <f t="shared" si="35"/>
        <v>2.4085060762736168E-2</v>
      </c>
    </row>
    <row r="762" spans="1:7" x14ac:dyDescent="0.2">
      <c r="A762" s="11">
        <v>36174</v>
      </c>
      <c r="B762" s="10">
        <v>105.1177</v>
      </c>
      <c r="E762" s="13">
        <f t="shared" si="33"/>
        <v>1.8663791419205263E-2</v>
      </c>
      <c r="F762" s="9">
        <f t="shared" si="34"/>
        <v>7.7786324757160331E-3</v>
      </c>
      <c r="G762" s="9">
        <f t="shared" si="35"/>
        <v>2.4318558205284189E-2</v>
      </c>
    </row>
    <row r="763" spans="1:7" x14ac:dyDescent="0.2">
      <c r="A763" s="11">
        <v>36175</v>
      </c>
      <c r="B763" s="10">
        <v>105.7907</v>
      </c>
      <c r="E763" s="13">
        <f t="shared" si="33"/>
        <v>6.3819391188284884E-3</v>
      </c>
      <c r="F763" s="9">
        <f t="shared" si="34"/>
        <v>6.0513323330440211E-2</v>
      </c>
      <c r="G763" s="9">
        <f t="shared" si="35"/>
        <v>2.2620274203597947E-2</v>
      </c>
    </row>
    <row r="764" spans="1:7" x14ac:dyDescent="0.2">
      <c r="A764" s="11">
        <v>36178</v>
      </c>
      <c r="B764" s="10">
        <v>106.9671</v>
      </c>
      <c r="E764" s="13">
        <f t="shared" si="33"/>
        <v>1.1058696686464642E-2</v>
      </c>
      <c r="F764" s="9">
        <f t="shared" si="34"/>
        <v>8.5718781915852832E-2</v>
      </c>
      <c r="G764" s="9">
        <f t="shared" si="35"/>
        <v>2.2457910044322956E-2</v>
      </c>
    </row>
    <row r="765" spans="1:7" x14ac:dyDescent="0.2">
      <c r="A765" s="11">
        <v>36179</v>
      </c>
      <c r="B765" s="10">
        <v>107.3875</v>
      </c>
      <c r="E765" s="13">
        <f t="shared" si="33"/>
        <v>3.9224774184153845E-3</v>
      </c>
      <c r="F765" s="9">
        <f t="shared" si="34"/>
        <v>0.10809112510510119</v>
      </c>
      <c r="G765" s="9">
        <f t="shared" si="35"/>
        <v>2.2077370386892482E-2</v>
      </c>
    </row>
    <row r="766" spans="1:7" x14ac:dyDescent="0.2">
      <c r="A766" s="11">
        <v>36180</v>
      </c>
      <c r="B766" s="10">
        <v>106.54859999999999</v>
      </c>
      <c r="E766" s="13">
        <f t="shared" si="33"/>
        <v>-7.8425688770583906E-3</v>
      </c>
      <c r="F766" s="9">
        <f t="shared" si="34"/>
        <v>9.9603437071248857E-2</v>
      </c>
      <c r="G766" s="9">
        <f t="shared" si="35"/>
        <v>2.2175731146736898E-2</v>
      </c>
    </row>
    <row r="767" spans="1:7" x14ac:dyDescent="0.2">
      <c r="A767" s="11">
        <v>36181</v>
      </c>
      <c r="B767" s="10">
        <v>105.81140000000001</v>
      </c>
      <c r="E767" s="13">
        <f t="shared" si="33"/>
        <v>-6.9429549949929156E-3</v>
      </c>
      <c r="F767" s="9">
        <f t="shared" si="34"/>
        <v>0.10086429807373484</v>
      </c>
      <c r="G767" s="9">
        <f t="shared" si="35"/>
        <v>2.2153322510271505E-2</v>
      </c>
    </row>
    <row r="768" spans="1:7" x14ac:dyDescent="0.2">
      <c r="A768" s="11">
        <v>36182</v>
      </c>
      <c r="B768" s="10">
        <v>104.69540000000001</v>
      </c>
      <c r="E768" s="13">
        <f t="shared" si="33"/>
        <v>-1.0603082233336206E-2</v>
      </c>
      <c r="F768" s="9">
        <f t="shared" si="34"/>
        <v>7.345456794313554E-2</v>
      </c>
      <c r="G768" s="9">
        <f t="shared" si="35"/>
        <v>2.2149067419353845E-2</v>
      </c>
    </row>
    <row r="769" spans="1:7" x14ac:dyDescent="0.2">
      <c r="A769" s="11">
        <v>36185</v>
      </c>
      <c r="B769" s="10">
        <v>105.08369999999999</v>
      </c>
      <c r="E769" s="13">
        <f t="shared" si="33"/>
        <v>3.7019936062550416E-3</v>
      </c>
      <c r="F769" s="9">
        <f t="shared" si="34"/>
        <v>9.3510664237973704E-2</v>
      </c>
      <c r="G769" s="9">
        <f t="shared" si="35"/>
        <v>2.1849362467989599E-2</v>
      </c>
    </row>
    <row r="770" spans="1:7" x14ac:dyDescent="0.2">
      <c r="A770" s="11">
        <v>36186</v>
      </c>
      <c r="B770" s="10">
        <v>104.7727</v>
      </c>
      <c r="E770" s="13">
        <f t="shared" si="33"/>
        <v>-2.9639336963310364E-3</v>
      </c>
      <c r="F770" s="9">
        <f t="shared" si="34"/>
        <v>8.7497134990592543E-2</v>
      </c>
      <c r="G770" s="9">
        <f t="shared" si="35"/>
        <v>2.1879596767179699E-2</v>
      </c>
    </row>
    <row r="771" spans="1:7" x14ac:dyDescent="0.2">
      <c r="A771" s="11">
        <v>36187</v>
      </c>
      <c r="B771" s="10">
        <v>106.4713</v>
      </c>
      <c r="E771" s="13">
        <f t="shared" si="33"/>
        <v>1.6082223495471587E-2</v>
      </c>
      <c r="F771" s="9">
        <f t="shared" si="34"/>
        <v>0.1130905649757003</v>
      </c>
      <c r="G771" s="9">
        <f t="shared" si="35"/>
        <v>2.1872372427787241E-2</v>
      </c>
    </row>
    <row r="772" spans="1:7" x14ac:dyDescent="0.2">
      <c r="A772" s="11">
        <v>36188</v>
      </c>
      <c r="B772" s="10">
        <v>109.7026</v>
      </c>
      <c r="E772" s="13">
        <f t="shared" ref="E772:E835" si="36">LN(B772/B771)</f>
        <v>2.9897602738871872E-2</v>
      </c>
      <c r="F772" s="9">
        <f t="shared" si="34"/>
        <v>0.17201628774051367</v>
      </c>
      <c r="G772" s="9">
        <f t="shared" si="35"/>
        <v>2.1436899994137705E-2</v>
      </c>
    </row>
    <row r="773" spans="1:7" x14ac:dyDescent="0.2">
      <c r="A773" s="11">
        <v>36189</v>
      </c>
      <c r="B773" s="10">
        <v>111.7933</v>
      </c>
      <c r="E773" s="13">
        <f t="shared" si="36"/>
        <v>1.8878562478513564E-2</v>
      </c>
      <c r="F773" s="9">
        <f t="shared" si="34"/>
        <v>0.20127596355980698</v>
      </c>
      <c r="G773" s="9">
        <f t="shared" si="35"/>
        <v>2.1330006403278867E-2</v>
      </c>
    </row>
    <row r="774" spans="1:7" x14ac:dyDescent="0.2">
      <c r="A774" s="11">
        <v>36192</v>
      </c>
      <c r="B774" s="10">
        <v>113.277</v>
      </c>
      <c r="E774" s="13">
        <f t="shared" si="36"/>
        <v>1.3184516062311472E-2</v>
      </c>
      <c r="F774" s="9">
        <f t="shared" si="34"/>
        <v>0.17594451820982007</v>
      </c>
      <c r="G774" s="9">
        <f t="shared" si="35"/>
        <v>2.0493021816526329E-2</v>
      </c>
    </row>
    <row r="775" spans="1:7" x14ac:dyDescent="0.2">
      <c r="A775" s="11">
        <v>36193</v>
      </c>
      <c r="B775" s="10">
        <v>111.3409</v>
      </c>
      <c r="E775" s="13">
        <f t="shared" si="36"/>
        <v>-1.7239480472885864E-2</v>
      </c>
      <c r="F775" s="9">
        <f t="shared" si="34"/>
        <v>0.15347984271248624</v>
      </c>
      <c r="G775" s="9">
        <f t="shared" si="35"/>
        <v>2.0945570646403344E-2</v>
      </c>
    </row>
    <row r="776" spans="1:7" x14ac:dyDescent="0.2">
      <c r="A776" s="11">
        <v>36194</v>
      </c>
      <c r="B776" s="10">
        <v>112.0384</v>
      </c>
      <c r="E776" s="13">
        <f t="shared" si="36"/>
        <v>6.2450036048782237E-3</v>
      </c>
      <c r="F776" s="9">
        <f t="shared" si="34"/>
        <v>0.1717201760610253</v>
      </c>
      <c r="G776" s="9">
        <f t="shared" si="35"/>
        <v>2.068008257612217E-2</v>
      </c>
    </row>
    <row r="777" spans="1:7" x14ac:dyDescent="0.2">
      <c r="A777" s="11">
        <v>36195</v>
      </c>
      <c r="B777" s="10">
        <v>111.9196</v>
      </c>
      <c r="E777" s="13">
        <f t="shared" si="36"/>
        <v>-1.0609133064486166E-3</v>
      </c>
      <c r="F777" s="9">
        <f t="shared" si="34"/>
        <v>0.1646030565148939</v>
      </c>
      <c r="G777" s="9">
        <f t="shared" si="35"/>
        <v>2.0720616441125436E-2</v>
      </c>
    </row>
    <row r="778" spans="1:7" x14ac:dyDescent="0.2">
      <c r="A778" s="11">
        <v>36196</v>
      </c>
      <c r="B778" s="10">
        <v>112.2741</v>
      </c>
      <c r="E778" s="13">
        <f t="shared" si="36"/>
        <v>3.1624465401853168E-3</v>
      </c>
      <c r="F778" s="9">
        <f t="shared" si="34"/>
        <v>0.14673956957887146</v>
      </c>
      <c r="G778" s="9">
        <f t="shared" si="35"/>
        <v>2.0512472876819773E-2</v>
      </c>
    </row>
    <row r="779" spans="1:7" x14ac:dyDescent="0.2">
      <c r="A779" s="11">
        <v>36199</v>
      </c>
      <c r="B779" s="10">
        <v>112.14019999999999</v>
      </c>
      <c r="E779" s="13">
        <f t="shared" si="36"/>
        <v>-1.1933287307435056E-3</v>
      </c>
      <c r="F779" s="9">
        <f t="shared" si="34"/>
        <v>0.11989880966837493</v>
      </c>
      <c r="G779" s="9">
        <f t="shared" si="35"/>
        <v>2.0152757636639047E-2</v>
      </c>
    </row>
    <row r="780" spans="1:7" x14ac:dyDescent="0.2">
      <c r="A780" s="11">
        <v>36200</v>
      </c>
      <c r="B780" s="10">
        <v>109.8817</v>
      </c>
      <c r="E780" s="13">
        <f t="shared" si="36"/>
        <v>-2.034554164810274E-2</v>
      </c>
      <c r="F780" s="9">
        <f t="shared" si="34"/>
        <v>7.1594371289097972E-2</v>
      </c>
      <c r="G780" s="9">
        <f t="shared" si="35"/>
        <v>2.0109475015077715E-2</v>
      </c>
    </row>
    <row r="781" spans="1:7" x14ac:dyDescent="0.2">
      <c r="A781" s="11">
        <v>36201</v>
      </c>
      <c r="B781" s="10">
        <v>108.9975</v>
      </c>
      <c r="E781" s="13">
        <f t="shared" si="36"/>
        <v>-8.0793863444646452E-3</v>
      </c>
      <c r="F781" s="9">
        <f t="shared" si="34"/>
        <v>7.161990485041822E-2</v>
      </c>
      <c r="G781" s="9">
        <f t="shared" si="35"/>
        <v>2.0108996078680063E-2</v>
      </c>
    </row>
    <row r="782" spans="1:7" x14ac:dyDescent="0.2">
      <c r="A782" s="11">
        <v>36202</v>
      </c>
      <c r="B782" s="10">
        <v>108.6016</v>
      </c>
      <c r="E782" s="13">
        <f t="shared" si="36"/>
        <v>-3.6388058299829619E-3</v>
      </c>
      <c r="F782" s="9">
        <f t="shared" si="34"/>
        <v>6.564310487885025E-2</v>
      </c>
      <c r="G782" s="9">
        <f t="shared" si="35"/>
        <v>2.0140996194948909E-2</v>
      </c>
    </row>
    <row r="783" spans="1:7" x14ac:dyDescent="0.2">
      <c r="A783" s="11">
        <v>36203</v>
      </c>
      <c r="B783" s="10">
        <v>109.3142</v>
      </c>
      <c r="E783" s="13">
        <f t="shared" si="36"/>
        <v>6.5401640454321617E-3</v>
      </c>
      <c r="F783" s="9">
        <f t="shared" si="34"/>
        <v>2.2551406496649853E-2</v>
      </c>
      <c r="G783" s="9">
        <f t="shared" si="35"/>
        <v>1.7996998160656731E-2</v>
      </c>
    </row>
    <row r="784" spans="1:7" x14ac:dyDescent="0.2">
      <c r="A784" s="11">
        <v>36206</v>
      </c>
      <c r="B784" s="10">
        <v>108.5677</v>
      </c>
      <c r="E784" s="13">
        <f t="shared" si="36"/>
        <v>-6.8523628716506187E-3</v>
      </c>
      <c r="F784" s="9">
        <f t="shared" si="34"/>
        <v>1.0526091338566385E-2</v>
      </c>
      <c r="G784" s="9">
        <f t="shared" si="35"/>
        <v>1.8030614793076251E-2</v>
      </c>
    </row>
    <row r="785" spans="1:7" x14ac:dyDescent="0.2">
      <c r="A785" s="11">
        <v>36207</v>
      </c>
      <c r="B785" s="10">
        <v>108.6506</v>
      </c>
      <c r="E785" s="13">
        <f t="shared" si="36"/>
        <v>7.6328747646797843E-4</v>
      </c>
      <c r="F785" s="9">
        <f t="shared" si="34"/>
        <v>-1.506851048787544E-2</v>
      </c>
      <c r="G785" s="9">
        <f t="shared" si="35"/>
        <v>1.7325374887723555E-2</v>
      </c>
    </row>
    <row r="786" spans="1:7" x14ac:dyDescent="0.2">
      <c r="A786" s="11">
        <v>36208</v>
      </c>
      <c r="B786" s="10">
        <v>106.18089999999999</v>
      </c>
      <c r="E786" s="13">
        <f t="shared" si="36"/>
        <v>-2.2992985714424742E-2</v>
      </c>
      <c r="F786" s="9">
        <f t="shared" si="34"/>
        <v>-1.9621473477726289E-2</v>
      </c>
      <c r="G786" s="9">
        <f t="shared" si="35"/>
        <v>1.7513176560577232E-2</v>
      </c>
    </row>
    <row r="787" spans="1:7" x14ac:dyDescent="0.2">
      <c r="A787" s="11">
        <v>36209</v>
      </c>
      <c r="B787" s="10">
        <v>106.5222</v>
      </c>
      <c r="E787" s="13">
        <f t="shared" si="36"/>
        <v>3.2091708387357457E-3</v>
      </c>
      <c r="F787" s="9">
        <f t="shared" si="34"/>
        <v>-5.1077165845996531E-2</v>
      </c>
      <c r="G787" s="9">
        <f t="shared" si="35"/>
        <v>1.6168618849871426E-2</v>
      </c>
    </row>
    <row r="788" spans="1:7" x14ac:dyDescent="0.2">
      <c r="A788" s="11">
        <v>36210</v>
      </c>
      <c r="B788" s="10">
        <v>105.8963</v>
      </c>
      <c r="E788" s="13">
        <f t="shared" si="36"/>
        <v>-5.8931007552237872E-3</v>
      </c>
      <c r="F788" s="9">
        <f t="shared" si="34"/>
        <v>-4.98147659584725E-2</v>
      </c>
      <c r="G788" s="9">
        <f t="shared" si="35"/>
        <v>1.6155271111468819E-2</v>
      </c>
    </row>
    <row r="789" spans="1:7" x14ac:dyDescent="0.2">
      <c r="A789" s="11">
        <v>36213</v>
      </c>
      <c r="B789" s="10">
        <v>105.8963</v>
      </c>
      <c r="E789" s="13">
        <f t="shared" si="36"/>
        <v>0</v>
      </c>
      <c r="F789" s="9">
        <f t="shared" si="34"/>
        <v>-2.8571004990971149E-2</v>
      </c>
      <c r="G789" s="9">
        <f t="shared" si="35"/>
        <v>1.5713871916125915E-2</v>
      </c>
    </row>
    <row r="790" spans="1:7" x14ac:dyDescent="0.2">
      <c r="A790" s="11">
        <v>36214</v>
      </c>
      <c r="B790" s="10">
        <v>107.53270000000001</v>
      </c>
      <c r="E790" s="13">
        <f t="shared" si="36"/>
        <v>1.5334673983381696E-2</v>
      </c>
      <c r="F790" s="9">
        <f t="shared" si="34"/>
        <v>4.1378104037772735E-2</v>
      </c>
      <c r="G790" s="9">
        <f t="shared" si="35"/>
        <v>1.2152962711791278E-2</v>
      </c>
    </row>
    <row r="791" spans="1:7" x14ac:dyDescent="0.2">
      <c r="A791" s="11">
        <v>36215</v>
      </c>
      <c r="B791" s="10">
        <v>107.182</v>
      </c>
      <c r="E791" s="13">
        <f t="shared" si="36"/>
        <v>-3.2666632686305925E-3</v>
      </c>
      <c r="F791" s="9">
        <f t="shared" si="34"/>
        <v>1.9447649349936858E-2</v>
      </c>
      <c r="G791" s="9">
        <f t="shared" si="35"/>
        <v>1.1716560108191812E-2</v>
      </c>
    </row>
    <row r="792" spans="1:7" x14ac:dyDescent="0.2">
      <c r="A792" s="11">
        <v>36216</v>
      </c>
      <c r="B792" s="10">
        <v>105.9623</v>
      </c>
      <c r="E792" s="13">
        <f t="shared" si="36"/>
        <v>-1.1444953617846696E-2</v>
      </c>
      <c r="F792" s="9">
        <f t="shared" si="34"/>
        <v>1.6207566132615072E-3</v>
      </c>
      <c r="G792" s="9">
        <f t="shared" si="35"/>
        <v>1.1872818382599643E-2</v>
      </c>
    </row>
    <row r="793" spans="1:7" x14ac:dyDescent="0.2">
      <c r="A793" s="11">
        <v>36217</v>
      </c>
      <c r="B793" s="10">
        <v>106.05459999999999</v>
      </c>
      <c r="E793" s="13">
        <f t="shared" si="36"/>
        <v>8.7068536358188471E-4</v>
      </c>
      <c r="F793" s="9">
        <f t="shared" si="34"/>
        <v>-8.5672547096212991E-3</v>
      </c>
      <c r="G793" s="9">
        <f t="shared" si="35"/>
        <v>1.1684864750942353E-2</v>
      </c>
    </row>
    <row r="794" spans="1:7" x14ac:dyDescent="0.2">
      <c r="A794" s="11">
        <v>36220</v>
      </c>
      <c r="B794" s="10">
        <v>106.4336</v>
      </c>
      <c r="E794" s="13">
        <f t="shared" si="36"/>
        <v>3.5672606940889968E-3</v>
      </c>
      <c r="F794" s="9">
        <f t="shared" si="34"/>
        <v>-8.9224714339478858E-3</v>
      </c>
      <c r="G794" s="9">
        <f t="shared" si="35"/>
        <v>1.1680470712175236E-2</v>
      </c>
    </row>
    <row r="795" spans="1:7" x14ac:dyDescent="0.2">
      <c r="A795" s="11">
        <v>36221</v>
      </c>
      <c r="B795" s="10">
        <v>106.47880000000001</v>
      </c>
      <c r="E795" s="13">
        <f t="shared" si="36"/>
        <v>4.2458777111187811E-4</v>
      </c>
      <c r="F795" s="9">
        <f t="shared" si="34"/>
        <v>-6.5531478577767019E-4</v>
      </c>
      <c r="G795" s="9">
        <f t="shared" si="35"/>
        <v>1.1590543958566684E-2</v>
      </c>
    </row>
    <row r="796" spans="1:7" x14ac:dyDescent="0.2">
      <c r="A796" s="11">
        <v>36222</v>
      </c>
      <c r="B796" s="10">
        <v>108.34139999999999</v>
      </c>
      <c r="E796" s="13">
        <f t="shared" si="36"/>
        <v>1.7341448126627634E-2</v>
      </c>
      <c r="F796" s="9">
        <f t="shared" si="34"/>
        <v>2.3629088335842773E-2</v>
      </c>
      <c r="G796" s="9">
        <f t="shared" si="35"/>
        <v>1.1944548930392495E-2</v>
      </c>
    </row>
    <row r="797" spans="1:7" x14ac:dyDescent="0.2">
      <c r="A797" s="11">
        <v>36223</v>
      </c>
      <c r="B797" s="10">
        <v>108.1435</v>
      </c>
      <c r="E797" s="13">
        <f t="shared" si="36"/>
        <v>-1.8283035456660554E-3</v>
      </c>
      <c r="F797" s="9">
        <f t="shared" si="34"/>
        <v>3.2403867023512979E-2</v>
      </c>
      <c r="G797" s="9">
        <f t="shared" si="35"/>
        <v>1.1754612993284785E-2</v>
      </c>
    </row>
    <row r="798" spans="1:7" x14ac:dyDescent="0.2">
      <c r="A798" s="11">
        <v>36224</v>
      </c>
      <c r="B798" s="10">
        <v>110.6377</v>
      </c>
      <c r="E798" s="13">
        <f t="shared" si="36"/>
        <v>2.2801850116404843E-2</v>
      </c>
      <c r="F798" s="9">
        <f t="shared" si="34"/>
        <v>5.1503723533662893E-2</v>
      </c>
      <c r="G798" s="9">
        <f t="shared" si="35"/>
        <v>1.2420810155155931E-2</v>
      </c>
    </row>
    <row r="799" spans="1:7" x14ac:dyDescent="0.2">
      <c r="A799" s="11">
        <v>36227</v>
      </c>
      <c r="B799" s="10">
        <v>109.99290000000001</v>
      </c>
      <c r="E799" s="13">
        <f t="shared" si="36"/>
        <v>-5.8450807439821284E-3</v>
      </c>
      <c r="F799" s="9">
        <f t="shared" si="34"/>
        <v>4.8622576486011759E-2</v>
      </c>
      <c r="G799" s="9">
        <f t="shared" si="35"/>
        <v>1.2471496503674887E-2</v>
      </c>
    </row>
    <row r="800" spans="1:7" x14ac:dyDescent="0.2">
      <c r="A800" s="11">
        <v>36228</v>
      </c>
      <c r="B800" s="10">
        <v>109.59139999999999</v>
      </c>
      <c r="E800" s="13">
        <f t="shared" si="36"/>
        <v>-3.6569139728010736E-3</v>
      </c>
      <c r="F800" s="9">
        <f t="shared" ref="F800:F863" si="37">LN(B800/B771)</f>
        <v>2.8883439017739196E-2</v>
      </c>
      <c r="G800" s="9">
        <f t="shared" si="35"/>
        <v>1.2192738831758936E-2</v>
      </c>
    </row>
    <row r="801" spans="1:7" x14ac:dyDescent="0.2">
      <c r="A801" s="11">
        <v>36229</v>
      </c>
      <c r="B801" s="10">
        <v>110.7093</v>
      </c>
      <c r="E801" s="13">
        <f t="shared" si="36"/>
        <v>1.0148942744064344E-2</v>
      </c>
      <c r="F801" s="9">
        <f t="shared" si="37"/>
        <v>9.1347790229315863E-3</v>
      </c>
      <c r="G801" s="9">
        <f t="shared" ref="G801:G864" si="38">STDEV(E773:E801)</f>
        <v>1.1015549069034283E-2</v>
      </c>
    </row>
    <row r="802" spans="1:7" x14ac:dyDescent="0.2">
      <c r="A802" s="11">
        <v>36230</v>
      </c>
      <c r="B802" s="10">
        <v>112.291</v>
      </c>
      <c r="E802" s="13">
        <f t="shared" si="36"/>
        <v>1.4185869031319001E-2</v>
      </c>
      <c r="F802" s="9">
        <f t="shared" si="37"/>
        <v>4.4420855757372271E-3</v>
      </c>
      <c r="G802" s="9">
        <f t="shared" si="38"/>
        <v>1.0764725334581027E-2</v>
      </c>
    </row>
    <row r="803" spans="1:7" x14ac:dyDescent="0.2">
      <c r="A803" s="11">
        <v>36231</v>
      </c>
      <c r="B803" s="10">
        <v>114.7796</v>
      </c>
      <c r="E803" s="13">
        <f t="shared" si="36"/>
        <v>2.1920051689150739E-2</v>
      </c>
      <c r="F803" s="9">
        <f t="shared" si="37"/>
        <v>1.3177621202576366E-2</v>
      </c>
      <c r="G803" s="9">
        <f t="shared" si="38"/>
        <v>1.1253523928146048E-2</v>
      </c>
    </row>
    <row r="804" spans="1:7" x14ac:dyDescent="0.2">
      <c r="A804" s="11">
        <v>36234</v>
      </c>
      <c r="B804" s="10">
        <v>113.3373</v>
      </c>
      <c r="E804" s="13">
        <f t="shared" si="36"/>
        <v>-1.2645439416844781E-2</v>
      </c>
      <c r="F804" s="9">
        <f t="shared" si="37"/>
        <v>1.7771662258617395E-2</v>
      </c>
      <c r="G804" s="9">
        <f t="shared" si="38"/>
        <v>1.1025579084735873E-2</v>
      </c>
    </row>
    <row r="805" spans="1:7" x14ac:dyDescent="0.2">
      <c r="A805" s="11">
        <v>36235</v>
      </c>
      <c r="B805" s="10">
        <v>112.6605</v>
      </c>
      <c r="E805" s="13">
        <f t="shared" si="36"/>
        <v>-5.9894567404583888E-3</v>
      </c>
      <c r="F805" s="9">
        <f t="shared" si="37"/>
        <v>5.5372019132808566E-3</v>
      </c>
      <c r="G805" s="9">
        <f t="shared" si="38"/>
        <v>1.1036436494622635E-2</v>
      </c>
    </row>
    <row r="806" spans="1:7" x14ac:dyDescent="0.2">
      <c r="A806" s="11">
        <v>36236</v>
      </c>
      <c r="B806" s="10">
        <v>112.7209</v>
      </c>
      <c r="E806" s="13">
        <f t="shared" si="36"/>
        <v>5.359803554858927E-4</v>
      </c>
      <c r="F806" s="9">
        <f t="shared" si="37"/>
        <v>7.1340955752153042E-3</v>
      </c>
      <c r="G806" s="9">
        <f t="shared" si="38"/>
        <v>1.1033950922869476E-2</v>
      </c>
    </row>
    <row r="807" spans="1:7" x14ac:dyDescent="0.2">
      <c r="A807" s="11">
        <v>36237</v>
      </c>
      <c r="B807" s="10">
        <v>113.1092</v>
      </c>
      <c r="E807" s="13">
        <f t="shared" si="36"/>
        <v>3.4388718126093379E-3</v>
      </c>
      <c r="F807" s="9">
        <f t="shared" si="37"/>
        <v>7.4105208476394485E-3</v>
      </c>
      <c r="G807" s="9">
        <f t="shared" si="38"/>
        <v>1.1036679392598848E-2</v>
      </c>
    </row>
    <row r="808" spans="1:7" x14ac:dyDescent="0.2">
      <c r="A808" s="11">
        <v>36238</v>
      </c>
      <c r="B808" s="10">
        <v>113.7747</v>
      </c>
      <c r="E808" s="13">
        <f t="shared" si="36"/>
        <v>5.8664533588561659E-3</v>
      </c>
      <c r="F808" s="9">
        <f t="shared" si="37"/>
        <v>1.4470302937239216E-2</v>
      </c>
      <c r="G808" s="9">
        <f t="shared" si="38"/>
        <v>1.1081349733357374E-2</v>
      </c>
    </row>
    <row r="809" spans="1:7" x14ac:dyDescent="0.2">
      <c r="A809" s="11">
        <v>36241</v>
      </c>
      <c r="B809" s="10">
        <v>112.44750000000001</v>
      </c>
      <c r="E809" s="13">
        <f t="shared" si="36"/>
        <v>-1.1733731061073796E-2</v>
      </c>
      <c r="F809" s="9">
        <f t="shared" si="37"/>
        <v>2.3082113524268116E-2</v>
      </c>
      <c r="G809" s="9">
        <f t="shared" si="38"/>
        <v>1.0608090890779546E-2</v>
      </c>
    </row>
    <row r="810" spans="1:7" x14ac:dyDescent="0.2">
      <c r="A810" s="11">
        <v>36242</v>
      </c>
      <c r="B810" s="10">
        <v>111.9837</v>
      </c>
      <c r="E810" s="13">
        <f t="shared" si="36"/>
        <v>-4.133121065571759E-3</v>
      </c>
      <c r="F810" s="9">
        <f t="shared" si="37"/>
        <v>2.7028378803160932E-2</v>
      </c>
      <c r="G810" s="9">
        <f t="shared" si="38"/>
        <v>1.0515077356070294E-2</v>
      </c>
    </row>
    <row r="811" spans="1:7" x14ac:dyDescent="0.2">
      <c r="A811" s="11">
        <v>36243</v>
      </c>
      <c r="B811" s="10">
        <v>110.8733</v>
      </c>
      <c r="E811" s="13">
        <f t="shared" si="36"/>
        <v>-9.9652170589969308E-3</v>
      </c>
      <c r="F811" s="9">
        <f t="shared" si="37"/>
        <v>2.0701967574146961E-2</v>
      </c>
      <c r="G811" s="9">
        <f t="shared" si="38"/>
        <v>1.0677661878757584E-2</v>
      </c>
    </row>
    <row r="812" spans="1:7" x14ac:dyDescent="0.2">
      <c r="A812" s="11">
        <v>36244</v>
      </c>
      <c r="B812" s="10">
        <v>112.2458</v>
      </c>
      <c r="E812" s="13">
        <f t="shared" si="36"/>
        <v>1.2303001510818505E-2</v>
      </c>
      <c r="F812" s="9">
        <f t="shared" si="37"/>
        <v>2.6464805039533287E-2</v>
      </c>
      <c r="G812" s="9">
        <f t="shared" si="38"/>
        <v>1.0842321440405756E-2</v>
      </c>
    </row>
    <row r="813" spans="1:7" x14ac:dyDescent="0.2">
      <c r="A813" s="11">
        <v>36245</v>
      </c>
      <c r="B813" s="10">
        <v>111.5973</v>
      </c>
      <c r="E813" s="13">
        <f t="shared" si="36"/>
        <v>-5.7942533351257432E-3</v>
      </c>
      <c r="F813" s="9">
        <f t="shared" si="37"/>
        <v>2.7522914576058245E-2</v>
      </c>
      <c r="G813" s="9">
        <f t="shared" si="38"/>
        <v>1.0817008478720228E-2</v>
      </c>
    </row>
    <row r="814" spans="1:7" x14ac:dyDescent="0.2">
      <c r="A814" s="11">
        <v>36248</v>
      </c>
      <c r="B814" s="10">
        <v>113.8841</v>
      </c>
      <c r="E814" s="13">
        <f t="shared" si="36"/>
        <v>2.0284408465571772E-2</v>
      </c>
      <c r="F814" s="9">
        <f t="shared" si="37"/>
        <v>4.7044035565161749E-2</v>
      </c>
      <c r="G814" s="9">
        <f t="shared" si="38"/>
        <v>1.1396890699710928E-2</v>
      </c>
    </row>
    <row r="815" spans="1:7" x14ac:dyDescent="0.2">
      <c r="A815" s="11">
        <v>36249</v>
      </c>
      <c r="B815" s="10">
        <v>113.9331</v>
      </c>
      <c r="E815" s="13">
        <f t="shared" si="36"/>
        <v>4.3016945828150616E-4</v>
      </c>
      <c r="F815" s="9">
        <f t="shared" si="37"/>
        <v>7.046719073786796E-2</v>
      </c>
      <c r="G815" s="9">
        <f t="shared" si="38"/>
        <v>1.0374229259603639E-2</v>
      </c>
    </row>
    <row r="816" spans="1:7" x14ac:dyDescent="0.2">
      <c r="A816" s="11">
        <v>36250</v>
      </c>
      <c r="B816" s="10">
        <v>113.67100000000001</v>
      </c>
      <c r="E816" s="13">
        <f t="shared" si="36"/>
        <v>-2.3031229741149939E-3</v>
      </c>
      <c r="F816" s="9">
        <f t="shared" si="37"/>
        <v>6.4954896925017269E-2</v>
      </c>
      <c r="G816" s="9">
        <f t="shared" si="38"/>
        <v>1.040987893191689E-2</v>
      </c>
    </row>
    <row r="817" spans="1:7" x14ac:dyDescent="0.2">
      <c r="A817" s="11">
        <v>36256</v>
      </c>
      <c r="B817" s="10">
        <v>113.8558</v>
      </c>
      <c r="E817" s="13">
        <f t="shared" si="36"/>
        <v>1.6244243810997813E-3</v>
      </c>
      <c r="F817" s="9">
        <f t="shared" si="37"/>
        <v>7.2472422061340872E-2</v>
      </c>
      <c r="G817" s="9">
        <f t="shared" si="38"/>
        <v>1.0293065875365374E-2</v>
      </c>
    </row>
    <row r="818" spans="1:7" x14ac:dyDescent="0.2">
      <c r="A818" s="11">
        <v>36257</v>
      </c>
      <c r="B818" s="10">
        <v>113.5296</v>
      </c>
      <c r="E818" s="13">
        <f t="shared" si="36"/>
        <v>-2.8691395645641989E-3</v>
      </c>
      <c r="F818" s="9">
        <f t="shared" si="37"/>
        <v>6.9603282496776775E-2</v>
      </c>
      <c r="G818" s="9">
        <f t="shared" si="38"/>
        <v>1.0331660918241115E-2</v>
      </c>
    </row>
    <row r="819" spans="1:7" x14ac:dyDescent="0.2">
      <c r="A819" s="11">
        <v>36258</v>
      </c>
      <c r="B819" s="10">
        <v>113.4618</v>
      </c>
      <c r="E819" s="13">
        <f t="shared" si="36"/>
        <v>-5.973794779562271E-4</v>
      </c>
      <c r="F819" s="9">
        <f t="shared" si="37"/>
        <v>5.3671229035438937E-2</v>
      </c>
      <c r="G819" s="9">
        <f t="shared" si="38"/>
        <v>1.003874532334402E-2</v>
      </c>
    </row>
    <row r="820" spans="1:7" x14ac:dyDescent="0.2">
      <c r="A820" s="11">
        <v>36259</v>
      </c>
      <c r="B820" s="10">
        <v>113.8426</v>
      </c>
      <c r="E820" s="13">
        <f t="shared" si="36"/>
        <v>3.350576198699033E-3</v>
      </c>
      <c r="F820" s="9">
        <f t="shared" si="37"/>
        <v>6.0288468502768623E-2</v>
      </c>
      <c r="G820" s="9">
        <f t="shared" si="38"/>
        <v>9.993375102578906E-3</v>
      </c>
    </row>
    <row r="821" spans="1:7" x14ac:dyDescent="0.2">
      <c r="A821" s="11">
        <v>36262</v>
      </c>
      <c r="B821" s="10">
        <v>113.67100000000001</v>
      </c>
      <c r="E821" s="13">
        <f t="shared" si="36"/>
        <v>-1.508481537278454E-3</v>
      </c>
      <c r="F821" s="9">
        <f t="shared" si="37"/>
        <v>7.022494058333674E-2</v>
      </c>
      <c r="G821" s="9">
        <f t="shared" si="38"/>
        <v>9.6785128741936656E-3</v>
      </c>
    </row>
    <row r="822" spans="1:7" x14ac:dyDescent="0.2">
      <c r="A822" s="11">
        <v>36263</v>
      </c>
      <c r="B822" s="10">
        <v>113.3977</v>
      </c>
      <c r="E822" s="13">
        <f t="shared" si="36"/>
        <v>-2.4072021548766486E-3</v>
      </c>
      <c r="F822" s="9">
        <f t="shared" si="37"/>
        <v>6.6947053064878401E-2</v>
      </c>
      <c r="G822" s="9">
        <f t="shared" si="38"/>
        <v>9.7163380140355207E-3</v>
      </c>
    </row>
    <row r="823" spans="1:7" x14ac:dyDescent="0.2">
      <c r="A823" s="11">
        <v>36264</v>
      </c>
      <c r="B823" s="10">
        <v>113.622</v>
      </c>
      <c r="E823" s="13">
        <f t="shared" si="36"/>
        <v>1.976040607806612E-3</v>
      </c>
      <c r="F823" s="9">
        <f t="shared" si="37"/>
        <v>6.5355832978596068E-2</v>
      </c>
      <c r="G823" s="9">
        <f t="shared" si="38"/>
        <v>9.7134683467210194E-3</v>
      </c>
    </row>
    <row r="824" spans="1:7" x14ac:dyDescent="0.2">
      <c r="A824" s="11">
        <v>36265</v>
      </c>
      <c r="B824" s="10">
        <v>114.9134</v>
      </c>
      <c r="E824" s="13">
        <f t="shared" si="36"/>
        <v>1.130165169650179E-2</v>
      </c>
      <c r="F824" s="9">
        <f t="shared" si="37"/>
        <v>7.6232896903985867E-2</v>
      </c>
      <c r="G824" s="9">
        <f t="shared" si="38"/>
        <v>9.8493696150299941E-3</v>
      </c>
    </row>
    <row r="825" spans="1:7" x14ac:dyDescent="0.2">
      <c r="A825" s="11">
        <v>36266</v>
      </c>
      <c r="B825" s="10">
        <v>116.01819999999999</v>
      </c>
      <c r="E825" s="13">
        <f t="shared" si="36"/>
        <v>9.5682741457873231E-3</v>
      </c>
      <c r="F825" s="9">
        <f t="shared" si="37"/>
        <v>6.8459722923145408E-2</v>
      </c>
      <c r="G825" s="9">
        <f t="shared" si="38"/>
        <v>9.5354448119938182E-3</v>
      </c>
    </row>
    <row r="826" spans="1:7" x14ac:dyDescent="0.2">
      <c r="A826" s="11">
        <v>36269</v>
      </c>
      <c r="B826" s="10">
        <v>120.2713</v>
      </c>
      <c r="E826" s="13">
        <f t="shared" si="36"/>
        <v>3.6002948926050264E-2</v>
      </c>
      <c r="F826" s="9">
        <f t="shared" si="37"/>
        <v>0.10629097539486181</v>
      </c>
      <c r="G826" s="9">
        <f t="shared" si="38"/>
        <v>1.1355921417298727E-2</v>
      </c>
    </row>
    <row r="827" spans="1:7" x14ac:dyDescent="0.2">
      <c r="A827" s="11">
        <v>36270</v>
      </c>
      <c r="B827" s="10">
        <v>118.9931</v>
      </c>
      <c r="E827" s="13">
        <f t="shared" si="36"/>
        <v>-1.0684516040000579E-2</v>
      </c>
      <c r="F827" s="9">
        <f t="shared" si="37"/>
        <v>7.2804609238456344E-2</v>
      </c>
      <c r="G827" s="9">
        <f t="shared" si="38"/>
        <v>1.1038619267018024E-2</v>
      </c>
    </row>
    <row r="828" spans="1:7" x14ac:dyDescent="0.2">
      <c r="A828" s="11">
        <v>36271</v>
      </c>
      <c r="B828" s="10">
        <v>119.044</v>
      </c>
      <c r="E828" s="13">
        <f t="shared" si="36"/>
        <v>4.2766443361811062E-4</v>
      </c>
      <c r="F828" s="9">
        <f t="shared" si="37"/>
        <v>7.9077354416056289E-2</v>
      </c>
      <c r="G828" s="9">
        <f t="shared" si="38"/>
        <v>1.0929966755337082E-2</v>
      </c>
    </row>
    <row r="829" spans="1:7" x14ac:dyDescent="0.2">
      <c r="A829" s="11">
        <v>36272</v>
      </c>
      <c r="B829" s="10">
        <v>122.68819999999999</v>
      </c>
      <c r="E829" s="13">
        <f t="shared" si="36"/>
        <v>3.015300490234887E-2</v>
      </c>
      <c r="F829" s="9">
        <f t="shared" si="37"/>
        <v>0.11288727329120635</v>
      </c>
      <c r="G829" s="9">
        <f t="shared" si="38"/>
        <v>1.1977693248360222E-2</v>
      </c>
    </row>
    <row r="830" spans="1:7" x14ac:dyDescent="0.2">
      <c r="A830" s="11">
        <v>36273</v>
      </c>
      <c r="B830" s="10">
        <v>122.79559999999999</v>
      </c>
      <c r="E830" s="13">
        <f t="shared" si="36"/>
        <v>8.7500687908887191E-4</v>
      </c>
      <c r="F830" s="9">
        <f t="shared" si="37"/>
        <v>0.10361333742623091</v>
      </c>
      <c r="G830" s="9">
        <f t="shared" si="38"/>
        <v>1.1928392475015596E-2</v>
      </c>
    </row>
    <row r="831" spans="1:7" x14ac:dyDescent="0.2">
      <c r="A831" s="11">
        <v>36276</v>
      </c>
      <c r="B831" s="10">
        <v>121.79649999999999</v>
      </c>
      <c r="E831" s="13">
        <f t="shared" si="36"/>
        <v>-8.1695652214810541E-3</v>
      </c>
      <c r="F831" s="9">
        <f t="shared" si="37"/>
        <v>8.1257903173430845E-2</v>
      </c>
      <c r="G831" s="9">
        <f t="shared" si="38"/>
        <v>1.1940386491897282E-2</v>
      </c>
    </row>
    <row r="832" spans="1:7" x14ac:dyDescent="0.2">
      <c r="A832" s="11">
        <v>36277</v>
      </c>
      <c r="B832" s="10">
        <v>122.0792</v>
      </c>
      <c r="E832" s="13">
        <f t="shared" si="36"/>
        <v>2.3183952039912063E-3</v>
      </c>
      <c r="F832" s="9">
        <f t="shared" si="37"/>
        <v>6.1656246688271375E-2</v>
      </c>
      <c r="G832" s="9">
        <f t="shared" si="38"/>
        <v>1.1360212420491372E-2</v>
      </c>
    </row>
    <row r="833" spans="1:7" x14ac:dyDescent="0.2">
      <c r="A833" s="11">
        <v>36278</v>
      </c>
      <c r="B833" s="10">
        <v>121.2629</v>
      </c>
      <c r="E833" s="13">
        <f t="shared" si="36"/>
        <v>-6.7090985237589773E-3</v>
      </c>
      <c r="F833" s="9">
        <f t="shared" si="37"/>
        <v>6.7592587581357069E-2</v>
      </c>
      <c r="G833" s="9">
        <f t="shared" si="38"/>
        <v>1.1135803552072847E-2</v>
      </c>
    </row>
    <row r="834" spans="1:7" x14ac:dyDescent="0.2">
      <c r="A834" s="11">
        <v>36279</v>
      </c>
      <c r="B834" s="10">
        <v>122.2282</v>
      </c>
      <c r="E834" s="13">
        <f t="shared" si="36"/>
        <v>7.9288734341721925E-3</v>
      </c>
      <c r="F834" s="9">
        <f t="shared" si="37"/>
        <v>8.1510917755987788E-2</v>
      </c>
      <c r="G834" s="9">
        <f t="shared" si="38"/>
        <v>1.1064104969522013E-2</v>
      </c>
    </row>
    <row r="835" spans="1:7" x14ac:dyDescent="0.2">
      <c r="A835" s="11">
        <v>36280</v>
      </c>
      <c r="B835" s="10">
        <v>122.52979999999999</v>
      </c>
      <c r="E835" s="13">
        <f t="shared" si="36"/>
        <v>2.4644763615562382E-3</v>
      </c>
      <c r="F835" s="9">
        <f t="shared" si="37"/>
        <v>8.3439413762058018E-2</v>
      </c>
      <c r="G835" s="9">
        <f t="shared" si="38"/>
        <v>1.1055736908002855E-2</v>
      </c>
    </row>
    <row r="836" spans="1:7" x14ac:dyDescent="0.2">
      <c r="A836" s="11">
        <v>36283</v>
      </c>
      <c r="B836" s="10">
        <v>123.7684</v>
      </c>
      <c r="E836" s="13">
        <f t="shared" ref="E836:E899" si="39">LN(B836/B835)</f>
        <v>1.005781155799247E-2</v>
      </c>
      <c r="F836" s="9">
        <f t="shared" si="37"/>
        <v>9.0058353507441069E-2</v>
      </c>
      <c r="G836" s="9">
        <f t="shared" si="38"/>
        <v>1.1135778318072666E-2</v>
      </c>
    </row>
    <row r="837" spans="1:7" x14ac:dyDescent="0.2">
      <c r="A837" s="11">
        <v>36284</v>
      </c>
      <c r="B837" s="10">
        <v>126.05710000000001</v>
      </c>
      <c r="E837" s="13">
        <f t="shared" si="39"/>
        <v>1.8322901637364386E-2</v>
      </c>
      <c r="F837" s="9">
        <f t="shared" si="37"/>
        <v>0.10251480178594936</v>
      </c>
      <c r="G837" s="9">
        <f t="shared" si="38"/>
        <v>1.1480966589444161E-2</v>
      </c>
    </row>
    <row r="838" spans="1:7" x14ac:dyDescent="0.2">
      <c r="A838" s="11">
        <v>36285</v>
      </c>
      <c r="B838" s="10">
        <v>125.6292</v>
      </c>
      <c r="E838" s="13">
        <f t="shared" si="39"/>
        <v>-3.4002678117577533E-3</v>
      </c>
      <c r="F838" s="9">
        <f t="shared" si="37"/>
        <v>0.11084826503526544</v>
      </c>
      <c r="G838" s="9">
        <f t="shared" si="38"/>
        <v>1.1185644214516916E-2</v>
      </c>
    </row>
    <row r="839" spans="1:7" x14ac:dyDescent="0.2">
      <c r="A839" s="11">
        <v>36286</v>
      </c>
      <c r="B839" s="10">
        <v>124.2812</v>
      </c>
      <c r="E839" s="13">
        <f t="shared" si="39"/>
        <v>-1.0787970995714666E-2</v>
      </c>
      <c r="F839" s="9">
        <f t="shared" si="37"/>
        <v>0.10419341510512246</v>
      </c>
      <c r="G839" s="9">
        <f t="shared" si="38"/>
        <v>1.1420480812153341E-2</v>
      </c>
    </row>
    <row r="840" spans="1:7" x14ac:dyDescent="0.2">
      <c r="A840" s="11">
        <v>36287</v>
      </c>
      <c r="B840" s="10">
        <v>121.7889</v>
      </c>
      <c r="E840" s="13">
        <f t="shared" si="39"/>
        <v>-2.0257521976575748E-2</v>
      </c>
      <c r="F840" s="9">
        <f t="shared" si="37"/>
        <v>9.3901110187543727E-2</v>
      </c>
      <c r="G840" s="9">
        <f t="shared" si="38"/>
        <v>1.2001984192872042E-2</v>
      </c>
    </row>
    <row r="841" spans="1:7" x14ac:dyDescent="0.2">
      <c r="A841" s="11">
        <v>36290</v>
      </c>
      <c r="B841" s="10">
        <v>123.8929</v>
      </c>
      <c r="E841" s="13">
        <f t="shared" si="39"/>
        <v>1.712826459749469E-2</v>
      </c>
      <c r="F841" s="9">
        <f t="shared" si="37"/>
        <v>9.8726373274220042E-2</v>
      </c>
      <c r="G841" s="9">
        <f t="shared" si="38"/>
        <v>1.2164491819627015E-2</v>
      </c>
    </row>
    <row r="842" spans="1:7" x14ac:dyDescent="0.2">
      <c r="A842" s="11">
        <v>36291</v>
      </c>
      <c r="B842" s="10">
        <v>123.923</v>
      </c>
      <c r="E842" s="13">
        <f t="shared" si="39"/>
        <v>2.4292226728002324E-4</v>
      </c>
      <c r="F842" s="9">
        <f t="shared" si="37"/>
        <v>0.10476354887662588</v>
      </c>
      <c r="G842" s="9">
        <f t="shared" si="38"/>
        <v>1.2052592390806282E-2</v>
      </c>
    </row>
    <row r="843" spans="1:7" x14ac:dyDescent="0.2">
      <c r="A843" s="11">
        <v>36292</v>
      </c>
      <c r="B843" s="10">
        <v>120.85760000000001</v>
      </c>
      <c r="E843" s="13">
        <f t="shared" si="39"/>
        <v>-2.5047411933114227E-2</v>
      </c>
      <c r="F843" s="9">
        <f t="shared" si="37"/>
        <v>5.9431728477939788E-2</v>
      </c>
      <c r="G843" s="9">
        <f t="shared" si="38"/>
        <v>1.2733532309823232E-2</v>
      </c>
    </row>
    <row r="844" spans="1:7" x14ac:dyDescent="0.2">
      <c r="A844" s="11">
        <v>36294</v>
      </c>
      <c r="B844" s="10">
        <v>119.4418</v>
      </c>
      <c r="E844" s="13">
        <f t="shared" si="39"/>
        <v>-1.1783769604089521E-2</v>
      </c>
      <c r="F844" s="9">
        <f t="shared" si="37"/>
        <v>4.7217789415568964E-2</v>
      </c>
      <c r="G844" s="9">
        <f t="shared" si="38"/>
        <v>1.2988441913440464E-2</v>
      </c>
    </row>
    <row r="845" spans="1:7" x14ac:dyDescent="0.2">
      <c r="A845" s="11">
        <v>36298</v>
      </c>
      <c r="B845" s="10">
        <v>119.9131</v>
      </c>
      <c r="E845" s="13">
        <f t="shared" si="39"/>
        <v>3.9380903344645585E-3</v>
      </c>
      <c r="F845" s="9">
        <f t="shared" si="37"/>
        <v>5.3459002724148295E-2</v>
      </c>
      <c r="G845" s="9">
        <f t="shared" si="38"/>
        <v>1.297267258649513E-2</v>
      </c>
    </row>
    <row r="846" spans="1:7" x14ac:dyDescent="0.2">
      <c r="A846" s="11">
        <v>36299</v>
      </c>
      <c r="B846" s="10">
        <v>119.95269999999999</v>
      </c>
      <c r="E846" s="13">
        <f t="shared" si="39"/>
        <v>3.3018463123756902E-4</v>
      </c>
      <c r="F846" s="9">
        <f t="shared" si="37"/>
        <v>5.2164762974286238E-2</v>
      </c>
      <c r="G846" s="9">
        <f t="shared" si="38"/>
        <v>1.2975678758500128E-2</v>
      </c>
    </row>
    <row r="847" spans="1:7" x14ac:dyDescent="0.2">
      <c r="A847" s="11">
        <v>36300</v>
      </c>
      <c r="B847" s="10">
        <v>121.65689999999999</v>
      </c>
      <c r="E847" s="13">
        <f t="shared" si="39"/>
        <v>1.4107289308372193E-2</v>
      </c>
      <c r="F847" s="9">
        <f t="shared" si="37"/>
        <v>6.9141191847222547E-2</v>
      </c>
      <c r="G847" s="9">
        <f t="shared" si="38"/>
        <v>1.3139475090734836E-2</v>
      </c>
    </row>
    <row r="848" spans="1:7" x14ac:dyDescent="0.2">
      <c r="A848" s="11">
        <v>36301</v>
      </c>
      <c r="B848" s="10">
        <v>122.35639999999999</v>
      </c>
      <c r="E848" s="13">
        <f t="shared" si="39"/>
        <v>5.7333097506983262E-3</v>
      </c>
      <c r="F848" s="9">
        <f t="shared" si="37"/>
        <v>7.5471881075877115E-2</v>
      </c>
      <c r="G848" s="9">
        <f t="shared" si="38"/>
        <v>1.3140759323613554E-2</v>
      </c>
    </row>
    <row r="849" spans="1:7" x14ac:dyDescent="0.2">
      <c r="A849" s="11">
        <v>36305</v>
      </c>
      <c r="B849" s="10">
        <v>120.6088</v>
      </c>
      <c r="E849" s="13">
        <f t="shared" si="39"/>
        <v>-1.4385847348456339E-2</v>
      </c>
      <c r="F849" s="9">
        <f t="shared" si="37"/>
        <v>5.7735457528721557E-2</v>
      </c>
      <c r="G849" s="9">
        <f t="shared" si="38"/>
        <v>1.3512194910461801E-2</v>
      </c>
    </row>
    <row r="850" spans="1:7" x14ac:dyDescent="0.2">
      <c r="A850" s="11">
        <v>36306</v>
      </c>
      <c r="B850" s="10">
        <v>120.8142</v>
      </c>
      <c r="E850" s="13">
        <f t="shared" si="39"/>
        <v>1.7015781392746066E-3</v>
      </c>
      <c r="F850" s="9">
        <f t="shared" si="37"/>
        <v>6.0945517205274705E-2</v>
      </c>
      <c r="G850" s="9">
        <f t="shared" si="38"/>
        <v>1.3495642640148226E-2</v>
      </c>
    </row>
    <row r="851" spans="1:7" x14ac:dyDescent="0.2">
      <c r="A851" s="11">
        <v>36307</v>
      </c>
      <c r="B851" s="10">
        <v>120.1563</v>
      </c>
      <c r="E851" s="13">
        <f t="shared" si="39"/>
        <v>-5.4604329963990582E-3</v>
      </c>
      <c r="F851" s="9">
        <f t="shared" si="37"/>
        <v>5.7892286363752272E-2</v>
      </c>
      <c r="G851" s="9">
        <f t="shared" si="38"/>
        <v>1.3543896585392286E-2</v>
      </c>
    </row>
    <row r="852" spans="1:7" x14ac:dyDescent="0.2">
      <c r="A852" s="11">
        <v>36308</v>
      </c>
      <c r="B852" s="10">
        <v>120.6163</v>
      </c>
      <c r="E852" s="13">
        <f t="shared" si="39"/>
        <v>3.8210374409634613E-3</v>
      </c>
      <c r="F852" s="9">
        <f t="shared" si="37"/>
        <v>5.9737283196909088E-2</v>
      </c>
      <c r="G852" s="9">
        <f t="shared" si="38"/>
        <v>1.354813073715601E-2</v>
      </c>
    </row>
    <row r="853" spans="1:7" x14ac:dyDescent="0.2">
      <c r="A853" s="11">
        <v>36311</v>
      </c>
      <c r="B853" s="10">
        <v>121.7022</v>
      </c>
      <c r="E853" s="13">
        <f t="shared" si="39"/>
        <v>8.9626443634706569E-3</v>
      </c>
      <c r="F853" s="9">
        <f t="shared" si="37"/>
        <v>5.7398275863878016E-2</v>
      </c>
      <c r="G853" s="9">
        <f t="shared" si="38"/>
        <v>1.3498017026900802E-2</v>
      </c>
    </row>
    <row r="854" spans="1:7" x14ac:dyDescent="0.2">
      <c r="A854" s="11">
        <v>36312</v>
      </c>
      <c r="B854" s="10">
        <v>122.7372</v>
      </c>
      <c r="E854" s="13">
        <f t="shared" si="39"/>
        <v>8.4684071824610244E-3</v>
      </c>
      <c r="F854" s="9">
        <f t="shared" si="37"/>
        <v>5.6298408900551752E-2</v>
      </c>
      <c r="G854" s="9">
        <f t="shared" si="38"/>
        <v>1.3477461534787835E-2</v>
      </c>
    </row>
    <row r="855" spans="1:7" x14ac:dyDescent="0.2">
      <c r="A855" s="11">
        <v>36313</v>
      </c>
      <c r="B855" s="10">
        <v>122.83329999999999</v>
      </c>
      <c r="E855" s="13">
        <f t="shared" si="39"/>
        <v>7.82667339160444E-4</v>
      </c>
      <c r="F855" s="9">
        <f t="shared" si="37"/>
        <v>2.1078127313661845E-2</v>
      </c>
      <c r="G855" s="9">
        <f t="shared" si="38"/>
        <v>1.1778231435684076E-2</v>
      </c>
    </row>
    <row r="856" spans="1:7" x14ac:dyDescent="0.2">
      <c r="A856" s="11">
        <v>36314</v>
      </c>
      <c r="B856" s="10">
        <v>122.02460000000001</v>
      </c>
      <c r="E856" s="13">
        <f t="shared" si="39"/>
        <v>-6.6054878397853621E-3</v>
      </c>
      <c r="F856" s="9">
        <f t="shared" si="37"/>
        <v>2.5157155513876872E-2</v>
      </c>
      <c r="G856" s="9">
        <f t="shared" si="38"/>
        <v>1.1660860834165454E-2</v>
      </c>
    </row>
    <row r="857" spans="1:7" x14ac:dyDescent="0.2">
      <c r="A857" s="11">
        <v>36315</v>
      </c>
      <c r="B857" s="10">
        <v>121.6871</v>
      </c>
      <c r="E857" s="13">
        <f t="shared" si="39"/>
        <v>-2.7696677323947013E-3</v>
      </c>
      <c r="F857" s="9">
        <f t="shared" si="37"/>
        <v>2.1959823347864213E-2</v>
      </c>
      <c r="G857" s="9">
        <f t="shared" si="38"/>
        <v>1.1680267019211606E-2</v>
      </c>
    </row>
    <row r="858" spans="1:7" x14ac:dyDescent="0.2">
      <c r="A858" s="11">
        <v>36318</v>
      </c>
      <c r="B858" s="10">
        <v>121.84739999999999</v>
      </c>
      <c r="E858" s="13">
        <f t="shared" si="39"/>
        <v>1.3164461146194222E-3</v>
      </c>
      <c r="F858" s="9">
        <f t="shared" si="37"/>
        <v>-6.8767354398651878E-3</v>
      </c>
      <c r="G858" s="9">
        <f t="shared" si="38"/>
        <v>1.022519517929049E-2</v>
      </c>
    </row>
    <row r="859" spans="1:7" x14ac:dyDescent="0.2">
      <c r="A859" s="11">
        <v>36319</v>
      </c>
      <c r="B859" s="10">
        <v>122.4883</v>
      </c>
      <c r="E859" s="13">
        <f t="shared" si="39"/>
        <v>5.2460730860465991E-3</v>
      </c>
      <c r="F859" s="9">
        <f t="shared" si="37"/>
        <v>-2.5056692329075117E-3</v>
      </c>
      <c r="G859" s="9">
        <f t="shared" si="38"/>
        <v>1.0274272798024134E-2</v>
      </c>
    </row>
    <row r="860" spans="1:7" x14ac:dyDescent="0.2">
      <c r="A860" s="11">
        <v>36320</v>
      </c>
      <c r="B860" s="10">
        <v>122.9785</v>
      </c>
      <c r="E860" s="13">
        <f t="shared" si="39"/>
        <v>3.9940281264079711E-3</v>
      </c>
      <c r="F860" s="9">
        <f t="shared" si="37"/>
        <v>9.6579241149814758E-3</v>
      </c>
      <c r="G860" s="9">
        <f t="shared" si="38"/>
        <v>1.0180355113912519E-2</v>
      </c>
    </row>
    <row r="861" spans="1:7" x14ac:dyDescent="0.2">
      <c r="A861" s="11">
        <v>36321</v>
      </c>
      <c r="B861" s="10">
        <v>123.67789999999999</v>
      </c>
      <c r="E861" s="13">
        <f t="shared" si="39"/>
        <v>5.6710620478209088E-3</v>
      </c>
      <c r="F861" s="9">
        <f t="shared" si="37"/>
        <v>1.301059095881101E-2</v>
      </c>
      <c r="G861" s="9">
        <f t="shared" si="38"/>
        <v>1.0222655068822506E-2</v>
      </c>
    </row>
    <row r="862" spans="1:7" x14ac:dyDescent="0.2">
      <c r="A862" s="11">
        <v>36322</v>
      </c>
      <c r="B862" s="10">
        <v>123.37439999999999</v>
      </c>
      <c r="E862" s="13">
        <f t="shared" si="39"/>
        <v>-2.4569708736031995E-3</v>
      </c>
      <c r="F862" s="9">
        <f t="shared" si="37"/>
        <v>1.7262718608966863E-2</v>
      </c>
      <c r="G862" s="9">
        <f t="shared" si="38"/>
        <v>1.0146534986426517E-2</v>
      </c>
    </row>
    <row r="863" spans="1:7" x14ac:dyDescent="0.2">
      <c r="A863" s="11">
        <v>36325</v>
      </c>
      <c r="B863" s="10">
        <v>122.9974</v>
      </c>
      <c r="E863" s="13">
        <f t="shared" si="39"/>
        <v>-3.0604175823153398E-3</v>
      </c>
      <c r="F863" s="9">
        <f t="shared" si="37"/>
        <v>6.2734275924791168E-3</v>
      </c>
      <c r="G863" s="9">
        <f t="shared" si="38"/>
        <v>1.0067768153722545E-2</v>
      </c>
    </row>
    <row r="864" spans="1:7" x14ac:dyDescent="0.2">
      <c r="A864" s="11">
        <v>36326</v>
      </c>
      <c r="B864" s="10">
        <v>123.30840000000001</v>
      </c>
      <c r="E864" s="13">
        <f t="shared" si="39"/>
        <v>2.5253174328536358E-3</v>
      </c>
      <c r="F864" s="9">
        <f t="shared" ref="F864:F927" si="40">LN(B864/B835)</f>
        <v>6.3342686637765716E-3</v>
      </c>
      <c r="G864" s="9">
        <f t="shared" si="38"/>
        <v>1.0068259692462261E-2</v>
      </c>
    </row>
    <row r="865" spans="1:7" x14ac:dyDescent="0.2">
      <c r="A865" s="11">
        <v>36327</v>
      </c>
      <c r="B865" s="10">
        <v>123.8797</v>
      </c>
      <c r="E865" s="13">
        <f t="shared" si="39"/>
        <v>4.6223990331780438E-3</v>
      </c>
      <c r="F865" s="9">
        <f t="shared" si="40"/>
        <v>8.9885613896231904E-4</v>
      </c>
      <c r="G865" s="9">
        <f t="shared" ref="G865:G928" si="41">STDEV(E837:E865)</f>
        <v>9.9281680447753443E-3</v>
      </c>
    </row>
    <row r="866" spans="1:7" x14ac:dyDescent="0.2">
      <c r="A866" s="11">
        <v>36328</v>
      </c>
      <c r="B866" s="10">
        <v>123.0596</v>
      </c>
      <c r="E866" s="13">
        <f t="shared" si="39"/>
        <v>-6.642142543526821E-3</v>
      </c>
      <c r="F866" s="9">
        <f t="shared" si="40"/>
        <v>-2.4066188041928945E-2</v>
      </c>
      <c r="G866" s="9">
        <f t="shared" si="41"/>
        <v>9.3510198085843023E-3</v>
      </c>
    </row>
    <row r="867" spans="1:7" x14ac:dyDescent="0.2">
      <c r="A867" s="11">
        <v>36329</v>
      </c>
      <c r="B867" s="10">
        <v>122.756</v>
      </c>
      <c r="E867" s="13">
        <f t="shared" si="39"/>
        <v>-2.4701455430082529E-3</v>
      </c>
      <c r="F867" s="9">
        <f t="shared" si="40"/>
        <v>-2.3136065773179403E-2</v>
      </c>
      <c r="G867" s="9">
        <f t="shared" si="41"/>
        <v>9.3434807776204137E-3</v>
      </c>
    </row>
    <row r="868" spans="1:7" x14ac:dyDescent="0.2">
      <c r="A868" s="11">
        <v>36332</v>
      </c>
      <c r="B868" s="10">
        <v>122.8126</v>
      </c>
      <c r="E868" s="13">
        <f t="shared" si="39"/>
        <v>4.6097099549599472E-4</v>
      </c>
      <c r="F868" s="9">
        <f t="shared" si="40"/>
        <v>-1.1887123781968843E-2</v>
      </c>
      <c r="G868" s="9">
        <f t="shared" si="41"/>
        <v>9.1453251243179632E-3</v>
      </c>
    </row>
    <row r="869" spans="1:7" x14ac:dyDescent="0.2">
      <c r="A869" s="11">
        <v>36333</v>
      </c>
      <c r="B869" s="10">
        <v>122.8899</v>
      </c>
      <c r="E869" s="13">
        <f t="shared" si="39"/>
        <v>6.2921624770058025E-4</v>
      </c>
      <c r="F869" s="9">
        <f t="shared" si="40"/>
        <v>8.9996144423074333E-3</v>
      </c>
      <c r="G869" s="9">
        <f t="shared" si="41"/>
        <v>8.3108010610228218E-3</v>
      </c>
    </row>
    <row r="870" spans="1:7" x14ac:dyDescent="0.2">
      <c r="A870" s="11">
        <v>36334</v>
      </c>
      <c r="B870" s="10">
        <v>121.41379999999999</v>
      </c>
      <c r="E870" s="13">
        <f t="shared" si="39"/>
        <v>-1.2084286589691722E-2</v>
      </c>
      <c r="F870" s="9">
        <f t="shared" si="40"/>
        <v>-2.0212936744878972E-2</v>
      </c>
      <c r="G870" s="9">
        <f t="shared" si="41"/>
        <v>7.9626373621351811E-3</v>
      </c>
    </row>
    <row r="871" spans="1:7" x14ac:dyDescent="0.2">
      <c r="A871" s="11">
        <v>36335</v>
      </c>
      <c r="B871" s="10">
        <v>120.6992</v>
      </c>
      <c r="E871" s="13">
        <f t="shared" si="39"/>
        <v>-5.9030458924151522E-3</v>
      </c>
      <c r="F871" s="9">
        <f t="shared" si="40"/>
        <v>-2.6358904904574109E-2</v>
      </c>
      <c r="G871" s="9">
        <f t="shared" si="41"/>
        <v>8.0183218707421972E-3</v>
      </c>
    </row>
    <row r="872" spans="1:7" x14ac:dyDescent="0.2">
      <c r="A872" s="11">
        <v>36336</v>
      </c>
      <c r="B872" s="10">
        <v>118.4671</v>
      </c>
      <c r="E872" s="13">
        <f t="shared" si="39"/>
        <v>-1.8666215182145715E-2</v>
      </c>
      <c r="F872" s="9">
        <f t="shared" si="40"/>
        <v>-1.9977708153605625E-2</v>
      </c>
      <c r="G872" s="9">
        <f t="shared" si="41"/>
        <v>7.3956268670281244E-3</v>
      </c>
    </row>
    <row r="873" spans="1:7" x14ac:dyDescent="0.2">
      <c r="A873" s="11">
        <v>36339</v>
      </c>
      <c r="B873" s="10">
        <v>119.7302</v>
      </c>
      <c r="E873" s="13">
        <f t="shared" si="39"/>
        <v>1.0605593256419247E-2</v>
      </c>
      <c r="F873" s="9">
        <f t="shared" si="40"/>
        <v>2.4116547069033376E-3</v>
      </c>
      <c r="G873" s="9">
        <f t="shared" si="41"/>
        <v>7.364614988956711E-3</v>
      </c>
    </row>
    <row r="874" spans="1:7" x14ac:dyDescent="0.2">
      <c r="A874" s="11">
        <v>36340</v>
      </c>
      <c r="B874" s="10">
        <v>120.3335</v>
      </c>
      <c r="E874" s="13">
        <f t="shared" si="39"/>
        <v>5.0261765528830053E-3</v>
      </c>
      <c r="F874" s="9">
        <f t="shared" si="40"/>
        <v>3.4997409253217674E-3</v>
      </c>
      <c r="G874" s="9">
        <f t="shared" si="41"/>
        <v>7.3876915218647398E-3</v>
      </c>
    </row>
    <row r="875" spans="1:7" x14ac:dyDescent="0.2">
      <c r="A875" s="11">
        <v>36341</v>
      </c>
      <c r="B875" s="10">
        <v>120.34480000000001</v>
      </c>
      <c r="E875" s="13">
        <f t="shared" si="39"/>
        <v>9.3901278248179971E-5</v>
      </c>
      <c r="F875" s="9">
        <f t="shared" si="40"/>
        <v>3.2634575723324479E-3</v>
      </c>
      <c r="G875" s="9">
        <f t="shared" si="41"/>
        <v>7.3875825078946024E-3</v>
      </c>
    </row>
    <row r="876" spans="1:7" x14ac:dyDescent="0.2">
      <c r="A876" s="11">
        <v>36342</v>
      </c>
      <c r="B876" s="10">
        <v>121.76819999999999</v>
      </c>
      <c r="E876" s="13">
        <f t="shared" si="39"/>
        <v>1.1758281460048531E-2</v>
      </c>
      <c r="F876" s="9">
        <f t="shared" si="40"/>
        <v>9.1444972400883781E-4</v>
      </c>
      <c r="G876" s="9">
        <f t="shared" si="41"/>
        <v>7.2400633669087045E-3</v>
      </c>
    </row>
    <row r="877" spans="1:7" x14ac:dyDescent="0.2">
      <c r="A877" s="11">
        <v>36343</v>
      </c>
      <c r="B877" s="10">
        <v>121.55889999999999</v>
      </c>
      <c r="E877" s="13">
        <f t="shared" si="39"/>
        <v>-1.7203184652965502E-3</v>
      </c>
      <c r="F877" s="9">
        <f t="shared" si="40"/>
        <v>-6.5391784919860245E-3</v>
      </c>
      <c r="G877" s="9">
        <f t="shared" si="41"/>
        <v>7.1623057674405702E-3</v>
      </c>
    </row>
    <row r="878" spans="1:7" x14ac:dyDescent="0.2">
      <c r="A878" s="11">
        <v>36346</v>
      </c>
      <c r="B878" s="10">
        <v>123.4423</v>
      </c>
      <c r="E878" s="13">
        <f t="shared" si="39"/>
        <v>1.5374921436982856E-2</v>
      </c>
      <c r="F878" s="9">
        <f t="shared" si="40"/>
        <v>2.3221590293453449E-2</v>
      </c>
      <c r="G878" s="9">
        <f t="shared" si="41"/>
        <v>7.1929455181228988E-3</v>
      </c>
    </row>
    <row r="879" spans="1:7" x14ac:dyDescent="0.2">
      <c r="A879" s="11">
        <v>36347</v>
      </c>
      <c r="B879" s="10">
        <v>122.6147</v>
      </c>
      <c r="E879" s="13">
        <f t="shared" si="39"/>
        <v>-6.7269219802024794E-3</v>
      </c>
      <c r="F879" s="9">
        <f t="shared" si="40"/>
        <v>1.479309017397617E-2</v>
      </c>
      <c r="G879" s="9">
        <f t="shared" si="41"/>
        <v>7.324327481920005E-3</v>
      </c>
    </row>
    <row r="880" spans="1:7" x14ac:dyDescent="0.2">
      <c r="A880" s="11">
        <v>36348</v>
      </c>
      <c r="B880" s="10">
        <v>122.9427</v>
      </c>
      <c r="E880" s="13">
        <f t="shared" si="39"/>
        <v>2.6714747352097937E-3</v>
      </c>
      <c r="F880" s="9">
        <f t="shared" si="40"/>
        <v>2.2924997905585102E-2</v>
      </c>
      <c r="G880" s="9">
        <f t="shared" si="41"/>
        <v>7.2427933205546791E-3</v>
      </c>
    </row>
    <row r="881" spans="1:7" x14ac:dyDescent="0.2">
      <c r="A881" s="11">
        <v>36349</v>
      </c>
      <c r="B881" s="10">
        <v>123.08969999999999</v>
      </c>
      <c r="E881" s="13">
        <f t="shared" si="39"/>
        <v>1.1949647078373649E-3</v>
      </c>
      <c r="F881" s="9">
        <f t="shared" si="40"/>
        <v>2.0298925172458876E-2</v>
      </c>
      <c r="G881" s="9">
        <f t="shared" si="41"/>
        <v>7.2199309084875147E-3</v>
      </c>
    </row>
    <row r="882" spans="1:7" x14ac:dyDescent="0.2">
      <c r="A882" s="11">
        <v>36350</v>
      </c>
      <c r="B882" s="10">
        <v>124.28879999999999</v>
      </c>
      <c r="E882" s="13">
        <f t="shared" si="39"/>
        <v>9.6945319931322927E-3</v>
      </c>
      <c r="F882" s="9">
        <f t="shared" si="40"/>
        <v>2.1030812802120758E-2</v>
      </c>
      <c r="G882" s="9">
        <f t="shared" si="41"/>
        <v>7.2510569726720936E-3</v>
      </c>
    </row>
    <row r="883" spans="1:7" x14ac:dyDescent="0.2">
      <c r="A883" s="11">
        <v>36353</v>
      </c>
      <c r="B883" s="10">
        <v>125.0598</v>
      </c>
      <c r="E883" s="13">
        <f t="shared" si="39"/>
        <v>6.184133034181063E-3</v>
      </c>
      <c r="F883" s="9">
        <f t="shared" si="40"/>
        <v>1.8746538653840929E-2</v>
      </c>
      <c r="G883" s="9">
        <f t="shared" si="41"/>
        <v>7.1759567025908785E-3</v>
      </c>
    </row>
    <row r="884" spans="1:7" x14ac:dyDescent="0.2">
      <c r="A884" s="11">
        <v>36354</v>
      </c>
      <c r="B884" s="10">
        <v>123.6289</v>
      </c>
      <c r="E884" s="13">
        <f t="shared" si="39"/>
        <v>-1.1507686443035936E-2</v>
      </c>
      <c r="F884" s="9">
        <f t="shared" si="40"/>
        <v>6.4561848716445901E-3</v>
      </c>
      <c r="G884" s="9">
        <f t="shared" si="41"/>
        <v>7.5221987090408051E-3</v>
      </c>
    </row>
    <row r="885" spans="1:7" x14ac:dyDescent="0.2">
      <c r="A885" s="11">
        <v>36355</v>
      </c>
      <c r="B885" s="10">
        <v>125.961</v>
      </c>
      <c r="E885" s="13">
        <f t="shared" si="39"/>
        <v>1.8687998767104398E-2</v>
      </c>
      <c r="F885" s="9">
        <f t="shared" si="40"/>
        <v>3.1749671478534247E-2</v>
      </c>
      <c r="G885" s="9">
        <f t="shared" si="41"/>
        <v>8.1429710026479762E-3</v>
      </c>
    </row>
    <row r="886" spans="1:7" x14ac:dyDescent="0.2">
      <c r="A886" s="11">
        <v>36356</v>
      </c>
      <c r="B886" s="10">
        <v>127.8745</v>
      </c>
      <c r="E886" s="13">
        <f t="shared" si="39"/>
        <v>1.5076978966147004E-2</v>
      </c>
      <c r="F886" s="9">
        <f t="shared" si="40"/>
        <v>4.9596318177075986E-2</v>
      </c>
      <c r="G886" s="9">
        <f t="shared" si="41"/>
        <v>8.5067350026983811E-3</v>
      </c>
    </row>
    <row r="887" spans="1:7" x14ac:dyDescent="0.2">
      <c r="A887" s="11">
        <v>36357</v>
      </c>
      <c r="B887" s="10">
        <v>128.8511</v>
      </c>
      <c r="E887" s="13">
        <f t="shared" si="39"/>
        <v>7.6081599248089028E-3</v>
      </c>
      <c r="F887" s="9">
        <f t="shared" si="40"/>
        <v>5.5888031987265406E-2</v>
      </c>
      <c r="G887" s="9">
        <f t="shared" si="41"/>
        <v>8.5762811888174494E-3</v>
      </c>
    </row>
    <row r="888" spans="1:7" x14ac:dyDescent="0.2">
      <c r="A888" s="11">
        <v>36360</v>
      </c>
      <c r="B888" s="10">
        <v>128.6814</v>
      </c>
      <c r="E888" s="13">
        <f t="shared" si="39"/>
        <v>-1.3178921073015021E-3</v>
      </c>
      <c r="F888" s="9">
        <f t="shared" si="40"/>
        <v>4.9324066793917397E-2</v>
      </c>
      <c r="G888" s="9">
        <f t="shared" si="41"/>
        <v>8.5721776231782402E-3</v>
      </c>
    </row>
    <row r="889" spans="1:7" x14ac:dyDescent="0.2">
      <c r="A889" s="11">
        <v>36361</v>
      </c>
      <c r="B889" s="10">
        <v>125.7611</v>
      </c>
      <c r="E889" s="13">
        <f t="shared" si="39"/>
        <v>-2.2955506551245709E-2</v>
      </c>
      <c r="F889" s="9">
        <f t="shared" si="40"/>
        <v>2.2374532116263675E-2</v>
      </c>
      <c r="G889" s="9">
        <f t="shared" si="41"/>
        <v>9.7011312618547826E-3</v>
      </c>
    </row>
    <row r="890" spans="1:7" x14ac:dyDescent="0.2">
      <c r="A890" s="11">
        <v>36362</v>
      </c>
      <c r="B890" s="10">
        <v>124.8638</v>
      </c>
      <c r="E890" s="13">
        <f t="shared" si="39"/>
        <v>-7.1605322053144779E-3</v>
      </c>
      <c r="F890" s="9">
        <f t="shared" si="40"/>
        <v>9.542937863128282E-3</v>
      </c>
      <c r="G890" s="9">
        <f t="shared" si="41"/>
        <v>9.7621157279125619E-3</v>
      </c>
    </row>
    <row r="891" spans="1:7" x14ac:dyDescent="0.2">
      <c r="A891" s="11">
        <v>36363</v>
      </c>
      <c r="B891" s="10">
        <v>124.8411</v>
      </c>
      <c r="E891" s="13">
        <f t="shared" si="39"/>
        <v>-1.8181461447113048E-4</v>
      </c>
      <c r="F891" s="9">
        <f t="shared" si="40"/>
        <v>1.1818094122260365E-2</v>
      </c>
      <c r="G891" s="9">
        <f t="shared" si="41"/>
        <v>9.7480580429355583E-3</v>
      </c>
    </row>
    <row r="892" spans="1:7" x14ac:dyDescent="0.2">
      <c r="A892" s="11">
        <v>36364</v>
      </c>
      <c r="B892" s="10">
        <v>124.5376</v>
      </c>
      <c r="E892" s="13">
        <f t="shared" si="39"/>
        <v>-2.434050300551075E-3</v>
      </c>
      <c r="F892" s="9">
        <f t="shared" si="40"/>
        <v>1.2444461404024764E-2</v>
      </c>
      <c r="G892" s="9">
        <f t="shared" si="41"/>
        <v>9.7407908858605993E-3</v>
      </c>
    </row>
    <row r="893" spans="1:7" x14ac:dyDescent="0.2">
      <c r="A893" s="11">
        <v>36367</v>
      </c>
      <c r="B893" s="10">
        <v>123.3065</v>
      </c>
      <c r="E893" s="13">
        <f t="shared" si="39"/>
        <v>-9.9345526103087525E-3</v>
      </c>
      <c r="F893" s="9">
        <f t="shared" si="40"/>
        <v>-1.5408639137723285E-5</v>
      </c>
      <c r="G893" s="9">
        <f t="shared" si="41"/>
        <v>9.9182055851831461E-3</v>
      </c>
    </row>
    <row r="894" spans="1:7" x14ac:dyDescent="0.2">
      <c r="A894" s="11">
        <v>36368</v>
      </c>
      <c r="B894" s="10">
        <v>123.90600000000001</v>
      </c>
      <c r="E894" s="13">
        <f t="shared" si="39"/>
        <v>4.8500878813735951E-3</v>
      </c>
      <c r="F894" s="9">
        <f t="shared" si="40"/>
        <v>2.1228020905772582E-4</v>
      </c>
      <c r="G894" s="9">
        <f t="shared" si="41"/>
        <v>9.9220851976940787E-3</v>
      </c>
    </row>
    <row r="895" spans="1:7" x14ac:dyDescent="0.2">
      <c r="A895" s="11">
        <v>36369</v>
      </c>
      <c r="B895" s="10">
        <v>124.1266</v>
      </c>
      <c r="E895" s="13">
        <f t="shared" si="39"/>
        <v>1.7787989011699376E-3</v>
      </c>
      <c r="F895" s="9">
        <f t="shared" si="40"/>
        <v>8.6332216537546545E-3</v>
      </c>
      <c r="G895" s="9">
        <f t="shared" si="41"/>
        <v>9.8434445659834179E-3</v>
      </c>
    </row>
    <row r="896" spans="1:7" x14ac:dyDescent="0.2">
      <c r="A896" s="11">
        <v>36370</v>
      </c>
      <c r="B896" s="10">
        <v>122.40349999999999</v>
      </c>
      <c r="E896" s="13">
        <f t="shared" si="39"/>
        <v>-1.3979048073234888E-2</v>
      </c>
      <c r="F896" s="9">
        <f t="shared" si="40"/>
        <v>-2.8756808764720003E-3</v>
      </c>
      <c r="G896" s="9">
        <f t="shared" si="41"/>
        <v>1.018509471532582E-2</v>
      </c>
    </row>
    <row r="897" spans="1:7" x14ac:dyDescent="0.2">
      <c r="A897" s="11">
        <v>36371</v>
      </c>
      <c r="B897" s="10">
        <v>123.3706</v>
      </c>
      <c r="E897" s="13">
        <f t="shared" si="39"/>
        <v>7.8698690498854671E-3</v>
      </c>
      <c r="F897" s="9">
        <f t="shared" si="40"/>
        <v>4.5332171779176146E-3</v>
      </c>
      <c r="G897" s="9">
        <f t="shared" si="41"/>
        <v>1.0292006608057049E-2</v>
      </c>
    </row>
    <row r="898" spans="1:7" x14ac:dyDescent="0.2">
      <c r="A898" s="11">
        <v>36374</v>
      </c>
      <c r="B898" s="10">
        <v>122.20740000000001</v>
      </c>
      <c r="E898" s="13">
        <f t="shared" si="39"/>
        <v>-9.473232121692321E-3</v>
      </c>
      <c r="F898" s="9">
        <f t="shared" si="40"/>
        <v>-5.5692311914753321E-3</v>
      </c>
      <c r="G898" s="9">
        <f t="shared" si="41"/>
        <v>1.0445259533417293E-2</v>
      </c>
    </row>
    <row r="899" spans="1:7" x14ac:dyDescent="0.2">
      <c r="A899" s="11">
        <v>36375</v>
      </c>
      <c r="B899" s="10">
        <v>122.0397</v>
      </c>
      <c r="E899" s="13">
        <f t="shared" si="39"/>
        <v>-1.3731997338134452E-3</v>
      </c>
      <c r="F899" s="9">
        <f t="shared" si="40"/>
        <v>5.1418556644029379E-3</v>
      </c>
      <c r="G899" s="9">
        <f t="shared" si="41"/>
        <v>1.0196130312034984E-2</v>
      </c>
    </row>
    <row r="900" spans="1:7" x14ac:dyDescent="0.2">
      <c r="A900" s="11">
        <v>36376</v>
      </c>
      <c r="B900" s="10">
        <v>123.3669</v>
      </c>
      <c r="E900" s="13">
        <f t="shared" ref="E900:E963" si="42">LN(B900/B899)</f>
        <v>1.0816440467895275E-2</v>
      </c>
      <c r="F900" s="9">
        <f t="shared" si="40"/>
        <v>2.1861342024713355E-2</v>
      </c>
      <c r="G900" s="9">
        <f t="shared" si="41"/>
        <v>1.0312078952782106E-2</v>
      </c>
    </row>
    <row r="901" spans="1:7" x14ac:dyDescent="0.2">
      <c r="A901" s="11">
        <v>36377</v>
      </c>
      <c r="B901" s="10">
        <v>122.7353</v>
      </c>
      <c r="E901" s="13">
        <f t="shared" si="42"/>
        <v>-5.1328382003791541E-3</v>
      </c>
      <c r="F901" s="9">
        <f t="shared" si="40"/>
        <v>3.5394719006479919E-2</v>
      </c>
      <c r="G901" s="9">
        <f t="shared" si="41"/>
        <v>9.6892615129098875E-3</v>
      </c>
    </row>
    <row r="902" spans="1:7" x14ac:dyDescent="0.2">
      <c r="A902" s="11">
        <v>36378</v>
      </c>
      <c r="B902" s="10">
        <v>123.6647</v>
      </c>
      <c r="E902" s="13">
        <f t="shared" si="42"/>
        <v>7.5438669453715178E-3</v>
      </c>
      <c r="F902" s="9">
        <f t="shared" si="40"/>
        <v>3.2332992695432106E-2</v>
      </c>
      <c r="G902" s="9">
        <f t="shared" si="41"/>
        <v>9.5996128564072303E-3</v>
      </c>
    </row>
    <row r="903" spans="1:7" x14ac:dyDescent="0.2">
      <c r="A903" s="11">
        <v>36381</v>
      </c>
      <c r="B903" s="10">
        <v>124.3981</v>
      </c>
      <c r="E903" s="13">
        <f t="shared" si="42"/>
        <v>5.9130360286312926E-3</v>
      </c>
      <c r="F903" s="9">
        <f t="shared" si="40"/>
        <v>3.3219852171180481E-2</v>
      </c>
      <c r="G903" s="9">
        <f t="shared" si="41"/>
        <v>9.6139198280922999E-3</v>
      </c>
    </row>
    <row r="904" spans="1:7" x14ac:dyDescent="0.2">
      <c r="A904" s="11">
        <v>36382</v>
      </c>
      <c r="B904" s="10">
        <v>123.7948</v>
      </c>
      <c r="E904" s="13">
        <f t="shared" si="42"/>
        <v>-4.8615507392262896E-3</v>
      </c>
      <c r="F904" s="9">
        <f t="shared" si="40"/>
        <v>2.8264400153705998E-2</v>
      </c>
      <c r="G904" s="9">
        <f t="shared" si="41"/>
        <v>9.6771100835793804E-3</v>
      </c>
    </row>
    <row r="905" spans="1:7" x14ac:dyDescent="0.2">
      <c r="A905" s="11">
        <v>36383</v>
      </c>
      <c r="B905" s="10">
        <v>124.6639</v>
      </c>
      <c r="E905" s="13">
        <f t="shared" si="42"/>
        <v>6.995959849478278E-3</v>
      </c>
      <c r="F905" s="9">
        <f t="shared" si="40"/>
        <v>2.3502078543135654E-2</v>
      </c>
      <c r="G905" s="9">
        <f t="shared" si="41"/>
        <v>9.5268195228321844E-3</v>
      </c>
    </row>
    <row r="906" spans="1:7" x14ac:dyDescent="0.2">
      <c r="A906" s="11">
        <v>36384</v>
      </c>
      <c r="B906" s="10">
        <v>125.20310000000001</v>
      </c>
      <c r="E906" s="13">
        <f t="shared" si="42"/>
        <v>4.3159027560558021E-3</v>
      </c>
      <c r="F906" s="9">
        <f t="shared" si="40"/>
        <v>2.9538299764488022E-2</v>
      </c>
      <c r="G906" s="9">
        <f t="shared" si="41"/>
        <v>9.5354892150017381E-3</v>
      </c>
    </row>
    <row r="907" spans="1:7" x14ac:dyDescent="0.2">
      <c r="A907" s="11">
        <v>36385</v>
      </c>
      <c r="B907" s="10">
        <v>125.89879999999999</v>
      </c>
      <c r="E907" s="13">
        <f t="shared" si="42"/>
        <v>5.5411908879196446E-3</v>
      </c>
      <c r="F907" s="9">
        <f t="shared" si="40"/>
        <v>1.9704569215424527E-2</v>
      </c>
      <c r="G907" s="9">
        <f t="shared" si="41"/>
        <v>9.1747520097760181E-3</v>
      </c>
    </row>
    <row r="908" spans="1:7" x14ac:dyDescent="0.2">
      <c r="A908" s="11">
        <v>36388</v>
      </c>
      <c r="B908" s="10">
        <v>127.0318</v>
      </c>
      <c r="E908" s="13">
        <f t="shared" si="42"/>
        <v>8.9590391853369335E-3</v>
      </c>
      <c r="F908" s="9">
        <f t="shared" si="40"/>
        <v>3.5390530380963889E-2</v>
      </c>
      <c r="G908" s="9">
        <f t="shared" si="41"/>
        <v>9.1848911505563111E-3</v>
      </c>
    </row>
    <row r="909" spans="1:7" x14ac:dyDescent="0.2">
      <c r="A909" s="11">
        <v>36389</v>
      </c>
      <c r="B909" s="10">
        <v>127.7538</v>
      </c>
      <c r="E909" s="13">
        <f t="shared" si="42"/>
        <v>5.667525422183092E-3</v>
      </c>
      <c r="F909" s="9">
        <f t="shared" si="40"/>
        <v>3.8386581067937513E-2</v>
      </c>
      <c r="G909" s="9">
        <f t="shared" si="41"/>
        <v>9.2185843193990265E-3</v>
      </c>
    </row>
    <row r="910" spans="1:7" x14ac:dyDescent="0.2">
      <c r="A910" s="11">
        <v>36390</v>
      </c>
      <c r="B910" s="10">
        <v>127.64449999999999</v>
      </c>
      <c r="E910" s="13">
        <f t="shared" si="42"/>
        <v>-8.5591804387685527E-4</v>
      </c>
      <c r="F910" s="9">
        <f t="shared" si="40"/>
        <v>3.6335698316223214E-2</v>
      </c>
      <c r="G910" s="9">
        <f t="shared" si="41"/>
        <v>9.2274693436062427E-3</v>
      </c>
    </row>
    <row r="911" spans="1:7" x14ac:dyDescent="0.2">
      <c r="A911" s="11">
        <v>36391</v>
      </c>
      <c r="B911" s="10">
        <v>127.16</v>
      </c>
      <c r="E911" s="13">
        <f t="shared" si="42"/>
        <v>-3.8029201518124146E-3</v>
      </c>
      <c r="F911" s="9">
        <f t="shared" si="40"/>
        <v>2.2838246171278352E-2</v>
      </c>
      <c r="G911" s="9">
        <f t="shared" si="41"/>
        <v>9.126321582000602E-3</v>
      </c>
    </row>
    <row r="912" spans="1:7" x14ac:dyDescent="0.2">
      <c r="A912" s="11">
        <v>36392</v>
      </c>
      <c r="B912" s="10">
        <v>129.20359999999999</v>
      </c>
      <c r="E912" s="13">
        <f t="shared" si="42"/>
        <v>1.5943318694801527E-2</v>
      </c>
      <c r="F912" s="9">
        <f t="shared" si="40"/>
        <v>3.2597431831898706E-2</v>
      </c>
      <c r="G912" s="9">
        <f t="shared" si="41"/>
        <v>9.5045165402451778E-3</v>
      </c>
    </row>
    <row r="913" spans="1:7" x14ac:dyDescent="0.2">
      <c r="A913" s="11">
        <v>36395</v>
      </c>
      <c r="B913" s="10">
        <v>131.71850000000001</v>
      </c>
      <c r="E913" s="13">
        <f t="shared" si="42"/>
        <v>1.927761491363212E-2</v>
      </c>
      <c r="F913" s="9">
        <f t="shared" si="40"/>
        <v>6.3382733188566812E-2</v>
      </c>
      <c r="G913" s="9">
        <f t="shared" si="41"/>
        <v>9.7590874372563419E-3</v>
      </c>
    </row>
    <row r="914" spans="1:7" x14ac:dyDescent="0.2">
      <c r="A914" s="11">
        <v>36396</v>
      </c>
      <c r="B914" s="10">
        <v>130.66470000000001</v>
      </c>
      <c r="E914" s="13">
        <f t="shared" si="42"/>
        <v>-8.0325696623584509E-3</v>
      </c>
      <c r="F914" s="9">
        <f t="shared" si="40"/>
        <v>3.6662164759104166E-2</v>
      </c>
      <c r="G914" s="9">
        <f t="shared" si="41"/>
        <v>9.4001827310163395E-3</v>
      </c>
    </row>
    <row r="915" spans="1:7" x14ac:dyDescent="0.2">
      <c r="A915" s="11">
        <v>36397</v>
      </c>
      <c r="B915" s="10">
        <v>130.08969999999999</v>
      </c>
      <c r="E915" s="13">
        <f t="shared" si="42"/>
        <v>-4.4102874736483199E-3</v>
      </c>
      <c r="F915" s="9">
        <f t="shared" si="40"/>
        <v>1.717489831930882E-2</v>
      </c>
      <c r="G915" s="9">
        <f t="shared" si="41"/>
        <v>9.0681717246308396E-3</v>
      </c>
    </row>
    <row r="916" spans="1:7" x14ac:dyDescent="0.2">
      <c r="A916" s="11">
        <v>36398</v>
      </c>
      <c r="B916" s="10">
        <v>129.9049</v>
      </c>
      <c r="E916" s="13">
        <f t="shared" si="42"/>
        <v>-1.4215682258107412E-3</v>
      </c>
      <c r="F916" s="9">
        <f t="shared" si="40"/>
        <v>8.1451701686890924E-3</v>
      </c>
      <c r="G916" s="9">
        <f t="shared" si="41"/>
        <v>8.973192899760233E-3</v>
      </c>
    </row>
    <row r="917" spans="1:7" x14ac:dyDescent="0.2">
      <c r="A917" s="11">
        <v>36399</v>
      </c>
      <c r="B917" s="10">
        <v>130.0256</v>
      </c>
      <c r="E917" s="13">
        <f t="shared" si="42"/>
        <v>9.2870985648338975E-4</v>
      </c>
      <c r="F917" s="9">
        <f t="shared" si="40"/>
        <v>1.0391772132473996E-2</v>
      </c>
      <c r="G917" s="9">
        <f t="shared" si="41"/>
        <v>8.9685939458767228E-3</v>
      </c>
    </row>
    <row r="918" spans="1:7" x14ac:dyDescent="0.2">
      <c r="A918" s="11">
        <v>36402</v>
      </c>
      <c r="B918" s="10">
        <v>130.6439</v>
      </c>
      <c r="E918" s="13">
        <f t="shared" si="42"/>
        <v>4.7439471021461311E-3</v>
      </c>
      <c r="F918" s="9">
        <f t="shared" si="40"/>
        <v>3.8091225785865976E-2</v>
      </c>
      <c r="G918" s="9">
        <f t="shared" si="41"/>
        <v>7.79523666501319E-3</v>
      </c>
    </row>
    <row r="919" spans="1:7" x14ac:dyDescent="0.2">
      <c r="A919" s="11">
        <v>36403</v>
      </c>
      <c r="B919" s="10">
        <v>128.23830000000001</v>
      </c>
      <c r="E919" s="13">
        <f t="shared" si="42"/>
        <v>-1.8585049428677579E-2</v>
      </c>
      <c r="F919" s="9">
        <f t="shared" si="40"/>
        <v>2.666670856250291E-2</v>
      </c>
      <c r="G919" s="9">
        <f t="shared" si="41"/>
        <v>8.4959699825189038E-3</v>
      </c>
    </row>
    <row r="920" spans="1:7" x14ac:dyDescent="0.2">
      <c r="A920" s="11">
        <v>36404</v>
      </c>
      <c r="B920" s="10">
        <v>130.50630000000001</v>
      </c>
      <c r="E920" s="13">
        <f t="shared" si="42"/>
        <v>1.7531249640405165E-2</v>
      </c>
      <c r="F920" s="9">
        <f t="shared" si="40"/>
        <v>4.4379772817379343E-2</v>
      </c>
      <c r="G920" s="9">
        <f t="shared" si="41"/>
        <v>9.0336651428352902E-3</v>
      </c>
    </row>
    <row r="921" spans="1:7" x14ac:dyDescent="0.2">
      <c r="A921" s="11">
        <v>36405</v>
      </c>
      <c r="B921" s="10">
        <v>128.0574</v>
      </c>
      <c r="E921" s="13">
        <f t="shared" si="42"/>
        <v>-1.8942900558004173E-2</v>
      </c>
      <c r="F921" s="9">
        <f t="shared" si="40"/>
        <v>2.7870922559926192E-2</v>
      </c>
      <c r="G921" s="9">
        <f t="shared" si="41"/>
        <v>9.7816118487560836E-3</v>
      </c>
    </row>
    <row r="922" spans="1:7" x14ac:dyDescent="0.2">
      <c r="A922" s="11">
        <v>36406</v>
      </c>
      <c r="B922" s="10">
        <v>130.52330000000001</v>
      </c>
      <c r="E922" s="13">
        <f t="shared" si="42"/>
        <v>1.9073153985385852E-2</v>
      </c>
      <c r="F922" s="9">
        <f t="shared" si="40"/>
        <v>5.6878629155620725E-2</v>
      </c>
      <c r="G922" s="9">
        <f t="shared" si="41"/>
        <v>1.0105436733330348E-2</v>
      </c>
    </row>
    <row r="923" spans="1:7" x14ac:dyDescent="0.2">
      <c r="A923" s="11">
        <v>36409</v>
      </c>
      <c r="B923" s="10">
        <v>130.9795</v>
      </c>
      <c r="E923" s="13">
        <f t="shared" si="42"/>
        <v>3.4890675189656567E-3</v>
      </c>
      <c r="F923" s="9">
        <f t="shared" si="40"/>
        <v>5.5517608793212929E-2</v>
      </c>
      <c r="G923" s="9">
        <f t="shared" si="41"/>
        <v>1.0094696334374573E-2</v>
      </c>
    </row>
    <row r="924" spans="1:7" x14ac:dyDescent="0.2">
      <c r="A924" s="11">
        <v>36410</v>
      </c>
      <c r="B924" s="10">
        <v>130.8287</v>
      </c>
      <c r="E924" s="13">
        <f t="shared" si="42"/>
        <v>-1.1519884913990064E-3</v>
      </c>
      <c r="F924" s="9">
        <f t="shared" si="40"/>
        <v>5.2586821400643947E-2</v>
      </c>
      <c r="G924" s="9">
        <f t="shared" si="41"/>
        <v>1.0110760174661558E-2</v>
      </c>
    </row>
    <row r="925" spans="1:7" x14ac:dyDescent="0.2">
      <c r="A925" s="11">
        <v>36411</v>
      </c>
      <c r="B925" s="10">
        <v>130.774</v>
      </c>
      <c r="E925" s="13">
        <f t="shared" si="42"/>
        <v>-4.1819140855331276E-4</v>
      </c>
      <c r="F925" s="9">
        <f t="shared" si="40"/>
        <v>6.6147678065325455E-2</v>
      </c>
      <c r="G925" s="9">
        <f t="shared" si="41"/>
        <v>9.6577285373234019E-3</v>
      </c>
    </row>
    <row r="926" spans="1:7" x14ac:dyDescent="0.2">
      <c r="A926" s="11">
        <v>36412</v>
      </c>
      <c r="B926" s="10">
        <v>132.7893</v>
      </c>
      <c r="E926" s="13">
        <f t="shared" si="42"/>
        <v>1.5293019001085385E-2</v>
      </c>
      <c r="F926" s="9">
        <f t="shared" si="40"/>
        <v>7.3570828016525272E-2</v>
      </c>
      <c r="G926" s="9">
        <f t="shared" si="41"/>
        <v>9.9063217968531642E-3</v>
      </c>
    </row>
    <row r="927" spans="1:7" x14ac:dyDescent="0.2">
      <c r="A927" s="11">
        <v>36413</v>
      </c>
      <c r="B927" s="10">
        <v>134.26169999999999</v>
      </c>
      <c r="E927" s="13">
        <f t="shared" si="42"/>
        <v>1.1027218922493665E-2</v>
      </c>
      <c r="F927" s="9">
        <f t="shared" si="40"/>
        <v>9.407127906071111E-2</v>
      </c>
      <c r="G927" s="9">
        <f t="shared" si="41"/>
        <v>9.7488737787937551E-3</v>
      </c>
    </row>
    <row r="928" spans="1:7" x14ac:dyDescent="0.2">
      <c r="A928" s="11">
        <v>36416</v>
      </c>
      <c r="B928" s="10">
        <v>133.9752</v>
      </c>
      <c r="E928" s="13">
        <f t="shared" si="42"/>
        <v>-2.1361722339256284E-3</v>
      </c>
      <c r="F928" s="9">
        <f t="shared" ref="F928:F991" si="43">LN(B928/B899)</f>
        <v>9.330830656059888E-2</v>
      </c>
      <c r="G928" s="9">
        <f t="shared" si="41"/>
        <v>9.7627984074833262E-3</v>
      </c>
    </row>
    <row r="929" spans="1:7" x14ac:dyDescent="0.2">
      <c r="A929" s="11">
        <v>36417</v>
      </c>
      <c r="B929" s="10">
        <v>134.51060000000001</v>
      </c>
      <c r="E929" s="13">
        <f t="shared" si="42"/>
        <v>3.9882981498151502E-3</v>
      </c>
      <c r="F929" s="9">
        <f t="shared" si="43"/>
        <v>8.6480164242518837E-2</v>
      </c>
      <c r="G929" s="9">
        <f t="shared" ref="G929:G992" si="44">STDEV(E901:E929)</f>
        <v>9.6547276028503565E-3</v>
      </c>
    </row>
    <row r="930" spans="1:7" x14ac:dyDescent="0.2">
      <c r="A930" s="11">
        <v>36418</v>
      </c>
      <c r="B930" s="10">
        <v>134.51249999999999</v>
      </c>
      <c r="E930" s="13">
        <f t="shared" si="42"/>
        <v>1.4125181071937551E-5</v>
      </c>
      <c r="F930" s="9">
        <f t="shared" si="43"/>
        <v>9.1627127623969781E-2</v>
      </c>
      <c r="G930" s="9">
        <f t="shared" si="44"/>
        <v>9.5469307807776755E-3</v>
      </c>
    </row>
    <row r="931" spans="1:7" x14ac:dyDescent="0.2">
      <c r="A931" s="11">
        <v>36419</v>
      </c>
      <c r="B931" s="10">
        <v>133.5849</v>
      </c>
      <c r="E931" s="13">
        <f t="shared" si="42"/>
        <v>-6.919900763749225E-3</v>
      </c>
      <c r="F931" s="9">
        <f t="shared" si="43"/>
        <v>7.7163359914848989E-2</v>
      </c>
      <c r="G931" s="9">
        <f t="shared" si="44"/>
        <v>9.686493361795492E-3</v>
      </c>
    </row>
    <row r="932" spans="1:7" x14ac:dyDescent="0.2">
      <c r="A932" s="11">
        <v>36420</v>
      </c>
      <c r="B932" s="10">
        <v>132.72900000000001</v>
      </c>
      <c r="E932" s="13">
        <f t="shared" si="42"/>
        <v>-6.4277752447970344E-3</v>
      </c>
      <c r="F932" s="9">
        <f t="shared" si="43"/>
        <v>6.4822548641420563E-2</v>
      </c>
      <c r="G932" s="9">
        <f t="shared" si="44"/>
        <v>9.8088189653139212E-3</v>
      </c>
    </row>
    <row r="933" spans="1:7" x14ac:dyDescent="0.2">
      <c r="A933" s="11">
        <v>36423</v>
      </c>
      <c r="B933" s="10">
        <v>136.12430000000001</v>
      </c>
      <c r="E933" s="13">
        <f t="shared" si="42"/>
        <v>2.5258983389523242E-2</v>
      </c>
      <c r="F933" s="9">
        <f t="shared" si="43"/>
        <v>9.494308277017012E-2</v>
      </c>
      <c r="G933" s="9">
        <f t="shared" si="44"/>
        <v>1.0593806747411623E-2</v>
      </c>
    </row>
    <row r="934" spans="1:7" x14ac:dyDescent="0.2">
      <c r="A934" s="11">
        <v>36424</v>
      </c>
      <c r="B934" s="10">
        <v>133.30969999999999</v>
      </c>
      <c r="E934" s="13">
        <f t="shared" si="42"/>
        <v>-2.0893446178253172E-2</v>
      </c>
      <c r="F934" s="9">
        <f t="shared" si="43"/>
        <v>6.70536767424387E-2</v>
      </c>
      <c r="G934" s="9">
        <f t="shared" si="44"/>
        <v>1.1473245701778233E-2</v>
      </c>
    </row>
    <row r="935" spans="1:7" x14ac:dyDescent="0.2">
      <c r="A935" s="11">
        <v>36425</v>
      </c>
      <c r="B935" s="10">
        <v>132.01070000000001</v>
      </c>
      <c r="E935" s="13">
        <f t="shared" si="42"/>
        <v>-9.7920128220363167E-3</v>
      </c>
      <c r="F935" s="9">
        <f t="shared" si="43"/>
        <v>5.2945761164346704E-2</v>
      </c>
      <c r="G935" s="9">
        <f t="shared" si="44"/>
        <v>1.1682441160160371E-2</v>
      </c>
    </row>
    <row r="936" spans="1:7" x14ac:dyDescent="0.2">
      <c r="A936" s="11">
        <v>36426</v>
      </c>
      <c r="B936" s="10">
        <v>132.55179999999999</v>
      </c>
      <c r="E936" s="13">
        <f t="shared" si="42"/>
        <v>4.0905325168464103E-3</v>
      </c>
      <c r="F936" s="9">
        <f t="shared" si="43"/>
        <v>5.1495102793273607E-2</v>
      </c>
      <c r="G936" s="9">
        <f t="shared" si="44"/>
        <v>1.1669061896089543E-2</v>
      </c>
    </row>
    <row r="937" spans="1:7" x14ac:dyDescent="0.2">
      <c r="A937" s="11">
        <v>36427</v>
      </c>
      <c r="B937" s="10">
        <v>129.75409999999999</v>
      </c>
      <c r="E937" s="13">
        <f t="shared" si="42"/>
        <v>-2.1332391648004698E-2</v>
      </c>
      <c r="F937" s="9">
        <f t="shared" si="43"/>
        <v>2.120367195993185E-2</v>
      </c>
      <c r="G937" s="9">
        <f t="shared" si="44"/>
        <v>1.2339568916072793E-2</v>
      </c>
    </row>
    <row r="938" spans="1:7" x14ac:dyDescent="0.2">
      <c r="A938" s="11">
        <v>36430</v>
      </c>
      <c r="B938" s="10">
        <v>129.6542</v>
      </c>
      <c r="E938" s="13">
        <f t="shared" si="42"/>
        <v>-7.7021440669890792E-4</v>
      </c>
      <c r="F938" s="9">
        <f t="shared" si="43"/>
        <v>1.4765932131049851E-2</v>
      </c>
      <c r="G938" s="9">
        <f t="shared" si="44"/>
        <v>1.2305452078822218E-2</v>
      </c>
    </row>
    <row r="939" spans="1:7" x14ac:dyDescent="0.2">
      <c r="A939" s="11">
        <v>36431</v>
      </c>
      <c r="B939" s="10">
        <v>127.735</v>
      </c>
      <c r="E939" s="13">
        <f t="shared" si="42"/>
        <v>-1.4913101009168454E-2</v>
      </c>
      <c r="F939" s="9">
        <f t="shared" si="43"/>
        <v>7.0874916575825375E-4</v>
      </c>
      <c r="G939" s="9">
        <f t="shared" si="44"/>
        <v>1.2633636027051746E-2</v>
      </c>
    </row>
    <row r="940" spans="1:7" x14ac:dyDescent="0.2">
      <c r="A940" s="11">
        <v>36432</v>
      </c>
      <c r="B940" s="10">
        <v>126.86020000000001</v>
      </c>
      <c r="E940" s="13">
        <f t="shared" si="42"/>
        <v>-6.8721126145953057E-3</v>
      </c>
      <c r="F940" s="9">
        <f t="shared" si="43"/>
        <v>-2.3604432970246139E-3</v>
      </c>
      <c r="G940" s="9">
        <f t="shared" si="44"/>
        <v>1.267961550754145E-2</v>
      </c>
    </row>
    <row r="941" spans="1:7" x14ac:dyDescent="0.2">
      <c r="A941" s="11">
        <v>36433</v>
      </c>
      <c r="B941" s="10">
        <v>128.69649999999999</v>
      </c>
      <c r="E941" s="13">
        <f t="shared" si="42"/>
        <v>1.4371226459517182E-2</v>
      </c>
      <c r="F941" s="9">
        <f t="shared" si="43"/>
        <v>-3.9325355323089764E-3</v>
      </c>
      <c r="G941" s="9">
        <f t="shared" si="44"/>
        <v>1.2611836531910527E-2</v>
      </c>
    </row>
    <row r="942" spans="1:7" x14ac:dyDescent="0.2">
      <c r="A942" s="11">
        <v>36434</v>
      </c>
      <c r="B942" s="10">
        <v>130.3536</v>
      </c>
      <c r="E942" s="13">
        <f t="shared" si="42"/>
        <v>1.2793838744716336E-2</v>
      </c>
      <c r="F942" s="9">
        <f t="shared" si="43"/>
        <v>-1.0416311701224741E-2</v>
      </c>
      <c r="G942" s="9">
        <f t="shared" si="44"/>
        <v>1.2309235149883907E-2</v>
      </c>
    </row>
    <row r="943" spans="1:7" x14ac:dyDescent="0.2">
      <c r="A943" s="11">
        <v>36437</v>
      </c>
      <c r="B943" s="10">
        <v>129.92939999999999</v>
      </c>
      <c r="E943" s="13">
        <f t="shared" si="42"/>
        <v>-3.2595319369896625E-3</v>
      </c>
      <c r="F943" s="9">
        <f t="shared" si="43"/>
        <v>-5.6432739758559567E-3</v>
      </c>
      <c r="G943" s="9">
        <f t="shared" si="44"/>
        <v>1.2234653856324161E-2</v>
      </c>
    </row>
    <row r="944" spans="1:7" x14ac:dyDescent="0.2">
      <c r="A944" s="11">
        <v>36438</v>
      </c>
      <c r="B944" s="10">
        <v>129.1772</v>
      </c>
      <c r="E944" s="13">
        <f t="shared" si="42"/>
        <v>-5.8061208253212728E-3</v>
      </c>
      <c r="F944" s="9">
        <f t="shared" si="43"/>
        <v>-7.0391073275289625E-3</v>
      </c>
      <c r="G944" s="9">
        <f t="shared" si="44"/>
        <v>1.2254560539236284E-2</v>
      </c>
    </row>
    <row r="945" spans="1:7" x14ac:dyDescent="0.2">
      <c r="A945" s="11">
        <v>36439</v>
      </c>
      <c r="B945" s="10">
        <v>129.04900000000001</v>
      </c>
      <c r="E945" s="13">
        <f t="shared" si="42"/>
        <v>-9.9292798742153842E-4</v>
      </c>
      <c r="F945" s="9">
        <f t="shared" si="43"/>
        <v>-6.6104670891397842E-3</v>
      </c>
      <c r="G945" s="9">
        <f t="shared" si="44"/>
        <v>1.2253346353835856E-2</v>
      </c>
    </row>
    <row r="946" spans="1:7" x14ac:dyDescent="0.2">
      <c r="A946" s="11">
        <v>36440</v>
      </c>
      <c r="B946" s="10">
        <v>128.03659999999999</v>
      </c>
      <c r="E946" s="13">
        <f t="shared" si="42"/>
        <v>-7.8760166527969914E-3</v>
      </c>
      <c r="F946" s="9">
        <f t="shared" si="43"/>
        <v>-1.5415193598420153E-2</v>
      </c>
      <c r="G946" s="9">
        <f t="shared" si="44"/>
        <v>1.2332488756510766E-2</v>
      </c>
    </row>
    <row r="947" spans="1:7" x14ac:dyDescent="0.2">
      <c r="A947" s="11">
        <v>36441</v>
      </c>
      <c r="B947" s="10">
        <v>127.0318</v>
      </c>
      <c r="E947" s="13">
        <f t="shared" si="42"/>
        <v>-7.8787117311732175E-3</v>
      </c>
      <c r="F947" s="9">
        <f t="shared" si="43"/>
        <v>-2.8037852431739719E-2</v>
      </c>
      <c r="G947" s="9">
        <f t="shared" si="44"/>
        <v>1.2362361256750424E-2</v>
      </c>
    </row>
    <row r="948" spans="1:7" x14ac:dyDescent="0.2">
      <c r="A948" s="11">
        <v>36444</v>
      </c>
      <c r="B948" s="10">
        <v>127.5993</v>
      </c>
      <c r="E948" s="13">
        <f t="shared" si="42"/>
        <v>4.4574361861170015E-3</v>
      </c>
      <c r="F948" s="9">
        <f t="shared" si="43"/>
        <v>-4.9953668169451003E-3</v>
      </c>
      <c r="G948" s="9">
        <f t="shared" si="44"/>
        <v>1.1922210894458572E-2</v>
      </c>
    </row>
    <row r="949" spans="1:7" x14ac:dyDescent="0.2">
      <c r="A949" s="11">
        <v>36445</v>
      </c>
      <c r="B949" s="10">
        <v>128.4853</v>
      </c>
      <c r="E949" s="13">
        <f t="shared" si="42"/>
        <v>6.9196159020668887E-3</v>
      </c>
      <c r="F949" s="9">
        <f t="shared" si="43"/>
        <v>-1.5607000555283241E-2</v>
      </c>
      <c r="G949" s="9">
        <f t="shared" si="44"/>
        <v>1.1515351148434581E-2</v>
      </c>
    </row>
    <row r="950" spans="1:7" x14ac:dyDescent="0.2">
      <c r="A950" s="11">
        <v>36446</v>
      </c>
      <c r="B950" s="10">
        <v>128.37029999999999</v>
      </c>
      <c r="E950" s="13">
        <f t="shared" si="42"/>
        <v>-8.9544481556275753E-4</v>
      </c>
      <c r="F950" s="9">
        <f t="shared" si="43"/>
        <v>2.4404551871580775E-3</v>
      </c>
      <c r="G950" s="9">
        <f t="shared" si="44"/>
        <v>1.0959429993943651E-2</v>
      </c>
    </row>
    <row r="951" spans="1:7" x14ac:dyDescent="0.2">
      <c r="A951" s="11">
        <v>36447</v>
      </c>
      <c r="B951" s="10">
        <v>127.92919999999999</v>
      </c>
      <c r="E951" s="13">
        <f t="shared" si="42"/>
        <v>-3.4420701991773601E-3</v>
      </c>
      <c r="F951" s="9">
        <f t="shared" si="43"/>
        <v>-2.0074768997404971E-2</v>
      </c>
      <c r="G951" s="9">
        <f t="shared" si="44"/>
        <v>1.0346542821102766E-2</v>
      </c>
    </row>
    <row r="952" spans="1:7" x14ac:dyDescent="0.2">
      <c r="A952" s="11">
        <v>36448</v>
      </c>
      <c r="B952" s="10">
        <v>123.26130000000001</v>
      </c>
      <c r="E952" s="13">
        <f t="shared" si="42"/>
        <v>-3.7170493599454277E-2</v>
      </c>
      <c r="F952" s="9">
        <f t="shared" si="43"/>
        <v>-6.0734330115824978E-2</v>
      </c>
      <c r="G952" s="9">
        <f t="shared" si="44"/>
        <v>1.2325351123655758E-2</v>
      </c>
    </row>
    <row r="953" spans="1:7" x14ac:dyDescent="0.2">
      <c r="A953" s="11">
        <v>36451</v>
      </c>
      <c r="B953" s="10">
        <v>122.9729</v>
      </c>
      <c r="E953" s="13">
        <f t="shared" si="42"/>
        <v>-2.3424863960955136E-3</v>
      </c>
      <c r="F953" s="9">
        <f t="shared" si="43"/>
        <v>-6.1924828020521447E-2</v>
      </c>
      <c r="G953" s="9">
        <f t="shared" si="44"/>
        <v>1.2324083062052562E-2</v>
      </c>
    </row>
    <row r="954" spans="1:7" x14ac:dyDescent="0.2">
      <c r="A954" s="11">
        <v>36452</v>
      </c>
      <c r="B954" s="10">
        <v>125.2521</v>
      </c>
      <c r="E954" s="13">
        <f t="shared" si="42"/>
        <v>1.8364500397482234E-2</v>
      </c>
      <c r="F954" s="9">
        <f t="shared" si="43"/>
        <v>-4.3142136214485857E-2</v>
      </c>
      <c r="G954" s="9">
        <f t="shared" si="44"/>
        <v>1.2897749406408568E-2</v>
      </c>
    </row>
    <row r="955" spans="1:7" x14ac:dyDescent="0.2">
      <c r="A955" s="11">
        <v>36453</v>
      </c>
      <c r="B955" s="10">
        <v>125.7197</v>
      </c>
      <c r="E955" s="13">
        <f t="shared" si="42"/>
        <v>3.7263193798652023E-3</v>
      </c>
      <c r="F955" s="9">
        <f t="shared" si="43"/>
        <v>-5.4708835835705981E-2</v>
      </c>
      <c r="G955" s="9">
        <f t="shared" si="44"/>
        <v>1.2534004193357408E-2</v>
      </c>
    </row>
    <row r="956" spans="1:7" x14ac:dyDescent="0.2">
      <c r="A956" s="11">
        <v>36454</v>
      </c>
      <c r="B956" s="10">
        <v>122.00190000000001</v>
      </c>
      <c r="E956" s="13">
        <f t="shared" si="42"/>
        <v>-3.0018207288871061E-2</v>
      </c>
      <c r="F956" s="9">
        <f t="shared" si="43"/>
        <v>-9.5754262047070646E-2</v>
      </c>
      <c r="G956" s="9">
        <f t="shared" si="44"/>
        <v>1.3316704258091481E-2</v>
      </c>
    </row>
    <row r="957" spans="1:7" x14ac:dyDescent="0.2">
      <c r="A957" s="11">
        <v>36455</v>
      </c>
      <c r="B957" s="10">
        <v>123.3951</v>
      </c>
      <c r="E957" s="13">
        <f t="shared" si="42"/>
        <v>1.135478403461268E-2</v>
      </c>
      <c r="F957" s="9">
        <f t="shared" si="43"/>
        <v>-8.2263305778532442E-2</v>
      </c>
      <c r="G957" s="9">
        <f t="shared" si="44"/>
        <v>1.3591688327800031E-2</v>
      </c>
    </row>
    <row r="958" spans="1:7" x14ac:dyDescent="0.2">
      <c r="A958" s="11">
        <v>36458</v>
      </c>
      <c r="B958" s="10">
        <v>122.55240000000001</v>
      </c>
      <c r="E958" s="13">
        <f t="shared" si="42"/>
        <v>-6.8527087914011901E-3</v>
      </c>
      <c r="F958" s="9">
        <f t="shared" si="43"/>
        <v>-9.3104312719748797E-2</v>
      </c>
      <c r="G958" s="9">
        <f t="shared" si="44"/>
        <v>1.3546279885943355E-2</v>
      </c>
    </row>
    <row r="959" spans="1:7" x14ac:dyDescent="0.2">
      <c r="A959" s="11">
        <v>36459</v>
      </c>
      <c r="B959" s="10">
        <v>124.43389999999999</v>
      </c>
      <c r="E959" s="13">
        <f t="shared" si="42"/>
        <v>1.5235957594402822E-2</v>
      </c>
      <c r="F959" s="9">
        <f t="shared" si="43"/>
        <v>-7.7882480306417756E-2</v>
      </c>
      <c r="G959" s="9">
        <f t="shared" si="44"/>
        <v>1.3964152011481223E-2</v>
      </c>
    </row>
    <row r="960" spans="1:7" x14ac:dyDescent="0.2">
      <c r="A960" s="11">
        <v>36460</v>
      </c>
      <c r="B960" s="10">
        <v>124.762</v>
      </c>
      <c r="E960" s="13">
        <f t="shared" si="42"/>
        <v>2.6332711701140122E-3</v>
      </c>
      <c r="F960" s="9">
        <f t="shared" si="43"/>
        <v>-6.832930837255459E-2</v>
      </c>
      <c r="G960" s="9">
        <f t="shared" si="44"/>
        <v>1.3973374293924718E-2</v>
      </c>
    </row>
    <row r="961" spans="1:7" x14ac:dyDescent="0.2">
      <c r="A961" s="11">
        <v>36461</v>
      </c>
      <c r="B961" s="10">
        <v>125.54810000000001</v>
      </c>
      <c r="E961" s="13">
        <f t="shared" si="42"/>
        <v>6.2810296858930668E-3</v>
      </c>
      <c r="F961" s="9">
        <f t="shared" si="43"/>
        <v>-5.5620503441864436E-2</v>
      </c>
      <c r="G961" s="9">
        <f t="shared" si="44"/>
        <v>1.4040247553891575E-2</v>
      </c>
    </row>
    <row r="962" spans="1:7" x14ac:dyDescent="0.2">
      <c r="A962" s="11">
        <v>36462</v>
      </c>
      <c r="B962" s="10">
        <v>124.34910000000001</v>
      </c>
      <c r="E962" s="13">
        <f t="shared" si="42"/>
        <v>-9.5960194885836691E-3</v>
      </c>
      <c r="F962" s="9">
        <f t="shared" si="43"/>
        <v>-9.0475506319971491E-2</v>
      </c>
      <c r="G962" s="9">
        <f t="shared" si="44"/>
        <v>1.3090447009976377E-2</v>
      </c>
    </row>
    <row r="963" spans="1:7" x14ac:dyDescent="0.2">
      <c r="A963" s="11">
        <v>36465</v>
      </c>
      <c r="B963" s="10">
        <v>124.3246</v>
      </c>
      <c r="E963" s="13">
        <f t="shared" si="42"/>
        <v>-1.9704536570834265E-4</v>
      </c>
      <c r="F963" s="9">
        <f t="shared" si="43"/>
        <v>-6.9779105507426581E-2</v>
      </c>
      <c r="G963" s="9">
        <f t="shared" si="44"/>
        <v>1.2643386135210516E-2</v>
      </c>
    </row>
    <row r="964" spans="1:7" x14ac:dyDescent="0.2">
      <c r="A964" s="11">
        <v>36466</v>
      </c>
      <c r="B964" s="10">
        <v>123.59310000000001</v>
      </c>
      <c r="E964" s="13">
        <f t="shared" ref="E964:E1027" si="45">LN(B964/B963)</f>
        <v>-5.9011689992226977E-3</v>
      </c>
      <c r="F964" s="9">
        <f t="shared" si="43"/>
        <v>-6.588826168461305E-2</v>
      </c>
      <c r="G964" s="9">
        <f t="shared" si="44"/>
        <v>1.2582709694183423E-2</v>
      </c>
    </row>
    <row r="965" spans="1:7" x14ac:dyDescent="0.2">
      <c r="A965" s="11">
        <v>36467</v>
      </c>
      <c r="B965" s="10">
        <v>125.3068</v>
      </c>
      <c r="E965" s="13">
        <f t="shared" si="45"/>
        <v>1.3770411959481473E-2</v>
      </c>
      <c r="F965" s="9">
        <f t="shared" si="43"/>
        <v>-5.6208382241978126E-2</v>
      </c>
      <c r="G965" s="9">
        <f t="shared" si="44"/>
        <v>1.2882344826394783E-2</v>
      </c>
    </row>
    <row r="966" spans="1:7" x14ac:dyDescent="0.2">
      <c r="A966" s="11">
        <v>36468</v>
      </c>
      <c r="B966" s="10">
        <v>126.142</v>
      </c>
      <c r="E966" s="13">
        <f t="shared" si="45"/>
        <v>6.6431263265063229E-3</v>
      </c>
      <c r="F966" s="9">
        <f t="shared" si="43"/>
        <v>-2.8232864267467055E-2</v>
      </c>
      <c r="G966" s="9">
        <f t="shared" si="44"/>
        <v>1.2417230277966793E-2</v>
      </c>
    </row>
    <row r="967" spans="1:7" x14ac:dyDescent="0.2">
      <c r="A967" s="11">
        <v>36469</v>
      </c>
      <c r="B967" s="10">
        <v>126.5284</v>
      </c>
      <c r="E967" s="13">
        <f t="shared" si="45"/>
        <v>3.0585323901710852E-3</v>
      </c>
      <c r="F967" s="9">
        <f t="shared" si="43"/>
        <v>-2.4404117470597089E-2</v>
      </c>
      <c r="G967" s="9">
        <f t="shared" si="44"/>
        <v>1.2439803404733538E-2</v>
      </c>
    </row>
    <row r="968" spans="1:7" x14ac:dyDescent="0.2">
      <c r="A968" s="11">
        <v>36472</v>
      </c>
      <c r="B968" s="10">
        <v>125.0372</v>
      </c>
      <c r="E968" s="13">
        <f t="shared" si="45"/>
        <v>-1.1855495870539062E-2</v>
      </c>
      <c r="F968" s="9">
        <f t="shared" si="43"/>
        <v>-2.1346512331967778E-2</v>
      </c>
      <c r="G968" s="9">
        <f t="shared" si="44"/>
        <v>1.2328740735832223E-2</v>
      </c>
    </row>
    <row r="969" spans="1:7" x14ac:dyDescent="0.2">
      <c r="A969" s="11">
        <v>36473</v>
      </c>
      <c r="B969" s="10">
        <v>126.25700000000001</v>
      </c>
      <c r="E969" s="13">
        <f t="shared" si="45"/>
        <v>9.7082191347714949E-3</v>
      </c>
      <c r="F969" s="9">
        <f t="shared" si="43"/>
        <v>-4.7661805826010048E-3</v>
      </c>
      <c r="G969" s="9">
        <f t="shared" si="44"/>
        <v>1.2418150440591648E-2</v>
      </c>
    </row>
    <row r="970" spans="1:7" x14ac:dyDescent="0.2">
      <c r="A970" s="11">
        <v>36474</v>
      </c>
      <c r="B970" s="10">
        <v>126.71129999999999</v>
      </c>
      <c r="E970" s="13">
        <f t="shared" si="45"/>
        <v>3.5917582432258024E-3</v>
      </c>
      <c r="F970" s="9">
        <f t="shared" si="43"/>
        <v>-1.5545648798892187E-2</v>
      </c>
      <c r="G970" s="9">
        <f t="shared" si="44"/>
        <v>1.2125403443583397E-2</v>
      </c>
    </row>
    <row r="971" spans="1:7" x14ac:dyDescent="0.2">
      <c r="A971" s="11">
        <v>36475</v>
      </c>
      <c r="B971" s="10">
        <v>127.17700000000001</v>
      </c>
      <c r="E971" s="13">
        <f t="shared" si="45"/>
        <v>3.6685465402817321E-3</v>
      </c>
      <c r="F971" s="9">
        <f t="shared" si="43"/>
        <v>-2.4670941003326709E-2</v>
      </c>
      <c r="G971" s="9">
        <f t="shared" si="44"/>
        <v>1.1883110168010264E-2</v>
      </c>
    </row>
    <row r="972" spans="1:7" x14ac:dyDescent="0.2">
      <c r="A972" s="11">
        <v>36476</v>
      </c>
      <c r="B972" s="10">
        <v>127.44280000000001</v>
      </c>
      <c r="E972" s="13">
        <f t="shared" si="45"/>
        <v>2.0878195376136718E-3</v>
      </c>
      <c r="F972" s="9">
        <f t="shared" si="43"/>
        <v>-1.9323589528723546E-2</v>
      </c>
      <c r="G972" s="9">
        <f t="shared" si="44"/>
        <v>1.1885884875706385E-2</v>
      </c>
    </row>
    <row r="973" spans="1:7" x14ac:dyDescent="0.2">
      <c r="A973" s="11">
        <v>36479</v>
      </c>
      <c r="B973" s="10">
        <v>128.9547</v>
      </c>
      <c r="E973" s="13">
        <f t="shared" si="45"/>
        <v>1.1793543414785647E-2</v>
      </c>
      <c r="F973" s="9">
        <f t="shared" si="43"/>
        <v>-1.7239252886164676E-3</v>
      </c>
      <c r="G973" s="9">
        <f t="shared" si="44"/>
        <v>1.2062085385199917E-2</v>
      </c>
    </row>
    <row r="974" spans="1:7" x14ac:dyDescent="0.2">
      <c r="A974" s="11">
        <v>36480</v>
      </c>
      <c r="B974" s="10">
        <v>129.58439999999999</v>
      </c>
      <c r="E974" s="13">
        <f t="shared" si="45"/>
        <v>4.8712264038261602E-3</v>
      </c>
      <c r="F974" s="9">
        <f t="shared" si="43"/>
        <v>4.1402291026310881E-3</v>
      </c>
      <c r="G974" s="9">
        <f t="shared" si="44"/>
        <v>1.209498662676527E-2</v>
      </c>
    </row>
    <row r="975" spans="1:7" x14ac:dyDescent="0.2">
      <c r="A975" s="11">
        <v>36481</v>
      </c>
      <c r="B975" s="10">
        <v>130.39320000000001</v>
      </c>
      <c r="E975" s="13">
        <f t="shared" si="45"/>
        <v>6.2220945908648909E-3</v>
      </c>
      <c r="F975" s="9">
        <f t="shared" si="43"/>
        <v>1.8238340346292955E-2</v>
      </c>
      <c r="G975" s="9">
        <f t="shared" si="44"/>
        <v>1.2044393045747842E-2</v>
      </c>
    </row>
    <row r="976" spans="1:7" x14ac:dyDescent="0.2">
      <c r="A976" s="11">
        <v>36482</v>
      </c>
      <c r="B976" s="10">
        <v>134.49170000000001</v>
      </c>
      <c r="E976" s="13">
        <f t="shared" si="45"/>
        <v>3.0947986207002107E-2</v>
      </c>
      <c r="F976" s="9">
        <f t="shared" si="43"/>
        <v>5.7065038284468537E-2</v>
      </c>
      <c r="G976" s="9">
        <f t="shared" si="44"/>
        <v>1.3170273625397282E-2</v>
      </c>
    </row>
    <row r="977" spans="1:7" x14ac:dyDescent="0.2">
      <c r="A977" s="11">
        <v>36483</v>
      </c>
      <c r="B977" s="10">
        <v>133.5943</v>
      </c>
      <c r="E977" s="13">
        <f t="shared" si="45"/>
        <v>-6.6948915788526556E-3</v>
      </c>
      <c r="F977" s="9">
        <f t="shared" si="43"/>
        <v>4.5912710519498835E-2</v>
      </c>
      <c r="G977" s="9">
        <f t="shared" si="44"/>
        <v>1.3257511721026509E-2</v>
      </c>
    </row>
    <row r="978" spans="1:7" x14ac:dyDescent="0.2">
      <c r="A978" s="11">
        <v>36486</v>
      </c>
      <c r="B978" s="10">
        <v>133.8451</v>
      </c>
      <c r="E978" s="13">
        <f t="shared" si="45"/>
        <v>1.875565631099168E-3</v>
      </c>
      <c r="F978" s="9">
        <f t="shared" si="43"/>
        <v>4.086866024853103E-2</v>
      </c>
      <c r="G978" s="9">
        <f t="shared" si="44"/>
        <v>1.3218028898816032E-2</v>
      </c>
    </row>
    <row r="979" spans="1:7" x14ac:dyDescent="0.2">
      <c r="A979" s="11">
        <v>36487</v>
      </c>
      <c r="B979" s="10">
        <v>133.1362</v>
      </c>
      <c r="E979" s="13">
        <f t="shared" si="45"/>
        <v>-5.310496772586739E-3</v>
      </c>
      <c r="F979" s="9">
        <f t="shared" si="43"/>
        <v>3.6453608291507074E-2</v>
      </c>
      <c r="G979" s="9">
        <f t="shared" si="44"/>
        <v>1.3270842643418258E-2</v>
      </c>
    </row>
    <row r="980" spans="1:7" x14ac:dyDescent="0.2">
      <c r="A980" s="11">
        <v>36488</v>
      </c>
      <c r="B980" s="10">
        <v>131.59790000000001</v>
      </c>
      <c r="E980" s="13">
        <f t="shared" si="45"/>
        <v>-1.1621603063149284E-2</v>
      </c>
      <c r="F980" s="9">
        <f t="shared" si="43"/>
        <v>2.8274075427535128E-2</v>
      </c>
      <c r="G980" s="9">
        <f t="shared" si="44"/>
        <v>1.3459858102234547E-2</v>
      </c>
    </row>
    <row r="981" spans="1:7" x14ac:dyDescent="0.2">
      <c r="A981" s="11">
        <v>36489</v>
      </c>
      <c r="B981" s="10">
        <v>132.0899</v>
      </c>
      <c r="E981" s="13">
        <f t="shared" si="45"/>
        <v>3.7316900588179177E-3</v>
      </c>
      <c r="F981" s="9">
        <f t="shared" si="43"/>
        <v>6.9176259085807365E-2</v>
      </c>
      <c r="G981" s="9">
        <f t="shared" si="44"/>
        <v>1.1287685842283887E-2</v>
      </c>
    </row>
    <row r="982" spans="1:7" x14ac:dyDescent="0.2">
      <c r="A982" s="11">
        <v>36490</v>
      </c>
      <c r="B982" s="10">
        <v>132.63659999999999</v>
      </c>
      <c r="E982" s="13">
        <f t="shared" si="45"/>
        <v>4.1303063894169659E-3</v>
      </c>
      <c r="F982" s="9">
        <f t="shared" si="43"/>
        <v>7.5649051871319886E-2</v>
      </c>
      <c r="G982" s="9">
        <f t="shared" si="44"/>
        <v>1.1254807007694545E-2</v>
      </c>
    </row>
    <row r="983" spans="1:7" x14ac:dyDescent="0.2">
      <c r="A983" s="11">
        <v>36493</v>
      </c>
      <c r="B983" s="10">
        <v>133.36619999999999</v>
      </c>
      <c r="E983" s="13">
        <f t="shared" si="45"/>
        <v>5.4856702984169411E-3</v>
      </c>
      <c r="F983" s="9">
        <f t="shared" si="43"/>
        <v>6.2770221772254442E-2</v>
      </c>
      <c r="G983" s="9">
        <f t="shared" si="44"/>
        <v>1.0857993157460551E-2</v>
      </c>
    </row>
    <row r="984" spans="1:7" x14ac:dyDescent="0.2">
      <c r="A984" s="11">
        <v>36494</v>
      </c>
      <c r="B984" s="10">
        <v>133.38319999999999</v>
      </c>
      <c r="E984" s="13">
        <f t="shared" si="45"/>
        <v>1.2746045556614753E-4</v>
      </c>
      <c r="F984" s="9">
        <f t="shared" si="43"/>
        <v>5.91713628479556E-2</v>
      </c>
      <c r="G984" s="9">
        <f t="shared" si="44"/>
        <v>1.0860071032701039E-2</v>
      </c>
    </row>
    <row r="985" spans="1:7" x14ac:dyDescent="0.2">
      <c r="A985" s="11">
        <v>36495</v>
      </c>
      <c r="B985" s="10">
        <v>134.45779999999999</v>
      </c>
      <c r="E985" s="13">
        <f t="shared" si="45"/>
        <v>8.0242066444612889E-3</v>
      </c>
      <c r="F985" s="9">
        <f t="shared" si="43"/>
        <v>9.7213776781287869E-2</v>
      </c>
      <c r="G985" s="9">
        <f t="shared" si="44"/>
        <v>8.9851066115853185E-3</v>
      </c>
    </row>
    <row r="986" spans="1:7" x14ac:dyDescent="0.2">
      <c r="A986" s="11">
        <v>36496</v>
      </c>
      <c r="B986" s="10">
        <v>136.65219999999999</v>
      </c>
      <c r="E986" s="13">
        <f t="shared" si="45"/>
        <v>1.61886166050468E-2</v>
      </c>
      <c r="F986" s="9">
        <f t="shared" si="43"/>
        <v>0.10204760935172209</v>
      </c>
      <c r="G986" s="9">
        <f t="shared" si="44"/>
        <v>9.1815546240326222E-3</v>
      </c>
    </row>
    <row r="987" spans="1:7" x14ac:dyDescent="0.2">
      <c r="A987" s="11">
        <v>36497</v>
      </c>
      <c r="B987" s="10">
        <v>138.49029999999999</v>
      </c>
      <c r="E987" s="13">
        <f t="shared" si="45"/>
        <v>1.336127530485454E-2</v>
      </c>
      <c r="F987" s="9">
        <f t="shared" si="43"/>
        <v>0.12226159344797788</v>
      </c>
      <c r="G987" s="9">
        <f t="shared" si="44"/>
        <v>9.1332191998061574E-3</v>
      </c>
    </row>
    <row r="988" spans="1:7" x14ac:dyDescent="0.2">
      <c r="A988" s="11">
        <v>36500</v>
      </c>
      <c r="B988" s="10">
        <v>137.6797</v>
      </c>
      <c r="E988" s="13">
        <f t="shared" si="45"/>
        <v>-5.8703141384754305E-3</v>
      </c>
      <c r="F988" s="9">
        <f t="shared" si="43"/>
        <v>0.10115532171509965</v>
      </c>
      <c r="G988" s="9">
        <f t="shared" si="44"/>
        <v>9.0643906311649158E-3</v>
      </c>
    </row>
    <row r="989" spans="1:7" x14ac:dyDescent="0.2">
      <c r="A989" s="11">
        <v>36501</v>
      </c>
      <c r="B989" s="10">
        <v>138.0624</v>
      </c>
      <c r="E989" s="13">
        <f t="shared" si="45"/>
        <v>2.7757839352389327E-3</v>
      </c>
      <c r="F989" s="9">
        <f t="shared" si="43"/>
        <v>0.10129783448022449</v>
      </c>
      <c r="G989" s="9">
        <f t="shared" si="44"/>
        <v>9.0639492491717943E-3</v>
      </c>
    </row>
    <row r="990" spans="1:7" x14ac:dyDescent="0.2">
      <c r="A990" s="11">
        <v>36502</v>
      </c>
      <c r="B990" s="10">
        <v>137.09899999999999</v>
      </c>
      <c r="E990" s="13">
        <f t="shared" si="45"/>
        <v>-7.0024642747882988E-3</v>
      </c>
      <c r="F990" s="9">
        <f t="shared" si="43"/>
        <v>8.8014340519542975E-2</v>
      </c>
      <c r="G990" s="9">
        <f t="shared" si="44"/>
        <v>9.2517234465928164E-3</v>
      </c>
    </row>
    <row r="991" spans="1:7" x14ac:dyDescent="0.2">
      <c r="A991" s="11">
        <v>36503</v>
      </c>
      <c r="B991" s="10">
        <v>137.9813</v>
      </c>
      <c r="E991" s="13">
        <f t="shared" si="45"/>
        <v>6.4148761332486707E-3</v>
      </c>
      <c r="F991" s="9">
        <f t="shared" si="43"/>
        <v>0.10402523614137521</v>
      </c>
      <c r="G991" s="9">
        <f t="shared" si="44"/>
        <v>8.9436427002652173E-3</v>
      </c>
    </row>
    <row r="992" spans="1:7" x14ac:dyDescent="0.2">
      <c r="A992" s="11">
        <v>36504</v>
      </c>
      <c r="B992" s="10">
        <v>137.8493</v>
      </c>
      <c r="E992" s="13">
        <f t="shared" si="45"/>
        <v>-9.5710925529399367E-4</v>
      </c>
      <c r="F992" s="9">
        <f t="shared" ref="F992:F1055" si="46">LN(B992/B963)</f>
        <v>0.10326517225178973</v>
      </c>
      <c r="G992" s="9">
        <f t="shared" si="44"/>
        <v>8.9562328241661708E-3</v>
      </c>
    </row>
    <row r="993" spans="1:7" x14ac:dyDescent="0.2">
      <c r="A993" s="11">
        <v>36507</v>
      </c>
      <c r="B993" s="10">
        <v>138.21700000000001</v>
      </c>
      <c r="E993" s="13">
        <f t="shared" si="45"/>
        <v>2.6638544250923448E-3</v>
      </c>
      <c r="F993" s="9">
        <f t="shared" si="46"/>
        <v>0.11183019567610473</v>
      </c>
      <c r="G993" s="9">
        <f t="shared" ref="G993:G1056" si="47">STDEV(E965:E993)</f>
        <v>8.772399545417163E-3</v>
      </c>
    </row>
    <row r="994" spans="1:7" x14ac:dyDescent="0.2">
      <c r="A994" s="11">
        <v>36508</v>
      </c>
      <c r="B994" s="10">
        <v>136.852</v>
      </c>
      <c r="E994" s="13">
        <f t="shared" si="45"/>
        <v>-9.9248639773244843E-3</v>
      </c>
      <c r="F994" s="9">
        <f t="shared" si="46"/>
        <v>8.8134919739298795E-2</v>
      </c>
      <c r="G994" s="9">
        <f t="shared" si="47"/>
        <v>8.9182911921656741E-3</v>
      </c>
    </row>
    <row r="995" spans="1:7" x14ac:dyDescent="0.2">
      <c r="A995" s="11">
        <v>36509</v>
      </c>
      <c r="B995" s="10">
        <v>135.834</v>
      </c>
      <c r="E995" s="13">
        <f t="shared" si="45"/>
        <v>-7.4664979451417547E-3</v>
      </c>
      <c r="F995" s="9">
        <f t="shared" si="46"/>
        <v>7.4025295467650895E-2</v>
      </c>
      <c r="G995" s="9">
        <f t="shared" si="47"/>
        <v>9.0977241926005013E-3</v>
      </c>
    </row>
    <row r="996" spans="1:7" x14ac:dyDescent="0.2">
      <c r="A996" s="11">
        <v>36510</v>
      </c>
      <c r="B996" s="10">
        <v>138.7354</v>
      </c>
      <c r="E996" s="13">
        <f t="shared" si="45"/>
        <v>2.113496988853247E-2</v>
      </c>
      <c r="F996" s="9">
        <f t="shared" si="46"/>
        <v>9.2101732966012387E-2</v>
      </c>
      <c r="G996" s="9">
        <f t="shared" si="47"/>
        <v>9.7308447801336892E-3</v>
      </c>
    </row>
    <row r="997" spans="1:7" x14ac:dyDescent="0.2">
      <c r="A997" s="11">
        <v>36511</v>
      </c>
      <c r="B997" s="10">
        <v>140.1173</v>
      </c>
      <c r="E997" s="13">
        <f t="shared" si="45"/>
        <v>9.9114070810459639E-3</v>
      </c>
      <c r="F997" s="9">
        <f t="shared" si="46"/>
        <v>0.11386863591759742</v>
      </c>
      <c r="G997" s="9">
        <f t="shared" si="47"/>
        <v>9.3625143584425176E-3</v>
      </c>
    </row>
    <row r="998" spans="1:7" x14ac:dyDescent="0.2">
      <c r="A998" s="11">
        <v>36514</v>
      </c>
      <c r="B998" s="10">
        <v>139.20480000000001</v>
      </c>
      <c r="E998" s="13">
        <f t="shared" si="45"/>
        <v>-6.5336988813788867E-3</v>
      </c>
      <c r="F998" s="9">
        <f t="shared" si="46"/>
        <v>9.7626717901447113E-2</v>
      </c>
      <c r="G998" s="9">
        <f t="shared" si="47"/>
        <v>9.4892382495016542E-3</v>
      </c>
    </row>
    <row r="999" spans="1:7" x14ac:dyDescent="0.2">
      <c r="A999" s="11">
        <v>36515</v>
      </c>
      <c r="B999" s="10">
        <v>137.27619999999999</v>
      </c>
      <c r="E999" s="13">
        <f t="shared" si="45"/>
        <v>-1.3951275360568305E-2</v>
      </c>
      <c r="F999" s="9">
        <f t="shared" si="46"/>
        <v>8.0083684297652891E-2</v>
      </c>
      <c r="G999" s="9">
        <f t="shared" si="47"/>
        <v>1.0018764701145997E-2</v>
      </c>
    </row>
    <row r="1000" spans="1:7" x14ac:dyDescent="0.2">
      <c r="A1000" s="11">
        <v>36516</v>
      </c>
      <c r="B1000" s="10">
        <v>141.3484</v>
      </c>
      <c r="E1000" s="13">
        <f t="shared" si="45"/>
        <v>2.9232809951799506E-2</v>
      </c>
      <c r="F1000" s="9">
        <f t="shared" si="46"/>
        <v>0.10564794770917055</v>
      </c>
      <c r="G1000" s="9">
        <f t="shared" si="47"/>
        <v>1.1160980680287381E-2</v>
      </c>
    </row>
    <row r="1001" spans="1:7" x14ac:dyDescent="0.2">
      <c r="A1001" s="11">
        <v>36517</v>
      </c>
      <c r="B1001" s="10">
        <v>143.654</v>
      </c>
      <c r="E1001" s="13">
        <f t="shared" si="45"/>
        <v>1.6179865839676164E-2</v>
      </c>
      <c r="F1001" s="9">
        <f t="shared" si="46"/>
        <v>0.1197399940112332</v>
      </c>
      <c r="G1001" s="9">
        <f t="shared" si="47"/>
        <v>1.1395167248677892E-2</v>
      </c>
    </row>
    <row r="1002" spans="1:7" x14ac:dyDescent="0.2">
      <c r="A1002" s="11">
        <v>36521</v>
      </c>
      <c r="B1002" s="10">
        <v>146.52529999999999</v>
      </c>
      <c r="E1002" s="13">
        <f t="shared" si="45"/>
        <v>1.9790479297244926E-2</v>
      </c>
      <c r="F1002" s="9">
        <f t="shared" si="46"/>
        <v>0.12773692989369242</v>
      </c>
      <c r="G1002" s="9">
        <f t="shared" si="47"/>
        <v>1.1680459081636988E-2</v>
      </c>
    </row>
    <row r="1003" spans="1:7" x14ac:dyDescent="0.2">
      <c r="A1003" s="11">
        <v>36522</v>
      </c>
      <c r="B1003" s="10">
        <v>145.1962</v>
      </c>
      <c r="E1003" s="13">
        <f t="shared" si="45"/>
        <v>-9.1121785432392889E-3</v>
      </c>
      <c r="F1003" s="9">
        <f t="shared" si="46"/>
        <v>0.11375352494662683</v>
      </c>
      <c r="G1003" s="9">
        <f t="shared" si="47"/>
        <v>1.1946119873297602E-2</v>
      </c>
    </row>
    <row r="1004" spans="1:7" x14ac:dyDescent="0.2">
      <c r="A1004" s="11">
        <v>36523</v>
      </c>
      <c r="B1004" s="10">
        <v>144.27619999999999</v>
      </c>
      <c r="E1004" s="13">
        <f t="shared" si="45"/>
        <v>-6.3564132375805715E-3</v>
      </c>
      <c r="F1004" s="9">
        <f t="shared" si="46"/>
        <v>0.10117501711818143</v>
      </c>
      <c r="G1004" s="9">
        <f t="shared" si="47"/>
        <v>1.2087163836687962E-2</v>
      </c>
    </row>
    <row r="1005" spans="1:7" x14ac:dyDescent="0.2">
      <c r="A1005" s="11">
        <v>36524</v>
      </c>
      <c r="B1005" s="10">
        <v>147.11529999999999</v>
      </c>
      <c r="E1005" s="13">
        <f t="shared" si="45"/>
        <v>1.9487115063834212E-2</v>
      </c>
      <c r="F1005" s="9">
        <f t="shared" si="46"/>
        <v>8.971414597501351E-2</v>
      </c>
      <c r="G1005" s="9">
        <f t="shared" si="47"/>
        <v>1.1320330159885404E-2</v>
      </c>
    </row>
    <row r="1006" spans="1:7" x14ac:dyDescent="0.2">
      <c r="A1006" s="11">
        <v>36528</v>
      </c>
      <c r="B1006" s="10">
        <v>149.68680000000001</v>
      </c>
      <c r="E1006" s="13">
        <f t="shared" si="45"/>
        <v>1.7328478109524193E-2</v>
      </c>
      <c r="F1006" s="9">
        <f t="shared" si="46"/>
        <v>0.1137375156633904</v>
      </c>
      <c r="G1006" s="9">
        <f t="shared" si="47"/>
        <v>1.1456615895276847E-2</v>
      </c>
    </row>
    <row r="1007" spans="1:7" x14ac:dyDescent="0.2">
      <c r="A1007" s="11">
        <v>36529</v>
      </c>
      <c r="B1007" s="10">
        <v>145.27350000000001</v>
      </c>
      <c r="E1007" s="13">
        <f t="shared" si="45"/>
        <v>-2.9926938522475157E-2</v>
      </c>
      <c r="F1007" s="9">
        <f t="shared" si="46"/>
        <v>8.1935011509816108E-2</v>
      </c>
      <c r="G1007" s="9">
        <f t="shared" si="47"/>
        <v>1.3068226439796058E-2</v>
      </c>
    </row>
    <row r="1008" spans="1:7" x14ac:dyDescent="0.2">
      <c r="A1008" s="11">
        <v>36530</v>
      </c>
      <c r="B1008" s="10">
        <v>141.4068</v>
      </c>
      <c r="E1008" s="13">
        <f t="shared" si="45"/>
        <v>-2.6977329833140724E-2</v>
      </c>
      <c r="F1008" s="9">
        <f t="shared" si="46"/>
        <v>6.026817844926214E-2</v>
      </c>
      <c r="G1008" s="9">
        <f t="shared" si="47"/>
        <v>1.4126493235077855E-2</v>
      </c>
    </row>
    <row r="1009" spans="1:7" x14ac:dyDescent="0.2">
      <c r="A1009" s="11">
        <v>36531</v>
      </c>
      <c r="B1009" s="10">
        <v>141.77250000000001</v>
      </c>
      <c r="E1009" s="13">
        <f t="shared" si="45"/>
        <v>2.5828173407945461E-3</v>
      </c>
      <c r="F1009" s="9">
        <f t="shared" si="46"/>
        <v>7.4472598853206048E-2</v>
      </c>
      <c r="G1009" s="9">
        <f t="shared" si="47"/>
        <v>1.387859469814055E-2</v>
      </c>
    </row>
    <row r="1010" spans="1:7" x14ac:dyDescent="0.2">
      <c r="A1010" s="11">
        <v>36532</v>
      </c>
      <c r="B1010" s="10">
        <v>143.79349999999999</v>
      </c>
      <c r="E1010" s="13">
        <f t="shared" si="45"/>
        <v>1.4154582426042502E-2</v>
      </c>
      <c r="F1010" s="9">
        <f t="shared" si="46"/>
        <v>8.4895491220430414E-2</v>
      </c>
      <c r="G1010" s="9">
        <f t="shared" si="47"/>
        <v>1.404378247909698E-2</v>
      </c>
    </row>
    <row r="1011" spans="1:7" x14ac:dyDescent="0.2">
      <c r="A1011" s="11">
        <v>36535</v>
      </c>
      <c r="B1011" s="10">
        <v>147.37739999999999</v>
      </c>
      <c r="E1011" s="13">
        <f t="shared" si="45"/>
        <v>2.4618401115877958E-2</v>
      </c>
      <c r="F1011" s="9">
        <f t="shared" si="46"/>
        <v>0.10538358594689122</v>
      </c>
      <c r="G1011" s="9">
        <f t="shared" si="47"/>
        <v>1.4610363091605029E-2</v>
      </c>
    </row>
    <row r="1012" spans="1:7" x14ac:dyDescent="0.2">
      <c r="A1012" s="11">
        <v>36536</v>
      </c>
      <c r="B1012" s="10">
        <v>146.06899999999999</v>
      </c>
      <c r="E1012" s="13">
        <f t="shared" si="45"/>
        <v>-8.9175309056524505E-3</v>
      </c>
      <c r="F1012" s="9">
        <f t="shared" si="46"/>
        <v>9.0980384742821913E-2</v>
      </c>
      <c r="G1012" s="9">
        <f t="shared" si="47"/>
        <v>1.4788886022057355E-2</v>
      </c>
    </row>
    <row r="1013" spans="1:7" x14ac:dyDescent="0.2">
      <c r="A1013" s="11">
        <v>36537</v>
      </c>
      <c r="B1013" s="10">
        <v>143.03380000000001</v>
      </c>
      <c r="E1013" s="13">
        <f t="shared" si="45"/>
        <v>-2.0998146839773239E-2</v>
      </c>
      <c r="F1013" s="9">
        <f t="shared" si="46"/>
        <v>6.9854777447482405E-2</v>
      </c>
      <c r="G1013" s="9">
        <f t="shared" si="47"/>
        <v>1.5448048400632606E-2</v>
      </c>
    </row>
    <row r="1014" spans="1:7" x14ac:dyDescent="0.2">
      <c r="A1014" s="11">
        <v>36538</v>
      </c>
      <c r="B1014" s="10">
        <v>145.839</v>
      </c>
      <c r="E1014" s="13">
        <f t="shared" si="45"/>
        <v>1.9422307550709686E-2</v>
      </c>
      <c r="F1014" s="9">
        <f t="shared" si="46"/>
        <v>8.1252878353730837E-2</v>
      </c>
      <c r="G1014" s="9">
        <f t="shared" si="47"/>
        <v>1.5738293468107501E-2</v>
      </c>
    </row>
    <row r="1015" spans="1:7" x14ac:dyDescent="0.2">
      <c r="A1015" s="11">
        <v>36539</v>
      </c>
      <c r="B1015" s="10">
        <v>146.5196</v>
      </c>
      <c r="E1015" s="13">
        <f t="shared" si="45"/>
        <v>4.6559343866598444E-3</v>
      </c>
      <c r="F1015" s="9">
        <f t="shared" si="46"/>
        <v>6.9720196135343859E-2</v>
      </c>
      <c r="G1015" s="9">
        <f t="shared" si="47"/>
        <v>1.553230949283315E-2</v>
      </c>
    </row>
    <row r="1016" spans="1:7" x14ac:dyDescent="0.2">
      <c r="A1016" s="11">
        <v>36542</v>
      </c>
      <c r="B1016" s="10">
        <v>146.1576</v>
      </c>
      <c r="E1016" s="13">
        <f t="shared" si="45"/>
        <v>-2.4737163304694512E-3</v>
      </c>
      <c r="F1016" s="9">
        <f t="shared" si="46"/>
        <v>5.3885204500019879E-2</v>
      </c>
      <c r="G1016" s="9">
        <f t="shared" si="47"/>
        <v>1.5411222996724507E-2</v>
      </c>
    </row>
    <row r="1017" spans="1:7" x14ac:dyDescent="0.2">
      <c r="A1017" s="11">
        <v>36543</v>
      </c>
      <c r="B1017" s="10">
        <v>145.73349999999999</v>
      </c>
      <c r="E1017" s="13">
        <f t="shared" si="45"/>
        <v>-2.9058802987138236E-3</v>
      </c>
      <c r="F1017" s="9">
        <f t="shared" si="46"/>
        <v>5.6849638339781426E-2</v>
      </c>
      <c r="G1017" s="9">
        <f t="shared" si="47"/>
        <v>1.5367900532952838E-2</v>
      </c>
    </row>
    <row r="1018" spans="1:7" x14ac:dyDescent="0.2">
      <c r="A1018" s="11">
        <v>36544</v>
      </c>
      <c r="B1018" s="10">
        <v>145.29230000000001</v>
      </c>
      <c r="E1018" s="13">
        <f t="shared" si="45"/>
        <v>-3.0320359088766942E-3</v>
      </c>
      <c r="F1018" s="9">
        <f t="shared" si="46"/>
        <v>5.1041818495665837E-2</v>
      </c>
      <c r="G1018" s="9">
        <f t="shared" si="47"/>
        <v>1.5394713749153612E-2</v>
      </c>
    </row>
    <row r="1019" spans="1:7" x14ac:dyDescent="0.2">
      <c r="A1019" s="11">
        <v>36545</v>
      </c>
      <c r="B1019" s="10">
        <v>145.5129</v>
      </c>
      <c r="E1019" s="13">
        <f t="shared" si="45"/>
        <v>1.5171671092172386E-3</v>
      </c>
      <c r="F1019" s="9">
        <f t="shared" si="46"/>
        <v>5.9561449879671567E-2</v>
      </c>
      <c r="G1019" s="9">
        <f t="shared" si="47"/>
        <v>1.5302539633098479E-2</v>
      </c>
    </row>
    <row r="1020" spans="1:7" x14ac:dyDescent="0.2">
      <c r="A1020" s="11">
        <v>36546</v>
      </c>
      <c r="B1020" s="10">
        <v>145.53550000000001</v>
      </c>
      <c r="E1020" s="13">
        <f t="shared" si="45"/>
        <v>1.5530063072283272E-4</v>
      </c>
      <c r="F1020" s="9">
        <f t="shared" si="46"/>
        <v>5.3301874377145828E-2</v>
      </c>
      <c r="G1020" s="9">
        <f t="shared" si="47"/>
        <v>1.52829630626967E-2</v>
      </c>
    </row>
    <row r="1021" spans="1:7" x14ac:dyDescent="0.2">
      <c r="A1021" s="11">
        <v>36549</v>
      </c>
      <c r="B1021" s="10">
        <v>147.13800000000001</v>
      </c>
      <c r="E1021" s="13">
        <f t="shared" si="45"/>
        <v>1.0950878808760752E-2</v>
      </c>
      <c r="F1021" s="9">
        <f t="shared" si="46"/>
        <v>6.5209862441200389E-2</v>
      </c>
      <c r="G1021" s="9">
        <f t="shared" si="47"/>
        <v>1.5364933691400358E-2</v>
      </c>
    </row>
    <row r="1022" spans="1:7" x14ac:dyDescent="0.2">
      <c r="A1022" s="11">
        <v>36550</v>
      </c>
      <c r="B1022" s="10">
        <v>143.91980000000001</v>
      </c>
      <c r="E1022" s="13">
        <f t="shared" si="45"/>
        <v>-2.2114721934408537E-2</v>
      </c>
      <c r="F1022" s="9">
        <f t="shared" si="46"/>
        <v>4.0431286081699491E-2</v>
      </c>
      <c r="G1022" s="9">
        <f t="shared" si="47"/>
        <v>1.6016176426806278E-2</v>
      </c>
    </row>
    <row r="1023" spans="1:7" x14ac:dyDescent="0.2">
      <c r="A1023" s="11">
        <v>36551</v>
      </c>
      <c r="B1023" s="10">
        <v>144.89070000000001</v>
      </c>
      <c r="E1023" s="13">
        <f t="shared" si="45"/>
        <v>6.7234650918652642E-3</v>
      </c>
      <c r="F1023" s="9">
        <f t="shared" si="46"/>
        <v>5.7079615150889114E-2</v>
      </c>
      <c r="G1023" s="9">
        <f t="shared" si="47"/>
        <v>1.5893871656539358E-2</v>
      </c>
    </row>
    <row r="1024" spans="1:7" x14ac:dyDescent="0.2">
      <c r="A1024" s="11">
        <v>36552</v>
      </c>
      <c r="B1024" s="10">
        <v>144.87379999999999</v>
      </c>
      <c r="E1024" s="13">
        <f t="shared" si="45"/>
        <v>-1.1664644923158773E-4</v>
      </c>
      <c r="F1024" s="9">
        <f t="shared" si="46"/>
        <v>6.4429466646799327E-2</v>
      </c>
      <c r="G1024" s="9">
        <f t="shared" si="47"/>
        <v>1.5796353268511067E-2</v>
      </c>
    </row>
    <row r="1025" spans="1:7" x14ac:dyDescent="0.2">
      <c r="A1025" s="11">
        <v>36553</v>
      </c>
      <c r="B1025" s="10">
        <v>144.00659999999999</v>
      </c>
      <c r="E1025" s="13">
        <f t="shared" si="45"/>
        <v>-6.0038867640042504E-3</v>
      </c>
      <c r="F1025" s="9">
        <f t="shared" si="46"/>
        <v>3.7290609994262577E-2</v>
      </c>
      <c r="G1025" s="9">
        <f t="shared" si="47"/>
        <v>1.5435632940206933E-2</v>
      </c>
    </row>
    <row r="1026" spans="1:7" x14ac:dyDescent="0.2">
      <c r="A1026" s="11">
        <v>36556</v>
      </c>
      <c r="B1026" s="10">
        <v>139.5385</v>
      </c>
      <c r="E1026" s="13">
        <f t="shared" si="45"/>
        <v>-3.151858301155349E-2</v>
      </c>
      <c r="F1026" s="9">
        <f t="shared" si="46"/>
        <v>-4.1393800983369478E-3</v>
      </c>
      <c r="G1026" s="9">
        <f t="shared" si="47"/>
        <v>1.6490030544171277E-2</v>
      </c>
    </row>
    <row r="1027" spans="1:7" x14ac:dyDescent="0.2">
      <c r="A1027" s="11">
        <v>36557</v>
      </c>
      <c r="B1027" s="10">
        <v>139.21799999999999</v>
      </c>
      <c r="E1027" s="13">
        <f t="shared" si="45"/>
        <v>-2.2994989621805012E-3</v>
      </c>
      <c r="F1027" s="9">
        <f t="shared" si="46"/>
        <v>9.481982086142892E-5</v>
      </c>
      <c r="G1027" s="9">
        <f t="shared" si="47"/>
        <v>1.6450119424037787E-2</v>
      </c>
    </row>
    <row r="1028" spans="1:7" x14ac:dyDescent="0.2">
      <c r="A1028" s="11">
        <v>36558</v>
      </c>
      <c r="B1028" s="10">
        <v>141.37479999999999</v>
      </c>
      <c r="E1028" s="13">
        <f t="shared" ref="E1028:E1091" si="48">LN(B1028/B1027)</f>
        <v>1.5373469872722194E-2</v>
      </c>
      <c r="F1028" s="9">
        <f t="shared" si="46"/>
        <v>2.9419565054152011E-2</v>
      </c>
      <c r="G1028" s="9">
        <f t="shared" si="47"/>
        <v>1.646298946047137E-2</v>
      </c>
    </row>
    <row r="1029" spans="1:7" x14ac:dyDescent="0.2">
      <c r="A1029" s="11">
        <v>36559</v>
      </c>
      <c r="B1029" s="10">
        <v>143.20339999999999</v>
      </c>
      <c r="E1029" s="13">
        <f t="shared" si="48"/>
        <v>1.2851477503436891E-2</v>
      </c>
      <c r="F1029" s="9">
        <f t="shared" si="46"/>
        <v>1.3038232605789431E-2</v>
      </c>
      <c r="G1029" s="9">
        <f t="shared" si="47"/>
        <v>1.5724670332468476E-2</v>
      </c>
    </row>
    <row r="1030" spans="1:7" x14ac:dyDescent="0.2">
      <c r="A1030" s="11">
        <v>36560</v>
      </c>
      <c r="B1030" s="10">
        <v>143.5164</v>
      </c>
      <c r="E1030" s="13">
        <f t="shared" si="48"/>
        <v>2.1833171224028146E-3</v>
      </c>
      <c r="F1030" s="9">
        <f t="shared" si="46"/>
        <v>-9.5831611148383602E-4</v>
      </c>
      <c r="G1030" s="9">
        <f t="shared" si="47"/>
        <v>1.5436779201308782E-2</v>
      </c>
    </row>
    <row r="1031" spans="1:7" x14ac:dyDescent="0.2">
      <c r="A1031" s="11">
        <v>36563</v>
      </c>
      <c r="B1031" s="10">
        <v>143.1884</v>
      </c>
      <c r="E1031" s="13">
        <f t="shared" si="48"/>
        <v>-2.2880687250234604E-3</v>
      </c>
      <c r="F1031" s="9">
        <f t="shared" si="46"/>
        <v>-2.3036864133752305E-2</v>
      </c>
      <c r="G1031" s="9">
        <f t="shared" si="47"/>
        <v>1.4961307494385215E-2</v>
      </c>
    </row>
    <row r="1032" spans="1:7" x14ac:dyDescent="0.2">
      <c r="A1032" s="11">
        <v>36564</v>
      </c>
      <c r="B1032" s="10">
        <v>144.76820000000001</v>
      </c>
      <c r="E1032" s="13">
        <f t="shared" si="48"/>
        <v>1.0972596914601045E-2</v>
      </c>
      <c r="F1032" s="9">
        <f t="shared" si="46"/>
        <v>-2.9520886759119695E-3</v>
      </c>
      <c r="G1032" s="9">
        <f t="shared" si="47"/>
        <v>1.5027243935871581E-2</v>
      </c>
    </row>
    <row r="1033" spans="1:7" x14ac:dyDescent="0.2">
      <c r="A1033" s="11">
        <v>36565</v>
      </c>
      <c r="B1033" s="10">
        <v>143.1789</v>
      </c>
      <c r="E1033" s="13">
        <f t="shared" si="48"/>
        <v>-1.1038945272136915E-2</v>
      </c>
      <c r="F1033" s="9">
        <f t="shared" si="46"/>
        <v>-7.6346207104682701E-3</v>
      </c>
      <c r="G1033" s="9">
        <f t="shared" si="47"/>
        <v>1.512170933731438E-2</v>
      </c>
    </row>
    <row r="1034" spans="1:7" x14ac:dyDescent="0.2">
      <c r="A1034" s="11">
        <v>36566</v>
      </c>
      <c r="B1034" s="10">
        <v>145.11510000000001</v>
      </c>
      <c r="E1034" s="13">
        <f t="shared" si="48"/>
        <v>1.343232333561542E-2</v>
      </c>
      <c r="F1034" s="9">
        <f t="shared" si="46"/>
        <v>-1.3689412438686991E-2</v>
      </c>
      <c r="G1034" s="9">
        <f t="shared" si="47"/>
        <v>1.4879129811667868E-2</v>
      </c>
    </row>
    <row r="1035" spans="1:7" x14ac:dyDescent="0.2">
      <c r="A1035" s="11">
        <v>36567</v>
      </c>
      <c r="B1035" s="10">
        <v>144.97559999999999</v>
      </c>
      <c r="E1035" s="13">
        <f t="shared" si="48"/>
        <v>-9.6176823836913151E-4</v>
      </c>
      <c r="F1035" s="9">
        <f t="shared" si="46"/>
        <v>-3.197965878658024E-2</v>
      </c>
      <c r="G1035" s="9">
        <f t="shared" si="47"/>
        <v>1.4479941244566046E-2</v>
      </c>
    </row>
    <row r="1036" spans="1:7" x14ac:dyDescent="0.2">
      <c r="A1036" s="11">
        <v>36570</v>
      </c>
      <c r="B1036" s="10">
        <v>145.8956</v>
      </c>
      <c r="E1036" s="13">
        <f t="shared" si="48"/>
        <v>6.3258450332344951E-3</v>
      </c>
      <c r="F1036" s="9">
        <f t="shared" si="46"/>
        <v>4.2731247691293762E-3</v>
      </c>
      <c r="G1036" s="9">
        <f t="shared" si="47"/>
        <v>1.3429384159733292E-2</v>
      </c>
    </row>
    <row r="1037" spans="1:7" x14ac:dyDescent="0.2">
      <c r="A1037" s="11">
        <v>36571</v>
      </c>
      <c r="B1037" s="10">
        <v>144.51560000000001</v>
      </c>
      <c r="E1037" s="13">
        <f t="shared" si="48"/>
        <v>-9.5038372288698963E-3</v>
      </c>
      <c r="F1037" s="9">
        <f t="shared" si="46"/>
        <v>2.1746617373400185E-2</v>
      </c>
      <c r="G1037" s="9">
        <f t="shared" si="47"/>
        <v>1.253085172880546E-2</v>
      </c>
    </row>
    <row r="1038" spans="1:7" x14ac:dyDescent="0.2">
      <c r="A1038" s="11">
        <v>36572</v>
      </c>
      <c r="B1038" s="10">
        <v>144.11779999999999</v>
      </c>
      <c r="E1038" s="13">
        <f t="shared" si="48"/>
        <v>-2.7564394964153063E-3</v>
      </c>
      <c r="F1038" s="9">
        <f t="shared" si="46"/>
        <v>1.6407360536190168E-2</v>
      </c>
      <c r="G1038" s="9">
        <f t="shared" si="47"/>
        <v>1.254217811379678E-2</v>
      </c>
    </row>
    <row r="1039" spans="1:7" x14ac:dyDescent="0.2">
      <c r="A1039" s="11">
        <v>36573</v>
      </c>
      <c r="B1039" s="10">
        <v>143.4787</v>
      </c>
      <c r="E1039" s="13">
        <f t="shared" si="48"/>
        <v>-4.4444285796843234E-3</v>
      </c>
      <c r="F1039" s="9">
        <f t="shared" si="46"/>
        <v>-2.1916504695364625E-3</v>
      </c>
      <c r="G1039" s="9">
        <f t="shared" si="47"/>
        <v>1.2295603759547923E-2</v>
      </c>
    </row>
    <row r="1040" spans="1:7" x14ac:dyDescent="0.2">
      <c r="A1040" s="11">
        <v>36574</v>
      </c>
      <c r="B1040" s="10">
        <v>144.34780000000001</v>
      </c>
      <c r="E1040" s="13">
        <f t="shared" si="48"/>
        <v>6.0390731316778039E-3</v>
      </c>
      <c r="F1040" s="9">
        <f t="shared" si="46"/>
        <v>-2.0770978453736627E-2</v>
      </c>
      <c r="G1040" s="9">
        <f t="shared" si="47"/>
        <v>1.1415505987821206E-2</v>
      </c>
    </row>
    <row r="1041" spans="1:7" x14ac:dyDescent="0.2">
      <c r="A1041" s="11">
        <v>36577</v>
      </c>
      <c r="B1041" s="10">
        <v>143.46360000000001</v>
      </c>
      <c r="E1041" s="13">
        <f t="shared" si="48"/>
        <v>-6.1443207721541566E-3</v>
      </c>
      <c r="F1041" s="9">
        <f t="shared" si="46"/>
        <v>-1.7997768320238357E-2</v>
      </c>
      <c r="G1041" s="9">
        <f t="shared" si="47"/>
        <v>1.1355809479768827E-2</v>
      </c>
    </row>
    <row r="1042" spans="1:7" x14ac:dyDescent="0.2">
      <c r="A1042" s="11">
        <v>36578</v>
      </c>
      <c r="B1042" s="10">
        <v>144.36099999999999</v>
      </c>
      <c r="E1042" s="13">
        <f t="shared" si="48"/>
        <v>6.235762390900644E-3</v>
      </c>
      <c r="F1042" s="9">
        <f t="shared" si="46"/>
        <v>9.2361409104354929E-3</v>
      </c>
      <c r="G1042" s="9">
        <f t="shared" si="47"/>
        <v>1.0718665394206814E-2</v>
      </c>
    </row>
    <row r="1043" spans="1:7" x14ac:dyDescent="0.2">
      <c r="A1043" s="11">
        <v>36579</v>
      </c>
      <c r="B1043" s="10">
        <v>146.9212</v>
      </c>
      <c r="E1043" s="13">
        <f t="shared" si="48"/>
        <v>1.7579281751206259E-2</v>
      </c>
      <c r="F1043" s="9">
        <f t="shared" si="46"/>
        <v>7.3931151109320938E-3</v>
      </c>
      <c r="G1043" s="9">
        <f t="shared" si="47"/>
        <v>1.0606224601455091E-2</v>
      </c>
    </row>
    <row r="1044" spans="1:7" x14ac:dyDescent="0.2">
      <c r="A1044" s="11">
        <v>36580</v>
      </c>
      <c r="B1044" s="10">
        <v>146.8835</v>
      </c>
      <c r="E1044" s="13">
        <f t="shared" si="48"/>
        <v>-2.5663306411992951E-4</v>
      </c>
      <c r="F1044" s="9">
        <f t="shared" si="46"/>
        <v>2.4805476601525499E-3</v>
      </c>
      <c r="G1044" s="9">
        <f t="shared" si="47"/>
        <v>1.0572600591033111E-2</v>
      </c>
    </row>
    <row r="1045" spans="1:7" x14ac:dyDescent="0.2">
      <c r="A1045" s="11">
        <v>36581</v>
      </c>
      <c r="B1045" s="10">
        <v>146.52709999999999</v>
      </c>
      <c r="E1045" s="13">
        <f t="shared" si="48"/>
        <v>-2.4293612792676582E-3</v>
      </c>
      <c r="F1045" s="9">
        <f t="shared" si="46"/>
        <v>2.5249027113544019E-3</v>
      </c>
      <c r="G1045" s="9">
        <f t="shared" si="47"/>
        <v>1.0572220335782083E-2</v>
      </c>
    </row>
    <row r="1046" spans="1:7" x14ac:dyDescent="0.2">
      <c r="A1046" s="11">
        <v>36584</v>
      </c>
      <c r="B1046" s="10">
        <v>145.215</v>
      </c>
      <c r="E1046" s="13">
        <f t="shared" si="48"/>
        <v>-8.9949914448974964E-3</v>
      </c>
      <c r="F1046" s="9">
        <f t="shared" si="46"/>
        <v>-3.5642084348292621E-3</v>
      </c>
      <c r="G1046" s="9">
        <f t="shared" si="47"/>
        <v>1.069355464692456E-2</v>
      </c>
    </row>
    <row r="1047" spans="1:7" x14ac:dyDescent="0.2">
      <c r="A1047" s="11">
        <v>36585</v>
      </c>
      <c r="B1047" s="10">
        <v>146.06710000000001</v>
      </c>
      <c r="E1047" s="13">
        <f t="shared" si="48"/>
        <v>5.8507023305918561E-3</v>
      </c>
      <c r="F1047" s="9">
        <f t="shared" si="46"/>
        <v>5.3185298046391199E-3</v>
      </c>
      <c r="G1047" s="9">
        <f t="shared" si="47"/>
        <v>1.0734389384272304E-2</v>
      </c>
    </row>
    <row r="1048" spans="1:7" x14ac:dyDescent="0.2">
      <c r="A1048" s="11">
        <v>36586</v>
      </c>
      <c r="B1048" s="10">
        <v>150.77459999999999</v>
      </c>
      <c r="E1048" s="13">
        <f t="shared" si="48"/>
        <v>3.1719901203086751E-2</v>
      </c>
      <c r="F1048" s="9">
        <f t="shared" si="46"/>
        <v>3.5521263898508786E-2</v>
      </c>
      <c r="G1048" s="9">
        <f t="shared" si="47"/>
        <v>1.2229466759846184E-2</v>
      </c>
    </row>
    <row r="1049" spans="1:7" x14ac:dyDescent="0.2">
      <c r="A1049" s="11">
        <v>36587</v>
      </c>
      <c r="B1049" s="10">
        <v>150.81610000000001</v>
      </c>
      <c r="E1049" s="13">
        <f t="shared" si="48"/>
        <v>2.7520742689979836E-4</v>
      </c>
      <c r="F1049" s="9">
        <f t="shared" si="46"/>
        <v>3.564117069468567E-2</v>
      </c>
      <c r="G1049" s="9">
        <f t="shared" si="47"/>
        <v>1.2229112493716384E-2</v>
      </c>
    </row>
    <row r="1050" spans="1:7" x14ac:dyDescent="0.2">
      <c r="A1050" s="11">
        <v>36588</v>
      </c>
      <c r="B1050" s="10">
        <v>151.8398</v>
      </c>
      <c r="E1050" s="13">
        <f t="shared" si="48"/>
        <v>6.7648038840526642E-3</v>
      </c>
      <c r="F1050" s="9">
        <f t="shared" si="46"/>
        <v>3.1455095769977598E-2</v>
      </c>
      <c r="G1050" s="9">
        <f t="shared" si="47"/>
        <v>1.2134601329642085E-2</v>
      </c>
    </row>
    <row r="1051" spans="1:7" x14ac:dyDescent="0.2">
      <c r="A1051" s="11">
        <v>36591</v>
      </c>
      <c r="B1051" s="10">
        <v>152.8126</v>
      </c>
      <c r="E1051" s="13">
        <f t="shared" si="48"/>
        <v>6.3863163809294967E-3</v>
      </c>
      <c r="F1051" s="9">
        <f t="shared" si="46"/>
        <v>5.9956134085315582E-2</v>
      </c>
      <c r="G1051" s="9">
        <f t="shared" si="47"/>
        <v>1.1315042212611806E-2</v>
      </c>
    </row>
    <row r="1052" spans="1:7" x14ac:dyDescent="0.2">
      <c r="A1052" s="11">
        <v>36592</v>
      </c>
      <c r="B1052" s="10">
        <v>157.5163</v>
      </c>
      <c r="E1052" s="13">
        <f t="shared" si="48"/>
        <v>3.0316610908540698E-2</v>
      </c>
      <c r="F1052" s="9">
        <f t="shared" si="46"/>
        <v>8.3549279901991055E-2</v>
      </c>
      <c r="G1052" s="9">
        <f t="shared" si="47"/>
        <v>1.245274950024907E-2</v>
      </c>
    </row>
    <row r="1053" spans="1:7" x14ac:dyDescent="0.2">
      <c r="A1053" s="11">
        <v>36593</v>
      </c>
      <c r="B1053" s="10">
        <v>155.96090000000001</v>
      </c>
      <c r="E1053" s="13">
        <f t="shared" si="48"/>
        <v>-9.9236101660609213E-3</v>
      </c>
      <c r="F1053" s="9">
        <f t="shared" si="46"/>
        <v>7.3742316185161721E-2</v>
      </c>
      <c r="G1053" s="9">
        <f t="shared" si="47"/>
        <v>1.2668356356213306E-2</v>
      </c>
    </row>
    <row r="1054" spans="1:7" x14ac:dyDescent="0.2">
      <c r="A1054" s="11">
        <v>36594</v>
      </c>
      <c r="B1054" s="10">
        <v>155.3143</v>
      </c>
      <c r="E1054" s="13">
        <f t="shared" si="48"/>
        <v>-4.154529047171702E-3</v>
      </c>
      <c r="F1054" s="9">
        <f t="shared" si="46"/>
        <v>7.5591673901994269E-2</v>
      </c>
      <c r="G1054" s="9">
        <f t="shared" si="47"/>
        <v>1.262838831697238E-2</v>
      </c>
    </row>
    <row r="1055" spans="1:7" x14ac:dyDescent="0.2">
      <c r="A1055" s="11">
        <v>36595</v>
      </c>
      <c r="B1055" s="10">
        <v>154.60919999999999</v>
      </c>
      <c r="E1055" s="13">
        <f t="shared" si="48"/>
        <v>-4.5501629694497505E-3</v>
      </c>
      <c r="F1055" s="9">
        <f t="shared" si="46"/>
        <v>0.10256009394409804</v>
      </c>
      <c r="G1055" s="9">
        <f t="shared" si="47"/>
        <v>1.0900433856692289E-2</v>
      </c>
    </row>
    <row r="1056" spans="1:7" x14ac:dyDescent="0.2">
      <c r="A1056" s="11">
        <v>36598</v>
      </c>
      <c r="B1056" s="10">
        <v>149.6962</v>
      </c>
      <c r="E1056" s="13">
        <f t="shared" si="48"/>
        <v>-3.2292735789698788E-2</v>
      </c>
      <c r="F1056" s="9">
        <f t="shared" ref="F1056:F1119" si="49">LN(B1056/B1027)</f>
        <v>7.2566857116579814E-2</v>
      </c>
      <c r="G1056" s="9">
        <f t="shared" si="47"/>
        <v>1.2741387693947585E-2</v>
      </c>
    </row>
    <row r="1057" spans="1:7" x14ac:dyDescent="0.2">
      <c r="A1057" s="11">
        <v>36599</v>
      </c>
      <c r="B1057" s="10">
        <v>151.37029999999999</v>
      </c>
      <c r="E1057" s="13">
        <f t="shared" si="48"/>
        <v>1.1121245669304239E-2</v>
      </c>
      <c r="F1057" s="9">
        <f t="shared" si="49"/>
        <v>6.8314632913161713E-2</v>
      </c>
      <c r="G1057" s="9">
        <f t="shared" ref="G1057:G1120" si="50">STDEV(E1029:E1057)</f>
        <v>1.2611783959573856E-2</v>
      </c>
    </row>
    <row r="1058" spans="1:7" x14ac:dyDescent="0.2">
      <c r="A1058" s="11">
        <v>36600</v>
      </c>
      <c r="B1058" s="10">
        <v>148.67070000000001</v>
      </c>
      <c r="E1058" s="13">
        <f t="shared" si="48"/>
        <v>-1.7995359642384145E-2</v>
      </c>
      <c r="F1058" s="9">
        <f t="shared" si="49"/>
        <v>3.7467795767340585E-2</v>
      </c>
      <c r="G1058" s="9">
        <f t="shared" si="50"/>
        <v>1.2990092688672635E-2</v>
      </c>
    </row>
    <row r="1059" spans="1:7" x14ac:dyDescent="0.2">
      <c r="A1059" s="11">
        <v>36601</v>
      </c>
      <c r="B1059" s="10">
        <v>148.3785</v>
      </c>
      <c r="E1059" s="13">
        <f t="shared" si="48"/>
        <v>-1.9673514976373437E-3</v>
      </c>
      <c r="F1059" s="9">
        <f t="shared" si="49"/>
        <v>3.3317127147300202E-2</v>
      </c>
      <c r="G1059" s="9">
        <f t="shared" si="50"/>
        <v>1.3002781326796142E-2</v>
      </c>
    </row>
    <row r="1060" spans="1:7" x14ac:dyDescent="0.2">
      <c r="A1060" s="11">
        <v>36602</v>
      </c>
      <c r="B1060" s="10">
        <v>148.2653</v>
      </c>
      <c r="E1060" s="13">
        <f t="shared" si="48"/>
        <v>-7.632049312660007E-4</v>
      </c>
      <c r="F1060" s="9">
        <f t="shared" si="49"/>
        <v>3.484199094105777E-2</v>
      </c>
      <c r="G1060" s="9">
        <f t="shared" si="50"/>
        <v>1.2991464693113885E-2</v>
      </c>
    </row>
    <row r="1061" spans="1:7" x14ac:dyDescent="0.2">
      <c r="A1061" s="11">
        <v>36605</v>
      </c>
      <c r="B1061" s="10">
        <v>148.79130000000001</v>
      </c>
      <c r="E1061" s="13">
        <f t="shared" si="48"/>
        <v>3.5414163478700508E-3</v>
      </c>
      <c r="F1061" s="9">
        <f t="shared" si="49"/>
        <v>2.7410810374326505E-2</v>
      </c>
      <c r="G1061" s="9">
        <f t="shared" si="50"/>
        <v>1.2864519610173104E-2</v>
      </c>
    </row>
    <row r="1062" spans="1:7" x14ac:dyDescent="0.2">
      <c r="A1062" s="11">
        <v>36606</v>
      </c>
      <c r="B1062" s="10">
        <v>147.3887</v>
      </c>
      <c r="E1062" s="13">
        <f t="shared" si="48"/>
        <v>-9.471338275033438E-3</v>
      </c>
      <c r="F1062" s="9">
        <f t="shared" si="49"/>
        <v>2.8978417371430164E-2</v>
      </c>
      <c r="G1062" s="9">
        <f t="shared" si="50"/>
        <v>1.2815565323047085E-2</v>
      </c>
    </row>
    <row r="1063" spans="1:7" x14ac:dyDescent="0.2">
      <c r="A1063" s="11">
        <v>36607</v>
      </c>
      <c r="B1063" s="10">
        <v>148.00139999999999</v>
      </c>
      <c r="E1063" s="13">
        <f t="shared" si="48"/>
        <v>4.1484185061164171E-3</v>
      </c>
      <c r="F1063" s="9">
        <f t="shared" si="49"/>
        <v>1.9694512541930932E-2</v>
      </c>
      <c r="G1063" s="9">
        <f t="shared" si="50"/>
        <v>1.2608171903057394E-2</v>
      </c>
    </row>
    <row r="1064" spans="1:7" x14ac:dyDescent="0.2">
      <c r="A1064" s="11">
        <v>36608</v>
      </c>
      <c r="B1064" s="10">
        <v>149.34559999999999</v>
      </c>
      <c r="E1064" s="13">
        <f t="shared" si="48"/>
        <v>9.0413500516445446E-3</v>
      </c>
      <c r="F1064" s="9">
        <f t="shared" si="49"/>
        <v>2.9697630831944676E-2</v>
      </c>
      <c r="G1064" s="9">
        <f t="shared" si="50"/>
        <v>1.2698188696299477E-2</v>
      </c>
    </row>
    <row r="1065" spans="1:7" x14ac:dyDescent="0.2">
      <c r="A1065" s="11">
        <v>36609</v>
      </c>
      <c r="B1065" s="10">
        <v>149.125</v>
      </c>
      <c r="E1065" s="13">
        <f t="shared" si="48"/>
        <v>-1.4782028123982978E-3</v>
      </c>
      <c r="F1065" s="9">
        <f t="shared" si="49"/>
        <v>2.1893582986311663E-2</v>
      </c>
      <c r="G1065" s="9">
        <f t="shared" si="50"/>
        <v>1.266446676941071E-2</v>
      </c>
    </row>
    <row r="1066" spans="1:7" x14ac:dyDescent="0.2">
      <c r="A1066" s="11">
        <v>36612</v>
      </c>
      <c r="B1066" s="10">
        <v>147.7526</v>
      </c>
      <c r="E1066" s="13">
        <f t="shared" si="48"/>
        <v>-9.2456269939789077E-3</v>
      </c>
      <c r="F1066" s="9">
        <f t="shared" si="49"/>
        <v>2.2151793221202663E-2</v>
      </c>
      <c r="G1066" s="9">
        <f t="shared" si="50"/>
        <v>1.2657085317638574E-2</v>
      </c>
    </row>
    <row r="1067" spans="1:7" x14ac:dyDescent="0.2">
      <c r="A1067" s="11">
        <v>36613</v>
      </c>
      <c r="B1067" s="10">
        <v>147.63570000000001</v>
      </c>
      <c r="E1067" s="13">
        <f t="shared" si="48"/>
        <v>-7.9150058484296355E-4</v>
      </c>
      <c r="F1067" s="9">
        <f t="shared" si="49"/>
        <v>2.4116732132775088E-2</v>
      </c>
      <c r="G1067" s="9">
        <f t="shared" si="50"/>
        <v>1.264281863513703E-2</v>
      </c>
    </row>
    <row r="1068" spans="1:7" x14ac:dyDescent="0.2">
      <c r="A1068" s="11">
        <v>36614</v>
      </c>
      <c r="B1068" s="10">
        <v>145.82579999999999</v>
      </c>
      <c r="E1068" s="13">
        <f t="shared" si="48"/>
        <v>-1.2334994186832284E-2</v>
      </c>
      <c r="F1068" s="9">
        <f t="shared" si="49"/>
        <v>1.6226166525627098E-2</v>
      </c>
      <c r="G1068" s="9">
        <f t="shared" si="50"/>
        <v>1.2843731293175002E-2</v>
      </c>
    </row>
    <row r="1069" spans="1:7" x14ac:dyDescent="0.2">
      <c r="A1069" s="11">
        <v>36615</v>
      </c>
      <c r="B1069" s="10">
        <v>144.3648</v>
      </c>
      <c r="E1069" s="13">
        <f t="shared" si="48"/>
        <v>-1.0069329222800344E-2</v>
      </c>
      <c r="F1069" s="9">
        <f t="shared" si="49"/>
        <v>1.177641711490669E-4</v>
      </c>
      <c r="G1069" s="9">
        <f t="shared" si="50"/>
        <v>1.2946206781014652E-2</v>
      </c>
    </row>
    <row r="1070" spans="1:7" x14ac:dyDescent="0.2">
      <c r="A1070" s="11">
        <v>36616</v>
      </c>
      <c r="B1070" s="10">
        <v>148.14089999999999</v>
      </c>
      <c r="E1070" s="13">
        <f t="shared" si="48"/>
        <v>2.5820418471205933E-2</v>
      </c>
      <c r="F1070" s="9">
        <f t="shared" si="49"/>
        <v>3.2082503414509085E-2</v>
      </c>
      <c r="G1070" s="9">
        <f t="shared" si="50"/>
        <v>1.3740410571586687E-2</v>
      </c>
    </row>
    <row r="1071" spans="1:7" x14ac:dyDescent="0.2">
      <c r="A1071" s="11">
        <v>36619</v>
      </c>
      <c r="B1071" s="10">
        <v>148.04480000000001</v>
      </c>
      <c r="E1071" s="13">
        <f t="shared" si="48"/>
        <v>-6.4891723923360541E-4</v>
      </c>
      <c r="F1071" s="9">
        <f t="shared" si="49"/>
        <v>2.5197823784374795E-2</v>
      </c>
      <c r="G1071" s="9">
        <f t="shared" si="50"/>
        <v>1.3708057566459583E-2</v>
      </c>
    </row>
    <row r="1072" spans="1:7" x14ac:dyDescent="0.2">
      <c r="A1072" s="11">
        <v>36620</v>
      </c>
      <c r="B1072" s="10">
        <v>147.04750000000001</v>
      </c>
      <c r="E1072" s="13">
        <f t="shared" si="48"/>
        <v>-6.7592668261740908E-3</v>
      </c>
      <c r="F1072" s="9">
        <f t="shared" si="49"/>
        <v>8.5927520699440182E-4</v>
      </c>
      <c r="G1072" s="9">
        <f t="shared" si="50"/>
        <v>1.3389799972654999E-2</v>
      </c>
    </row>
    <row r="1073" spans="1:7" x14ac:dyDescent="0.2">
      <c r="A1073" s="11">
        <v>36621</v>
      </c>
      <c r="B1073" s="10">
        <v>140.62440000000001</v>
      </c>
      <c r="E1073" s="13">
        <f t="shared" si="48"/>
        <v>-4.466315755250818E-2</v>
      </c>
      <c r="F1073" s="9">
        <f t="shared" si="49"/>
        <v>-4.3547249281393925E-2</v>
      </c>
      <c r="G1073" s="9">
        <f t="shared" si="50"/>
        <v>1.5754131238569974E-2</v>
      </c>
    </row>
    <row r="1074" spans="1:7" x14ac:dyDescent="0.2">
      <c r="A1074" s="11">
        <v>36622</v>
      </c>
      <c r="B1074" s="10">
        <v>144.4948</v>
      </c>
      <c r="E1074" s="13">
        <f t="shared" si="48"/>
        <v>2.715101446288426E-2</v>
      </c>
      <c r="F1074" s="9">
        <f t="shared" si="49"/>
        <v>-1.3966873539242112E-2</v>
      </c>
      <c r="G1074" s="9">
        <f t="shared" si="50"/>
        <v>1.6625427138339918E-2</v>
      </c>
    </row>
    <row r="1075" spans="1:7" x14ac:dyDescent="0.2">
      <c r="A1075" s="11">
        <v>36623</v>
      </c>
      <c r="B1075" s="10">
        <v>146.01060000000001</v>
      </c>
      <c r="E1075" s="13">
        <f t="shared" si="48"/>
        <v>1.0435701066811333E-2</v>
      </c>
      <c r="F1075" s="9">
        <f t="shared" si="49"/>
        <v>5.4638189724665531E-3</v>
      </c>
      <c r="G1075" s="9">
        <f t="shared" si="50"/>
        <v>1.6661575133667051E-2</v>
      </c>
    </row>
    <row r="1076" spans="1:7" x14ac:dyDescent="0.2">
      <c r="A1076" s="11">
        <v>36626</v>
      </c>
      <c r="B1076" s="10">
        <v>146.3801</v>
      </c>
      <c r="E1076" s="13">
        <f t="shared" si="48"/>
        <v>2.5274415136728773E-3</v>
      </c>
      <c r="F1076" s="9">
        <f t="shared" si="49"/>
        <v>2.1405581555475673E-3</v>
      </c>
      <c r="G1076" s="9">
        <f t="shared" si="50"/>
        <v>1.6632643328000518E-2</v>
      </c>
    </row>
    <row r="1077" spans="1:7" x14ac:dyDescent="0.2">
      <c r="A1077" s="11">
        <v>36627</v>
      </c>
      <c r="B1077" s="10">
        <v>144.3459</v>
      </c>
      <c r="E1077" s="13">
        <f t="shared" si="48"/>
        <v>-1.3994160807417002E-2</v>
      </c>
      <c r="F1077" s="9">
        <f t="shared" si="49"/>
        <v>-4.3573503854956133E-2</v>
      </c>
      <c r="G1077" s="9">
        <f t="shared" si="50"/>
        <v>1.5664366728651322E-2</v>
      </c>
    </row>
    <row r="1078" spans="1:7" x14ac:dyDescent="0.2">
      <c r="A1078" s="11">
        <v>36628</v>
      </c>
      <c r="B1078" s="10">
        <v>144.41</v>
      </c>
      <c r="E1078" s="13">
        <f t="shared" si="48"/>
        <v>4.439736196067232E-4</v>
      </c>
      <c r="F1078" s="9">
        <f t="shared" si="49"/>
        <v>-4.3404737662249088E-2</v>
      </c>
      <c r="G1078" s="9">
        <f t="shared" si="50"/>
        <v>1.5665082104650313E-2</v>
      </c>
    </row>
    <row r="1079" spans="1:7" x14ac:dyDescent="0.2">
      <c r="A1079" s="11">
        <v>36629</v>
      </c>
      <c r="B1079" s="10">
        <v>142.47569999999999</v>
      </c>
      <c r="E1079" s="13">
        <f t="shared" si="48"/>
        <v>-1.3485017286823348E-2</v>
      </c>
      <c r="F1079" s="9">
        <f t="shared" si="49"/>
        <v>-6.3654558833125235E-2</v>
      </c>
      <c r="G1079" s="9">
        <f t="shared" si="50"/>
        <v>1.5734835310476692E-2</v>
      </c>
    </row>
    <row r="1080" spans="1:7" x14ac:dyDescent="0.2">
      <c r="A1080" s="11">
        <v>36630</v>
      </c>
      <c r="B1080" s="10">
        <v>139.47630000000001</v>
      </c>
      <c r="E1080" s="13">
        <f t="shared" si="48"/>
        <v>-2.1276764496709271E-2</v>
      </c>
      <c r="F1080" s="9">
        <f t="shared" si="49"/>
        <v>-9.1317639710763954E-2</v>
      </c>
      <c r="G1080" s="9">
        <f t="shared" si="50"/>
        <v>1.6031741924189196E-2</v>
      </c>
    </row>
    <row r="1081" spans="1:7" x14ac:dyDescent="0.2">
      <c r="A1081" s="11">
        <v>36633</v>
      </c>
      <c r="B1081" s="10">
        <v>137.68719999999999</v>
      </c>
      <c r="E1081" s="13">
        <f t="shared" si="48"/>
        <v>-1.2910248641779764E-2</v>
      </c>
      <c r="F1081" s="9">
        <f t="shared" si="49"/>
        <v>-0.13454449926108439</v>
      </c>
      <c r="G1081" s="9">
        <f t="shared" si="50"/>
        <v>1.4768911246431158E-2</v>
      </c>
    </row>
    <row r="1082" spans="1:7" x14ac:dyDescent="0.2">
      <c r="A1082" s="11">
        <v>36634</v>
      </c>
      <c r="B1082" s="10">
        <v>140.01169999999999</v>
      </c>
      <c r="E1082" s="13">
        <f t="shared" si="48"/>
        <v>1.6741544832816983E-2</v>
      </c>
      <c r="F1082" s="9">
        <f t="shared" si="49"/>
        <v>-0.10787934426220638</v>
      </c>
      <c r="G1082" s="9">
        <f t="shared" si="50"/>
        <v>1.5250395578127834E-2</v>
      </c>
    </row>
    <row r="1083" spans="1:7" x14ac:dyDescent="0.2">
      <c r="A1083" s="11">
        <v>36635</v>
      </c>
      <c r="B1083" s="10">
        <v>142.54740000000001</v>
      </c>
      <c r="E1083" s="13">
        <f t="shared" si="48"/>
        <v>1.7948585432055388E-2</v>
      </c>
      <c r="F1083" s="9">
        <f t="shared" si="49"/>
        <v>-8.5776229782979246E-2</v>
      </c>
      <c r="G1083" s="9">
        <f t="shared" si="50"/>
        <v>1.5771333778513745E-2</v>
      </c>
    </row>
    <row r="1084" spans="1:7" x14ac:dyDescent="0.2">
      <c r="A1084" s="11">
        <v>36641</v>
      </c>
      <c r="B1084" s="10">
        <v>143.42779999999999</v>
      </c>
      <c r="E1084" s="13">
        <f t="shared" si="48"/>
        <v>6.1571967178073684E-3</v>
      </c>
      <c r="F1084" s="9">
        <f t="shared" si="49"/>
        <v>-7.5068870095721996E-2</v>
      </c>
      <c r="G1084" s="9">
        <f t="shared" si="50"/>
        <v>1.5857820670594183E-2</v>
      </c>
    </row>
    <row r="1085" spans="1:7" x14ac:dyDescent="0.2">
      <c r="A1085" s="11">
        <v>36642</v>
      </c>
      <c r="B1085" s="10">
        <v>145.0189</v>
      </c>
      <c r="E1085" s="13">
        <f t="shared" si="48"/>
        <v>1.1032306058170356E-2</v>
      </c>
      <c r="F1085" s="9">
        <f t="shared" si="49"/>
        <v>-3.1743828247852837E-2</v>
      </c>
      <c r="G1085" s="9">
        <f t="shared" si="50"/>
        <v>1.497574106706869E-2</v>
      </c>
    </row>
    <row r="1086" spans="1:7" x14ac:dyDescent="0.2">
      <c r="A1086" s="11">
        <v>36643</v>
      </c>
      <c r="B1086" s="10">
        <v>143.0941</v>
      </c>
      <c r="E1086" s="13">
        <f t="shared" si="48"/>
        <v>-1.3361622950737003E-2</v>
      </c>
      <c r="F1086" s="9">
        <f t="shared" si="49"/>
        <v>-5.6226696867894027E-2</v>
      </c>
      <c r="G1086" s="9">
        <f t="shared" si="50"/>
        <v>1.4952570106286809E-2</v>
      </c>
    </row>
    <row r="1087" spans="1:7" x14ac:dyDescent="0.2">
      <c r="A1087" s="11">
        <v>36644</v>
      </c>
      <c r="B1087" s="10">
        <v>146.3066</v>
      </c>
      <c r="E1087" s="13">
        <f t="shared" si="48"/>
        <v>2.2201963987207932E-2</v>
      </c>
      <c r="F1087" s="9">
        <f t="shared" si="49"/>
        <v>-1.6029373238301885E-2</v>
      </c>
      <c r="G1087" s="9">
        <f t="shared" si="50"/>
        <v>1.5270736847750918E-2</v>
      </c>
    </row>
    <row r="1088" spans="1:7" x14ac:dyDescent="0.2">
      <c r="A1088" s="11">
        <v>36648</v>
      </c>
      <c r="B1088" s="10">
        <v>148.5368</v>
      </c>
      <c r="E1088" s="13">
        <f t="shared" si="48"/>
        <v>1.5128319199898196E-2</v>
      </c>
      <c r="F1088" s="9">
        <f t="shared" si="49"/>
        <v>1.0662974592336916E-3</v>
      </c>
      <c r="G1088" s="9">
        <f t="shared" si="50"/>
        <v>1.5541749878031539E-2</v>
      </c>
    </row>
    <row r="1089" spans="1:7" x14ac:dyDescent="0.2">
      <c r="A1089" s="11">
        <v>36649</v>
      </c>
      <c r="B1089" s="10">
        <v>149.3588</v>
      </c>
      <c r="E1089" s="13">
        <f t="shared" si="48"/>
        <v>5.5187259312186269E-3</v>
      </c>
      <c r="F1089" s="9">
        <f t="shared" si="49"/>
        <v>7.3482283217182224E-3</v>
      </c>
      <c r="G1089" s="9">
        <f t="shared" si="50"/>
        <v>1.5573946666303091E-2</v>
      </c>
    </row>
    <row r="1090" spans="1:7" x14ac:dyDescent="0.2">
      <c r="A1090" s="11">
        <v>36650</v>
      </c>
      <c r="B1090" s="10">
        <v>150.55969999999999</v>
      </c>
      <c r="E1090" s="13">
        <f t="shared" si="48"/>
        <v>8.00821835237993E-3</v>
      </c>
      <c r="F1090" s="9">
        <f t="shared" si="49"/>
        <v>1.1815030326228135E-2</v>
      </c>
      <c r="G1090" s="9">
        <f t="shared" si="50"/>
        <v>1.5629615973081747E-2</v>
      </c>
    </row>
    <row r="1091" spans="1:7" x14ac:dyDescent="0.2">
      <c r="A1091" s="11">
        <v>36651</v>
      </c>
      <c r="B1091" s="10">
        <v>150.34479999999999</v>
      </c>
      <c r="E1091" s="13">
        <f t="shared" si="48"/>
        <v>-1.4283604036284864E-3</v>
      </c>
      <c r="F1091" s="9">
        <f t="shared" si="49"/>
        <v>1.98580081976329E-2</v>
      </c>
      <c r="G1091" s="9">
        <f t="shared" si="50"/>
        <v>1.5519028306900504E-2</v>
      </c>
    </row>
    <row r="1092" spans="1:7" x14ac:dyDescent="0.2">
      <c r="A1092" s="11">
        <v>36654</v>
      </c>
      <c r="B1092" s="10">
        <v>151.27610000000001</v>
      </c>
      <c r="E1092" s="13">
        <f t="shared" ref="E1092:E1155" si="51">LN(B1092/B1091)</f>
        <v>6.1753211369648987E-3</v>
      </c>
      <c r="F1092" s="9">
        <f t="shared" si="49"/>
        <v>2.1884910828481544E-2</v>
      </c>
      <c r="G1092" s="9">
        <f t="shared" si="50"/>
        <v>1.5539735217486786E-2</v>
      </c>
    </row>
    <row r="1093" spans="1:7" x14ac:dyDescent="0.2">
      <c r="A1093" s="11">
        <v>36655</v>
      </c>
      <c r="B1093" s="10">
        <v>152.14519999999999</v>
      </c>
      <c r="E1093" s="13">
        <f t="shared" si="51"/>
        <v>5.7286840233650299E-3</v>
      </c>
      <c r="F1093" s="9">
        <f t="shared" si="49"/>
        <v>1.8572244800202177E-2</v>
      </c>
      <c r="G1093" s="9">
        <f t="shared" si="50"/>
        <v>1.5488737386126019E-2</v>
      </c>
    </row>
    <row r="1094" spans="1:7" x14ac:dyDescent="0.2">
      <c r="A1094" s="11">
        <v>36656</v>
      </c>
      <c r="B1094" s="10">
        <v>150.70490000000001</v>
      </c>
      <c r="E1094" s="13">
        <f t="shared" si="51"/>
        <v>-9.5117079965045918E-3</v>
      </c>
      <c r="F1094" s="9">
        <f t="shared" si="49"/>
        <v>1.053873961609586E-2</v>
      </c>
      <c r="G1094" s="9">
        <f t="shared" si="50"/>
        <v>1.559942691039316E-2</v>
      </c>
    </row>
    <row r="1095" spans="1:7" x14ac:dyDescent="0.2">
      <c r="A1095" s="11">
        <v>36657</v>
      </c>
      <c r="B1095" s="10">
        <v>151.46080000000001</v>
      </c>
      <c r="E1095" s="13">
        <f t="shared" si="51"/>
        <v>5.0032255601711768E-3</v>
      </c>
      <c r="F1095" s="9">
        <f t="shared" si="49"/>
        <v>2.4787592170245978E-2</v>
      </c>
      <c r="G1095" s="9">
        <f t="shared" si="50"/>
        <v>1.5510103590447981E-2</v>
      </c>
    </row>
    <row r="1096" spans="1:7" x14ac:dyDescent="0.2">
      <c r="A1096" s="11">
        <v>36658</v>
      </c>
      <c r="B1096" s="10">
        <v>153.97389999999999</v>
      </c>
      <c r="E1096" s="13">
        <f t="shared" si="51"/>
        <v>1.6456261936355285E-2</v>
      </c>
      <c r="F1096" s="9">
        <f t="shared" si="49"/>
        <v>4.2035354691444059E-2</v>
      </c>
      <c r="G1096" s="9">
        <f t="shared" si="50"/>
        <v>1.5773182351773378E-2</v>
      </c>
    </row>
    <row r="1097" spans="1:7" x14ac:dyDescent="0.2">
      <c r="A1097" s="11">
        <v>36661</v>
      </c>
      <c r="B1097" s="10">
        <v>153.9701</v>
      </c>
      <c r="E1097" s="13">
        <f t="shared" si="51"/>
        <v>-2.4679811915003195E-5</v>
      </c>
      <c r="F1097" s="9">
        <f t="shared" si="49"/>
        <v>5.4345669066361305E-2</v>
      </c>
      <c r="G1097" s="9">
        <f t="shared" si="50"/>
        <v>1.5553074204506646E-2</v>
      </c>
    </row>
    <row r="1098" spans="1:7" x14ac:dyDescent="0.2">
      <c r="A1098" s="11">
        <v>36662</v>
      </c>
      <c r="B1098" s="10">
        <v>155.70079999999999</v>
      </c>
      <c r="E1098" s="13">
        <f t="shared" si="51"/>
        <v>1.1177789194028093E-2</v>
      </c>
      <c r="F1098" s="9">
        <f t="shared" si="49"/>
        <v>7.5592787483189913E-2</v>
      </c>
      <c r="G1098" s="9">
        <f t="shared" si="50"/>
        <v>1.5470592205518578E-2</v>
      </c>
    </row>
    <row r="1099" spans="1:7" x14ac:dyDescent="0.2">
      <c r="A1099" s="11">
        <v>36664</v>
      </c>
      <c r="B1099" s="10">
        <v>159.10169999999999</v>
      </c>
      <c r="E1099" s="13">
        <f t="shared" si="51"/>
        <v>2.1607403477548585E-2</v>
      </c>
      <c r="F1099" s="9">
        <f t="shared" si="49"/>
        <v>7.137977248953252E-2</v>
      </c>
      <c r="G1099" s="9">
        <f t="shared" si="50"/>
        <v>1.5263209461288549E-2</v>
      </c>
    </row>
    <row r="1100" spans="1:7" x14ac:dyDescent="0.2">
      <c r="A1100" s="11">
        <v>36665</v>
      </c>
      <c r="B1100" s="10">
        <v>156.01560000000001</v>
      </c>
      <c r="E1100" s="13">
        <f t="shared" si="51"/>
        <v>-1.9587618140493774E-2</v>
      </c>
      <c r="F1100" s="9">
        <f t="shared" si="49"/>
        <v>5.2441071588272374E-2</v>
      </c>
      <c r="G1100" s="9">
        <f t="shared" si="50"/>
        <v>1.5796870994401434E-2</v>
      </c>
    </row>
    <row r="1101" spans="1:7" x14ac:dyDescent="0.2">
      <c r="A1101" s="11">
        <v>36668</v>
      </c>
      <c r="B1101" s="10">
        <v>154.76939999999999</v>
      </c>
      <c r="E1101" s="13">
        <f t="shared" si="51"/>
        <v>-8.0197350530113679E-3</v>
      </c>
      <c r="F1101" s="9">
        <f t="shared" si="49"/>
        <v>5.1180603361435026E-2</v>
      </c>
      <c r="G1101" s="9">
        <f t="shared" si="50"/>
        <v>1.582299868686499E-2</v>
      </c>
    </row>
    <row r="1102" spans="1:7" x14ac:dyDescent="0.2">
      <c r="A1102" s="11">
        <v>36669</v>
      </c>
      <c r="B1102" s="10">
        <v>155.17099999999999</v>
      </c>
      <c r="E1102" s="13">
        <f t="shared" si="51"/>
        <v>2.5914674224604903E-3</v>
      </c>
      <c r="F1102" s="9">
        <f t="shared" si="49"/>
        <v>9.8435228336403835E-2</v>
      </c>
      <c r="G1102" s="9">
        <f t="shared" si="50"/>
        <v>1.3063591206556639E-2</v>
      </c>
    </row>
    <row r="1103" spans="1:7" x14ac:dyDescent="0.2">
      <c r="A1103" s="11">
        <v>36670</v>
      </c>
      <c r="B1103" s="10">
        <v>153.08590000000001</v>
      </c>
      <c r="E1103" s="13">
        <f t="shared" si="51"/>
        <v>-1.3528532865683921E-2</v>
      </c>
      <c r="F1103" s="9">
        <f t="shared" si="49"/>
        <v>5.7755681007835721E-2</v>
      </c>
      <c r="G1103" s="9">
        <f t="shared" si="50"/>
        <v>1.2597260115350922E-2</v>
      </c>
    </row>
    <row r="1104" spans="1:7" x14ac:dyDescent="0.2">
      <c r="A1104" s="11">
        <v>36671</v>
      </c>
      <c r="B1104" s="10">
        <v>154.43199999999999</v>
      </c>
      <c r="E1104" s="13">
        <f t="shared" si="51"/>
        <v>8.7546682489307269E-3</v>
      </c>
      <c r="F1104" s="9">
        <f t="shared" si="49"/>
        <v>5.6074648189955355E-2</v>
      </c>
      <c r="G1104" s="9">
        <f t="shared" si="50"/>
        <v>1.2560831509250175E-2</v>
      </c>
    </row>
    <row r="1105" spans="1:7" x14ac:dyDescent="0.2">
      <c r="A1105" s="11">
        <v>36672</v>
      </c>
      <c r="B1105" s="10">
        <v>152.6052</v>
      </c>
      <c r="E1105" s="13">
        <f t="shared" si="51"/>
        <v>-1.1899675717056692E-2</v>
      </c>
      <c r="F1105" s="9">
        <f t="shared" si="49"/>
        <v>4.1647530959225812E-2</v>
      </c>
      <c r="G1105" s="9">
        <f t="shared" si="50"/>
        <v>1.2819510083085401E-2</v>
      </c>
    </row>
    <row r="1106" spans="1:7" x14ac:dyDescent="0.2">
      <c r="A1106" s="11">
        <v>36675</v>
      </c>
      <c r="B1106" s="10">
        <v>151.8794</v>
      </c>
      <c r="E1106" s="13">
        <f t="shared" si="51"/>
        <v>-4.7674094169381639E-3</v>
      </c>
      <c r="F1106" s="9">
        <f t="shared" si="49"/>
        <v>5.0874282349704626E-2</v>
      </c>
      <c r="G1106" s="9">
        <f t="shared" si="50"/>
        <v>1.2534196147668934E-2</v>
      </c>
    </row>
    <row r="1107" spans="1:7" x14ac:dyDescent="0.2">
      <c r="A1107" s="11">
        <v>36676</v>
      </c>
      <c r="B1107" s="10">
        <v>153.47989999999999</v>
      </c>
      <c r="E1107" s="13">
        <f t="shared" si="51"/>
        <v>1.0482828959276991E-2</v>
      </c>
      <c r="F1107" s="9">
        <f t="shared" si="49"/>
        <v>6.0913137689374994E-2</v>
      </c>
      <c r="G1107" s="9">
        <f t="shared" si="50"/>
        <v>1.2634936645392583E-2</v>
      </c>
    </row>
    <row r="1108" spans="1:7" x14ac:dyDescent="0.2">
      <c r="A1108" s="11">
        <v>36677</v>
      </c>
      <c r="B1108" s="10">
        <v>152.9332</v>
      </c>
      <c r="E1108" s="13">
        <f t="shared" si="51"/>
        <v>-3.5683890807042804E-3</v>
      </c>
      <c r="F1108" s="9">
        <f t="shared" si="49"/>
        <v>7.0829765895494098E-2</v>
      </c>
      <c r="G1108" s="9">
        <f t="shared" si="50"/>
        <v>1.2328543160909639E-2</v>
      </c>
    </row>
    <row r="1109" spans="1:7" x14ac:dyDescent="0.2">
      <c r="A1109" s="11">
        <v>36679</v>
      </c>
      <c r="B1109" s="10">
        <v>155.78370000000001</v>
      </c>
      <c r="E1109" s="13">
        <f t="shared" si="51"/>
        <v>1.8467281906941663E-2</v>
      </c>
      <c r="F1109" s="9">
        <f t="shared" si="49"/>
        <v>0.11057381229914484</v>
      </c>
      <c r="G1109" s="9">
        <f t="shared" si="50"/>
        <v>1.1795175115603631E-2</v>
      </c>
    </row>
    <row r="1110" spans="1:7" x14ac:dyDescent="0.2">
      <c r="A1110" s="11">
        <v>36682</v>
      </c>
      <c r="B1110" s="10">
        <v>154.3528</v>
      </c>
      <c r="E1110" s="13">
        <f t="shared" si="51"/>
        <v>-9.2276152808871137E-3</v>
      </c>
      <c r="F1110" s="9">
        <f t="shared" si="49"/>
        <v>0.11425644566003766</v>
      </c>
      <c r="G1110" s="9">
        <f t="shared" si="50"/>
        <v>1.1627332533584658E-2</v>
      </c>
    </row>
    <row r="1111" spans="1:7" x14ac:dyDescent="0.2">
      <c r="A1111" s="11">
        <v>36683</v>
      </c>
      <c r="B1111" s="10">
        <v>152.51849999999999</v>
      </c>
      <c r="E1111" s="13">
        <f t="shared" si="51"/>
        <v>-1.1954991207964881E-2</v>
      </c>
      <c r="F1111" s="9">
        <f t="shared" si="49"/>
        <v>8.5559909619255622E-2</v>
      </c>
      <c r="G1111" s="9">
        <f t="shared" si="50"/>
        <v>1.1719678270196673E-2</v>
      </c>
    </row>
    <row r="1112" spans="1:7" x14ac:dyDescent="0.2">
      <c r="A1112" s="11">
        <v>36684</v>
      </c>
      <c r="B1112" s="10">
        <v>153.1217</v>
      </c>
      <c r="E1112" s="13">
        <f t="shared" si="51"/>
        <v>3.9471298811227396E-3</v>
      </c>
      <c r="F1112" s="9">
        <f t="shared" si="49"/>
        <v>7.1558454068322952E-2</v>
      </c>
      <c r="G1112" s="9">
        <f t="shared" si="50"/>
        <v>1.136270574387308E-2</v>
      </c>
    </row>
    <row r="1113" spans="1:7" x14ac:dyDescent="0.2">
      <c r="A1113" s="11">
        <v>36685</v>
      </c>
      <c r="B1113" s="10">
        <v>154.1454</v>
      </c>
      <c r="E1113" s="13">
        <f t="shared" si="51"/>
        <v>6.6632827766505039E-3</v>
      </c>
      <c r="F1113" s="9">
        <f t="shared" si="49"/>
        <v>7.2064540127165885E-2</v>
      </c>
      <c r="G1113" s="9">
        <f t="shared" si="50"/>
        <v>1.136896175232119E-2</v>
      </c>
    </row>
    <row r="1114" spans="1:7" x14ac:dyDescent="0.2">
      <c r="A1114" s="11">
        <v>36686</v>
      </c>
      <c r="B1114" s="10">
        <v>155.18039999999999</v>
      </c>
      <c r="E1114" s="13">
        <f t="shared" si="51"/>
        <v>6.6919982912332357E-3</v>
      </c>
      <c r="F1114" s="9">
        <f t="shared" si="49"/>
        <v>6.7724232360228509E-2</v>
      </c>
      <c r="G1114" s="9">
        <f t="shared" si="50"/>
        <v>1.1280648438915448E-2</v>
      </c>
    </row>
    <row r="1115" spans="1:7" x14ac:dyDescent="0.2">
      <c r="A1115" s="11">
        <v>36690</v>
      </c>
      <c r="B1115" s="10">
        <v>156.28710000000001</v>
      </c>
      <c r="E1115" s="13">
        <f t="shared" si="51"/>
        <v>7.106389317855173E-3</v>
      </c>
      <c r="F1115" s="9">
        <f t="shared" si="49"/>
        <v>8.8192244628820721E-2</v>
      </c>
      <c r="G1115" s="9">
        <f t="shared" si="50"/>
        <v>1.0897260105825696E-2</v>
      </c>
    </row>
    <row r="1116" spans="1:7" x14ac:dyDescent="0.2">
      <c r="A1116" s="11">
        <v>36691</v>
      </c>
      <c r="B1116" s="10">
        <v>155.9572</v>
      </c>
      <c r="E1116" s="13">
        <f t="shared" si="51"/>
        <v>-2.1130898002261287E-3</v>
      </c>
      <c r="F1116" s="9">
        <f t="shared" si="49"/>
        <v>6.3877190841386794E-2</v>
      </c>
      <c r="G1116" s="9">
        <f t="shared" si="50"/>
        <v>1.0288773980199332E-2</v>
      </c>
    </row>
    <row r="1117" spans="1:7" x14ac:dyDescent="0.2">
      <c r="A1117" s="11">
        <v>36692</v>
      </c>
      <c r="B1117" s="10">
        <v>156.2079</v>
      </c>
      <c r="E1117" s="13">
        <f t="shared" si="51"/>
        <v>1.6062016791631964E-3</v>
      </c>
      <c r="F1117" s="9">
        <f t="shared" si="49"/>
        <v>5.0355073320651714E-2</v>
      </c>
      <c r="G1117" s="9">
        <f t="shared" si="50"/>
        <v>9.9839628777233687E-3</v>
      </c>
    </row>
    <row r="1118" spans="1:7" x14ac:dyDescent="0.2">
      <c r="A1118" s="11">
        <v>36693</v>
      </c>
      <c r="B1118" s="10">
        <v>158.21</v>
      </c>
      <c r="E1118" s="13">
        <f t="shared" si="51"/>
        <v>1.2735452149940079E-2</v>
      </c>
      <c r="F1118" s="9">
        <f t="shared" si="49"/>
        <v>5.7571799539373414E-2</v>
      </c>
      <c r="G1118" s="9">
        <f t="shared" si="50"/>
        <v>1.0169815162698539E-2</v>
      </c>
    </row>
    <row r="1119" spans="1:7" x14ac:dyDescent="0.2">
      <c r="A1119" s="11">
        <v>36696</v>
      </c>
      <c r="B1119" s="10">
        <v>157.96680000000001</v>
      </c>
      <c r="E1119" s="13">
        <f t="shared" si="51"/>
        <v>-1.5383800959675464E-3</v>
      </c>
      <c r="F1119" s="9">
        <f t="shared" si="49"/>
        <v>4.8025201091025933E-2</v>
      </c>
      <c r="G1119" s="9">
        <f t="shared" si="50"/>
        <v>1.0122289378360082E-2</v>
      </c>
    </row>
    <row r="1120" spans="1:7" x14ac:dyDescent="0.2">
      <c r="A1120" s="11">
        <v>36697</v>
      </c>
      <c r="B1120" s="10">
        <v>157.22970000000001</v>
      </c>
      <c r="E1120" s="13">
        <f t="shared" si="51"/>
        <v>-4.6770909174588078E-3</v>
      </c>
      <c r="F1120" s="9">
        <f t="shared" ref="F1120:F1183" si="52">LN(B1120/B1091)</f>
        <v>4.4776470577195505E-2</v>
      </c>
      <c r="G1120" s="9">
        <f t="shared" si="50"/>
        <v>1.0175481515774023E-2</v>
      </c>
    </row>
    <row r="1121" spans="1:7" x14ac:dyDescent="0.2">
      <c r="A1121" s="11">
        <v>36698</v>
      </c>
      <c r="B1121" s="10">
        <v>155.81950000000001</v>
      </c>
      <c r="E1121" s="13">
        <f t="shared" si="51"/>
        <v>-9.0095073806844058E-3</v>
      </c>
      <c r="F1121" s="9">
        <f t="shared" si="52"/>
        <v>2.9591642059546175E-2</v>
      </c>
      <c r="G1121" s="9">
        <f t="shared" ref="G1121:G1184" si="53">STDEV(E1093:E1121)</f>
        <v>1.0318341417372204E-2</v>
      </c>
    </row>
    <row r="1122" spans="1:7" x14ac:dyDescent="0.2">
      <c r="A1122" s="11">
        <v>36699</v>
      </c>
      <c r="B1122" s="10">
        <v>156.8432</v>
      </c>
      <c r="E1122" s="13">
        <f t="shared" si="51"/>
        <v>6.5482941075605487E-3</v>
      </c>
      <c r="F1122" s="9">
        <f t="shared" si="52"/>
        <v>3.0411252143741747E-2</v>
      </c>
      <c r="G1122" s="9">
        <f t="shared" si="53"/>
        <v>1.0332810531148947E-2</v>
      </c>
    </row>
    <row r="1123" spans="1:7" x14ac:dyDescent="0.2">
      <c r="A1123" s="11">
        <v>36700</v>
      </c>
      <c r="B1123" s="10">
        <v>158.40799999999999</v>
      </c>
      <c r="E1123" s="13">
        <f t="shared" si="51"/>
        <v>9.9274029810710648E-3</v>
      </c>
      <c r="F1123" s="9">
        <f t="shared" si="52"/>
        <v>4.9850363121317333E-2</v>
      </c>
      <c r="G1123" s="9">
        <f t="shared" si="53"/>
        <v>1.0253493307196597E-2</v>
      </c>
    </row>
    <row r="1124" spans="1:7" x14ac:dyDescent="0.2">
      <c r="A1124" s="11">
        <v>36703</v>
      </c>
      <c r="B1124" s="10">
        <v>158.9999</v>
      </c>
      <c r="E1124" s="13">
        <f t="shared" si="51"/>
        <v>3.7295901337228436E-3</v>
      </c>
      <c r="F1124" s="9">
        <f t="shared" si="52"/>
        <v>4.8576727694868954E-2</v>
      </c>
      <c r="G1124" s="9">
        <f t="shared" si="53"/>
        <v>1.0241644404663771E-2</v>
      </c>
    </row>
    <row r="1125" spans="1:7" x14ac:dyDescent="0.2">
      <c r="A1125" s="11">
        <v>36704</v>
      </c>
      <c r="B1125" s="10">
        <v>159.66540000000001</v>
      </c>
      <c r="E1125" s="13">
        <f t="shared" si="51"/>
        <v>4.1768022279670197E-3</v>
      </c>
      <c r="F1125" s="9">
        <f t="shared" si="52"/>
        <v>3.6297267986480759E-2</v>
      </c>
      <c r="G1125" s="9">
        <f t="shared" si="53"/>
        <v>9.8552580761469607E-3</v>
      </c>
    </row>
    <row r="1126" spans="1:7" x14ac:dyDescent="0.2">
      <c r="A1126" s="11">
        <v>36705</v>
      </c>
      <c r="B1126" s="10">
        <v>160.61940000000001</v>
      </c>
      <c r="E1126" s="13">
        <f t="shared" si="51"/>
        <v>5.9572157113146878E-3</v>
      </c>
      <c r="F1126" s="9">
        <f t="shared" si="52"/>
        <v>4.2279163509710518E-2</v>
      </c>
      <c r="G1126" s="9">
        <f t="shared" si="53"/>
        <v>9.8901300020433069E-3</v>
      </c>
    </row>
    <row r="1127" spans="1:7" x14ac:dyDescent="0.2">
      <c r="A1127" s="11">
        <v>36706</v>
      </c>
      <c r="B1127" s="10">
        <v>159.39769999999999</v>
      </c>
      <c r="E1127" s="13">
        <f t="shared" si="51"/>
        <v>-7.6352540856432245E-3</v>
      </c>
      <c r="F1127" s="9">
        <f t="shared" si="52"/>
        <v>2.3466120230039116E-2</v>
      </c>
      <c r="G1127" s="9">
        <f t="shared" si="53"/>
        <v>9.8467100835155745E-3</v>
      </c>
    </row>
    <row r="1128" spans="1:7" x14ac:dyDescent="0.2">
      <c r="A1128" s="11">
        <v>36707</v>
      </c>
      <c r="B1128" s="10">
        <v>160.88329999999999</v>
      </c>
      <c r="E1128" s="13">
        <f t="shared" si="51"/>
        <v>9.2769202941634134E-3</v>
      </c>
      <c r="F1128" s="9">
        <f t="shared" si="52"/>
        <v>1.1135637046654013E-2</v>
      </c>
      <c r="G1128" s="9">
        <f t="shared" si="53"/>
        <v>9.1587375132187732E-3</v>
      </c>
    </row>
    <row r="1129" spans="1:7" x14ac:dyDescent="0.2">
      <c r="A1129" s="11">
        <v>36710</v>
      </c>
      <c r="B1129" s="10">
        <v>161.94470000000001</v>
      </c>
      <c r="E1129" s="13">
        <f t="shared" si="51"/>
        <v>6.5756614947618018E-3</v>
      </c>
      <c r="F1129" s="9">
        <f t="shared" si="52"/>
        <v>3.7298916681909586E-2</v>
      </c>
      <c r="G1129" s="9">
        <f t="shared" si="53"/>
        <v>8.3763634152510154E-3</v>
      </c>
    </row>
    <row r="1130" spans="1:7" x14ac:dyDescent="0.2">
      <c r="A1130" s="11">
        <v>36711</v>
      </c>
      <c r="B1130" s="10">
        <v>161.29990000000001</v>
      </c>
      <c r="E1130" s="13">
        <f t="shared" si="51"/>
        <v>-3.989553763611142E-3</v>
      </c>
      <c r="F1130" s="9">
        <f t="shared" si="52"/>
        <v>4.1329097971309708E-2</v>
      </c>
      <c r="G1130" s="9">
        <f t="shared" si="53"/>
        <v>8.2489183456645153E-3</v>
      </c>
    </row>
    <row r="1131" spans="1:7" x14ac:dyDescent="0.2">
      <c r="A1131" s="11">
        <v>36712</v>
      </c>
      <c r="B1131" s="10">
        <v>161.0831</v>
      </c>
      <c r="E1131" s="13">
        <f t="shared" si="51"/>
        <v>-1.344984274495146E-3</v>
      </c>
      <c r="F1131" s="9">
        <f t="shared" si="52"/>
        <v>3.7392646274354124E-2</v>
      </c>
      <c r="G1131" s="9">
        <f t="shared" si="53"/>
        <v>8.2614190556773315E-3</v>
      </c>
    </row>
    <row r="1132" spans="1:7" x14ac:dyDescent="0.2">
      <c r="A1132" s="11">
        <v>36713</v>
      </c>
      <c r="B1132" s="10">
        <v>161.53559999999999</v>
      </c>
      <c r="E1132" s="13">
        <f t="shared" si="51"/>
        <v>2.8051709136898153E-3</v>
      </c>
      <c r="F1132" s="9">
        <f t="shared" si="52"/>
        <v>5.3726350053727771E-2</v>
      </c>
      <c r="G1132" s="9">
        <f t="shared" si="53"/>
        <v>7.7564626940965949E-3</v>
      </c>
    </row>
    <row r="1133" spans="1:7" x14ac:dyDescent="0.2">
      <c r="A1133" s="11">
        <v>36714</v>
      </c>
      <c r="B1133" s="10">
        <v>163.0966</v>
      </c>
      <c r="E1133" s="13">
        <f t="shared" si="51"/>
        <v>9.6171114956386389E-3</v>
      </c>
      <c r="F1133" s="9">
        <f t="shared" si="52"/>
        <v>5.4588793300435541E-2</v>
      </c>
      <c r="G1133" s="9">
        <f t="shared" si="53"/>
        <v>7.7854703644456603E-3</v>
      </c>
    </row>
    <row r="1134" spans="1:7" x14ac:dyDescent="0.2">
      <c r="A1134" s="11">
        <v>36717</v>
      </c>
      <c r="B1134" s="10">
        <v>162.26900000000001</v>
      </c>
      <c r="E1134" s="13">
        <f t="shared" si="51"/>
        <v>-5.0872113391039735E-3</v>
      </c>
      <c r="F1134" s="9">
        <f t="shared" si="52"/>
        <v>6.1401257678388353E-2</v>
      </c>
      <c r="G1134" s="9">
        <f t="shared" si="53"/>
        <v>7.4503338442802975E-3</v>
      </c>
    </row>
    <row r="1135" spans="1:7" x14ac:dyDescent="0.2">
      <c r="A1135" s="11">
        <v>36718</v>
      </c>
      <c r="B1135" s="10">
        <v>162.1558</v>
      </c>
      <c r="E1135" s="13">
        <f t="shared" si="51"/>
        <v>-6.9785050091112483E-4</v>
      </c>
      <c r="F1135" s="9">
        <f t="shared" si="52"/>
        <v>6.5470816594415199E-2</v>
      </c>
      <c r="G1135" s="9">
        <f t="shared" si="53"/>
        <v>7.3537264023949798E-3</v>
      </c>
    </row>
    <row r="1136" spans="1:7" x14ac:dyDescent="0.2">
      <c r="A1136" s="11">
        <v>36719</v>
      </c>
      <c r="B1136" s="10">
        <v>164.55009999999999</v>
      </c>
      <c r="E1136" s="13">
        <f t="shared" si="51"/>
        <v>1.4657481644196195E-2</v>
      </c>
      <c r="F1136" s="9">
        <f t="shared" si="52"/>
        <v>6.9645469279334377E-2</v>
      </c>
      <c r="G1136" s="9">
        <f t="shared" si="53"/>
        <v>7.5584998828591233E-3</v>
      </c>
    </row>
    <row r="1137" spans="1:7" x14ac:dyDescent="0.2">
      <c r="A1137" s="11">
        <v>36720</v>
      </c>
      <c r="B1137" s="10">
        <v>166.29589999999999</v>
      </c>
      <c r="E1137" s="13">
        <f t="shared" si="51"/>
        <v>1.0553648548451604E-2</v>
      </c>
      <c r="F1137" s="9">
        <f t="shared" si="52"/>
        <v>8.3767506908490205E-2</v>
      </c>
      <c r="G1137" s="9">
        <f t="shared" si="53"/>
        <v>7.614846499970314E-3</v>
      </c>
    </row>
    <row r="1138" spans="1:7" x14ac:dyDescent="0.2">
      <c r="A1138" s="11">
        <v>36721</v>
      </c>
      <c r="B1138" s="10">
        <v>166.15629999999999</v>
      </c>
      <c r="E1138" s="13">
        <f t="shared" si="51"/>
        <v>-8.3982002949576869E-4</v>
      </c>
      <c r="F1138" s="9">
        <f t="shared" si="52"/>
        <v>6.4460404972052951E-2</v>
      </c>
      <c r="G1138" s="9">
        <f t="shared" si="53"/>
        <v>7.0253473984980353E-3</v>
      </c>
    </row>
    <row r="1139" spans="1:7" x14ac:dyDescent="0.2">
      <c r="A1139" s="11">
        <v>36724</v>
      </c>
      <c r="B1139" s="10">
        <v>166.047</v>
      </c>
      <c r="E1139" s="13">
        <f t="shared" si="51"/>
        <v>-6.580308139259415E-4</v>
      </c>
      <c r="F1139" s="9">
        <f t="shared" si="52"/>
        <v>7.3029989439013912E-2</v>
      </c>
      <c r="G1139" s="9">
        <f t="shared" si="53"/>
        <v>6.6991723335209398E-3</v>
      </c>
    </row>
    <row r="1140" spans="1:7" x14ac:dyDescent="0.2">
      <c r="A1140" s="11">
        <v>36725</v>
      </c>
      <c r="B1140" s="10">
        <v>166.10169999999999</v>
      </c>
      <c r="E1140" s="13">
        <f t="shared" si="51"/>
        <v>3.2937055297526036E-4</v>
      </c>
      <c r="F1140" s="9">
        <f t="shared" si="52"/>
        <v>8.5314351199954161E-2</v>
      </c>
      <c r="G1140" s="9">
        <f t="shared" si="53"/>
        <v>6.1141571519154267E-3</v>
      </c>
    </row>
    <row r="1141" spans="1:7" x14ac:dyDescent="0.2">
      <c r="A1141" s="11">
        <v>36726</v>
      </c>
      <c r="B1141" s="10">
        <v>166.2713</v>
      </c>
      <c r="E1141" s="13">
        <f t="shared" si="51"/>
        <v>1.0205402648224011E-3</v>
      </c>
      <c r="F1141" s="9">
        <f t="shared" si="52"/>
        <v>8.2387761583653976E-2</v>
      </c>
      <c r="G1141" s="9">
        <f t="shared" si="53"/>
        <v>6.1211207472716073E-3</v>
      </c>
    </row>
    <row r="1142" spans="1:7" x14ac:dyDescent="0.2">
      <c r="A1142" s="11">
        <v>36727</v>
      </c>
      <c r="B1142" s="10">
        <v>167.2045</v>
      </c>
      <c r="E1142" s="13">
        <f t="shared" si="51"/>
        <v>5.5968225340168572E-3</v>
      </c>
      <c r="F1142" s="9">
        <f t="shared" si="52"/>
        <v>8.1321301341020419E-2</v>
      </c>
      <c r="G1142" s="9">
        <f t="shared" si="53"/>
        <v>6.1005056589958639E-3</v>
      </c>
    </row>
    <row r="1143" spans="1:7" x14ac:dyDescent="0.2">
      <c r="A1143" s="11">
        <v>36728</v>
      </c>
      <c r="B1143" s="10">
        <v>167.69470000000001</v>
      </c>
      <c r="E1143" s="13">
        <f t="shared" si="51"/>
        <v>2.9274501108571848E-3</v>
      </c>
      <c r="F1143" s="9">
        <f t="shared" si="52"/>
        <v>7.755675316064449E-2</v>
      </c>
      <c r="G1143" s="9">
        <f t="shared" si="53"/>
        <v>6.0547034323184144E-3</v>
      </c>
    </row>
    <row r="1144" spans="1:7" x14ac:dyDescent="0.2">
      <c r="A1144" s="11">
        <v>36731</v>
      </c>
      <c r="B1144" s="10">
        <v>168.67320000000001</v>
      </c>
      <c r="E1144" s="13">
        <f t="shared" si="51"/>
        <v>5.8180507721491284E-3</v>
      </c>
      <c r="F1144" s="9">
        <f t="shared" si="52"/>
        <v>7.6268414614938426E-2</v>
      </c>
      <c r="G1144" s="9">
        <f t="shared" si="53"/>
        <v>6.025679697501566E-3</v>
      </c>
    </row>
    <row r="1145" spans="1:7" x14ac:dyDescent="0.2">
      <c r="A1145" s="11">
        <v>36732</v>
      </c>
      <c r="B1145" s="10">
        <v>167.96619999999999</v>
      </c>
      <c r="E1145" s="13">
        <f t="shared" si="51"/>
        <v>-4.2003463614843257E-3</v>
      </c>
      <c r="F1145" s="9">
        <f t="shared" si="52"/>
        <v>7.4181158053680238E-2</v>
      </c>
      <c r="G1145" s="9">
        <f t="shared" si="53"/>
        <v>6.0964073620086781E-3</v>
      </c>
    </row>
    <row r="1146" spans="1:7" x14ac:dyDescent="0.2">
      <c r="A1146" s="11">
        <v>36733</v>
      </c>
      <c r="B1146" s="10">
        <v>168.26589999999999</v>
      </c>
      <c r="E1146" s="13">
        <f t="shared" si="51"/>
        <v>1.7826976030594845E-3</v>
      </c>
      <c r="F1146" s="9">
        <f t="shared" si="52"/>
        <v>7.4357653977576377E-2</v>
      </c>
      <c r="G1146" s="9">
        <f t="shared" si="53"/>
        <v>6.0955113054755178E-3</v>
      </c>
    </row>
    <row r="1147" spans="1:7" x14ac:dyDescent="0.2">
      <c r="A1147" s="11">
        <v>36734</v>
      </c>
      <c r="B1147" s="10">
        <v>166.7766</v>
      </c>
      <c r="E1147" s="13">
        <f t="shared" si="51"/>
        <v>-8.8902739749962909E-3</v>
      </c>
      <c r="F1147" s="9">
        <f t="shared" si="52"/>
        <v>5.2731927852640088E-2</v>
      </c>
      <c r="G1147" s="9">
        <f t="shared" si="53"/>
        <v>6.1294518066829402E-3</v>
      </c>
    </row>
    <row r="1148" spans="1:7" x14ac:dyDescent="0.2">
      <c r="A1148" s="11">
        <v>36735</v>
      </c>
      <c r="B1148" s="10">
        <v>167.559</v>
      </c>
      <c r="E1148" s="13">
        <f t="shared" si="51"/>
        <v>4.6803357359541465E-3</v>
      </c>
      <c r="F1148" s="9">
        <f t="shared" si="52"/>
        <v>5.8950643684561946E-2</v>
      </c>
      <c r="G1148" s="9">
        <f t="shared" si="53"/>
        <v>6.1165901838197909E-3</v>
      </c>
    </row>
    <row r="1149" spans="1:7" x14ac:dyDescent="0.2">
      <c r="A1149" s="11">
        <v>36738</v>
      </c>
      <c r="B1149" s="10">
        <v>167.0198</v>
      </c>
      <c r="E1149" s="13">
        <f t="shared" si="51"/>
        <v>-3.2231597865823194E-3</v>
      </c>
      <c r="F1149" s="9">
        <f t="shared" si="52"/>
        <v>6.0404574815438351E-2</v>
      </c>
      <c r="G1149" s="9">
        <f t="shared" si="53"/>
        <v>6.0653717134966333E-3</v>
      </c>
    </row>
    <row r="1150" spans="1:7" x14ac:dyDescent="0.2">
      <c r="A1150" s="11">
        <v>36739</v>
      </c>
      <c r="B1150" s="10">
        <v>167.40440000000001</v>
      </c>
      <c r="E1150" s="13">
        <f t="shared" si="51"/>
        <v>2.3000737958280212E-3</v>
      </c>
      <c r="F1150" s="9">
        <f t="shared" si="52"/>
        <v>7.1714155991950815E-2</v>
      </c>
      <c r="G1150" s="9">
        <f t="shared" si="53"/>
        <v>5.6778997372433264E-3</v>
      </c>
    </row>
    <row r="1151" spans="1:7" x14ac:dyDescent="0.2">
      <c r="A1151" s="11">
        <v>36740</v>
      </c>
      <c r="B1151" s="10">
        <v>167.26859999999999</v>
      </c>
      <c r="E1151" s="13">
        <f t="shared" si="51"/>
        <v>-8.115384716012627E-4</v>
      </c>
      <c r="F1151" s="9">
        <f t="shared" si="52"/>
        <v>6.4354323412788947E-2</v>
      </c>
      <c r="G1151" s="9">
        <f t="shared" si="53"/>
        <v>5.6536655841059455E-3</v>
      </c>
    </row>
    <row r="1152" spans="1:7" x14ac:dyDescent="0.2">
      <c r="A1152" s="11">
        <v>36741</v>
      </c>
      <c r="B1152" s="10">
        <v>166.5598</v>
      </c>
      <c r="E1152" s="13">
        <f t="shared" si="51"/>
        <v>-4.2464994897652335E-3</v>
      </c>
      <c r="F1152" s="9">
        <f t="shared" si="52"/>
        <v>5.0180420941952734E-2</v>
      </c>
      <c r="G1152" s="9">
        <f t="shared" si="53"/>
        <v>5.5756135264083111E-3</v>
      </c>
    </row>
    <row r="1153" spans="1:7" x14ac:dyDescent="0.2">
      <c r="A1153" s="11">
        <v>36742</v>
      </c>
      <c r="B1153" s="10">
        <v>169.06530000000001</v>
      </c>
      <c r="E1153" s="13">
        <f t="shared" si="51"/>
        <v>1.4930626728573581E-2</v>
      </c>
      <c r="F1153" s="9">
        <f t="shared" si="52"/>
        <v>6.1381457536803553E-2</v>
      </c>
      <c r="G1153" s="9">
        <f t="shared" si="53"/>
        <v>6.0838570672889702E-3</v>
      </c>
    </row>
    <row r="1154" spans="1:7" x14ac:dyDescent="0.2">
      <c r="A1154" s="11">
        <v>36745</v>
      </c>
      <c r="B1154" s="10">
        <v>169.3443</v>
      </c>
      <c r="E1154" s="13">
        <f t="shared" si="51"/>
        <v>1.6488897667971511E-3</v>
      </c>
      <c r="F1154" s="9">
        <f t="shared" si="52"/>
        <v>5.8853545075633576E-2</v>
      </c>
      <c r="G1154" s="9">
        <f t="shared" si="53"/>
        <v>6.0713814734677353E-3</v>
      </c>
    </row>
    <row r="1155" spans="1:7" x14ac:dyDescent="0.2">
      <c r="A1155" s="11">
        <v>36746</v>
      </c>
      <c r="B1155" s="10">
        <v>169.8005</v>
      </c>
      <c r="E1155" s="13">
        <f t="shared" si="51"/>
        <v>2.6902979208485028E-3</v>
      </c>
      <c r="F1155" s="9">
        <f t="shared" si="52"/>
        <v>5.5586627285167431E-2</v>
      </c>
      <c r="G1155" s="9">
        <f t="shared" si="53"/>
        <v>6.0260389759245261E-3</v>
      </c>
    </row>
    <row r="1156" spans="1:7" x14ac:dyDescent="0.2">
      <c r="A1156" s="11">
        <v>36747</v>
      </c>
      <c r="B1156" s="10">
        <v>172.31729999999999</v>
      </c>
      <c r="E1156" s="13">
        <f t="shared" ref="E1156:E1219" si="54">LN(B1156/B1155)</f>
        <v>1.4713326247983615E-2</v>
      </c>
      <c r="F1156" s="9">
        <f t="shared" si="52"/>
        <v>7.7935207618794217E-2</v>
      </c>
      <c r="G1156" s="9">
        <f t="shared" si="53"/>
        <v>6.1877055075796883E-3</v>
      </c>
    </row>
    <row r="1157" spans="1:7" x14ac:dyDescent="0.2">
      <c r="A1157" s="11">
        <v>36748</v>
      </c>
      <c r="B1157" s="10">
        <v>170.96940000000001</v>
      </c>
      <c r="E1157" s="13">
        <f t="shared" si="54"/>
        <v>-7.8529516404007328E-3</v>
      </c>
      <c r="F1157" s="9">
        <f t="shared" si="52"/>
        <v>6.0805335684230105E-2</v>
      </c>
      <c r="G1157" s="9">
        <f t="shared" si="53"/>
        <v>6.3516453854721095E-3</v>
      </c>
    </row>
    <row r="1158" spans="1:7" x14ac:dyDescent="0.2">
      <c r="A1158" s="11">
        <v>36749</v>
      </c>
      <c r="B1158" s="10">
        <v>172.7604</v>
      </c>
      <c r="E1158" s="13">
        <f t="shared" si="54"/>
        <v>1.0421070319347362E-2</v>
      </c>
      <c r="F1158" s="9">
        <f t="shared" si="52"/>
        <v>6.4650744508815763E-2</v>
      </c>
      <c r="G1158" s="9">
        <f t="shared" si="53"/>
        <v>6.4871825355184527E-3</v>
      </c>
    </row>
    <row r="1159" spans="1:7" x14ac:dyDescent="0.2">
      <c r="A1159" s="11">
        <v>36752</v>
      </c>
      <c r="B1159" s="10">
        <v>177.1172</v>
      </c>
      <c r="E1159" s="13">
        <f t="shared" si="54"/>
        <v>2.4905996903357267E-2</v>
      </c>
      <c r="F1159" s="9">
        <f t="shared" si="52"/>
        <v>9.3546295175784139E-2</v>
      </c>
      <c r="G1159" s="9">
        <f t="shared" si="53"/>
        <v>7.6183611010939437E-3</v>
      </c>
    </row>
    <row r="1160" spans="1:7" x14ac:dyDescent="0.2">
      <c r="A1160" s="11">
        <v>36753</v>
      </c>
      <c r="B1160" s="10">
        <v>177.19069999999999</v>
      </c>
      <c r="E1160" s="13">
        <f t="shared" si="54"/>
        <v>4.1489337976561707E-4</v>
      </c>
      <c r="F1160" s="9">
        <f t="shared" si="52"/>
        <v>9.5306172830044888E-2</v>
      </c>
      <c r="G1160" s="9">
        <f t="shared" si="53"/>
        <v>7.5875991018640359E-3</v>
      </c>
    </row>
    <row r="1161" spans="1:7" x14ac:dyDescent="0.2">
      <c r="A1161" s="11">
        <v>36754</v>
      </c>
      <c r="B1161" s="10">
        <v>178.55369999999999</v>
      </c>
      <c r="E1161" s="13">
        <f t="shared" si="54"/>
        <v>7.66284258872953E-3</v>
      </c>
      <c r="F1161" s="9">
        <f t="shared" si="52"/>
        <v>0.10016384450508452</v>
      </c>
      <c r="G1161" s="9">
        <f t="shared" si="53"/>
        <v>7.6300961220516998E-3</v>
      </c>
    </row>
    <row r="1162" spans="1:7" x14ac:dyDescent="0.2">
      <c r="A1162" s="11">
        <v>36755</v>
      </c>
      <c r="B1162" s="10">
        <v>178.74789999999999</v>
      </c>
      <c r="E1162" s="13">
        <f t="shared" si="54"/>
        <v>1.0870369409094673E-3</v>
      </c>
      <c r="F1162" s="9">
        <f t="shared" si="52"/>
        <v>9.1633769950355326E-2</v>
      </c>
      <c r="G1162" s="9">
        <f t="shared" si="53"/>
        <v>7.5479953196125552E-3</v>
      </c>
    </row>
    <row r="1163" spans="1:7" x14ac:dyDescent="0.2">
      <c r="A1163" s="11">
        <v>36756</v>
      </c>
      <c r="B1163" s="10">
        <v>179.05520000000001</v>
      </c>
      <c r="E1163" s="13">
        <f t="shared" si="54"/>
        <v>1.7177049363612893E-3</v>
      </c>
      <c r="F1163" s="9">
        <f t="shared" si="52"/>
        <v>9.8438686225820693E-2</v>
      </c>
      <c r="G1163" s="9">
        <f t="shared" si="53"/>
        <v>7.3865040746882299E-3</v>
      </c>
    </row>
    <row r="1164" spans="1:7" x14ac:dyDescent="0.2">
      <c r="A1164" s="11">
        <v>36759</v>
      </c>
      <c r="B1164" s="10">
        <v>182.6146</v>
      </c>
      <c r="E1164" s="13">
        <f t="shared" si="54"/>
        <v>1.9683782963213603E-2</v>
      </c>
      <c r="F1164" s="9">
        <f t="shared" si="52"/>
        <v>0.11882031968994544</v>
      </c>
      <c r="G1164" s="9">
        <f t="shared" si="53"/>
        <v>7.9326716544294833E-3</v>
      </c>
    </row>
    <row r="1165" spans="1:7" x14ac:dyDescent="0.2">
      <c r="A1165" s="11">
        <v>36760</v>
      </c>
      <c r="B1165" s="10">
        <v>180.7689</v>
      </c>
      <c r="E1165" s="13">
        <f t="shared" si="54"/>
        <v>-1.0158501265172478E-2</v>
      </c>
      <c r="F1165" s="9">
        <f t="shared" si="52"/>
        <v>9.4004336780576778E-2</v>
      </c>
      <c r="G1165" s="9">
        <f t="shared" si="53"/>
        <v>8.0897560404337363E-3</v>
      </c>
    </row>
    <row r="1166" spans="1:7" x14ac:dyDescent="0.2">
      <c r="A1166" s="11">
        <v>36761</v>
      </c>
      <c r="B1166" s="10">
        <v>183.22730000000001</v>
      </c>
      <c r="E1166" s="13">
        <f t="shared" si="54"/>
        <v>1.3508038717519216E-2</v>
      </c>
      <c r="F1166" s="9">
        <f t="shared" si="52"/>
        <v>9.6958726949644303E-2</v>
      </c>
      <c r="G1166" s="9">
        <f t="shared" si="53"/>
        <v>8.2029381246022919E-3</v>
      </c>
    </row>
    <row r="1167" spans="1:7" x14ac:dyDescent="0.2">
      <c r="A1167" s="11">
        <v>36762</v>
      </c>
      <c r="B1167" s="10">
        <v>185.5461</v>
      </c>
      <c r="E1167" s="13">
        <f t="shared" si="54"/>
        <v>1.2575910087062662E-2</v>
      </c>
      <c r="F1167" s="9">
        <f t="shared" si="52"/>
        <v>0.11037445706620296</v>
      </c>
      <c r="G1167" s="9">
        <f t="shared" si="53"/>
        <v>8.3358154847830018E-3</v>
      </c>
    </row>
    <row r="1168" spans="1:7" x14ac:dyDescent="0.2">
      <c r="A1168" s="11">
        <v>36763</v>
      </c>
      <c r="B1168" s="10">
        <v>185.10310000000001</v>
      </c>
      <c r="E1168" s="13">
        <f t="shared" si="54"/>
        <v>-2.3904015491873296E-3</v>
      </c>
      <c r="F1168" s="9">
        <f t="shared" si="52"/>
        <v>0.10864208633094144</v>
      </c>
      <c r="G1168" s="9">
        <f t="shared" si="53"/>
        <v>8.3750636318712084E-3</v>
      </c>
    </row>
    <row r="1169" spans="1:7" x14ac:dyDescent="0.2">
      <c r="A1169" s="11">
        <v>36766</v>
      </c>
      <c r="B1169" s="10">
        <v>183.11789999999999</v>
      </c>
      <c r="E1169" s="13">
        <f t="shared" si="54"/>
        <v>-1.0782759454508248E-2</v>
      </c>
      <c r="F1169" s="9">
        <f t="shared" si="52"/>
        <v>9.7529956323457873E-2</v>
      </c>
      <c r="G1169" s="9">
        <f t="shared" si="53"/>
        <v>8.7813258099764379E-3</v>
      </c>
    </row>
    <row r="1170" spans="1:7" x14ac:dyDescent="0.2">
      <c r="A1170" s="11">
        <v>36767</v>
      </c>
      <c r="B1170" s="10">
        <v>183.5138</v>
      </c>
      <c r="E1170" s="13">
        <f t="shared" si="54"/>
        <v>2.1596613379457254E-3</v>
      </c>
      <c r="F1170" s="9">
        <f t="shared" si="52"/>
        <v>9.8669077396581248E-2</v>
      </c>
      <c r="G1170" s="9">
        <f t="shared" si="53"/>
        <v>8.7730167739019232E-3</v>
      </c>
    </row>
    <row r="1171" spans="1:7" x14ac:dyDescent="0.2">
      <c r="A1171" s="11">
        <v>36768</v>
      </c>
      <c r="B1171" s="10">
        <v>182.8596</v>
      </c>
      <c r="E1171" s="13">
        <f t="shared" si="54"/>
        <v>-3.5712237585247783E-3</v>
      </c>
      <c r="F1171" s="9">
        <f t="shared" si="52"/>
        <v>8.950103110403973E-2</v>
      </c>
      <c r="G1171" s="9">
        <f t="shared" si="53"/>
        <v>8.8559106143048724E-3</v>
      </c>
    </row>
    <row r="1172" spans="1:7" x14ac:dyDescent="0.2">
      <c r="A1172" s="11">
        <v>36769</v>
      </c>
      <c r="B1172" s="10">
        <v>185.11439999999999</v>
      </c>
      <c r="E1172" s="13">
        <f t="shared" si="54"/>
        <v>1.2255367071511045E-2</v>
      </c>
      <c r="F1172" s="9">
        <f t="shared" si="52"/>
        <v>9.882894806469332E-2</v>
      </c>
      <c r="G1172" s="9">
        <f t="shared" si="53"/>
        <v>9.0178544405256685E-3</v>
      </c>
    </row>
    <row r="1173" spans="1:7" x14ac:dyDescent="0.2">
      <c r="A1173" s="11">
        <v>36770</v>
      </c>
      <c r="B1173" s="10">
        <v>185.5744</v>
      </c>
      <c r="E1173" s="13">
        <f t="shared" si="54"/>
        <v>2.4818674646794056E-3</v>
      </c>
      <c r="F1173" s="9">
        <f t="shared" si="52"/>
        <v>9.54927647572235E-2</v>
      </c>
      <c r="G1173" s="9">
        <f t="shared" si="53"/>
        <v>9.0072836424586692E-3</v>
      </c>
    </row>
    <row r="1174" spans="1:7" x14ac:dyDescent="0.2">
      <c r="A1174" s="11">
        <v>36773</v>
      </c>
      <c r="B1174" s="10">
        <v>183.68350000000001</v>
      </c>
      <c r="E1174" s="13">
        <f t="shared" si="54"/>
        <v>-1.0241711976548997E-2</v>
      </c>
      <c r="F1174" s="9">
        <f t="shared" si="52"/>
        <v>8.9451399142159119E-2</v>
      </c>
      <c r="G1174" s="9">
        <f t="shared" si="53"/>
        <v>9.2532818697661397E-3</v>
      </c>
    </row>
    <row r="1175" spans="1:7" x14ac:dyDescent="0.2">
      <c r="A1175" s="11">
        <v>36774</v>
      </c>
      <c r="B1175" s="10">
        <v>181.9717</v>
      </c>
      <c r="E1175" s="13">
        <f t="shared" si="54"/>
        <v>-9.3629873469316706E-3</v>
      </c>
      <c r="F1175" s="9">
        <f t="shared" si="52"/>
        <v>7.8305714192167933E-2</v>
      </c>
      <c r="G1175" s="9">
        <f t="shared" si="53"/>
        <v>9.536420015158923E-3</v>
      </c>
    </row>
    <row r="1176" spans="1:7" x14ac:dyDescent="0.2">
      <c r="A1176" s="11">
        <v>36775</v>
      </c>
      <c r="B1176" s="10">
        <v>181.69829999999999</v>
      </c>
      <c r="E1176" s="13">
        <f t="shared" si="54"/>
        <v>-1.5035612038727885E-3</v>
      </c>
      <c r="F1176" s="9">
        <f t="shared" si="52"/>
        <v>8.5692426963291421E-2</v>
      </c>
      <c r="G1176" s="9">
        <f t="shared" si="53"/>
        <v>9.3117890943996591E-3</v>
      </c>
    </row>
    <row r="1177" spans="1:7" x14ac:dyDescent="0.2">
      <c r="A1177" s="11">
        <v>36776</v>
      </c>
      <c r="B1177" s="10">
        <v>182.70320000000001</v>
      </c>
      <c r="E1177" s="13">
        <f t="shared" si="54"/>
        <v>5.5153590056681683E-3</v>
      </c>
      <c r="F1177" s="9">
        <f t="shared" si="52"/>
        <v>8.6527450233005274E-2</v>
      </c>
      <c r="G1177" s="9">
        <f t="shared" si="53"/>
        <v>9.318603534463692E-3</v>
      </c>
    </row>
    <row r="1178" spans="1:7" x14ac:dyDescent="0.2">
      <c r="A1178" s="11">
        <v>36777</v>
      </c>
      <c r="B1178" s="10">
        <v>183.31399999999999</v>
      </c>
      <c r="E1178" s="13">
        <f t="shared" si="54"/>
        <v>3.3375511696585943E-3</v>
      </c>
      <c r="F1178" s="9">
        <f t="shared" si="52"/>
        <v>9.3088161189246274E-2</v>
      </c>
      <c r="G1178" s="9">
        <f t="shared" si="53"/>
        <v>9.2418578193194413E-3</v>
      </c>
    </row>
    <row r="1179" spans="1:7" x14ac:dyDescent="0.2">
      <c r="A1179" s="11">
        <v>36780</v>
      </c>
      <c r="B1179" s="10">
        <v>183.74010000000001</v>
      </c>
      <c r="E1179" s="13">
        <f t="shared" si="54"/>
        <v>2.3217296382476E-3</v>
      </c>
      <c r="F1179" s="9">
        <f t="shared" si="52"/>
        <v>9.3109817031665862E-2</v>
      </c>
      <c r="G1179" s="9">
        <f t="shared" si="53"/>
        <v>9.2417825502745955E-3</v>
      </c>
    </row>
    <row r="1180" spans="1:7" x14ac:dyDescent="0.2">
      <c r="A1180" s="11">
        <v>36781</v>
      </c>
      <c r="B1180" s="10">
        <v>186.15690000000001</v>
      </c>
      <c r="E1180" s="13">
        <f t="shared" si="54"/>
        <v>1.3067607422834814E-2</v>
      </c>
      <c r="F1180" s="9">
        <f t="shared" si="52"/>
        <v>0.10698896292610198</v>
      </c>
      <c r="G1180" s="9">
        <f t="shared" si="53"/>
        <v>9.3843210768966602E-3</v>
      </c>
    </row>
    <row r="1181" spans="1:7" x14ac:dyDescent="0.2">
      <c r="A1181" s="11">
        <v>36782</v>
      </c>
      <c r="B1181" s="10">
        <v>185.1917</v>
      </c>
      <c r="E1181" s="13">
        <f t="shared" si="54"/>
        <v>-5.1983617202065301E-3</v>
      </c>
      <c r="F1181" s="9">
        <f t="shared" si="52"/>
        <v>0.10603710069566069</v>
      </c>
      <c r="G1181" s="9">
        <f t="shared" si="53"/>
        <v>9.4146842451185726E-3</v>
      </c>
    </row>
    <row r="1182" spans="1:7" x14ac:dyDescent="0.2">
      <c r="A1182" s="11">
        <v>36783</v>
      </c>
      <c r="B1182" s="10">
        <v>188.77369999999999</v>
      </c>
      <c r="E1182" s="13">
        <f t="shared" si="54"/>
        <v>1.9157438367571892E-2</v>
      </c>
      <c r="F1182" s="9">
        <f t="shared" si="52"/>
        <v>0.11026391233465897</v>
      </c>
      <c r="G1182" s="9">
        <f t="shared" si="53"/>
        <v>9.6258085413531407E-3</v>
      </c>
    </row>
    <row r="1183" spans="1:7" x14ac:dyDescent="0.2">
      <c r="A1183" s="11">
        <v>36784</v>
      </c>
      <c r="B1183" s="10">
        <v>187.94980000000001</v>
      </c>
      <c r="E1183" s="13">
        <f t="shared" si="54"/>
        <v>-4.3740372638535448E-3</v>
      </c>
      <c r="F1183" s="9">
        <f t="shared" si="52"/>
        <v>0.1042409853040082</v>
      </c>
      <c r="G1183" s="9">
        <f t="shared" si="53"/>
        <v>9.7382467531489485E-3</v>
      </c>
    </row>
    <row r="1184" spans="1:7" x14ac:dyDescent="0.2">
      <c r="A1184" s="11">
        <v>36787</v>
      </c>
      <c r="B1184" s="10">
        <v>187.57650000000001</v>
      </c>
      <c r="E1184" s="13">
        <f t="shared" si="54"/>
        <v>-1.9881436957272084E-3</v>
      </c>
      <c r="F1184" s="9">
        <f t="shared" ref="F1184:F1247" si="55">LN(B1184/B1155)</f>
        <v>9.9562543687432351E-2</v>
      </c>
      <c r="G1184" s="9">
        <f t="shared" si="53"/>
        <v>9.7923627833286699E-3</v>
      </c>
    </row>
    <row r="1185" spans="1:7" x14ac:dyDescent="0.2">
      <c r="A1185" s="11">
        <v>36788</v>
      </c>
      <c r="B1185" s="10">
        <v>186.98079999999999</v>
      </c>
      <c r="E1185" s="13">
        <f t="shared" si="54"/>
        <v>-3.1808244146176914E-3</v>
      </c>
      <c r="F1185" s="9">
        <f t="shared" si="55"/>
        <v>8.1668393024831198E-2</v>
      </c>
      <c r="G1185" s="9">
        <f t="shared" ref="G1185:G1248" si="56">STDEV(E1157:E1185)</f>
        <v>9.6184210951143247E-3</v>
      </c>
    </row>
    <row r="1186" spans="1:7" x14ac:dyDescent="0.2">
      <c r="A1186" s="11">
        <v>36789</v>
      </c>
      <c r="B1186" s="10">
        <v>184.09639999999999</v>
      </c>
      <c r="E1186" s="13">
        <f t="shared" si="54"/>
        <v>-1.554640432853821E-2</v>
      </c>
      <c r="F1186" s="9">
        <f t="shared" si="55"/>
        <v>7.397494033669362E-2</v>
      </c>
      <c r="G1186" s="9">
        <f t="shared" si="56"/>
        <v>1.0020880645035733E-2</v>
      </c>
    </row>
    <row r="1187" spans="1:7" x14ac:dyDescent="0.2">
      <c r="A1187" s="11">
        <v>36790</v>
      </c>
      <c r="B1187" s="10">
        <v>182.57310000000001</v>
      </c>
      <c r="E1187" s="13">
        <f t="shared" si="54"/>
        <v>-8.3088926881035793E-3</v>
      </c>
      <c r="F1187" s="9">
        <f t="shared" si="55"/>
        <v>5.5244977329242509E-2</v>
      </c>
      <c r="G1187" s="9">
        <f t="shared" si="56"/>
        <v>1.0098801977923583E-2</v>
      </c>
    </row>
    <row r="1188" spans="1:7" x14ac:dyDescent="0.2">
      <c r="A1188" s="11">
        <v>36791</v>
      </c>
      <c r="B1188" s="10">
        <v>179.39830000000001</v>
      </c>
      <c r="E1188" s="13">
        <f t="shared" si="54"/>
        <v>-1.7542167221255487E-2</v>
      </c>
      <c r="F1188" s="9">
        <f t="shared" si="55"/>
        <v>1.279681320462971E-2</v>
      </c>
      <c r="G1188" s="9">
        <f t="shared" si="56"/>
        <v>9.7148931768300424E-3</v>
      </c>
    </row>
    <row r="1189" spans="1:7" x14ac:dyDescent="0.2">
      <c r="A1189" s="11">
        <v>36794</v>
      </c>
      <c r="B1189" s="10">
        <v>179.83189999999999</v>
      </c>
      <c r="E1189" s="13">
        <f t="shared" si="54"/>
        <v>2.4140521068234189E-3</v>
      </c>
      <c r="F1189" s="9">
        <f t="shared" si="55"/>
        <v>1.4795971931687555E-2</v>
      </c>
      <c r="G1189" s="9">
        <f t="shared" si="56"/>
        <v>9.7217898577140055E-3</v>
      </c>
    </row>
    <row r="1190" spans="1:7" x14ac:dyDescent="0.2">
      <c r="A1190" s="11">
        <v>36795</v>
      </c>
      <c r="B1190" s="10">
        <v>179.37190000000001</v>
      </c>
      <c r="E1190" s="13">
        <f t="shared" si="54"/>
        <v>-2.561221520825184E-3</v>
      </c>
      <c r="F1190" s="9">
        <f t="shared" si="55"/>
        <v>4.5719078221329043E-3</v>
      </c>
      <c r="G1190" s="9">
        <f t="shared" si="56"/>
        <v>9.6381653307616739E-3</v>
      </c>
    </row>
    <row r="1191" spans="1:7" x14ac:dyDescent="0.2">
      <c r="A1191" s="11">
        <v>36796</v>
      </c>
      <c r="B1191" s="10">
        <v>181.0196</v>
      </c>
      <c r="E1191" s="13">
        <f t="shared" si="54"/>
        <v>9.1440085614167017E-3</v>
      </c>
      <c r="F1191" s="9">
        <f t="shared" si="55"/>
        <v>1.2628879442640304E-2</v>
      </c>
      <c r="G1191" s="9">
        <f t="shared" si="56"/>
        <v>9.7809780282465519E-3</v>
      </c>
    </row>
    <row r="1192" spans="1:7" x14ac:dyDescent="0.2">
      <c r="A1192" s="11">
        <v>36797</v>
      </c>
      <c r="B1192" s="10">
        <v>179.9941</v>
      </c>
      <c r="E1192" s="13">
        <f t="shared" si="54"/>
        <v>-5.6812401207681825E-3</v>
      </c>
      <c r="F1192" s="9">
        <f t="shared" si="55"/>
        <v>5.2299343855107391E-3</v>
      </c>
      <c r="G1192" s="9">
        <f t="shared" si="56"/>
        <v>9.8426427913922074E-3</v>
      </c>
    </row>
    <row r="1193" spans="1:7" x14ac:dyDescent="0.2">
      <c r="A1193" s="11">
        <v>36798</v>
      </c>
      <c r="B1193" s="10">
        <v>180.69159999999999</v>
      </c>
      <c r="E1193" s="13">
        <f t="shared" si="54"/>
        <v>3.8676380542383049E-3</v>
      </c>
      <c r="F1193" s="9">
        <f t="shared" si="55"/>
        <v>-1.0586210523464458E-2</v>
      </c>
      <c r="G1193" s="9">
        <f t="shared" si="56"/>
        <v>9.1361905212876387E-3</v>
      </c>
    </row>
    <row r="1194" spans="1:7" x14ac:dyDescent="0.2">
      <c r="A1194" s="11">
        <v>36801</v>
      </c>
      <c r="B1194" s="10">
        <v>182.0848</v>
      </c>
      <c r="E1194" s="13">
        <f t="shared" si="54"/>
        <v>7.6808019996901893E-3</v>
      </c>
      <c r="F1194" s="9">
        <f t="shared" si="55"/>
        <v>7.2530927413982154E-3</v>
      </c>
      <c r="G1194" s="9">
        <f t="shared" si="56"/>
        <v>9.0534312678191564E-3</v>
      </c>
    </row>
    <row r="1195" spans="1:7" x14ac:dyDescent="0.2">
      <c r="A1195" s="11">
        <v>36802</v>
      </c>
      <c r="B1195" s="10">
        <v>184.56010000000001</v>
      </c>
      <c r="E1195" s="13">
        <f t="shared" si="54"/>
        <v>1.3502643065408803E-2</v>
      </c>
      <c r="F1195" s="9">
        <f t="shared" si="55"/>
        <v>7.2476970892877881E-3</v>
      </c>
      <c r="G1195" s="9">
        <f t="shared" si="56"/>
        <v>9.0531491244017215E-3</v>
      </c>
    </row>
    <row r="1196" spans="1:7" x14ac:dyDescent="0.2">
      <c r="A1196" s="11">
        <v>36803</v>
      </c>
      <c r="B1196" s="10">
        <v>181.73230000000001</v>
      </c>
      <c r="E1196" s="13">
        <f t="shared" si="54"/>
        <v>-1.5440430543258155E-2</v>
      </c>
      <c r="F1196" s="9">
        <f t="shared" si="55"/>
        <v>-2.0768643541032961E-2</v>
      </c>
      <c r="G1196" s="9">
        <f t="shared" si="56"/>
        <v>9.1847258867233349E-3</v>
      </c>
    </row>
    <row r="1197" spans="1:7" x14ac:dyDescent="0.2">
      <c r="A1197" s="11">
        <v>36804</v>
      </c>
      <c r="B1197" s="10">
        <v>181.1328</v>
      </c>
      <c r="E1197" s="13">
        <f t="shared" si="54"/>
        <v>-3.3042612555029571E-3</v>
      </c>
      <c r="F1197" s="9">
        <f t="shared" si="55"/>
        <v>-2.1682503247348616E-2</v>
      </c>
      <c r="G1197" s="9">
        <f t="shared" si="56"/>
        <v>9.1922399228982019E-3</v>
      </c>
    </row>
    <row r="1198" spans="1:7" x14ac:dyDescent="0.2">
      <c r="A1198" s="11">
        <v>36805</v>
      </c>
      <c r="B1198" s="10">
        <v>181.83410000000001</v>
      </c>
      <c r="E1198" s="13">
        <f t="shared" si="54"/>
        <v>3.8642690156285055E-3</v>
      </c>
      <c r="F1198" s="9">
        <f t="shared" si="55"/>
        <v>-7.0354747772118816E-3</v>
      </c>
      <c r="G1198" s="9">
        <f t="shared" si="56"/>
        <v>9.0219829852673482E-3</v>
      </c>
    </row>
    <row r="1199" spans="1:7" x14ac:dyDescent="0.2">
      <c r="A1199" s="11">
        <v>36808</v>
      </c>
      <c r="B1199" s="10">
        <v>179.27959999999999</v>
      </c>
      <c r="E1199" s="13">
        <f t="shared" si="54"/>
        <v>-1.4148134568061297E-2</v>
      </c>
      <c r="F1199" s="9">
        <f t="shared" si="55"/>
        <v>-2.3343270683218866E-2</v>
      </c>
      <c r="G1199" s="9">
        <f t="shared" si="56"/>
        <v>9.3684794727949394E-3</v>
      </c>
    </row>
    <row r="1200" spans="1:7" x14ac:dyDescent="0.2">
      <c r="A1200" s="11">
        <v>36809</v>
      </c>
      <c r="B1200" s="10">
        <v>179.3682</v>
      </c>
      <c r="E1200" s="13">
        <f t="shared" si="54"/>
        <v>4.9407804426727128E-4</v>
      </c>
      <c r="F1200" s="9">
        <f t="shared" si="55"/>
        <v>-1.92779688804268E-2</v>
      </c>
      <c r="G1200" s="9">
        <f t="shared" si="56"/>
        <v>9.3560153554293687E-3</v>
      </c>
    </row>
    <row r="1201" spans="1:7" x14ac:dyDescent="0.2">
      <c r="A1201" s="11">
        <v>36810</v>
      </c>
      <c r="B1201" s="10">
        <v>175.12450000000001</v>
      </c>
      <c r="E1201" s="13">
        <f t="shared" si="54"/>
        <v>-2.3943526838042448E-2</v>
      </c>
      <c r="F1201" s="9">
        <f t="shared" si="55"/>
        <v>-5.5476862789980305E-2</v>
      </c>
      <c r="G1201" s="9">
        <f t="shared" si="56"/>
        <v>9.9655967277715533E-3</v>
      </c>
    </row>
    <row r="1202" spans="1:7" x14ac:dyDescent="0.2">
      <c r="A1202" s="11">
        <v>36811</v>
      </c>
      <c r="B1202" s="10">
        <v>174.8228</v>
      </c>
      <c r="E1202" s="13">
        <f t="shared" si="54"/>
        <v>-1.7242600514306358E-3</v>
      </c>
      <c r="F1202" s="9">
        <f t="shared" si="55"/>
        <v>-5.968299030609038E-2</v>
      </c>
      <c r="G1202" s="9">
        <f t="shared" si="56"/>
        <v>9.9298936450392498E-3</v>
      </c>
    </row>
    <row r="1203" spans="1:7" x14ac:dyDescent="0.2">
      <c r="A1203" s="11">
        <v>36812</v>
      </c>
      <c r="B1203" s="10">
        <v>173.1789</v>
      </c>
      <c r="E1203" s="13">
        <f t="shared" si="54"/>
        <v>-9.4477252714065957E-3</v>
      </c>
      <c r="F1203" s="9">
        <f t="shared" si="55"/>
        <v>-5.8889003600948051E-2</v>
      </c>
      <c r="G1203" s="9">
        <f t="shared" si="56"/>
        <v>9.9075931777175951E-3</v>
      </c>
    </row>
    <row r="1204" spans="1:7" x14ac:dyDescent="0.2">
      <c r="A1204" s="11">
        <v>36815</v>
      </c>
      <c r="B1204" s="10">
        <v>174.11019999999999</v>
      </c>
      <c r="E1204" s="13">
        <f t="shared" si="54"/>
        <v>5.3632678501851069E-3</v>
      </c>
      <c r="F1204" s="9">
        <f t="shared" si="55"/>
        <v>-4.4162748403831345E-2</v>
      </c>
      <c r="G1204" s="9">
        <f t="shared" si="56"/>
        <v>9.8957426955265208E-3</v>
      </c>
    </row>
    <row r="1205" spans="1:7" x14ac:dyDescent="0.2">
      <c r="A1205" s="11">
        <v>36816</v>
      </c>
      <c r="B1205" s="10">
        <v>172.16460000000001</v>
      </c>
      <c r="E1205" s="13">
        <f t="shared" si="54"/>
        <v>-1.1237436129625878E-2</v>
      </c>
      <c r="F1205" s="9">
        <f t="shared" si="55"/>
        <v>-5.3896623329584385E-2</v>
      </c>
      <c r="G1205" s="9">
        <f t="shared" si="56"/>
        <v>1.0058801795936666E-2</v>
      </c>
    </row>
    <row r="1206" spans="1:7" x14ac:dyDescent="0.2">
      <c r="A1206" s="11">
        <v>36817</v>
      </c>
      <c r="B1206" s="10">
        <v>167.11969999999999</v>
      </c>
      <c r="E1206" s="13">
        <f t="shared" si="54"/>
        <v>-2.9740673817901603E-2</v>
      </c>
      <c r="F1206" s="9">
        <f t="shared" si="55"/>
        <v>-8.9152656153154028E-2</v>
      </c>
      <c r="G1206" s="9">
        <f t="shared" si="56"/>
        <v>1.1201412044675691E-2</v>
      </c>
    </row>
    <row r="1207" spans="1:7" x14ac:dyDescent="0.2">
      <c r="A1207" s="11">
        <v>36818</v>
      </c>
      <c r="B1207" s="10">
        <v>173.35050000000001</v>
      </c>
      <c r="E1207" s="13">
        <f t="shared" si="54"/>
        <v>3.6605234335499087E-2</v>
      </c>
      <c r="F1207" s="9">
        <f t="shared" si="55"/>
        <v>-5.5884972987313555E-2</v>
      </c>
      <c r="G1207" s="9">
        <f t="shared" si="56"/>
        <v>1.3374270615259818E-2</v>
      </c>
    </row>
    <row r="1208" spans="1:7" x14ac:dyDescent="0.2">
      <c r="A1208" s="11">
        <v>36819</v>
      </c>
      <c r="B1208" s="10">
        <v>173.82929999999999</v>
      </c>
      <c r="E1208" s="13">
        <f t="shared" si="54"/>
        <v>2.7582267375680209E-3</v>
      </c>
      <c r="F1208" s="9">
        <f t="shared" si="55"/>
        <v>-5.5448475887993155E-2</v>
      </c>
      <c r="G1208" s="9">
        <f t="shared" si="56"/>
        <v>1.3379467666610098E-2</v>
      </c>
    </row>
    <row r="1209" spans="1:7" x14ac:dyDescent="0.2">
      <c r="A1209" s="11">
        <v>36822</v>
      </c>
      <c r="B1209" s="10">
        <v>175.8597</v>
      </c>
      <c r="E1209" s="13">
        <f t="shared" si="54"/>
        <v>1.1612734844493369E-2</v>
      </c>
      <c r="F1209" s="9">
        <f t="shared" si="55"/>
        <v>-5.6903348466334512E-2</v>
      </c>
      <c r="G1209" s="9">
        <f t="shared" si="56"/>
        <v>1.3323905904450982E-2</v>
      </c>
    </row>
    <row r="1210" spans="1:7" x14ac:dyDescent="0.2">
      <c r="A1210" s="11">
        <v>36823</v>
      </c>
      <c r="B1210" s="10">
        <v>179.73390000000001</v>
      </c>
      <c r="E1210" s="13">
        <f t="shared" si="54"/>
        <v>2.1790905697029982E-2</v>
      </c>
      <c r="F1210" s="9">
        <f t="shared" si="55"/>
        <v>-2.9914081049098082E-2</v>
      </c>
      <c r="G1210" s="9">
        <f t="shared" si="56"/>
        <v>1.4014481816453438E-2</v>
      </c>
    </row>
    <row r="1211" spans="1:7" x14ac:dyDescent="0.2">
      <c r="A1211" s="11">
        <v>36824</v>
      </c>
      <c r="B1211" s="10">
        <v>177.2473</v>
      </c>
      <c r="E1211" s="13">
        <f t="shared" si="54"/>
        <v>-1.3931491169934711E-2</v>
      </c>
      <c r="F1211" s="9">
        <f t="shared" si="55"/>
        <v>-6.3003010586604555E-2</v>
      </c>
      <c r="G1211" s="9">
        <f t="shared" si="56"/>
        <v>1.3654434708655896E-2</v>
      </c>
    </row>
    <row r="1212" spans="1:7" x14ac:dyDescent="0.2">
      <c r="A1212" s="11">
        <v>36825</v>
      </c>
      <c r="B1212" s="10">
        <v>178.08240000000001</v>
      </c>
      <c r="E1212" s="13">
        <f t="shared" si="54"/>
        <v>4.7004319512944813E-3</v>
      </c>
      <c r="F1212" s="9">
        <f t="shared" si="55"/>
        <v>-5.3928541371456612E-2</v>
      </c>
      <c r="G1212" s="9">
        <f t="shared" si="56"/>
        <v>1.370606183908896E-2</v>
      </c>
    </row>
    <row r="1213" spans="1:7" x14ac:dyDescent="0.2">
      <c r="A1213" s="11">
        <v>36826</v>
      </c>
      <c r="B1213" s="10">
        <v>179.5378</v>
      </c>
      <c r="E1213" s="13">
        <f t="shared" si="54"/>
        <v>8.1394061912826443E-3</v>
      </c>
      <c r="F1213" s="9">
        <f t="shared" si="55"/>
        <v>-4.3800991484446772E-2</v>
      </c>
      <c r="G1213" s="9">
        <f t="shared" si="56"/>
        <v>1.3831122474857606E-2</v>
      </c>
    </row>
    <row r="1214" spans="1:7" x14ac:dyDescent="0.2">
      <c r="A1214" s="11">
        <v>36829</v>
      </c>
      <c r="B1214" s="10">
        <v>177.4923</v>
      </c>
      <c r="E1214" s="13">
        <f t="shared" si="54"/>
        <v>-1.1458543023822194E-2</v>
      </c>
      <c r="F1214" s="9">
        <f t="shared" si="55"/>
        <v>-5.2078710093651337E-2</v>
      </c>
      <c r="G1214" s="9">
        <f t="shared" si="56"/>
        <v>1.3951716956174918E-2</v>
      </c>
    </row>
    <row r="1215" spans="1:7" x14ac:dyDescent="0.2">
      <c r="A1215" s="11">
        <v>36830</v>
      </c>
      <c r="B1215" s="10">
        <v>180.97630000000001</v>
      </c>
      <c r="E1215" s="13">
        <f t="shared" si="54"/>
        <v>1.9438855773188907E-2</v>
      </c>
      <c r="F1215" s="9">
        <f t="shared" si="55"/>
        <v>-1.7093449991924269E-2</v>
      </c>
      <c r="G1215" s="9">
        <f t="shared" si="56"/>
        <v>1.4230046529033091E-2</v>
      </c>
    </row>
    <row r="1216" spans="1:7" x14ac:dyDescent="0.2">
      <c r="A1216" s="11">
        <v>36831</v>
      </c>
      <c r="B1216" s="10">
        <v>181.6455</v>
      </c>
      <c r="E1216" s="13">
        <f t="shared" si="54"/>
        <v>3.6909019793933484E-3</v>
      </c>
      <c r="F1216" s="9">
        <f t="shared" si="55"/>
        <v>-5.0936553244273061E-3</v>
      </c>
      <c r="G1216" s="9">
        <f t="shared" si="56"/>
        <v>1.4171908899432369E-2</v>
      </c>
    </row>
    <row r="1217" spans="1:7" x14ac:dyDescent="0.2">
      <c r="A1217" s="11">
        <v>36832</v>
      </c>
      <c r="B1217" s="10">
        <v>183.11789999999999</v>
      </c>
      <c r="E1217" s="13">
        <f t="shared" si="54"/>
        <v>8.073222243235265E-3</v>
      </c>
      <c r="F1217" s="9">
        <f t="shared" si="55"/>
        <v>2.0521734140063398E-2</v>
      </c>
      <c r="G1217" s="9">
        <f t="shared" si="56"/>
        <v>1.3845352342502048E-2</v>
      </c>
    </row>
    <row r="1218" spans="1:7" x14ac:dyDescent="0.2">
      <c r="A1218" s="11">
        <v>36833</v>
      </c>
      <c r="B1218" s="10">
        <v>185.10310000000001</v>
      </c>
      <c r="E1218" s="13">
        <f t="shared" si="54"/>
        <v>1.0782759454508253E-2</v>
      </c>
      <c r="F1218" s="9">
        <f t="shared" si="55"/>
        <v>2.8890441487748334E-2</v>
      </c>
      <c r="G1218" s="9">
        <f t="shared" si="56"/>
        <v>1.3968851780512674E-2</v>
      </c>
    </row>
    <row r="1219" spans="1:7" x14ac:dyDescent="0.2">
      <c r="A1219" s="11">
        <v>36836</v>
      </c>
      <c r="B1219" s="10">
        <v>186.47370000000001</v>
      </c>
      <c r="E1219" s="13">
        <f t="shared" si="54"/>
        <v>7.3772432298785965E-3</v>
      </c>
      <c r="F1219" s="9">
        <f t="shared" si="55"/>
        <v>3.8828906238452129E-2</v>
      </c>
      <c r="G1219" s="9">
        <f t="shared" si="56"/>
        <v>1.400033547896109E-2</v>
      </c>
    </row>
    <row r="1220" spans="1:7" x14ac:dyDescent="0.2">
      <c r="A1220" s="11">
        <v>36837</v>
      </c>
      <c r="B1220" s="10">
        <v>184.40180000000001</v>
      </c>
      <c r="E1220" s="13">
        <f t="shared" ref="E1220:E1283" si="57">LN(B1220/B1219)</f>
        <v>-1.117313790989532E-2</v>
      </c>
      <c r="F1220" s="9">
        <f t="shared" si="55"/>
        <v>1.8511759767140153E-2</v>
      </c>
      <c r="G1220" s="9">
        <f t="shared" si="56"/>
        <v>1.4103775464834822E-2</v>
      </c>
    </row>
    <row r="1221" spans="1:7" x14ac:dyDescent="0.2">
      <c r="A1221" s="11">
        <v>36838</v>
      </c>
      <c r="B1221" s="10">
        <v>184.34139999999999</v>
      </c>
      <c r="E1221" s="13">
        <f t="shared" si="57"/>
        <v>-3.2759926442143113E-4</v>
      </c>
      <c r="F1221" s="9">
        <f t="shared" si="55"/>
        <v>2.3865400623486854E-2</v>
      </c>
      <c r="G1221" s="9">
        <f t="shared" si="56"/>
        <v>1.4053048935005636E-2</v>
      </c>
    </row>
    <row r="1222" spans="1:7" x14ac:dyDescent="0.2">
      <c r="A1222" s="11">
        <v>36839</v>
      </c>
      <c r="B1222" s="10">
        <v>183.3442</v>
      </c>
      <c r="E1222" s="13">
        <f t="shared" si="57"/>
        <v>-5.4242126695954558E-3</v>
      </c>
      <c r="F1222" s="9">
        <f t="shared" si="55"/>
        <v>1.4573549899653128E-2</v>
      </c>
      <c r="G1222" s="9">
        <f t="shared" si="56"/>
        <v>1.4087036585601719E-2</v>
      </c>
    </row>
    <row r="1223" spans="1:7" x14ac:dyDescent="0.2">
      <c r="A1223" s="11">
        <v>36840</v>
      </c>
      <c r="B1223" s="10">
        <v>180.011</v>
      </c>
      <c r="E1223" s="13">
        <f t="shared" si="57"/>
        <v>-1.8347300395007347E-2</v>
      </c>
      <c r="F1223" s="9">
        <f t="shared" si="55"/>
        <v>-1.1454552495044418E-2</v>
      </c>
      <c r="G1223" s="9">
        <f t="shared" si="56"/>
        <v>1.4438140054803804E-2</v>
      </c>
    </row>
    <row r="1224" spans="1:7" x14ac:dyDescent="0.2">
      <c r="A1224" s="11">
        <v>36843</v>
      </c>
      <c r="B1224" s="10">
        <v>175.66370000000001</v>
      </c>
      <c r="E1224" s="13">
        <f t="shared" si="57"/>
        <v>-2.444658844900632E-2</v>
      </c>
      <c r="F1224" s="9">
        <f t="shared" si="55"/>
        <v>-4.9403784009459654E-2</v>
      </c>
      <c r="G1224" s="9">
        <f t="shared" si="56"/>
        <v>1.4847501379802659E-2</v>
      </c>
    </row>
    <row r="1225" spans="1:7" x14ac:dyDescent="0.2">
      <c r="A1225" s="11">
        <v>36844</v>
      </c>
      <c r="B1225" s="10">
        <v>177.77889999999999</v>
      </c>
      <c r="E1225" s="13">
        <f t="shared" si="57"/>
        <v>1.1969271686622195E-2</v>
      </c>
      <c r="F1225" s="9">
        <f t="shared" si="55"/>
        <v>-2.1994081779579393E-2</v>
      </c>
      <c r="G1225" s="9">
        <f t="shared" si="56"/>
        <v>1.4814196197803711E-2</v>
      </c>
    </row>
    <row r="1226" spans="1:7" x14ac:dyDescent="0.2">
      <c r="A1226" s="11">
        <v>36845</v>
      </c>
      <c r="B1226" s="10">
        <v>175.0924</v>
      </c>
      <c r="E1226" s="13">
        <f t="shared" si="57"/>
        <v>-1.5226808791168783E-2</v>
      </c>
      <c r="F1226" s="9">
        <f t="shared" si="55"/>
        <v>-3.3916629315245257E-2</v>
      </c>
      <c r="G1226" s="9">
        <f t="shared" si="56"/>
        <v>1.5050917002680015E-2</v>
      </c>
    </row>
    <row r="1227" spans="1:7" x14ac:dyDescent="0.2">
      <c r="A1227" s="11">
        <v>36846</v>
      </c>
      <c r="B1227" s="10">
        <v>174.06870000000001</v>
      </c>
      <c r="E1227" s="13">
        <f t="shared" si="57"/>
        <v>-5.8637857037257364E-3</v>
      </c>
      <c r="F1227" s="9">
        <f t="shared" si="55"/>
        <v>-4.3644684034599424E-2</v>
      </c>
      <c r="G1227" s="9">
        <f t="shared" si="56"/>
        <v>1.5043124112711722E-2</v>
      </c>
    </row>
    <row r="1228" spans="1:7" x14ac:dyDescent="0.2">
      <c r="A1228" s="11">
        <v>36847</v>
      </c>
      <c r="B1228" s="10">
        <v>174.83410000000001</v>
      </c>
      <c r="E1228" s="13">
        <f t="shared" si="57"/>
        <v>4.3874754104866829E-3</v>
      </c>
      <c r="F1228" s="9">
        <f t="shared" si="55"/>
        <v>-2.5109074056051488E-2</v>
      </c>
      <c r="G1228" s="9">
        <f t="shared" si="56"/>
        <v>1.4879637495032318E-2</v>
      </c>
    </row>
    <row r="1229" spans="1:7" x14ac:dyDescent="0.2">
      <c r="A1229" s="11">
        <v>36850</v>
      </c>
      <c r="B1229" s="10">
        <v>172.6944</v>
      </c>
      <c r="E1229" s="13">
        <f t="shared" si="57"/>
        <v>-1.2313965832981858E-2</v>
      </c>
      <c r="F1229" s="9">
        <f t="shared" si="55"/>
        <v>-3.7917117933300611E-2</v>
      </c>
      <c r="G1229" s="9">
        <f t="shared" si="56"/>
        <v>1.5027183508934269E-2</v>
      </c>
    </row>
    <row r="1230" spans="1:7" x14ac:dyDescent="0.2">
      <c r="A1230" s="11">
        <v>36851</v>
      </c>
      <c r="B1230" s="10">
        <v>171.34450000000001</v>
      </c>
      <c r="E1230" s="13">
        <f t="shared" si="57"/>
        <v>-7.8474086938122491E-3</v>
      </c>
      <c r="F1230" s="9">
        <f t="shared" si="55"/>
        <v>-2.1820999789070455E-2</v>
      </c>
      <c r="G1230" s="9">
        <f t="shared" si="56"/>
        <v>1.444731950214459E-2</v>
      </c>
    </row>
    <row r="1231" spans="1:7" x14ac:dyDescent="0.2">
      <c r="A1231" s="11">
        <v>36852</v>
      </c>
      <c r="B1231" s="10">
        <v>165.6473</v>
      </c>
      <c r="E1231" s="13">
        <f t="shared" si="57"/>
        <v>-3.3815320573961305E-2</v>
      </c>
      <c r="F1231" s="9">
        <f t="shared" si="55"/>
        <v>-5.3912060311601041E-2</v>
      </c>
      <c r="G1231" s="9">
        <f t="shared" si="56"/>
        <v>1.5699179525131921E-2</v>
      </c>
    </row>
    <row r="1232" spans="1:7" x14ac:dyDescent="0.2">
      <c r="A1232" s="11">
        <v>36853</v>
      </c>
      <c r="B1232" s="10">
        <v>167.8022</v>
      </c>
      <c r="E1232" s="13">
        <f t="shared" si="57"/>
        <v>1.2925075606838907E-2</v>
      </c>
      <c r="F1232" s="9">
        <f t="shared" si="55"/>
        <v>-3.1539259433355581E-2</v>
      </c>
      <c r="G1232" s="9">
        <f t="shared" si="56"/>
        <v>1.5861814385877138E-2</v>
      </c>
    </row>
    <row r="1233" spans="1:7" x14ac:dyDescent="0.2">
      <c r="A1233" s="11">
        <v>36854</v>
      </c>
      <c r="B1233" s="10">
        <v>170.9091</v>
      </c>
      <c r="E1233" s="13">
        <f t="shared" si="57"/>
        <v>1.8345931423707381E-2</v>
      </c>
      <c r="F1233" s="9">
        <f t="shared" si="55"/>
        <v>-1.8556595859833304E-2</v>
      </c>
      <c r="G1233" s="9">
        <f t="shared" si="56"/>
        <v>1.6229333814700191E-2</v>
      </c>
    </row>
    <row r="1234" spans="1:7" x14ac:dyDescent="0.2">
      <c r="A1234" s="11">
        <v>36857</v>
      </c>
      <c r="B1234" s="10">
        <v>173.57480000000001</v>
      </c>
      <c r="E1234" s="13">
        <f t="shared" si="57"/>
        <v>1.5476794181895244E-2</v>
      </c>
      <c r="F1234" s="9">
        <f t="shared" si="55"/>
        <v>8.1576344516876634E-3</v>
      </c>
      <c r="G1234" s="9">
        <f t="shared" si="56"/>
        <v>1.6363926175192302E-2</v>
      </c>
    </row>
    <row r="1235" spans="1:7" x14ac:dyDescent="0.2">
      <c r="A1235" s="11">
        <v>36858</v>
      </c>
      <c r="B1235" s="10">
        <v>170.3246</v>
      </c>
      <c r="E1235" s="13">
        <f t="shared" si="57"/>
        <v>-1.8902602193523022E-2</v>
      </c>
      <c r="F1235" s="9">
        <f t="shared" si="55"/>
        <v>1.899570607606647E-2</v>
      </c>
      <c r="G1235" s="9">
        <f t="shared" si="56"/>
        <v>1.5766645400269633E-2</v>
      </c>
    </row>
    <row r="1236" spans="1:7" x14ac:dyDescent="0.2">
      <c r="A1236" s="11">
        <v>36859</v>
      </c>
      <c r="B1236" s="10">
        <v>170.04</v>
      </c>
      <c r="E1236" s="13">
        <f t="shared" si="57"/>
        <v>-1.6723247148951053E-3</v>
      </c>
      <c r="F1236" s="9">
        <f t="shared" si="55"/>
        <v>-1.9281852974327902E-2</v>
      </c>
      <c r="G1236" s="9">
        <f t="shared" si="56"/>
        <v>1.4171040389715242E-2</v>
      </c>
    </row>
    <row r="1237" spans="1:7" x14ac:dyDescent="0.2">
      <c r="A1237" s="11">
        <v>36860</v>
      </c>
      <c r="B1237" s="10">
        <v>164.20509999999999</v>
      </c>
      <c r="E1237" s="13">
        <f t="shared" si="57"/>
        <v>-3.4917447271290487E-2</v>
      </c>
      <c r="F1237" s="9">
        <f t="shared" si="55"/>
        <v>-5.6957526983186395E-2</v>
      </c>
      <c r="G1237" s="9">
        <f t="shared" si="56"/>
        <v>1.5509775566314924E-2</v>
      </c>
    </row>
    <row r="1238" spans="1:7" x14ac:dyDescent="0.2">
      <c r="A1238" s="11">
        <v>36861</v>
      </c>
      <c r="B1238" s="10">
        <v>165.36269999999999</v>
      </c>
      <c r="E1238" s="13">
        <f t="shared" si="57"/>
        <v>7.0249870325244709E-3</v>
      </c>
      <c r="F1238" s="9">
        <f t="shared" si="55"/>
        <v>-6.1545274795155362E-2</v>
      </c>
      <c r="G1238" s="9">
        <f t="shared" si="56"/>
        <v>1.5389277075685676E-2</v>
      </c>
    </row>
    <row r="1239" spans="1:7" x14ac:dyDescent="0.2">
      <c r="A1239" s="11">
        <v>36864</v>
      </c>
      <c r="B1239" s="10">
        <v>158.80199999999999</v>
      </c>
      <c r="E1239" s="13">
        <f t="shared" si="57"/>
        <v>-4.0483100059659237E-2</v>
      </c>
      <c r="F1239" s="9">
        <f t="shared" si="55"/>
        <v>-0.12381928055184455</v>
      </c>
      <c r="G1239" s="9">
        <f t="shared" si="56"/>
        <v>1.6253818827175807E-2</v>
      </c>
    </row>
    <row r="1240" spans="1:7" x14ac:dyDescent="0.2">
      <c r="A1240" s="11">
        <v>36865</v>
      </c>
      <c r="B1240" s="10">
        <v>160.7834</v>
      </c>
      <c r="E1240" s="13">
        <f t="shared" si="57"/>
        <v>1.2399974392877468E-2</v>
      </c>
      <c r="F1240" s="9">
        <f t="shared" si="55"/>
        <v>-9.7487814989032348E-2</v>
      </c>
      <c r="G1240" s="9">
        <f t="shared" si="56"/>
        <v>1.6429330505558087E-2</v>
      </c>
    </row>
    <row r="1241" spans="1:7" x14ac:dyDescent="0.2">
      <c r="A1241" s="11">
        <v>36866</v>
      </c>
      <c r="B1241" s="10">
        <v>161.63550000000001</v>
      </c>
      <c r="E1241" s="13">
        <f t="shared" si="57"/>
        <v>5.2856825940488837E-3</v>
      </c>
      <c r="F1241" s="9">
        <f t="shared" si="55"/>
        <v>-9.6902564346278086E-2</v>
      </c>
      <c r="G1241" s="9">
        <f t="shared" si="56"/>
        <v>1.6439943308163184E-2</v>
      </c>
    </row>
    <row r="1242" spans="1:7" x14ac:dyDescent="0.2">
      <c r="A1242" s="11">
        <v>36867</v>
      </c>
      <c r="B1242" s="10">
        <v>159.37700000000001</v>
      </c>
      <c r="E1242" s="13">
        <f t="shared" si="57"/>
        <v>-1.4071335325530175E-2</v>
      </c>
      <c r="F1242" s="9">
        <f t="shared" si="55"/>
        <v>-0.11911330586309068</v>
      </c>
      <c r="G1242" s="9">
        <f t="shared" si="56"/>
        <v>1.6403306795646271E-2</v>
      </c>
    </row>
    <row r="1243" spans="1:7" x14ac:dyDescent="0.2">
      <c r="A1243" s="11">
        <v>36868</v>
      </c>
      <c r="B1243" s="10">
        <v>160.60239999999999</v>
      </c>
      <c r="E1243" s="13">
        <f t="shared" si="57"/>
        <v>7.6592805075905122E-3</v>
      </c>
      <c r="F1243" s="9">
        <f t="shared" si="55"/>
        <v>-9.9995482331677918E-2</v>
      </c>
      <c r="G1243" s="9">
        <f t="shared" si="56"/>
        <v>1.6481296632642507E-2</v>
      </c>
    </row>
    <row r="1244" spans="1:7" x14ac:dyDescent="0.2">
      <c r="A1244" s="11">
        <v>36871</v>
      </c>
      <c r="B1244" s="10">
        <v>162.94390000000001</v>
      </c>
      <c r="E1244" s="13">
        <f t="shared" si="57"/>
        <v>1.4474224425770699E-2</v>
      </c>
      <c r="F1244" s="9">
        <f t="shared" si="55"/>
        <v>-0.10496011367909606</v>
      </c>
      <c r="G1244" s="9">
        <f t="shared" si="56"/>
        <v>1.6259365143410462E-2</v>
      </c>
    </row>
    <row r="1245" spans="1:7" x14ac:dyDescent="0.2">
      <c r="A1245" s="11">
        <v>36872</v>
      </c>
      <c r="B1245" s="10">
        <v>163.66030000000001</v>
      </c>
      <c r="E1245" s="13">
        <f t="shared" si="57"/>
        <v>4.3869683791907914E-3</v>
      </c>
      <c r="F1245" s="9">
        <f t="shared" si="55"/>
        <v>-0.10426404727929854</v>
      </c>
      <c r="G1245" s="9">
        <f t="shared" si="56"/>
        <v>1.6271051561109865E-2</v>
      </c>
    </row>
    <row r="1246" spans="1:7" x14ac:dyDescent="0.2">
      <c r="A1246" s="11">
        <v>36873</v>
      </c>
      <c r="B1246" s="10">
        <v>167.53630000000001</v>
      </c>
      <c r="E1246" s="13">
        <f t="shared" si="57"/>
        <v>2.3407106037308518E-2</v>
      </c>
      <c r="F1246" s="9">
        <f t="shared" si="55"/>
        <v>-8.8930163485225214E-2</v>
      </c>
      <c r="G1246" s="9">
        <f t="shared" si="56"/>
        <v>1.6900747400245979E-2</v>
      </c>
    </row>
    <row r="1247" spans="1:7" x14ac:dyDescent="0.2">
      <c r="A1247" s="11">
        <v>36874</v>
      </c>
      <c r="B1247" s="10">
        <v>164.47659999999999</v>
      </c>
      <c r="E1247" s="13">
        <f t="shared" si="57"/>
        <v>-1.8431733356498784E-2</v>
      </c>
      <c r="F1247" s="9">
        <f t="shared" si="55"/>
        <v>-0.11814465629623219</v>
      </c>
      <c r="G1247" s="9">
        <f t="shared" si="56"/>
        <v>1.6916435203925866E-2</v>
      </c>
    </row>
    <row r="1248" spans="1:7" x14ac:dyDescent="0.2">
      <c r="A1248" s="11">
        <v>36875</v>
      </c>
      <c r="B1248" s="10">
        <v>160.42140000000001</v>
      </c>
      <c r="E1248" s="13">
        <f t="shared" si="57"/>
        <v>-2.4964207854839465E-2</v>
      </c>
      <c r="F1248" s="9">
        <f t="shared" ref="F1248:F1311" si="58">LN(B1248/B1219)</f>
        <v>-0.15048610738095022</v>
      </c>
      <c r="G1248" s="9">
        <f t="shared" si="56"/>
        <v>1.7198262721288812E-2</v>
      </c>
    </row>
    <row r="1249" spans="1:7" x14ac:dyDescent="0.2">
      <c r="A1249" s="11">
        <v>36878</v>
      </c>
      <c r="B1249" s="10">
        <v>160.24039999999999</v>
      </c>
      <c r="E1249" s="13">
        <f t="shared" si="57"/>
        <v>-1.1289153820190586E-3</v>
      </c>
      <c r="F1249" s="9">
        <f t="shared" si="58"/>
        <v>-0.14044188485307413</v>
      </c>
      <c r="G1249" s="9">
        <f t="shared" ref="G1249:G1312" si="59">STDEV(E1221:E1249)</f>
        <v>1.7174571958223313E-2</v>
      </c>
    </row>
    <row r="1250" spans="1:7" x14ac:dyDescent="0.2">
      <c r="A1250" s="11">
        <v>36879</v>
      </c>
      <c r="B1250" s="10">
        <v>161.28489999999999</v>
      </c>
      <c r="E1250" s="13">
        <f t="shared" si="57"/>
        <v>6.4971787558625203E-3</v>
      </c>
      <c r="F1250" s="9">
        <f t="shared" si="58"/>
        <v>-0.13361710683279013</v>
      </c>
      <c r="G1250" s="9">
        <f t="shared" si="59"/>
        <v>1.7285055573928735E-2</v>
      </c>
    </row>
    <row r="1251" spans="1:7" x14ac:dyDescent="0.2">
      <c r="A1251" s="11">
        <v>36880</v>
      </c>
      <c r="B1251" s="10">
        <v>156.70750000000001</v>
      </c>
      <c r="E1251" s="13">
        <f t="shared" si="57"/>
        <v>-2.8791355992319651E-2</v>
      </c>
      <c r="F1251" s="9">
        <f t="shared" si="58"/>
        <v>-0.15698425015551437</v>
      </c>
      <c r="G1251" s="9">
        <f t="shared" si="59"/>
        <v>1.7859583467228587E-2</v>
      </c>
    </row>
    <row r="1252" spans="1:7" x14ac:dyDescent="0.2">
      <c r="A1252" s="11">
        <v>36881</v>
      </c>
      <c r="B1252" s="10">
        <v>154.77699999999999</v>
      </c>
      <c r="E1252" s="13">
        <f t="shared" si="57"/>
        <v>-1.2395639068274506E-2</v>
      </c>
      <c r="F1252" s="9">
        <f t="shared" si="58"/>
        <v>-0.15103258882878146</v>
      </c>
      <c r="G1252" s="9">
        <f t="shared" si="59"/>
        <v>1.7739438352068274E-2</v>
      </c>
    </row>
    <row r="1253" spans="1:7" x14ac:dyDescent="0.2">
      <c r="A1253" s="11">
        <v>36882</v>
      </c>
      <c r="B1253" s="10">
        <v>159.0018</v>
      </c>
      <c r="E1253" s="13">
        <f t="shared" si="57"/>
        <v>2.6930151605537165E-2</v>
      </c>
      <c r="F1253" s="9">
        <f t="shared" si="58"/>
        <v>-9.9655848774237929E-2</v>
      </c>
      <c r="G1253" s="9">
        <f t="shared" si="59"/>
        <v>1.8305907320987372E-2</v>
      </c>
    </row>
    <row r="1254" spans="1:7" x14ac:dyDescent="0.2">
      <c r="A1254" s="11">
        <v>36887</v>
      </c>
      <c r="B1254" s="10">
        <v>163.74700000000001</v>
      </c>
      <c r="E1254" s="13">
        <f t="shared" si="57"/>
        <v>2.940703082598068E-2</v>
      </c>
      <c r="F1254" s="9">
        <f t="shared" si="58"/>
        <v>-8.2218089634879518E-2</v>
      </c>
      <c r="G1254" s="9">
        <f t="shared" si="59"/>
        <v>1.9099220222488326E-2</v>
      </c>
    </row>
    <row r="1255" spans="1:7" x14ac:dyDescent="0.2">
      <c r="A1255" s="11">
        <v>36888</v>
      </c>
      <c r="B1255" s="10">
        <v>165.67179999999999</v>
      </c>
      <c r="E1255" s="13">
        <f t="shared" si="57"/>
        <v>1.1686169127108516E-2</v>
      </c>
      <c r="F1255" s="9">
        <f t="shared" si="58"/>
        <v>-5.5305111716602191E-2</v>
      </c>
      <c r="G1255" s="9">
        <f t="shared" si="59"/>
        <v>1.9129430372205481E-2</v>
      </c>
    </row>
    <row r="1256" spans="1:7" x14ac:dyDescent="0.2">
      <c r="A1256" s="11">
        <v>36889</v>
      </c>
      <c r="B1256" s="10">
        <v>165.21180000000001</v>
      </c>
      <c r="E1256" s="13">
        <f t="shared" si="57"/>
        <v>-2.7804357565510227E-3</v>
      </c>
      <c r="F1256" s="9">
        <f t="shared" si="58"/>
        <v>-5.2221761769427499E-2</v>
      </c>
      <c r="G1256" s="9">
        <f t="shared" si="59"/>
        <v>1.9115216764754549E-2</v>
      </c>
    </row>
    <row r="1257" spans="1:7" x14ac:dyDescent="0.2">
      <c r="A1257" s="11">
        <v>36893</v>
      </c>
      <c r="B1257" s="10">
        <v>167.63820000000001</v>
      </c>
      <c r="E1257" s="13">
        <f t="shared" si="57"/>
        <v>1.4579798597616359E-2</v>
      </c>
      <c r="F1257" s="9">
        <f t="shared" si="58"/>
        <v>-4.2029438582297692E-2</v>
      </c>
      <c r="G1257" s="9">
        <f t="shared" si="59"/>
        <v>1.9325601444976352E-2</v>
      </c>
    </row>
    <row r="1258" spans="1:7" x14ac:dyDescent="0.2">
      <c r="A1258" s="11">
        <v>36894</v>
      </c>
      <c r="B1258" s="10">
        <v>161.21129999999999</v>
      </c>
      <c r="E1258" s="13">
        <f t="shared" si="57"/>
        <v>-3.9092158833750827E-2</v>
      </c>
      <c r="F1258" s="9">
        <f t="shared" si="58"/>
        <v>-6.8807631583066686E-2</v>
      </c>
      <c r="G1258" s="9">
        <f t="shared" si="59"/>
        <v>2.0469163328718124E-2</v>
      </c>
    </row>
    <row r="1259" spans="1:7" x14ac:dyDescent="0.2">
      <c r="A1259" s="11">
        <v>36895</v>
      </c>
      <c r="B1259" s="10">
        <v>165.00069999999999</v>
      </c>
      <c r="E1259" s="13">
        <f t="shared" si="57"/>
        <v>2.3233789444550876E-2</v>
      </c>
      <c r="F1259" s="9">
        <f t="shared" si="58"/>
        <v>-3.7726433444703417E-2</v>
      </c>
      <c r="G1259" s="9">
        <f t="shared" si="59"/>
        <v>2.0979609833795525E-2</v>
      </c>
    </row>
    <row r="1260" spans="1:7" x14ac:dyDescent="0.2">
      <c r="A1260" s="11">
        <v>36896</v>
      </c>
      <c r="B1260" s="10">
        <v>165.82079999999999</v>
      </c>
      <c r="E1260" s="13">
        <f t="shared" si="57"/>
        <v>4.957970869113845E-3</v>
      </c>
      <c r="F1260" s="9">
        <f t="shared" si="58"/>
        <v>1.046857998371754E-3</v>
      </c>
      <c r="G1260" s="9">
        <f t="shared" si="59"/>
        <v>2.0048316046494895E-2</v>
      </c>
    </row>
    <row r="1261" spans="1:7" x14ac:dyDescent="0.2">
      <c r="A1261" s="11">
        <v>36899</v>
      </c>
      <c r="B1261" s="10">
        <v>166.3826</v>
      </c>
      <c r="E1261" s="13">
        <f t="shared" si="57"/>
        <v>3.3822684269359045E-3</v>
      </c>
      <c r="F1261" s="9">
        <f t="shared" si="58"/>
        <v>-8.4959491815310758E-3</v>
      </c>
      <c r="G1261" s="9">
        <f t="shared" si="59"/>
        <v>1.9907025214977038E-2</v>
      </c>
    </row>
    <row r="1262" spans="1:7" x14ac:dyDescent="0.2">
      <c r="A1262" s="11">
        <v>36900</v>
      </c>
      <c r="B1262" s="10">
        <v>164.66890000000001</v>
      </c>
      <c r="E1262" s="13">
        <f t="shared" si="57"/>
        <v>-1.0353164430997805E-2</v>
      </c>
      <c r="F1262" s="9">
        <f t="shared" si="58"/>
        <v>-3.7195045036236232E-2</v>
      </c>
      <c r="G1262" s="9">
        <f t="shared" si="59"/>
        <v>1.9659156528167319E-2</v>
      </c>
    </row>
    <row r="1263" spans="1:7" x14ac:dyDescent="0.2">
      <c r="A1263" s="11">
        <v>36901</v>
      </c>
      <c r="B1263" s="10">
        <v>163.70179999999999</v>
      </c>
      <c r="E1263" s="13">
        <f t="shared" si="57"/>
        <v>-5.8903111403541507E-3</v>
      </c>
      <c r="F1263" s="9">
        <f t="shared" si="58"/>
        <v>-5.8562150358485644E-2</v>
      </c>
      <c r="G1263" s="9">
        <f t="shared" si="59"/>
        <v>1.9407398450636451E-2</v>
      </c>
    </row>
    <row r="1264" spans="1:7" x14ac:dyDescent="0.2">
      <c r="A1264" s="11">
        <v>36902</v>
      </c>
      <c r="B1264" s="10">
        <v>163.2286</v>
      </c>
      <c r="E1264" s="13">
        <f t="shared" si="57"/>
        <v>-2.8948077661043762E-3</v>
      </c>
      <c r="F1264" s="9">
        <f t="shared" si="58"/>
        <v>-4.25543559310671E-2</v>
      </c>
      <c r="G1264" s="9">
        <f t="shared" si="59"/>
        <v>1.9135798861979535E-2</v>
      </c>
    </row>
    <row r="1265" spans="1:7" x14ac:dyDescent="0.2">
      <c r="A1265" s="11">
        <v>36903</v>
      </c>
      <c r="B1265" s="10">
        <v>164.04859999999999</v>
      </c>
      <c r="E1265" s="13">
        <f t="shared" si="57"/>
        <v>5.011053112736843E-3</v>
      </c>
      <c r="F1265" s="9">
        <f t="shared" si="58"/>
        <v>-3.5870978103435036E-2</v>
      </c>
      <c r="G1265" s="9">
        <f t="shared" si="59"/>
        <v>1.9173451077818655E-2</v>
      </c>
    </row>
    <row r="1266" spans="1:7" x14ac:dyDescent="0.2">
      <c r="A1266" s="11">
        <v>36906</v>
      </c>
      <c r="B1266" s="10">
        <v>163.97319999999999</v>
      </c>
      <c r="E1266" s="13">
        <f t="shared" si="57"/>
        <v>-4.5972555072846947E-4</v>
      </c>
      <c r="F1266" s="9">
        <f t="shared" si="58"/>
        <v>-1.41325638287298E-3</v>
      </c>
      <c r="G1266" s="9">
        <f t="shared" si="59"/>
        <v>1.8046248704917306E-2</v>
      </c>
    </row>
    <row r="1267" spans="1:7" x14ac:dyDescent="0.2">
      <c r="A1267" s="11">
        <v>36907</v>
      </c>
      <c r="B1267" s="10">
        <v>162.3802</v>
      </c>
      <c r="E1267" s="13">
        <f t="shared" si="57"/>
        <v>-9.7625007241057861E-3</v>
      </c>
      <c r="F1267" s="9">
        <f t="shared" si="58"/>
        <v>-1.820074413950315E-2</v>
      </c>
      <c r="G1267" s="9">
        <f t="shared" si="59"/>
        <v>1.8080455540759533E-2</v>
      </c>
    </row>
    <row r="1268" spans="1:7" x14ac:dyDescent="0.2">
      <c r="A1268" s="11">
        <v>36908</v>
      </c>
      <c r="B1268" s="10">
        <v>165.9075</v>
      </c>
      <c r="E1268" s="13">
        <f t="shared" si="57"/>
        <v>2.1489905018830208E-2</v>
      </c>
      <c r="F1268" s="9">
        <f t="shared" si="58"/>
        <v>4.3772260938986313E-2</v>
      </c>
      <c r="G1268" s="9">
        <f t="shared" si="59"/>
        <v>1.6820022850245725E-2</v>
      </c>
    </row>
    <row r="1269" spans="1:7" x14ac:dyDescent="0.2">
      <c r="A1269" s="11">
        <v>36909</v>
      </c>
      <c r="B1269" s="10">
        <v>165.77359999999999</v>
      </c>
      <c r="E1269" s="13">
        <f t="shared" si="57"/>
        <v>-8.0740209360195109E-4</v>
      </c>
      <c r="F1269" s="9">
        <f t="shared" si="58"/>
        <v>3.0564884452506637E-2</v>
      </c>
      <c r="G1269" s="9">
        <f t="shared" si="59"/>
        <v>1.6692937324694054E-2</v>
      </c>
    </row>
    <row r="1270" spans="1:7" x14ac:dyDescent="0.2">
      <c r="A1270" s="11">
        <v>36910</v>
      </c>
      <c r="B1270" s="10">
        <v>165.1609</v>
      </c>
      <c r="E1270" s="13">
        <f t="shared" si="57"/>
        <v>-3.7028517731836769E-3</v>
      </c>
      <c r="F1270" s="9">
        <f t="shared" si="58"/>
        <v>2.1576350085274306E-2</v>
      </c>
      <c r="G1270" s="9">
        <f t="shared" si="59"/>
        <v>1.669500588396701E-2</v>
      </c>
    </row>
    <row r="1271" spans="1:7" x14ac:dyDescent="0.2">
      <c r="A1271" s="11">
        <v>36913</v>
      </c>
      <c r="B1271" s="10">
        <v>163.71870000000001</v>
      </c>
      <c r="E1271" s="13">
        <f t="shared" si="57"/>
        <v>-8.7704390577122721E-3</v>
      </c>
      <c r="F1271" s="9">
        <f t="shared" si="58"/>
        <v>2.6877246353092066E-2</v>
      </c>
      <c r="G1271" s="9">
        <f t="shared" si="59"/>
        <v>1.6555438806921133E-2</v>
      </c>
    </row>
    <row r="1272" spans="1:7" x14ac:dyDescent="0.2">
      <c r="A1272" s="11">
        <v>36914</v>
      </c>
      <c r="B1272" s="10">
        <v>164.535</v>
      </c>
      <c r="E1272" s="13">
        <f t="shared" si="57"/>
        <v>4.973602324754722E-3</v>
      </c>
      <c r="F1272" s="9">
        <f t="shared" si="58"/>
        <v>2.4191568170256399E-2</v>
      </c>
      <c r="G1272" s="9">
        <f t="shared" si="59"/>
        <v>1.6523914616187775E-2</v>
      </c>
    </row>
    <row r="1273" spans="1:7" x14ac:dyDescent="0.2">
      <c r="A1273" s="11">
        <v>36915</v>
      </c>
      <c r="B1273" s="10">
        <v>165.5078</v>
      </c>
      <c r="E1273" s="13">
        <f t="shared" si="57"/>
        <v>5.8950100844968661E-3</v>
      </c>
      <c r="F1273" s="9">
        <f t="shared" si="58"/>
        <v>1.5612353828982486E-2</v>
      </c>
      <c r="G1273" s="9">
        <f t="shared" si="59"/>
        <v>1.6346839452426102E-2</v>
      </c>
    </row>
    <row r="1274" spans="1:7" x14ac:dyDescent="0.2">
      <c r="A1274" s="11">
        <v>36916</v>
      </c>
      <c r="B1274" s="10">
        <v>164.2636</v>
      </c>
      <c r="E1274" s="13">
        <f t="shared" si="57"/>
        <v>-7.5458690701371645E-3</v>
      </c>
      <c r="F1274" s="9">
        <f t="shared" si="58"/>
        <v>3.6795163796542606E-3</v>
      </c>
      <c r="G1274" s="9">
        <f t="shared" si="59"/>
        <v>1.6396612558082554E-2</v>
      </c>
    </row>
    <row r="1275" spans="1:7" x14ac:dyDescent="0.2">
      <c r="A1275" s="11">
        <v>36917</v>
      </c>
      <c r="B1275" s="10">
        <v>165.08930000000001</v>
      </c>
      <c r="E1275" s="13">
        <f t="shared" si="57"/>
        <v>5.0140850735669292E-3</v>
      </c>
      <c r="F1275" s="9">
        <f t="shared" si="58"/>
        <v>-1.4713504584087388E-2</v>
      </c>
      <c r="G1275" s="9">
        <f t="shared" si="59"/>
        <v>1.5809151408107548E-2</v>
      </c>
    </row>
    <row r="1276" spans="1:7" x14ac:dyDescent="0.2">
      <c r="A1276" s="11">
        <v>36920</v>
      </c>
      <c r="B1276" s="10">
        <v>163.1437</v>
      </c>
      <c r="E1276" s="13">
        <f t="shared" si="57"/>
        <v>-1.1855132097255959E-2</v>
      </c>
      <c r="F1276" s="9">
        <f t="shared" si="58"/>
        <v>-8.1369033248445913E-3</v>
      </c>
      <c r="G1276" s="9">
        <f t="shared" si="59"/>
        <v>1.558847659800381E-2</v>
      </c>
    </row>
    <row r="1277" spans="1:7" x14ac:dyDescent="0.2">
      <c r="A1277" s="11">
        <v>36921</v>
      </c>
      <c r="B1277" s="10">
        <v>165.20240000000001</v>
      </c>
      <c r="E1277" s="13">
        <f t="shared" si="57"/>
        <v>1.2539981304308426E-2</v>
      </c>
      <c r="F1277" s="9">
        <f t="shared" si="58"/>
        <v>2.9367285834303203E-2</v>
      </c>
      <c r="G1277" s="9">
        <f t="shared" si="59"/>
        <v>1.5012613962640203E-2</v>
      </c>
    </row>
    <row r="1278" spans="1:7" x14ac:dyDescent="0.2">
      <c r="A1278" s="11">
        <v>36922</v>
      </c>
      <c r="B1278" s="10">
        <v>167.51560000000001</v>
      </c>
      <c r="E1278" s="13">
        <f t="shared" si="57"/>
        <v>1.3905092430361114E-2</v>
      </c>
      <c r="F1278" s="9">
        <f t="shared" si="58"/>
        <v>4.440129364668341E-2</v>
      </c>
      <c r="G1278" s="9">
        <f t="shared" si="59"/>
        <v>1.5194494609584169E-2</v>
      </c>
    </row>
    <row r="1279" spans="1:7" x14ac:dyDescent="0.2">
      <c r="A1279" s="11">
        <v>36923</v>
      </c>
      <c r="B1279" s="10">
        <v>167.93600000000001</v>
      </c>
      <c r="E1279" s="13">
        <f t="shared" si="57"/>
        <v>2.5064731847674678E-3</v>
      </c>
      <c r="F1279" s="9">
        <f t="shared" si="58"/>
        <v>4.04105880755882E-2</v>
      </c>
      <c r="G1279" s="9">
        <f t="shared" si="59"/>
        <v>1.5165956642806525E-2</v>
      </c>
    </row>
    <row r="1280" spans="1:7" x14ac:dyDescent="0.2">
      <c r="A1280" s="11">
        <v>36924</v>
      </c>
      <c r="B1280" s="10">
        <v>168.34700000000001</v>
      </c>
      <c r="E1280" s="13">
        <f t="shared" si="57"/>
        <v>2.4443709889706003E-3</v>
      </c>
      <c r="F1280" s="9">
        <f t="shared" si="58"/>
        <v>7.164631505687849E-2</v>
      </c>
      <c r="G1280" s="9">
        <f t="shared" si="59"/>
        <v>1.4010852544676355E-2</v>
      </c>
    </row>
    <row r="1281" spans="1:7" x14ac:dyDescent="0.2">
      <c r="A1281" s="11">
        <v>36927</v>
      </c>
      <c r="B1281" s="10">
        <v>167.38740000000001</v>
      </c>
      <c r="E1281" s="13">
        <f t="shared" si="57"/>
        <v>-5.7164390251539963E-3</v>
      </c>
      <c r="F1281" s="9">
        <f t="shared" si="58"/>
        <v>7.8325515099999105E-2</v>
      </c>
      <c r="G1281" s="9">
        <f t="shared" si="59"/>
        <v>1.3811222664390705E-2</v>
      </c>
    </row>
    <row r="1282" spans="1:7" x14ac:dyDescent="0.2">
      <c r="A1282" s="11">
        <v>36928</v>
      </c>
      <c r="B1282" s="10">
        <v>170.089</v>
      </c>
      <c r="E1282" s="13">
        <f t="shared" si="57"/>
        <v>1.6010943062984308E-2</v>
      </c>
      <c r="F1282" s="9">
        <f t="shared" si="58"/>
        <v>6.7406306557446199E-2</v>
      </c>
      <c r="G1282" s="9">
        <f t="shared" si="59"/>
        <v>1.3265133171086633E-2</v>
      </c>
    </row>
    <row r="1283" spans="1:7" x14ac:dyDescent="0.2">
      <c r="A1283" s="11">
        <v>36929</v>
      </c>
      <c r="B1283" s="10">
        <v>169.8194</v>
      </c>
      <c r="E1283" s="13">
        <f t="shared" si="57"/>
        <v>-1.586310056089535E-3</v>
      </c>
      <c r="F1283" s="9">
        <f t="shared" si="58"/>
        <v>3.6412965675375955E-2</v>
      </c>
      <c r="G1283" s="9">
        <f t="shared" si="59"/>
        <v>1.2211943108325412E-2</v>
      </c>
    </row>
    <row r="1284" spans="1:7" x14ac:dyDescent="0.2">
      <c r="A1284" s="11">
        <v>36930</v>
      </c>
      <c r="B1284" s="10">
        <v>170.64510000000001</v>
      </c>
      <c r="E1284" s="13">
        <f t="shared" ref="E1284:E1347" si="60">LN(B1284/B1283)</f>
        <v>4.8504417866665093E-3</v>
      </c>
      <c r="F1284" s="9">
        <f t="shared" si="58"/>
        <v>2.9577238334934006E-2</v>
      </c>
      <c r="G1284" s="9">
        <f t="shared" si="59"/>
        <v>1.2068552146613143E-2</v>
      </c>
    </row>
    <row r="1285" spans="1:7" x14ac:dyDescent="0.2">
      <c r="A1285" s="11">
        <v>36931</v>
      </c>
      <c r="B1285" s="10">
        <v>169.12370000000001</v>
      </c>
      <c r="E1285" s="13">
        <f t="shared" si="60"/>
        <v>-8.955561359803221E-3</v>
      </c>
      <c r="F1285" s="9">
        <f t="shared" si="58"/>
        <v>2.3402112731681905E-2</v>
      </c>
      <c r="G1285" s="9">
        <f t="shared" si="59"/>
        <v>1.2191846015440065E-2</v>
      </c>
    </row>
    <row r="1286" spans="1:7" x14ac:dyDescent="0.2">
      <c r="A1286" s="11">
        <v>36934</v>
      </c>
      <c r="B1286" s="10">
        <v>166.67670000000001</v>
      </c>
      <c r="E1286" s="13">
        <f t="shared" si="60"/>
        <v>-1.4574391896954373E-2</v>
      </c>
      <c r="F1286" s="9">
        <f t="shared" si="58"/>
        <v>-5.7520777628889269E-3</v>
      </c>
      <c r="G1286" s="9">
        <f t="shared" si="59"/>
        <v>1.2217577077567482E-2</v>
      </c>
    </row>
    <row r="1287" spans="1:7" x14ac:dyDescent="0.2">
      <c r="A1287" s="11">
        <v>36935</v>
      </c>
      <c r="B1287" s="10">
        <v>168.5412</v>
      </c>
      <c r="E1287" s="13">
        <f t="shared" si="60"/>
        <v>1.1124222348245635E-2</v>
      </c>
      <c r="F1287" s="9">
        <f t="shared" si="58"/>
        <v>4.446430341910762E-2</v>
      </c>
      <c r="G1287" s="9">
        <f t="shared" si="59"/>
        <v>9.83444145745015E-3</v>
      </c>
    </row>
    <row r="1288" spans="1:7" x14ac:dyDescent="0.2">
      <c r="A1288" s="11">
        <v>36936</v>
      </c>
      <c r="B1288" s="10">
        <v>166.40710000000001</v>
      </c>
      <c r="E1288" s="13">
        <f t="shared" si="60"/>
        <v>-1.2743034544306203E-2</v>
      </c>
      <c r="F1288" s="9">
        <f t="shared" si="58"/>
        <v>8.4874794302503935E-3</v>
      </c>
      <c r="G1288" s="9">
        <f t="shared" si="59"/>
        <v>9.2511033576206866E-3</v>
      </c>
    </row>
    <row r="1289" spans="1:7" x14ac:dyDescent="0.2">
      <c r="A1289" s="11">
        <v>36937</v>
      </c>
      <c r="B1289" s="10">
        <v>166.0395</v>
      </c>
      <c r="E1289" s="13">
        <f t="shared" si="60"/>
        <v>-2.2114838883432754E-3</v>
      </c>
      <c r="F1289" s="9">
        <f t="shared" si="58"/>
        <v>1.3180246727933125E-3</v>
      </c>
      <c r="G1289" s="9">
        <f t="shared" si="59"/>
        <v>9.2177137333999647E-3</v>
      </c>
    </row>
    <row r="1290" spans="1:7" x14ac:dyDescent="0.2">
      <c r="A1290" s="11">
        <v>36938</v>
      </c>
      <c r="B1290" s="10">
        <v>165.59450000000001</v>
      </c>
      <c r="E1290" s="13">
        <f t="shared" si="60"/>
        <v>-2.6836830185075502E-3</v>
      </c>
      <c r="F1290" s="9">
        <f t="shared" si="58"/>
        <v>-4.7479267726501994E-3</v>
      </c>
      <c r="G1290" s="9">
        <f t="shared" si="59"/>
        <v>9.2081095486122502E-3</v>
      </c>
    </row>
    <row r="1291" spans="1:7" x14ac:dyDescent="0.2">
      <c r="A1291" s="11">
        <v>36941</v>
      </c>
      <c r="B1291" s="10">
        <v>167.93600000000001</v>
      </c>
      <c r="E1291" s="13">
        <f t="shared" si="60"/>
        <v>1.4040925602290821E-2</v>
      </c>
      <c r="F1291" s="9">
        <f t="shared" si="58"/>
        <v>1.9646163260638592E-2</v>
      </c>
      <c r="G1291" s="9">
        <f t="shared" si="59"/>
        <v>9.3570588844766062E-3</v>
      </c>
    </row>
    <row r="1292" spans="1:7" x14ac:dyDescent="0.2">
      <c r="A1292" s="11">
        <v>36942</v>
      </c>
      <c r="B1292" s="10">
        <v>167.97749999999999</v>
      </c>
      <c r="E1292" s="13">
        <f t="shared" si="60"/>
        <v>2.4708742108381913E-4</v>
      </c>
      <c r="F1292" s="9">
        <f t="shared" si="58"/>
        <v>2.5783561822076629E-2</v>
      </c>
      <c r="G1292" s="9">
        <f t="shared" si="59"/>
        <v>9.2722285421094428E-3</v>
      </c>
    </row>
    <row r="1293" spans="1:7" x14ac:dyDescent="0.2">
      <c r="A1293" s="11">
        <v>36943</v>
      </c>
      <c r="B1293" s="10">
        <v>167.2045</v>
      </c>
      <c r="E1293" s="13">
        <f t="shared" si="60"/>
        <v>-4.6124276985708779E-3</v>
      </c>
      <c r="F1293" s="9">
        <f t="shared" si="58"/>
        <v>2.4065941889609987E-2</v>
      </c>
      <c r="G1293" s="9">
        <f t="shared" si="59"/>
        <v>9.3026979518851596E-3</v>
      </c>
    </row>
    <row r="1294" spans="1:7" x14ac:dyDescent="0.2">
      <c r="A1294" s="11">
        <v>36944</v>
      </c>
      <c r="B1294" s="10">
        <v>168.3168</v>
      </c>
      <c r="E1294" s="13">
        <f t="shared" si="60"/>
        <v>6.6303037977544629E-3</v>
      </c>
      <c r="F1294" s="9">
        <f t="shared" si="58"/>
        <v>2.5685192574627598E-2</v>
      </c>
      <c r="G1294" s="9">
        <f t="shared" si="59"/>
        <v>9.3334989161384472E-3</v>
      </c>
    </row>
    <row r="1295" spans="1:7" x14ac:dyDescent="0.2">
      <c r="A1295" s="11">
        <v>36945</v>
      </c>
      <c r="B1295" s="10">
        <v>167.70599999999999</v>
      </c>
      <c r="E1295" s="13">
        <f t="shared" si="60"/>
        <v>-3.6354715973293834E-3</v>
      </c>
      <c r="F1295" s="9">
        <f t="shared" si="58"/>
        <v>2.2509446528026708E-2</v>
      </c>
      <c r="G1295" s="9">
        <f t="shared" si="59"/>
        <v>9.3684132757124814E-3</v>
      </c>
    </row>
    <row r="1296" spans="1:7" x14ac:dyDescent="0.2">
      <c r="A1296" s="11">
        <v>36948</v>
      </c>
      <c r="B1296" s="10">
        <v>168.38659999999999</v>
      </c>
      <c r="E1296" s="13">
        <f t="shared" si="60"/>
        <v>4.0500798311628892E-3</v>
      </c>
      <c r="F1296" s="9">
        <f t="shared" si="58"/>
        <v>3.6322027083295391E-2</v>
      </c>
      <c r="G1296" s="9">
        <f t="shared" si="59"/>
        <v>9.1623379389506442E-3</v>
      </c>
    </row>
    <row r="1297" spans="1:7" x14ac:dyDescent="0.2">
      <c r="A1297" s="11">
        <v>36949</v>
      </c>
      <c r="B1297" s="10">
        <v>168.06610000000001</v>
      </c>
      <c r="E1297" s="13">
        <f t="shared" si="60"/>
        <v>-1.9051717934953304E-3</v>
      </c>
      <c r="F1297" s="9">
        <f t="shared" si="58"/>
        <v>1.2926950270969888E-2</v>
      </c>
      <c r="G1297" s="9">
        <f t="shared" si="59"/>
        <v>8.3068395943628037E-3</v>
      </c>
    </row>
    <row r="1298" spans="1:7" x14ac:dyDescent="0.2">
      <c r="A1298" s="11">
        <v>36950</v>
      </c>
      <c r="B1298" s="10">
        <v>167.37039999999999</v>
      </c>
      <c r="E1298" s="13">
        <f t="shared" si="60"/>
        <v>-4.1480339648688018E-3</v>
      </c>
      <c r="F1298" s="9">
        <f t="shared" si="58"/>
        <v>9.5863183997029616E-3</v>
      </c>
      <c r="G1298" s="9">
        <f t="shared" si="59"/>
        <v>8.3478997336443907E-3</v>
      </c>
    </row>
    <row r="1299" spans="1:7" x14ac:dyDescent="0.2">
      <c r="A1299" s="11">
        <v>36951</v>
      </c>
      <c r="B1299" s="10">
        <v>163.0419</v>
      </c>
      <c r="E1299" s="13">
        <f t="shared" si="60"/>
        <v>-2.6202097448796067E-2</v>
      </c>
      <c r="F1299" s="9">
        <f t="shared" si="58"/>
        <v>-1.2912927275909366E-2</v>
      </c>
      <c r="G1299" s="9">
        <f t="shared" si="59"/>
        <v>9.6760121938393659E-3</v>
      </c>
    </row>
    <row r="1300" spans="1:7" x14ac:dyDescent="0.2">
      <c r="A1300" s="11">
        <v>36952</v>
      </c>
      <c r="B1300" s="10">
        <v>162.8383</v>
      </c>
      <c r="E1300" s="13">
        <f t="shared" si="60"/>
        <v>-1.249539103577702E-3</v>
      </c>
      <c r="F1300" s="9">
        <f t="shared" si="58"/>
        <v>-5.392027321774853E-3</v>
      </c>
      <c r="G1300" s="9">
        <f t="shared" si="59"/>
        <v>9.5448077024708981E-3</v>
      </c>
    </row>
    <row r="1301" spans="1:7" x14ac:dyDescent="0.2">
      <c r="A1301" s="11">
        <v>36955</v>
      </c>
      <c r="B1301" s="10">
        <v>166.096</v>
      </c>
      <c r="E1301" s="13">
        <f t="shared" si="60"/>
        <v>1.9808250566012132E-2</v>
      </c>
      <c r="F1301" s="9">
        <f t="shared" si="58"/>
        <v>9.4426209194824352E-3</v>
      </c>
      <c r="G1301" s="9">
        <f t="shared" si="59"/>
        <v>1.0205831570995314E-2</v>
      </c>
    </row>
    <row r="1302" spans="1:7" x14ac:dyDescent="0.2">
      <c r="A1302" s="11">
        <v>36956</v>
      </c>
      <c r="B1302" s="10">
        <v>170.2586</v>
      </c>
      <c r="E1302" s="13">
        <f t="shared" si="60"/>
        <v>2.4752523253019031E-2</v>
      </c>
      <c r="F1302" s="9">
        <f t="shared" si="58"/>
        <v>2.8300134088004643E-2</v>
      </c>
      <c r="G1302" s="9">
        <f t="shared" si="59"/>
        <v>1.1132073417605623E-2</v>
      </c>
    </row>
    <row r="1303" spans="1:7" x14ac:dyDescent="0.2">
      <c r="A1303" s="11">
        <v>36957</v>
      </c>
      <c r="B1303" s="10">
        <v>169.1369</v>
      </c>
      <c r="E1303" s="13">
        <f t="shared" si="60"/>
        <v>-6.6100115300899527E-3</v>
      </c>
      <c r="F1303" s="9">
        <f t="shared" si="58"/>
        <v>2.9235991628051849E-2</v>
      </c>
      <c r="G1303" s="9">
        <f t="shared" si="59"/>
        <v>1.1107817400189653E-2</v>
      </c>
    </row>
    <row r="1304" spans="1:7" x14ac:dyDescent="0.2">
      <c r="A1304" s="11">
        <v>36958</v>
      </c>
      <c r="B1304" s="10">
        <v>169.37819999999999</v>
      </c>
      <c r="E1304" s="13">
        <f t="shared" si="60"/>
        <v>1.4256382706063864E-3</v>
      </c>
      <c r="F1304" s="9">
        <f t="shared" si="58"/>
        <v>2.5647544825091354E-2</v>
      </c>
      <c r="G1304" s="9">
        <f t="shared" si="59"/>
        <v>1.1081554278338367E-2</v>
      </c>
    </row>
    <row r="1305" spans="1:7" x14ac:dyDescent="0.2">
      <c r="A1305" s="11">
        <v>36959</v>
      </c>
      <c r="B1305" s="10">
        <v>168.24709999999999</v>
      </c>
      <c r="E1305" s="13">
        <f t="shared" si="60"/>
        <v>-6.7003523237058596E-3</v>
      </c>
      <c r="F1305" s="9">
        <f t="shared" si="58"/>
        <v>3.0802324598641483E-2</v>
      </c>
      <c r="G1305" s="9">
        <f t="shared" si="59"/>
        <v>1.0909923739811341E-2</v>
      </c>
    </row>
    <row r="1306" spans="1:7" x14ac:dyDescent="0.2">
      <c r="A1306" s="11">
        <v>36962</v>
      </c>
      <c r="B1306" s="10">
        <v>164.5369</v>
      </c>
      <c r="E1306" s="13">
        <f t="shared" si="60"/>
        <v>-2.2298870960966704E-2</v>
      </c>
      <c r="F1306" s="9">
        <f t="shared" si="58"/>
        <v>-4.0365276666336075E-3</v>
      </c>
      <c r="G1306" s="9">
        <f t="shared" si="59"/>
        <v>1.150292437756417E-2</v>
      </c>
    </row>
    <row r="1307" spans="1:7" x14ac:dyDescent="0.2">
      <c r="A1307" s="11">
        <v>36963</v>
      </c>
      <c r="B1307" s="10">
        <v>161.69579999999999</v>
      </c>
      <c r="E1307" s="13">
        <f t="shared" si="60"/>
        <v>-1.741806893999617E-2</v>
      </c>
      <c r="F1307" s="9">
        <f t="shared" si="58"/>
        <v>-3.5359689036990896E-2</v>
      </c>
      <c r="G1307" s="9">
        <f t="shared" si="59"/>
        <v>1.160721582830789E-2</v>
      </c>
    </row>
    <row r="1308" spans="1:7" x14ac:dyDescent="0.2">
      <c r="A1308" s="11">
        <v>36964</v>
      </c>
      <c r="B1308" s="10">
        <v>155.98349999999999</v>
      </c>
      <c r="E1308" s="13">
        <f t="shared" si="60"/>
        <v>-3.5966559794947998E-2</v>
      </c>
      <c r="F1308" s="9">
        <f t="shared" si="58"/>
        <v>-7.3832722016706306E-2</v>
      </c>
      <c r="G1308" s="9">
        <f t="shared" si="59"/>
        <v>1.324874532408046E-2</v>
      </c>
    </row>
    <row r="1309" spans="1:7" x14ac:dyDescent="0.2">
      <c r="A1309" s="11">
        <v>36965</v>
      </c>
      <c r="B1309" s="10">
        <v>158.69640000000001</v>
      </c>
      <c r="E1309" s="13">
        <f t="shared" si="60"/>
        <v>1.7242710540243372E-2</v>
      </c>
      <c r="F1309" s="9">
        <f t="shared" si="58"/>
        <v>-5.9034382465433403E-2</v>
      </c>
      <c r="G1309" s="9">
        <f t="shared" si="59"/>
        <v>1.3724268941973242E-2</v>
      </c>
    </row>
    <row r="1310" spans="1:7" x14ac:dyDescent="0.2">
      <c r="A1310" s="11">
        <v>36966</v>
      </c>
      <c r="B1310" s="10">
        <v>156.2022</v>
      </c>
      <c r="E1310" s="13">
        <f t="shared" si="60"/>
        <v>-1.5841621151609538E-2</v>
      </c>
      <c r="F1310" s="9">
        <f t="shared" si="58"/>
        <v>-6.9159564591888975E-2</v>
      </c>
      <c r="G1310" s="9">
        <f t="shared" si="59"/>
        <v>1.3948216392395678E-2</v>
      </c>
    </row>
    <row r="1311" spans="1:7" x14ac:dyDescent="0.2">
      <c r="A1311" s="11">
        <v>36969</v>
      </c>
      <c r="B1311" s="10">
        <v>153.97200000000001</v>
      </c>
      <c r="E1311" s="13">
        <f t="shared" si="60"/>
        <v>-1.4380554112560473E-2</v>
      </c>
      <c r="F1311" s="9">
        <f t="shared" si="58"/>
        <v>-9.9551061767433807E-2</v>
      </c>
      <c r="G1311" s="9">
        <f t="shared" si="59"/>
        <v>1.365535081210153E-2</v>
      </c>
    </row>
    <row r="1312" spans="1:7" x14ac:dyDescent="0.2">
      <c r="A1312" s="11">
        <v>36970</v>
      </c>
      <c r="B1312" s="10">
        <v>155.8365</v>
      </c>
      <c r="E1312" s="13">
        <f t="shared" si="60"/>
        <v>1.2036613008899627E-2</v>
      </c>
      <c r="F1312" s="9">
        <f t="shared" ref="F1312:F1375" si="61">LN(B1312/B1283)</f>
        <v>-8.592813870244459E-2</v>
      </c>
      <c r="G1312" s="9">
        <f t="shared" si="59"/>
        <v>1.3952233048219824E-2</v>
      </c>
    </row>
    <row r="1313" spans="1:7" x14ac:dyDescent="0.2">
      <c r="A1313" s="11">
        <v>36971</v>
      </c>
      <c r="B1313" s="10">
        <v>153.60810000000001</v>
      </c>
      <c r="E1313" s="13">
        <f t="shared" si="60"/>
        <v>-1.4402827011617662E-2</v>
      </c>
      <c r="F1313" s="9">
        <f t="shared" si="61"/>
        <v>-0.10518140750072892</v>
      </c>
      <c r="G1313" s="9">
        <f t="shared" ref="G1313:G1376" si="62">STDEV(E1285:E1313)</f>
        <v>1.4025042013165814E-2</v>
      </c>
    </row>
    <row r="1314" spans="1:7" x14ac:dyDescent="0.2">
      <c r="A1314" s="11">
        <v>36972</v>
      </c>
      <c r="B1314" s="10">
        <v>149.04769999999999</v>
      </c>
      <c r="E1314" s="13">
        <f t="shared" si="60"/>
        <v>-3.0138164756544749E-2</v>
      </c>
      <c r="F1314" s="9">
        <f t="shared" si="61"/>
        <v>-0.12636401089747046</v>
      </c>
      <c r="G1314" s="9">
        <f t="shared" si="62"/>
        <v>1.4840375197136289E-2</v>
      </c>
    </row>
    <row r="1315" spans="1:7" x14ac:dyDescent="0.2">
      <c r="A1315" s="11">
        <v>36973</v>
      </c>
      <c r="B1315" s="10">
        <v>148.97229999999999</v>
      </c>
      <c r="E1315" s="13">
        <f t="shared" si="60"/>
        <v>-5.0600631909804088E-4</v>
      </c>
      <c r="F1315" s="9">
        <f t="shared" si="61"/>
        <v>-0.11229562531961415</v>
      </c>
      <c r="G1315" s="9">
        <f t="shared" si="62"/>
        <v>1.472394737525509E-2</v>
      </c>
    </row>
    <row r="1316" spans="1:7" x14ac:dyDescent="0.2">
      <c r="A1316" s="11">
        <v>36976</v>
      </c>
      <c r="B1316" s="10">
        <v>151.79640000000001</v>
      </c>
      <c r="E1316" s="13">
        <f t="shared" si="60"/>
        <v>1.8779766642774184E-2</v>
      </c>
      <c r="F1316" s="9">
        <f t="shared" si="61"/>
        <v>-0.10464008102508567</v>
      </c>
      <c r="G1316" s="9">
        <f t="shared" si="62"/>
        <v>1.5067050695516011E-2</v>
      </c>
    </row>
    <row r="1317" spans="1:7" x14ac:dyDescent="0.2">
      <c r="A1317" s="11">
        <v>36977</v>
      </c>
      <c r="B1317" s="10">
        <v>153.77969999999999</v>
      </c>
      <c r="E1317" s="13">
        <f t="shared" si="60"/>
        <v>1.2980909497976246E-2</v>
      </c>
      <c r="F1317" s="9">
        <f t="shared" si="61"/>
        <v>-7.8916136982803295E-2</v>
      </c>
      <c r="G1317" s="9">
        <f t="shared" si="62"/>
        <v>1.5265961072670621E-2</v>
      </c>
    </row>
    <row r="1318" spans="1:7" x14ac:dyDescent="0.2">
      <c r="A1318" s="11">
        <v>36978</v>
      </c>
      <c r="B1318" s="10">
        <v>152.53540000000001</v>
      </c>
      <c r="E1318" s="13">
        <f t="shared" si="60"/>
        <v>-8.1243585065298423E-3</v>
      </c>
      <c r="F1318" s="9">
        <f t="shared" si="61"/>
        <v>-8.4829011600989837E-2</v>
      </c>
      <c r="G1318" s="9">
        <f t="shared" si="62"/>
        <v>1.5298361334019923E-2</v>
      </c>
    </row>
    <row r="1319" spans="1:7" x14ac:dyDescent="0.2">
      <c r="A1319" s="11">
        <v>36979</v>
      </c>
      <c r="B1319" s="10">
        <v>151.49850000000001</v>
      </c>
      <c r="E1319" s="13">
        <f t="shared" si="60"/>
        <v>-6.8209763464315452E-3</v>
      </c>
      <c r="F1319" s="9">
        <f t="shared" si="61"/>
        <v>-8.8966304928913872E-2</v>
      </c>
      <c r="G1319" s="9">
        <f t="shared" si="62"/>
        <v>1.5315311049506553E-2</v>
      </c>
    </row>
    <row r="1320" spans="1:7" x14ac:dyDescent="0.2">
      <c r="A1320" s="11">
        <v>36980</v>
      </c>
      <c r="B1320" s="10">
        <v>153.6703</v>
      </c>
      <c r="E1320" s="13">
        <f t="shared" si="60"/>
        <v>1.4233674390335132E-2</v>
      </c>
      <c r="F1320" s="9">
        <f t="shared" si="61"/>
        <v>-8.8773556140869667E-2</v>
      </c>
      <c r="G1320" s="9">
        <f t="shared" si="62"/>
        <v>1.5323040909317017E-2</v>
      </c>
    </row>
    <row r="1321" spans="1:7" x14ac:dyDescent="0.2">
      <c r="A1321" s="11">
        <v>36983</v>
      </c>
      <c r="B1321" s="10">
        <v>154.07</v>
      </c>
      <c r="E1321" s="13">
        <f t="shared" si="60"/>
        <v>2.5976462930387191E-3</v>
      </c>
      <c r="F1321" s="9">
        <f t="shared" si="61"/>
        <v>-8.6422997268914767E-2</v>
      </c>
      <c r="G1321" s="9">
        <f t="shared" si="62"/>
        <v>1.5347362928772231E-2</v>
      </c>
    </row>
    <row r="1322" spans="1:7" x14ac:dyDescent="0.2">
      <c r="A1322" s="11">
        <v>36984</v>
      </c>
      <c r="B1322" s="10">
        <v>151.459</v>
      </c>
      <c r="E1322" s="13">
        <f t="shared" si="60"/>
        <v>-1.7092083333077632E-2</v>
      </c>
      <c r="F1322" s="9">
        <f t="shared" si="61"/>
        <v>-9.8902652903421512E-2</v>
      </c>
      <c r="G1322" s="9">
        <f t="shared" si="62"/>
        <v>1.5568141068712838E-2</v>
      </c>
    </row>
    <row r="1323" spans="1:7" x14ac:dyDescent="0.2">
      <c r="A1323" s="11">
        <v>36985</v>
      </c>
      <c r="B1323" s="10">
        <v>150.84059999999999</v>
      </c>
      <c r="E1323" s="13">
        <f t="shared" si="60"/>
        <v>-4.0913111536192703E-3</v>
      </c>
      <c r="F1323" s="9">
        <f t="shared" si="61"/>
        <v>-0.10962426785479515</v>
      </c>
      <c r="G1323" s="9">
        <f t="shared" si="62"/>
        <v>1.5448023091976121E-2</v>
      </c>
    </row>
    <row r="1324" spans="1:7" x14ac:dyDescent="0.2">
      <c r="A1324" s="11">
        <v>36986</v>
      </c>
      <c r="B1324" s="10">
        <v>155.10310000000001</v>
      </c>
      <c r="E1324" s="13">
        <f t="shared" si="60"/>
        <v>2.786640698086059E-2</v>
      </c>
      <c r="F1324" s="9">
        <f t="shared" si="61"/>
        <v>-7.8122389276605392E-2</v>
      </c>
      <c r="G1324" s="9">
        <f t="shared" si="62"/>
        <v>1.6528356098182088E-2</v>
      </c>
    </row>
    <row r="1325" spans="1:7" x14ac:dyDescent="0.2">
      <c r="A1325" s="11">
        <v>36987</v>
      </c>
      <c r="B1325" s="10">
        <v>154.3717</v>
      </c>
      <c r="E1325" s="13">
        <f t="shared" si="60"/>
        <v>-4.7267264523051045E-3</v>
      </c>
      <c r="F1325" s="9">
        <f t="shared" si="61"/>
        <v>-8.6899195560073375E-2</v>
      </c>
      <c r="G1325" s="9">
        <f t="shared" si="62"/>
        <v>1.6480745054091157E-2</v>
      </c>
    </row>
    <row r="1326" spans="1:7" x14ac:dyDescent="0.2">
      <c r="A1326" s="11">
        <v>36990</v>
      </c>
      <c r="B1326" s="10">
        <v>154.5658</v>
      </c>
      <c r="E1326" s="13">
        <f t="shared" si="60"/>
        <v>1.256565004504844E-3</v>
      </c>
      <c r="F1326" s="9">
        <f t="shared" si="61"/>
        <v>-8.3737458762073252E-2</v>
      </c>
      <c r="G1326" s="9">
        <f t="shared" si="62"/>
        <v>1.6498670744906772E-2</v>
      </c>
    </row>
    <row r="1327" spans="1:7" x14ac:dyDescent="0.2">
      <c r="A1327" s="11">
        <v>36991</v>
      </c>
      <c r="B1327" s="10">
        <v>157.98570000000001</v>
      </c>
      <c r="E1327" s="13">
        <f t="shared" si="60"/>
        <v>2.1884626961861241E-2</v>
      </c>
      <c r="F1327" s="9">
        <f t="shared" si="61"/>
        <v>-5.7704797835343324E-2</v>
      </c>
      <c r="G1327" s="9">
        <f t="shared" si="62"/>
        <v>1.7123993323943459E-2</v>
      </c>
    </row>
    <row r="1328" spans="1:7" x14ac:dyDescent="0.2">
      <c r="A1328" s="11">
        <v>36992</v>
      </c>
      <c r="B1328" s="10">
        <v>159.7672</v>
      </c>
      <c r="E1328" s="13">
        <f t="shared" si="60"/>
        <v>1.1213233091540041E-2</v>
      </c>
      <c r="F1328" s="9">
        <f t="shared" si="61"/>
        <v>-2.0289467295007257E-2</v>
      </c>
      <c r="G1328" s="9">
        <f t="shared" si="62"/>
        <v>1.6637184847251577E-2</v>
      </c>
    </row>
    <row r="1329" spans="1:7" x14ac:dyDescent="0.2">
      <c r="A1329" s="11">
        <v>36998</v>
      </c>
      <c r="B1329" s="10">
        <v>157.9725</v>
      </c>
      <c r="E1329" s="13">
        <f t="shared" si="60"/>
        <v>-1.129678844796189E-2</v>
      </c>
      <c r="F1329" s="9">
        <f t="shared" si="61"/>
        <v>-3.0336716639391408E-2</v>
      </c>
      <c r="G1329" s="9">
        <f t="shared" si="62"/>
        <v>1.6753253459942687E-2</v>
      </c>
    </row>
    <row r="1330" spans="1:7" x14ac:dyDescent="0.2">
      <c r="A1330" s="11">
        <v>36999</v>
      </c>
      <c r="B1330" s="10">
        <v>159.81440000000001</v>
      </c>
      <c r="E1330" s="13">
        <f t="shared" si="60"/>
        <v>1.1592174667589062E-2</v>
      </c>
      <c r="F1330" s="9">
        <f t="shared" si="61"/>
        <v>-3.8552792537814344E-2</v>
      </c>
      <c r="G1330" s="9">
        <f t="shared" si="62"/>
        <v>1.6454804415588446E-2</v>
      </c>
    </row>
    <row r="1331" spans="1:7" x14ac:dyDescent="0.2">
      <c r="A1331" s="11">
        <v>37000</v>
      </c>
      <c r="B1331" s="10">
        <v>159.2808</v>
      </c>
      <c r="E1331" s="13">
        <f t="shared" si="60"/>
        <v>-3.3444595680399139E-3</v>
      </c>
      <c r="F1331" s="9">
        <f t="shared" si="61"/>
        <v>-6.6649775358873203E-2</v>
      </c>
      <c r="G1331" s="9">
        <f t="shared" si="62"/>
        <v>1.5672847039529047E-2</v>
      </c>
    </row>
    <row r="1332" spans="1:7" x14ac:dyDescent="0.2">
      <c r="A1332" s="11">
        <v>37001</v>
      </c>
      <c r="B1332" s="10">
        <v>158.6644</v>
      </c>
      <c r="E1332" s="13">
        <f t="shared" si="60"/>
        <v>-3.877402598052521E-3</v>
      </c>
      <c r="F1332" s="9">
        <f t="shared" si="61"/>
        <v>-6.3917166426835731E-2</v>
      </c>
      <c r="G1332" s="9">
        <f t="shared" si="62"/>
        <v>1.5654201635369354E-2</v>
      </c>
    </row>
    <row r="1333" spans="1:7" x14ac:dyDescent="0.2">
      <c r="A1333" s="11">
        <v>37004</v>
      </c>
      <c r="B1333" s="10">
        <v>159.11680000000001</v>
      </c>
      <c r="E1333" s="13">
        <f t="shared" si="60"/>
        <v>2.8472439881671086E-3</v>
      </c>
      <c r="F1333" s="9">
        <f t="shared" si="61"/>
        <v>-6.2495560709275005E-2</v>
      </c>
      <c r="G1333" s="9">
        <f t="shared" si="62"/>
        <v>1.5668193470235604E-2</v>
      </c>
    </row>
    <row r="1334" spans="1:7" x14ac:dyDescent="0.2">
      <c r="A1334" s="11">
        <v>37005</v>
      </c>
      <c r="B1334" s="10">
        <v>160.84370000000001</v>
      </c>
      <c r="E1334" s="13">
        <f t="shared" si="60"/>
        <v>1.0794562257134335E-2</v>
      </c>
      <c r="F1334" s="9">
        <f t="shared" si="61"/>
        <v>-4.5000646128434948E-2</v>
      </c>
      <c r="G1334" s="9">
        <f t="shared" si="62"/>
        <v>1.5822973159146807E-2</v>
      </c>
    </row>
    <row r="1335" spans="1:7" x14ac:dyDescent="0.2">
      <c r="A1335" s="11">
        <v>37006</v>
      </c>
      <c r="B1335" s="10">
        <v>160.15180000000001</v>
      </c>
      <c r="E1335" s="13">
        <f t="shared" si="60"/>
        <v>-4.3109705372758123E-3</v>
      </c>
      <c r="F1335" s="9">
        <f t="shared" si="61"/>
        <v>-2.7012745704744007E-2</v>
      </c>
      <c r="G1335" s="9">
        <f t="shared" si="62"/>
        <v>1.5325368989884961E-2</v>
      </c>
    </row>
    <row r="1336" spans="1:7" x14ac:dyDescent="0.2">
      <c r="A1336" s="11">
        <v>37007</v>
      </c>
      <c r="B1336" s="10">
        <v>160.2989</v>
      </c>
      <c r="E1336" s="13">
        <f t="shared" si="60"/>
        <v>9.1808200345463607E-4</v>
      </c>
      <c r="F1336" s="9">
        <f t="shared" si="61"/>
        <v>-8.676594761293191E-3</v>
      </c>
      <c r="G1336" s="9">
        <f t="shared" si="62"/>
        <v>1.4995586986759435E-2</v>
      </c>
    </row>
    <row r="1337" spans="1:7" x14ac:dyDescent="0.2">
      <c r="A1337" s="11">
        <v>37008</v>
      </c>
      <c r="B1337" s="10">
        <v>162.48390000000001</v>
      </c>
      <c r="E1337" s="13">
        <f t="shared" si="60"/>
        <v>1.3538722479809688E-2</v>
      </c>
      <c r="F1337" s="9">
        <f t="shared" si="61"/>
        <v>4.0828687513464412E-2</v>
      </c>
      <c r="G1337" s="9">
        <f t="shared" si="62"/>
        <v>1.3537132852693408E-2</v>
      </c>
    </row>
    <row r="1338" spans="1:7" x14ac:dyDescent="0.2">
      <c r="A1338" s="11">
        <v>37011</v>
      </c>
      <c r="B1338" s="10">
        <v>163.42840000000001</v>
      </c>
      <c r="E1338" s="13">
        <f t="shared" si="60"/>
        <v>5.7960539945581266E-3</v>
      </c>
      <c r="F1338" s="9">
        <f t="shared" si="61"/>
        <v>2.9382030967779235E-2</v>
      </c>
      <c r="G1338" s="9">
        <f t="shared" si="62"/>
        <v>1.3222150318603876E-2</v>
      </c>
    </row>
    <row r="1339" spans="1:7" x14ac:dyDescent="0.2">
      <c r="A1339" s="11">
        <v>37013</v>
      </c>
      <c r="B1339" s="10">
        <v>163.58680000000001</v>
      </c>
      <c r="E1339" s="13">
        <f t="shared" si="60"/>
        <v>9.6876238406181031E-4</v>
      </c>
      <c r="F1339" s="9">
        <f t="shared" si="61"/>
        <v>4.6192414503450449E-2</v>
      </c>
      <c r="G1339" s="9">
        <f t="shared" si="62"/>
        <v>1.2819182996397126E-2</v>
      </c>
    </row>
    <row r="1340" spans="1:7" x14ac:dyDescent="0.2">
      <c r="A1340" s="11">
        <v>37014</v>
      </c>
      <c r="B1340" s="10">
        <v>161.0624</v>
      </c>
      <c r="E1340" s="13">
        <f t="shared" si="60"/>
        <v>-1.5551868781490202E-2</v>
      </c>
      <c r="F1340" s="9">
        <f t="shared" si="61"/>
        <v>4.5021099834520684E-2</v>
      </c>
      <c r="G1340" s="9">
        <f t="shared" si="62"/>
        <v>1.2873040891176074E-2</v>
      </c>
    </row>
    <row r="1341" spans="1:7" x14ac:dyDescent="0.2">
      <c r="A1341" s="11">
        <v>37015</v>
      </c>
      <c r="B1341" s="10">
        <v>161.78450000000001</v>
      </c>
      <c r="E1341" s="13">
        <f t="shared" si="60"/>
        <v>4.4733352195431243E-3</v>
      </c>
      <c r="F1341" s="9">
        <f t="shared" si="61"/>
        <v>3.7457822045164318E-2</v>
      </c>
      <c r="G1341" s="9">
        <f t="shared" si="62"/>
        <v>1.2728857104643788E-2</v>
      </c>
    </row>
    <row r="1342" spans="1:7" x14ac:dyDescent="0.2">
      <c r="A1342" s="11">
        <v>37018</v>
      </c>
      <c r="B1342" s="10">
        <v>164.04300000000001</v>
      </c>
      <c r="E1342" s="13">
        <f t="shared" si="60"/>
        <v>1.3863385824070382E-2</v>
      </c>
      <c r="F1342" s="9">
        <f t="shared" si="61"/>
        <v>6.5724034880852281E-2</v>
      </c>
      <c r="G1342" s="9">
        <f t="shared" si="62"/>
        <v>1.2565325707928478E-2</v>
      </c>
    </row>
    <row r="1343" spans="1:7" x14ac:dyDescent="0.2">
      <c r="A1343" s="11">
        <v>37019</v>
      </c>
      <c r="B1343" s="10">
        <v>164.51990000000001</v>
      </c>
      <c r="E1343" s="13">
        <f t="shared" si="60"/>
        <v>2.9029469541874773E-3</v>
      </c>
      <c r="F1343" s="9">
        <f t="shared" si="61"/>
        <v>9.8765146591584502E-2</v>
      </c>
      <c r="G1343" s="9">
        <f t="shared" si="62"/>
        <v>1.0911257421467861E-2</v>
      </c>
    </row>
    <row r="1344" spans="1:7" x14ac:dyDescent="0.2">
      <c r="A1344" s="11">
        <v>37020</v>
      </c>
      <c r="B1344" s="10">
        <v>163.68100000000001</v>
      </c>
      <c r="E1344" s="13">
        <f t="shared" si="60"/>
        <v>-5.1121238666337245E-3</v>
      </c>
      <c r="F1344" s="9">
        <f t="shared" si="61"/>
        <v>9.4159029044048839E-2</v>
      </c>
      <c r="G1344" s="9">
        <f t="shared" si="62"/>
        <v>1.1003368493415397E-2</v>
      </c>
    </row>
    <row r="1345" spans="1:7" x14ac:dyDescent="0.2">
      <c r="A1345" s="11">
        <v>37021</v>
      </c>
      <c r="B1345" s="10">
        <v>166.57490000000001</v>
      </c>
      <c r="E1345" s="13">
        <f t="shared" si="60"/>
        <v>1.7525646451669645E-2</v>
      </c>
      <c r="F1345" s="9">
        <f t="shared" si="61"/>
        <v>9.290490885294414E-2</v>
      </c>
      <c r="G1345" s="9">
        <f t="shared" si="62"/>
        <v>1.0942436455034286E-2</v>
      </c>
    </row>
    <row r="1346" spans="1:7" x14ac:dyDescent="0.2">
      <c r="A1346" s="11">
        <v>37022</v>
      </c>
      <c r="B1346" s="10">
        <v>167.12540000000001</v>
      </c>
      <c r="E1346" s="13">
        <f t="shared" si="60"/>
        <v>3.2993707191041367E-3</v>
      </c>
      <c r="F1346" s="9">
        <f t="shared" si="61"/>
        <v>8.3223370074072281E-2</v>
      </c>
      <c r="G1346" s="9">
        <f t="shared" si="62"/>
        <v>1.0779966906600116E-2</v>
      </c>
    </row>
    <row r="1347" spans="1:7" x14ac:dyDescent="0.2">
      <c r="A1347" s="11">
        <v>37025</v>
      </c>
      <c r="B1347" s="10">
        <v>163.2663</v>
      </c>
      <c r="E1347" s="13">
        <f t="shared" si="60"/>
        <v>-2.3361818804525713E-2</v>
      </c>
      <c r="F1347" s="9">
        <f t="shared" si="61"/>
        <v>6.7985909776076395E-2</v>
      </c>
      <c r="G1347" s="9">
        <f t="shared" si="62"/>
        <v>1.1669610166466279E-2</v>
      </c>
    </row>
    <row r="1348" spans="1:7" x14ac:dyDescent="0.2">
      <c r="A1348" s="11">
        <v>37026</v>
      </c>
      <c r="B1348" s="10">
        <v>164.5727</v>
      </c>
      <c r="E1348" s="13">
        <f t="shared" ref="E1348:E1411" si="63">LN(B1348/B1347)</f>
        <v>7.9698078323069514E-3</v>
      </c>
      <c r="F1348" s="9">
        <f t="shared" si="61"/>
        <v>8.2776693954814878E-2</v>
      </c>
      <c r="G1348" s="9">
        <f t="shared" si="62"/>
        <v>1.1577585416578133E-2</v>
      </c>
    </row>
    <row r="1349" spans="1:7" x14ac:dyDescent="0.2">
      <c r="A1349" s="11">
        <v>37027</v>
      </c>
      <c r="B1349" s="10">
        <v>163.7131</v>
      </c>
      <c r="E1349" s="13">
        <f t="shared" si="63"/>
        <v>-5.2369122548777229E-3</v>
      </c>
      <c r="F1349" s="9">
        <f t="shared" si="61"/>
        <v>6.3306107309602025E-2</v>
      </c>
      <c r="G1349" s="9">
        <f t="shared" si="62"/>
        <v>1.1458062107093155E-2</v>
      </c>
    </row>
    <row r="1350" spans="1:7" x14ac:dyDescent="0.2">
      <c r="A1350" s="11">
        <v>37029</v>
      </c>
      <c r="B1350" s="10">
        <v>167.16120000000001</v>
      </c>
      <c r="E1350" s="13">
        <f t="shared" si="63"/>
        <v>2.0843110694597964E-2</v>
      </c>
      <c r="F1350" s="9">
        <f t="shared" si="61"/>
        <v>8.1551571711161411E-2</v>
      </c>
      <c r="G1350" s="9">
        <f t="shared" si="62"/>
        <v>1.197108265774739E-2</v>
      </c>
    </row>
    <row r="1351" spans="1:7" x14ac:dyDescent="0.2">
      <c r="A1351" s="11">
        <v>37032</v>
      </c>
      <c r="B1351" s="10">
        <v>171.4162</v>
      </c>
      <c r="E1351" s="13">
        <f t="shared" si="63"/>
        <v>2.5135901145127544E-2</v>
      </c>
      <c r="F1351" s="9">
        <f t="shared" si="61"/>
        <v>0.12377955618936676</v>
      </c>
      <c r="G1351" s="9">
        <f t="shared" si="62"/>
        <v>1.2031617335492606E-2</v>
      </c>
    </row>
    <row r="1352" spans="1:7" x14ac:dyDescent="0.2">
      <c r="A1352" s="11">
        <v>37033</v>
      </c>
      <c r="B1352" s="10">
        <v>171.15039999999999</v>
      </c>
      <c r="E1352" s="13">
        <f t="shared" si="63"/>
        <v>-1.5518153453378887E-3</v>
      </c>
      <c r="F1352" s="9">
        <f t="shared" si="61"/>
        <v>0.12631905199764795</v>
      </c>
      <c r="G1352" s="9">
        <f t="shared" si="62"/>
        <v>1.197772233219439E-2</v>
      </c>
    </row>
    <row r="1353" spans="1:7" x14ac:dyDescent="0.2">
      <c r="A1353" s="11">
        <v>37034</v>
      </c>
      <c r="B1353" s="10">
        <v>170.023</v>
      </c>
      <c r="E1353" s="13">
        <f t="shared" si="63"/>
        <v>-6.6089800881495506E-3</v>
      </c>
      <c r="F1353" s="9">
        <f t="shared" si="61"/>
        <v>9.1843664928637894E-2</v>
      </c>
      <c r="G1353" s="9">
        <f t="shared" si="62"/>
        <v>1.1249664325844915E-2</v>
      </c>
    </row>
    <row r="1354" spans="1:7" x14ac:dyDescent="0.2">
      <c r="A1354" s="11">
        <v>37036</v>
      </c>
      <c r="B1354" s="10">
        <v>171.68389999999999</v>
      </c>
      <c r="E1354" s="13">
        <f t="shared" si="63"/>
        <v>9.7212732900826982E-3</v>
      </c>
      <c r="F1354" s="9">
        <f t="shared" si="61"/>
        <v>0.10629166467102574</v>
      </c>
      <c r="G1354" s="9">
        <f t="shared" si="62"/>
        <v>1.1207439101465756E-2</v>
      </c>
    </row>
    <row r="1355" spans="1:7" x14ac:dyDescent="0.2">
      <c r="A1355" s="11">
        <v>37039</v>
      </c>
      <c r="B1355" s="10">
        <v>171.0712</v>
      </c>
      <c r="E1355" s="13">
        <f t="shared" si="63"/>
        <v>-3.5751511946136606E-3</v>
      </c>
      <c r="F1355" s="9">
        <f t="shared" si="61"/>
        <v>0.10145994847190735</v>
      </c>
      <c r="G1355" s="9">
        <f t="shared" si="62"/>
        <v>1.1280203563848115E-2</v>
      </c>
    </row>
    <row r="1356" spans="1:7" x14ac:dyDescent="0.2">
      <c r="A1356" s="11">
        <v>37040</v>
      </c>
      <c r="B1356" s="10">
        <v>168.9691</v>
      </c>
      <c r="E1356" s="13">
        <f t="shared" si="63"/>
        <v>-1.2363986142880938E-2</v>
      </c>
      <c r="F1356" s="9">
        <f t="shared" si="61"/>
        <v>6.721133536716524E-2</v>
      </c>
      <c r="G1356" s="9">
        <f t="shared" si="62"/>
        <v>1.1077540953896835E-2</v>
      </c>
    </row>
    <row r="1357" spans="1:7" x14ac:dyDescent="0.2">
      <c r="A1357" s="11">
        <v>37041</v>
      </c>
      <c r="B1357" s="10">
        <v>167.84180000000001</v>
      </c>
      <c r="E1357" s="13">
        <f t="shared" si="63"/>
        <v>-6.6939888790698253E-3</v>
      </c>
      <c r="F1357" s="9">
        <f t="shared" si="61"/>
        <v>4.9304113396555341E-2</v>
      </c>
      <c r="G1357" s="9">
        <f t="shared" si="62"/>
        <v>1.1063055706280675E-2</v>
      </c>
    </row>
    <row r="1358" spans="1:7" x14ac:dyDescent="0.2">
      <c r="A1358" s="11">
        <v>37042</v>
      </c>
      <c r="B1358" s="10">
        <v>167.9511</v>
      </c>
      <c r="E1358" s="13">
        <f t="shared" si="63"/>
        <v>6.5099651517383137E-4</v>
      </c>
      <c r="F1358" s="9">
        <f t="shared" si="61"/>
        <v>6.1251898359691019E-2</v>
      </c>
      <c r="G1358" s="9">
        <f t="shared" si="62"/>
        <v>1.0780623745949866E-2</v>
      </c>
    </row>
    <row r="1359" spans="1:7" x14ac:dyDescent="0.2">
      <c r="A1359" s="11">
        <v>37043</v>
      </c>
      <c r="B1359" s="10">
        <v>168.20750000000001</v>
      </c>
      <c r="E1359" s="13">
        <f t="shared" si="63"/>
        <v>1.5254707136545752E-3</v>
      </c>
      <c r="F1359" s="9">
        <f t="shared" si="61"/>
        <v>5.1185194405756633E-2</v>
      </c>
      <c r="G1359" s="9">
        <f t="shared" si="62"/>
        <v>1.0625424921191798E-2</v>
      </c>
    </row>
    <row r="1360" spans="1:7" x14ac:dyDescent="0.2">
      <c r="A1360" s="11">
        <v>37047</v>
      </c>
      <c r="B1360" s="10">
        <v>169.02760000000001</v>
      </c>
      <c r="E1360" s="13">
        <f t="shared" si="63"/>
        <v>4.8636788794934067E-3</v>
      </c>
      <c r="F1360" s="9">
        <f t="shared" si="61"/>
        <v>5.9393332853289821E-2</v>
      </c>
      <c r="G1360" s="9">
        <f t="shared" si="62"/>
        <v>1.0593735061397996E-2</v>
      </c>
    </row>
    <row r="1361" spans="1:7" x14ac:dyDescent="0.2">
      <c r="A1361" s="11">
        <v>37048</v>
      </c>
      <c r="B1361" s="10">
        <v>168.73349999999999</v>
      </c>
      <c r="E1361" s="13">
        <f t="shared" si="63"/>
        <v>-1.741468004022395E-3</v>
      </c>
      <c r="F1361" s="9">
        <f t="shared" si="61"/>
        <v>6.1529267447320062E-2</v>
      </c>
      <c r="G1361" s="9">
        <f t="shared" si="62"/>
        <v>1.0558433306882159E-2</v>
      </c>
    </row>
    <row r="1362" spans="1:7" x14ac:dyDescent="0.2">
      <c r="A1362" s="11">
        <v>37049</v>
      </c>
      <c r="B1362" s="10">
        <v>168.49780000000001</v>
      </c>
      <c r="E1362" s="13">
        <f t="shared" si="63"/>
        <v>-1.3978538669436333E-3</v>
      </c>
      <c r="F1362" s="9">
        <f t="shared" si="61"/>
        <v>5.7284169592209284E-2</v>
      </c>
      <c r="G1362" s="9">
        <f t="shared" si="62"/>
        <v>1.0577425112131805E-2</v>
      </c>
    </row>
    <row r="1363" spans="1:7" x14ac:dyDescent="0.2">
      <c r="A1363" s="11">
        <v>37050</v>
      </c>
      <c r="B1363" s="10">
        <v>168.4545</v>
      </c>
      <c r="E1363" s="13">
        <f t="shared" si="63"/>
        <v>-2.5700967311021047E-4</v>
      </c>
      <c r="F1363" s="9">
        <f t="shared" si="61"/>
        <v>4.6232597661964886E-2</v>
      </c>
      <c r="G1363" s="9">
        <f t="shared" si="62"/>
        <v>1.0446609779300486E-2</v>
      </c>
    </row>
    <row r="1364" spans="1:7" x14ac:dyDescent="0.2">
      <c r="A1364" s="11">
        <v>37053</v>
      </c>
      <c r="B1364" s="10">
        <v>165.75479999999999</v>
      </c>
      <c r="E1364" s="13">
        <f t="shared" si="63"/>
        <v>-1.6156095731570945E-2</v>
      </c>
      <c r="F1364" s="9">
        <f t="shared" si="61"/>
        <v>3.438747246766987E-2</v>
      </c>
      <c r="G1364" s="9">
        <f t="shared" si="62"/>
        <v>1.0907158206010761E-2</v>
      </c>
    </row>
    <row r="1365" spans="1:7" x14ac:dyDescent="0.2">
      <c r="A1365" s="11">
        <v>37054</v>
      </c>
      <c r="B1365" s="10">
        <v>162.27459999999999</v>
      </c>
      <c r="E1365" s="13">
        <f t="shared" si="63"/>
        <v>-2.1219625957655166E-2</v>
      </c>
      <c r="F1365" s="9">
        <f t="shared" si="61"/>
        <v>1.2249764506559882E-2</v>
      </c>
      <c r="G1365" s="9">
        <f t="shared" si="62"/>
        <v>1.1674272517914228E-2</v>
      </c>
    </row>
    <row r="1366" spans="1:7" x14ac:dyDescent="0.2">
      <c r="A1366" s="11">
        <v>37055</v>
      </c>
      <c r="B1366" s="10">
        <v>164.7877</v>
      </c>
      <c r="E1366" s="13">
        <f t="shared" si="63"/>
        <v>1.5368016802619214E-2</v>
      </c>
      <c r="F1366" s="9">
        <f t="shared" si="61"/>
        <v>1.4079058829369417E-2</v>
      </c>
      <c r="G1366" s="9">
        <f t="shared" si="62"/>
        <v>1.1752355420794676E-2</v>
      </c>
    </row>
    <row r="1367" spans="1:7" x14ac:dyDescent="0.2">
      <c r="A1367" s="11">
        <v>37056</v>
      </c>
      <c r="B1367" s="10">
        <v>161.22450000000001</v>
      </c>
      <c r="E1367" s="13">
        <f t="shared" si="63"/>
        <v>-2.1860175132018704E-2</v>
      </c>
      <c r="F1367" s="9">
        <f t="shared" si="61"/>
        <v>-1.3577170297207383E-2</v>
      </c>
      <c r="G1367" s="9">
        <f t="shared" si="62"/>
        <v>1.2409747996868432E-2</v>
      </c>
    </row>
    <row r="1368" spans="1:7" x14ac:dyDescent="0.2">
      <c r="A1368" s="11">
        <v>37057</v>
      </c>
      <c r="B1368" s="10">
        <v>160.07079999999999</v>
      </c>
      <c r="E1368" s="13">
        <f t="shared" si="63"/>
        <v>-7.1815862760498195E-3</v>
      </c>
      <c r="F1368" s="9">
        <f t="shared" si="61"/>
        <v>-2.1727518957318899E-2</v>
      </c>
      <c r="G1368" s="9">
        <f t="shared" si="62"/>
        <v>1.2468196815185888E-2</v>
      </c>
    </row>
    <row r="1369" spans="1:7" x14ac:dyDescent="0.2">
      <c r="A1369" s="11">
        <v>37060</v>
      </c>
      <c r="B1369" s="10">
        <v>159.71260000000001</v>
      </c>
      <c r="E1369" s="13">
        <f t="shared" si="63"/>
        <v>-2.2402673172596354E-3</v>
      </c>
      <c r="F1369" s="9">
        <f t="shared" si="61"/>
        <v>-8.4159174930882336E-3</v>
      </c>
      <c r="G1369" s="9">
        <f t="shared" si="62"/>
        <v>1.2144605987533285E-2</v>
      </c>
    </row>
    <row r="1370" spans="1:7" x14ac:dyDescent="0.2">
      <c r="A1370" s="11">
        <v>37061</v>
      </c>
      <c r="B1370" s="10">
        <v>160.64769999999999</v>
      </c>
      <c r="E1370" s="13">
        <f t="shared" si="63"/>
        <v>5.8378185792201578E-3</v>
      </c>
      <c r="F1370" s="9">
        <f t="shared" si="61"/>
        <v>-7.0514341334112045E-3</v>
      </c>
      <c r="G1370" s="9">
        <f t="shared" si="62"/>
        <v>1.2166343920616395E-2</v>
      </c>
    </row>
    <row r="1371" spans="1:7" x14ac:dyDescent="0.2">
      <c r="A1371" s="11">
        <v>37062</v>
      </c>
      <c r="B1371" s="10">
        <v>160.54580000000001</v>
      </c>
      <c r="E1371" s="13">
        <f t="shared" si="63"/>
        <v>-6.3450850293497122E-4</v>
      </c>
      <c r="F1371" s="9">
        <f t="shared" si="61"/>
        <v>-2.1549328460416545E-2</v>
      </c>
      <c r="G1371" s="9">
        <f t="shared" si="62"/>
        <v>1.1859999868966957E-2</v>
      </c>
    </row>
    <row r="1372" spans="1:7" x14ac:dyDescent="0.2">
      <c r="A1372" s="11">
        <v>37063</v>
      </c>
      <c r="B1372" s="10">
        <v>159.16579999999999</v>
      </c>
      <c r="E1372" s="13">
        <f t="shared" si="63"/>
        <v>-8.6328339069262194E-3</v>
      </c>
      <c r="F1372" s="9">
        <f t="shared" si="61"/>
        <v>-3.3085109321530269E-2</v>
      </c>
      <c r="G1372" s="9">
        <f t="shared" si="62"/>
        <v>1.1926612864131488E-2</v>
      </c>
    </row>
    <row r="1373" spans="1:7" x14ac:dyDescent="0.2">
      <c r="A1373" s="11">
        <v>37064</v>
      </c>
      <c r="B1373" s="10">
        <v>160.2046</v>
      </c>
      <c r="E1373" s="13">
        <f t="shared" si="63"/>
        <v>6.5053221177095548E-3</v>
      </c>
      <c r="F1373" s="9">
        <f t="shared" si="61"/>
        <v>-2.1467663337187009E-2</v>
      </c>
      <c r="G1373" s="9">
        <f t="shared" si="62"/>
        <v>1.1983431979435544E-2</v>
      </c>
    </row>
    <row r="1374" spans="1:7" x14ac:dyDescent="0.2">
      <c r="A1374" s="11">
        <v>37067</v>
      </c>
      <c r="B1374" s="10">
        <v>160.29130000000001</v>
      </c>
      <c r="E1374" s="13">
        <f t="shared" si="63"/>
        <v>5.4103657559993919E-4</v>
      </c>
      <c r="F1374" s="9">
        <f t="shared" si="61"/>
        <v>-3.8452273213256588E-2</v>
      </c>
      <c r="G1374" s="9">
        <f t="shared" si="62"/>
        <v>1.146255508210503E-2</v>
      </c>
    </row>
    <row r="1375" spans="1:7" x14ac:dyDescent="0.2">
      <c r="A1375" s="11">
        <v>37068</v>
      </c>
      <c r="B1375" s="10">
        <v>158.2157</v>
      </c>
      <c r="E1375" s="13">
        <f t="shared" si="63"/>
        <v>-1.30334930290395E-2</v>
      </c>
      <c r="F1375" s="9">
        <f t="shared" si="61"/>
        <v>-5.4785136961400263E-2</v>
      </c>
      <c r="G1375" s="9">
        <f t="shared" si="62"/>
        <v>1.1627245269068566E-2</v>
      </c>
    </row>
    <row r="1376" spans="1:7" x14ac:dyDescent="0.2">
      <c r="A1376" s="11">
        <v>37069</v>
      </c>
      <c r="B1376" s="10">
        <v>158.14400000000001</v>
      </c>
      <c r="E1376" s="13">
        <f t="shared" si="63"/>
        <v>-4.5328150979815539E-4</v>
      </c>
      <c r="F1376" s="9">
        <f t="shared" ref="F1376:F1439" si="64">LN(B1376/B1347)</f>
        <v>-3.1876599666672736E-2</v>
      </c>
      <c r="G1376" s="9">
        <f t="shared" si="62"/>
        <v>1.0869828160147057E-2</v>
      </c>
    </row>
    <row r="1377" spans="1:7" x14ac:dyDescent="0.2">
      <c r="A1377" s="11">
        <v>37070</v>
      </c>
      <c r="B1377" s="10">
        <v>158.36269999999999</v>
      </c>
      <c r="E1377" s="13">
        <f t="shared" si="63"/>
        <v>1.3819614864797813E-3</v>
      </c>
      <c r="F1377" s="9">
        <f t="shared" si="64"/>
        <v>-3.8464446012499987E-2</v>
      </c>
      <c r="G1377" s="9">
        <f t="shared" ref="G1377:G1440" si="65">STDEV(E1349:E1377)</f>
        <v>1.0741610358618181E-2</v>
      </c>
    </row>
    <row r="1378" spans="1:7" x14ac:dyDescent="0.2">
      <c r="A1378" s="11">
        <v>37071</v>
      </c>
      <c r="B1378" s="10">
        <v>159.90860000000001</v>
      </c>
      <c r="E1378" s="13">
        <f t="shared" si="63"/>
        <v>9.7144301557563519E-3</v>
      </c>
      <c r="F1378" s="9">
        <f t="shared" si="64"/>
        <v>-2.3513103601865874E-2</v>
      </c>
      <c r="G1378" s="9">
        <f t="shared" si="65"/>
        <v>1.0904782165786274E-2</v>
      </c>
    </row>
    <row r="1379" spans="1:7" x14ac:dyDescent="0.2">
      <c r="A1379" s="11">
        <v>37074</v>
      </c>
      <c r="B1379" s="10">
        <v>161.4376</v>
      </c>
      <c r="E1379" s="13">
        <f t="shared" si="63"/>
        <v>9.5162882822521326E-3</v>
      </c>
      <c r="F1379" s="9">
        <f t="shared" si="64"/>
        <v>-3.4839926014211722E-2</v>
      </c>
      <c r="G1379" s="9">
        <f t="shared" si="65"/>
        <v>1.0286837328792642E-2</v>
      </c>
    </row>
    <row r="1380" spans="1:7" x14ac:dyDescent="0.2">
      <c r="A1380" s="11">
        <v>37075</v>
      </c>
      <c r="B1380" s="10">
        <v>161.4093</v>
      </c>
      <c r="E1380" s="13">
        <f t="shared" si="63"/>
        <v>-1.7531529695641719E-4</v>
      </c>
      <c r="F1380" s="9">
        <f t="shared" si="64"/>
        <v>-6.0151142456295791E-2</v>
      </c>
      <c r="G1380" s="9">
        <f t="shared" si="65"/>
        <v>8.9607110150584125E-3</v>
      </c>
    </row>
    <row r="1381" spans="1:7" x14ac:dyDescent="0.2">
      <c r="A1381" s="11">
        <v>37076</v>
      </c>
      <c r="B1381" s="10">
        <v>161.56389999999999</v>
      </c>
      <c r="E1381" s="13">
        <f t="shared" si="63"/>
        <v>9.573550487033453E-4</v>
      </c>
      <c r="F1381" s="9">
        <f t="shared" si="64"/>
        <v>-5.7641972062254583E-2</v>
      </c>
      <c r="G1381" s="9">
        <f t="shared" si="65"/>
        <v>8.9780323137081605E-3</v>
      </c>
    </row>
    <row r="1382" spans="1:7" x14ac:dyDescent="0.2">
      <c r="A1382" s="11">
        <v>37077</v>
      </c>
      <c r="B1382" s="10">
        <v>160.53639999999999</v>
      </c>
      <c r="E1382" s="13">
        <f t="shared" si="63"/>
        <v>-6.3800219083050965E-3</v>
      </c>
      <c r="F1382" s="9">
        <f t="shared" si="64"/>
        <v>-5.7413013882410158E-2</v>
      </c>
      <c r="G1382" s="9">
        <f t="shared" si="65"/>
        <v>8.9739229990534776E-3</v>
      </c>
    </row>
    <row r="1383" spans="1:7" x14ac:dyDescent="0.2">
      <c r="A1383" s="11">
        <v>37078</v>
      </c>
      <c r="B1383" s="10">
        <v>160.40260000000001</v>
      </c>
      <c r="E1383" s="13">
        <f t="shared" si="63"/>
        <v>-8.3380335672367939E-4</v>
      </c>
      <c r="F1383" s="9">
        <f t="shared" si="64"/>
        <v>-6.7968090529216527E-2</v>
      </c>
      <c r="G1383" s="9">
        <f t="shared" si="65"/>
        <v>8.6920192778833054E-3</v>
      </c>
    </row>
    <row r="1384" spans="1:7" x14ac:dyDescent="0.2">
      <c r="A1384" s="11">
        <v>37081</v>
      </c>
      <c r="B1384" s="10">
        <v>160.2895</v>
      </c>
      <c r="E1384" s="13">
        <f t="shared" si="63"/>
        <v>-7.0534949061179075E-4</v>
      </c>
      <c r="F1384" s="9">
        <f t="shared" si="64"/>
        <v>-6.5098288825214651E-2</v>
      </c>
      <c r="G1384" s="9">
        <f t="shared" si="65"/>
        <v>8.6938349679078937E-3</v>
      </c>
    </row>
    <row r="1385" spans="1:7" x14ac:dyDescent="0.2">
      <c r="A1385" s="11">
        <v>37082</v>
      </c>
      <c r="B1385" s="10">
        <v>159.08850000000001</v>
      </c>
      <c r="E1385" s="13">
        <f t="shared" si="63"/>
        <v>-7.520904139347335E-3</v>
      </c>
      <c r="F1385" s="9">
        <f t="shared" si="64"/>
        <v>-6.0255206821681083E-2</v>
      </c>
      <c r="G1385" s="9">
        <f t="shared" si="65"/>
        <v>8.5376219810280353E-3</v>
      </c>
    </row>
    <row r="1386" spans="1:7" x14ac:dyDescent="0.2">
      <c r="A1386" s="11">
        <v>37083</v>
      </c>
      <c r="B1386" s="10">
        <v>158.589</v>
      </c>
      <c r="E1386" s="13">
        <f t="shared" si="63"/>
        <v>-3.1447012245792378E-3</v>
      </c>
      <c r="F1386" s="9">
        <f t="shared" si="64"/>
        <v>-5.6705919167190498E-2</v>
      </c>
      <c r="G1386" s="9">
        <f t="shared" si="65"/>
        <v>8.4944144154346802E-3</v>
      </c>
    </row>
    <row r="1387" spans="1:7" x14ac:dyDescent="0.2">
      <c r="A1387" s="11">
        <v>37084</v>
      </c>
      <c r="B1387" s="10">
        <v>158.374</v>
      </c>
      <c r="E1387" s="13">
        <f t="shared" si="63"/>
        <v>-1.3566254293050921E-3</v>
      </c>
      <c r="F1387" s="9">
        <f t="shared" si="64"/>
        <v>-5.8713541111669452E-2</v>
      </c>
      <c r="G1387" s="9">
        <f t="shared" si="65"/>
        <v>8.480583860943117E-3</v>
      </c>
    </row>
    <row r="1388" spans="1:7" x14ac:dyDescent="0.2">
      <c r="A1388" s="11">
        <v>37085</v>
      </c>
      <c r="B1388" s="10">
        <v>155.6593</v>
      </c>
      <c r="E1388" s="13">
        <f t="shared" si="63"/>
        <v>-1.7289679952975912E-2</v>
      </c>
      <c r="F1388" s="9">
        <f t="shared" si="64"/>
        <v>-7.7528691778299838E-2</v>
      </c>
      <c r="G1388" s="9">
        <f t="shared" si="65"/>
        <v>8.9082239621546214E-3</v>
      </c>
    </row>
    <row r="1389" spans="1:7" x14ac:dyDescent="0.2">
      <c r="A1389" s="11">
        <v>37088</v>
      </c>
      <c r="B1389" s="10">
        <v>154.45650000000001</v>
      </c>
      <c r="E1389" s="13">
        <f t="shared" si="63"/>
        <v>-7.7571412443892956E-3</v>
      </c>
      <c r="F1389" s="9">
        <f t="shared" si="64"/>
        <v>-9.0149511902182636E-2</v>
      </c>
      <c r="G1389" s="9">
        <f t="shared" si="65"/>
        <v>8.8348435872680521E-3</v>
      </c>
    </row>
    <row r="1390" spans="1:7" x14ac:dyDescent="0.2">
      <c r="A1390" s="11">
        <v>37089</v>
      </c>
      <c r="B1390" s="10">
        <v>153.35929999999999</v>
      </c>
      <c r="E1390" s="13">
        <f t="shared" si="63"/>
        <v>-7.1289689927491262E-3</v>
      </c>
      <c r="F1390" s="9">
        <f t="shared" si="64"/>
        <v>-9.553701289090942E-2</v>
      </c>
      <c r="G1390" s="9">
        <f t="shared" si="65"/>
        <v>8.8616717252758079E-3</v>
      </c>
    </row>
    <row r="1391" spans="1:7" x14ac:dyDescent="0.2">
      <c r="A1391" s="11">
        <v>37090</v>
      </c>
      <c r="B1391" s="10">
        <v>151.9906</v>
      </c>
      <c r="E1391" s="13">
        <f t="shared" si="63"/>
        <v>-8.9648574746821023E-3</v>
      </c>
      <c r="F1391" s="9">
        <f t="shared" si="64"/>
        <v>-0.10310401649864785</v>
      </c>
      <c r="G1391" s="9">
        <f t="shared" si="65"/>
        <v>8.9150782417251641E-3</v>
      </c>
    </row>
    <row r="1392" spans="1:7" x14ac:dyDescent="0.2">
      <c r="A1392" s="11">
        <v>37091</v>
      </c>
      <c r="B1392" s="10">
        <v>155.05600000000001</v>
      </c>
      <c r="E1392" s="13">
        <f t="shared" si="63"/>
        <v>1.9967665163482889E-2</v>
      </c>
      <c r="F1392" s="9">
        <f t="shared" si="64"/>
        <v>-8.2879341662054726E-2</v>
      </c>
      <c r="G1392" s="9">
        <f t="shared" si="65"/>
        <v>9.9170636379999275E-3</v>
      </c>
    </row>
    <row r="1393" spans="1:7" x14ac:dyDescent="0.2">
      <c r="A1393" s="11">
        <v>37092</v>
      </c>
      <c r="B1393" s="10">
        <v>154.3792</v>
      </c>
      <c r="E1393" s="13">
        <f t="shared" si="63"/>
        <v>-4.3744285023094159E-3</v>
      </c>
      <c r="F1393" s="9">
        <f t="shared" si="64"/>
        <v>-7.1097674432793259E-2</v>
      </c>
      <c r="G1393" s="9">
        <f t="shared" si="65"/>
        <v>9.5887206936199829E-3</v>
      </c>
    </row>
    <row r="1394" spans="1:7" x14ac:dyDescent="0.2">
      <c r="A1394" s="11">
        <v>37095</v>
      </c>
      <c r="B1394" s="10">
        <v>155.71019999999999</v>
      </c>
      <c r="E1394" s="13">
        <f t="shared" si="63"/>
        <v>8.5846738016447811E-3</v>
      </c>
      <c r="F1394" s="9">
        <f t="shared" si="64"/>
        <v>-4.1293374673493408E-2</v>
      </c>
      <c r="G1394" s="9">
        <f t="shared" si="65"/>
        <v>9.0895388485337635E-3</v>
      </c>
    </row>
    <row r="1395" spans="1:7" x14ac:dyDescent="0.2">
      <c r="A1395" s="11">
        <v>37096</v>
      </c>
      <c r="B1395" s="10">
        <v>153.7099</v>
      </c>
      <c r="E1395" s="13">
        <f t="shared" si="63"/>
        <v>-1.2929527630659911E-2</v>
      </c>
      <c r="F1395" s="9">
        <f t="shared" si="64"/>
        <v>-6.959091910677255E-2</v>
      </c>
      <c r="G1395" s="9">
        <f t="shared" si="65"/>
        <v>8.7344768803825964E-3</v>
      </c>
    </row>
    <row r="1396" spans="1:7" x14ac:dyDescent="0.2">
      <c r="A1396" s="11">
        <v>37097</v>
      </c>
      <c r="B1396" s="10">
        <v>152.0924</v>
      </c>
      <c r="E1396" s="13">
        <f t="shared" si="63"/>
        <v>-1.0578828770911186E-2</v>
      </c>
      <c r="F1396" s="9">
        <f t="shared" si="64"/>
        <v>-5.8309572745665048E-2</v>
      </c>
      <c r="G1396" s="9">
        <f t="shared" si="65"/>
        <v>8.0621461134746161E-3</v>
      </c>
    </row>
    <row r="1397" spans="1:7" x14ac:dyDescent="0.2">
      <c r="A1397" s="11">
        <v>37098</v>
      </c>
      <c r="B1397" s="10">
        <v>153.4837</v>
      </c>
      <c r="E1397" s="13">
        <f t="shared" si="63"/>
        <v>9.1061415737689368E-3</v>
      </c>
      <c r="F1397" s="9">
        <f t="shared" si="64"/>
        <v>-4.202184489584633E-2</v>
      </c>
      <c r="G1397" s="9">
        <f t="shared" si="65"/>
        <v>8.2541049306573203E-3</v>
      </c>
    </row>
    <row r="1398" spans="1:7" x14ac:dyDescent="0.2">
      <c r="A1398" s="11">
        <v>37099</v>
      </c>
      <c r="B1398" s="10">
        <v>155.25960000000001</v>
      </c>
      <c r="E1398" s="13">
        <f t="shared" si="63"/>
        <v>1.1504182186901994E-2</v>
      </c>
      <c r="F1398" s="9">
        <f t="shared" si="64"/>
        <v>-2.8277395391684727E-2</v>
      </c>
      <c r="G1398" s="9">
        <f t="shared" si="65"/>
        <v>8.5946254826453419E-3</v>
      </c>
    </row>
    <row r="1399" spans="1:7" x14ac:dyDescent="0.2">
      <c r="A1399" s="11">
        <v>37102</v>
      </c>
      <c r="B1399" s="10">
        <v>156.00810000000001</v>
      </c>
      <c r="E1399" s="13">
        <f t="shared" si="63"/>
        <v>4.8093743278745556E-3</v>
      </c>
      <c r="F1399" s="9">
        <f t="shared" si="64"/>
        <v>-2.930583964303032E-2</v>
      </c>
      <c r="G1399" s="9">
        <f t="shared" si="65"/>
        <v>8.5675890265439012E-3</v>
      </c>
    </row>
    <row r="1400" spans="1:7" x14ac:dyDescent="0.2">
      <c r="A1400" s="11">
        <v>37103</v>
      </c>
      <c r="B1400" s="10">
        <v>155.98169999999999</v>
      </c>
      <c r="E1400" s="13">
        <f t="shared" si="63"/>
        <v>-1.6923630236006414E-4</v>
      </c>
      <c r="F1400" s="9">
        <f t="shared" si="64"/>
        <v>-2.8840567442455448E-2</v>
      </c>
      <c r="G1400" s="9">
        <f t="shared" si="65"/>
        <v>8.568753913409841E-3</v>
      </c>
    </row>
    <row r="1401" spans="1:7" x14ac:dyDescent="0.2">
      <c r="A1401" s="11">
        <v>37104</v>
      </c>
      <c r="B1401" s="10">
        <v>156.5472</v>
      </c>
      <c r="E1401" s="13">
        <f t="shared" si="63"/>
        <v>3.6188692767869226E-3</v>
      </c>
      <c r="F1401" s="9">
        <f t="shared" si="64"/>
        <v>-1.6588864258742307E-2</v>
      </c>
      <c r="G1401" s="9">
        <f t="shared" si="65"/>
        <v>8.4802760691111111E-3</v>
      </c>
    </row>
    <row r="1402" spans="1:7" x14ac:dyDescent="0.2">
      <c r="A1402" s="11">
        <v>37105</v>
      </c>
      <c r="B1402" s="10">
        <v>156.8545</v>
      </c>
      <c r="E1402" s="13">
        <f t="shared" si="63"/>
        <v>1.9610621032599717E-3</v>
      </c>
      <c r="F1402" s="9">
        <f t="shared" si="64"/>
        <v>-2.113312427319192E-2</v>
      </c>
      <c r="G1402" s="9">
        <f t="shared" si="65"/>
        <v>8.3862938071588428E-3</v>
      </c>
    </row>
    <row r="1403" spans="1:7" x14ac:dyDescent="0.2">
      <c r="A1403" s="11">
        <v>37106</v>
      </c>
      <c r="B1403" s="10">
        <v>155.66120000000001</v>
      </c>
      <c r="E1403" s="13">
        <f t="shared" si="63"/>
        <v>-7.6367734450656201E-3</v>
      </c>
      <c r="F1403" s="9">
        <f t="shared" si="64"/>
        <v>-2.9310934293857588E-2</v>
      </c>
      <c r="G1403" s="9">
        <f t="shared" si="65"/>
        <v>8.4790509934328431E-3</v>
      </c>
    </row>
    <row r="1404" spans="1:7" x14ac:dyDescent="0.2">
      <c r="A1404" s="11">
        <v>37109</v>
      </c>
      <c r="B1404" s="10">
        <v>155.06540000000001</v>
      </c>
      <c r="E1404" s="13">
        <f t="shared" si="63"/>
        <v>-3.8348871977525335E-3</v>
      </c>
      <c r="F1404" s="9">
        <f t="shared" si="64"/>
        <v>-2.0112328462570606E-2</v>
      </c>
      <c r="G1404" s="9">
        <f t="shared" si="65"/>
        <v>8.1800098417122401E-3</v>
      </c>
    </row>
    <row r="1405" spans="1:7" x14ac:dyDescent="0.2">
      <c r="A1405" s="11">
        <v>37110</v>
      </c>
      <c r="B1405" s="10">
        <v>154.71850000000001</v>
      </c>
      <c r="E1405" s="13">
        <f t="shared" si="63"/>
        <v>-2.2396266881662247E-3</v>
      </c>
      <c r="F1405" s="9">
        <f t="shared" si="64"/>
        <v>-2.1898673640938608E-2</v>
      </c>
      <c r="G1405" s="9">
        <f t="shared" si="65"/>
        <v>8.184860531051795E-3</v>
      </c>
    </row>
    <row r="1406" spans="1:7" x14ac:dyDescent="0.2">
      <c r="A1406" s="11">
        <v>37111</v>
      </c>
      <c r="B1406" s="10">
        <v>154.30000000000001</v>
      </c>
      <c r="E1406" s="13">
        <f t="shared" si="63"/>
        <v>-2.7085773560910163E-3</v>
      </c>
      <c r="F1406" s="9">
        <f t="shared" si="64"/>
        <v>-2.5989212483509477E-2</v>
      </c>
      <c r="G1406" s="9">
        <f t="shared" si="65"/>
        <v>8.181962335041813E-3</v>
      </c>
    </row>
    <row r="1407" spans="1:7" x14ac:dyDescent="0.2">
      <c r="A1407" s="11">
        <v>37112</v>
      </c>
      <c r="B1407" s="10">
        <v>153.6421</v>
      </c>
      <c r="E1407" s="13">
        <f t="shared" si="63"/>
        <v>-4.2728876692789035E-3</v>
      </c>
      <c r="F1407" s="9">
        <f t="shared" si="64"/>
        <v>-3.9976530308544769E-2</v>
      </c>
      <c r="G1407" s="9">
        <f t="shared" si="65"/>
        <v>7.9429145130762904E-3</v>
      </c>
    </row>
    <row r="1408" spans="1:7" x14ac:dyDescent="0.2">
      <c r="A1408" s="11">
        <v>37113</v>
      </c>
      <c r="B1408" s="10">
        <v>153.96629999999999</v>
      </c>
      <c r="E1408" s="13">
        <f t="shared" si="63"/>
        <v>2.1078755979278031E-3</v>
      </c>
      <c r="F1408" s="9">
        <f t="shared" si="64"/>
        <v>-4.738494299286912E-2</v>
      </c>
      <c r="G1408" s="9">
        <f t="shared" si="65"/>
        <v>7.69527397375897E-3</v>
      </c>
    </row>
    <row r="1409" spans="1:7" x14ac:dyDescent="0.2">
      <c r="A1409" s="11">
        <v>37116</v>
      </c>
      <c r="B1409" s="10">
        <v>154.34530000000001</v>
      </c>
      <c r="E1409" s="13">
        <f t="shared" si="63"/>
        <v>2.458552911437126E-3</v>
      </c>
      <c r="F1409" s="9">
        <f t="shared" si="64"/>
        <v>-4.4751074784475625E-2</v>
      </c>
      <c r="G1409" s="9">
        <f t="shared" si="65"/>
        <v>7.7285754167355026E-3</v>
      </c>
    </row>
    <row r="1410" spans="1:7" x14ac:dyDescent="0.2">
      <c r="A1410" s="11">
        <v>37117</v>
      </c>
      <c r="B1410" s="10">
        <v>154.85429999999999</v>
      </c>
      <c r="E1410" s="13">
        <f t="shared" si="63"/>
        <v>3.2923746329887827E-3</v>
      </c>
      <c r="F1410" s="9">
        <f t="shared" si="64"/>
        <v>-4.2416055200190088E-2</v>
      </c>
      <c r="G1410" s="9">
        <f t="shared" si="65"/>
        <v>7.7676212137455184E-3</v>
      </c>
    </row>
    <row r="1411" spans="1:7" x14ac:dyDescent="0.2">
      <c r="A1411" s="11">
        <v>37118</v>
      </c>
      <c r="B1411" s="10">
        <v>154.0625</v>
      </c>
      <c r="E1411" s="13">
        <f t="shared" si="63"/>
        <v>-5.1263106051806766E-3</v>
      </c>
      <c r="F1411" s="9">
        <f t="shared" si="64"/>
        <v>-4.1162343897065731E-2</v>
      </c>
      <c r="G1411" s="9">
        <f t="shared" si="65"/>
        <v>7.7427244537462058E-3</v>
      </c>
    </row>
    <row r="1412" spans="1:7" x14ac:dyDescent="0.2">
      <c r="A1412" s="11">
        <v>37119</v>
      </c>
      <c r="B1412" s="10">
        <v>154.17939999999999</v>
      </c>
      <c r="E1412" s="13">
        <f t="shared" ref="E1412:E1475" si="66">LN(B1412/B1411)</f>
        <v>7.5849523120974263E-4</v>
      </c>
      <c r="F1412" s="9">
        <f t="shared" si="64"/>
        <v>-3.9570045309132308E-2</v>
      </c>
      <c r="G1412" s="9">
        <f t="shared" si="65"/>
        <v>7.7526648484235279E-3</v>
      </c>
    </row>
    <row r="1413" spans="1:7" x14ac:dyDescent="0.2">
      <c r="A1413" s="11">
        <v>37120</v>
      </c>
      <c r="B1413" s="10">
        <v>152.86529999999999</v>
      </c>
      <c r="E1413" s="13">
        <f t="shared" si="66"/>
        <v>-8.5597180054326916E-3</v>
      </c>
      <c r="F1413" s="9">
        <f t="shared" si="64"/>
        <v>-4.7424413823953182E-2</v>
      </c>
      <c r="G1413" s="9">
        <f t="shared" si="65"/>
        <v>7.8651954671688871E-3</v>
      </c>
    </row>
    <row r="1414" spans="1:7" x14ac:dyDescent="0.2">
      <c r="A1414" s="11">
        <v>37123</v>
      </c>
      <c r="B1414" s="10">
        <v>151.34399999999999</v>
      </c>
      <c r="E1414" s="13">
        <f t="shared" si="66"/>
        <v>-1.0001749991971608E-2</v>
      </c>
      <c r="F1414" s="9">
        <f t="shared" si="64"/>
        <v>-4.9905259676577537E-2</v>
      </c>
      <c r="G1414" s="9">
        <f t="shared" si="65"/>
        <v>7.9445875385818539E-3</v>
      </c>
    </row>
    <row r="1415" spans="1:7" x14ac:dyDescent="0.2">
      <c r="A1415" s="11">
        <v>37124</v>
      </c>
      <c r="B1415" s="10">
        <v>152.0377</v>
      </c>
      <c r="E1415" s="13">
        <f t="shared" si="66"/>
        <v>4.5731249378096264E-3</v>
      </c>
      <c r="F1415" s="9">
        <f t="shared" si="64"/>
        <v>-4.2187433514188716E-2</v>
      </c>
      <c r="G1415" s="9">
        <f t="shared" si="65"/>
        <v>8.0240583006066755E-3</v>
      </c>
    </row>
    <row r="1416" spans="1:7" x14ac:dyDescent="0.2">
      <c r="A1416" s="11">
        <v>37125</v>
      </c>
      <c r="B1416" s="10">
        <v>151.9453</v>
      </c>
      <c r="E1416" s="13">
        <f t="shared" si="66"/>
        <v>-6.0792875157976748E-4</v>
      </c>
      <c r="F1416" s="9">
        <f t="shared" si="64"/>
        <v>-4.1438736836463458E-2</v>
      </c>
      <c r="G1416" s="9">
        <f t="shared" si="65"/>
        <v>8.0255895586283273E-3</v>
      </c>
    </row>
    <row r="1417" spans="1:7" x14ac:dyDescent="0.2">
      <c r="A1417" s="11">
        <v>37126</v>
      </c>
      <c r="B1417" s="10">
        <v>151.25909999999999</v>
      </c>
      <c r="E1417" s="13">
        <f t="shared" si="66"/>
        <v>-4.5263272666958608E-3</v>
      </c>
      <c r="F1417" s="9">
        <f t="shared" si="64"/>
        <v>-2.867538415018336E-2</v>
      </c>
      <c r="G1417" s="9">
        <f t="shared" si="65"/>
        <v>7.4543740327104686E-3</v>
      </c>
    </row>
    <row r="1418" spans="1:7" x14ac:dyDescent="0.2">
      <c r="A1418" s="11">
        <v>37127</v>
      </c>
      <c r="B1418" s="10">
        <v>152.59950000000001</v>
      </c>
      <c r="E1418" s="13">
        <f t="shared" si="66"/>
        <v>8.8225819146664861E-3</v>
      </c>
      <c r="F1418" s="9">
        <f t="shared" si="64"/>
        <v>-1.2095660991127619E-2</v>
      </c>
      <c r="G1418" s="9">
        <f t="shared" si="65"/>
        <v>7.5518907162585676E-3</v>
      </c>
    </row>
    <row r="1419" spans="1:7" x14ac:dyDescent="0.2">
      <c r="A1419" s="11">
        <v>37130</v>
      </c>
      <c r="B1419" s="10">
        <v>152.0924</v>
      </c>
      <c r="E1419" s="13">
        <f t="shared" si="66"/>
        <v>-3.3286114150564853E-3</v>
      </c>
      <c r="F1419" s="9">
        <f t="shared" si="64"/>
        <v>-8.2953034134349759E-3</v>
      </c>
      <c r="G1419" s="9">
        <f t="shared" si="65"/>
        <v>7.4637196798946611E-3</v>
      </c>
    </row>
    <row r="1420" spans="1:7" x14ac:dyDescent="0.2">
      <c r="A1420" s="11">
        <v>37131</v>
      </c>
      <c r="B1420" s="10">
        <v>151.99440000000001</v>
      </c>
      <c r="E1420" s="13">
        <f t="shared" si="66"/>
        <v>-6.4455282763224296E-4</v>
      </c>
      <c r="F1420" s="9">
        <f t="shared" si="64"/>
        <v>2.5001233614816521E-5</v>
      </c>
      <c r="G1420" s="9">
        <f t="shared" si="65"/>
        <v>7.2757393039784065E-3</v>
      </c>
    </row>
    <row r="1421" spans="1:7" x14ac:dyDescent="0.2">
      <c r="A1421" s="11">
        <v>37132</v>
      </c>
      <c r="B1421" s="10">
        <v>149.9376</v>
      </c>
      <c r="E1421" s="13">
        <f t="shared" si="66"/>
        <v>-1.3624470518075133E-2</v>
      </c>
      <c r="F1421" s="9">
        <f t="shared" si="64"/>
        <v>-3.3567134447943077E-2</v>
      </c>
      <c r="G1421" s="9">
        <f t="shared" si="65"/>
        <v>6.6286276836427984E-3</v>
      </c>
    </row>
    <row r="1422" spans="1:7" x14ac:dyDescent="0.2">
      <c r="A1422" s="11">
        <v>37133</v>
      </c>
      <c r="B1422" s="10">
        <v>149.1816</v>
      </c>
      <c r="E1422" s="13">
        <f t="shared" si="66"/>
        <v>-5.0548517764522245E-3</v>
      </c>
      <c r="F1422" s="9">
        <f t="shared" si="64"/>
        <v>-3.4247557722085972E-2</v>
      </c>
      <c r="G1422" s="9">
        <f t="shared" si="65"/>
        <v>6.6416126308308805E-3</v>
      </c>
    </row>
    <row r="1423" spans="1:7" x14ac:dyDescent="0.2">
      <c r="A1423" s="11">
        <v>37134</v>
      </c>
      <c r="B1423" s="10">
        <v>148.67259999999999</v>
      </c>
      <c r="E1423" s="13">
        <f t="shared" si="66"/>
        <v>-3.4177828983387275E-3</v>
      </c>
      <c r="F1423" s="9">
        <f t="shared" si="64"/>
        <v>-4.6250014422069385E-2</v>
      </c>
      <c r="G1423" s="9">
        <f t="shared" si="65"/>
        <v>6.3801504955147172E-3</v>
      </c>
    </row>
    <row r="1424" spans="1:7" x14ac:dyDescent="0.2">
      <c r="A1424" s="11">
        <v>37137</v>
      </c>
      <c r="B1424" s="10">
        <v>148.0316</v>
      </c>
      <c r="E1424" s="13">
        <f t="shared" si="66"/>
        <v>-4.3208083825978976E-3</v>
      </c>
      <c r="F1424" s="9">
        <f t="shared" si="64"/>
        <v>-3.7641295174007272E-2</v>
      </c>
      <c r="G1424" s="9">
        <f t="shared" si="65"/>
        <v>6.0242871705569806E-3</v>
      </c>
    </row>
    <row r="1425" spans="1:7" x14ac:dyDescent="0.2">
      <c r="A1425" s="11">
        <v>37138</v>
      </c>
      <c r="B1425" s="10">
        <v>149.41909999999999</v>
      </c>
      <c r="E1425" s="13">
        <f t="shared" si="66"/>
        <v>9.3293447525978294E-3</v>
      </c>
      <c r="F1425" s="9">
        <f t="shared" si="64"/>
        <v>-1.7733121650498378E-2</v>
      </c>
      <c r="G1425" s="9">
        <f t="shared" si="65"/>
        <v>6.0631085104842159E-3</v>
      </c>
    </row>
    <row r="1426" spans="1:7" x14ac:dyDescent="0.2">
      <c r="A1426" s="11">
        <v>37139</v>
      </c>
      <c r="B1426" s="10">
        <v>150.60120000000001</v>
      </c>
      <c r="E1426" s="13">
        <f t="shared" si="66"/>
        <v>7.8801742220778667E-3</v>
      </c>
      <c r="F1426" s="9">
        <f t="shared" si="64"/>
        <v>-1.8959089002189469E-2</v>
      </c>
      <c r="G1426" s="9">
        <f t="shared" si="65"/>
        <v>5.9968448625620117E-3</v>
      </c>
    </row>
    <row r="1427" spans="1:7" x14ac:dyDescent="0.2">
      <c r="A1427" s="11">
        <v>37140</v>
      </c>
      <c r="B1427" s="10">
        <v>149.74529999999999</v>
      </c>
      <c r="E1427" s="13">
        <f t="shared" si="66"/>
        <v>-5.6994326012567171E-3</v>
      </c>
      <c r="F1427" s="9">
        <f t="shared" si="64"/>
        <v>-3.6162703790348173E-2</v>
      </c>
      <c r="G1427" s="9">
        <f t="shared" si="65"/>
        <v>5.5881816635976319E-3</v>
      </c>
    </row>
    <row r="1428" spans="1:7" x14ac:dyDescent="0.2">
      <c r="A1428" s="11">
        <v>37141</v>
      </c>
      <c r="B1428" s="10">
        <v>147.34909999999999</v>
      </c>
      <c r="E1428" s="13">
        <f t="shared" si="66"/>
        <v>-1.6131249601576202E-2</v>
      </c>
      <c r="F1428" s="9">
        <f t="shared" si="64"/>
        <v>-5.7103327719799014E-2</v>
      </c>
      <c r="G1428" s="9">
        <f t="shared" si="65"/>
        <v>6.1065488831423811E-3</v>
      </c>
    </row>
    <row r="1429" spans="1:7" x14ac:dyDescent="0.2">
      <c r="A1429" s="11">
        <v>37144</v>
      </c>
      <c r="B1429" s="10">
        <v>143.44659999999999</v>
      </c>
      <c r="E1429" s="13">
        <f t="shared" si="66"/>
        <v>-2.6841760750420874E-2</v>
      </c>
      <c r="F1429" s="9">
        <f t="shared" si="64"/>
        <v>-8.3775852167859766E-2</v>
      </c>
      <c r="G1429" s="9">
        <f t="shared" si="65"/>
        <v>7.6415154831222555E-3</v>
      </c>
    </row>
    <row r="1430" spans="1:7" x14ac:dyDescent="0.2">
      <c r="A1430" s="11">
        <v>37145</v>
      </c>
      <c r="B1430" s="10">
        <v>143.9066</v>
      </c>
      <c r="E1430" s="13">
        <f t="shared" si="66"/>
        <v>3.2016375174183176E-3</v>
      </c>
      <c r="F1430" s="9">
        <f t="shared" si="64"/>
        <v>-8.4193083927228365E-2</v>
      </c>
      <c r="G1430" s="9">
        <f t="shared" si="65"/>
        <v>7.6292081988018796E-3</v>
      </c>
    </row>
    <row r="1431" spans="1:7" x14ac:dyDescent="0.2">
      <c r="A1431" s="11">
        <v>37146</v>
      </c>
      <c r="B1431" s="10">
        <v>138.5205</v>
      </c>
      <c r="E1431" s="13">
        <f t="shared" si="66"/>
        <v>-3.8146148910932508E-2</v>
      </c>
      <c r="F1431" s="9">
        <f t="shared" si="64"/>
        <v>-0.12430029494142072</v>
      </c>
      <c r="G1431" s="9">
        <f t="shared" si="65"/>
        <v>9.9869020451331912E-3</v>
      </c>
    </row>
    <row r="1432" spans="1:7" x14ac:dyDescent="0.2">
      <c r="A1432" s="11">
        <v>37147</v>
      </c>
      <c r="B1432" s="10">
        <v>138.13589999999999</v>
      </c>
      <c r="E1432" s="13">
        <f t="shared" si="66"/>
        <v>-2.7803459291513835E-3</v>
      </c>
      <c r="F1432" s="9">
        <f t="shared" si="64"/>
        <v>-0.11944386742550646</v>
      </c>
      <c r="G1432" s="9">
        <f t="shared" si="65"/>
        <v>9.9694141121152244E-3</v>
      </c>
    </row>
    <row r="1433" spans="1:7" x14ac:dyDescent="0.2">
      <c r="A1433" s="11">
        <v>37148</v>
      </c>
      <c r="B1433" s="10">
        <v>135.785</v>
      </c>
      <c r="E1433" s="13">
        <f t="shared" si="66"/>
        <v>-1.7165230715552707E-2</v>
      </c>
      <c r="F1433" s="9">
        <f t="shared" si="64"/>
        <v>-0.13277421094330666</v>
      </c>
      <c r="G1433" s="9">
        <f t="shared" si="65"/>
        <v>1.0258969160226322E-2</v>
      </c>
    </row>
    <row r="1434" spans="1:7" x14ac:dyDescent="0.2">
      <c r="A1434" s="11">
        <v>37151</v>
      </c>
      <c r="B1434" s="10">
        <v>134.2372</v>
      </c>
      <c r="E1434" s="13">
        <f t="shared" si="66"/>
        <v>-1.1464368133185826E-2</v>
      </c>
      <c r="F1434" s="9">
        <f t="shared" si="64"/>
        <v>-0.14199895238832627</v>
      </c>
      <c r="G1434" s="9">
        <f t="shared" si="65"/>
        <v>1.0326651577500741E-2</v>
      </c>
    </row>
    <row r="1435" spans="1:7" x14ac:dyDescent="0.2">
      <c r="A1435" s="11">
        <v>37152</v>
      </c>
      <c r="B1435" s="10">
        <v>131.17930000000001</v>
      </c>
      <c r="E1435" s="13">
        <f t="shared" si="66"/>
        <v>-2.3043294664823574E-2</v>
      </c>
      <c r="F1435" s="9">
        <f t="shared" si="64"/>
        <v>-0.16233366969705881</v>
      </c>
      <c r="G1435" s="9">
        <f t="shared" si="65"/>
        <v>1.0849905182892954E-2</v>
      </c>
    </row>
    <row r="1436" spans="1:7" x14ac:dyDescent="0.2">
      <c r="A1436" s="11">
        <v>37153</v>
      </c>
      <c r="B1436" s="10">
        <v>126.5793</v>
      </c>
      <c r="E1436" s="13">
        <f t="shared" si="66"/>
        <v>-3.5696100439729941E-2</v>
      </c>
      <c r="F1436" s="9">
        <f t="shared" si="64"/>
        <v>-0.19375688246750986</v>
      </c>
      <c r="G1436" s="9">
        <f t="shared" si="65"/>
        <v>1.2198186725016422E-2</v>
      </c>
    </row>
    <row r="1437" spans="1:7" x14ac:dyDescent="0.2">
      <c r="A1437" s="11">
        <v>37154</v>
      </c>
      <c r="B1437" s="10">
        <v>120.26</v>
      </c>
      <c r="E1437" s="13">
        <f t="shared" si="66"/>
        <v>-5.1212923620903822E-2</v>
      </c>
      <c r="F1437" s="9">
        <f t="shared" si="64"/>
        <v>-0.24707768168634145</v>
      </c>
      <c r="G1437" s="9">
        <f t="shared" si="65"/>
        <v>1.4606825666461636E-2</v>
      </c>
    </row>
    <row r="1438" spans="1:7" x14ac:dyDescent="0.2">
      <c r="A1438" s="11">
        <v>37155</v>
      </c>
      <c r="B1438" s="10">
        <v>112.2458</v>
      </c>
      <c r="E1438" s="13">
        <f t="shared" si="66"/>
        <v>-6.8964956170142019E-2</v>
      </c>
      <c r="F1438" s="9">
        <f t="shared" si="64"/>
        <v>-0.31850119076792038</v>
      </c>
      <c r="G1438" s="9">
        <f t="shared" si="65"/>
        <v>1.8255361234140909E-2</v>
      </c>
    </row>
    <row r="1439" spans="1:7" x14ac:dyDescent="0.2">
      <c r="A1439" s="11">
        <v>37158</v>
      </c>
      <c r="B1439" s="10">
        <v>117.8865</v>
      </c>
      <c r="E1439" s="13">
        <f t="shared" si="66"/>
        <v>4.9031187729188103E-2</v>
      </c>
      <c r="F1439" s="9">
        <f t="shared" si="64"/>
        <v>-0.27276237767172101</v>
      </c>
      <c r="G1439" s="9">
        <f t="shared" si="65"/>
        <v>2.1261122125217666E-2</v>
      </c>
    </row>
    <row r="1440" spans="1:7" x14ac:dyDescent="0.2">
      <c r="A1440" s="11">
        <v>37159</v>
      </c>
      <c r="B1440" s="10">
        <v>120.2072</v>
      </c>
      <c r="E1440" s="13">
        <f t="shared" si="66"/>
        <v>1.9494623303084477E-2</v>
      </c>
      <c r="F1440" s="9">
        <f t="shared" ref="F1440:F1503" si="67">LN(B1440/B1411)</f>
        <v>-0.24814144376345598</v>
      </c>
      <c r="G1440" s="9">
        <f t="shared" si="65"/>
        <v>2.1919492488918887E-2</v>
      </c>
    </row>
    <row r="1441" spans="1:7" x14ac:dyDescent="0.2">
      <c r="A1441" s="11">
        <v>37160</v>
      </c>
      <c r="B1441" s="10">
        <v>120.5729</v>
      </c>
      <c r="E1441" s="13">
        <f t="shared" si="66"/>
        <v>3.0376287840940702E-3</v>
      </c>
      <c r="F1441" s="9">
        <f t="shared" si="67"/>
        <v>-0.24586231021057164</v>
      </c>
      <c r="G1441" s="9">
        <f t="shared" ref="G1441:G1504" si="68">STDEV(E1413:E1441)</f>
        <v>2.1958135701068315E-2</v>
      </c>
    </row>
    <row r="1442" spans="1:7" x14ac:dyDescent="0.2">
      <c r="A1442" s="11">
        <v>37161</v>
      </c>
      <c r="B1442" s="10">
        <v>120.999</v>
      </c>
      <c r="E1442" s="13">
        <f t="shared" si="66"/>
        <v>3.5277318421329455E-3</v>
      </c>
      <c r="F1442" s="9">
        <f t="shared" si="67"/>
        <v>-0.23377486036300596</v>
      </c>
      <c r="G1442" s="9">
        <f t="shared" si="68"/>
        <v>2.2070961272399669E-2</v>
      </c>
    </row>
    <row r="1443" spans="1:7" x14ac:dyDescent="0.2">
      <c r="A1443" s="11">
        <v>37162</v>
      </c>
      <c r="B1443" s="10">
        <v>123.00109999999999</v>
      </c>
      <c r="E1443" s="13">
        <f t="shared" si="66"/>
        <v>1.6411017322078888E-2</v>
      </c>
      <c r="F1443" s="9">
        <f t="shared" si="67"/>
        <v>-0.20736209304895556</v>
      </c>
      <c r="G1443" s="9">
        <f t="shared" si="68"/>
        <v>2.2528262189346965E-2</v>
      </c>
    </row>
    <row r="1444" spans="1:7" x14ac:dyDescent="0.2">
      <c r="A1444" s="11">
        <v>37165</v>
      </c>
      <c r="B1444" s="10">
        <v>120.4768</v>
      </c>
      <c r="E1444" s="13">
        <f t="shared" si="66"/>
        <v>-2.0736095147976884E-2</v>
      </c>
      <c r="F1444" s="9">
        <f t="shared" si="67"/>
        <v>-0.23267131313474196</v>
      </c>
      <c r="G1444" s="9">
        <f t="shared" si="68"/>
        <v>2.2548102374499394E-2</v>
      </c>
    </row>
    <row r="1445" spans="1:7" x14ac:dyDescent="0.2">
      <c r="A1445" s="11">
        <v>37166</v>
      </c>
      <c r="B1445" s="10">
        <v>120.786</v>
      </c>
      <c r="E1445" s="13">
        <f t="shared" si="66"/>
        <v>2.5631814708640789E-3</v>
      </c>
      <c r="F1445" s="9">
        <f t="shared" si="67"/>
        <v>-0.229500202912298</v>
      </c>
      <c r="G1445" s="9">
        <f t="shared" si="68"/>
        <v>2.2592991899020524E-2</v>
      </c>
    </row>
    <row r="1446" spans="1:7" x14ac:dyDescent="0.2">
      <c r="A1446" s="11">
        <v>37167</v>
      </c>
      <c r="B1446" s="10">
        <v>119.70569999999999</v>
      </c>
      <c r="E1446" s="13">
        <f t="shared" si="66"/>
        <v>-8.9841542669506901E-3</v>
      </c>
      <c r="F1446" s="9">
        <f t="shared" si="67"/>
        <v>-0.23395802991255296</v>
      </c>
      <c r="G1446" s="9">
        <f t="shared" si="68"/>
        <v>2.2584284484855593E-2</v>
      </c>
    </row>
    <row r="1447" spans="1:7" x14ac:dyDescent="0.2">
      <c r="A1447" s="11">
        <v>37168</v>
      </c>
      <c r="B1447" s="10">
        <v>121.1347</v>
      </c>
      <c r="E1447" s="13">
        <f t="shared" si="66"/>
        <v>1.1866919086037188E-2</v>
      </c>
      <c r="F1447" s="9">
        <f t="shared" si="67"/>
        <v>-0.23091369274118223</v>
      </c>
      <c r="G1447" s="9">
        <f t="shared" si="68"/>
        <v>2.2672500714404468E-2</v>
      </c>
    </row>
    <row r="1448" spans="1:7" x14ac:dyDescent="0.2">
      <c r="A1448" s="11">
        <v>37169</v>
      </c>
      <c r="B1448" s="10">
        <v>119.3947</v>
      </c>
      <c r="E1448" s="13">
        <f t="shared" si="66"/>
        <v>-1.4468338200249823E-2</v>
      </c>
      <c r="F1448" s="9">
        <f t="shared" si="67"/>
        <v>-0.24205341952637557</v>
      </c>
      <c r="G1448" s="9">
        <f t="shared" si="68"/>
        <v>2.2685550062869791E-2</v>
      </c>
    </row>
    <row r="1449" spans="1:7" x14ac:dyDescent="0.2">
      <c r="A1449" s="11">
        <v>37172</v>
      </c>
      <c r="B1449" s="10">
        <v>118.05800000000001</v>
      </c>
      <c r="E1449" s="13">
        <f t="shared" si="66"/>
        <v>-1.1258782233241334E-2</v>
      </c>
      <c r="F1449" s="9">
        <f t="shared" si="67"/>
        <v>-0.25266764893198457</v>
      </c>
      <c r="G1449" s="9">
        <f t="shared" si="68"/>
        <v>2.2642430137434971E-2</v>
      </c>
    </row>
    <row r="1450" spans="1:7" x14ac:dyDescent="0.2">
      <c r="A1450" s="11">
        <v>37173</v>
      </c>
      <c r="B1450" s="10">
        <v>118.7216</v>
      </c>
      <c r="E1450" s="13">
        <f t="shared" si="66"/>
        <v>5.6052272868621711E-3</v>
      </c>
      <c r="F1450" s="9">
        <f t="shared" si="67"/>
        <v>-0.23343795112704727</v>
      </c>
      <c r="G1450" s="9">
        <f t="shared" si="68"/>
        <v>2.2774637837008716E-2</v>
      </c>
    </row>
    <row r="1451" spans="1:7" x14ac:dyDescent="0.2">
      <c r="A1451" s="11">
        <v>37174</v>
      </c>
      <c r="B1451" s="10">
        <v>119.61150000000001</v>
      </c>
      <c r="E1451" s="13">
        <f t="shared" si="66"/>
        <v>7.4677343229965637E-3</v>
      </c>
      <c r="F1451" s="9">
        <f t="shared" si="67"/>
        <v>-0.22091536502759843</v>
      </c>
      <c r="G1451" s="9">
        <f t="shared" si="68"/>
        <v>2.2951475941883036E-2</v>
      </c>
    </row>
    <row r="1452" spans="1:7" x14ac:dyDescent="0.2">
      <c r="A1452" s="11">
        <v>37175</v>
      </c>
      <c r="B1452" s="10">
        <v>122.5562</v>
      </c>
      <c r="E1452" s="13">
        <f t="shared" si="66"/>
        <v>2.4320709549476734E-2</v>
      </c>
      <c r="F1452" s="9">
        <f t="shared" si="67"/>
        <v>-0.19317687257978305</v>
      </c>
      <c r="G1452" s="9">
        <f t="shared" si="68"/>
        <v>2.3698599816977382E-2</v>
      </c>
    </row>
    <row r="1453" spans="1:7" x14ac:dyDescent="0.2">
      <c r="A1453" s="11">
        <v>37176</v>
      </c>
      <c r="B1453" s="10">
        <v>121.51560000000001</v>
      </c>
      <c r="E1453" s="13">
        <f t="shared" si="66"/>
        <v>-8.5270506892861312E-3</v>
      </c>
      <c r="F1453" s="9">
        <f t="shared" si="67"/>
        <v>-0.19738311488647128</v>
      </c>
      <c r="G1453" s="9">
        <f t="shared" si="68"/>
        <v>2.3696635544275937E-2</v>
      </c>
    </row>
    <row r="1454" spans="1:7" x14ac:dyDescent="0.2">
      <c r="A1454" s="11">
        <v>37179</v>
      </c>
      <c r="B1454" s="10">
        <v>119.53789999999999</v>
      </c>
      <c r="E1454" s="13">
        <f t="shared" si="66"/>
        <v>-1.6409173700066271E-2</v>
      </c>
      <c r="F1454" s="9">
        <f t="shared" si="67"/>
        <v>-0.22312163333913529</v>
      </c>
      <c r="G1454" s="9">
        <f t="shared" si="68"/>
        <v>2.3552272098110588E-2</v>
      </c>
    </row>
    <row r="1455" spans="1:7" x14ac:dyDescent="0.2">
      <c r="A1455" s="11">
        <v>37180</v>
      </c>
      <c r="B1455" s="10">
        <v>120.9594</v>
      </c>
      <c r="E1455" s="13">
        <f t="shared" si="66"/>
        <v>1.1821476201135354E-2</v>
      </c>
      <c r="F1455" s="9">
        <f t="shared" si="67"/>
        <v>-0.21918033136007781</v>
      </c>
      <c r="G1455" s="9">
        <f t="shared" si="68"/>
        <v>2.3656491602944519E-2</v>
      </c>
    </row>
    <row r="1456" spans="1:7" x14ac:dyDescent="0.2">
      <c r="A1456" s="11">
        <v>37181</v>
      </c>
      <c r="B1456" s="10">
        <v>123.6987</v>
      </c>
      <c r="E1456" s="13">
        <f t="shared" si="66"/>
        <v>2.2393817945073592E-2</v>
      </c>
      <c r="F1456" s="9">
        <f t="shared" si="67"/>
        <v>-0.19108708081374745</v>
      </c>
      <c r="G1456" s="9">
        <f t="shared" si="68"/>
        <v>2.4301725173007147E-2</v>
      </c>
    </row>
    <row r="1457" spans="1:7" x14ac:dyDescent="0.2">
      <c r="A1457" s="11">
        <v>37182</v>
      </c>
      <c r="B1457" s="10">
        <v>121.4345</v>
      </c>
      <c r="E1457" s="13">
        <f t="shared" si="66"/>
        <v>-1.8473747279902825E-2</v>
      </c>
      <c r="F1457" s="9">
        <f t="shared" si="67"/>
        <v>-0.19342957849207401</v>
      </c>
      <c r="G1457" s="9">
        <f t="shared" si="68"/>
        <v>2.4338439753493351E-2</v>
      </c>
    </row>
    <row r="1458" spans="1:7" x14ac:dyDescent="0.2">
      <c r="A1458" s="11">
        <v>37183</v>
      </c>
      <c r="B1458" s="10">
        <v>119.8169</v>
      </c>
      <c r="E1458" s="13">
        <f t="shared" si="66"/>
        <v>-1.3410278587087331E-2</v>
      </c>
      <c r="F1458" s="9">
        <f t="shared" si="67"/>
        <v>-0.17999809632874039</v>
      </c>
      <c r="G1458" s="9">
        <f t="shared" si="68"/>
        <v>2.4067153350276725E-2</v>
      </c>
    </row>
    <row r="1459" spans="1:7" x14ac:dyDescent="0.2">
      <c r="A1459" s="11">
        <v>37186</v>
      </c>
      <c r="B1459" s="10">
        <v>121.40430000000001</v>
      </c>
      <c r="E1459" s="13">
        <f t="shared" si="66"/>
        <v>1.316155391742414E-2</v>
      </c>
      <c r="F1459" s="9">
        <f t="shared" si="67"/>
        <v>-0.17003817992873457</v>
      </c>
      <c r="G1459" s="9">
        <f t="shared" si="68"/>
        <v>2.4276366179026232E-2</v>
      </c>
    </row>
    <row r="1460" spans="1:7" x14ac:dyDescent="0.2">
      <c r="A1460" s="11">
        <v>37187</v>
      </c>
      <c r="B1460" s="10">
        <v>123.17829999999999</v>
      </c>
      <c r="E1460" s="13">
        <f t="shared" si="66"/>
        <v>1.4506601124984227E-2</v>
      </c>
      <c r="F1460" s="9">
        <f t="shared" si="67"/>
        <v>-0.11738542989281789</v>
      </c>
      <c r="G1460" s="9">
        <f t="shared" si="68"/>
        <v>2.3738709580064958E-2</v>
      </c>
    </row>
    <row r="1461" spans="1:7" x14ac:dyDescent="0.2">
      <c r="A1461" s="11">
        <v>37188</v>
      </c>
      <c r="B1461" s="10">
        <v>124.1247</v>
      </c>
      <c r="E1461" s="13">
        <f t="shared" si="66"/>
        <v>7.6538062220348957E-3</v>
      </c>
      <c r="F1461" s="9">
        <f t="shared" si="67"/>
        <v>-0.1069512777416315</v>
      </c>
      <c r="G1461" s="9">
        <f t="shared" si="68"/>
        <v>2.3837473285778649E-2</v>
      </c>
    </row>
    <row r="1462" spans="1:7" x14ac:dyDescent="0.2">
      <c r="A1462" s="11">
        <v>37189</v>
      </c>
      <c r="B1462" s="10">
        <v>122.5223</v>
      </c>
      <c r="E1462" s="13">
        <f t="shared" si="66"/>
        <v>-1.2993651210297495E-2</v>
      </c>
      <c r="F1462" s="9">
        <f t="shared" si="67"/>
        <v>-0.10277969823637646</v>
      </c>
      <c r="G1462" s="9">
        <f t="shared" si="68"/>
        <v>2.3765718731829297E-2</v>
      </c>
    </row>
    <row r="1463" spans="1:7" x14ac:dyDescent="0.2">
      <c r="A1463" s="11">
        <v>37190</v>
      </c>
      <c r="B1463" s="10">
        <v>125.337</v>
      </c>
      <c r="E1463" s="13">
        <f t="shared" si="66"/>
        <v>2.2713055379315825E-2</v>
      </c>
      <c r="F1463" s="9">
        <f t="shared" si="67"/>
        <v>-6.8602274723874715E-2</v>
      </c>
      <c r="G1463" s="9">
        <f t="shared" si="68"/>
        <v>2.4202341306708466E-2</v>
      </c>
    </row>
    <row r="1464" spans="1:7" x14ac:dyDescent="0.2">
      <c r="A1464" s="11">
        <v>37193</v>
      </c>
      <c r="B1464" s="10">
        <v>125.6669</v>
      </c>
      <c r="E1464" s="13">
        <f t="shared" si="66"/>
        <v>2.6286459290977399E-3</v>
      </c>
      <c r="F1464" s="9">
        <f t="shared" si="67"/>
        <v>-4.2930334129953389E-2</v>
      </c>
      <c r="G1464" s="9">
        <f t="shared" si="68"/>
        <v>2.3886444523124842E-2</v>
      </c>
    </row>
    <row r="1465" spans="1:7" x14ac:dyDescent="0.2">
      <c r="A1465" s="11">
        <v>37194</v>
      </c>
      <c r="B1465" s="10">
        <v>125.1258</v>
      </c>
      <c r="E1465" s="13">
        <f t="shared" si="66"/>
        <v>-4.3151243207637828E-3</v>
      </c>
      <c r="F1465" s="9">
        <f t="shared" si="67"/>
        <v>-1.1549358010987202E-2</v>
      </c>
      <c r="G1465" s="9">
        <f t="shared" si="68"/>
        <v>2.2974445294050478E-2</v>
      </c>
    </row>
    <row r="1466" spans="1:7" x14ac:dyDescent="0.2">
      <c r="A1466" s="11">
        <v>37195</v>
      </c>
      <c r="B1466" s="10">
        <v>125.32559999999999</v>
      </c>
      <c r="E1466" s="13">
        <f t="shared" si="66"/>
        <v>1.5955194691314152E-3</v>
      </c>
      <c r="F1466" s="9">
        <f t="shared" si="67"/>
        <v>4.1259085079047873E-2</v>
      </c>
      <c r="G1466" s="9">
        <f t="shared" si="68"/>
        <v>2.0792156074265492E-2</v>
      </c>
    </row>
    <row r="1467" spans="1:7" x14ac:dyDescent="0.2">
      <c r="A1467" s="11">
        <v>37196</v>
      </c>
      <c r="B1467" s="10">
        <v>123.67230000000001</v>
      </c>
      <c r="E1467" s="13">
        <f t="shared" si="66"/>
        <v>-1.3279825227984614E-2</v>
      </c>
      <c r="F1467" s="9">
        <f t="shared" si="67"/>
        <v>9.6944216021205371E-2</v>
      </c>
      <c r="G1467" s="9">
        <f t="shared" si="68"/>
        <v>1.6101906393689164E-2</v>
      </c>
    </row>
    <row r="1468" spans="1:7" x14ac:dyDescent="0.2">
      <c r="A1468" s="11">
        <v>37197</v>
      </c>
      <c r="B1468" s="10">
        <v>123.52330000000001</v>
      </c>
      <c r="E1468" s="13">
        <f t="shared" si="66"/>
        <v>-1.2055232216509613E-3</v>
      </c>
      <c r="F1468" s="9">
        <f t="shared" si="67"/>
        <v>4.6707505070366265E-2</v>
      </c>
      <c r="G1468" s="9">
        <f t="shared" si="68"/>
        <v>1.3503759731891909E-2</v>
      </c>
    </row>
    <row r="1469" spans="1:7" x14ac:dyDescent="0.2">
      <c r="A1469" s="11">
        <v>37200</v>
      </c>
      <c r="B1469" s="10">
        <v>126.5341</v>
      </c>
      <c r="E1469" s="13">
        <f t="shared" si="66"/>
        <v>2.4082034817956E-2</v>
      </c>
      <c r="F1469" s="9">
        <f t="shared" si="67"/>
        <v>5.1294916585237785E-2</v>
      </c>
      <c r="G1469" s="9">
        <f t="shared" si="68"/>
        <v>1.3745446188892951E-2</v>
      </c>
    </row>
    <row r="1470" spans="1:7" x14ac:dyDescent="0.2">
      <c r="A1470" s="11">
        <v>37201</v>
      </c>
      <c r="B1470" s="10">
        <v>127.3561</v>
      </c>
      <c r="E1470" s="13">
        <f t="shared" si="66"/>
        <v>6.4752627091266132E-3</v>
      </c>
      <c r="F1470" s="9">
        <f t="shared" si="67"/>
        <v>5.4732550510270206E-2</v>
      </c>
      <c r="G1470" s="9">
        <f t="shared" si="68"/>
        <v>1.3771577334696833E-2</v>
      </c>
    </row>
    <row r="1471" spans="1:7" x14ac:dyDescent="0.2">
      <c r="A1471" s="11">
        <v>37202</v>
      </c>
      <c r="B1471" s="10">
        <v>128.46459999999999</v>
      </c>
      <c r="E1471" s="13">
        <f t="shared" si="66"/>
        <v>8.6662802326900688E-3</v>
      </c>
      <c r="F1471" s="9">
        <f t="shared" si="67"/>
        <v>5.9871098900827521E-2</v>
      </c>
      <c r="G1471" s="9">
        <f t="shared" si="68"/>
        <v>1.3826385661330445E-2</v>
      </c>
    </row>
    <row r="1472" spans="1:7" x14ac:dyDescent="0.2">
      <c r="A1472" s="11">
        <v>37203</v>
      </c>
      <c r="B1472" s="10">
        <v>129.7824</v>
      </c>
      <c r="E1472" s="13">
        <f t="shared" si="66"/>
        <v>1.0205821855451179E-2</v>
      </c>
      <c r="F1472" s="9">
        <f t="shared" si="67"/>
        <v>5.3665903434199635E-2</v>
      </c>
      <c r="G1472" s="9">
        <f t="shared" si="68"/>
        <v>1.3643236696592906E-2</v>
      </c>
    </row>
    <row r="1473" spans="1:7" x14ac:dyDescent="0.2">
      <c r="A1473" s="11">
        <v>37204</v>
      </c>
      <c r="B1473" s="10">
        <v>130.82679999999999</v>
      </c>
      <c r="E1473" s="13">
        <f t="shared" si="66"/>
        <v>8.0151091457033342E-3</v>
      </c>
      <c r="F1473" s="9">
        <f t="shared" si="67"/>
        <v>8.2417107727879815E-2</v>
      </c>
      <c r="G1473" s="9">
        <f t="shared" si="68"/>
        <v>1.2971400149347816E-2</v>
      </c>
    </row>
    <row r="1474" spans="1:7" x14ac:dyDescent="0.2">
      <c r="A1474" s="11">
        <v>37207</v>
      </c>
      <c r="B1474" s="10">
        <v>127.5012</v>
      </c>
      <c r="E1474" s="13">
        <f t="shared" si="66"/>
        <v>-2.5748534682865729E-2</v>
      </c>
      <c r="F1474" s="9">
        <f t="shared" si="67"/>
        <v>5.4105391574149918E-2</v>
      </c>
      <c r="G1474" s="9">
        <f t="shared" si="68"/>
        <v>1.4016446506656314E-2</v>
      </c>
    </row>
    <row r="1475" spans="1:7" x14ac:dyDescent="0.2">
      <c r="A1475" s="11">
        <v>37208</v>
      </c>
      <c r="B1475" s="10">
        <v>131.07939999999999</v>
      </c>
      <c r="E1475" s="13">
        <f t="shared" si="66"/>
        <v>2.7677470143902316E-2</v>
      </c>
      <c r="F1475" s="9">
        <f t="shared" si="67"/>
        <v>9.0767015985002961E-2</v>
      </c>
      <c r="G1475" s="9">
        <f t="shared" si="68"/>
        <v>1.4642260437419254E-2</v>
      </c>
    </row>
    <row r="1476" spans="1:7" x14ac:dyDescent="0.2">
      <c r="A1476" s="11">
        <v>37209</v>
      </c>
      <c r="B1476" s="10">
        <v>132.67429999999999</v>
      </c>
      <c r="E1476" s="13">
        <f t="shared" ref="E1476:E1539" si="69">LN(B1476/B1475)</f>
        <v>1.2094006186742159E-2</v>
      </c>
      <c r="F1476" s="9">
        <f t="shared" si="67"/>
        <v>9.0994103085707947E-2</v>
      </c>
      <c r="G1476" s="9">
        <f t="shared" si="68"/>
        <v>1.4647159720268105E-2</v>
      </c>
    </row>
    <row r="1477" spans="1:7" x14ac:dyDescent="0.2">
      <c r="A1477" s="11">
        <v>37210</v>
      </c>
      <c r="B1477" s="10">
        <v>131.07560000000001</v>
      </c>
      <c r="E1477" s="13">
        <f t="shared" si="69"/>
        <v>-1.2122996669473815E-2</v>
      </c>
      <c r="F1477" s="9">
        <f t="shared" si="67"/>
        <v>9.333944461648408E-2</v>
      </c>
      <c r="G1477" s="9">
        <f t="shared" si="68"/>
        <v>1.4552646464562851E-2</v>
      </c>
    </row>
    <row r="1478" spans="1:7" x14ac:dyDescent="0.2">
      <c r="A1478" s="11">
        <v>37211</v>
      </c>
      <c r="B1478" s="10">
        <v>131.42060000000001</v>
      </c>
      <c r="E1478" s="13">
        <f t="shared" si="69"/>
        <v>2.628610994375162E-3</v>
      </c>
      <c r="F1478" s="9">
        <f t="shared" si="67"/>
        <v>0.10722683784410045</v>
      </c>
      <c r="G1478" s="9">
        <f t="shared" si="68"/>
        <v>1.4285269197471967E-2</v>
      </c>
    </row>
    <row r="1479" spans="1:7" x14ac:dyDescent="0.2">
      <c r="A1479" s="11">
        <v>37214</v>
      </c>
      <c r="B1479" s="10">
        <v>131.25290000000001</v>
      </c>
      <c r="E1479" s="13">
        <f t="shared" si="69"/>
        <v>-1.2768705087099035E-3</v>
      </c>
      <c r="F1479" s="9">
        <f t="shared" si="67"/>
        <v>0.10034474004852843</v>
      </c>
      <c r="G1479" s="9">
        <f t="shared" si="68"/>
        <v>1.4309588515234227E-2</v>
      </c>
    </row>
    <row r="1480" spans="1:7" x14ac:dyDescent="0.2">
      <c r="A1480" s="11">
        <v>37215</v>
      </c>
      <c r="B1480" s="10">
        <v>131.7826</v>
      </c>
      <c r="E1480" s="13">
        <f t="shared" si="69"/>
        <v>4.0275986780956225E-3</v>
      </c>
      <c r="F1480" s="9">
        <f t="shared" si="67"/>
        <v>9.6904604403627345E-2</v>
      </c>
      <c r="G1480" s="9">
        <f t="shared" si="68"/>
        <v>1.4289424571528245E-2</v>
      </c>
    </row>
    <row r="1481" spans="1:7" x14ac:dyDescent="0.2">
      <c r="A1481" s="11">
        <v>37216</v>
      </c>
      <c r="B1481" s="10">
        <v>130.512</v>
      </c>
      <c r="E1481" s="13">
        <f t="shared" si="69"/>
        <v>-9.6884185856032663E-3</v>
      </c>
      <c r="F1481" s="9">
        <f t="shared" si="67"/>
        <v>6.2895476268547343E-2</v>
      </c>
      <c r="G1481" s="9">
        <f t="shared" si="68"/>
        <v>1.389633172049287E-2</v>
      </c>
    </row>
    <row r="1482" spans="1:7" x14ac:dyDescent="0.2">
      <c r="A1482" s="11">
        <v>37217</v>
      </c>
      <c r="B1482" s="10">
        <v>132.16720000000001</v>
      </c>
      <c r="E1482" s="13">
        <f t="shared" si="69"/>
        <v>1.2602611149379939E-2</v>
      </c>
      <c r="F1482" s="9">
        <f t="shared" si="67"/>
        <v>8.4025138107213376E-2</v>
      </c>
      <c r="G1482" s="9">
        <f t="shared" si="68"/>
        <v>1.3869406872892653E-2</v>
      </c>
    </row>
    <row r="1483" spans="1:7" x14ac:dyDescent="0.2">
      <c r="A1483" s="11">
        <v>37218</v>
      </c>
      <c r="B1483" s="10">
        <v>131.51679999999999</v>
      </c>
      <c r="E1483" s="13">
        <f t="shared" si="69"/>
        <v>-4.9331875959793096E-3</v>
      </c>
      <c r="F1483" s="9">
        <f t="shared" si="67"/>
        <v>9.5501124211300414E-2</v>
      </c>
      <c r="G1483" s="9">
        <f t="shared" si="68"/>
        <v>1.345644440027219E-2</v>
      </c>
    </row>
    <row r="1484" spans="1:7" x14ac:dyDescent="0.2">
      <c r="A1484" s="11">
        <v>37221</v>
      </c>
      <c r="B1484" s="10">
        <v>132.47829999999999</v>
      </c>
      <c r="E1484" s="13">
        <f t="shared" si="69"/>
        <v>7.2842583173878539E-3</v>
      </c>
      <c r="F1484" s="9">
        <f t="shared" si="67"/>
        <v>9.0963906327553024E-2</v>
      </c>
      <c r="G1484" s="9">
        <f t="shared" si="68"/>
        <v>1.3379904625814825E-2</v>
      </c>
    </row>
    <row r="1485" spans="1:7" x14ac:dyDescent="0.2">
      <c r="A1485" s="11">
        <v>37222</v>
      </c>
      <c r="B1485" s="10">
        <v>133.1268</v>
      </c>
      <c r="E1485" s="13">
        <f t="shared" si="69"/>
        <v>4.8831990700273576E-3</v>
      </c>
      <c r="F1485" s="9">
        <f t="shared" si="67"/>
        <v>7.3453287452506913E-2</v>
      </c>
      <c r="G1485" s="9">
        <f t="shared" si="68"/>
        <v>1.2865029795266401E-2</v>
      </c>
    </row>
    <row r="1486" spans="1:7" x14ac:dyDescent="0.2">
      <c r="A1486" s="11">
        <v>37223</v>
      </c>
      <c r="B1486" s="10">
        <v>132.69880000000001</v>
      </c>
      <c r="E1486" s="13">
        <f t="shared" si="69"/>
        <v>-3.2201591557980578E-3</v>
      </c>
      <c r="F1486" s="9">
        <f t="shared" si="67"/>
        <v>8.8706875576611513E-2</v>
      </c>
      <c r="G1486" s="9">
        <f t="shared" si="68"/>
        <v>1.2273734891889673E-2</v>
      </c>
    </row>
    <row r="1487" spans="1:7" x14ac:dyDescent="0.2">
      <c r="A1487" s="11">
        <v>37224</v>
      </c>
      <c r="B1487" s="10">
        <v>132.71960000000001</v>
      </c>
      <c r="E1487" s="13">
        <f t="shared" si="69"/>
        <v>1.5673367063157799E-4</v>
      </c>
      <c r="F1487" s="9">
        <f t="shared" si="67"/>
        <v>0.1022738878343304</v>
      </c>
      <c r="G1487" s="9">
        <f t="shared" si="68"/>
        <v>1.187568156371442E-2</v>
      </c>
    </row>
    <row r="1488" spans="1:7" x14ac:dyDescent="0.2">
      <c r="A1488" s="11">
        <v>37225</v>
      </c>
      <c r="B1488" s="10">
        <v>133.76589999999999</v>
      </c>
      <c r="E1488" s="13">
        <f t="shared" si="69"/>
        <v>7.8526252014250487E-3</v>
      </c>
      <c r="F1488" s="9">
        <f t="shared" si="67"/>
        <v>9.6964959118331473E-2</v>
      </c>
      <c r="G1488" s="9">
        <f t="shared" si="68"/>
        <v>1.176223061596696E-2</v>
      </c>
    </row>
    <row r="1489" spans="1:7" x14ac:dyDescent="0.2">
      <c r="A1489" s="11">
        <v>37228</v>
      </c>
      <c r="B1489" s="10">
        <v>133.2569</v>
      </c>
      <c r="E1489" s="13">
        <f t="shared" si="69"/>
        <v>-3.8124131460281854E-3</v>
      </c>
      <c r="F1489" s="9">
        <f t="shared" si="67"/>
        <v>7.8645944847319141E-2</v>
      </c>
      <c r="G1489" s="9">
        <f t="shared" si="68"/>
        <v>1.1632507758978304E-2</v>
      </c>
    </row>
    <row r="1490" spans="1:7" x14ac:dyDescent="0.2">
      <c r="A1490" s="11">
        <v>37229</v>
      </c>
      <c r="B1490" s="10">
        <v>134.84800000000001</v>
      </c>
      <c r="E1490" s="13">
        <f t="shared" si="69"/>
        <v>1.1869374112452934E-2</v>
      </c>
      <c r="F1490" s="9">
        <f t="shared" si="67"/>
        <v>8.2861512737736925E-2</v>
      </c>
      <c r="G1490" s="9">
        <f t="shared" si="68"/>
        <v>1.172246086610697E-2</v>
      </c>
    </row>
    <row r="1491" spans="1:7" x14ac:dyDescent="0.2">
      <c r="A1491" s="11">
        <v>37230</v>
      </c>
      <c r="B1491" s="10">
        <v>136.88220000000001</v>
      </c>
      <c r="E1491" s="13">
        <f t="shared" si="69"/>
        <v>1.4972483745291806E-2</v>
      </c>
      <c r="F1491" s="9">
        <f t="shared" si="67"/>
        <v>0.11082764769332631</v>
      </c>
      <c r="G1491" s="9">
        <f t="shared" si="68"/>
        <v>1.1520489110330146E-2</v>
      </c>
    </row>
    <row r="1492" spans="1:7" x14ac:dyDescent="0.2">
      <c r="A1492" s="11">
        <v>37231</v>
      </c>
      <c r="B1492" s="10">
        <v>136.82939999999999</v>
      </c>
      <c r="E1492" s="13">
        <f t="shared" si="69"/>
        <v>-3.8580754819997007E-4</v>
      </c>
      <c r="F1492" s="9">
        <f t="shared" si="67"/>
        <v>8.7728784765810613E-2</v>
      </c>
      <c r="G1492" s="9">
        <f t="shared" si="68"/>
        <v>1.0952210128702636E-2</v>
      </c>
    </row>
    <row r="1493" spans="1:7" x14ac:dyDescent="0.2">
      <c r="A1493" s="11">
        <v>37232</v>
      </c>
      <c r="B1493" s="10">
        <v>136.26570000000001</v>
      </c>
      <c r="E1493" s="13">
        <f t="shared" si="69"/>
        <v>-4.1282381160565561E-3</v>
      </c>
      <c r="F1493" s="9">
        <f t="shared" si="67"/>
        <v>8.097190072065627E-2</v>
      </c>
      <c r="G1493" s="9">
        <f t="shared" si="68"/>
        <v>1.1032524227728673E-2</v>
      </c>
    </row>
    <row r="1494" spans="1:7" x14ac:dyDescent="0.2">
      <c r="A1494" s="11">
        <v>37235</v>
      </c>
      <c r="B1494" s="10">
        <v>135.8717</v>
      </c>
      <c r="E1494" s="13">
        <f t="shared" si="69"/>
        <v>-2.895598144839133E-3</v>
      </c>
      <c r="F1494" s="9">
        <f t="shared" si="67"/>
        <v>8.2391426896580758E-2</v>
      </c>
      <c r="G1494" s="9">
        <f t="shared" si="68"/>
        <v>1.1002974002877365E-2</v>
      </c>
    </row>
    <row r="1495" spans="1:7" x14ac:dyDescent="0.2">
      <c r="A1495" s="11">
        <v>37236</v>
      </c>
      <c r="B1495" s="10">
        <v>135.9</v>
      </c>
      <c r="E1495" s="13">
        <f t="shared" si="69"/>
        <v>2.0826303917794757E-4</v>
      </c>
      <c r="F1495" s="9">
        <f t="shared" si="67"/>
        <v>8.1004170466627445E-2</v>
      </c>
      <c r="G1495" s="9">
        <f t="shared" si="68"/>
        <v>1.1011594840976411E-2</v>
      </c>
    </row>
    <row r="1496" spans="1:7" x14ac:dyDescent="0.2">
      <c r="A1496" s="11">
        <v>37237</v>
      </c>
      <c r="B1496" s="10">
        <v>136.5334</v>
      </c>
      <c r="E1496" s="13">
        <f t="shared" si="69"/>
        <v>4.6499521812211628E-3</v>
      </c>
      <c r="F1496" s="9">
        <f t="shared" si="67"/>
        <v>9.8933947875833164E-2</v>
      </c>
      <c r="G1496" s="9">
        <f t="shared" si="68"/>
        <v>1.0571465078655548E-2</v>
      </c>
    </row>
    <row r="1497" spans="1:7" x14ac:dyDescent="0.2">
      <c r="A1497" s="11">
        <v>37238</v>
      </c>
      <c r="B1497" s="10">
        <v>134.30699999999999</v>
      </c>
      <c r="E1497" s="13">
        <f t="shared" si="69"/>
        <v>-1.6441049052768886E-2</v>
      </c>
      <c r="F1497" s="9">
        <f t="shared" si="67"/>
        <v>8.3698422044715115E-2</v>
      </c>
      <c r="G1497" s="9">
        <f t="shared" si="68"/>
        <v>1.1170700770276385E-2</v>
      </c>
    </row>
    <row r="1498" spans="1:7" x14ac:dyDescent="0.2">
      <c r="A1498" s="11">
        <v>37239</v>
      </c>
      <c r="B1498" s="10">
        <v>134.33150000000001</v>
      </c>
      <c r="E1498" s="13">
        <f t="shared" si="69"/>
        <v>1.8240125721327943E-4</v>
      </c>
      <c r="F1498" s="9">
        <f t="shared" si="67"/>
        <v>5.9798788483972416E-2</v>
      </c>
      <c r="G1498" s="9">
        <f t="shared" si="68"/>
        <v>1.0406584642505936E-2</v>
      </c>
    </row>
    <row r="1499" spans="1:7" x14ac:dyDescent="0.2">
      <c r="A1499" s="11">
        <v>37242</v>
      </c>
      <c r="B1499" s="10">
        <v>132.41980000000001</v>
      </c>
      <c r="E1499" s="13">
        <f t="shared" si="69"/>
        <v>-1.4333446393073192E-2</v>
      </c>
      <c r="F1499" s="9">
        <f t="shared" si="67"/>
        <v>3.8990079381772659E-2</v>
      </c>
      <c r="G1499" s="9">
        <f t="shared" si="68"/>
        <v>1.0801322504464247E-2</v>
      </c>
    </row>
    <row r="1500" spans="1:7" x14ac:dyDescent="0.2">
      <c r="A1500" s="11">
        <v>37243</v>
      </c>
      <c r="B1500" s="10">
        <v>133.042</v>
      </c>
      <c r="E1500" s="13">
        <f t="shared" si="69"/>
        <v>4.68768869474638E-3</v>
      </c>
      <c r="F1500" s="9">
        <f t="shared" si="67"/>
        <v>3.5011487843829125E-2</v>
      </c>
      <c r="G1500" s="9">
        <f t="shared" si="68"/>
        <v>1.073003527316504E-2</v>
      </c>
    </row>
    <row r="1501" spans="1:7" x14ac:dyDescent="0.2">
      <c r="A1501" s="11">
        <v>37244</v>
      </c>
      <c r="B1501" s="10">
        <v>131.9391</v>
      </c>
      <c r="E1501" s="13">
        <f t="shared" si="69"/>
        <v>-8.3244153553781695E-3</v>
      </c>
      <c r="F1501" s="9">
        <f t="shared" si="67"/>
        <v>1.6481250632999829E-2</v>
      </c>
      <c r="G1501" s="9">
        <f t="shared" si="68"/>
        <v>1.0726772234040057E-2</v>
      </c>
    </row>
    <row r="1502" spans="1:7" x14ac:dyDescent="0.2">
      <c r="A1502" s="11">
        <v>37245</v>
      </c>
      <c r="B1502" s="10">
        <v>133.73759999999999</v>
      </c>
      <c r="E1502" s="13">
        <f t="shared" si="69"/>
        <v>1.3539218708819712E-2</v>
      </c>
      <c r="F1502" s="9">
        <f t="shared" si="67"/>
        <v>2.2005360196116305E-2</v>
      </c>
      <c r="G1502" s="9">
        <f t="shared" si="68"/>
        <v>1.0911198832802085E-2</v>
      </c>
    </row>
    <row r="1503" spans="1:7" x14ac:dyDescent="0.2">
      <c r="A1503" s="11">
        <v>37246</v>
      </c>
      <c r="B1503" s="10">
        <v>135.33250000000001</v>
      </c>
      <c r="E1503" s="13">
        <f t="shared" si="69"/>
        <v>1.1855042081318341E-2</v>
      </c>
      <c r="F1503" s="9">
        <f t="shared" si="67"/>
        <v>5.9608936960300431E-2</v>
      </c>
      <c r="G1503" s="9">
        <f t="shared" si="68"/>
        <v>9.8293420791221511E-3</v>
      </c>
    </row>
    <row r="1504" spans="1:7" x14ac:dyDescent="0.2">
      <c r="A1504" s="11">
        <v>37252</v>
      </c>
      <c r="B1504" s="10">
        <v>139.11060000000001</v>
      </c>
      <c r="E1504" s="13">
        <f t="shared" si="69"/>
        <v>2.7534586916472304E-2</v>
      </c>
      <c r="F1504" s="9">
        <f t="shared" ref="F1504:F1567" si="70">LN(B1504/B1475)</f>
        <v>5.9466053732870575E-2</v>
      </c>
      <c r="G1504" s="9">
        <f t="shared" si="68"/>
        <v>9.8160670883840513E-3</v>
      </c>
    </row>
    <row r="1505" spans="1:7" x14ac:dyDescent="0.2">
      <c r="A1505" s="11">
        <v>37253</v>
      </c>
      <c r="B1505" s="10">
        <v>140.07390000000001</v>
      </c>
      <c r="E1505" s="13">
        <f t="shared" si="69"/>
        <v>6.9008402889175566E-3</v>
      </c>
      <c r="F1505" s="9">
        <f t="shared" si="70"/>
        <v>5.4272887835045913E-2</v>
      </c>
      <c r="G1505" s="9">
        <f t="shared" ref="G1505:G1568" si="71">STDEV(E1477:E1505)</f>
        <v>9.672621934860454E-3</v>
      </c>
    </row>
    <row r="1506" spans="1:7" x14ac:dyDescent="0.2">
      <c r="A1506" s="11">
        <v>37258</v>
      </c>
      <c r="B1506" s="10">
        <v>140.63759999999999</v>
      </c>
      <c r="E1506" s="13">
        <f t="shared" si="69"/>
        <v>4.0162284602575978E-3</v>
      </c>
      <c r="F1506" s="9">
        <f t="shared" si="70"/>
        <v>7.0412112964777271E-2</v>
      </c>
      <c r="G1506" s="9">
        <f t="shared" si="71"/>
        <v>9.2956248249643769E-3</v>
      </c>
    </row>
    <row r="1507" spans="1:7" x14ac:dyDescent="0.2">
      <c r="A1507" s="11">
        <v>37259</v>
      </c>
      <c r="B1507" s="10">
        <v>142.0855</v>
      </c>
      <c r="E1507" s="13">
        <f t="shared" si="69"/>
        <v>1.024262013536594E-2</v>
      </c>
      <c r="F1507" s="9">
        <f t="shared" si="70"/>
        <v>7.802612210576787E-2</v>
      </c>
      <c r="G1507" s="9">
        <f t="shared" si="71"/>
        <v>9.4083375921971742E-3</v>
      </c>
    </row>
    <row r="1508" spans="1:7" x14ac:dyDescent="0.2">
      <c r="A1508" s="11">
        <v>37260</v>
      </c>
      <c r="B1508" s="10">
        <v>143.5428</v>
      </c>
      <c r="E1508" s="13">
        <f t="shared" si="69"/>
        <v>1.020425948915967E-2</v>
      </c>
      <c r="F1508" s="9">
        <f t="shared" si="70"/>
        <v>8.9507252103637358E-2</v>
      </c>
      <c r="G1508" s="9">
        <f t="shared" si="71"/>
        <v>9.476739818108643E-3</v>
      </c>
    </row>
    <row r="1509" spans="1:7" x14ac:dyDescent="0.2">
      <c r="A1509" s="11">
        <v>37263</v>
      </c>
      <c r="B1509" s="10">
        <v>142.6379</v>
      </c>
      <c r="E1509" s="13">
        <f t="shared" si="69"/>
        <v>-6.3239975008745654E-3</v>
      </c>
      <c r="F1509" s="9">
        <f t="shared" si="70"/>
        <v>7.9155655924667251E-2</v>
      </c>
      <c r="G1509" s="9">
        <f t="shared" si="71"/>
        <v>9.6336772001710032E-3</v>
      </c>
    </row>
    <row r="1510" spans="1:7" x14ac:dyDescent="0.2">
      <c r="A1510" s="11">
        <v>37264</v>
      </c>
      <c r="B1510" s="10">
        <v>140.69980000000001</v>
      </c>
      <c r="E1510" s="13">
        <f t="shared" si="69"/>
        <v>-1.3680708413269942E-2</v>
      </c>
      <c r="F1510" s="9">
        <f t="shared" si="70"/>
        <v>7.51633660970005E-2</v>
      </c>
      <c r="G1510" s="9">
        <f t="shared" si="71"/>
        <v>9.8437023032386349E-3</v>
      </c>
    </row>
    <row r="1511" spans="1:7" x14ac:dyDescent="0.2">
      <c r="A1511" s="11">
        <v>37265</v>
      </c>
      <c r="B1511" s="10">
        <v>141.0693</v>
      </c>
      <c r="E1511" s="13">
        <f t="shared" si="69"/>
        <v>2.6227163433093603E-3</v>
      </c>
      <c r="F1511" s="9">
        <f t="shared" si="70"/>
        <v>6.5183471290929967E-2</v>
      </c>
      <c r="G1511" s="9">
        <f t="shared" si="71"/>
        <v>9.6538450802998426E-3</v>
      </c>
    </row>
    <row r="1512" spans="1:7" x14ac:dyDescent="0.2">
      <c r="A1512" s="11">
        <v>37266</v>
      </c>
      <c r="B1512" s="10">
        <v>140.32660000000001</v>
      </c>
      <c r="E1512" s="13">
        <f t="shared" si="69"/>
        <v>-5.2786961330122187E-3</v>
      </c>
      <c r="F1512" s="9">
        <f t="shared" si="70"/>
        <v>6.4837962753896999E-2</v>
      </c>
      <c r="G1512" s="9">
        <f t="shared" si="71"/>
        <v>9.663232369420351E-3</v>
      </c>
    </row>
    <row r="1513" spans="1:7" x14ac:dyDescent="0.2">
      <c r="A1513" s="11">
        <v>37267</v>
      </c>
      <c r="B1513" s="10">
        <v>140.21530000000001</v>
      </c>
      <c r="E1513" s="13">
        <f t="shared" si="69"/>
        <v>-7.9346440470679533E-4</v>
      </c>
      <c r="F1513" s="9">
        <f t="shared" si="70"/>
        <v>5.6760240031802162E-2</v>
      </c>
      <c r="G1513" s="9">
        <f t="shared" si="71"/>
        <v>9.6288722601035135E-3</v>
      </c>
    </row>
    <row r="1514" spans="1:7" x14ac:dyDescent="0.2">
      <c r="A1514" s="11">
        <v>37270</v>
      </c>
      <c r="B1514" s="10">
        <v>139.79300000000001</v>
      </c>
      <c r="E1514" s="13">
        <f t="shared" si="69"/>
        <v>-3.0163414454846145E-3</v>
      </c>
      <c r="F1514" s="9">
        <f t="shared" si="70"/>
        <v>4.8860699516290192E-2</v>
      </c>
      <c r="G1514" s="9">
        <f t="shared" si="71"/>
        <v>9.6548445979236317E-3</v>
      </c>
    </row>
    <row r="1515" spans="1:7" x14ac:dyDescent="0.2">
      <c r="A1515" s="11">
        <v>37271</v>
      </c>
      <c r="B1515" s="10">
        <v>136.32419999999999</v>
      </c>
      <c r="E1515" s="13">
        <f t="shared" si="69"/>
        <v>-2.5126884549784241E-2</v>
      </c>
      <c r="F1515" s="9">
        <f t="shared" si="70"/>
        <v>2.6953974122304044E-2</v>
      </c>
      <c r="G1515" s="9">
        <f t="shared" si="71"/>
        <v>1.0836957784022227E-2</v>
      </c>
    </row>
    <row r="1516" spans="1:7" x14ac:dyDescent="0.2">
      <c r="A1516" s="11">
        <v>37272</v>
      </c>
      <c r="B1516" s="10">
        <v>134.45779999999999</v>
      </c>
      <c r="E1516" s="13">
        <f t="shared" si="69"/>
        <v>-1.3785477301780121E-2</v>
      </c>
      <c r="F1516" s="9">
        <f t="shared" si="70"/>
        <v>1.3011763149892408E-2</v>
      </c>
      <c r="G1516" s="9">
        <f t="shared" si="71"/>
        <v>1.1176408979284418E-2</v>
      </c>
    </row>
    <row r="1517" spans="1:7" x14ac:dyDescent="0.2">
      <c r="A1517" s="11">
        <v>37273</v>
      </c>
      <c r="B1517" s="10">
        <v>136.02629999999999</v>
      </c>
      <c r="E1517" s="13">
        <f t="shared" si="69"/>
        <v>1.1597854229269686E-2</v>
      </c>
      <c r="F1517" s="9">
        <f t="shared" si="70"/>
        <v>1.6756992177736924E-2</v>
      </c>
      <c r="G1517" s="9">
        <f t="shared" si="71"/>
        <v>1.128611866159388E-2</v>
      </c>
    </row>
    <row r="1518" spans="1:7" x14ac:dyDescent="0.2">
      <c r="A1518" s="11">
        <v>37274</v>
      </c>
      <c r="B1518" s="10">
        <v>135.1968</v>
      </c>
      <c r="E1518" s="13">
        <f t="shared" si="69"/>
        <v>-6.1167547033324117E-3</v>
      </c>
      <c r="F1518" s="9">
        <f t="shared" si="70"/>
        <v>1.4452650620432658E-2</v>
      </c>
      <c r="G1518" s="9">
        <f t="shared" si="71"/>
        <v>1.1326172910592038E-2</v>
      </c>
    </row>
    <row r="1519" spans="1:7" x14ac:dyDescent="0.2">
      <c r="A1519" s="11">
        <v>37277</v>
      </c>
      <c r="B1519" s="10">
        <v>135.1044</v>
      </c>
      <c r="E1519" s="13">
        <f t="shared" si="69"/>
        <v>-6.8368178609006457E-4</v>
      </c>
      <c r="F1519" s="9">
        <f t="shared" si="70"/>
        <v>1.8995947218898093E-3</v>
      </c>
      <c r="G1519" s="9">
        <f t="shared" si="71"/>
        <v>1.1113963346766476E-2</v>
      </c>
    </row>
    <row r="1520" spans="1:7" x14ac:dyDescent="0.2">
      <c r="A1520" s="11">
        <v>37278</v>
      </c>
      <c r="B1520" s="10">
        <v>135.9075</v>
      </c>
      <c r="E1520" s="13">
        <f t="shared" si="69"/>
        <v>5.92669436867173E-3</v>
      </c>
      <c r="F1520" s="9">
        <f t="shared" si="70"/>
        <v>-7.1461946547303461E-3</v>
      </c>
      <c r="G1520" s="9">
        <f t="shared" si="71"/>
        <v>1.0803238557172455E-2</v>
      </c>
    </row>
    <row r="1521" spans="1:7" x14ac:dyDescent="0.2">
      <c r="A1521" s="11">
        <v>37279</v>
      </c>
      <c r="B1521" s="10">
        <v>134.94229999999999</v>
      </c>
      <c r="E1521" s="13">
        <f t="shared" si="69"/>
        <v>-7.1272276058436772E-3</v>
      </c>
      <c r="F1521" s="9">
        <f t="shared" si="70"/>
        <v>-1.3887614712373975E-2</v>
      </c>
      <c r="G1521" s="9">
        <f t="shared" si="71"/>
        <v>1.0878612571625241E-2</v>
      </c>
    </row>
    <row r="1522" spans="1:7" x14ac:dyDescent="0.2">
      <c r="A1522" s="11">
        <v>37280</v>
      </c>
      <c r="B1522" s="10">
        <v>137.0745</v>
      </c>
      <c r="E1522" s="13">
        <f t="shared" si="69"/>
        <v>1.5677293978863478E-2</v>
      </c>
      <c r="F1522" s="9">
        <f t="shared" si="70"/>
        <v>5.9179173825460105E-3</v>
      </c>
      <c r="G1522" s="9">
        <f t="shared" si="71"/>
        <v>1.1256452146540964E-2</v>
      </c>
    </row>
    <row r="1523" spans="1:7" x14ac:dyDescent="0.2">
      <c r="A1523" s="11">
        <v>37281</v>
      </c>
      <c r="B1523" s="10">
        <v>136.65219999999999</v>
      </c>
      <c r="E1523" s="13">
        <f t="shared" si="69"/>
        <v>-3.0855618764919659E-3</v>
      </c>
      <c r="F1523" s="9">
        <f t="shared" si="70"/>
        <v>5.7279536508932204E-3</v>
      </c>
      <c r="G1523" s="9">
        <f t="shared" si="71"/>
        <v>1.1258375465487877E-2</v>
      </c>
    </row>
    <row r="1524" spans="1:7" x14ac:dyDescent="0.2">
      <c r="A1524" s="11">
        <v>37284</v>
      </c>
      <c r="B1524" s="10">
        <v>138.07560000000001</v>
      </c>
      <c r="E1524" s="13">
        <f t="shared" si="69"/>
        <v>1.0362349473418134E-2</v>
      </c>
      <c r="F1524" s="9">
        <f t="shared" si="70"/>
        <v>1.5882040085133262E-2</v>
      </c>
      <c r="G1524" s="9">
        <f t="shared" si="71"/>
        <v>1.1415523387075273E-2</v>
      </c>
    </row>
    <row r="1525" spans="1:7" x14ac:dyDescent="0.2">
      <c r="A1525" s="11">
        <v>37285</v>
      </c>
      <c r="B1525" s="10">
        <v>137.9134</v>
      </c>
      <c r="E1525" s="13">
        <f t="shared" si="69"/>
        <v>-1.1754093001855731E-3</v>
      </c>
      <c r="F1525" s="9">
        <f t="shared" si="70"/>
        <v>1.0056678603726494E-2</v>
      </c>
      <c r="G1525" s="9">
        <f t="shared" si="71"/>
        <v>1.1391987844509312E-2</v>
      </c>
    </row>
    <row r="1526" spans="1:7" x14ac:dyDescent="0.2">
      <c r="A1526" s="11">
        <v>37286</v>
      </c>
      <c r="B1526" s="10">
        <v>135.6078</v>
      </c>
      <c r="E1526" s="13">
        <f t="shared" si="69"/>
        <v>-1.6859055966190698E-2</v>
      </c>
      <c r="F1526" s="9">
        <f t="shared" si="70"/>
        <v>9.6386716903047228E-3</v>
      </c>
      <c r="G1526" s="9">
        <f t="shared" si="71"/>
        <v>1.1414230467928478E-2</v>
      </c>
    </row>
    <row r="1527" spans="1:7" x14ac:dyDescent="0.2">
      <c r="A1527" s="11">
        <v>37287</v>
      </c>
      <c r="B1527" s="10">
        <v>136.90479999999999</v>
      </c>
      <c r="E1527" s="13">
        <f t="shared" si="69"/>
        <v>9.5188977930036663E-3</v>
      </c>
      <c r="F1527" s="9">
        <f t="shared" si="70"/>
        <v>1.8975168226095081E-2</v>
      </c>
      <c r="G1527" s="9">
        <f t="shared" si="71"/>
        <v>1.1540819438698339E-2</v>
      </c>
    </row>
    <row r="1528" spans="1:7" x14ac:dyDescent="0.2">
      <c r="A1528" s="11">
        <v>37288</v>
      </c>
      <c r="B1528" s="10">
        <v>137.12350000000001</v>
      </c>
      <c r="E1528" s="13">
        <f t="shared" si="69"/>
        <v>1.59618584236618E-3</v>
      </c>
      <c r="F1528" s="9">
        <f t="shared" si="70"/>
        <v>3.4904800461534373E-2</v>
      </c>
      <c r="G1528" s="9">
        <f t="shared" si="71"/>
        <v>1.1175288995476658E-2</v>
      </c>
    </row>
    <row r="1529" spans="1:7" x14ac:dyDescent="0.2">
      <c r="A1529" s="11">
        <v>37291</v>
      </c>
      <c r="B1529" s="10">
        <v>137.06700000000001</v>
      </c>
      <c r="E1529" s="13">
        <f t="shared" si="69"/>
        <v>-4.1212223472142308E-4</v>
      </c>
      <c r="F1529" s="9">
        <f t="shared" si="70"/>
        <v>2.980498953206662E-2</v>
      </c>
      <c r="G1529" s="9">
        <f t="shared" si="71"/>
        <v>1.1158618307339848E-2</v>
      </c>
    </row>
    <row r="1530" spans="1:7" x14ac:dyDescent="0.2">
      <c r="A1530" s="11">
        <v>37292</v>
      </c>
      <c r="B1530" s="10">
        <v>135.41739999999999</v>
      </c>
      <c r="E1530" s="13">
        <f t="shared" si="69"/>
        <v>-1.2107997030713729E-2</v>
      </c>
      <c r="F1530" s="9">
        <f t="shared" si="70"/>
        <v>2.6021407856730981E-2</v>
      </c>
      <c r="G1530" s="9">
        <f t="shared" si="71"/>
        <v>1.1293178454485771E-2</v>
      </c>
    </row>
    <row r="1531" spans="1:7" x14ac:dyDescent="0.2">
      <c r="A1531" s="11">
        <v>37293</v>
      </c>
      <c r="B1531" s="10">
        <v>135.60210000000001</v>
      </c>
      <c r="E1531" s="13">
        <f t="shared" si="69"/>
        <v>1.3630017662512068E-3</v>
      </c>
      <c r="F1531" s="9">
        <f t="shared" si="70"/>
        <v>1.3845190914162449E-2</v>
      </c>
      <c r="G1531" s="9">
        <f t="shared" si="71"/>
        <v>1.1029652776527701E-2</v>
      </c>
    </row>
    <row r="1532" spans="1:7" x14ac:dyDescent="0.2">
      <c r="A1532" s="11">
        <v>37294</v>
      </c>
      <c r="B1532" s="10">
        <v>135.14779999999999</v>
      </c>
      <c r="E1532" s="13">
        <f t="shared" si="69"/>
        <v>-3.3558677314728387E-3</v>
      </c>
      <c r="F1532" s="9">
        <f t="shared" si="70"/>
        <v>-1.3657188986286129E-3</v>
      </c>
      <c r="G1532" s="9">
        <f t="shared" si="71"/>
        <v>1.0829121147707364E-2</v>
      </c>
    </row>
    <row r="1533" spans="1:7" x14ac:dyDescent="0.2">
      <c r="A1533" s="11">
        <v>37295</v>
      </c>
      <c r="B1533" s="10">
        <v>133.98840000000001</v>
      </c>
      <c r="E1533" s="13">
        <f t="shared" si="69"/>
        <v>-8.6157653409889377E-3</v>
      </c>
      <c r="F1533" s="9">
        <f t="shared" si="70"/>
        <v>-3.7516071156090049E-2</v>
      </c>
      <c r="G1533" s="9">
        <f t="shared" si="71"/>
        <v>9.5453158226552273E-3</v>
      </c>
    </row>
    <row r="1534" spans="1:7" x14ac:dyDescent="0.2">
      <c r="A1534" s="11">
        <v>37298</v>
      </c>
      <c r="B1534" s="10">
        <v>134.8329</v>
      </c>
      <c r="E1534" s="13">
        <f t="shared" si="69"/>
        <v>6.2830049414409903E-3</v>
      </c>
      <c r="F1534" s="9">
        <f t="shared" si="70"/>
        <v>-3.8133906503566538E-2</v>
      </c>
      <c r="G1534" s="9">
        <f t="shared" si="71"/>
        <v>9.5270449119584447E-3</v>
      </c>
    </row>
    <row r="1535" spans="1:7" x14ac:dyDescent="0.2">
      <c r="A1535" s="11">
        <v>37299</v>
      </c>
      <c r="B1535" s="10">
        <v>134.65199999999999</v>
      </c>
      <c r="E1535" s="13">
        <f t="shared" si="69"/>
        <v>-1.3425615102906404E-3</v>
      </c>
      <c r="F1535" s="9">
        <f t="shared" si="70"/>
        <v>-4.3492696474114891E-2</v>
      </c>
      <c r="G1535" s="9">
        <f t="shared" si="71"/>
        <v>9.4717574764082765E-3</v>
      </c>
    </row>
    <row r="1536" spans="1:7" x14ac:dyDescent="0.2">
      <c r="A1536" s="11">
        <v>37300</v>
      </c>
      <c r="B1536" s="10">
        <v>135.7869</v>
      </c>
      <c r="E1536" s="13">
        <f t="shared" si="69"/>
        <v>8.39307261050155E-3</v>
      </c>
      <c r="F1536" s="9">
        <f t="shared" si="70"/>
        <v>-4.5342243998979188E-2</v>
      </c>
      <c r="G1536" s="9">
        <f t="shared" si="71"/>
        <v>9.3957894093362158E-3</v>
      </c>
    </row>
    <row r="1537" spans="1:7" x14ac:dyDescent="0.2">
      <c r="A1537" s="11">
        <v>37301</v>
      </c>
      <c r="B1537" s="10">
        <v>136.36750000000001</v>
      </c>
      <c r="E1537" s="13">
        <f t="shared" si="69"/>
        <v>4.2667021426519873E-3</v>
      </c>
      <c r="F1537" s="9">
        <f t="shared" si="70"/>
        <v>-5.1279801345486792E-2</v>
      </c>
      <c r="G1537" s="9">
        <f t="shared" si="71"/>
        <v>9.1926973249699152E-3</v>
      </c>
    </row>
    <row r="1538" spans="1:7" x14ac:dyDescent="0.2">
      <c r="A1538" s="11">
        <v>37302</v>
      </c>
      <c r="B1538" s="10">
        <v>135.7492</v>
      </c>
      <c r="E1538" s="13">
        <f t="shared" si="69"/>
        <v>-4.5443816132067338E-3</v>
      </c>
      <c r="F1538" s="9">
        <f t="shared" si="70"/>
        <v>-4.9500185457818896E-2</v>
      </c>
      <c r="G1538" s="9">
        <f t="shared" si="71"/>
        <v>9.1671036205627655E-3</v>
      </c>
    </row>
    <row r="1539" spans="1:7" x14ac:dyDescent="0.2">
      <c r="A1539" s="11">
        <v>37305</v>
      </c>
      <c r="B1539" s="10">
        <v>135.1516</v>
      </c>
      <c r="E1539" s="13">
        <f t="shared" si="69"/>
        <v>-4.4119542605532188E-3</v>
      </c>
      <c r="F1539" s="9">
        <f t="shared" si="70"/>
        <v>-4.0231431305102129E-2</v>
      </c>
      <c r="G1539" s="9">
        <f t="shared" si="71"/>
        <v>8.8921814862564317E-3</v>
      </c>
    </row>
    <row r="1540" spans="1:7" x14ac:dyDescent="0.2">
      <c r="A1540" s="11">
        <v>37306</v>
      </c>
      <c r="B1540" s="10">
        <v>134.14109999999999</v>
      </c>
      <c r="E1540" s="13">
        <f t="shared" ref="E1540:E1603" si="72">LN(B1540/B1539)</f>
        <v>-7.5048803245001874E-3</v>
      </c>
      <c r="F1540" s="9">
        <f t="shared" si="70"/>
        <v>-5.0359027972911641E-2</v>
      </c>
      <c r="G1540" s="9">
        <f t="shared" si="71"/>
        <v>8.9278714368789761E-3</v>
      </c>
    </row>
    <row r="1541" spans="1:7" x14ac:dyDescent="0.2">
      <c r="A1541" s="11">
        <v>37307</v>
      </c>
      <c r="B1541" s="10">
        <v>133.71119999999999</v>
      </c>
      <c r="E1541" s="13">
        <f t="shared" si="72"/>
        <v>-3.2099807926973529E-3</v>
      </c>
      <c r="F1541" s="9">
        <f t="shared" si="70"/>
        <v>-4.8290312632596762E-2</v>
      </c>
      <c r="G1541" s="9">
        <f t="shared" si="71"/>
        <v>8.9067979068775983E-3</v>
      </c>
    </row>
    <row r="1542" spans="1:7" x14ac:dyDescent="0.2">
      <c r="A1542" s="11">
        <v>37308</v>
      </c>
      <c r="B1542" s="10">
        <v>134.23339999999999</v>
      </c>
      <c r="E1542" s="13">
        <f t="shared" si="72"/>
        <v>3.8978256038785086E-3</v>
      </c>
      <c r="F1542" s="9">
        <f t="shared" si="70"/>
        <v>-4.3599022624011566E-2</v>
      </c>
      <c r="G1542" s="9">
        <f t="shared" si="71"/>
        <v>8.9656041953108719E-3</v>
      </c>
    </row>
    <row r="1543" spans="1:7" x14ac:dyDescent="0.2">
      <c r="A1543" s="11">
        <v>37309</v>
      </c>
      <c r="B1543" s="10">
        <v>135.44749999999999</v>
      </c>
      <c r="E1543" s="13">
        <f t="shared" si="72"/>
        <v>9.0040355287664495E-3</v>
      </c>
      <c r="F1543" s="9">
        <f t="shared" si="70"/>
        <v>-3.1578645649760297E-2</v>
      </c>
      <c r="G1543" s="9">
        <f t="shared" si="71"/>
        <v>9.1687216843434373E-3</v>
      </c>
    </row>
    <row r="1544" spans="1:7" x14ac:dyDescent="0.2">
      <c r="A1544" s="11">
        <v>37312</v>
      </c>
      <c r="B1544" s="10">
        <v>135.8811</v>
      </c>
      <c r="E1544" s="13">
        <f t="shared" si="72"/>
        <v>3.1961272723202978E-3</v>
      </c>
      <c r="F1544" s="9">
        <f t="shared" si="70"/>
        <v>-3.2556338276558002E-3</v>
      </c>
      <c r="G1544" s="9">
        <f t="shared" si="71"/>
        <v>7.9433458245850939E-3</v>
      </c>
    </row>
    <row r="1545" spans="1:7" x14ac:dyDescent="0.2">
      <c r="A1545" s="11">
        <v>37313</v>
      </c>
      <c r="B1545" s="10">
        <v>137.24610000000001</v>
      </c>
      <c r="E1545" s="13">
        <f t="shared" si="72"/>
        <v>9.9954260474806166E-3</v>
      </c>
      <c r="F1545" s="9">
        <f t="shared" si="70"/>
        <v>2.0525269521604848E-2</v>
      </c>
      <c r="G1545" s="9">
        <f t="shared" si="71"/>
        <v>7.7053235750766703E-3</v>
      </c>
    </row>
    <row r="1546" spans="1:7" x14ac:dyDescent="0.2">
      <c r="A1546" s="11">
        <v>37314</v>
      </c>
      <c r="B1546" s="10">
        <v>139.071</v>
      </c>
      <c r="E1546" s="13">
        <f t="shared" si="72"/>
        <v>1.3208929402722813E-2</v>
      </c>
      <c r="F1546" s="9">
        <f t="shared" si="70"/>
        <v>2.2136344695058031E-2</v>
      </c>
      <c r="G1546" s="9">
        <f t="shared" si="71"/>
        <v>7.791964440410166E-3</v>
      </c>
    </row>
    <row r="1547" spans="1:7" x14ac:dyDescent="0.2">
      <c r="A1547" s="11">
        <v>37315</v>
      </c>
      <c r="B1547" s="10">
        <v>138.46770000000001</v>
      </c>
      <c r="E1547" s="13">
        <f t="shared" si="72"/>
        <v>-4.3475086554703316E-3</v>
      </c>
      <c r="F1547" s="9">
        <f t="shared" si="70"/>
        <v>2.3905590742919876E-2</v>
      </c>
      <c r="G1547" s="9">
        <f t="shared" si="71"/>
        <v>7.7429439543496232E-3</v>
      </c>
    </row>
    <row r="1548" spans="1:7" x14ac:dyDescent="0.2">
      <c r="A1548" s="11">
        <v>37316</v>
      </c>
      <c r="B1548" s="10">
        <v>138.25470000000001</v>
      </c>
      <c r="E1548" s="13">
        <f t="shared" si="72"/>
        <v>-1.5394492246799314E-3</v>
      </c>
      <c r="F1548" s="9">
        <f t="shared" si="70"/>
        <v>2.3049823304330083E-2</v>
      </c>
      <c r="G1548" s="9">
        <f t="shared" si="71"/>
        <v>7.7505234180724305E-3</v>
      </c>
    </row>
    <row r="1549" spans="1:7" x14ac:dyDescent="0.2">
      <c r="A1549" s="11">
        <v>37319</v>
      </c>
      <c r="B1549" s="10">
        <v>139.34620000000001</v>
      </c>
      <c r="E1549" s="13">
        <f t="shared" si="72"/>
        <v>7.8638478828199788E-3</v>
      </c>
      <c r="F1549" s="9">
        <f t="shared" si="70"/>
        <v>2.4986976818478304E-2</v>
      </c>
      <c r="G1549" s="9">
        <f t="shared" si="71"/>
        <v>7.8044922669389316E-3</v>
      </c>
    </row>
    <row r="1550" spans="1:7" x14ac:dyDescent="0.2">
      <c r="A1550" s="11">
        <v>37320</v>
      </c>
      <c r="B1550" s="10">
        <v>140.9581</v>
      </c>
      <c r="E1550" s="13">
        <f t="shared" si="72"/>
        <v>1.1501199005128082E-2</v>
      </c>
      <c r="F1550" s="9">
        <f t="shared" si="70"/>
        <v>4.3615403429449889E-2</v>
      </c>
      <c r="G1550" s="9">
        <f t="shared" si="71"/>
        <v>7.8896306249743847E-3</v>
      </c>
    </row>
    <row r="1551" spans="1:7" x14ac:dyDescent="0.2">
      <c r="A1551" s="11">
        <v>37321</v>
      </c>
      <c r="B1551" s="10">
        <v>141.08629999999999</v>
      </c>
      <c r="E1551" s="13">
        <f t="shared" si="72"/>
        <v>9.0907678953328617E-4</v>
      </c>
      <c r="F1551" s="9">
        <f t="shared" si="70"/>
        <v>2.8847186240119796E-2</v>
      </c>
      <c r="G1551" s="9">
        <f t="shared" si="71"/>
        <v>7.4037779088820194E-3</v>
      </c>
    </row>
    <row r="1552" spans="1:7" x14ac:dyDescent="0.2">
      <c r="A1552" s="11">
        <v>37322</v>
      </c>
      <c r="B1552" s="10">
        <v>143.72</v>
      </c>
      <c r="E1552" s="13">
        <f t="shared" si="72"/>
        <v>1.8495202359893024E-2</v>
      </c>
      <c r="F1552" s="9">
        <f t="shared" si="70"/>
        <v>5.0427950476504703E-2</v>
      </c>
      <c r="G1552" s="9">
        <f t="shared" si="71"/>
        <v>8.036532785523718E-3</v>
      </c>
    </row>
    <row r="1553" spans="1:7" x14ac:dyDescent="0.2">
      <c r="A1553" s="11">
        <v>37323</v>
      </c>
      <c r="B1553" s="10">
        <v>146.7817</v>
      </c>
      <c r="E1553" s="13">
        <f t="shared" si="72"/>
        <v>2.107948676392344E-2</v>
      </c>
      <c r="F1553" s="9">
        <f t="shared" si="70"/>
        <v>6.1145087767010144E-2</v>
      </c>
      <c r="G1553" s="9">
        <f t="shared" si="71"/>
        <v>8.6687822441983749E-3</v>
      </c>
    </row>
    <row r="1554" spans="1:7" x14ac:dyDescent="0.2">
      <c r="A1554" s="11">
        <v>37326</v>
      </c>
      <c r="B1554" s="10">
        <v>146.1369</v>
      </c>
      <c r="E1554" s="13">
        <f t="shared" si="72"/>
        <v>-4.4025954070830917E-3</v>
      </c>
      <c r="F1554" s="9">
        <f t="shared" si="70"/>
        <v>5.7917901660112479E-2</v>
      </c>
      <c r="G1554" s="9">
        <f t="shared" si="71"/>
        <v>8.7329197721159671E-3</v>
      </c>
    </row>
    <row r="1555" spans="1:7" x14ac:dyDescent="0.2">
      <c r="A1555" s="11">
        <v>37327</v>
      </c>
      <c r="B1555" s="10">
        <v>145.50720000000001</v>
      </c>
      <c r="E1555" s="13">
        <f t="shared" si="72"/>
        <v>-4.3182836788477185E-3</v>
      </c>
      <c r="F1555" s="9">
        <f t="shared" si="70"/>
        <v>7.0458673947455377E-2</v>
      </c>
      <c r="G1555" s="9">
        <f t="shared" si="71"/>
        <v>8.0496083356467046E-3</v>
      </c>
    </row>
    <row r="1556" spans="1:7" x14ac:dyDescent="0.2">
      <c r="A1556" s="11">
        <v>37328</v>
      </c>
      <c r="B1556" s="10">
        <v>145.72399999999999</v>
      </c>
      <c r="E1556" s="13">
        <f t="shared" si="72"/>
        <v>1.4888517442360717E-3</v>
      </c>
      <c r="F1556" s="9">
        <f t="shared" si="70"/>
        <v>6.2428627898687958E-2</v>
      </c>
      <c r="G1556" s="9">
        <f t="shared" si="71"/>
        <v>7.9343218113881921E-3</v>
      </c>
    </row>
    <row r="1557" spans="1:7" x14ac:dyDescent="0.2">
      <c r="A1557" s="11">
        <v>37329</v>
      </c>
      <c r="B1557" s="10">
        <v>145.8409</v>
      </c>
      <c r="E1557" s="13">
        <f t="shared" si="72"/>
        <v>8.0187983028141439E-4</v>
      </c>
      <c r="F1557" s="9">
        <f t="shared" si="70"/>
        <v>6.1634321886603317E-2</v>
      </c>
      <c r="G1557" s="9">
        <f t="shared" si="71"/>
        <v>7.9376818812453061E-3</v>
      </c>
    </row>
    <row r="1558" spans="1:7" x14ac:dyDescent="0.2">
      <c r="A1558" s="11">
        <v>37330</v>
      </c>
      <c r="B1558" s="10">
        <v>146.595</v>
      </c>
      <c r="E1558" s="13">
        <f t="shared" si="72"/>
        <v>5.1573809610807831E-3</v>
      </c>
      <c r="F1558" s="9">
        <f t="shared" si="70"/>
        <v>6.7203825082405383E-2</v>
      </c>
      <c r="G1558" s="9">
        <f t="shared" si="71"/>
        <v>7.9414719608140016E-3</v>
      </c>
    </row>
    <row r="1559" spans="1:7" x14ac:dyDescent="0.2">
      <c r="A1559" s="11">
        <v>37333</v>
      </c>
      <c r="B1559" s="10">
        <v>147.5753</v>
      </c>
      <c r="E1559" s="13">
        <f t="shared" si="72"/>
        <v>6.6648715304231439E-3</v>
      </c>
      <c r="F1559" s="9">
        <f t="shared" si="70"/>
        <v>8.5976693643542101E-2</v>
      </c>
      <c r="G1559" s="9">
        <f t="shared" si="71"/>
        <v>7.4750354789688556E-3</v>
      </c>
    </row>
    <row r="1560" spans="1:7" x14ac:dyDescent="0.2">
      <c r="A1560" s="11">
        <v>37334</v>
      </c>
      <c r="B1560" s="10">
        <v>149.10239999999999</v>
      </c>
      <c r="E1560" s="13">
        <f t="shared" si="72"/>
        <v>1.0294764231289054E-2</v>
      </c>
      <c r="F1560" s="9">
        <f t="shared" si="70"/>
        <v>9.4908456108580161E-2</v>
      </c>
      <c r="G1560" s="9">
        <f t="shared" si="71"/>
        <v>7.5898089656366904E-3</v>
      </c>
    </row>
    <row r="1561" spans="1:7" x14ac:dyDescent="0.2">
      <c r="A1561" s="11">
        <v>37335</v>
      </c>
      <c r="B1561" s="10">
        <v>147.1191</v>
      </c>
      <c r="E1561" s="13">
        <f t="shared" si="72"/>
        <v>-1.3390855398405725E-2</v>
      </c>
      <c r="F1561" s="9">
        <f t="shared" si="70"/>
        <v>8.4873468441647171E-2</v>
      </c>
      <c r="G1561" s="9">
        <f t="shared" si="71"/>
        <v>8.113501605920493E-3</v>
      </c>
    </row>
    <row r="1562" spans="1:7" x14ac:dyDescent="0.2">
      <c r="A1562" s="11">
        <v>37336</v>
      </c>
      <c r="B1562" s="10">
        <v>148.89879999999999</v>
      </c>
      <c r="E1562" s="13">
        <f t="shared" si="72"/>
        <v>1.2024417735206084E-2</v>
      </c>
      <c r="F1562" s="9">
        <f t="shared" si="70"/>
        <v>0.10551365151784228</v>
      </c>
      <c r="G1562" s="9">
        <f t="shared" si="71"/>
        <v>7.9688239215271461E-3</v>
      </c>
    </row>
    <row r="1563" spans="1:7" x14ac:dyDescent="0.2">
      <c r="A1563" s="11">
        <v>37337</v>
      </c>
      <c r="B1563" s="10">
        <v>148.76679999999999</v>
      </c>
      <c r="E1563" s="13">
        <f t="shared" si="72"/>
        <v>-8.8690133258620667E-4</v>
      </c>
      <c r="F1563" s="9">
        <f t="shared" si="70"/>
        <v>9.8343745243815048E-2</v>
      </c>
      <c r="G1563" s="9">
        <f t="shared" si="71"/>
        <v>7.9950254608930228E-3</v>
      </c>
    </row>
    <row r="1564" spans="1:7" x14ac:dyDescent="0.2">
      <c r="A1564" s="11">
        <v>37340</v>
      </c>
      <c r="B1564" s="10">
        <v>148.6009</v>
      </c>
      <c r="E1564" s="13">
        <f t="shared" si="72"/>
        <v>-1.1157904319262857E-3</v>
      </c>
      <c r="F1564" s="9">
        <f t="shared" si="70"/>
        <v>9.8570516322179585E-2</v>
      </c>
      <c r="G1564" s="9">
        <f t="shared" si="71"/>
        <v>7.9903397194496482E-3</v>
      </c>
    </row>
    <row r="1565" spans="1:7" x14ac:dyDescent="0.2">
      <c r="A1565" s="11">
        <v>37341</v>
      </c>
      <c r="B1565" s="10">
        <v>148.4897</v>
      </c>
      <c r="E1565" s="13">
        <f t="shared" si="72"/>
        <v>-7.4859322504956393E-4</v>
      </c>
      <c r="F1565" s="9">
        <f t="shared" si="70"/>
        <v>8.9428850486628395E-2</v>
      </c>
      <c r="G1565" s="9">
        <f t="shared" si="71"/>
        <v>7.9665697598409971E-3</v>
      </c>
    </row>
    <row r="1566" spans="1:7" x14ac:dyDescent="0.2">
      <c r="A1566" s="11">
        <v>37342</v>
      </c>
      <c r="B1566" s="10">
        <v>149.70939999999999</v>
      </c>
      <c r="E1566" s="13">
        <f t="shared" si="72"/>
        <v>8.180486137541406E-3</v>
      </c>
      <c r="F1566" s="9">
        <f t="shared" si="70"/>
        <v>9.3342634481517792E-2</v>
      </c>
      <c r="G1566" s="9">
        <f t="shared" si="71"/>
        <v>8.0202949364785777E-3</v>
      </c>
    </row>
    <row r="1567" spans="1:7" x14ac:dyDescent="0.2">
      <c r="A1567" s="11">
        <v>37348</v>
      </c>
      <c r="B1567" s="10">
        <v>150.5804</v>
      </c>
      <c r="E1567" s="13">
        <f t="shared" si="72"/>
        <v>5.8010791083188736E-3</v>
      </c>
      <c r="F1567" s="9">
        <f t="shared" si="70"/>
        <v>0.10368809520304338</v>
      </c>
      <c r="G1567" s="9">
        <f t="shared" si="71"/>
        <v>7.8917136276684865E-3</v>
      </c>
    </row>
    <row r="1568" spans="1:7" x14ac:dyDescent="0.2">
      <c r="A1568" s="11">
        <v>37349</v>
      </c>
      <c r="B1568" s="10">
        <v>151.0197</v>
      </c>
      <c r="E1568" s="13">
        <f t="shared" si="72"/>
        <v>2.9131310677313759E-3</v>
      </c>
      <c r="F1568" s="9">
        <f t="shared" ref="F1568:F1631" si="73">LN(B1568/B1539)</f>
        <v>0.11101318053132807</v>
      </c>
      <c r="G1568" s="9">
        <f t="shared" si="71"/>
        <v>7.7427519358228445E-3</v>
      </c>
    </row>
    <row r="1569" spans="1:7" x14ac:dyDescent="0.2">
      <c r="A1569" s="11">
        <v>37350</v>
      </c>
      <c r="B1569" s="10">
        <v>148.05799999999999</v>
      </c>
      <c r="E1569" s="13">
        <f t="shared" si="72"/>
        <v>-1.9806202995015374E-2</v>
      </c>
      <c r="F1569" s="9">
        <f t="shared" si="73"/>
        <v>9.8711857860812782E-2</v>
      </c>
      <c r="G1569" s="9">
        <f t="shared" ref="G1569:G1632" si="74">STDEV(E1541:E1569)</f>
        <v>8.6675300666869438E-3</v>
      </c>
    </row>
    <row r="1570" spans="1:7" x14ac:dyDescent="0.2">
      <c r="A1570" s="11">
        <v>37351</v>
      </c>
      <c r="B1570" s="10">
        <v>148.369</v>
      </c>
      <c r="E1570" s="13">
        <f t="shared" si="72"/>
        <v>2.098325146564052E-3</v>
      </c>
      <c r="F1570" s="9">
        <f t="shared" si="73"/>
        <v>0.10402016380007427</v>
      </c>
      <c r="G1570" s="9">
        <f t="shared" si="74"/>
        <v>8.5784615484154145E-3</v>
      </c>
    </row>
    <row r="1571" spans="1:7" x14ac:dyDescent="0.2">
      <c r="A1571" s="11">
        <v>37354</v>
      </c>
      <c r="B1571" s="10">
        <v>147.53200000000001</v>
      </c>
      <c r="E1571" s="13">
        <f t="shared" si="72"/>
        <v>-5.657312630647021E-3</v>
      </c>
      <c r="F1571" s="9">
        <f t="shared" si="73"/>
        <v>9.4465025565548824E-2</v>
      </c>
      <c r="G1571" s="9">
        <f t="shared" si="74"/>
        <v>8.7479193580837691E-3</v>
      </c>
    </row>
    <row r="1572" spans="1:7" x14ac:dyDescent="0.2">
      <c r="A1572" s="11">
        <v>37355</v>
      </c>
      <c r="B1572" s="10">
        <v>147.27940000000001</v>
      </c>
      <c r="E1572" s="13">
        <f t="shared" si="72"/>
        <v>-1.7136383587237031E-3</v>
      </c>
      <c r="F1572" s="9">
        <f t="shared" si="73"/>
        <v>8.3747351678058551E-2</v>
      </c>
      <c r="G1572" s="9">
        <f t="shared" si="74"/>
        <v>8.7228299384418725E-3</v>
      </c>
    </row>
    <row r="1573" spans="1:7" x14ac:dyDescent="0.2">
      <c r="A1573" s="11">
        <v>37356</v>
      </c>
      <c r="B1573" s="10">
        <v>146.18209999999999</v>
      </c>
      <c r="E1573" s="13">
        <f t="shared" si="72"/>
        <v>-7.4783582442497984E-3</v>
      </c>
      <c r="F1573" s="9">
        <f t="shared" si="73"/>
        <v>7.3072866161488462E-2</v>
      </c>
      <c r="G1573" s="9">
        <f t="shared" si="74"/>
        <v>8.9320674960195988E-3</v>
      </c>
    </row>
    <row r="1574" spans="1:7" x14ac:dyDescent="0.2">
      <c r="A1574" s="11">
        <v>37357</v>
      </c>
      <c r="B1574" s="10">
        <v>146.3254</v>
      </c>
      <c r="E1574" s="13">
        <f t="shared" si="72"/>
        <v>9.7980401503697094E-4</v>
      </c>
      <c r="F1574" s="9">
        <f t="shared" si="73"/>
        <v>6.4057244129044857E-2</v>
      </c>
      <c r="G1574" s="9">
        <f t="shared" si="74"/>
        <v>8.8187588175394956E-3</v>
      </c>
    </row>
    <row r="1575" spans="1:7" x14ac:dyDescent="0.2">
      <c r="A1575" s="11">
        <v>37358</v>
      </c>
      <c r="B1575" s="10">
        <v>146.21979999999999</v>
      </c>
      <c r="E1575" s="13">
        <f t="shared" si="72"/>
        <v>-7.2193975212407233E-4</v>
      </c>
      <c r="F1575" s="9">
        <f t="shared" si="73"/>
        <v>5.0126374974197946E-2</v>
      </c>
      <c r="G1575" s="9">
        <f t="shared" si="74"/>
        <v>8.5741940736346646E-3</v>
      </c>
    </row>
    <row r="1576" spans="1:7" x14ac:dyDescent="0.2">
      <c r="A1576" s="11">
        <v>37361</v>
      </c>
      <c r="B1576" s="10">
        <v>146.1275</v>
      </c>
      <c r="E1576" s="13">
        <f t="shared" si="72"/>
        <v>-6.3144077654757964E-4</v>
      </c>
      <c r="F1576" s="9">
        <f t="shared" si="73"/>
        <v>5.3842442853120703E-2</v>
      </c>
      <c r="G1576" s="9">
        <f t="shared" si="74"/>
        <v>8.507655808000605E-3</v>
      </c>
    </row>
    <row r="1577" spans="1:7" x14ac:dyDescent="0.2">
      <c r="A1577" s="11">
        <v>37362</v>
      </c>
      <c r="B1577" s="10">
        <v>147.51310000000001</v>
      </c>
      <c r="E1577" s="13">
        <f t="shared" si="72"/>
        <v>9.4374571097614827E-3</v>
      </c>
      <c r="F1577" s="9">
        <f t="shared" si="73"/>
        <v>6.4819349187562228E-2</v>
      </c>
      <c r="G1577" s="9">
        <f t="shared" si="74"/>
        <v>8.5949036967713152E-3</v>
      </c>
    </row>
    <row r="1578" spans="1:7" x14ac:dyDescent="0.2">
      <c r="A1578" s="11">
        <v>37363</v>
      </c>
      <c r="B1578" s="10">
        <v>147.8921</v>
      </c>
      <c r="E1578" s="13">
        <f t="shared" si="72"/>
        <v>2.5659684254086498E-3</v>
      </c>
      <c r="F1578" s="9">
        <f t="shared" si="73"/>
        <v>5.9521469730150885E-2</v>
      </c>
      <c r="G1578" s="9">
        <f t="shared" si="74"/>
        <v>8.5270278327996153E-3</v>
      </c>
    </row>
    <row r="1579" spans="1:7" x14ac:dyDescent="0.2">
      <c r="A1579" s="11">
        <v>37364</v>
      </c>
      <c r="B1579" s="10">
        <v>148.30680000000001</v>
      </c>
      <c r="E1579" s="13">
        <f t="shared" si="72"/>
        <v>2.800147272429511E-3</v>
      </c>
      <c r="F1579" s="9">
        <f t="shared" si="73"/>
        <v>5.0820417997452294E-2</v>
      </c>
      <c r="G1579" s="9">
        <f t="shared" si="74"/>
        <v>8.3335713420339859E-3</v>
      </c>
    </row>
    <row r="1580" spans="1:7" x14ac:dyDescent="0.2">
      <c r="A1580" s="11">
        <v>37365</v>
      </c>
      <c r="B1580" s="10">
        <v>147.28309999999999</v>
      </c>
      <c r="E1580" s="13">
        <f t="shared" si="72"/>
        <v>-6.9265160467433615E-3</v>
      </c>
      <c r="F1580" s="9">
        <f t="shared" si="73"/>
        <v>4.2984825161175765E-2</v>
      </c>
      <c r="G1580" s="9">
        <f t="shared" si="74"/>
        <v>8.4874933774234697E-3</v>
      </c>
    </row>
    <row r="1581" spans="1:7" x14ac:dyDescent="0.2">
      <c r="A1581" s="11">
        <v>37368</v>
      </c>
      <c r="B1581" s="10">
        <v>146.30090000000001</v>
      </c>
      <c r="E1581" s="13">
        <f t="shared" si="72"/>
        <v>-6.6911252964501145E-3</v>
      </c>
      <c r="F1581" s="9">
        <f t="shared" si="73"/>
        <v>1.779849750483261E-2</v>
      </c>
      <c r="G1581" s="9">
        <f t="shared" si="74"/>
        <v>7.9564435459505613E-3</v>
      </c>
    </row>
    <row r="1582" spans="1:7" x14ac:dyDescent="0.2">
      <c r="A1582" s="11">
        <v>37369</v>
      </c>
      <c r="B1582" s="10">
        <v>145.30930000000001</v>
      </c>
      <c r="E1582" s="13">
        <f t="shared" si="72"/>
        <v>-6.8008857163284007E-3</v>
      </c>
      <c r="F1582" s="9">
        <f t="shared" si="73"/>
        <v>-1.0081874975419142E-2</v>
      </c>
      <c r="G1582" s="9">
        <f t="shared" si="74"/>
        <v>7.0251228099388321E-3</v>
      </c>
    </row>
    <row r="1583" spans="1:7" x14ac:dyDescent="0.2">
      <c r="A1583" s="11">
        <v>37370</v>
      </c>
      <c r="B1583" s="10">
        <v>145.76169999999999</v>
      </c>
      <c r="E1583" s="13">
        <f t="shared" si="72"/>
        <v>3.1085224174974852E-3</v>
      </c>
      <c r="F1583" s="9">
        <f t="shared" si="73"/>
        <v>-2.5707571508386553E-3</v>
      </c>
      <c r="G1583" s="9">
        <f t="shared" si="74"/>
        <v>7.0087266070876265E-3</v>
      </c>
    </row>
    <row r="1584" spans="1:7" x14ac:dyDescent="0.2">
      <c r="A1584" s="11">
        <v>37371</v>
      </c>
      <c r="B1584" s="10">
        <v>142.9734</v>
      </c>
      <c r="E1584" s="13">
        <f t="shared" si="72"/>
        <v>-1.9314497480173592E-2</v>
      </c>
      <c r="F1584" s="9">
        <f t="shared" si="73"/>
        <v>-1.7566970952164435E-2</v>
      </c>
      <c r="G1584" s="9">
        <f t="shared" si="74"/>
        <v>7.8362977869351324E-3</v>
      </c>
    </row>
    <row r="1585" spans="1:7" x14ac:dyDescent="0.2">
      <c r="A1585" s="11">
        <v>37372</v>
      </c>
      <c r="B1585" s="10">
        <v>142.52289999999999</v>
      </c>
      <c r="E1585" s="13">
        <f t="shared" si="72"/>
        <v>-3.155910419198681E-3</v>
      </c>
      <c r="F1585" s="9">
        <f t="shared" si="73"/>
        <v>-2.2211733115599229E-2</v>
      </c>
      <c r="G1585" s="9">
        <f t="shared" si="74"/>
        <v>7.8394235629919394E-3</v>
      </c>
    </row>
    <row r="1586" spans="1:7" x14ac:dyDescent="0.2">
      <c r="A1586" s="11">
        <v>37375</v>
      </c>
      <c r="B1586" s="10">
        <v>141.16929999999999</v>
      </c>
      <c r="E1586" s="13">
        <f t="shared" si="72"/>
        <v>-9.5428092287336286E-3</v>
      </c>
      <c r="F1586" s="9">
        <f t="shared" si="73"/>
        <v>-3.255642217461429E-2</v>
      </c>
      <c r="G1586" s="9">
        <f t="shared" si="74"/>
        <v>7.9992620002486709E-3</v>
      </c>
    </row>
    <row r="1587" spans="1:7" x14ac:dyDescent="0.2">
      <c r="A1587" s="11">
        <v>37376</v>
      </c>
      <c r="B1587" s="10">
        <v>142.07230000000001</v>
      </c>
      <c r="E1587" s="13">
        <f t="shared" si="72"/>
        <v>6.3762036322341439E-3</v>
      </c>
      <c r="F1587" s="9">
        <f t="shared" si="73"/>
        <v>-3.1337599503460892E-2</v>
      </c>
      <c r="G1587" s="9">
        <f t="shared" si="74"/>
        <v>8.0365507597601592E-3</v>
      </c>
    </row>
    <row r="1588" spans="1:7" x14ac:dyDescent="0.2">
      <c r="A1588" s="11">
        <v>37378</v>
      </c>
      <c r="B1588" s="10">
        <v>146.2689</v>
      </c>
      <c r="E1588" s="13">
        <f t="shared" si="72"/>
        <v>2.9110625576172319E-2</v>
      </c>
      <c r="F1588" s="9">
        <f t="shared" si="73"/>
        <v>-8.8918454577117962E-3</v>
      </c>
      <c r="G1588" s="9">
        <f t="shared" si="74"/>
        <v>9.7147851335025823E-3</v>
      </c>
    </row>
    <row r="1589" spans="1:7" x14ac:dyDescent="0.2">
      <c r="A1589" s="11">
        <v>37379</v>
      </c>
      <c r="B1589" s="10">
        <v>145.7259</v>
      </c>
      <c r="E1589" s="13">
        <f t="shared" si="72"/>
        <v>-3.7192486026088041E-3</v>
      </c>
      <c r="F1589" s="9">
        <f t="shared" si="73"/>
        <v>-2.2905858291609668E-2</v>
      </c>
      <c r="G1589" s="9">
        <f t="shared" si="74"/>
        <v>9.515104654898663E-3</v>
      </c>
    </row>
    <row r="1590" spans="1:7" x14ac:dyDescent="0.2">
      <c r="A1590" s="11">
        <v>37382</v>
      </c>
      <c r="B1590" s="10">
        <v>144.5137</v>
      </c>
      <c r="E1590" s="13">
        <f t="shared" si="72"/>
        <v>-8.3531471820976616E-3</v>
      </c>
      <c r="F1590" s="9">
        <f t="shared" si="73"/>
        <v>-1.7868150075301566E-2</v>
      </c>
      <c r="G1590" s="9">
        <f t="shared" si="74"/>
        <v>9.3208390628075014E-3</v>
      </c>
    </row>
    <row r="1591" spans="1:7" x14ac:dyDescent="0.2">
      <c r="A1591" s="11">
        <v>37383</v>
      </c>
      <c r="B1591" s="10">
        <v>143.3373</v>
      </c>
      <c r="E1591" s="13">
        <f t="shared" si="72"/>
        <v>-8.1737186917402813E-3</v>
      </c>
      <c r="F1591" s="9">
        <f t="shared" si="73"/>
        <v>-3.8066286502247929E-2</v>
      </c>
      <c r="G1591" s="9">
        <f t="shared" si="74"/>
        <v>9.0944460385133409E-3</v>
      </c>
    </row>
    <row r="1592" spans="1:7" x14ac:dyDescent="0.2">
      <c r="A1592" s="11">
        <v>37384</v>
      </c>
      <c r="B1592" s="10">
        <v>146.1199</v>
      </c>
      <c r="E1592" s="13">
        <f t="shared" si="72"/>
        <v>1.9226923502662509E-2</v>
      </c>
      <c r="F1592" s="9">
        <f t="shared" si="73"/>
        <v>-1.7952461666999379E-2</v>
      </c>
      <c r="G1592" s="9">
        <f t="shared" si="74"/>
        <v>9.8626134811992793E-3</v>
      </c>
    </row>
    <row r="1593" spans="1:7" x14ac:dyDescent="0.2">
      <c r="A1593" s="11">
        <v>37386</v>
      </c>
      <c r="B1593" s="10">
        <v>146.93809999999999</v>
      </c>
      <c r="E1593" s="13">
        <f t="shared" si="72"/>
        <v>5.5838921028946937E-3</v>
      </c>
      <c r="F1593" s="9">
        <f t="shared" si="73"/>
        <v>-1.1252779132178351E-2</v>
      </c>
      <c r="G1593" s="9">
        <f t="shared" si="74"/>
        <v>9.9288073153426526E-3</v>
      </c>
    </row>
    <row r="1594" spans="1:7" x14ac:dyDescent="0.2">
      <c r="A1594" s="11">
        <v>37389</v>
      </c>
      <c r="B1594" s="10">
        <v>146.75899999999999</v>
      </c>
      <c r="E1594" s="13">
        <f t="shared" si="72"/>
        <v>-1.2196240425981571E-3</v>
      </c>
      <c r="F1594" s="9">
        <f t="shared" si="73"/>
        <v>-1.1723809949726962E-2</v>
      </c>
      <c r="G1594" s="9">
        <f t="shared" si="74"/>
        <v>9.9298034558652562E-3</v>
      </c>
    </row>
    <row r="1595" spans="1:7" x14ac:dyDescent="0.2">
      <c r="A1595" s="11">
        <v>37390</v>
      </c>
      <c r="B1595" s="10">
        <v>149.01570000000001</v>
      </c>
      <c r="E1595" s="13">
        <f t="shared" si="72"/>
        <v>1.5259883903907054E-2</v>
      </c>
      <c r="F1595" s="9">
        <f t="shared" si="73"/>
        <v>-4.6444121833613145E-3</v>
      </c>
      <c r="G1595" s="9">
        <f t="shared" si="74"/>
        <v>1.023084861391918E-2</v>
      </c>
    </row>
    <row r="1596" spans="1:7" x14ac:dyDescent="0.2">
      <c r="A1596" s="11">
        <v>37391</v>
      </c>
      <c r="B1596" s="10">
        <v>148.1711</v>
      </c>
      <c r="E1596" s="13">
        <f t="shared" si="72"/>
        <v>-5.683982423979262E-3</v>
      </c>
      <c r="F1596" s="9">
        <f t="shared" si="73"/>
        <v>-1.6129473715659478E-2</v>
      </c>
      <c r="G1596" s="9">
        <f t="shared" si="74"/>
        <v>1.0214127632573813E-2</v>
      </c>
    </row>
    <row r="1597" spans="1:7" x14ac:dyDescent="0.2">
      <c r="A1597" s="11">
        <v>37392</v>
      </c>
      <c r="B1597" s="10">
        <v>149.12119999999999</v>
      </c>
      <c r="E1597" s="13">
        <f t="shared" si="72"/>
        <v>6.3917110171426749E-3</v>
      </c>
      <c r="F1597" s="9">
        <f t="shared" si="73"/>
        <v>-1.2650893766248247E-2</v>
      </c>
      <c r="G1597" s="9">
        <f t="shared" si="74"/>
        <v>1.0276559951373991E-2</v>
      </c>
    </row>
    <row r="1598" spans="1:7" x14ac:dyDescent="0.2">
      <c r="A1598" s="11">
        <v>37397</v>
      </c>
      <c r="B1598" s="10">
        <v>148.2201</v>
      </c>
      <c r="E1598" s="13">
        <f t="shared" si="72"/>
        <v>-6.0610669194338549E-3</v>
      </c>
      <c r="F1598" s="9">
        <f t="shared" si="73"/>
        <v>1.0942423093332355E-3</v>
      </c>
      <c r="G1598" s="9">
        <f t="shared" si="74"/>
        <v>9.6490997503679635E-3</v>
      </c>
    </row>
    <row r="1599" spans="1:7" x14ac:dyDescent="0.2">
      <c r="A1599" s="11">
        <v>37398</v>
      </c>
      <c r="B1599" s="10">
        <v>145.6995</v>
      </c>
      <c r="E1599" s="13">
        <f t="shared" si="72"/>
        <v>-1.7152049709489185E-2</v>
      </c>
      <c r="F1599" s="9">
        <f t="shared" si="73"/>
        <v>-1.8156132546719914E-2</v>
      </c>
      <c r="G1599" s="9">
        <f t="shared" si="74"/>
        <v>1.0151367928568871E-2</v>
      </c>
    </row>
    <row r="1600" spans="1:7" x14ac:dyDescent="0.2">
      <c r="A1600" s="11">
        <v>37399</v>
      </c>
      <c r="B1600" s="10">
        <v>145.42429999999999</v>
      </c>
      <c r="E1600" s="13">
        <f t="shared" si="72"/>
        <v>-1.8906051787771347E-3</v>
      </c>
      <c r="F1600" s="9">
        <f t="shared" si="73"/>
        <v>-1.4389425094850136E-2</v>
      </c>
      <c r="G1600" s="9">
        <f t="shared" si="74"/>
        <v>1.0108702071783823E-2</v>
      </c>
    </row>
    <row r="1601" spans="1:7" x14ac:dyDescent="0.2">
      <c r="A1601" s="11">
        <v>37400</v>
      </c>
      <c r="B1601" s="10">
        <v>144.66069999999999</v>
      </c>
      <c r="E1601" s="13">
        <f t="shared" si="72"/>
        <v>-5.2646759654058472E-3</v>
      </c>
      <c r="F1601" s="9">
        <f t="shared" si="73"/>
        <v>-1.7940462701532319E-2</v>
      </c>
      <c r="G1601" s="9">
        <f t="shared" si="74"/>
        <v>1.0145416783282618E-2</v>
      </c>
    </row>
    <row r="1602" spans="1:7" x14ac:dyDescent="0.2">
      <c r="A1602" s="11">
        <v>37403</v>
      </c>
      <c r="B1602" s="10">
        <v>144.1404</v>
      </c>
      <c r="E1602" s="13">
        <f t="shared" si="72"/>
        <v>-3.6031757698686993E-3</v>
      </c>
      <c r="F1602" s="9">
        <f t="shared" si="73"/>
        <v>-1.4065280227151249E-2</v>
      </c>
      <c r="G1602" s="9">
        <f t="shared" si="74"/>
        <v>1.0077129963103542E-2</v>
      </c>
    </row>
    <row r="1603" spans="1:7" x14ac:dyDescent="0.2">
      <c r="A1603" s="11">
        <v>37404</v>
      </c>
      <c r="B1603" s="10">
        <v>142.92070000000001</v>
      </c>
      <c r="E1603" s="13">
        <f t="shared" si="72"/>
        <v>-8.4978935840650284E-3</v>
      </c>
      <c r="F1603" s="9">
        <f t="shared" si="73"/>
        <v>-2.3542977826253211E-2</v>
      </c>
      <c r="G1603" s="9">
        <f t="shared" si="74"/>
        <v>1.0181079278378358E-2</v>
      </c>
    </row>
    <row r="1604" spans="1:7" x14ac:dyDescent="0.2">
      <c r="A1604" s="11">
        <v>37405</v>
      </c>
      <c r="B1604" s="10">
        <v>139.33109999999999</v>
      </c>
      <c r="E1604" s="13">
        <f t="shared" ref="E1604:E1667" si="75">LN(B1604/B1603)</f>
        <v>-2.5436815968111485E-2</v>
      </c>
      <c r="F1604" s="9">
        <f t="shared" si="73"/>
        <v>-4.825785404224061E-2</v>
      </c>
      <c r="G1604" s="9">
        <f t="shared" si="74"/>
        <v>1.1160583676031847E-2</v>
      </c>
    </row>
    <row r="1605" spans="1:7" x14ac:dyDescent="0.2">
      <c r="A1605" s="11">
        <v>37406</v>
      </c>
      <c r="B1605" s="10">
        <v>138.69579999999999</v>
      </c>
      <c r="E1605" s="13">
        <f t="shared" si="75"/>
        <v>-4.5700693401579421E-3</v>
      </c>
      <c r="F1605" s="9">
        <f t="shared" si="73"/>
        <v>-5.2196482605850983E-2</v>
      </c>
      <c r="G1605" s="9">
        <f t="shared" si="74"/>
        <v>1.1171528250414767E-2</v>
      </c>
    </row>
    <row r="1606" spans="1:7" x14ac:dyDescent="0.2">
      <c r="A1606" s="11">
        <v>37407</v>
      </c>
      <c r="B1606" s="10">
        <v>138.75239999999999</v>
      </c>
      <c r="E1606" s="13">
        <f t="shared" si="75"/>
        <v>4.0800409435105985E-4</v>
      </c>
      <c r="F1606" s="9">
        <f t="shared" si="73"/>
        <v>-6.1225935621261329E-2</v>
      </c>
      <c r="G1606" s="9">
        <f t="shared" si="74"/>
        <v>1.0971181132196896E-2</v>
      </c>
    </row>
    <row r="1607" spans="1:7" x14ac:dyDescent="0.2">
      <c r="A1607" s="11">
        <v>37410</v>
      </c>
      <c r="B1607" s="10">
        <v>137.95679999999999</v>
      </c>
      <c r="E1607" s="13">
        <f t="shared" si="75"/>
        <v>-5.7504571036386572E-3</v>
      </c>
      <c r="F1607" s="9">
        <f t="shared" si="73"/>
        <v>-6.954236115030854E-2</v>
      </c>
      <c r="G1607" s="9">
        <f t="shared" si="74"/>
        <v>1.095323425801085E-2</v>
      </c>
    </row>
    <row r="1608" spans="1:7" x14ac:dyDescent="0.2">
      <c r="A1608" s="11">
        <v>37411</v>
      </c>
      <c r="B1608" s="10">
        <v>134.29</v>
      </c>
      <c r="E1608" s="13">
        <f t="shared" si="75"/>
        <v>-2.6938952077522168E-2</v>
      </c>
      <c r="F1608" s="9">
        <f t="shared" si="73"/>
        <v>-9.9281460500260252E-2</v>
      </c>
      <c r="G1608" s="9">
        <f t="shared" si="74"/>
        <v>1.1807977565850997E-2</v>
      </c>
    </row>
    <row r="1609" spans="1:7" x14ac:dyDescent="0.2">
      <c r="A1609" s="11">
        <v>37412</v>
      </c>
      <c r="B1609" s="10">
        <v>133.38509999999999</v>
      </c>
      <c r="E1609" s="13">
        <f t="shared" si="75"/>
        <v>-6.7612075027405271E-3</v>
      </c>
      <c r="F1609" s="9">
        <f t="shared" si="73"/>
        <v>-9.9116151956257476E-2</v>
      </c>
      <c r="G1609" s="9">
        <f t="shared" si="74"/>
        <v>1.1806265867674911E-2</v>
      </c>
    </row>
    <row r="1610" spans="1:7" x14ac:dyDescent="0.2">
      <c r="A1610" s="11">
        <v>37413</v>
      </c>
      <c r="B1610" s="10">
        <v>134.6369</v>
      </c>
      <c r="E1610" s="13">
        <f t="shared" si="75"/>
        <v>9.3410921658828045E-3</v>
      </c>
      <c r="F1610" s="9">
        <f t="shared" si="73"/>
        <v>-8.3083934493924497E-2</v>
      </c>
      <c r="G1610" s="9">
        <f t="shared" si="74"/>
        <v>1.2020923767171223E-2</v>
      </c>
    </row>
    <row r="1611" spans="1:7" x14ac:dyDescent="0.2">
      <c r="A1611" s="11">
        <v>37414</v>
      </c>
      <c r="B1611" s="10">
        <v>131.43199999999999</v>
      </c>
      <c r="E1611" s="13">
        <f t="shared" si="75"/>
        <v>-2.409191765219066E-2</v>
      </c>
      <c r="F1611" s="9">
        <f t="shared" si="73"/>
        <v>-0.10037496642978667</v>
      </c>
      <c r="G1611" s="9">
        <f t="shared" si="74"/>
        <v>1.2636194456402067E-2</v>
      </c>
    </row>
    <row r="1612" spans="1:7" x14ac:dyDescent="0.2">
      <c r="A1612" s="11">
        <v>37417</v>
      </c>
      <c r="B1612" s="10">
        <v>132.30670000000001</v>
      </c>
      <c r="E1612" s="13">
        <f t="shared" si="75"/>
        <v>6.633104713801373E-3</v>
      </c>
      <c r="F1612" s="9">
        <f t="shared" si="73"/>
        <v>-9.6850384133482709E-2</v>
      </c>
      <c r="G1612" s="9">
        <f t="shared" si="74"/>
        <v>1.2718323250753991E-2</v>
      </c>
    </row>
    <row r="1613" spans="1:7" x14ac:dyDescent="0.2">
      <c r="A1613" s="11">
        <v>37418</v>
      </c>
      <c r="B1613" s="10">
        <v>134.83109999999999</v>
      </c>
      <c r="E1613" s="13">
        <f t="shared" si="75"/>
        <v>1.8900171716582738E-2</v>
      </c>
      <c r="F1613" s="9">
        <f t="shared" si="73"/>
        <v>-5.8635714936726382E-2</v>
      </c>
      <c r="G1613" s="9">
        <f t="shared" si="74"/>
        <v>1.2981056181604691E-2</v>
      </c>
    </row>
    <row r="1614" spans="1:7" x14ac:dyDescent="0.2">
      <c r="A1614" s="11">
        <v>37419</v>
      </c>
      <c r="B1614" s="10">
        <v>134.84610000000001</v>
      </c>
      <c r="E1614" s="13">
        <f t="shared" si="75"/>
        <v>1.1124410973919493E-4</v>
      </c>
      <c r="F1614" s="9">
        <f t="shared" si="73"/>
        <v>-5.5368560407788515E-2</v>
      </c>
      <c r="G1614" s="9">
        <f t="shared" si="74"/>
        <v>1.2985039925090612E-2</v>
      </c>
    </row>
    <row r="1615" spans="1:7" x14ac:dyDescent="0.2">
      <c r="A1615" s="11">
        <v>37420</v>
      </c>
      <c r="B1615" s="10">
        <v>135.0479</v>
      </c>
      <c r="E1615" s="13">
        <f t="shared" si="75"/>
        <v>1.4954021771947127E-3</v>
      </c>
      <c r="F1615" s="9">
        <f t="shared" si="73"/>
        <v>-4.4330349001860316E-2</v>
      </c>
      <c r="G1615" s="9">
        <f t="shared" si="74"/>
        <v>1.2914878665042413E-2</v>
      </c>
    </row>
    <row r="1616" spans="1:7" x14ac:dyDescent="0.2">
      <c r="A1616" s="11">
        <v>37421</v>
      </c>
      <c r="B1616" s="10">
        <v>131.18879999999999</v>
      </c>
      <c r="E1616" s="13">
        <f t="shared" si="75"/>
        <v>-2.8992023308895387E-2</v>
      </c>
      <c r="F1616" s="9">
        <f t="shared" si="73"/>
        <v>-7.9698575942989749E-2</v>
      </c>
      <c r="G1616" s="9">
        <f t="shared" si="74"/>
        <v>1.3782560217518999E-2</v>
      </c>
    </row>
    <row r="1617" spans="1:7" x14ac:dyDescent="0.2">
      <c r="A1617" s="11">
        <v>37424</v>
      </c>
      <c r="B1617" s="10">
        <v>134.339</v>
      </c>
      <c r="E1617" s="13">
        <f t="shared" si="75"/>
        <v>2.3728948999239968E-2</v>
      </c>
      <c r="F1617" s="9">
        <f t="shared" si="73"/>
        <v>-8.50802525199221E-2</v>
      </c>
      <c r="G1617" s="9">
        <f t="shared" si="74"/>
        <v>1.3368281638836785E-2</v>
      </c>
    </row>
    <row r="1618" spans="1:7" x14ac:dyDescent="0.2">
      <c r="A1618" s="11">
        <v>37425</v>
      </c>
      <c r="B1618" s="10">
        <v>134.4879</v>
      </c>
      <c r="E1618" s="13">
        <f t="shared" si="75"/>
        <v>1.1077761580191054E-3</v>
      </c>
      <c r="F1618" s="9">
        <f t="shared" si="73"/>
        <v>-8.0253227759294013E-2</v>
      </c>
      <c r="G1618" s="9">
        <f t="shared" si="74"/>
        <v>1.3388188668500845E-2</v>
      </c>
    </row>
    <row r="1619" spans="1:7" x14ac:dyDescent="0.2">
      <c r="A1619" s="11">
        <v>37426</v>
      </c>
      <c r="B1619" s="10">
        <v>133.0137</v>
      </c>
      <c r="E1619" s="13">
        <f t="shared" si="75"/>
        <v>-1.1022101734076733E-2</v>
      </c>
      <c r="F1619" s="9">
        <f t="shared" si="73"/>
        <v>-8.2922182311273129E-2</v>
      </c>
      <c r="G1619" s="9">
        <f t="shared" si="74"/>
        <v>1.3437042129215024E-2</v>
      </c>
    </row>
    <row r="1620" spans="1:7" x14ac:dyDescent="0.2">
      <c r="A1620" s="11">
        <v>37427</v>
      </c>
      <c r="B1620" s="10">
        <v>129.5429</v>
      </c>
      <c r="E1620" s="13">
        <f t="shared" si="75"/>
        <v>-2.6440030023933792E-2</v>
      </c>
      <c r="F1620" s="9">
        <f t="shared" si="73"/>
        <v>-0.10118849364346658</v>
      </c>
      <c r="G1620" s="9">
        <f t="shared" si="74"/>
        <v>1.4106500573072238E-2</v>
      </c>
    </row>
    <row r="1621" spans="1:7" x14ac:dyDescent="0.2">
      <c r="A1621" s="11">
        <v>37428</v>
      </c>
      <c r="B1621" s="10">
        <v>128.86799999999999</v>
      </c>
      <c r="E1621" s="13">
        <f t="shared" si="75"/>
        <v>-5.2234757476271087E-3</v>
      </c>
      <c r="F1621" s="9">
        <f t="shared" si="73"/>
        <v>-0.12563889289375604</v>
      </c>
      <c r="G1621" s="9">
        <f t="shared" si="74"/>
        <v>1.3413987998504556E-2</v>
      </c>
    </row>
    <row r="1622" spans="1:7" x14ac:dyDescent="0.2">
      <c r="A1622" s="11">
        <v>37431</v>
      </c>
      <c r="B1622" s="10">
        <v>125.8347</v>
      </c>
      <c r="E1622" s="13">
        <f t="shared" si="75"/>
        <v>-2.3819483774937162E-2</v>
      </c>
      <c r="F1622" s="9">
        <f t="shared" si="73"/>
        <v>-0.155042268771588</v>
      </c>
      <c r="G1622" s="9">
        <f t="shared" si="74"/>
        <v>1.3744849332724044E-2</v>
      </c>
    </row>
    <row r="1623" spans="1:7" x14ac:dyDescent="0.2">
      <c r="A1623" s="11">
        <v>37432</v>
      </c>
      <c r="B1623" s="10">
        <v>126.8338</v>
      </c>
      <c r="E1623" s="13">
        <f t="shared" si="75"/>
        <v>7.9084271069704663E-3</v>
      </c>
      <c r="F1623" s="9">
        <f t="shared" si="73"/>
        <v>-0.14591421762201939</v>
      </c>
      <c r="G1623" s="9">
        <f t="shared" si="74"/>
        <v>1.3945774635154222E-2</v>
      </c>
    </row>
    <row r="1624" spans="1:7" x14ac:dyDescent="0.2">
      <c r="A1624" s="11">
        <v>37433</v>
      </c>
      <c r="B1624" s="10">
        <v>120.58799999999999</v>
      </c>
      <c r="E1624" s="13">
        <f t="shared" si="75"/>
        <v>-5.0497791141291049E-2</v>
      </c>
      <c r="F1624" s="9">
        <f t="shared" si="73"/>
        <v>-0.21167189266721753</v>
      </c>
      <c r="G1624" s="9">
        <f t="shared" si="74"/>
        <v>1.5756975592223159E-2</v>
      </c>
    </row>
    <row r="1625" spans="1:7" x14ac:dyDescent="0.2">
      <c r="A1625" s="11">
        <v>37434</v>
      </c>
      <c r="B1625" s="10">
        <v>125.0089</v>
      </c>
      <c r="E1625" s="13">
        <f t="shared" si="75"/>
        <v>3.6005157912879546E-2</v>
      </c>
      <c r="F1625" s="9">
        <f t="shared" si="73"/>
        <v>-0.16998275233035873</v>
      </c>
      <c r="G1625" s="9">
        <f t="shared" si="74"/>
        <v>1.7692429489524601E-2</v>
      </c>
    </row>
    <row r="1626" spans="1:7" x14ac:dyDescent="0.2">
      <c r="A1626" s="11">
        <v>37435</v>
      </c>
      <c r="B1626" s="10">
        <v>126.0043</v>
      </c>
      <c r="E1626" s="13">
        <f t="shared" si="75"/>
        <v>7.9310985855912102E-3</v>
      </c>
      <c r="F1626" s="9">
        <f t="shared" si="73"/>
        <v>-0.1684433647619101</v>
      </c>
      <c r="G1626" s="9">
        <f t="shared" si="74"/>
        <v>1.7732768815940027E-2</v>
      </c>
    </row>
    <row r="1627" spans="1:7" x14ac:dyDescent="0.2">
      <c r="A1627" s="11">
        <v>37438</v>
      </c>
      <c r="B1627" s="10">
        <v>126.962</v>
      </c>
      <c r="E1627" s="13">
        <f t="shared" si="75"/>
        <v>7.5717957338525864E-3</v>
      </c>
      <c r="F1627" s="9">
        <f t="shared" si="73"/>
        <v>-0.15481050210862371</v>
      </c>
      <c r="G1627" s="9">
        <f t="shared" si="74"/>
        <v>1.7905692731627895E-2</v>
      </c>
    </row>
    <row r="1628" spans="1:7" x14ac:dyDescent="0.2">
      <c r="A1628" s="11">
        <v>37439</v>
      </c>
      <c r="B1628" s="10">
        <v>125.8497</v>
      </c>
      <c r="E1628" s="13">
        <f t="shared" si="75"/>
        <v>-8.7994912988881117E-3</v>
      </c>
      <c r="F1628" s="9">
        <f t="shared" si="73"/>
        <v>-0.14645794369802256</v>
      </c>
      <c r="G1628" s="9">
        <f t="shared" si="74"/>
        <v>1.7775581819838803E-2</v>
      </c>
    </row>
    <row r="1629" spans="1:7" x14ac:dyDescent="0.2">
      <c r="A1629" s="11">
        <v>37440</v>
      </c>
      <c r="B1629" s="10">
        <v>123.6289</v>
      </c>
      <c r="E1629" s="13">
        <f t="shared" si="75"/>
        <v>-1.7804001325788552E-2</v>
      </c>
      <c r="F1629" s="9">
        <f t="shared" si="73"/>
        <v>-0.16237133984503399</v>
      </c>
      <c r="G1629" s="9">
        <f t="shared" si="74"/>
        <v>1.7919600628471755E-2</v>
      </c>
    </row>
    <row r="1630" spans="1:7" x14ac:dyDescent="0.2">
      <c r="A1630" s="11">
        <v>37441</v>
      </c>
      <c r="B1630" s="10">
        <v>123.3424</v>
      </c>
      <c r="E1630" s="13">
        <f t="shared" si="75"/>
        <v>-2.3201086807806276E-3</v>
      </c>
      <c r="F1630" s="9">
        <f t="shared" si="73"/>
        <v>-0.15942677256040866</v>
      </c>
      <c r="G1630" s="9">
        <f t="shared" si="74"/>
        <v>1.7929902069227569E-2</v>
      </c>
    </row>
    <row r="1631" spans="1:7" x14ac:dyDescent="0.2">
      <c r="A1631" s="11">
        <v>37442</v>
      </c>
      <c r="B1631" s="10">
        <v>125.9723</v>
      </c>
      <c r="E1631" s="13">
        <f t="shared" si="75"/>
        <v>2.1097813731314464E-2</v>
      </c>
      <c r="F1631" s="9">
        <f t="shared" si="73"/>
        <v>-0.1347257830592255</v>
      </c>
      <c r="G1631" s="9">
        <f t="shared" si="74"/>
        <v>1.8597389032475414E-2</v>
      </c>
    </row>
    <row r="1632" spans="1:7" x14ac:dyDescent="0.2">
      <c r="A1632" s="11">
        <v>37445</v>
      </c>
      <c r="B1632" s="10">
        <v>126.6057</v>
      </c>
      <c r="E1632" s="13">
        <f t="shared" si="75"/>
        <v>5.0154908802195683E-3</v>
      </c>
      <c r="F1632" s="9">
        <f t="shared" ref="F1632:F1695" si="76">LN(B1632/B1603)</f>
        <v>-0.12121239859494086</v>
      </c>
      <c r="G1632" s="9">
        <f t="shared" si="74"/>
        <v>1.8666589060957538E-2</v>
      </c>
    </row>
    <row r="1633" spans="1:7" x14ac:dyDescent="0.2">
      <c r="A1633" s="11">
        <v>37446</v>
      </c>
      <c r="B1633" s="10">
        <v>126.1495</v>
      </c>
      <c r="E1633" s="13">
        <f t="shared" si="75"/>
        <v>-3.6098208494837083E-3</v>
      </c>
      <c r="F1633" s="9">
        <f t="shared" si="76"/>
        <v>-9.9385403476313125E-2</v>
      </c>
      <c r="G1633" s="9">
        <f t="shared" ref="G1633:G1696" si="77">STDEV(E1605:E1633)</f>
        <v>1.8213413973898255E-2</v>
      </c>
    </row>
    <row r="1634" spans="1:7" x14ac:dyDescent="0.2">
      <c r="A1634" s="11">
        <v>37447</v>
      </c>
      <c r="B1634" s="10">
        <v>124.4679</v>
      </c>
      <c r="E1634" s="13">
        <f t="shared" si="75"/>
        <v>-1.3419860208487707E-2</v>
      </c>
      <c r="F1634" s="9">
        <f t="shared" si="76"/>
        <v>-0.10823519434464299</v>
      </c>
      <c r="G1634" s="9">
        <f t="shared" si="77"/>
        <v>1.8307146431363448E-2</v>
      </c>
    </row>
    <row r="1635" spans="1:7" x14ac:dyDescent="0.2">
      <c r="A1635" s="11">
        <v>37448</v>
      </c>
      <c r="B1635" s="10">
        <v>122.68819999999999</v>
      </c>
      <c r="E1635" s="13">
        <f t="shared" si="75"/>
        <v>-1.4401673762121994E-2</v>
      </c>
      <c r="F1635" s="9">
        <f t="shared" si="76"/>
        <v>-0.12304487220111607</v>
      </c>
      <c r="G1635" s="9">
        <f t="shared" si="77"/>
        <v>1.8393882003449179E-2</v>
      </c>
    </row>
    <row r="1636" spans="1:7" x14ac:dyDescent="0.2">
      <c r="A1636" s="11">
        <v>37449</v>
      </c>
      <c r="B1636" s="10">
        <v>121.804</v>
      </c>
      <c r="E1636" s="13">
        <f t="shared" si="75"/>
        <v>-7.232982114080729E-3</v>
      </c>
      <c r="F1636" s="9">
        <f t="shared" si="76"/>
        <v>-0.12452739721155809</v>
      </c>
      <c r="G1636" s="9">
        <f t="shared" si="77"/>
        <v>1.8400280528807902E-2</v>
      </c>
    </row>
    <row r="1637" spans="1:7" x14ac:dyDescent="0.2">
      <c r="A1637" s="11">
        <v>37452</v>
      </c>
      <c r="B1637" s="10">
        <v>121.212</v>
      </c>
      <c r="E1637" s="13">
        <f t="shared" si="75"/>
        <v>-4.8721168240004288E-3</v>
      </c>
      <c r="F1637" s="9">
        <f t="shared" si="76"/>
        <v>-0.10246056195803645</v>
      </c>
      <c r="G1637" s="9">
        <f t="shared" si="77"/>
        <v>1.7879278044994302E-2</v>
      </c>
    </row>
    <row r="1638" spans="1:7" x14ac:dyDescent="0.2">
      <c r="A1638" s="11">
        <v>37453</v>
      </c>
      <c r="B1638" s="10">
        <v>120.0111</v>
      </c>
      <c r="E1638" s="13">
        <f t="shared" si="75"/>
        <v>-9.9568401308626885E-3</v>
      </c>
      <c r="F1638" s="9">
        <f t="shared" si="76"/>
        <v>-0.10565619458615853</v>
      </c>
      <c r="G1638" s="9">
        <f t="shared" si="77"/>
        <v>1.7909705876728164E-2</v>
      </c>
    </row>
    <row r="1639" spans="1:7" x14ac:dyDescent="0.2">
      <c r="A1639" s="11">
        <v>37454</v>
      </c>
      <c r="B1639" s="10">
        <v>122.724</v>
      </c>
      <c r="E1639" s="13">
        <f t="shared" si="75"/>
        <v>2.2353693107691395E-2</v>
      </c>
      <c r="F1639" s="9">
        <f t="shared" si="76"/>
        <v>-9.2643593644350097E-2</v>
      </c>
      <c r="G1639" s="9">
        <f t="shared" si="77"/>
        <v>1.8402855537391682E-2</v>
      </c>
    </row>
    <row r="1640" spans="1:7" x14ac:dyDescent="0.2">
      <c r="A1640" s="11">
        <v>37455</v>
      </c>
      <c r="B1640" s="10">
        <v>122.76739999999999</v>
      </c>
      <c r="E1640" s="13">
        <f t="shared" si="75"/>
        <v>3.5357654445033126E-4</v>
      </c>
      <c r="F1640" s="9">
        <f t="shared" si="76"/>
        <v>-6.8198099447709284E-2</v>
      </c>
      <c r="G1640" s="9">
        <f t="shared" si="77"/>
        <v>1.7966147025077452E-2</v>
      </c>
    </row>
    <row r="1641" spans="1:7" x14ac:dyDescent="0.2">
      <c r="A1641" s="11">
        <v>37456</v>
      </c>
      <c r="B1641" s="10">
        <v>119.9225</v>
      </c>
      <c r="E1641" s="13">
        <f t="shared" si="75"/>
        <v>-2.3445807347797009E-2</v>
      </c>
      <c r="F1641" s="9">
        <f t="shared" si="76"/>
        <v>-9.827701150930751E-2</v>
      </c>
      <c r="G1641" s="9">
        <f t="shared" si="77"/>
        <v>1.8294171071699269E-2</v>
      </c>
    </row>
    <row r="1642" spans="1:7" x14ac:dyDescent="0.2">
      <c r="A1642" s="11">
        <v>37459</v>
      </c>
      <c r="B1642" s="10">
        <v>115.43940000000001</v>
      </c>
      <c r="E1642" s="13">
        <f t="shared" si="75"/>
        <v>-3.809998386161851E-2</v>
      </c>
      <c r="F1642" s="9">
        <f t="shared" si="76"/>
        <v>-0.15527716708750872</v>
      </c>
      <c r="G1642" s="9">
        <f t="shared" si="77"/>
        <v>1.8866990519197335E-2</v>
      </c>
    </row>
    <row r="1643" spans="1:7" x14ac:dyDescent="0.2">
      <c r="A1643" s="11">
        <v>37460</v>
      </c>
      <c r="B1643" s="10">
        <v>111.8235</v>
      </c>
      <c r="E1643" s="13">
        <f t="shared" si="75"/>
        <v>-3.1823981534195911E-2</v>
      </c>
      <c r="F1643" s="9">
        <f t="shared" si="76"/>
        <v>-0.18721239273144386</v>
      </c>
      <c r="G1643" s="9">
        <f t="shared" si="77"/>
        <v>1.9459272643099396E-2</v>
      </c>
    </row>
    <row r="1644" spans="1:7" x14ac:dyDescent="0.2">
      <c r="A1644" s="11">
        <v>37461</v>
      </c>
      <c r="B1644" s="10">
        <v>105.5211</v>
      </c>
      <c r="E1644" s="13">
        <f t="shared" si="75"/>
        <v>-5.8010802493927503E-2</v>
      </c>
      <c r="F1644" s="9">
        <f t="shared" si="76"/>
        <v>-0.24671859740256596</v>
      </c>
      <c r="G1644" s="9">
        <f t="shared" si="77"/>
        <v>2.1609513133830405E-2</v>
      </c>
    </row>
    <row r="1645" spans="1:7" x14ac:dyDescent="0.2">
      <c r="A1645" s="11">
        <v>37462</v>
      </c>
      <c r="B1645" s="10">
        <v>110.221</v>
      </c>
      <c r="E1645" s="13">
        <f t="shared" si="75"/>
        <v>4.3576508258708353E-2</v>
      </c>
      <c r="F1645" s="9">
        <f t="shared" si="76"/>
        <v>-0.17415006583496237</v>
      </c>
      <c r="G1645" s="9">
        <f t="shared" si="77"/>
        <v>2.3289122625153633E-2</v>
      </c>
    </row>
    <row r="1646" spans="1:7" x14ac:dyDescent="0.2">
      <c r="A1646" s="11">
        <v>37463</v>
      </c>
      <c r="B1646" s="10">
        <v>111.0072</v>
      </c>
      <c r="E1646" s="13">
        <f t="shared" si="75"/>
        <v>7.1076228960688503E-3</v>
      </c>
      <c r="F1646" s="9">
        <f t="shared" si="76"/>
        <v>-0.19077139193813344</v>
      </c>
      <c r="G1646" s="9">
        <f t="shared" si="77"/>
        <v>2.2729018082611966E-2</v>
      </c>
    </row>
    <row r="1647" spans="1:7" x14ac:dyDescent="0.2">
      <c r="A1647" s="11">
        <v>37466</v>
      </c>
      <c r="B1647" s="10">
        <v>113.1337</v>
      </c>
      <c r="E1647" s="13">
        <f t="shared" si="75"/>
        <v>1.8975241066753017E-2</v>
      </c>
      <c r="F1647" s="9">
        <f t="shared" si="76"/>
        <v>-0.17290392702939977</v>
      </c>
      <c r="G1647" s="9">
        <f t="shared" si="77"/>
        <v>2.3182452891439397E-2</v>
      </c>
    </row>
    <row r="1648" spans="1:7" x14ac:dyDescent="0.2">
      <c r="A1648" s="11">
        <v>37467</v>
      </c>
      <c r="B1648" s="10">
        <v>113.4033</v>
      </c>
      <c r="E1648" s="13">
        <f t="shared" si="75"/>
        <v>2.3801862590224678E-3</v>
      </c>
      <c r="F1648" s="9">
        <f t="shared" si="76"/>
        <v>-0.15950163903630049</v>
      </c>
      <c r="G1648" s="9">
        <f t="shared" si="77"/>
        <v>2.3211550772495544E-2</v>
      </c>
    </row>
    <row r="1649" spans="1:7" x14ac:dyDescent="0.2">
      <c r="A1649" s="11">
        <v>37468</v>
      </c>
      <c r="B1649" s="10">
        <v>115.12269999999999</v>
      </c>
      <c r="E1649" s="13">
        <f t="shared" si="75"/>
        <v>1.5048024692088725E-2</v>
      </c>
      <c r="F1649" s="9">
        <f t="shared" si="76"/>
        <v>-0.11801358432027791</v>
      </c>
      <c r="G1649" s="9">
        <f t="shared" si="77"/>
        <v>2.3153307309798966E-2</v>
      </c>
    </row>
    <row r="1650" spans="1:7" x14ac:dyDescent="0.2">
      <c r="A1650" s="11">
        <v>37469</v>
      </c>
      <c r="B1650" s="10">
        <v>115.2226</v>
      </c>
      <c r="E1650" s="13">
        <f t="shared" si="75"/>
        <v>8.6739348502873554E-4</v>
      </c>
      <c r="F1650" s="9">
        <f t="shared" si="76"/>
        <v>-0.11192271508762212</v>
      </c>
      <c r="G1650" s="9">
        <f t="shared" si="77"/>
        <v>2.3170084692295458E-2</v>
      </c>
    </row>
    <row r="1651" spans="1:7" x14ac:dyDescent="0.2">
      <c r="A1651" s="11">
        <v>37470</v>
      </c>
      <c r="B1651" s="10">
        <v>113.45229999999999</v>
      </c>
      <c r="E1651" s="13">
        <f t="shared" si="75"/>
        <v>-1.5483425307979604E-2</v>
      </c>
      <c r="F1651" s="9">
        <f t="shared" si="76"/>
        <v>-0.10358665662066445</v>
      </c>
      <c r="G1651" s="9">
        <f t="shared" si="77"/>
        <v>2.2964410332644437E-2</v>
      </c>
    </row>
    <row r="1652" spans="1:7" x14ac:dyDescent="0.2">
      <c r="A1652" s="11">
        <v>37473</v>
      </c>
      <c r="B1652" s="10">
        <v>109.4255</v>
      </c>
      <c r="E1652" s="13">
        <f t="shared" si="75"/>
        <v>-3.6138531862227999E-2</v>
      </c>
      <c r="F1652" s="9">
        <f t="shared" si="76"/>
        <v>-0.14763361558986293</v>
      </c>
      <c r="G1652" s="9">
        <f t="shared" si="77"/>
        <v>2.3625105935367496E-2</v>
      </c>
    </row>
    <row r="1653" spans="1:7" x14ac:dyDescent="0.2">
      <c r="A1653" s="11">
        <v>37474</v>
      </c>
      <c r="B1653" s="10">
        <v>110.6414</v>
      </c>
      <c r="E1653" s="13">
        <f t="shared" si="75"/>
        <v>1.105038852167829E-2</v>
      </c>
      <c r="F1653" s="9">
        <f t="shared" si="76"/>
        <v>-8.6085435926893619E-2</v>
      </c>
      <c r="G1653" s="9">
        <f t="shared" si="77"/>
        <v>2.2116732270568932E-2</v>
      </c>
    </row>
    <row r="1654" spans="1:7" x14ac:dyDescent="0.2">
      <c r="A1654" s="11">
        <v>37475</v>
      </c>
      <c r="B1654" s="10">
        <v>111.68210000000001</v>
      </c>
      <c r="E1654" s="13">
        <f t="shared" si="75"/>
        <v>9.362101634274516E-3</v>
      </c>
      <c r="F1654" s="9">
        <f t="shared" si="76"/>
        <v>-0.11272849220549849</v>
      </c>
      <c r="G1654" s="9">
        <f t="shared" si="77"/>
        <v>2.0963248203961542E-2</v>
      </c>
    </row>
    <row r="1655" spans="1:7" x14ac:dyDescent="0.2">
      <c r="A1655" s="11">
        <v>37476</v>
      </c>
      <c r="B1655" s="10">
        <v>112.98860000000001</v>
      </c>
      <c r="E1655" s="13">
        <f t="shared" si="75"/>
        <v>1.1630486105155958E-2</v>
      </c>
      <c r="F1655" s="9">
        <f t="shared" si="76"/>
        <v>-0.10902910468593377</v>
      </c>
      <c r="G1655" s="9">
        <f t="shared" si="77"/>
        <v>2.1048814113768185E-2</v>
      </c>
    </row>
    <row r="1656" spans="1:7" x14ac:dyDescent="0.2">
      <c r="A1656" s="11">
        <v>37477</v>
      </c>
      <c r="B1656" s="10">
        <v>113.639</v>
      </c>
      <c r="E1656" s="13">
        <f t="shared" si="75"/>
        <v>5.7398285615013721E-3</v>
      </c>
      <c r="F1656" s="9">
        <f t="shared" si="76"/>
        <v>-0.11086107185828481</v>
      </c>
      <c r="G1656" s="9">
        <f t="shared" si="77"/>
        <v>2.1016315867217677E-2</v>
      </c>
    </row>
    <row r="1657" spans="1:7" x14ac:dyDescent="0.2">
      <c r="A1657" s="11">
        <v>37480</v>
      </c>
      <c r="B1657" s="10">
        <v>111.80840000000001</v>
      </c>
      <c r="E1657" s="13">
        <f t="shared" si="75"/>
        <v>-1.6240065162134353E-2</v>
      </c>
      <c r="F1657" s="9">
        <f t="shared" si="76"/>
        <v>-0.11830164572153114</v>
      </c>
      <c r="G1657" s="9">
        <f t="shared" si="77"/>
        <v>2.1124382457538286E-2</v>
      </c>
    </row>
    <row r="1658" spans="1:7" x14ac:dyDescent="0.2">
      <c r="A1658" s="11">
        <v>37481</v>
      </c>
      <c r="B1658" s="10">
        <v>113.0282</v>
      </c>
      <c r="E1658" s="13">
        <f t="shared" si="75"/>
        <v>1.0850653033439654E-2</v>
      </c>
      <c r="F1658" s="9">
        <f t="shared" si="76"/>
        <v>-8.9646991362302766E-2</v>
      </c>
      <c r="G1658" s="9">
        <f t="shared" si="77"/>
        <v>2.112964526516645E-2</v>
      </c>
    </row>
    <row r="1659" spans="1:7" x14ac:dyDescent="0.2">
      <c r="A1659" s="11">
        <v>37482</v>
      </c>
      <c r="B1659" s="10">
        <v>111.7311</v>
      </c>
      <c r="E1659" s="13">
        <f t="shared" si="75"/>
        <v>-1.1542253426937359E-2</v>
      </c>
      <c r="F1659" s="9">
        <f t="shared" si="76"/>
        <v>-9.8869136108459627E-2</v>
      </c>
      <c r="G1659" s="9">
        <f t="shared" si="77"/>
        <v>2.1186944340209998E-2</v>
      </c>
    </row>
    <row r="1660" spans="1:7" x14ac:dyDescent="0.2">
      <c r="A1660" s="11">
        <v>37483</v>
      </c>
      <c r="B1660" s="10">
        <v>113.8614</v>
      </c>
      <c r="E1660" s="13">
        <f t="shared" si="75"/>
        <v>1.8886827575976661E-2</v>
      </c>
      <c r="F1660" s="9">
        <f t="shared" si="76"/>
        <v>-0.10108012226379759</v>
      </c>
      <c r="G1660" s="9">
        <f t="shared" si="77"/>
        <v>2.1099403591057837E-2</v>
      </c>
    </row>
    <row r="1661" spans="1:7" x14ac:dyDescent="0.2">
      <c r="A1661" s="11">
        <v>37484</v>
      </c>
      <c r="B1661" s="10">
        <v>112.9226</v>
      </c>
      <c r="E1661" s="13">
        <f t="shared" si="75"/>
        <v>-8.2792909784420322E-3</v>
      </c>
      <c r="F1661" s="9">
        <f t="shared" si="76"/>
        <v>-0.11437490412245906</v>
      </c>
      <c r="G1661" s="9">
        <f t="shared" si="77"/>
        <v>2.1052479866476115E-2</v>
      </c>
    </row>
    <row r="1662" spans="1:7" x14ac:dyDescent="0.2">
      <c r="A1662" s="11">
        <v>37487</v>
      </c>
      <c r="B1662" s="10">
        <v>112.998</v>
      </c>
      <c r="E1662" s="13">
        <f t="shared" si="75"/>
        <v>6.6749116990212143E-4</v>
      </c>
      <c r="F1662" s="9">
        <f t="shared" si="76"/>
        <v>-0.11009759210307309</v>
      </c>
      <c r="G1662" s="9">
        <f t="shared" si="77"/>
        <v>2.1069880682109732E-2</v>
      </c>
    </row>
    <row r="1663" spans="1:7" x14ac:dyDescent="0.2">
      <c r="A1663" s="11">
        <v>37488</v>
      </c>
      <c r="B1663" s="10">
        <v>112.9923</v>
      </c>
      <c r="E1663" s="13">
        <f t="shared" si="75"/>
        <v>-5.0444642988774461E-5</v>
      </c>
      <c r="F1663" s="9">
        <f t="shared" si="76"/>
        <v>-9.6728176537574151E-2</v>
      </c>
      <c r="G1663" s="9">
        <f t="shared" si="77"/>
        <v>2.0997938635736787E-2</v>
      </c>
    </row>
    <row r="1664" spans="1:7" x14ac:dyDescent="0.2">
      <c r="A1664" s="11">
        <v>37489</v>
      </c>
      <c r="B1664" s="10">
        <v>113.8746</v>
      </c>
      <c r="E1664" s="13">
        <f t="shared" si="75"/>
        <v>7.7781681527860557E-3</v>
      </c>
      <c r="F1664" s="9">
        <f t="shared" si="76"/>
        <v>-7.4548334622666149E-2</v>
      </c>
      <c r="G1664" s="9">
        <f t="shared" si="77"/>
        <v>2.0984402127539114E-2</v>
      </c>
    </row>
    <row r="1665" spans="1:7" x14ac:dyDescent="0.2">
      <c r="A1665" s="11">
        <v>37490</v>
      </c>
      <c r="B1665" s="10">
        <v>115.72410000000001</v>
      </c>
      <c r="E1665" s="13">
        <f t="shared" si="75"/>
        <v>1.6111066878950534E-2</v>
      </c>
      <c r="F1665" s="9">
        <f t="shared" si="76"/>
        <v>-5.1204285629634909E-2</v>
      </c>
      <c r="G1665" s="9">
        <f t="shared" si="77"/>
        <v>2.1245285943825201E-2</v>
      </c>
    </row>
    <row r="1666" spans="1:7" x14ac:dyDescent="0.2">
      <c r="A1666" s="11">
        <v>37491</v>
      </c>
      <c r="B1666" s="10">
        <v>115.43940000000001</v>
      </c>
      <c r="E1666" s="13">
        <f t="shared" si="75"/>
        <v>-2.4631928825020358E-3</v>
      </c>
      <c r="F1666" s="9">
        <f t="shared" si="76"/>
        <v>-4.8795361688136564E-2</v>
      </c>
      <c r="G1666" s="9">
        <f t="shared" si="77"/>
        <v>2.1237414169667488E-2</v>
      </c>
    </row>
    <row r="1667" spans="1:7" x14ac:dyDescent="0.2">
      <c r="A1667" s="11">
        <v>37494</v>
      </c>
      <c r="B1667" s="10">
        <v>114.4383</v>
      </c>
      <c r="E1667" s="13">
        <f t="shared" si="75"/>
        <v>-8.7099038211603409E-3</v>
      </c>
      <c r="F1667" s="9">
        <f t="shared" si="76"/>
        <v>-4.7548425378434227E-2</v>
      </c>
      <c r="G1667" s="9">
        <f t="shared" si="77"/>
        <v>2.1221319828709072E-2</v>
      </c>
    </row>
    <row r="1668" spans="1:7" x14ac:dyDescent="0.2">
      <c r="A1668" s="11">
        <v>37495</v>
      </c>
      <c r="B1668" s="10">
        <v>114.83799999999999</v>
      </c>
      <c r="E1668" s="13">
        <f t="shared" ref="E1668:E1731" si="78">LN(B1668/B1667)</f>
        <v>3.4866264408035122E-3</v>
      </c>
      <c r="F1668" s="9">
        <f t="shared" si="76"/>
        <v>-6.6415492045321989E-2</v>
      </c>
      <c r="G1668" s="9">
        <f t="shared" si="77"/>
        <v>2.0743302689632731E-2</v>
      </c>
    </row>
    <row r="1669" spans="1:7" x14ac:dyDescent="0.2">
      <c r="A1669" s="11">
        <v>37496</v>
      </c>
      <c r="B1669" s="10">
        <v>112.43049999999999</v>
      </c>
      <c r="E1669" s="13">
        <f t="shared" si="78"/>
        <v>-2.1187186603176394E-2</v>
      </c>
      <c r="F1669" s="9">
        <f t="shared" si="76"/>
        <v>-8.7956255192948696E-2</v>
      </c>
      <c r="G1669" s="9">
        <f t="shared" si="77"/>
        <v>2.1028956084950229E-2</v>
      </c>
    </row>
    <row r="1670" spans="1:7" x14ac:dyDescent="0.2">
      <c r="A1670" s="11">
        <v>37497</v>
      </c>
      <c r="B1670" s="10">
        <v>109.81570000000001</v>
      </c>
      <c r="E1670" s="13">
        <f t="shared" si="78"/>
        <v>-2.3531746860105115E-2</v>
      </c>
      <c r="F1670" s="9">
        <f t="shared" si="76"/>
        <v>-8.8042194705256802E-2</v>
      </c>
      <c r="G1670" s="9">
        <f t="shared" si="77"/>
        <v>2.103194127086596E-2</v>
      </c>
    </row>
    <row r="1671" spans="1:7" x14ac:dyDescent="0.2">
      <c r="A1671" s="11">
        <v>37498</v>
      </c>
      <c r="B1671" s="10">
        <v>111.2315</v>
      </c>
      <c r="E1671" s="13">
        <f t="shared" si="78"/>
        <v>1.2810108980175386E-2</v>
      </c>
      <c r="F1671" s="9">
        <f t="shared" si="76"/>
        <v>-3.7132101863462871E-2</v>
      </c>
      <c r="G1671" s="9">
        <f t="shared" si="77"/>
        <v>2.0104928020408662E-2</v>
      </c>
    </row>
    <row r="1672" spans="1:7" x14ac:dyDescent="0.2">
      <c r="A1672" s="11">
        <v>37501</v>
      </c>
      <c r="B1672" s="10">
        <v>110.3096</v>
      </c>
      <c r="E1672" s="13">
        <f t="shared" si="78"/>
        <v>-8.3226572532339796E-3</v>
      </c>
      <c r="F1672" s="9">
        <f t="shared" si="76"/>
        <v>-1.3630777582501015E-2</v>
      </c>
      <c r="G1672" s="9">
        <f t="shared" si="77"/>
        <v>1.9286807331975641E-2</v>
      </c>
    </row>
    <row r="1673" spans="1:7" x14ac:dyDescent="0.2">
      <c r="A1673" s="11">
        <v>37502</v>
      </c>
      <c r="B1673" s="10">
        <v>106.89360000000001</v>
      </c>
      <c r="E1673" s="13">
        <f t="shared" si="78"/>
        <v>-3.1457010627919384E-2</v>
      </c>
      <c r="F1673" s="9">
        <f t="shared" si="76"/>
        <v>1.2923014283507074E-2</v>
      </c>
      <c r="G1673" s="9">
        <f t="shared" si="77"/>
        <v>1.6945716495624739E-2</v>
      </c>
    </row>
    <row r="1674" spans="1:7" x14ac:dyDescent="0.2">
      <c r="A1674" s="11">
        <v>37503</v>
      </c>
      <c r="B1674" s="10">
        <v>105.6173</v>
      </c>
      <c r="E1674" s="13">
        <f t="shared" si="78"/>
        <v>-1.2011763590531759E-2</v>
      </c>
      <c r="F1674" s="9">
        <f t="shared" si="76"/>
        <v>-4.2665257565732924E-2</v>
      </c>
      <c r="G1674" s="9">
        <f t="shared" si="77"/>
        <v>1.4914954112196378E-2</v>
      </c>
    </row>
    <row r="1675" spans="1:7" x14ac:dyDescent="0.2">
      <c r="A1675" s="11">
        <v>37504</v>
      </c>
      <c r="B1675" s="10">
        <v>103.0665</v>
      </c>
      <c r="E1675" s="13">
        <f t="shared" si="78"/>
        <v>-2.4447772644239162E-2</v>
      </c>
      <c r="F1675" s="9">
        <f t="shared" si="76"/>
        <v>-7.4220653106040868E-2</v>
      </c>
      <c r="G1675" s="9">
        <f t="shared" si="77"/>
        <v>1.5409590821558725E-2</v>
      </c>
    </row>
    <row r="1676" spans="1:7" x14ac:dyDescent="0.2">
      <c r="A1676" s="11">
        <v>37505</v>
      </c>
      <c r="B1676" s="10">
        <v>105.4118</v>
      </c>
      <c r="E1676" s="13">
        <f t="shared" si="78"/>
        <v>2.250017333250845E-2</v>
      </c>
      <c r="F1676" s="9">
        <f t="shared" si="76"/>
        <v>-7.0695720840285331E-2</v>
      </c>
      <c r="G1676" s="9">
        <f t="shared" si="77"/>
        <v>1.5598267100575283E-2</v>
      </c>
    </row>
    <row r="1677" spans="1:7" x14ac:dyDescent="0.2">
      <c r="A1677" s="11">
        <v>37508</v>
      </c>
      <c r="B1677" s="10">
        <v>103.8715</v>
      </c>
      <c r="E1677" s="13">
        <f t="shared" si="78"/>
        <v>-1.4720026036250779E-2</v>
      </c>
      <c r="F1677" s="9">
        <f t="shared" si="76"/>
        <v>-8.7795933135558599E-2</v>
      </c>
      <c r="G1677" s="9">
        <f t="shared" si="77"/>
        <v>1.5732272925458844E-2</v>
      </c>
    </row>
    <row r="1678" spans="1:7" x14ac:dyDescent="0.2">
      <c r="A1678" s="11">
        <v>37509</v>
      </c>
      <c r="B1678" s="10">
        <v>105.0705</v>
      </c>
      <c r="E1678" s="13">
        <f t="shared" si="78"/>
        <v>1.1476995157853423E-2</v>
      </c>
      <c r="F1678" s="9">
        <f t="shared" si="76"/>
        <v>-9.1366962669794036E-2</v>
      </c>
      <c r="G1678" s="9">
        <f t="shared" si="77"/>
        <v>1.559915286067547E-2</v>
      </c>
    </row>
    <row r="1679" spans="1:7" x14ac:dyDescent="0.2">
      <c r="A1679" s="11">
        <v>37510</v>
      </c>
      <c r="B1679" s="10">
        <v>106.5693</v>
      </c>
      <c r="E1679" s="13">
        <f t="shared" si="78"/>
        <v>1.4163924336997352E-2</v>
      </c>
      <c r="F1679" s="9">
        <f t="shared" si="76"/>
        <v>-7.8070431817825525E-2</v>
      </c>
      <c r="G1679" s="9">
        <f t="shared" si="77"/>
        <v>1.5913708786964683E-2</v>
      </c>
    </row>
    <row r="1680" spans="1:7" x14ac:dyDescent="0.2">
      <c r="A1680" s="11">
        <v>37511</v>
      </c>
      <c r="B1680" s="10">
        <v>104.8896</v>
      </c>
      <c r="E1680" s="13">
        <f t="shared" si="78"/>
        <v>-1.5887109311315768E-2</v>
      </c>
      <c r="F1680" s="9">
        <f t="shared" si="76"/>
        <v>-7.8474115821161566E-2</v>
      </c>
      <c r="G1680" s="9">
        <f t="shared" si="77"/>
        <v>1.5925469523539612E-2</v>
      </c>
    </row>
    <row r="1681" spans="1:7" x14ac:dyDescent="0.2">
      <c r="A1681" s="11">
        <v>37512</v>
      </c>
      <c r="B1681" s="10">
        <v>102.76860000000001</v>
      </c>
      <c r="E1681" s="13">
        <f t="shared" si="78"/>
        <v>-2.0428509555648924E-2</v>
      </c>
      <c r="F1681" s="9">
        <f t="shared" si="76"/>
        <v>-6.2764093514582495E-2</v>
      </c>
      <c r="G1681" s="9">
        <f t="shared" si="77"/>
        <v>1.4987159981378288E-2</v>
      </c>
    </row>
    <row r="1682" spans="1:7" x14ac:dyDescent="0.2">
      <c r="A1682" s="11">
        <v>37515</v>
      </c>
      <c r="B1682" s="10">
        <v>102.27849999999999</v>
      </c>
      <c r="E1682" s="13">
        <f t="shared" si="78"/>
        <v>-4.7803742000008791E-3</v>
      </c>
      <c r="F1682" s="9">
        <f t="shared" si="76"/>
        <v>-7.8594856236261668E-2</v>
      </c>
      <c r="G1682" s="9">
        <f t="shared" si="77"/>
        <v>1.4775454652173392E-2</v>
      </c>
    </row>
    <row r="1683" spans="1:7" x14ac:dyDescent="0.2">
      <c r="A1683" s="11">
        <v>37516</v>
      </c>
      <c r="B1683" s="10">
        <v>102.36709999999999</v>
      </c>
      <c r="E1683" s="13">
        <f t="shared" si="78"/>
        <v>8.6588722685202477E-4</v>
      </c>
      <c r="F1683" s="9">
        <f t="shared" si="76"/>
        <v>-8.7091070643684348E-2</v>
      </c>
      <c r="G1683" s="9">
        <f t="shared" si="77"/>
        <v>1.4610848477405458E-2</v>
      </c>
    </row>
    <row r="1684" spans="1:7" x14ac:dyDescent="0.2">
      <c r="A1684" s="11">
        <v>37517</v>
      </c>
      <c r="B1684" s="10">
        <v>99.062200000000004</v>
      </c>
      <c r="E1684" s="13">
        <f t="shared" si="78"/>
        <v>-3.2817436242671666E-2</v>
      </c>
      <c r="F1684" s="9">
        <f t="shared" si="76"/>
        <v>-0.13153899299151195</v>
      </c>
      <c r="G1684" s="9">
        <f t="shared" si="77"/>
        <v>1.5334342262555058E-2</v>
      </c>
    </row>
    <row r="1685" spans="1:7" x14ac:dyDescent="0.2">
      <c r="A1685" s="11">
        <v>37518</v>
      </c>
      <c r="B1685" s="10">
        <v>95.531199999999998</v>
      </c>
      <c r="E1685" s="13">
        <f t="shared" si="78"/>
        <v>-3.6295039973819478E-2</v>
      </c>
      <c r="F1685" s="9">
        <f t="shared" si="76"/>
        <v>-0.17357386152683288</v>
      </c>
      <c r="G1685" s="9">
        <f t="shared" si="77"/>
        <v>1.6285518687066639E-2</v>
      </c>
    </row>
    <row r="1686" spans="1:7" x14ac:dyDescent="0.2">
      <c r="A1686" s="11">
        <v>37519</v>
      </c>
      <c r="B1686" s="10">
        <v>96.2136</v>
      </c>
      <c r="E1686" s="13">
        <f t="shared" si="78"/>
        <v>7.1178241189059138E-3</v>
      </c>
      <c r="F1686" s="9">
        <f t="shared" si="76"/>
        <v>-0.15021597224579253</v>
      </c>
      <c r="G1686" s="9">
        <f t="shared" si="77"/>
        <v>1.6337758370747239E-2</v>
      </c>
    </row>
    <row r="1687" spans="1:7" x14ac:dyDescent="0.2">
      <c r="A1687" s="11">
        <v>37522</v>
      </c>
      <c r="B1687" s="10">
        <v>95.067400000000006</v>
      </c>
      <c r="E1687" s="13">
        <f t="shared" si="78"/>
        <v>-1.1984606093661114E-2</v>
      </c>
      <c r="F1687" s="9">
        <f t="shared" si="76"/>
        <v>-0.17305123137289344</v>
      </c>
      <c r="G1687" s="9">
        <f t="shared" si="77"/>
        <v>1.6085898803343303E-2</v>
      </c>
    </row>
    <row r="1688" spans="1:7" x14ac:dyDescent="0.2">
      <c r="A1688" s="11">
        <v>37523</v>
      </c>
      <c r="B1688" s="10">
        <v>91.918999999999997</v>
      </c>
      <c r="E1688" s="13">
        <f t="shared" si="78"/>
        <v>-3.3678359271188549E-2</v>
      </c>
      <c r="F1688" s="9">
        <f t="shared" si="76"/>
        <v>-0.1951873372171446</v>
      </c>
      <c r="G1688" s="9">
        <f t="shared" si="77"/>
        <v>1.6866173400562724E-2</v>
      </c>
    </row>
    <row r="1689" spans="1:7" x14ac:dyDescent="0.2">
      <c r="A1689" s="11">
        <v>37524</v>
      </c>
      <c r="B1689" s="10">
        <v>93.434799999999996</v>
      </c>
      <c r="E1689" s="13">
        <f t="shared" si="78"/>
        <v>1.6356112390344662E-2</v>
      </c>
      <c r="F1689" s="9">
        <f t="shared" si="76"/>
        <v>-0.19771805240277651</v>
      </c>
      <c r="G1689" s="9">
        <f t="shared" si="77"/>
        <v>1.673493075215798E-2</v>
      </c>
    </row>
    <row r="1690" spans="1:7" x14ac:dyDescent="0.2">
      <c r="A1690" s="11">
        <v>37525</v>
      </c>
      <c r="B1690" s="10">
        <v>96.162700000000001</v>
      </c>
      <c r="E1690" s="13">
        <f t="shared" si="78"/>
        <v>2.8777681749278614E-2</v>
      </c>
      <c r="F1690" s="9">
        <f t="shared" si="76"/>
        <v>-0.16066107967505588</v>
      </c>
      <c r="G1690" s="9">
        <f t="shared" si="77"/>
        <v>1.7987273393634158E-2</v>
      </c>
    </row>
    <row r="1691" spans="1:7" x14ac:dyDescent="0.2">
      <c r="A1691" s="11">
        <v>37526</v>
      </c>
      <c r="B1691" s="10">
        <v>96.081699999999998</v>
      </c>
      <c r="E1691" s="13">
        <f t="shared" si="78"/>
        <v>-8.426773918326449E-4</v>
      </c>
      <c r="F1691" s="9">
        <f t="shared" si="76"/>
        <v>-0.16217124823679069</v>
      </c>
      <c r="G1691" s="9">
        <f t="shared" si="77"/>
        <v>1.7970838734268149E-2</v>
      </c>
    </row>
    <row r="1692" spans="1:7" x14ac:dyDescent="0.2">
      <c r="A1692" s="11">
        <v>37529</v>
      </c>
      <c r="B1692" s="10">
        <v>94.160600000000002</v>
      </c>
      <c r="E1692" s="13">
        <f t="shared" si="78"/>
        <v>-2.0197036139614776E-2</v>
      </c>
      <c r="F1692" s="9">
        <f t="shared" si="76"/>
        <v>-0.18231783973341675</v>
      </c>
      <c r="G1692" s="9">
        <f t="shared" si="77"/>
        <v>1.8137596063393161E-2</v>
      </c>
    </row>
    <row r="1693" spans="1:7" x14ac:dyDescent="0.2">
      <c r="A1693" s="11">
        <v>37530</v>
      </c>
      <c r="B1693" s="10">
        <v>94.045599999999993</v>
      </c>
      <c r="E1693" s="13">
        <f t="shared" si="78"/>
        <v>-1.2220640373393236E-3</v>
      </c>
      <c r="F1693" s="9">
        <f t="shared" si="76"/>
        <v>-0.19131807192354211</v>
      </c>
      <c r="G1693" s="9">
        <f t="shared" si="77"/>
        <v>1.796451017524861E-2</v>
      </c>
    </row>
    <row r="1694" spans="1:7" x14ac:dyDescent="0.2">
      <c r="A1694" s="11">
        <v>37531</v>
      </c>
      <c r="B1694" s="10">
        <v>95.661299999999997</v>
      </c>
      <c r="E1694" s="13">
        <f t="shared" si="78"/>
        <v>1.703405693008838E-2</v>
      </c>
      <c r="F1694" s="9">
        <f t="shared" si="76"/>
        <v>-0.19039508187240425</v>
      </c>
      <c r="G1694" s="9">
        <f t="shared" si="77"/>
        <v>1.8006946100544093E-2</v>
      </c>
    </row>
    <row r="1695" spans="1:7" x14ac:dyDescent="0.2">
      <c r="A1695" s="11">
        <v>37532</v>
      </c>
      <c r="B1695" s="10">
        <v>96.711299999999994</v>
      </c>
      <c r="E1695" s="13">
        <f t="shared" si="78"/>
        <v>1.0916423931542615E-2</v>
      </c>
      <c r="F1695" s="9">
        <f t="shared" si="76"/>
        <v>-0.17701546505835955</v>
      </c>
      <c r="G1695" s="9">
        <f t="shared" si="77"/>
        <v>1.8285059067275653E-2</v>
      </c>
    </row>
    <row r="1696" spans="1:7" x14ac:dyDescent="0.2">
      <c r="A1696" s="11">
        <v>37533</v>
      </c>
      <c r="B1696" s="10">
        <v>96.692499999999995</v>
      </c>
      <c r="E1696" s="13">
        <f t="shared" si="78"/>
        <v>-1.9441189944781215E-4</v>
      </c>
      <c r="F1696" s="9">
        <f t="shared" ref="F1696:F1759" si="79">LN(B1696/B1667)</f>
        <v>-0.168499973136647</v>
      </c>
      <c r="G1696" s="9">
        <f t="shared" si="77"/>
        <v>1.8310073823876647E-2</v>
      </c>
    </row>
    <row r="1697" spans="1:7" x14ac:dyDescent="0.2">
      <c r="A1697" s="11">
        <v>37536</v>
      </c>
      <c r="B1697" s="10">
        <v>95.412400000000005</v>
      </c>
      <c r="E1697" s="13">
        <f t="shared" si="78"/>
        <v>-1.3327290945766259E-2</v>
      </c>
      <c r="F1697" s="9">
        <f t="shared" si="79"/>
        <v>-0.18531389052321673</v>
      </c>
      <c r="G1697" s="9">
        <f t="shared" ref="G1697:G1760" si="80">STDEV(E1669:E1697)</f>
        <v>1.8271336633105258E-2</v>
      </c>
    </row>
    <row r="1698" spans="1:7" x14ac:dyDescent="0.2">
      <c r="A1698" s="11">
        <v>37537</v>
      </c>
      <c r="B1698" s="10">
        <v>95.282300000000006</v>
      </c>
      <c r="E1698" s="13">
        <f t="shared" si="78"/>
        <v>-1.3644849089693262E-3</v>
      </c>
      <c r="F1698" s="9">
        <f t="shared" si="79"/>
        <v>-0.16549118882900968</v>
      </c>
      <c r="G1698" s="9">
        <f t="shared" si="80"/>
        <v>1.8067654145797162E-2</v>
      </c>
    </row>
    <row r="1699" spans="1:7" x14ac:dyDescent="0.2">
      <c r="A1699" s="11">
        <v>37538</v>
      </c>
      <c r="B1699" s="10">
        <v>94.605500000000006</v>
      </c>
      <c r="E1699" s="13">
        <f t="shared" si="78"/>
        <v>-7.1284502316889169E-3</v>
      </c>
      <c r="F1699" s="9">
        <f t="shared" si="79"/>
        <v>-0.14908789220059349</v>
      </c>
      <c r="G1699" s="9">
        <f t="shared" si="80"/>
        <v>1.774354096180749E-2</v>
      </c>
    </row>
    <row r="1700" spans="1:7" x14ac:dyDescent="0.2">
      <c r="A1700" s="11">
        <v>37539</v>
      </c>
      <c r="B1700" s="10">
        <v>94.563999999999993</v>
      </c>
      <c r="E1700" s="13">
        <f t="shared" si="78"/>
        <v>-4.3875995512789755E-4</v>
      </c>
      <c r="F1700" s="9">
        <f t="shared" si="79"/>
        <v>-0.16233676113589676</v>
      </c>
      <c r="G1700" s="9">
        <f t="shared" si="80"/>
        <v>1.7432674369057558E-2</v>
      </c>
    </row>
    <row r="1701" spans="1:7" x14ac:dyDescent="0.2">
      <c r="A1701" s="11">
        <v>37540</v>
      </c>
      <c r="B1701" s="10">
        <v>99.411000000000001</v>
      </c>
      <c r="E1701" s="13">
        <f t="shared" si="78"/>
        <v>4.9985917576073464E-2</v>
      </c>
      <c r="F1701" s="9">
        <f t="shared" si="79"/>
        <v>-0.10402818630658914</v>
      </c>
      <c r="G1701" s="9">
        <f t="shared" si="80"/>
        <v>2.0243197521206988E-2</v>
      </c>
    </row>
    <row r="1702" spans="1:7" x14ac:dyDescent="0.2">
      <c r="A1702" s="11">
        <v>37543</v>
      </c>
      <c r="B1702" s="10">
        <v>99.501499999999993</v>
      </c>
      <c r="E1702" s="13">
        <f t="shared" si="78"/>
        <v>9.0994790417416841E-4</v>
      </c>
      <c r="F1702" s="9">
        <f t="shared" si="79"/>
        <v>-7.1661227774495503E-2</v>
      </c>
      <c r="G1702" s="9">
        <f t="shared" si="80"/>
        <v>1.9531484730625489E-2</v>
      </c>
    </row>
    <row r="1703" spans="1:7" x14ac:dyDescent="0.2">
      <c r="A1703" s="11">
        <v>37544</v>
      </c>
      <c r="B1703" s="10">
        <v>102.45950000000001</v>
      </c>
      <c r="E1703" s="13">
        <f t="shared" si="78"/>
        <v>2.9294879118197753E-2</v>
      </c>
      <c r="F1703" s="9">
        <f t="shared" si="79"/>
        <v>-3.0354585065766011E-2</v>
      </c>
      <c r="G1703" s="9">
        <f t="shared" si="80"/>
        <v>2.030185117894126E-2</v>
      </c>
    </row>
    <row r="1704" spans="1:7" x14ac:dyDescent="0.2">
      <c r="A1704" s="11">
        <v>37545</v>
      </c>
      <c r="B1704" s="10">
        <v>101.0889</v>
      </c>
      <c r="E1704" s="13">
        <f t="shared" si="78"/>
        <v>-1.3467270832051707E-2</v>
      </c>
      <c r="F1704" s="9">
        <f t="shared" si="79"/>
        <v>-1.9374083253578651E-2</v>
      </c>
      <c r="G1704" s="9">
        <f t="shared" si="80"/>
        <v>1.9949156333544056E-2</v>
      </c>
    </row>
    <row r="1705" spans="1:7" x14ac:dyDescent="0.2">
      <c r="A1705" s="11">
        <v>37546</v>
      </c>
      <c r="B1705" s="10">
        <v>103.2795</v>
      </c>
      <c r="E1705" s="13">
        <f t="shared" si="78"/>
        <v>2.143857760435754E-2</v>
      </c>
      <c r="F1705" s="9">
        <f t="shared" si="79"/>
        <v>-2.0435678981729506E-2</v>
      </c>
      <c r="G1705" s="9">
        <f t="shared" si="80"/>
        <v>1.9906051645781426E-2</v>
      </c>
    </row>
    <row r="1706" spans="1:7" x14ac:dyDescent="0.2">
      <c r="A1706" s="11">
        <v>37547</v>
      </c>
      <c r="B1706" s="10">
        <v>101.43770000000001</v>
      </c>
      <c r="E1706" s="13">
        <f t="shared" si="78"/>
        <v>-1.7994088388011885E-2</v>
      </c>
      <c r="F1706" s="9">
        <f t="shared" si="79"/>
        <v>-2.3709741333490547E-2</v>
      </c>
      <c r="G1706" s="9">
        <f t="shared" si="80"/>
        <v>1.9997454364110268E-2</v>
      </c>
    </row>
    <row r="1707" spans="1:7" x14ac:dyDescent="0.2">
      <c r="A1707" s="11">
        <v>37550</v>
      </c>
      <c r="B1707" s="10">
        <v>101.86</v>
      </c>
      <c r="E1707" s="13">
        <f t="shared" si="78"/>
        <v>4.1545045261676475E-3</v>
      </c>
      <c r="F1707" s="9">
        <f t="shared" si="79"/>
        <v>-3.1032231965176276E-2</v>
      </c>
      <c r="G1707" s="9">
        <f t="shared" si="80"/>
        <v>1.9882570641394884E-2</v>
      </c>
    </row>
    <row r="1708" spans="1:7" x14ac:dyDescent="0.2">
      <c r="A1708" s="11">
        <v>37551</v>
      </c>
      <c r="B1708" s="10">
        <v>101.01349999999999</v>
      </c>
      <c r="E1708" s="13">
        <f t="shared" si="78"/>
        <v>-8.3451501810143762E-3</v>
      </c>
      <c r="F1708" s="9">
        <f t="shared" si="79"/>
        <v>-5.3541306483187952E-2</v>
      </c>
      <c r="G1708" s="9">
        <f t="shared" si="80"/>
        <v>1.9705189801168036E-2</v>
      </c>
    </row>
    <row r="1709" spans="1:7" x14ac:dyDescent="0.2">
      <c r="A1709" s="11">
        <v>37552</v>
      </c>
      <c r="B1709" s="10">
        <v>99.921899999999994</v>
      </c>
      <c r="E1709" s="13">
        <f t="shared" si="78"/>
        <v>-1.0865290426739166E-2</v>
      </c>
      <c r="F1709" s="9">
        <f t="shared" si="79"/>
        <v>-4.8519487598611397E-2</v>
      </c>
      <c r="G1709" s="9">
        <f t="shared" si="80"/>
        <v>1.9599174466258713E-2</v>
      </c>
    </row>
    <row r="1710" spans="1:7" x14ac:dyDescent="0.2">
      <c r="A1710" s="11">
        <v>37553</v>
      </c>
      <c r="B1710" s="10">
        <v>100.5309</v>
      </c>
      <c r="E1710" s="13">
        <f t="shared" si="78"/>
        <v>6.0762620800270542E-3</v>
      </c>
      <c r="F1710" s="9">
        <f t="shared" si="79"/>
        <v>-2.2014715962935524E-2</v>
      </c>
      <c r="G1710" s="9">
        <f t="shared" si="80"/>
        <v>1.9309172640648315E-2</v>
      </c>
    </row>
    <row r="1711" spans="1:7" x14ac:dyDescent="0.2">
      <c r="A1711" s="11">
        <v>37554</v>
      </c>
      <c r="B1711" s="10">
        <v>99.512799999999999</v>
      </c>
      <c r="E1711" s="13">
        <f t="shared" si="78"/>
        <v>-1.0178863821933531E-2</v>
      </c>
      <c r="F1711" s="9">
        <f t="shared" si="79"/>
        <v>-2.7413205584868126E-2</v>
      </c>
      <c r="G1711" s="9">
        <f t="shared" si="80"/>
        <v>1.9375234737289779E-2</v>
      </c>
    </row>
    <row r="1712" spans="1:7" x14ac:dyDescent="0.2">
      <c r="A1712" s="11">
        <v>37557</v>
      </c>
      <c r="B1712" s="10">
        <v>99.867199999999997</v>
      </c>
      <c r="E1712" s="13">
        <f t="shared" si="78"/>
        <v>3.5550243078346314E-3</v>
      </c>
      <c r="F1712" s="9">
        <f t="shared" si="79"/>
        <v>-2.4724068503885491E-2</v>
      </c>
      <c r="G1712" s="9">
        <f t="shared" si="80"/>
        <v>1.9390641390413379E-2</v>
      </c>
    </row>
    <row r="1713" spans="1:7" x14ac:dyDescent="0.2">
      <c r="A1713" s="11">
        <v>37558</v>
      </c>
      <c r="B1713" s="10">
        <v>97.959400000000002</v>
      </c>
      <c r="E1713" s="13">
        <f t="shared" si="78"/>
        <v>-1.9288196298382455E-2</v>
      </c>
      <c r="F1713" s="9">
        <f t="shared" si="79"/>
        <v>-1.1194828559596344E-2</v>
      </c>
      <c r="G1713" s="9">
        <f t="shared" si="80"/>
        <v>1.8746164117865498E-2</v>
      </c>
    </row>
    <row r="1714" spans="1:7" x14ac:dyDescent="0.2">
      <c r="A1714" s="11">
        <v>37559</v>
      </c>
      <c r="B1714" s="10">
        <v>98.002700000000004</v>
      </c>
      <c r="E1714" s="13">
        <f t="shared" si="78"/>
        <v>4.4192219520704159E-4</v>
      </c>
      <c r="F1714" s="9">
        <f t="shared" si="79"/>
        <v>2.5542133609430237E-2</v>
      </c>
      <c r="G1714" s="9">
        <f t="shared" si="80"/>
        <v>1.7427823665357344E-2</v>
      </c>
    </row>
    <row r="1715" spans="1:7" x14ac:dyDescent="0.2">
      <c r="A1715" s="11">
        <v>37560</v>
      </c>
      <c r="B1715" s="10">
        <v>99.737200000000001</v>
      </c>
      <c r="E1715" s="13">
        <f t="shared" si="78"/>
        <v>1.7543697422691559E-2</v>
      </c>
      <c r="F1715" s="9">
        <f t="shared" si="79"/>
        <v>3.5968006913215812E-2</v>
      </c>
      <c r="G1715" s="9">
        <f t="shared" si="80"/>
        <v>1.7666976121388053E-2</v>
      </c>
    </row>
    <row r="1716" spans="1:7" x14ac:dyDescent="0.2">
      <c r="A1716" s="11">
        <v>37561</v>
      </c>
      <c r="B1716" s="10">
        <v>98.984999999999999</v>
      </c>
      <c r="E1716" s="13">
        <f t="shared" si="78"/>
        <v>-7.5704032306546844E-3</v>
      </c>
      <c r="F1716" s="9">
        <f t="shared" si="79"/>
        <v>4.0382209776222311E-2</v>
      </c>
      <c r="G1716" s="9">
        <f t="shared" si="80"/>
        <v>1.7567701620032478E-2</v>
      </c>
    </row>
    <row r="1717" spans="1:7" x14ac:dyDescent="0.2">
      <c r="A1717" s="11">
        <v>37564</v>
      </c>
      <c r="B1717" s="10">
        <v>102.3784</v>
      </c>
      <c r="E1717" s="13">
        <f t="shared" si="78"/>
        <v>3.3707429351469219E-2</v>
      </c>
      <c r="F1717" s="9">
        <f t="shared" si="79"/>
        <v>0.10776799839888017</v>
      </c>
      <c r="G1717" s="9">
        <f t="shared" si="80"/>
        <v>1.7216256767646276E-2</v>
      </c>
    </row>
    <row r="1718" spans="1:7" x14ac:dyDescent="0.2">
      <c r="A1718" s="11">
        <v>37565</v>
      </c>
      <c r="B1718" s="10">
        <v>101.8373</v>
      </c>
      <c r="E1718" s="13">
        <f t="shared" si="78"/>
        <v>-5.2993111332290746E-3</v>
      </c>
      <c r="F1718" s="9">
        <f t="shared" si="79"/>
        <v>8.6112574875306311E-2</v>
      </c>
      <c r="G1718" s="9">
        <f t="shared" si="80"/>
        <v>1.7117789764588453E-2</v>
      </c>
    </row>
    <row r="1719" spans="1:7" x14ac:dyDescent="0.2">
      <c r="A1719" s="11">
        <v>37566</v>
      </c>
      <c r="B1719" s="10">
        <v>102.15219999999999</v>
      </c>
      <c r="E1719" s="13">
        <f t="shared" si="78"/>
        <v>3.0874162654369215E-3</v>
      </c>
      <c r="F1719" s="9">
        <f t="shared" si="79"/>
        <v>6.0422309391464576E-2</v>
      </c>
      <c r="G1719" s="9">
        <f t="shared" si="80"/>
        <v>1.6383476594952706E-2</v>
      </c>
    </row>
    <row r="1720" spans="1:7" x14ac:dyDescent="0.2">
      <c r="A1720" s="11">
        <v>37567</v>
      </c>
      <c r="B1720" s="10">
        <v>101.6677</v>
      </c>
      <c r="E1720" s="13">
        <f t="shared" si="78"/>
        <v>-4.7542061650960856E-3</v>
      </c>
      <c r="F1720" s="9">
        <f t="shared" si="79"/>
        <v>5.6510780618201265E-2</v>
      </c>
      <c r="G1720" s="9">
        <f t="shared" si="80"/>
        <v>1.6424477477093601E-2</v>
      </c>
    </row>
    <row r="1721" spans="1:7" x14ac:dyDescent="0.2">
      <c r="A1721" s="11">
        <v>37568</v>
      </c>
      <c r="B1721" s="10">
        <v>99.991699999999994</v>
      </c>
      <c r="E1721" s="13">
        <f t="shared" si="78"/>
        <v>-1.6622469278674945E-2</v>
      </c>
      <c r="F1721" s="9">
        <f t="shared" si="79"/>
        <v>6.0085347479141092E-2</v>
      </c>
      <c r="G1721" s="9">
        <f t="shared" si="80"/>
        <v>1.6264983598017653E-2</v>
      </c>
    </row>
    <row r="1722" spans="1:7" x14ac:dyDescent="0.2">
      <c r="A1722" s="11">
        <v>37571</v>
      </c>
      <c r="B1722" s="10">
        <v>99.179100000000005</v>
      </c>
      <c r="E1722" s="13">
        <f t="shared" si="78"/>
        <v>-8.1598759337488582E-3</v>
      </c>
      <c r="F1722" s="9">
        <f t="shared" si="79"/>
        <v>5.3147535582731387E-2</v>
      </c>
      <c r="G1722" s="9">
        <f t="shared" si="80"/>
        <v>1.6365873412847572E-2</v>
      </c>
    </row>
    <row r="1723" spans="1:7" x14ac:dyDescent="0.2">
      <c r="A1723" s="11">
        <v>37572</v>
      </c>
      <c r="B1723" s="10">
        <v>98.986800000000002</v>
      </c>
      <c r="E1723" s="13">
        <f t="shared" si="78"/>
        <v>-1.9407986980742396E-3</v>
      </c>
      <c r="F1723" s="9">
        <f t="shared" si="79"/>
        <v>3.4172679954568796E-2</v>
      </c>
      <c r="G1723" s="9">
        <f t="shared" si="80"/>
        <v>1.6113783409539888E-2</v>
      </c>
    </row>
    <row r="1724" spans="1:7" x14ac:dyDescent="0.2">
      <c r="A1724" s="11">
        <v>37573</v>
      </c>
      <c r="B1724" s="10">
        <v>99.318600000000004</v>
      </c>
      <c r="E1724" s="13">
        <f t="shared" si="78"/>
        <v>3.3463567772486422E-3</v>
      </c>
      <c r="F1724" s="9">
        <f t="shared" si="79"/>
        <v>2.6602612800274778E-2</v>
      </c>
      <c r="G1724" s="9">
        <f t="shared" si="80"/>
        <v>1.60113874896445E-2</v>
      </c>
    </row>
    <row r="1725" spans="1:7" x14ac:dyDescent="0.2">
      <c r="A1725" s="11">
        <v>37574</v>
      </c>
      <c r="B1725" s="10">
        <v>99.601399999999998</v>
      </c>
      <c r="E1725" s="13">
        <f t="shared" si="78"/>
        <v>2.8433560278381428E-3</v>
      </c>
      <c r="F1725" s="9">
        <f t="shared" si="79"/>
        <v>2.9640380727560717E-2</v>
      </c>
      <c r="G1725" s="9">
        <f t="shared" si="80"/>
        <v>1.6013791166626587E-2</v>
      </c>
    </row>
    <row r="1726" spans="1:7" x14ac:dyDescent="0.2">
      <c r="A1726" s="11">
        <v>37575</v>
      </c>
      <c r="B1726" s="10">
        <v>100.0784</v>
      </c>
      <c r="E1726" s="13">
        <f t="shared" si="78"/>
        <v>4.7776581039626733E-3</v>
      </c>
      <c r="F1726" s="9">
        <f t="shared" si="79"/>
        <v>4.7745329777289798E-2</v>
      </c>
      <c r="G1726" s="9">
        <f t="shared" si="80"/>
        <v>1.5785684043447899E-2</v>
      </c>
    </row>
    <row r="1727" spans="1:7" x14ac:dyDescent="0.2">
      <c r="A1727" s="11">
        <v>37578</v>
      </c>
      <c r="B1727" s="10">
        <v>101.0286</v>
      </c>
      <c r="E1727" s="13">
        <f t="shared" si="78"/>
        <v>9.4497662528830618E-3</v>
      </c>
      <c r="F1727" s="9">
        <f t="shared" si="79"/>
        <v>5.855958093914216E-2</v>
      </c>
      <c r="G1727" s="9">
        <f t="shared" si="80"/>
        <v>1.5839658171813362E-2</v>
      </c>
    </row>
    <row r="1728" spans="1:7" x14ac:dyDescent="0.2">
      <c r="A1728" s="11">
        <v>37579</v>
      </c>
      <c r="B1728" s="10">
        <v>99.823899999999995</v>
      </c>
      <c r="E1728" s="13">
        <f t="shared" si="78"/>
        <v>-1.199601146868459E-2</v>
      </c>
      <c r="F1728" s="9">
        <f t="shared" si="79"/>
        <v>5.3692019702146633E-2</v>
      </c>
      <c r="G1728" s="9">
        <f t="shared" si="80"/>
        <v>1.596534658479876E-2</v>
      </c>
    </row>
    <row r="1729" spans="1:7" x14ac:dyDescent="0.2">
      <c r="A1729" s="11">
        <v>37580</v>
      </c>
      <c r="B1729" s="10">
        <v>99.071700000000007</v>
      </c>
      <c r="E1729" s="13">
        <f t="shared" si="78"/>
        <v>-7.5638031829782333E-3</v>
      </c>
      <c r="F1729" s="9">
        <f t="shared" si="79"/>
        <v>4.6566976474296216E-2</v>
      </c>
      <c r="G1729" s="9">
        <f t="shared" si="80"/>
        <v>1.6056413404857906E-2</v>
      </c>
    </row>
    <row r="1730" spans="1:7" x14ac:dyDescent="0.2">
      <c r="A1730" s="11">
        <v>37581</v>
      </c>
      <c r="B1730" s="10">
        <v>101.4</v>
      </c>
      <c r="E1730" s="13">
        <f t="shared" si="78"/>
        <v>2.3229260735235364E-2</v>
      </c>
      <c r="F1730" s="9">
        <f t="shared" si="79"/>
        <v>1.9810319633458029E-2</v>
      </c>
      <c r="G1730" s="9">
        <f t="shared" si="80"/>
        <v>1.3785194812469131E-2</v>
      </c>
    </row>
    <row r="1731" spans="1:7" x14ac:dyDescent="0.2">
      <c r="A1731" s="11">
        <v>37582</v>
      </c>
      <c r="B1731" s="10">
        <v>101.8449</v>
      </c>
      <c r="E1731" s="13">
        <f t="shared" si="78"/>
        <v>4.377976624303003E-3</v>
      </c>
      <c r="F1731" s="9">
        <f t="shared" si="79"/>
        <v>2.3278348353586796E-2</v>
      </c>
      <c r="G1731" s="9">
        <f t="shared" si="80"/>
        <v>1.3802264966293096E-2</v>
      </c>
    </row>
    <row r="1732" spans="1:7" x14ac:dyDescent="0.2">
      <c r="A1732" s="11">
        <v>37585</v>
      </c>
      <c r="B1732" s="10">
        <v>102.1258</v>
      </c>
      <c r="E1732" s="13">
        <f t="shared" ref="E1732:E1795" si="81">LN(B1732/B1731)</f>
        <v>2.7543189054308873E-3</v>
      </c>
      <c r="F1732" s="9">
        <f t="shared" si="79"/>
        <v>-3.2622118591801789E-3</v>
      </c>
      <c r="G1732" s="9">
        <f t="shared" si="80"/>
        <v>1.2679828528431731E-2</v>
      </c>
    </row>
    <row r="1733" spans="1:7" x14ac:dyDescent="0.2">
      <c r="A1733" s="11">
        <v>37586</v>
      </c>
      <c r="B1733" s="10">
        <v>101.6092</v>
      </c>
      <c r="E1733" s="13">
        <f t="shared" si="81"/>
        <v>-5.0713044608435192E-3</v>
      </c>
      <c r="F1733" s="9">
        <f t="shared" si="79"/>
        <v>5.1337545120280015E-3</v>
      </c>
      <c r="G1733" s="9">
        <f t="shared" si="80"/>
        <v>1.2457921097305215E-2</v>
      </c>
    </row>
    <row r="1734" spans="1:7" x14ac:dyDescent="0.2">
      <c r="A1734" s="11">
        <v>37587</v>
      </c>
      <c r="B1734" s="10">
        <v>103.2475</v>
      </c>
      <c r="E1734" s="13">
        <f t="shared" si="81"/>
        <v>1.5994936246967222E-2</v>
      </c>
      <c r="F1734" s="9">
        <f t="shared" si="79"/>
        <v>-3.0988684536237824E-4</v>
      </c>
      <c r="G1734" s="9">
        <f t="shared" si="80"/>
        <v>1.216365373100196E-2</v>
      </c>
    </row>
    <row r="1735" spans="1:7" x14ac:dyDescent="0.2">
      <c r="A1735" s="11">
        <v>37588</v>
      </c>
      <c r="B1735" s="10">
        <v>105.40989999999999</v>
      </c>
      <c r="E1735" s="13">
        <f t="shared" si="81"/>
        <v>2.0727541117111215E-2</v>
      </c>
      <c r="F1735" s="9">
        <f t="shared" si="79"/>
        <v>3.8411742659760724E-2</v>
      </c>
      <c r="G1735" s="9">
        <f t="shared" si="80"/>
        <v>1.22440864364445E-2</v>
      </c>
    </row>
    <row r="1736" spans="1:7" x14ac:dyDescent="0.2">
      <c r="A1736" s="11">
        <v>37589</v>
      </c>
      <c r="B1736" s="10">
        <v>107.31399999999999</v>
      </c>
      <c r="E1736" s="13">
        <f t="shared" si="81"/>
        <v>1.7902556838328178E-2</v>
      </c>
      <c r="F1736" s="9">
        <f t="shared" si="79"/>
        <v>5.2159794971921185E-2</v>
      </c>
      <c r="G1736" s="9">
        <f t="shared" si="80"/>
        <v>1.2618012337145091E-2</v>
      </c>
    </row>
    <row r="1737" spans="1:7" x14ac:dyDescent="0.2">
      <c r="A1737" s="11">
        <v>37592</v>
      </c>
      <c r="B1737" s="10">
        <v>109.0937</v>
      </c>
      <c r="E1737" s="13">
        <f t="shared" si="81"/>
        <v>1.644802955542677E-2</v>
      </c>
      <c r="F1737" s="9">
        <f t="shared" si="79"/>
        <v>7.6952974708362432E-2</v>
      </c>
      <c r="G1737" s="9">
        <f t="shared" si="80"/>
        <v>1.274546336695965E-2</v>
      </c>
    </row>
    <row r="1738" spans="1:7" x14ac:dyDescent="0.2">
      <c r="A1738" s="11">
        <v>37593</v>
      </c>
      <c r="B1738" s="10">
        <v>106.1263</v>
      </c>
      <c r="E1738" s="13">
        <f t="shared" si="81"/>
        <v>-2.7577251721786239E-2</v>
      </c>
      <c r="F1738" s="9">
        <f t="shared" si="79"/>
        <v>6.0241013413315184E-2</v>
      </c>
      <c r="G1738" s="9">
        <f t="shared" si="80"/>
        <v>1.3719151235481944E-2</v>
      </c>
    </row>
    <row r="1739" spans="1:7" x14ac:dyDescent="0.2">
      <c r="A1739" s="11">
        <v>37594</v>
      </c>
      <c r="B1739" s="10">
        <v>106.17529999999999</v>
      </c>
      <c r="E1739" s="13">
        <f t="shared" si="81"/>
        <v>4.6160745722197193E-4</v>
      </c>
      <c r="F1739" s="9">
        <f t="shared" si="79"/>
        <v>5.462635879051015E-2</v>
      </c>
      <c r="G1739" s="9">
        <f t="shared" si="80"/>
        <v>1.3700305718436423E-2</v>
      </c>
    </row>
    <row r="1740" spans="1:7" x14ac:dyDescent="0.2">
      <c r="A1740" s="11">
        <v>37595</v>
      </c>
      <c r="B1740" s="10">
        <v>104.37860000000001</v>
      </c>
      <c r="E1740" s="13">
        <f t="shared" si="81"/>
        <v>-1.706682812506001E-2</v>
      </c>
      <c r="F1740" s="9">
        <f t="shared" si="79"/>
        <v>4.7738394487383616E-2</v>
      </c>
      <c r="G1740" s="9">
        <f t="shared" si="80"/>
        <v>1.397387252180171E-2</v>
      </c>
    </row>
    <row r="1741" spans="1:7" x14ac:dyDescent="0.2">
      <c r="A1741" s="11">
        <v>37596</v>
      </c>
      <c r="B1741" s="10">
        <v>99.011300000000006</v>
      </c>
      <c r="E1741" s="13">
        <f t="shared" si="81"/>
        <v>-5.2790688559086411E-2</v>
      </c>
      <c r="F1741" s="9">
        <f t="shared" si="79"/>
        <v>-8.6073183795372342E-3</v>
      </c>
      <c r="G1741" s="9">
        <f t="shared" si="80"/>
        <v>1.7235536085115358E-2</v>
      </c>
    </row>
    <row r="1742" spans="1:7" x14ac:dyDescent="0.2">
      <c r="A1742" s="11">
        <v>37599</v>
      </c>
      <c r="B1742" s="10">
        <v>99.331800000000001</v>
      </c>
      <c r="E1742" s="13">
        <f t="shared" si="81"/>
        <v>3.231776441448279E-3</v>
      </c>
      <c r="F1742" s="9">
        <f t="shared" si="79"/>
        <v>1.3912654360293314E-2</v>
      </c>
      <c r="G1742" s="9">
        <f t="shared" si="80"/>
        <v>1.685237765724067E-2</v>
      </c>
    </row>
    <row r="1743" spans="1:7" x14ac:dyDescent="0.2">
      <c r="A1743" s="11">
        <v>37600</v>
      </c>
      <c r="B1743" s="10">
        <v>100.069</v>
      </c>
      <c r="E1743" s="13">
        <f t="shared" si="81"/>
        <v>7.3941865709937406E-3</v>
      </c>
      <c r="F1743" s="9">
        <f t="shared" si="79"/>
        <v>2.0864918736080072E-2</v>
      </c>
      <c r="G1743" s="9">
        <f t="shared" si="80"/>
        <v>1.6901199317870801E-2</v>
      </c>
    </row>
    <row r="1744" spans="1:7" x14ac:dyDescent="0.2">
      <c r="A1744" s="11">
        <v>37601</v>
      </c>
      <c r="B1744" s="10">
        <v>100.8004</v>
      </c>
      <c r="E1744" s="13">
        <f t="shared" si="81"/>
        <v>7.2823758358252994E-3</v>
      </c>
      <c r="F1744" s="9">
        <f t="shared" si="79"/>
        <v>1.0603597149213648E-2</v>
      </c>
      <c r="G1744" s="9">
        <f t="shared" si="80"/>
        <v>1.6641816447946829E-2</v>
      </c>
    </row>
    <row r="1745" spans="1:7" x14ac:dyDescent="0.2">
      <c r="A1745" s="11">
        <v>37602</v>
      </c>
      <c r="B1745" s="10">
        <v>100.4121</v>
      </c>
      <c r="E1745" s="13">
        <f t="shared" si="81"/>
        <v>-3.8596059591493601E-3</v>
      </c>
      <c r="F1745" s="9">
        <f t="shared" si="79"/>
        <v>1.4314394420718964E-2</v>
      </c>
      <c r="G1745" s="9">
        <f t="shared" si="80"/>
        <v>1.6592811066885784E-2</v>
      </c>
    </row>
    <row r="1746" spans="1:7" x14ac:dyDescent="0.2">
      <c r="A1746" s="11">
        <v>37603</v>
      </c>
      <c r="B1746" s="10">
        <v>99.642899999999997</v>
      </c>
      <c r="E1746" s="13">
        <f t="shared" si="81"/>
        <v>-7.6899231765718097E-3</v>
      </c>
      <c r="F1746" s="9">
        <f t="shared" si="79"/>
        <v>-2.7082958107322232E-2</v>
      </c>
      <c r="G1746" s="9">
        <f t="shared" si="80"/>
        <v>1.5368933971866011E-2</v>
      </c>
    </row>
    <row r="1747" spans="1:7" x14ac:dyDescent="0.2">
      <c r="A1747" s="11">
        <v>37606</v>
      </c>
      <c r="B1747" s="10">
        <v>98.849199999999996</v>
      </c>
      <c r="E1747" s="13">
        <f t="shared" si="81"/>
        <v>-7.9973382340734374E-3</v>
      </c>
      <c r="F1747" s="9">
        <f t="shared" si="79"/>
        <v>-2.9780985208166619E-2</v>
      </c>
      <c r="G1747" s="9">
        <f t="shared" si="80"/>
        <v>1.5404428908287528E-2</v>
      </c>
    </row>
    <row r="1748" spans="1:7" x14ac:dyDescent="0.2">
      <c r="A1748" s="11">
        <v>37607</v>
      </c>
      <c r="B1748" s="10">
        <v>98.905799999999999</v>
      </c>
      <c r="E1748" s="13">
        <f t="shared" si="81"/>
        <v>5.7242549159831652E-4</v>
      </c>
      <c r="F1748" s="9">
        <f t="shared" si="79"/>
        <v>-3.22959759820051E-2</v>
      </c>
      <c r="G1748" s="9">
        <f t="shared" si="80"/>
        <v>1.5387508872326209E-2</v>
      </c>
    </row>
    <row r="1749" spans="1:7" x14ac:dyDescent="0.2">
      <c r="A1749" s="11">
        <v>37608</v>
      </c>
      <c r="B1749" s="10">
        <v>99.303600000000003</v>
      </c>
      <c r="E1749" s="13">
        <f t="shared" si="81"/>
        <v>4.0139421652430497E-3</v>
      </c>
      <c r="F1749" s="9">
        <f t="shared" si="79"/>
        <v>-2.3527827651665983E-2</v>
      </c>
      <c r="G1749" s="9">
        <f t="shared" si="80"/>
        <v>1.5399558898536659E-2</v>
      </c>
    </row>
    <row r="1750" spans="1:7" x14ac:dyDescent="0.2">
      <c r="A1750" s="11">
        <v>37609</v>
      </c>
      <c r="B1750" s="10">
        <v>100.0784</v>
      </c>
      <c r="E1750" s="13">
        <f t="shared" si="81"/>
        <v>7.7720546502174246E-3</v>
      </c>
      <c r="F1750" s="9">
        <f t="shared" si="79"/>
        <v>8.6669627722650144E-4</v>
      </c>
      <c r="G1750" s="9">
        <f t="shared" si="80"/>
        <v>1.5169589263787668E-2</v>
      </c>
    </row>
    <row r="1751" spans="1:7" x14ac:dyDescent="0.2">
      <c r="A1751" s="11">
        <v>37610</v>
      </c>
      <c r="B1751" s="10">
        <v>100.1067</v>
      </c>
      <c r="E1751" s="13">
        <f t="shared" si="81"/>
        <v>2.8273832756307203E-4</v>
      </c>
      <c r="F1751" s="9">
        <f t="shared" si="79"/>
        <v>9.3093105385385119E-3</v>
      </c>
      <c r="G1751" s="9">
        <f t="shared" si="80"/>
        <v>1.5087594425776537E-2</v>
      </c>
    </row>
    <row r="1752" spans="1:7" x14ac:dyDescent="0.2">
      <c r="A1752" s="11">
        <v>37613</v>
      </c>
      <c r="B1752" s="10">
        <v>98.969899999999996</v>
      </c>
      <c r="E1752" s="13">
        <f t="shared" si="81"/>
        <v>-1.1420853647295033E-2</v>
      </c>
      <c r="F1752" s="9">
        <f t="shared" si="79"/>
        <v>-1.7074441068242274E-4</v>
      </c>
      <c r="G1752" s="9">
        <f t="shared" si="80"/>
        <v>1.5240278795145584E-2</v>
      </c>
    </row>
    <row r="1753" spans="1:7" x14ac:dyDescent="0.2">
      <c r="A1753" s="11">
        <v>37617</v>
      </c>
      <c r="B1753" s="10">
        <v>98.813400000000001</v>
      </c>
      <c r="E1753" s="13">
        <f t="shared" si="81"/>
        <v>-1.5825404132906054E-3</v>
      </c>
      <c r="F1753" s="9">
        <f t="shared" si="79"/>
        <v>-5.099641601221676E-3</v>
      </c>
      <c r="G1753" s="9">
        <f t="shared" si="80"/>
        <v>1.5229038641434109E-2</v>
      </c>
    </row>
    <row r="1754" spans="1:7" x14ac:dyDescent="0.2">
      <c r="A1754" s="11">
        <v>37620</v>
      </c>
      <c r="B1754" s="10">
        <v>97.703000000000003</v>
      </c>
      <c r="E1754" s="13">
        <f t="shared" si="81"/>
        <v>-1.1300958266691648E-2</v>
      </c>
      <c r="F1754" s="9">
        <f t="shared" si="79"/>
        <v>-1.9243955895751407E-2</v>
      </c>
      <c r="G1754" s="9">
        <f t="shared" si="80"/>
        <v>1.5354867844590713E-2</v>
      </c>
    </row>
    <row r="1755" spans="1:7" x14ac:dyDescent="0.2">
      <c r="A1755" s="11">
        <v>37623</v>
      </c>
      <c r="B1755" s="10">
        <v>99.791799999999995</v>
      </c>
      <c r="E1755" s="13">
        <f t="shared" si="81"/>
        <v>2.1153750792174641E-2</v>
      </c>
      <c r="F1755" s="9">
        <f t="shared" si="79"/>
        <v>-2.8678632075395216E-3</v>
      </c>
      <c r="G1755" s="9">
        <f t="shared" si="80"/>
        <v>1.585509900461499E-2</v>
      </c>
    </row>
    <row r="1756" spans="1:7" x14ac:dyDescent="0.2">
      <c r="A1756" s="11">
        <v>37624</v>
      </c>
      <c r="B1756" s="10">
        <v>101.1737</v>
      </c>
      <c r="E1756" s="13">
        <f t="shared" si="81"/>
        <v>1.3752826042323942E-2</v>
      </c>
      <c r="F1756" s="9">
        <f t="shared" si="79"/>
        <v>1.435196581901237E-3</v>
      </c>
      <c r="G1756" s="9">
        <f t="shared" si="80"/>
        <v>1.5967390125153639E-2</v>
      </c>
    </row>
    <row r="1757" spans="1:7" x14ac:dyDescent="0.2">
      <c r="A1757" s="11">
        <v>37627</v>
      </c>
      <c r="B1757" s="10">
        <v>100.4517</v>
      </c>
      <c r="E1757" s="13">
        <f t="shared" si="81"/>
        <v>-7.161826694966766E-3</v>
      </c>
      <c r="F1757" s="9">
        <f t="shared" si="79"/>
        <v>6.2693813556189849E-3</v>
      </c>
      <c r="G1757" s="9">
        <f t="shared" si="80"/>
        <v>1.5862032921605158E-2</v>
      </c>
    </row>
    <row r="1758" spans="1:7" x14ac:dyDescent="0.2">
      <c r="A1758" s="11">
        <v>37628</v>
      </c>
      <c r="B1758" s="10">
        <v>100.59869999999999</v>
      </c>
      <c r="E1758" s="13">
        <f t="shared" si="81"/>
        <v>1.4623201564896377E-3</v>
      </c>
      <c r="F1758" s="9">
        <f t="shared" si="79"/>
        <v>1.5295504695086892E-2</v>
      </c>
      <c r="G1758" s="9">
        <f t="shared" si="80"/>
        <v>1.5792323813919467E-2</v>
      </c>
    </row>
    <row r="1759" spans="1:7" x14ac:dyDescent="0.2">
      <c r="A1759" s="11">
        <v>37629</v>
      </c>
      <c r="B1759" s="10">
        <v>98.732299999999995</v>
      </c>
      <c r="E1759" s="13">
        <f t="shared" si="81"/>
        <v>-1.8727187907531459E-2</v>
      </c>
      <c r="F1759" s="9">
        <f t="shared" si="79"/>
        <v>-2.6660943947680052E-2</v>
      </c>
      <c r="G1759" s="9">
        <f t="shared" si="80"/>
        <v>1.5558410162532612E-2</v>
      </c>
    </row>
    <row r="1760" spans="1:7" x14ac:dyDescent="0.2">
      <c r="A1760" s="11">
        <v>37630</v>
      </c>
      <c r="B1760" s="10">
        <v>98.837900000000005</v>
      </c>
      <c r="E1760" s="13">
        <f t="shared" si="81"/>
        <v>1.068987226373981E-3</v>
      </c>
      <c r="F1760" s="9">
        <f t="shared" ref="F1760:F1823" si="82">LN(B1760/B1731)</f>
        <v>-2.9969933345609216E-2</v>
      </c>
      <c r="G1760" s="9">
        <f t="shared" si="80"/>
        <v>1.5530281304012756E-2</v>
      </c>
    </row>
    <row r="1761" spans="1:7" x14ac:dyDescent="0.2">
      <c r="A1761" s="11">
        <v>37631</v>
      </c>
      <c r="B1761" s="10">
        <v>99.354500000000002</v>
      </c>
      <c r="E1761" s="13">
        <f t="shared" si="81"/>
        <v>5.213127949977317E-3</v>
      </c>
      <c r="F1761" s="9">
        <f t="shared" si="82"/>
        <v>-2.7511124301062763E-2</v>
      </c>
      <c r="G1761" s="9">
        <f t="shared" ref="G1761:G1824" si="83">STDEV(E1733:E1761)</f>
        <v>1.5558385309000505E-2</v>
      </c>
    </row>
    <row r="1762" spans="1:7" x14ac:dyDescent="0.2">
      <c r="A1762" s="11">
        <v>37634</v>
      </c>
      <c r="B1762" s="10">
        <v>101.4358</v>
      </c>
      <c r="E1762" s="13">
        <f t="shared" si="81"/>
        <v>2.0731823660512492E-2</v>
      </c>
      <c r="F1762" s="9">
        <f t="shared" si="82"/>
        <v>-1.7079961797067328E-3</v>
      </c>
      <c r="G1762" s="9">
        <f t="shared" si="83"/>
        <v>1.6044427573632634E-2</v>
      </c>
    </row>
    <row r="1763" spans="1:7" x14ac:dyDescent="0.2">
      <c r="A1763" s="11">
        <v>37635</v>
      </c>
      <c r="B1763" s="10">
        <v>100.8759</v>
      </c>
      <c r="E1763" s="13">
        <f t="shared" si="81"/>
        <v>-5.5350375628682533E-3</v>
      </c>
      <c r="F1763" s="9">
        <f t="shared" si="82"/>
        <v>-2.3237969989542171E-2</v>
      </c>
      <c r="G1763" s="9">
        <f t="shared" si="83"/>
        <v>1.5770837486906483E-2</v>
      </c>
    </row>
    <row r="1764" spans="1:7" x14ac:dyDescent="0.2">
      <c r="A1764" s="11">
        <v>37636</v>
      </c>
      <c r="B1764" s="10">
        <v>101.0813</v>
      </c>
      <c r="E1764" s="13">
        <f t="shared" si="81"/>
        <v>2.0340950540107781E-3</v>
      </c>
      <c r="F1764" s="9">
        <f t="shared" si="82"/>
        <v>-4.1931416052642653E-2</v>
      </c>
      <c r="G1764" s="9">
        <f t="shared" si="83"/>
        <v>1.5232295476161013E-2</v>
      </c>
    </row>
    <row r="1765" spans="1:7" x14ac:dyDescent="0.2">
      <c r="A1765" s="11">
        <v>37637</v>
      </c>
      <c r="B1765" s="10">
        <v>101.515</v>
      </c>
      <c r="E1765" s="13">
        <f t="shared" si="81"/>
        <v>4.2814272767957512E-3</v>
      </c>
      <c r="F1765" s="9">
        <f t="shared" si="82"/>
        <v>-5.5552545614175185E-2</v>
      </c>
      <c r="G1765" s="9">
        <f t="shared" si="83"/>
        <v>1.4818762898481757E-2</v>
      </c>
    </row>
    <row r="1766" spans="1:7" x14ac:dyDescent="0.2">
      <c r="A1766" s="11">
        <v>37638</v>
      </c>
      <c r="B1766" s="10">
        <v>100.29900000000001</v>
      </c>
      <c r="E1766" s="13">
        <f t="shared" si="81"/>
        <v>-1.2050845985747221E-2</v>
      </c>
      <c r="F1766" s="9">
        <f t="shared" si="82"/>
        <v>-8.4051421155349165E-2</v>
      </c>
      <c r="G1766" s="9">
        <f t="shared" si="83"/>
        <v>1.4498982934178131E-2</v>
      </c>
    </row>
    <row r="1767" spans="1:7" x14ac:dyDescent="0.2">
      <c r="A1767" s="11">
        <v>37641</v>
      </c>
      <c r="B1767" s="10">
        <v>100.791</v>
      </c>
      <c r="E1767" s="13">
        <f t="shared" si="81"/>
        <v>4.8933411083184218E-3</v>
      </c>
      <c r="F1767" s="9">
        <f t="shared" si="82"/>
        <v>-5.1580828325244472E-2</v>
      </c>
      <c r="G1767" s="9">
        <f t="shared" si="83"/>
        <v>1.3760033051922771E-2</v>
      </c>
    </row>
    <row r="1768" spans="1:7" x14ac:dyDescent="0.2">
      <c r="A1768" s="11">
        <v>37642</v>
      </c>
      <c r="B1768" s="10">
        <v>100.3518</v>
      </c>
      <c r="E1768" s="13">
        <f t="shared" si="81"/>
        <v>-4.3670536355678042E-3</v>
      </c>
      <c r="F1768" s="9">
        <f t="shared" si="82"/>
        <v>-5.6409489418034163E-2</v>
      </c>
      <c r="G1768" s="9">
        <f t="shared" si="83"/>
        <v>1.3761171249919775E-2</v>
      </c>
    </row>
    <row r="1769" spans="1:7" x14ac:dyDescent="0.2">
      <c r="A1769" s="11">
        <v>37643</v>
      </c>
      <c r="B1769" s="10">
        <v>98.611699999999999</v>
      </c>
      <c r="E1769" s="13">
        <f t="shared" si="81"/>
        <v>-1.7492096474702006E-2</v>
      </c>
      <c r="F1769" s="9">
        <f t="shared" si="82"/>
        <v>-5.6834757767676075E-2</v>
      </c>
      <c r="G1769" s="9">
        <f t="shared" si="83"/>
        <v>1.3778077192867845E-2</v>
      </c>
    </row>
    <row r="1770" spans="1:7" x14ac:dyDescent="0.2">
      <c r="A1770" s="11">
        <v>37644</v>
      </c>
      <c r="B1770" s="10">
        <v>98.492900000000006</v>
      </c>
      <c r="E1770" s="13">
        <f t="shared" si="81"/>
        <v>-1.2054514647127873E-3</v>
      </c>
      <c r="F1770" s="9">
        <f t="shared" si="82"/>
        <v>-5.2495206733025783E-3</v>
      </c>
      <c r="G1770" s="9">
        <f t="shared" si="83"/>
        <v>9.7108617763612803E-3</v>
      </c>
    </row>
    <row r="1771" spans="1:7" x14ac:dyDescent="0.2">
      <c r="A1771" s="11">
        <v>37645</v>
      </c>
      <c r="B1771" s="10">
        <v>98.393000000000001</v>
      </c>
      <c r="E1771" s="13">
        <f t="shared" si="81"/>
        <v>-1.0148010454101839E-3</v>
      </c>
      <c r="F1771" s="9">
        <f t="shared" si="82"/>
        <v>-9.4960981601610022E-3</v>
      </c>
      <c r="G1771" s="9">
        <f t="shared" si="83"/>
        <v>9.6895555089033299E-3</v>
      </c>
    </row>
    <row r="1772" spans="1:7" x14ac:dyDescent="0.2">
      <c r="A1772" s="11">
        <v>37648</v>
      </c>
      <c r="B1772" s="10">
        <v>94.328400000000002</v>
      </c>
      <c r="E1772" s="13">
        <f t="shared" si="81"/>
        <v>-4.2187352528569394E-2</v>
      </c>
      <c r="F1772" s="9">
        <f t="shared" si="82"/>
        <v>-5.9077637259724113E-2</v>
      </c>
      <c r="G1772" s="9">
        <f t="shared" si="83"/>
        <v>1.2300852531984298E-2</v>
      </c>
    </row>
    <row r="1773" spans="1:7" x14ac:dyDescent="0.2">
      <c r="A1773" s="11">
        <v>37649</v>
      </c>
      <c r="B1773" s="10">
        <v>92.927700000000002</v>
      </c>
      <c r="E1773" s="13">
        <f t="shared" si="81"/>
        <v>-1.4960539336533487E-2</v>
      </c>
      <c r="F1773" s="9">
        <f t="shared" si="82"/>
        <v>-8.1320552432082888E-2</v>
      </c>
      <c r="G1773" s="9">
        <f t="shared" si="83"/>
        <v>1.239211584463386E-2</v>
      </c>
    </row>
    <row r="1774" spans="1:7" x14ac:dyDescent="0.2">
      <c r="A1774" s="11">
        <v>37650</v>
      </c>
      <c r="B1774" s="10">
        <v>91.153599999999997</v>
      </c>
      <c r="E1774" s="13">
        <f t="shared" si="81"/>
        <v>-1.9275775769172349E-2</v>
      </c>
      <c r="F1774" s="9">
        <f t="shared" si="82"/>
        <v>-9.673672224210586E-2</v>
      </c>
      <c r="G1774" s="9">
        <f t="shared" si="83"/>
        <v>1.2764084828789072E-2</v>
      </c>
    </row>
    <row r="1775" spans="1:7" x14ac:dyDescent="0.2">
      <c r="A1775" s="11">
        <v>37651</v>
      </c>
      <c r="B1775" s="10">
        <v>92.260300000000001</v>
      </c>
      <c r="E1775" s="13">
        <f t="shared" si="81"/>
        <v>1.2067934122314839E-2</v>
      </c>
      <c r="F1775" s="9">
        <f t="shared" si="82"/>
        <v>-7.6978864943219302E-2</v>
      </c>
      <c r="G1775" s="9">
        <f t="shared" si="83"/>
        <v>1.3047530704780895E-2</v>
      </c>
    </row>
    <row r="1776" spans="1:7" x14ac:dyDescent="0.2">
      <c r="A1776" s="11">
        <v>37652</v>
      </c>
      <c r="B1776" s="10">
        <v>92.659899999999993</v>
      </c>
      <c r="E1776" s="13">
        <f t="shared" si="81"/>
        <v>4.3218709691653671E-3</v>
      </c>
      <c r="F1776" s="9">
        <f t="shared" si="82"/>
        <v>-6.4659655739980379E-2</v>
      </c>
      <c r="G1776" s="9">
        <f t="shared" si="83"/>
        <v>1.3067892561762082E-2</v>
      </c>
    </row>
    <row r="1777" spans="1:7" x14ac:dyDescent="0.2">
      <c r="A1777" s="11">
        <v>37655</v>
      </c>
      <c r="B1777" s="10">
        <v>92.667500000000004</v>
      </c>
      <c r="E1777" s="13">
        <f t="shared" si="81"/>
        <v>8.2017014259915024E-5</v>
      </c>
      <c r="F1777" s="9">
        <f t="shared" si="82"/>
        <v>-6.5150064217318795E-2</v>
      </c>
      <c r="G1777" s="9">
        <f t="shared" si="83"/>
        <v>1.3064453871555028E-2</v>
      </c>
    </row>
    <row r="1778" spans="1:7" x14ac:dyDescent="0.2">
      <c r="A1778" s="11">
        <v>37656</v>
      </c>
      <c r="B1778" s="10">
        <v>91.685299999999998</v>
      </c>
      <c r="E1778" s="13">
        <f t="shared" si="81"/>
        <v>-1.0655756719214962E-2</v>
      </c>
      <c r="F1778" s="9">
        <f t="shared" si="82"/>
        <v>-7.981976310177688E-2</v>
      </c>
      <c r="G1778" s="9">
        <f t="shared" si="83"/>
        <v>1.3097353777124059E-2</v>
      </c>
    </row>
    <row r="1779" spans="1:7" x14ac:dyDescent="0.2">
      <c r="A1779" s="11">
        <v>37657</v>
      </c>
      <c r="B1779" s="10">
        <v>91.966200000000001</v>
      </c>
      <c r="E1779" s="13">
        <f t="shared" si="81"/>
        <v>3.059057171340222E-3</v>
      </c>
      <c r="F1779" s="9">
        <f t="shared" si="82"/>
        <v>-8.453276058065412E-2</v>
      </c>
      <c r="G1779" s="9">
        <f t="shared" si="83"/>
        <v>1.2990905912248602E-2</v>
      </c>
    </row>
    <row r="1780" spans="1:7" x14ac:dyDescent="0.2">
      <c r="A1780" s="11">
        <v>37658</v>
      </c>
      <c r="B1780" s="10">
        <v>90.740799999999993</v>
      </c>
      <c r="E1780" s="13">
        <f t="shared" si="81"/>
        <v>-1.3414027644518193E-2</v>
      </c>
      <c r="F1780" s="9">
        <f t="shared" si="82"/>
        <v>-9.8229526552735411E-2</v>
      </c>
      <c r="G1780" s="9">
        <f t="shared" si="83"/>
        <v>1.3118850903092786E-2</v>
      </c>
    </row>
    <row r="1781" spans="1:7" x14ac:dyDescent="0.2">
      <c r="A1781" s="11">
        <v>37659</v>
      </c>
      <c r="B1781" s="10">
        <v>90.786000000000001</v>
      </c>
      <c r="E1781" s="13">
        <f t="shared" si="81"/>
        <v>4.979981020340297E-4</v>
      </c>
      <c r="F1781" s="9">
        <f t="shared" si="82"/>
        <v>-8.6310674803406401E-2</v>
      </c>
      <c r="G1781" s="9">
        <f t="shared" si="83"/>
        <v>1.3044670717986933E-2</v>
      </c>
    </row>
    <row r="1782" spans="1:7" x14ac:dyDescent="0.2">
      <c r="A1782" s="11">
        <v>37662</v>
      </c>
      <c r="B1782" s="10">
        <v>89.328699999999998</v>
      </c>
      <c r="E1782" s="13">
        <f t="shared" si="81"/>
        <v>-1.6182263871454019E-2</v>
      </c>
      <c r="F1782" s="9">
        <f t="shared" si="82"/>
        <v>-0.10091039826156983</v>
      </c>
      <c r="G1782" s="9">
        <f t="shared" si="83"/>
        <v>1.3268764401340689E-2</v>
      </c>
    </row>
    <row r="1783" spans="1:7" x14ac:dyDescent="0.2">
      <c r="A1783" s="11">
        <v>37663</v>
      </c>
      <c r="B1783" s="10">
        <v>90.391999999999996</v>
      </c>
      <c r="E1783" s="13">
        <f t="shared" si="81"/>
        <v>1.1832943080910383E-2</v>
      </c>
      <c r="F1783" s="9">
        <f t="shared" si="82"/>
        <v>-7.7776496913967846E-2</v>
      </c>
      <c r="G1783" s="9">
        <f t="shared" si="83"/>
        <v>1.347554951230156E-2</v>
      </c>
    </row>
    <row r="1784" spans="1:7" x14ac:dyDescent="0.2">
      <c r="A1784" s="11">
        <v>37664</v>
      </c>
      <c r="B1784" s="10">
        <v>89.745400000000004</v>
      </c>
      <c r="E1784" s="13">
        <f t="shared" si="81"/>
        <v>-7.178995333955487E-3</v>
      </c>
      <c r="F1784" s="9">
        <f t="shared" si="82"/>
        <v>-0.10610924304009799</v>
      </c>
      <c r="G1784" s="9">
        <f t="shared" si="83"/>
        <v>1.2689892228682045E-2</v>
      </c>
    </row>
    <row r="1785" spans="1:7" x14ac:dyDescent="0.2">
      <c r="A1785" s="11">
        <v>37665</v>
      </c>
      <c r="B1785" s="10">
        <v>87.765799999999999</v>
      </c>
      <c r="E1785" s="13">
        <f t="shared" si="81"/>
        <v>-2.230486945526983E-2</v>
      </c>
      <c r="F1785" s="9">
        <f t="shared" si="82"/>
        <v>-0.1421669385376918</v>
      </c>
      <c r="G1785" s="9">
        <f t="shared" si="83"/>
        <v>1.2689425195916499E-2</v>
      </c>
    </row>
    <row r="1786" spans="1:7" x14ac:dyDescent="0.2">
      <c r="A1786" s="11">
        <v>37666</v>
      </c>
      <c r="B1786" s="10">
        <v>87.513199999999998</v>
      </c>
      <c r="E1786" s="13">
        <f t="shared" si="81"/>
        <v>-2.882263989088407E-3</v>
      </c>
      <c r="F1786" s="9">
        <f t="shared" si="82"/>
        <v>-0.13788737583181326</v>
      </c>
      <c r="G1786" s="9">
        <f t="shared" si="83"/>
        <v>1.2687094040774845E-2</v>
      </c>
    </row>
    <row r="1787" spans="1:7" x14ac:dyDescent="0.2">
      <c r="A1787" s="11">
        <v>37669</v>
      </c>
      <c r="B1787" s="10">
        <v>88.075000000000003</v>
      </c>
      <c r="E1787" s="13">
        <f t="shared" si="81"/>
        <v>6.3990850986699434E-3</v>
      </c>
      <c r="F1787" s="9">
        <f t="shared" si="82"/>
        <v>-0.13295061088963286</v>
      </c>
      <c r="G1787" s="9">
        <f t="shared" si="83"/>
        <v>1.2806055337518541E-2</v>
      </c>
    </row>
    <row r="1788" spans="1:7" x14ac:dyDescent="0.2">
      <c r="A1788" s="11">
        <v>37670</v>
      </c>
      <c r="B1788" s="10">
        <v>88.691500000000005</v>
      </c>
      <c r="E1788" s="13">
        <f t="shared" si="81"/>
        <v>6.9753318605241289E-3</v>
      </c>
      <c r="F1788" s="9">
        <f t="shared" si="82"/>
        <v>-0.10724809112157713</v>
      </c>
      <c r="G1788" s="9">
        <f t="shared" si="83"/>
        <v>1.2681110526284753E-2</v>
      </c>
    </row>
    <row r="1789" spans="1:7" x14ac:dyDescent="0.2">
      <c r="A1789" s="11">
        <v>37671</v>
      </c>
      <c r="B1789" s="10">
        <v>87.473600000000005</v>
      </c>
      <c r="E1789" s="13">
        <f t="shared" si="81"/>
        <v>-1.3827022534883405E-2</v>
      </c>
      <c r="F1789" s="9">
        <f t="shared" si="82"/>
        <v>-0.12214410088283444</v>
      </c>
      <c r="G1789" s="9">
        <f t="shared" si="83"/>
        <v>1.2782397288541454E-2</v>
      </c>
    </row>
    <row r="1790" spans="1:7" x14ac:dyDescent="0.2">
      <c r="A1790" s="11">
        <v>37672</v>
      </c>
      <c r="B1790" s="10">
        <v>85.511099999999999</v>
      </c>
      <c r="E1790" s="13">
        <f t="shared" si="81"/>
        <v>-2.2690841475303206E-2</v>
      </c>
      <c r="F1790" s="9">
        <f t="shared" si="82"/>
        <v>-0.1500480703081149</v>
      </c>
      <c r="G1790" s="9">
        <f t="shared" si="83"/>
        <v>1.3094033181566095E-2</v>
      </c>
    </row>
    <row r="1791" spans="1:7" x14ac:dyDescent="0.2">
      <c r="A1791" s="11">
        <v>37673</v>
      </c>
      <c r="B1791" s="10">
        <v>85.918300000000002</v>
      </c>
      <c r="E1791" s="13">
        <f t="shared" si="81"/>
        <v>4.7506526398733255E-3</v>
      </c>
      <c r="F1791" s="9">
        <f t="shared" si="82"/>
        <v>-0.1660292413287541</v>
      </c>
      <c r="G1791" s="9">
        <f t="shared" si="83"/>
        <v>1.2275529761560034E-2</v>
      </c>
    </row>
    <row r="1792" spans="1:7" x14ac:dyDescent="0.2">
      <c r="A1792" s="11">
        <v>37676</v>
      </c>
      <c r="B1792" s="10">
        <v>85.281099999999995</v>
      </c>
      <c r="E1792" s="13">
        <f t="shared" si="81"/>
        <v>-7.443985696486132E-3</v>
      </c>
      <c r="F1792" s="9">
        <f t="shared" si="82"/>
        <v>-0.16793818946237205</v>
      </c>
      <c r="G1792" s="9">
        <f t="shared" si="83"/>
        <v>1.2279591482909928E-2</v>
      </c>
    </row>
    <row r="1793" spans="1:7" x14ac:dyDescent="0.2">
      <c r="A1793" s="11">
        <v>37677</v>
      </c>
      <c r="B1793" s="10">
        <v>83.13</v>
      </c>
      <c r="E1793" s="13">
        <f t="shared" si="81"/>
        <v>-2.5547211478029498E-2</v>
      </c>
      <c r="F1793" s="9">
        <f t="shared" si="82"/>
        <v>-0.19551949599441221</v>
      </c>
      <c r="G1793" s="9">
        <f t="shared" si="83"/>
        <v>1.2712366842349034E-2</v>
      </c>
    </row>
    <row r="1794" spans="1:7" x14ac:dyDescent="0.2">
      <c r="A1794" s="11">
        <v>37678</v>
      </c>
      <c r="B1794" s="10">
        <v>83.152600000000007</v>
      </c>
      <c r="E1794" s="13">
        <f t="shared" si="81"/>
        <v>2.7182639842251316E-4</v>
      </c>
      <c r="F1794" s="9">
        <f t="shared" si="82"/>
        <v>-0.19952909687278533</v>
      </c>
      <c r="G1794" s="9">
        <f t="shared" si="83"/>
        <v>1.2609580545408261E-2</v>
      </c>
    </row>
    <row r="1795" spans="1:7" x14ac:dyDescent="0.2">
      <c r="A1795" s="11">
        <v>37679</v>
      </c>
      <c r="B1795" s="10">
        <v>83.925600000000003</v>
      </c>
      <c r="E1795" s="13">
        <f t="shared" si="81"/>
        <v>9.2532181395169662E-3</v>
      </c>
      <c r="F1795" s="9">
        <f t="shared" si="82"/>
        <v>-0.1782250327475213</v>
      </c>
      <c r="G1795" s="9">
        <f t="shared" si="83"/>
        <v>1.291448327924187E-2</v>
      </c>
    </row>
    <row r="1796" spans="1:7" x14ac:dyDescent="0.2">
      <c r="A1796" s="11">
        <v>37680</v>
      </c>
      <c r="B1796" s="10">
        <v>85.829700000000003</v>
      </c>
      <c r="E1796" s="13">
        <f t="shared" ref="E1796:E1859" si="84">LN(B1796/B1795)</f>
        <v>2.2434408361713704E-2</v>
      </c>
      <c r="F1796" s="9">
        <f t="shared" si="82"/>
        <v>-0.16068396549412592</v>
      </c>
      <c r="G1796" s="9">
        <f t="shared" si="83"/>
        <v>1.3828413385797508E-2</v>
      </c>
    </row>
    <row r="1797" spans="1:7" x14ac:dyDescent="0.2">
      <c r="A1797" s="11">
        <v>37683</v>
      </c>
      <c r="B1797" s="10">
        <v>87.831800000000001</v>
      </c>
      <c r="E1797" s="13">
        <f t="shared" si="84"/>
        <v>2.3058521412774046E-2</v>
      </c>
      <c r="F1797" s="9">
        <f t="shared" si="82"/>
        <v>-0.13325839044578405</v>
      </c>
      <c r="G1797" s="9">
        <f t="shared" si="83"/>
        <v>1.481421710444337E-2</v>
      </c>
    </row>
    <row r="1798" spans="1:7" x14ac:dyDescent="0.2">
      <c r="A1798" s="11">
        <v>37684</v>
      </c>
      <c r="B1798" s="10">
        <v>86.619600000000005</v>
      </c>
      <c r="E1798" s="13">
        <f t="shared" si="84"/>
        <v>-1.3897503950767044E-2</v>
      </c>
      <c r="F1798" s="9">
        <f t="shared" si="82"/>
        <v>-0.12966379792184912</v>
      </c>
      <c r="G1798" s="9">
        <f t="shared" si="83"/>
        <v>1.4717173597360649E-2</v>
      </c>
    </row>
    <row r="1799" spans="1:7" x14ac:dyDescent="0.2">
      <c r="A1799" s="11">
        <v>37685</v>
      </c>
      <c r="B1799" s="10">
        <v>86.144499999999994</v>
      </c>
      <c r="E1799" s="13">
        <f t="shared" si="84"/>
        <v>-5.4999991045238542E-3</v>
      </c>
      <c r="F1799" s="9">
        <f t="shared" si="82"/>
        <v>-0.1339583455616602</v>
      </c>
      <c r="G1799" s="9">
        <f t="shared" si="83"/>
        <v>1.4704740737044544E-2</v>
      </c>
    </row>
    <row r="1800" spans="1:7" x14ac:dyDescent="0.2">
      <c r="A1800" s="11">
        <v>37686</v>
      </c>
      <c r="B1800" s="10">
        <v>85.856099999999998</v>
      </c>
      <c r="E1800" s="13">
        <f t="shared" si="84"/>
        <v>-3.353479816636144E-3</v>
      </c>
      <c r="F1800" s="9">
        <f t="shared" si="82"/>
        <v>-0.13629702433288618</v>
      </c>
      <c r="G1800" s="9">
        <f t="shared" si="83"/>
        <v>1.4690673316606475E-2</v>
      </c>
    </row>
    <row r="1801" spans="1:7" x14ac:dyDescent="0.2">
      <c r="A1801" s="11">
        <v>37687</v>
      </c>
      <c r="B1801" s="10">
        <v>85.152900000000002</v>
      </c>
      <c r="E1801" s="13">
        <f t="shared" si="84"/>
        <v>-8.2241749092367439E-3</v>
      </c>
      <c r="F1801" s="9">
        <f t="shared" si="82"/>
        <v>-0.10233384671355346</v>
      </c>
      <c r="G1801" s="9">
        <f t="shared" si="83"/>
        <v>1.2831574026039884E-2</v>
      </c>
    </row>
    <row r="1802" spans="1:7" x14ac:dyDescent="0.2">
      <c r="A1802" s="11">
        <v>37690</v>
      </c>
      <c r="B1802" s="10">
        <v>84.666499999999999</v>
      </c>
      <c r="E1802" s="13">
        <f t="shared" si="84"/>
        <v>-5.7284542297078396E-3</v>
      </c>
      <c r="F1802" s="9">
        <f t="shared" si="82"/>
        <v>-9.3101761606727687E-2</v>
      </c>
      <c r="G1802" s="9">
        <f t="shared" si="83"/>
        <v>1.2651078602810907E-2</v>
      </c>
    </row>
    <row r="1803" spans="1:7" x14ac:dyDescent="0.2">
      <c r="A1803" s="11">
        <v>37691</v>
      </c>
      <c r="B1803" s="10">
        <v>85.164199999999994</v>
      </c>
      <c r="E1803" s="13">
        <f t="shared" si="84"/>
        <v>5.8611478936625491E-3</v>
      </c>
      <c r="F1803" s="9">
        <f t="shared" si="82"/>
        <v>-6.7964837943892797E-2</v>
      </c>
      <c r="G1803" s="9">
        <f t="shared" si="83"/>
        <v>1.2369031939892295E-2</v>
      </c>
    </row>
    <row r="1804" spans="1:7" x14ac:dyDescent="0.2">
      <c r="A1804" s="11">
        <v>37692</v>
      </c>
      <c r="B1804" s="10">
        <v>85.611000000000004</v>
      </c>
      <c r="E1804" s="13">
        <f t="shared" si="84"/>
        <v>5.2326218263604365E-3</v>
      </c>
      <c r="F1804" s="9">
        <f t="shared" si="82"/>
        <v>-7.4800150239847055E-2</v>
      </c>
      <c r="G1804" s="9">
        <f t="shared" si="83"/>
        <v>1.214774841070243E-2</v>
      </c>
    </row>
    <row r="1805" spans="1:7" x14ac:dyDescent="0.2">
      <c r="A1805" s="11">
        <v>37693</v>
      </c>
      <c r="B1805" s="10">
        <v>86.921300000000002</v>
      </c>
      <c r="E1805" s="13">
        <f t="shared" si="84"/>
        <v>1.5189331993447667E-2</v>
      </c>
      <c r="F1805" s="9">
        <f t="shared" si="82"/>
        <v>-6.3932689215564775E-2</v>
      </c>
      <c r="G1805" s="9">
        <f t="shared" si="83"/>
        <v>1.2529855984069881E-2</v>
      </c>
    </row>
    <row r="1806" spans="1:7" x14ac:dyDescent="0.2">
      <c r="A1806" s="11">
        <v>37694</v>
      </c>
      <c r="B1806" s="10">
        <v>88.278599999999997</v>
      </c>
      <c r="E1806" s="13">
        <f t="shared" si="84"/>
        <v>1.5494611073136481E-2</v>
      </c>
      <c r="F1806" s="9">
        <f t="shared" si="82"/>
        <v>-4.8520095156688224E-2</v>
      </c>
      <c r="G1806" s="9">
        <f t="shared" si="83"/>
        <v>1.295013173532291E-2</v>
      </c>
    </row>
    <row r="1807" spans="1:7" x14ac:dyDescent="0.2">
      <c r="A1807" s="11">
        <v>37697</v>
      </c>
      <c r="B1807" s="10">
        <v>87.641400000000004</v>
      </c>
      <c r="E1807" s="13">
        <f t="shared" si="84"/>
        <v>-7.2442335905891879E-3</v>
      </c>
      <c r="F1807" s="9">
        <f t="shared" si="82"/>
        <v>-4.5108572028062385E-2</v>
      </c>
      <c r="G1807" s="9">
        <f t="shared" si="83"/>
        <v>1.2880929510276097E-2</v>
      </c>
    </row>
    <row r="1808" spans="1:7" x14ac:dyDescent="0.2">
      <c r="A1808" s="11">
        <v>37698</v>
      </c>
      <c r="B1808" s="10">
        <v>88.719800000000006</v>
      </c>
      <c r="E1808" s="13">
        <f t="shared" si="84"/>
        <v>1.2229599715862493E-2</v>
      </c>
      <c r="F1808" s="9">
        <f t="shared" si="82"/>
        <v>-3.5938029483540218E-2</v>
      </c>
      <c r="G1808" s="9">
        <f t="shared" si="83"/>
        <v>1.310881376129272E-2</v>
      </c>
    </row>
    <row r="1809" spans="1:7" x14ac:dyDescent="0.2">
      <c r="A1809" s="11">
        <v>37699</v>
      </c>
      <c r="B1809" s="10">
        <v>90.629499999999993</v>
      </c>
      <c r="E1809" s="13">
        <f t="shared" si="84"/>
        <v>2.1296678358042602E-2</v>
      </c>
      <c r="F1809" s="9">
        <f t="shared" si="82"/>
        <v>-1.2273234809794709E-3</v>
      </c>
      <c r="G1809" s="9">
        <f t="shared" si="83"/>
        <v>1.353519791061104E-2</v>
      </c>
    </row>
    <row r="1810" spans="1:7" x14ac:dyDescent="0.2">
      <c r="A1810" s="11">
        <v>37700</v>
      </c>
      <c r="B1810" s="10">
        <v>89.994200000000006</v>
      </c>
      <c r="E1810" s="13">
        <f t="shared" si="84"/>
        <v>-7.0345433052869839E-3</v>
      </c>
      <c r="F1810" s="9">
        <f t="shared" si="82"/>
        <v>-8.7598648883004549E-3</v>
      </c>
      <c r="G1810" s="9">
        <f t="shared" si="83"/>
        <v>1.3596594907871538E-2</v>
      </c>
    </row>
    <row r="1811" spans="1:7" x14ac:dyDescent="0.2">
      <c r="A1811" s="11">
        <v>37701</v>
      </c>
      <c r="B1811" s="10">
        <v>91.368600000000001</v>
      </c>
      <c r="E1811" s="13">
        <f t="shared" si="84"/>
        <v>1.5156650768094424E-2</v>
      </c>
      <c r="F1811" s="9">
        <f t="shared" si="82"/>
        <v>2.2579049751248043E-2</v>
      </c>
      <c r="G1811" s="9">
        <f t="shared" si="83"/>
        <v>1.3534627115109265E-2</v>
      </c>
    </row>
    <row r="1812" spans="1:7" x14ac:dyDescent="0.2">
      <c r="A1812" s="11">
        <v>37704</v>
      </c>
      <c r="B1812" s="10">
        <v>89.0685</v>
      </c>
      <c r="E1812" s="13">
        <f t="shared" si="84"/>
        <v>-2.5496137962410556E-2</v>
      </c>
      <c r="F1812" s="9">
        <f t="shared" si="82"/>
        <v>-1.4750031292072913E-2</v>
      </c>
      <c r="G1812" s="9">
        <f t="shared" si="83"/>
        <v>1.4204279749347766E-2</v>
      </c>
    </row>
    <row r="1813" spans="1:7" x14ac:dyDescent="0.2">
      <c r="A1813" s="11">
        <v>37705</v>
      </c>
      <c r="B1813" s="10">
        <v>89.675600000000003</v>
      </c>
      <c r="E1813" s="13">
        <f t="shared" si="84"/>
        <v>6.7929776090806587E-3</v>
      </c>
      <c r="F1813" s="9">
        <f t="shared" si="82"/>
        <v>-7.7805834903676345E-4</v>
      </c>
      <c r="G1813" s="9">
        <f t="shared" si="83"/>
        <v>1.4206904322924057E-2</v>
      </c>
    </row>
    <row r="1814" spans="1:7" x14ac:dyDescent="0.2">
      <c r="A1814" s="11">
        <v>37706</v>
      </c>
      <c r="B1814" s="10">
        <v>89.875399999999999</v>
      </c>
      <c r="E1814" s="13">
        <f t="shared" si="84"/>
        <v>2.2255524332231965E-3</v>
      </c>
      <c r="F1814" s="9">
        <f t="shared" si="82"/>
        <v>2.3752363539456398E-2</v>
      </c>
      <c r="G1814" s="9">
        <f t="shared" si="83"/>
        <v>1.3548094366535835E-2</v>
      </c>
    </row>
    <row r="1815" spans="1:7" x14ac:dyDescent="0.2">
      <c r="A1815" s="11">
        <v>37707</v>
      </c>
      <c r="B1815" s="10">
        <v>89.138300000000001</v>
      </c>
      <c r="E1815" s="13">
        <f t="shared" si="84"/>
        <v>-8.2351704446969771E-3</v>
      </c>
      <c r="F1815" s="9">
        <f t="shared" si="82"/>
        <v>1.8399457083847645E-2</v>
      </c>
      <c r="G1815" s="9">
        <f t="shared" si="83"/>
        <v>1.3636499344292518E-2</v>
      </c>
    </row>
    <row r="1816" spans="1:7" x14ac:dyDescent="0.2">
      <c r="A1816" s="11">
        <v>37708</v>
      </c>
      <c r="B1816" s="10">
        <v>89.215599999999995</v>
      </c>
      <c r="E1816" s="13">
        <f t="shared" si="84"/>
        <v>8.6681597475648684E-4</v>
      </c>
      <c r="F1816" s="9">
        <f t="shared" si="82"/>
        <v>1.2867187959934285E-2</v>
      </c>
      <c r="G1816" s="9">
        <f t="shared" si="83"/>
        <v>1.3591597922387608E-2</v>
      </c>
    </row>
    <row r="1817" spans="1:7" x14ac:dyDescent="0.2">
      <c r="A1817" s="11">
        <v>37711</v>
      </c>
      <c r="B1817" s="10">
        <v>88.027900000000002</v>
      </c>
      <c r="E1817" s="13">
        <f t="shared" si="84"/>
        <v>-1.3402102502773417E-2</v>
      </c>
      <c r="F1817" s="9">
        <f t="shared" si="82"/>
        <v>-7.510246403363347E-3</v>
      </c>
      <c r="G1817" s="9">
        <f t="shared" si="83"/>
        <v>1.3767467105732302E-2</v>
      </c>
    </row>
    <row r="1818" spans="1:7" x14ac:dyDescent="0.2">
      <c r="A1818" s="11">
        <v>37712</v>
      </c>
      <c r="B1818" s="10">
        <v>87.633899999999997</v>
      </c>
      <c r="E1818" s="13">
        <f t="shared" si="84"/>
        <v>-4.4859003006328122E-3</v>
      </c>
      <c r="F1818" s="9">
        <f t="shared" si="82"/>
        <v>1.830875830887318E-3</v>
      </c>
      <c r="G1818" s="9">
        <f t="shared" si="83"/>
        <v>1.3546183347980164E-2</v>
      </c>
    </row>
    <row r="1819" spans="1:7" x14ac:dyDescent="0.2">
      <c r="A1819" s="11">
        <v>37713</v>
      </c>
      <c r="B1819" s="10">
        <v>89.043999999999997</v>
      </c>
      <c r="E1819" s="13">
        <f t="shared" si="84"/>
        <v>1.5962720204253232E-2</v>
      </c>
      <c r="F1819" s="9">
        <f t="shared" si="82"/>
        <v>4.0484437510443588E-2</v>
      </c>
      <c r="G1819" s="9">
        <f t="shared" si="83"/>
        <v>1.3122373459800754E-2</v>
      </c>
    </row>
    <row r="1820" spans="1:7" x14ac:dyDescent="0.2">
      <c r="A1820" s="11">
        <v>37714</v>
      </c>
      <c r="B1820" s="10">
        <v>90.135599999999997</v>
      </c>
      <c r="E1820" s="13">
        <f t="shared" si="84"/>
        <v>1.2184573525406972E-2</v>
      </c>
      <c r="F1820" s="9">
        <f t="shared" si="82"/>
        <v>4.7918358395977162E-2</v>
      </c>
      <c r="G1820" s="9">
        <f t="shared" si="83"/>
        <v>1.3262111660269022E-2</v>
      </c>
    </row>
    <row r="1821" spans="1:7" x14ac:dyDescent="0.2">
      <c r="A1821" s="11">
        <v>37715</v>
      </c>
      <c r="B1821" s="10">
        <v>90.838800000000006</v>
      </c>
      <c r="E1821" s="13">
        <f t="shared" si="84"/>
        <v>7.7713039969847962E-3</v>
      </c>
      <c r="F1821" s="9">
        <f t="shared" si="82"/>
        <v>6.3133648089448102E-2</v>
      </c>
      <c r="G1821" s="9">
        <f t="shared" si="83"/>
        <v>1.3190169612134749E-2</v>
      </c>
    </row>
    <row r="1822" spans="1:7" x14ac:dyDescent="0.2">
      <c r="A1822" s="11">
        <v>37718</v>
      </c>
      <c r="B1822" s="10">
        <v>94.343500000000006</v>
      </c>
      <c r="E1822" s="13">
        <f t="shared" si="84"/>
        <v>3.7855869909059418E-2</v>
      </c>
      <c r="F1822" s="9">
        <f t="shared" si="82"/>
        <v>0.12653672947653702</v>
      </c>
      <c r="G1822" s="9">
        <f t="shared" si="83"/>
        <v>1.3676340512125098E-2</v>
      </c>
    </row>
    <row r="1823" spans="1:7" x14ac:dyDescent="0.2">
      <c r="A1823" s="11">
        <v>37719</v>
      </c>
      <c r="B1823" s="10">
        <v>93.419700000000006</v>
      </c>
      <c r="E1823" s="13">
        <f t="shared" si="84"/>
        <v>-9.840133254517304E-3</v>
      </c>
      <c r="F1823" s="9">
        <f t="shared" si="82"/>
        <v>0.11642476982359713</v>
      </c>
      <c r="G1823" s="9">
        <f t="shared" si="83"/>
        <v>1.3911270187924943E-2</v>
      </c>
    </row>
    <row r="1824" spans="1:7" x14ac:dyDescent="0.2">
      <c r="A1824" s="11">
        <v>37720</v>
      </c>
      <c r="B1824" s="10">
        <v>94.087100000000007</v>
      </c>
      <c r="E1824" s="13">
        <f t="shared" si="84"/>
        <v>7.1187052248327084E-3</v>
      </c>
      <c r="F1824" s="9">
        <f t="shared" ref="F1824:F1887" si="85">LN(B1824/B1795)</f>
        <v>0.11429025690891283</v>
      </c>
      <c r="G1824" s="9">
        <f t="shared" si="83"/>
        <v>1.3888190915284513E-2</v>
      </c>
    </row>
    <row r="1825" spans="1:7" x14ac:dyDescent="0.2">
      <c r="A1825" s="11">
        <v>37721</v>
      </c>
      <c r="B1825" s="10">
        <v>93.634600000000006</v>
      </c>
      <c r="E1825" s="13">
        <f t="shared" si="84"/>
        <v>-4.8209756933742963E-3</v>
      </c>
      <c r="F1825" s="9">
        <f t="shared" si="85"/>
        <v>8.7034872853824774E-2</v>
      </c>
      <c r="G1825" s="9">
        <f t="shared" ref="G1825:G1888" si="86">STDEV(E1797:E1825)</f>
        <v>1.3509050429555256E-2</v>
      </c>
    </row>
    <row r="1826" spans="1:7" x14ac:dyDescent="0.2">
      <c r="A1826" s="11">
        <v>37722</v>
      </c>
      <c r="B1826" s="10">
        <v>93.563000000000002</v>
      </c>
      <c r="E1826" s="13">
        <f t="shared" si="84"/>
        <v>-7.6496710953078816E-4</v>
      </c>
      <c r="F1826" s="9">
        <f t="shared" si="85"/>
        <v>6.3211384331519946E-2</v>
      </c>
      <c r="G1826" s="9">
        <f t="shared" si="86"/>
        <v>1.2958948127479454E-2</v>
      </c>
    </row>
    <row r="1827" spans="1:7" x14ac:dyDescent="0.2">
      <c r="A1827" s="11">
        <v>37725</v>
      </c>
      <c r="B1827" s="10">
        <v>93.676100000000005</v>
      </c>
      <c r="E1827" s="13">
        <f t="shared" si="84"/>
        <v>1.2080811513772423E-3</v>
      </c>
      <c r="F1827" s="9">
        <f t="shared" si="85"/>
        <v>7.8316969433664396E-2</v>
      </c>
      <c r="G1827" s="9">
        <f t="shared" si="86"/>
        <v>1.2587920316943304E-2</v>
      </c>
    </row>
    <row r="1828" spans="1:7" x14ac:dyDescent="0.2">
      <c r="A1828" s="11">
        <v>37726</v>
      </c>
      <c r="B1828" s="10">
        <v>94.784599999999998</v>
      </c>
      <c r="E1828" s="13">
        <f t="shared" si="84"/>
        <v>1.176386146928601E-2</v>
      </c>
      <c r="F1828" s="9">
        <f t="shared" si="85"/>
        <v>9.5580830007474207E-2</v>
      </c>
      <c r="G1828" s="9">
        <f t="shared" si="86"/>
        <v>1.2594467017864996E-2</v>
      </c>
    </row>
    <row r="1829" spans="1:7" x14ac:dyDescent="0.2">
      <c r="A1829" s="11">
        <v>37727</v>
      </c>
      <c r="B1829" s="10">
        <v>95.912000000000006</v>
      </c>
      <c r="E1829" s="13">
        <f t="shared" si="84"/>
        <v>1.1824155597745316E-2</v>
      </c>
      <c r="F1829" s="9">
        <f t="shared" si="85"/>
        <v>0.11075846542185559</v>
      </c>
      <c r="G1829" s="9">
        <f t="shared" si="86"/>
        <v>1.2623603868569049E-2</v>
      </c>
    </row>
    <row r="1830" spans="1:7" x14ac:dyDescent="0.2">
      <c r="A1830" s="11">
        <v>37733</v>
      </c>
      <c r="B1830" s="10">
        <v>95.276700000000005</v>
      </c>
      <c r="E1830" s="13">
        <f t="shared" si="84"/>
        <v>-6.6458147188102577E-3</v>
      </c>
      <c r="F1830" s="9">
        <f t="shared" si="85"/>
        <v>0.11233682561228203</v>
      </c>
      <c r="G1830" s="9">
        <f t="shared" si="86"/>
        <v>1.2573126185386243E-2</v>
      </c>
    </row>
    <row r="1831" spans="1:7" x14ac:dyDescent="0.2">
      <c r="A1831" s="11">
        <v>37734</v>
      </c>
      <c r="B1831" s="10">
        <v>97.020499999999998</v>
      </c>
      <c r="E1831" s="13">
        <f t="shared" si="84"/>
        <v>1.8137006693830785E-2</v>
      </c>
      <c r="F1831" s="9">
        <f t="shared" si="85"/>
        <v>0.1362022865358207</v>
      </c>
      <c r="G1831" s="9">
        <f t="shared" si="86"/>
        <v>1.270255793008869E-2</v>
      </c>
    </row>
    <row r="1832" spans="1:7" x14ac:dyDescent="0.2">
      <c r="A1832" s="11">
        <v>37735</v>
      </c>
      <c r="B1832" s="10">
        <v>96.584999999999994</v>
      </c>
      <c r="E1832" s="13">
        <f t="shared" si="84"/>
        <v>-4.4988467221165384E-3</v>
      </c>
      <c r="F1832" s="9">
        <f t="shared" si="85"/>
        <v>0.12584229192004148</v>
      </c>
      <c r="G1832" s="9">
        <f t="shared" si="86"/>
        <v>1.2813830513881432E-2</v>
      </c>
    </row>
    <row r="1833" spans="1:7" x14ac:dyDescent="0.2">
      <c r="A1833" s="11">
        <v>37736</v>
      </c>
      <c r="B1833" s="10">
        <v>96.615200000000002</v>
      </c>
      <c r="E1833" s="13">
        <f t="shared" si="84"/>
        <v>3.1262907849969484E-4</v>
      </c>
      <c r="F1833" s="9">
        <f t="shared" si="85"/>
        <v>0.12092229917218074</v>
      </c>
      <c r="G1833" s="9">
        <f t="shared" si="86"/>
        <v>1.2834135985135289E-2</v>
      </c>
    </row>
    <row r="1834" spans="1:7" x14ac:dyDescent="0.2">
      <c r="A1834" s="11">
        <v>37739</v>
      </c>
      <c r="B1834" s="10">
        <v>95.991200000000006</v>
      </c>
      <c r="E1834" s="13">
        <f t="shared" si="84"/>
        <v>-6.4795581372321769E-3</v>
      </c>
      <c r="F1834" s="9">
        <f t="shared" si="85"/>
        <v>9.9253409041500817E-2</v>
      </c>
      <c r="G1834" s="9">
        <f t="shared" si="86"/>
        <v>1.2800399187830026E-2</v>
      </c>
    </row>
    <row r="1835" spans="1:7" x14ac:dyDescent="0.2">
      <c r="A1835" s="11">
        <v>37740</v>
      </c>
      <c r="B1835" s="10">
        <v>99.501499999999993</v>
      </c>
      <c r="E1835" s="13">
        <f t="shared" si="84"/>
        <v>3.5916198828275119E-2</v>
      </c>
      <c r="F1835" s="9">
        <f t="shared" si="85"/>
        <v>0.11967499679663961</v>
      </c>
      <c r="G1835" s="9">
        <f t="shared" si="86"/>
        <v>1.3994295683755091E-2</v>
      </c>
    </row>
    <row r="1836" spans="1:7" x14ac:dyDescent="0.2">
      <c r="A1836" s="11">
        <v>37741</v>
      </c>
      <c r="B1836" s="10">
        <v>99.3827</v>
      </c>
      <c r="E1836" s="13">
        <f t="shared" si="84"/>
        <v>-1.194665178325089E-3</v>
      </c>
      <c r="F1836" s="9">
        <f t="shared" si="85"/>
        <v>0.12572456520890354</v>
      </c>
      <c r="G1836" s="9">
        <f t="shared" si="86"/>
        <v>1.3863216048732719E-2</v>
      </c>
    </row>
    <row r="1837" spans="1:7" x14ac:dyDescent="0.2">
      <c r="A1837" s="11">
        <v>37743</v>
      </c>
      <c r="B1837" s="10">
        <v>99.409099999999995</v>
      </c>
      <c r="E1837" s="13">
        <f t="shared" si="84"/>
        <v>2.6560451844795954E-4</v>
      </c>
      <c r="F1837" s="9">
        <f t="shared" si="85"/>
        <v>0.11376057001148918</v>
      </c>
      <c r="G1837" s="9">
        <f t="shared" si="86"/>
        <v>1.3797764648560492E-2</v>
      </c>
    </row>
    <row r="1838" spans="1:7" x14ac:dyDescent="0.2">
      <c r="A1838" s="11">
        <v>37746</v>
      </c>
      <c r="B1838" s="10">
        <v>100.2518</v>
      </c>
      <c r="E1838" s="13">
        <f t="shared" si="84"/>
        <v>8.4413623697851339E-3</v>
      </c>
      <c r="F1838" s="9">
        <f t="shared" si="85"/>
        <v>0.10090525402323164</v>
      </c>
      <c r="G1838" s="9">
        <f t="shared" si="86"/>
        <v>1.3421011335011251E-2</v>
      </c>
    </row>
    <row r="1839" spans="1:7" x14ac:dyDescent="0.2">
      <c r="A1839" s="11">
        <v>37747</v>
      </c>
      <c r="B1839" s="10">
        <v>101.5338</v>
      </c>
      <c r="E1839" s="13">
        <f t="shared" si="84"/>
        <v>1.2706726836409291E-2</v>
      </c>
      <c r="F1839" s="9">
        <f t="shared" si="85"/>
        <v>0.12064652416492791</v>
      </c>
      <c r="G1839" s="9">
        <f t="shared" si="86"/>
        <v>1.3369231289322221E-2</v>
      </c>
    </row>
    <row r="1840" spans="1:7" x14ac:dyDescent="0.2">
      <c r="A1840" s="11">
        <v>37748</v>
      </c>
      <c r="B1840" s="10">
        <v>102.0523</v>
      </c>
      <c r="E1840" s="13">
        <f t="shared" si="84"/>
        <v>5.0936789993440857E-3</v>
      </c>
      <c r="F1840" s="9">
        <f t="shared" si="85"/>
        <v>0.11058355239617743</v>
      </c>
      <c r="G1840" s="9">
        <f t="shared" si="86"/>
        <v>1.3203186550163327E-2</v>
      </c>
    </row>
    <row r="1841" spans="1:7" x14ac:dyDescent="0.2">
      <c r="A1841" s="11">
        <v>37749</v>
      </c>
      <c r="B1841" s="10">
        <v>100.8061</v>
      </c>
      <c r="E1841" s="13">
        <f t="shared" si="84"/>
        <v>-1.2286557294187516E-2</v>
      </c>
      <c r="F1841" s="9">
        <f t="shared" si="85"/>
        <v>0.12379313306440047</v>
      </c>
      <c r="G1841" s="9">
        <f t="shared" si="86"/>
        <v>1.2356639321717537E-2</v>
      </c>
    </row>
    <row r="1842" spans="1:7" x14ac:dyDescent="0.2">
      <c r="A1842" s="11">
        <v>37750</v>
      </c>
      <c r="B1842" s="10">
        <v>102.3086</v>
      </c>
      <c r="E1842" s="13">
        <f t="shared" si="84"/>
        <v>1.4794866216083643E-2</v>
      </c>
      <c r="F1842" s="9">
        <f t="shared" si="85"/>
        <v>0.13179502167140342</v>
      </c>
      <c r="G1842" s="9">
        <f t="shared" si="86"/>
        <v>1.2503489210905336E-2</v>
      </c>
    </row>
    <row r="1843" spans="1:7" x14ac:dyDescent="0.2">
      <c r="A1843" s="11">
        <v>37753</v>
      </c>
      <c r="B1843" s="10">
        <v>102.29170000000001</v>
      </c>
      <c r="E1843" s="13">
        <f t="shared" si="84"/>
        <v>-1.6520014915351547E-4</v>
      </c>
      <c r="F1843" s="9">
        <f t="shared" si="85"/>
        <v>0.12940426908902675</v>
      </c>
      <c r="G1843" s="9">
        <f t="shared" si="86"/>
        <v>1.2527185008582751E-2</v>
      </c>
    </row>
    <row r="1844" spans="1:7" x14ac:dyDescent="0.2">
      <c r="A1844" s="11">
        <v>37754</v>
      </c>
      <c r="B1844" s="10">
        <v>102.4802</v>
      </c>
      <c r="E1844" s="13">
        <f t="shared" si="84"/>
        <v>1.841073440683984E-3</v>
      </c>
      <c r="F1844" s="9">
        <f t="shared" si="85"/>
        <v>0.13948051297440756</v>
      </c>
      <c r="G1844" s="9">
        <f t="shared" si="86"/>
        <v>1.2300110194988955E-2</v>
      </c>
    </row>
    <row r="1845" spans="1:7" x14ac:dyDescent="0.2">
      <c r="A1845" s="11">
        <v>37755</v>
      </c>
      <c r="B1845" s="10">
        <v>103.453</v>
      </c>
      <c r="E1845" s="13">
        <f t="shared" si="84"/>
        <v>9.4477941008623036E-3</v>
      </c>
      <c r="F1845" s="9">
        <f t="shared" si="85"/>
        <v>0.14806149110051323</v>
      </c>
      <c r="G1845" s="9">
        <f t="shared" si="86"/>
        <v>1.2305084424581102E-2</v>
      </c>
    </row>
    <row r="1846" spans="1:7" x14ac:dyDescent="0.2">
      <c r="A1846" s="11">
        <v>37756</v>
      </c>
      <c r="B1846" s="10">
        <v>104.4145</v>
      </c>
      <c r="E1846" s="13">
        <f t="shared" si="84"/>
        <v>9.2511514055094671E-3</v>
      </c>
      <c r="F1846" s="9">
        <f t="shared" si="85"/>
        <v>0.17071474500879638</v>
      </c>
      <c r="G1846" s="9">
        <f t="shared" si="86"/>
        <v>1.1796760036058005E-2</v>
      </c>
    </row>
    <row r="1847" spans="1:7" x14ac:dyDescent="0.2">
      <c r="A1847" s="11">
        <v>37757</v>
      </c>
      <c r="B1847" s="10">
        <v>105.8227</v>
      </c>
      <c r="E1847" s="13">
        <f t="shared" si="84"/>
        <v>1.3396497482739538E-2</v>
      </c>
      <c r="F1847" s="9">
        <f t="shared" si="85"/>
        <v>0.1885971427921686</v>
      </c>
      <c r="G1847" s="9">
        <f t="shared" si="86"/>
        <v>1.1702194691034007E-2</v>
      </c>
    </row>
    <row r="1848" spans="1:7" x14ac:dyDescent="0.2">
      <c r="A1848" s="11">
        <v>37760</v>
      </c>
      <c r="B1848" s="10">
        <v>104.2052</v>
      </c>
      <c r="E1848" s="13">
        <f t="shared" si="84"/>
        <v>-1.5403020071185915E-2</v>
      </c>
      <c r="F1848" s="9">
        <f t="shared" si="85"/>
        <v>0.15723140251672948</v>
      </c>
      <c r="G1848" s="9">
        <f t="shared" si="86"/>
        <v>1.2234090214782672E-2</v>
      </c>
    </row>
    <row r="1849" spans="1:7" x14ac:dyDescent="0.2">
      <c r="A1849" s="11">
        <v>37761</v>
      </c>
      <c r="B1849" s="10">
        <v>103.7565</v>
      </c>
      <c r="E1849" s="13">
        <f t="shared" si="84"/>
        <v>-4.3152243540617559E-3</v>
      </c>
      <c r="F1849" s="9">
        <f t="shared" si="85"/>
        <v>0.14073160463726089</v>
      </c>
      <c r="G1849" s="9">
        <f t="shared" si="86"/>
        <v>1.2291880165007721E-2</v>
      </c>
    </row>
    <row r="1850" spans="1:7" x14ac:dyDescent="0.2">
      <c r="A1850" s="11">
        <v>37762</v>
      </c>
      <c r="B1850" s="10">
        <v>101.65819999999999</v>
      </c>
      <c r="E1850" s="13">
        <f t="shared" si="84"/>
        <v>-2.0430601967835502E-2</v>
      </c>
      <c r="F1850" s="9">
        <f t="shared" si="85"/>
        <v>0.11252969867244052</v>
      </c>
      <c r="G1850" s="9">
        <f t="shared" si="86"/>
        <v>1.313914090523231E-2</v>
      </c>
    </row>
    <row r="1851" spans="1:7" x14ac:dyDescent="0.2">
      <c r="A1851" s="11">
        <v>37763</v>
      </c>
      <c r="B1851" s="10">
        <v>103.2852</v>
      </c>
      <c r="E1851" s="13">
        <f t="shared" si="84"/>
        <v>1.5877888055027992E-2</v>
      </c>
      <c r="F1851" s="9">
        <f t="shared" si="85"/>
        <v>9.0551716818409136E-2</v>
      </c>
      <c r="G1851" s="9">
        <f t="shared" si="86"/>
        <v>1.1660042700129117E-2</v>
      </c>
    </row>
    <row r="1852" spans="1:7" x14ac:dyDescent="0.2">
      <c r="A1852" s="11">
        <v>37764</v>
      </c>
      <c r="B1852" s="10">
        <v>103.63590000000001</v>
      </c>
      <c r="E1852" s="13">
        <f t="shared" si="84"/>
        <v>3.389701058010338E-3</v>
      </c>
      <c r="F1852" s="9">
        <f t="shared" si="85"/>
        <v>0.10378155113093669</v>
      </c>
      <c r="G1852" s="9">
        <f t="shared" si="86"/>
        <v>1.1390458829262682E-2</v>
      </c>
    </row>
    <row r="1853" spans="1:7" x14ac:dyDescent="0.2">
      <c r="A1853" s="11">
        <v>37767</v>
      </c>
      <c r="B1853" s="10">
        <v>102.8365</v>
      </c>
      <c r="E1853" s="13">
        <f t="shared" si="84"/>
        <v>-7.7434465274348364E-3</v>
      </c>
      <c r="F1853" s="9">
        <f t="shared" si="85"/>
        <v>8.8919399378669287E-2</v>
      </c>
      <c r="G1853" s="9">
        <f t="shared" si="86"/>
        <v>1.1558598204483645E-2</v>
      </c>
    </row>
    <row r="1854" spans="1:7" x14ac:dyDescent="0.2">
      <c r="A1854" s="11">
        <v>37768</v>
      </c>
      <c r="B1854" s="10">
        <v>101.5885</v>
      </c>
      <c r="E1854" s="13">
        <f t="shared" si="84"/>
        <v>-1.2210008606870418E-2</v>
      </c>
      <c r="F1854" s="9">
        <f t="shared" si="85"/>
        <v>8.1530366465173129E-2</v>
      </c>
      <c r="G1854" s="9">
        <f t="shared" si="86"/>
        <v>1.1817217327895774E-2</v>
      </c>
    </row>
    <row r="1855" spans="1:7" x14ac:dyDescent="0.2">
      <c r="A1855" s="11">
        <v>37769</v>
      </c>
      <c r="B1855" s="10">
        <v>104.69159999999999</v>
      </c>
      <c r="E1855" s="13">
        <f t="shared" si="84"/>
        <v>3.0088545669945635E-2</v>
      </c>
      <c r="F1855" s="9">
        <f t="shared" si="85"/>
        <v>0.11238387924464963</v>
      </c>
      <c r="G1855" s="9">
        <f t="shared" si="86"/>
        <v>1.2829281226669759E-2</v>
      </c>
    </row>
    <row r="1856" spans="1:7" x14ac:dyDescent="0.2">
      <c r="A1856" s="11">
        <v>37771</v>
      </c>
      <c r="B1856" s="10">
        <v>105.0668</v>
      </c>
      <c r="E1856" s="13">
        <f t="shared" si="84"/>
        <v>3.5774529187484992E-3</v>
      </c>
      <c r="F1856" s="9">
        <f t="shared" si="85"/>
        <v>0.11475325101202107</v>
      </c>
      <c r="G1856" s="9">
        <f t="shared" si="86"/>
        <v>1.2819229186034778E-2</v>
      </c>
    </row>
    <row r="1857" spans="1:7" x14ac:dyDescent="0.2">
      <c r="A1857" s="11">
        <v>37774</v>
      </c>
      <c r="B1857" s="10">
        <v>107.68729999999999</v>
      </c>
      <c r="E1857" s="13">
        <f t="shared" si="84"/>
        <v>2.4635318710312458E-2</v>
      </c>
      <c r="F1857" s="9">
        <f t="shared" si="85"/>
        <v>0.12762470825304731</v>
      </c>
      <c r="G1857" s="9">
        <f t="shared" si="86"/>
        <v>1.3312516236069731E-2</v>
      </c>
    </row>
    <row r="1858" spans="1:7" x14ac:dyDescent="0.2">
      <c r="A1858" s="11">
        <v>37775</v>
      </c>
      <c r="B1858" s="10">
        <v>108.66759999999999</v>
      </c>
      <c r="E1858" s="13">
        <f t="shared" si="84"/>
        <v>9.0620245581135225E-3</v>
      </c>
      <c r="F1858" s="9">
        <f t="shared" si="85"/>
        <v>0.12486257721341562</v>
      </c>
      <c r="G1858" s="9">
        <f t="shared" si="86"/>
        <v>1.3267312800782688E-2</v>
      </c>
    </row>
    <row r="1859" spans="1:7" x14ac:dyDescent="0.2">
      <c r="A1859" s="11">
        <v>37776</v>
      </c>
      <c r="B1859" s="10">
        <v>111.0034</v>
      </c>
      <c r="E1859" s="13">
        <f t="shared" si="84"/>
        <v>2.1267149855088395E-2</v>
      </c>
      <c r="F1859" s="9">
        <f t="shared" si="85"/>
        <v>0.1527755417873144</v>
      </c>
      <c r="G1859" s="9">
        <f t="shared" si="86"/>
        <v>1.3455612428524171E-2</v>
      </c>
    </row>
    <row r="1860" spans="1:7" x14ac:dyDescent="0.2">
      <c r="A1860" s="11">
        <v>37777</v>
      </c>
      <c r="B1860" s="10">
        <v>110.32850000000001</v>
      </c>
      <c r="E1860" s="13">
        <f t="shared" ref="E1860:E1923" si="87">LN(B1860/B1859)</f>
        <v>-6.0985523709681782E-3</v>
      </c>
      <c r="F1860" s="9">
        <f t="shared" si="85"/>
        <v>0.12853998272251535</v>
      </c>
      <c r="G1860" s="9">
        <f t="shared" si="86"/>
        <v>1.3380205781643851E-2</v>
      </c>
    </row>
    <row r="1861" spans="1:7" x14ac:dyDescent="0.2">
      <c r="A1861" s="11">
        <v>37778</v>
      </c>
      <c r="B1861" s="10">
        <v>112.8434</v>
      </c>
      <c r="E1861" s="13">
        <f t="shared" si="87"/>
        <v>2.2538737736136336E-2</v>
      </c>
      <c r="F1861" s="9">
        <f t="shared" si="85"/>
        <v>0.15557756718076823</v>
      </c>
      <c r="G1861" s="9">
        <f t="shared" si="86"/>
        <v>1.3674403890394652E-2</v>
      </c>
    </row>
    <row r="1862" spans="1:7" x14ac:dyDescent="0.2">
      <c r="A1862" s="11">
        <v>37782</v>
      </c>
      <c r="B1862" s="10">
        <v>111.7651</v>
      </c>
      <c r="E1862" s="13">
        <f t="shared" si="87"/>
        <v>-9.6016694311369128E-3</v>
      </c>
      <c r="F1862" s="9">
        <f t="shared" si="85"/>
        <v>0.14566326867113166</v>
      </c>
      <c r="G1862" s="9">
        <f t="shared" si="86"/>
        <v>1.3926825661730336E-2</v>
      </c>
    </row>
    <row r="1863" spans="1:7" x14ac:dyDescent="0.2">
      <c r="A1863" s="11">
        <v>37783</v>
      </c>
      <c r="B1863" s="10">
        <v>113.0376</v>
      </c>
      <c r="E1863" s="13">
        <f t="shared" si="87"/>
        <v>1.1321159320489008E-2</v>
      </c>
      <c r="F1863" s="9">
        <f t="shared" si="85"/>
        <v>0.16346398612885288</v>
      </c>
      <c r="G1863" s="9">
        <f t="shared" si="86"/>
        <v>1.3793395668865355E-2</v>
      </c>
    </row>
    <row r="1864" spans="1:7" x14ac:dyDescent="0.2">
      <c r="A1864" s="11">
        <v>37784</v>
      </c>
      <c r="B1864" s="10">
        <v>111.6105</v>
      </c>
      <c r="E1864" s="13">
        <f t="shared" si="87"/>
        <v>-1.270537518547301E-2</v>
      </c>
      <c r="F1864" s="9">
        <f t="shared" si="85"/>
        <v>0.11484241211510485</v>
      </c>
      <c r="G1864" s="9">
        <f t="shared" si="86"/>
        <v>1.2908027391314688E-2</v>
      </c>
    </row>
    <row r="1865" spans="1:7" x14ac:dyDescent="0.2">
      <c r="A1865" s="11">
        <v>37785</v>
      </c>
      <c r="B1865" s="10">
        <v>110.2418</v>
      </c>
      <c r="E1865" s="13">
        <f t="shared" si="87"/>
        <v>-1.2338996399244883E-2</v>
      </c>
      <c r="F1865" s="9">
        <f t="shared" si="85"/>
        <v>0.1036980808941849</v>
      </c>
      <c r="G1865" s="9">
        <f t="shared" si="86"/>
        <v>1.3228873631216198E-2</v>
      </c>
    </row>
    <row r="1866" spans="1:7" x14ac:dyDescent="0.2">
      <c r="A1866" s="11">
        <v>37788</v>
      </c>
      <c r="B1866" s="10">
        <v>110.879</v>
      </c>
      <c r="E1866" s="13">
        <f t="shared" si="87"/>
        <v>5.763381498246253E-3</v>
      </c>
      <c r="F1866" s="9">
        <f t="shared" si="85"/>
        <v>0.10919585787398324</v>
      </c>
      <c r="G1866" s="9">
        <f t="shared" si="86"/>
        <v>1.3219132015567852E-2</v>
      </c>
    </row>
    <row r="1867" spans="1:7" x14ac:dyDescent="0.2">
      <c r="A1867" s="11">
        <v>37789</v>
      </c>
      <c r="B1867" s="10">
        <v>112.21</v>
      </c>
      <c r="E1867" s="13">
        <f t="shared" si="87"/>
        <v>1.1932599034869774E-2</v>
      </c>
      <c r="F1867" s="9">
        <f t="shared" si="85"/>
        <v>0.11268709453906789</v>
      </c>
      <c r="G1867" s="9">
        <f t="shared" si="86"/>
        <v>1.3278999301237814E-2</v>
      </c>
    </row>
    <row r="1868" spans="1:7" x14ac:dyDescent="0.2">
      <c r="A1868" s="11">
        <v>37790</v>
      </c>
      <c r="B1868" s="10">
        <v>111.9932</v>
      </c>
      <c r="E1868" s="13">
        <f t="shared" si="87"/>
        <v>-1.9339605105813684E-3</v>
      </c>
      <c r="F1868" s="9">
        <f t="shared" si="85"/>
        <v>9.8046407192077259E-2</v>
      </c>
      <c r="G1868" s="9">
        <f t="shared" si="86"/>
        <v>1.3209789936258808E-2</v>
      </c>
    </row>
    <row r="1869" spans="1:7" x14ac:dyDescent="0.2">
      <c r="A1869" s="11">
        <v>37791</v>
      </c>
      <c r="B1869" s="10">
        <v>114.6589</v>
      </c>
      <c r="E1869" s="13">
        <f t="shared" si="87"/>
        <v>2.3523478687002431E-2</v>
      </c>
      <c r="F1869" s="9">
        <f t="shared" si="85"/>
        <v>0.11647620687973566</v>
      </c>
      <c r="G1869" s="9">
        <f t="shared" si="86"/>
        <v>1.3728277061468348E-2</v>
      </c>
    </row>
    <row r="1870" spans="1:7" x14ac:dyDescent="0.2">
      <c r="A1870" s="11">
        <v>37792</v>
      </c>
      <c r="B1870" s="10">
        <v>113.7728</v>
      </c>
      <c r="E1870" s="13">
        <f t="shared" si="87"/>
        <v>-7.7581565470212707E-3</v>
      </c>
      <c r="F1870" s="9">
        <f t="shared" si="85"/>
        <v>0.12100460762690203</v>
      </c>
      <c r="G1870" s="9">
        <f t="shared" si="86"/>
        <v>1.3560951041569385E-2</v>
      </c>
    </row>
    <row r="1871" spans="1:7" x14ac:dyDescent="0.2">
      <c r="A1871" s="11">
        <v>37795</v>
      </c>
      <c r="B1871" s="10">
        <v>113.9293</v>
      </c>
      <c r="E1871" s="13">
        <f t="shared" si="87"/>
        <v>1.3746032613900225E-3</v>
      </c>
      <c r="F1871" s="9">
        <f t="shared" si="85"/>
        <v>0.10758434467220815</v>
      </c>
      <c r="G1871" s="9">
        <f t="shared" si="86"/>
        <v>1.3413703090769604E-2</v>
      </c>
    </row>
    <row r="1872" spans="1:7" x14ac:dyDescent="0.2">
      <c r="A1872" s="11">
        <v>37796</v>
      </c>
      <c r="B1872" s="10">
        <v>113.28270000000001</v>
      </c>
      <c r="E1872" s="13">
        <f t="shared" si="87"/>
        <v>-5.6916161604351999E-3</v>
      </c>
      <c r="F1872" s="9">
        <f t="shared" si="85"/>
        <v>0.10205792866092668</v>
      </c>
      <c r="G1872" s="9">
        <f t="shared" si="86"/>
        <v>1.3509634081479342E-2</v>
      </c>
    </row>
    <row r="1873" spans="1:7" x14ac:dyDescent="0.2">
      <c r="A1873" s="11">
        <v>37797</v>
      </c>
      <c r="B1873" s="10">
        <v>112.8604</v>
      </c>
      <c r="E1873" s="13">
        <f t="shared" si="87"/>
        <v>-3.7348076583454746E-3</v>
      </c>
      <c r="F1873" s="9">
        <f t="shared" si="85"/>
        <v>9.6482047561897127E-2</v>
      </c>
      <c r="G1873" s="9">
        <f t="shared" si="86"/>
        <v>1.3573896735392532E-2</v>
      </c>
    </row>
    <row r="1874" spans="1:7" x14ac:dyDescent="0.2">
      <c r="A1874" s="11">
        <v>37798</v>
      </c>
      <c r="B1874" s="10">
        <v>113.33920000000001</v>
      </c>
      <c r="E1874" s="13">
        <f t="shared" si="87"/>
        <v>4.2334355594498448E-3</v>
      </c>
      <c r="F1874" s="9">
        <f t="shared" si="85"/>
        <v>9.1267689020484752E-2</v>
      </c>
      <c r="G1874" s="9">
        <f t="shared" si="86"/>
        <v>1.3524367458994645E-2</v>
      </c>
    </row>
    <row r="1875" spans="1:7" x14ac:dyDescent="0.2">
      <c r="A1875" s="11">
        <v>37799</v>
      </c>
      <c r="B1875" s="10">
        <v>114.5364</v>
      </c>
      <c r="E1875" s="13">
        <f t="shared" si="87"/>
        <v>1.0507584095444101E-2</v>
      </c>
      <c r="F1875" s="9">
        <f t="shared" si="85"/>
        <v>9.2524121710419363E-2</v>
      </c>
      <c r="G1875" s="9">
        <f t="shared" si="86"/>
        <v>1.3546614122177123E-2</v>
      </c>
    </row>
    <row r="1876" spans="1:7" x14ac:dyDescent="0.2">
      <c r="A1876" s="11">
        <v>37802</v>
      </c>
      <c r="B1876" s="10">
        <v>113.46550000000001</v>
      </c>
      <c r="E1876" s="13">
        <f t="shared" si="87"/>
        <v>-9.3938504465803183E-3</v>
      </c>
      <c r="F1876" s="9">
        <f t="shared" si="85"/>
        <v>6.9733773781099642E-2</v>
      </c>
      <c r="G1876" s="9">
        <f t="shared" si="86"/>
        <v>1.3594370776260706E-2</v>
      </c>
    </row>
    <row r="1877" spans="1:7" x14ac:dyDescent="0.2">
      <c r="A1877" s="11">
        <v>37803</v>
      </c>
      <c r="B1877" s="10">
        <v>112.5097</v>
      </c>
      <c r="E1877" s="13">
        <f t="shared" si="87"/>
        <v>-8.4593858073226426E-3</v>
      </c>
      <c r="F1877" s="9">
        <f t="shared" si="85"/>
        <v>7.667740804496273E-2</v>
      </c>
      <c r="G1877" s="9">
        <f t="shared" si="86"/>
        <v>1.3328066241709581E-2</v>
      </c>
    </row>
    <row r="1878" spans="1:7" x14ac:dyDescent="0.2">
      <c r="A1878" s="11">
        <v>37804</v>
      </c>
      <c r="B1878" s="10">
        <v>114.2517</v>
      </c>
      <c r="E1878" s="13">
        <f t="shared" si="87"/>
        <v>1.5364469163729022E-2</v>
      </c>
      <c r="F1878" s="9">
        <f t="shared" si="85"/>
        <v>9.6357101562753372E-2</v>
      </c>
      <c r="G1878" s="9">
        <f t="shared" si="86"/>
        <v>1.3461411217038572E-2</v>
      </c>
    </row>
    <row r="1879" spans="1:7" x14ac:dyDescent="0.2">
      <c r="A1879" s="11">
        <v>37805</v>
      </c>
      <c r="B1879" s="10">
        <v>114.73050000000001</v>
      </c>
      <c r="E1879" s="13">
        <f t="shared" si="87"/>
        <v>4.1819905461009379E-3</v>
      </c>
      <c r="F1879" s="9">
        <f t="shared" si="85"/>
        <v>0.12096969407668991</v>
      </c>
      <c r="G1879" s="9">
        <f t="shared" si="86"/>
        <v>1.2662515941762389E-2</v>
      </c>
    </row>
    <row r="1880" spans="1:7" x14ac:dyDescent="0.2">
      <c r="A1880" s="11">
        <v>37806</v>
      </c>
      <c r="B1880" s="10">
        <v>114.7683</v>
      </c>
      <c r="E1880" s="13">
        <f t="shared" si="87"/>
        <v>3.2941349010809357E-4</v>
      </c>
      <c r="F1880" s="9">
        <f t="shared" si="85"/>
        <v>0.10542121951176998</v>
      </c>
      <c r="G1880" s="9">
        <f t="shared" si="86"/>
        <v>1.2476953503241139E-2</v>
      </c>
    </row>
    <row r="1881" spans="1:7" x14ac:dyDescent="0.2">
      <c r="A1881" s="11">
        <v>37809</v>
      </c>
      <c r="B1881" s="10">
        <v>117.00790000000001</v>
      </c>
      <c r="E1881" s="13">
        <f t="shared" si="87"/>
        <v>1.9326140536099934E-2</v>
      </c>
      <c r="F1881" s="9">
        <f t="shared" si="85"/>
        <v>0.12135765898985934</v>
      </c>
      <c r="G1881" s="9">
        <f t="shared" si="86"/>
        <v>1.2812200684387563E-2</v>
      </c>
    </row>
    <row r="1882" spans="1:7" x14ac:dyDescent="0.2">
      <c r="A1882" s="11">
        <v>37810</v>
      </c>
      <c r="B1882" s="10">
        <v>115.6883</v>
      </c>
      <c r="E1882" s="13">
        <f t="shared" si="87"/>
        <v>-1.1341948395022831E-2</v>
      </c>
      <c r="F1882" s="9">
        <f t="shared" si="85"/>
        <v>0.11775915712227142</v>
      </c>
      <c r="G1882" s="9">
        <f t="shared" si="86"/>
        <v>1.2948551438487334E-2</v>
      </c>
    </row>
    <row r="1883" spans="1:7" x14ac:dyDescent="0.2">
      <c r="A1883" s="11">
        <v>37811</v>
      </c>
      <c r="B1883" s="10">
        <v>114.855</v>
      </c>
      <c r="E1883" s="13">
        <f t="shared" si="87"/>
        <v>-7.2290422575932893E-3</v>
      </c>
      <c r="F1883" s="9">
        <f t="shared" si="85"/>
        <v>0.12274012347154856</v>
      </c>
      <c r="G1883" s="9">
        <f t="shared" si="86"/>
        <v>1.2756632389919104E-2</v>
      </c>
    </row>
    <row r="1884" spans="1:7" x14ac:dyDescent="0.2">
      <c r="A1884" s="11">
        <v>37812</v>
      </c>
      <c r="B1884" s="10">
        <v>113.53149999999999</v>
      </c>
      <c r="E1884" s="13">
        <f t="shared" si="87"/>
        <v>-1.1590131777261543E-2</v>
      </c>
      <c r="F1884" s="9">
        <f t="shared" si="85"/>
        <v>8.1061446024341482E-2</v>
      </c>
      <c r="G1884" s="9">
        <f t="shared" si="86"/>
        <v>1.206885023312281E-2</v>
      </c>
    </row>
    <row r="1885" spans="1:7" x14ac:dyDescent="0.2">
      <c r="A1885" s="11">
        <v>37813</v>
      </c>
      <c r="B1885" s="10">
        <v>115.68259999999999</v>
      </c>
      <c r="E1885" s="13">
        <f t="shared" si="87"/>
        <v>1.876990249723999E-2</v>
      </c>
      <c r="F1885" s="9">
        <f t="shared" si="85"/>
        <v>9.6253895602832762E-2</v>
      </c>
      <c r="G1885" s="9">
        <f t="shared" si="86"/>
        <v>1.2428394371595715E-2</v>
      </c>
    </row>
    <row r="1886" spans="1:7" x14ac:dyDescent="0.2">
      <c r="A1886" s="11">
        <v>37816</v>
      </c>
      <c r="B1886" s="10">
        <v>117.67149999999999</v>
      </c>
      <c r="E1886" s="13">
        <f t="shared" si="87"/>
        <v>1.704660995564846E-2</v>
      </c>
      <c r="F1886" s="9">
        <f t="shared" si="85"/>
        <v>8.8665186848168626E-2</v>
      </c>
      <c r="G1886" s="9">
        <f t="shared" si="86"/>
        <v>1.2037289032681121E-2</v>
      </c>
    </row>
    <row r="1887" spans="1:7" x14ac:dyDescent="0.2">
      <c r="A1887" s="11">
        <v>37817</v>
      </c>
      <c r="B1887" s="10">
        <v>118.5915</v>
      </c>
      <c r="E1887" s="13">
        <f t="shared" si="87"/>
        <v>7.7879706091876968E-3</v>
      </c>
      <c r="F1887" s="9">
        <f t="shared" si="85"/>
        <v>8.7391132899242732E-2</v>
      </c>
      <c r="G1887" s="9">
        <f t="shared" si="86"/>
        <v>1.2016898851300639E-2</v>
      </c>
    </row>
    <row r="1888" spans="1:7" x14ac:dyDescent="0.2">
      <c r="A1888" s="11">
        <v>37818</v>
      </c>
      <c r="B1888" s="10">
        <v>119.6756</v>
      </c>
      <c r="E1888" s="13">
        <f t="shared" si="87"/>
        <v>9.0999343264354625E-3</v>
      </c>
      <c r="F1888" s="9">
        <f t="shared" ref="F1888:F1951" si="88">LN(B1888/B1859)</f>
        <v>7.5223917370589935E-2</v>
      </c>
      <c r="G1888" s="9">
        <f t="shared" si="86"/>
        <v>1.1560566902689673E-2</v>
      </c>
    </row>
    <row r="1889" spans="1:7" x14ac:dyDescent="0.2">
      <c r="A1889" s="11">
        <v>37819</v>
      </c>
      <c r="B1889" s="10">
        <v>118.7122</v>
      </c>
      <c r="E1889" s="13">
        <f t="shared" si="87"/>
        <v>-8.0826723923941371E-3</v>
      </c>
      <c r="F1889" s="9">
        <f t="shared" si="88"/>
        <v>7.3239797349163818E-2</v>
      </c>
      <c r="G1889" s="9">
        <f t="shared" ref="G1889:G1952" si="89">STDEV(E1861:E1889)</f>
        <v>1.1619568825614872E-2</v>
      </c>
    </row>
    <row r="1890" spans="1:7" x14ac:dyDescent="0.2">
      <c r="A1890" s="11">
        <v>37820</v>
      </c>
      <c r="B1890" s="10">
        <v>117.84310000000001</v>
      </c>
      <c r="E1890" s="13">
        <f t="shared" si="87"/>
        <v>-7.3479977869417819E-3</v>
      </c>
      <c r="F1890" s="9">
        <f t="shared" si="88"/>
        <v>4.3353061826085851E-2</v>
      </c>
      <c r="G1890" s="9">
        <f t="shared" si="89"/>
        <v>1.1094655942200177E-2</v>
      </c>
    </row>
    <row r="1891" spans="1:7" x14ac:dyDescent="0.2">
      <c r="A1891" s="11">
        <v>37823</v>
      </c>
      <c r="B1891" s="10">
        <v>117.7205</v>
      </c>
      <c r="E1891" s="13">
        <f t="shared" si="87"/>
        <v>-1.0409079422258893E-3</v>
      </c>
      <c r="F1891" s="9">
        <f t="shared" si="88"/>
        <v>5.191382331499677E-2</v>
      </c>
      <c r="G1891" s="9">
        <f t="shared" si="89"/>
        <v>1.090106107027378E-2</v>
      </c>
    </row>
    <row r="1892" spans="1:7" x14ac:dyDescent="0.2">
      <c r="A1892" s="11">
        <v>37824</v>
      </c>
      <c r="B1892" s="10">
        <v>117.4736</v>
      </c>
      <c r="E1892" s="13">
        <f t="shared" si="87"/>
        <v>-2.0995432342585853E-3</v>
      </c>
      <c r="F1892" s="9">
        <f t="shared" si="88"/>
        <v>3.8493120760249161E-2</v>
      </c>
      <c r="G1892" s="9">
        <f t="shared" si="89"/>
        <v>1.0766027794466143E-2</v>
      </c>
    </row>
    <row r="1893" spans="1:7" x14ac:dyDescent="0.2">
      <c r="A1893" s="11">
        <v>37825</v>
      </c>
      <c r="B1893" s="10">
        <v>118.3201</v>
      </c>
      <c r="E1893" s="13">
        <f t="shared" si="87"/>
        <v>7.1800360792136034E-3</v>
      </c>
      <c r="F1893" s="9">
        <f t="shared" si="88"/>
        <v>5.8378532024935738E-2</v>
      </c>
      <c r="G1893" s="9">
        <f t="shared" si="89"/>
        <v>1.0469525539641405E-2</v>
      </c>
    </row>
    <row r="1894" spans="1:7" x14ac:dyDescent="0.2">
      <c r="A1894" s="11">
        <v>37826</v>
      </c>
      <c r="B1894" s="10">
        <v>120.00360000000001</v>
      </c>
      <c r="E1894" s="13">
        <f t="shared" si="87"/>
        <v>1.4128078764215408E-2</v>
      </c>
      <c r="F1894" s="9">
        <f t="shared" si="88"/>
        <v>8.484560718839608E-2</v>
      </c>
      <c r="G1894" s="9">
        <f t="shared" si="89"/>
        <v>1.0326360469779149E-2</v>
      </c>
    </row>
    <row r="1895" spans="1:7" x14ac:dyDescent="0.2">
      <c r="A1895" s="11">
        <v>37827</v>
      </c>
      <c r="B1895" s="10">
        <v>120.08280000000001</v>
      </c>
      <c r="E1895" s="13">
        <f t="shared" si="87"/>
        <v>6.5976250943737178E-4</v>
      </c>
      <c r="F1895" s="9">
        <f t="shared" si="88"/>
        <v>7.9741988199587263E-2</v>
      </c>
      <c r="G1895" s="9">
        <f t="shared" si="89"/>
        <v>1.0319759393149134E-2</v>
      </c>
    </row>
    <row r="1896" spans="1:7" x14ac:dyDescent="0.2">
      <c r="A1896" s="11">
        <v>37830</v>
      </c>
      <c r="B1896" s="10">
        <v>121.0518</v>
      </c>
      <c r="E1896" s="13">
        <f t="shared" si="87"/>
        <v>8.0370483204952811E-3</v>
      </c>
      <c r="F1896" s="9">
        <f t="shared" si="88"/>
        <v>7.584643748521272E-2</v>
      </c>
      <c r="G1896" s="9">
        <f t="shared" si="89"/>
        <v>1.0220839121690296E-2</v>
      </c>
    </row>
    <row r="1897" spans="1:7" x14ac:dyDescent="0.2">
      <c r="A1897" s="11">
        <v>37831</v>
      </c>
      <c r="B1897" s="10">
        <v>122.06789999999999</v>
      </c>
      <c r="E1897" s="13">
        <f t="shared" si="87"/>
        <v>8.3588941277028522E-3</v>
      </c>
      <c r="F1897" s="9">
        <f t="shared" si="88"/>
        <v>8.613929212349701E-2</v>
      </c>
      <c r="G1897" s="9">
        <f t="shared" si="89"/>
        <v>1.0235919637291613E-2</v>
      </c>
    </row>
    <row r="1898" spans="1:7" x14ac:dyDescent="0.2">
      <c r="A1898" s="11">
        <v>37832</v>
      </c>
      <c r="B1898" s="10">
        <v>121.4345</v>
      </c>
      <c r="E1898" s="13">
        <f t="shared" si="87"/>
        <v>-5.2024245230595321E-3</v>
      </c>
      <c r="F1898" s="9">
        <f t="shared" si="88"/>
        <v>5.7413388913435094E-2</v>
      </c>
      <c r="G1898" s="9">
        <f t="shared" si="89"/>
        <v>9.5423500979233689E-3</v>
      </c>
    </row>
    <row r="1899" spans="1:7" x14ac:dyDescent="0.2">
      <c r="A1899" s="11">
        <v>37833</v>
      </c>
      <c r="B1899" s="10">
        <v>122.6241</v>
      </c>
      <c r="E1899" s="13">
        <f t="shared" si="87"/>
        <v>9.748555642420987E-3</v>
      </c>
      <c r="F1899" s="9">
        <f t="shared" si="88"/>
        <v>7.4920101102877307E-2</v>
      </c>
      <c r="G1899" s="9">
        <f t="shared" si="89"/>
        <v>9.4576854036640314E-3</v>
      </c>
    </row>
    <row r="1900" spans="1:7" x14ac:dyDescent="0.2">
      <c r="A1900" s="11">
        <v>37834</v>
      </c>
      <c r="B1900" s="10">
        <v>123.6591</v>
      </c>
      <c r="E1900" s="13">
        <f t="shared" si="87"/>
        <v>8.4050076745073553E-3</v>
      </c>
      <c r="F1900" s="9">
        <f t="shared" si="88"/>
        <v>8.1950505515994837E-2</v>
      </c>
      <c r="G1900" s="9">
        <f t="shared" si="89"/>
        <v>9.51552041019583E-3</v>
      </c>
    </row>
    <row r="1901" spans="1:7" x14ac:dyDescent="0.2">
      <c r="A1901" s="11">
        <v>37837</v>
      </c>
      <c r="B1901" s="10">
        <v>123.0369</v>
      </c>
      <c r="E1901" s="13">
        <f t="shared" si="87"/>
        <v>-5.0442757021437147E-3</v>
      </c>
      <c r="F1901" s="9">
        <f t="shared" si="88"/>
        <v>8.2597845974286238E-2</v>
      </c>
      <c r="G1901" s="9">
        <f t="shared" si="89"/>
        <v>9.4955643094606738E-3</v>
      </c>
    </row>
    <row r="1902" spans="1:7" x14ac:dyDescent="0.2">
      <c r="A1902" s="11">
        <v>37838</v>
      </c>
      <c r="B1902" s="10">
        <v>123.9079</v>
      </c>
      <c r="E1902" s="13">
        <f t="shared" si="87"/>
        <v>7.0542373186882872E-3</v>
      </c>
      <c r="F1902" s="9">
        <f t="shared" si="88"/>
        <v>9.3386890951319884E-2</v>
      </c>
      <c r="G1902" s="9">
        <f t="shared" si="89"/>
        <v>9.4396231309656128E-3</v>
      </c>
    </row>
    <row r="1903" spans="1:7" x14ac:dyDescent="0.2">
      <c r="A1903" s="11">
        <v>37839</v>
      </c>
      <c r="B1903" s="10">
        <v>122.74290000000001</v>
      </c>
      <c r="E1903" s="13">
        <f t="shared" si="87"/>
        <v>-9.4466238388665243E-3</v>
      </c>
      <c r="F1903" s="9">
        <f t="shared" si="88"/>
        <v>7.9706831553003551E-2</v>
      </c>
      <c r="G1903" s="9">
        <f t="shared" si="89"/>
        <v>9.724694528457669E-3</v>
      </c>
    </row>
    <row r="1904" spans="1:7" x14ac:dyDescent="0.2">
      <c r="A1904" s="11">
        <v>37840</v>
      </c>
      <c r="B1904" s="10">
        <v>122.2998</v>
      </c>
      <c r="E1904" s="13">
        <f t="shared" si="87"/>
        <v>-3.6165164924238692E-3</v>
      </c>
      <c r="F1904" s="9">
        <f t="shared" si="88"/>
        <v>6.5582730965135394E-2</v>
      </c>
      <c r="G1904" s="9">
        <f t="shared" si="89"/>
        <v>9.6757844674640117E-3</v>
      </c>
    </row>
    <row r="1905" spans="1:7" x14ac:dyDescent="0.2">
      <c r="A1905" s="11">
        <v>37841</v>
      </c>
      <c r="B1905" s="10">
        <v>124.4151</v>
      </c>
      <c r="E1905" s="13">
        <f t="shared" si="87"/>
        <v>1.7148148206645585E-2</v>
      </c>
      <c r="F1905" s="9">
        <f t="shared" si="88"/>
        <v>9.2124729618361323E-2</v>
      </c>
      <c r="G1905" s="9">
        <f t="shared" si="89"/>
        <v>9.7885806573259192E-3</v>
      </c>
    </row>
    <row r="1906" spans="1:7" x14ac:dyDescent="0.2">
      <c r="A1906" s="11">
        <v>37844</v>
      </c>
      <c r="B1906" s="10">
        <v>123.9494</v>
      </c>
      <c r="E1906" s="13">
        <f t="shared" si="87"/>
        <v>-3.7501377675324848E-3</v>
      </c>
      <c r="F1906" s="9">
        <f t="shared" si="88"/>
        <v>9.6833977658151479E-2</v>
      </c>
      <c r="G1906" s="9">
        <f t="shared" si="89"/>
        <v>9.6263671390176189E-3</v>
      </c>
    </row>
    <row r="1907" spans="1:7" x14ac:dyDescent="0.2">
      <c r="A1907" s="11">
        <v>37845</v>
      </c>
      <c r="B1907" s="10">
        <v>124.843</v>
      </c>
      <c r="E1907" s="13">
        <f t="shared" si="87"/>
        <v>7.1835300652902095E-3</v>
      </c>
      <c r="F1907" s="9">
        <f t="shared" si="88"/>
        <v>8.865303855971278E-2</v>
      </c>
      <c r="G1907" s="9">
        <f t="shared" si="89"/>
        <v>9.3780457321740104E-3</v>
      </c>
    </row>
    <row r="1908" spans="1:7" x14ac:dyDescent="0.2">
      <c r="A1908" s="11">
        <v>37846</v>
      </c>
      <c r="B1908" s="10">
        <v>125.599</v>
      </c>
      <c r="E1908" s="13">
        <f t="shared" si="87"/>
        <v>6.0373443457470543E-3</v>
      </c>
      <c r="F1908" s="9">
        <f t="shared" si="88"/>
        <v>9.0508392359358966E-2</v>
      </c>
      <c r="G1908" s="9">
        <f t="shared" si="89"/>
        <v>9.3923124179691522E-3</v>
      </c>
    </row>
    <row r="1909" spans="1:7" x14ac:dyDescent="0.2">
      <c r="A1909" s="11">
        <v>37847</v>
      </c>
      <c r="B1909" s="10">
        <v>125.9365</v>
      </c>
      <c r="E1909" s="13">
        <f t="shared" si="87"/>
        <v>2.6835194438627552E-3</v>
      </c>
      <c r="F1909" s="9">
        <f t="shared" si="88"/>
        <v>9.2862498313113634E-2</v>
      </c>
      <c r="G1909" s="9">
        <f t="shared" si="89"/>
        <v>9.3774850938139788E-3</v>
      </c>
    </row>
    <row r="1910" spans="1:7" x14ac:dyDescent="0.2">
      <c r="A1910" s="11">
        <v>37848</v>
      </c>
      <c r="B1910" s="10">
        <v>127.0638</v>
      </c>
      <c r="E1910" s="13">
        <f t="shared" si="87"/>
        <v>8.9115108588408883E-3</v>
      </c>
      <c r="F1910" s="9">
        <f t="shared" si="88"/>
        <v>8.2447868635854765E-2</v>
      </c>
      <c r="G1910" s="9">
        <f t="shared" si="89"/>
        <v>8.9265175355376109E-3</v>
      </c>
    </row>
    <row r="1911" spans="1:7" x14ac:dyDescent="0.2">
      <c r="A1911" s="11">
        <v>37851</v>
      </c>
      <c r="B1911" s="10">
        <v>127.7444</v>
      </c>
      <c r="E1911" s="13">
        <f t="shared" si="87"/>
        <v>5.3420699848992547E-3</v>
      </c>
      <c r="F1911" s="9">
        <f t="shared" si="88"/>
        <v>9.9131887015777048E-2</v>
      </c>
      <c r="G1911" s="9">
        <f t="shared" si="89"/>
        <v>8.5074528674029919E-3</v>
      </c>
    </row>
    <row r="1912" spans="1:7" x14ac:dyDescent="0.2">
      <c r="A1912" s="11">
        <v>37852</v>
      </c>
      <c r="B1912" s="10">
        <v>127.5578</v>
      </c>
      <c r="E1912" s="13">
        <f t="shared" si="87"/>
        <v>-1.4617972992636663E-3</v>
      </c>
      <c r="F1912" s="9">
        <f t="shared" si="88"/>
        <v>0.10489913197410648</v>
      </c>
      <c r="G1912" s="9">
        <f t="shared" si="89"/>
        <v>8.3148987742867123E-3</v>
      </c>
    </row>
    <row r="1913" spans="1:7" x14ac:dyDescent="0.2">
      <c r="A1913" s="11">
        <v>37853</v>
      </c>
      <c r="B1913" s="10">
        <v>126.6095</v>
      </c>
      <c r="E1913" s="13">
        <f t="shared" si="87"/>
        <v>-7.4620488180785873E-3</v>
      </c>
      <c r="F1913" s="9">
        <f t="shared" si="88"/>
        <v>0.10902721493328947</v>
      </c>
      <c r="G1913" s="9">
        <f t="shared" si="89"/>
        <v>8.077195107561717E-3</v>
      </c>
    </row>
    <row r="1914" spans="1:7" x14ac:dyDescent="0.2">
      <c r="A1914" s="11">
        <v>37854</v>
      </c>
      <c r="B1914" s="10">
        <v>128.4495</v>
      </c>
      <c r="E1914" s="13">
        <f t="shared" si="87"/>
        <v>1.4428284593891507E-2</v>
      </c>
      <c r="F1914" s="9">
        <f t="shared" si="88"/>
        <v>0.10468559702994104</v>
      </c>
      <c r="G1914" s="9">
        <f t="shared" si="89"/>
        <v>7.8253515891663575E-3</v>
      </c>
    </row>
    <row r="1915" spans="1:7" x14ac:dyDescent="0.2">
      <c r="A1915" s="11">
        <v>37855</v>
      </c>
      <c r="B1915" s="10">
        <v>129.1866</v>
      </c>
      <c r="E1915" s="13">
        <f t="shared" si="87"/>
        <v>5.7220398163165039E-3</v>
      </c>
      <c r="F1915" s="9">
        <f t="shared" si="88"/>
        <v>9.3361026890609197E-2</v>
      </c>
      <c r="G1915" s="9">
        <f t="shared" si="89"/>
        <v>7.4019883529202806E-3</v>
      </c>
    </row>
    <row r="1916" spans="1:7" x14ac:dyDescent="0.2">
      <c r="A1916" s="11">
        <v>37858</v>
      </c>
      <c r="B1916" s="10">
        <v>127.88200000000001</v>
      </c>
      <c r="E1916" s="13">
        <f t="shared" si="87"/>
        <v>-1.0149907067906878E-2</v>
      </c>
      <c r="F1916" s="9">
        <f t="shared" si="88"/>
        <v>7.5423149213514742E-2</v>
      </c>
      <c r="G1916" s="9">
        <f t="shared" si="89"/>
        <v>7.7479795583534133E-3</v>
      </c>
    </row>
    <row r="1917" spans="1:7" x14ac:dyDescent="0.2">
      <c r="A1917" s="11">
        <v>37859</v>
      </c>
      <c r="B1917" s="10">
        <v>126.979</v>
      </c>
      <c r="E1917" s="13">
        <f t="shared" si="87"/>
        <v>-7.0862452761777826E-3</v>
      </c>
      <c r="F1917" s="9">
        <f t="shared" si="88"/>
        <v>5.9236969610901712E-2</v>
      </c>
      <c r="G1917" s="9">
        <f t="shared" si="89"/>
        <v>7.8454697211761213E-3</v>
      </c>
    </row>
    <row r="1918" spans="1:7" x14ac:dyDescent="0.2">
      <c r="A1918" s="11">
        <v>37860</v>
      </c>
      <c r="B1918" s="10">
        <v>127.44280000000001</v>
      </c>
      <c r="E1918" s="13">
        <f t="shared" si="87"/>
        <v>3.6459180287494244E-3</v>
      </c>
      <c r="F1918" s="9">
        <f t="shared" si="88"/>
        <v>7.0965560032045225E-2</v>
      </c>
      <c r="G1918" s="9">
        <f t="shared" si="89"/>
        <v>7.603438694881828E-3</v>
      </c>
    </row>
    <row r="1919" spans="1:7" x14ac:dyDescent="0.2">
      <c r="A1919" s="11">
        <v>37861</v>
      </c>
      <c r="B1919" s="10">
        <v>128.15539999999999</v>
      </c>
      <c r="E1919" s="13">
        <f t="shared" si="87"/>
        <v>5.5759535575881924E-3</v>
      </c>
      <c r="F1919" s="9">
        <f t="shared" si="88"/>
        <v>8.3889511376575174E-2</v>
      </c>
      <c r="G1919" s="9">
        <f t="shared" si="89"/>
        <v>7.3844197046764731E-3</v>
      </c>
    </row>
    <row r="1920" spans="1:7" x14ac:dyDescent="0.2">
      <c r="A1920" s="11">
        <v>37862</v>
      </c>
      <c r="B1920" s="10">
        <v>128.96979999999999</v>
      </c>
      <c r="E1920" s="13">
        <f t="shared" si="87"/>
        <v>6.3346783851755996E-3</v>
      </c>
      <c r="F1920" s="9">
        <f t="shared" si="88"/>
        <v>9.1265097703976686E-2</v>
      </c>
      <c r="G1920" s="9">
        <f t="shared" si="89"/>
        <v>7.3711014224767668E-3</v>
      </c>
    </row>
    <row r="1921" spans="1:7" x14ac:dyDescent="0.2">
      <c r="A1921" s="11">
        <v>37865</v>
      </c>
      <c r="B1921" s="10">
        <v>130.66650000000001</v>
      </c>
      <c r="E1921" s="13">
        <f t="shared" si="87"/>
        <v>1.3070007184474113E-2</v>
      </c>
      <c r="F1921" s="9">
        <f t="shared" si="88"/>
        <v>0.10643464812270939</v>
      </c>
      <c r="G1921" s="9">
        <f t="shared" si="89"/>
        <v>7.5221825888426592E-3</v>
      </c>
    </row>
    <row r="1922" spans="1:7" x14ac:dyDescent="0.2">
      <c r="A1922" s="11">
        <v>37866</v>
      </c>
      <c r="B1922" s="10">
        <v>130.10290000000001</v>
      </c>
      <c r="E1922" s="13">
        <f t="shared" si="87"/>
        <v>-4.3225997955722694E-3</v>
      </c>
      <c r="F1922" s="9">
        <f t="shared" si="88"/>
        <v>9.4932012247923581E-2</v>
      </c>
      <c r="G1922" s="9">
        <f t="shared" si="89"/>
        <v>7.6329478837991061E-3</v>
      </c>
    </row>
    <row r="1923" spans="1:7" x14ac:dyDescent="0.2">
      <c r="A1923" s="11">
        <v>37867</v>
      </c>
      <c r="B1923" s="10">
        <v>131.16800000000001</v>
      </c>
      <c r="E1923" s="13">
        <f t="shared" si="87"/>
        <v>8.15326850616401E-3</v>
      </c>
      <c r="F1923" s="9">
        <f t="shared" si="88"/>
        <v>8.8957201989872128E-2</v>
      </c>
      <c r="G1923" s="9">
        <f t="shared" si="89"/>
        <v>7.406783832747078E-3</v>
      </c>
    </row>
    <row r="1924" spans="1:7" x14ac:dyDescent="0.2">
      <c r="A1924" s="11">
        <v>37868</v>
      </c>
      <c r="B1924" s="10">
        <v>131.82220000000001</v>
      </c>
      <c r="E1924" s="13">
        <f t="shared" ref="E1924:E1987" si="90">LN(B1924/B1923)</f>
        <v>4.9751005883533388E-3</v>
      </c>
      <c r="F1924" s="9">
        <f t="shared" si="88"/>
        <v>9.3272540068788143E-2</v>
      </c>
      <c r="G1924" s="9">
        <f t="shared" si="89"/>
        <v>7.4000294277410819E-3</v>
      </c>
    </row>
    <row r="1925" spans="1:7" x14ac:dyDescent="0.2">
      <c r="A1925" s="11">
        <v>37869</v>
      </c>
      <c r="B1925" s="10">
        <v>130.6439</v>
      </c>
      <c r="E1925" s="13">
        <f t="shared" si="90"/>
        <v>-8.9787436624328056E-3</v>
      </c>
      <c r="F1925" s="9">
        <f t="shared" si="88"/>
        <v>7.6256748085860054E-2</v>
      </c>
      <c r="G1925" s="9">
        <f t="shared" si="89"/>
        <v>7.6736735526175314E-3</v>
      </c>
    </row>
    <row r="1926" spans="1:7" x14ac:dyDescent="0.2">
      <c r="A1926" s="11">
        <v>37872</v>
      </c>
      <c r="B1926" s="10">
        <v>131.4847</v>
      </c>
      <c r="E1926" s="13">
        <f t="shared" si="90"/>
        <v>6.4151937909215631E-3</v>
      </c>
      <c r="F1926" s="9">
        <f t="shared" si="88"/>
        <v>7.4313047749078751E-2</v>
      </c>
      <c r="G1926" s="9">
        <f t="shared" si="89"/>
        <v>7.6302098244641538E-3</v>
      </c>
    </row>
    <row r="1927" spans="1:7" x14ac:dyDescent="0.2">
      <c r="A1927" s="11">
        <v>37873</v>
      </c>
      <c r="B1927" s="10">
        <v>131.16800000000001</v>
      </c>
      <c r="E1927" s="13">
        <f t="shared" si="90"/>
        <v>-2.4115507168420178E-3</v>
      </c>
      <c r="F1927" s="9">
        <f t="shared" si="88"/>
        <v>7.7103921555296218E-2</v>
      </c>
      <c r="G1927" s="9">
        <f t="shared" si="89"/>
        <v>7.5459101786689775E-3</v>
      </c>
    </row>
    <row r="1928" spans="1:7" x14ac:dyDescent="0.2">
      <c r="A1928" s="11">
        <v>37874</v>
      </c>
      <c r="B1928" s="10">
        <v>129.279</v>
      </c>
      <c r="E1928" s="13">
        <f t="shared" si="90"/>
        <v>-1.450608472757315E-2</v>
      </c>
      <c r="F1928" s="9">
        <f t="shared" si="88"/>
        <v>5.2849281185302049E-2</v>
      </c>
      <c r="G1928" s="9">
        <f t="shared" si="89"/>
        <v>8.0587618852055835E-3</v>
      </c>
    </row>
    <row r="1929" spans="1:7" x14ac:dyDescent="0.2">
      <c r="A1929" s="11">
        <v>37875</v>
      </c>
      <c r="B1929" s="10">
        <v>128.5532</v>
      </c>
      <c r="E1929" s="13">
        <f t="shared" si="90"/>
        <v>-5.6300331545534018E-3</v>
      </c>
      <c r="F1929" s="9">
        <f t="shared" si="88"/>
        <v>3.8814240356241349E-2</v>
      </c>
      <c r="G1929" s="9">
        <f t="shared" si="89"/>
        <v>8.07075239767731E-3</v>
      </c>
    </row>
    <row r="1930" spans="1:7" x14ac:dyDescent="0.2">
      <c r="A1930" s="11">
        <v>37876</v>
      </c>
      <c r="B1930" s="10">
        <v>127.1996</v>
      </c>
      <c r="E1930" s="13">
        <f t="shared" si="90"/>
        <v>-1.0585320192811182E-2</v>
      </c>
      <c r="F1930" s="9">
        <f t="shared" si="88"/>
        <v>3.3273195865573764E-2</v>
      </c>
      <c r="G1930" s="9">
        <f t="shared" si="89"/>
        <v>8.2898718499782136E-3</v>
      </c>
    </row>
    <row r="1931" spans="1:7" x14ac:dyDescent="0.2">
      <c r="A1931" s="11">
        <v>37879</v>
      </c>
      <c r="B1931" s="10">
        <v>128.56450000000001</v>
      </c>
      <c r="E1931" s="13">
        <f t="shared" si="90"/>
        <v>1.0673217681061005E-2</v>
      </c>
      <c r="F1931" s="9">
        <f t="shared" si="88"/>
        <v>3.6892176227946494E-2</v>
      </c>
      <c r="G1931" s="9">
        <f t="shared" si="89"/>
        <v>8.4083600248028058E-3</v>
      </c>
    </row>
    <row r="1932" spans="1:7" x14ac:dyDescent="0.2">
      <c r="A1932" s="11">
        <v>37880</v>
      </c>
      <c r="B1932" s="10">
        <v>129.18100000000001</v>
      </c>
      <c r="E1932" s="13">
        <f t="shared" si="90"/>
        <v>4.7837977827128115E-3</v>
      </c>
      <c r="F1932" s="9">
        <f t="shared" si="88"/>
        <v>5.1122597849525865E-2</v>
      </c>
      <c r="G1932" s="9">
        <f t="shared" si="89"/>
        <v>8.1724085300569592E-3</v>
      </c>
    </row>
    <row r="1933" spans="1:7" x14ac:dyDescent="0.2">
      <c r="A1933" s="11">
        <v>37881</v>
      </c>
      <c r="B1933" s="10">
        <v>129.53729999999999</v>
      </c>
      <c r="E1933" s="13">
        <f t="shared" si="90"/>
        <v>2.7543488439273466E-3</v>
      </c>
      <c r="F1933" s="9">
        <f t="shared" si="88"/>
        <v>5.7493463185877142E-2</v>
      </c>
      <c r="G1933" s="9">
        <f t="shared" si="89"/>
        <v>8.1080146382758681E-3</v>
      </c>
    </row>
    <row r="1934" spans="1:7" x14ac:dyDescent="0.2">
      <c r="A1934" s="11">
        <v>37882</v>
      </c>
      <c r="B1934" s="10">
        <v>128.24019999999999</v>
      </c>
      <c r="E1934" s="13">
        <f t="shared" si="90"/>
        <v>-1.0063802678813794E-2</v>
      </c>
      <c r="F1934" s="9">
        <f t="shared" si="88"/>
        <v>3.0281512300417857E-2</v>
      </c>
      <c r="G1934" s="9">
        <f t="shared" si="89"/>
        <v>7.8610736760087261E-3</v>
      </c>
    </row>
    <row r="1935" spans="1:7" x14ac:dyDescent="0.2">
      <c r="A1935" s="11">
        <v>37883</v>
      </c>
      <c r="B1935" s="10">
        <v>128.0027</v>
      </c>
      <c r="E1935" s="13">
        <f t="shared" si="90"/>
        <v>-1.8537104287294551E-3</v>
      </c>
      <c r="F1935" s="9">
        <f t="shared" si="88"/>
        <v>3.2177939639220894E-2</v>
      </c>
      <c r="G1935" s="9">
        <f t="shared" si="89"/>
        <v>7.8275832210394011E-3</v>
      </c>
    </row>
    <row r="1936" spans="1:7" x14ac:dyDescent="0.2">
      <c r="A1936" s="11">
        <v>37886</v>
      </c>
      <c r="B1936" s="10">
        <v>124.6564</v>
      </c>
      <c r="E1936" s="13">
        <f t="shared" si="90"/>
        <v>-2.6490205033090967E-2</v>
      </c>
      <c r="F1936" s="9">
        <f t="shared" si="88"/>
        <v>-1.4957954591605204E-3</v>
      </c>
      <c r="G1936" s="9">
        <f t="shared" si="89"/>
        <v>9.2607938797909916E-3</v>
      </c>
    </row>
    <row r="1937" spans="1:7" x14ac:dyDescent="0.2">
      <c r="A1937" s="11">
        <v>37887</v>
      </c>
      <c r="B1937" s="10">
        <v>124.5829</v>
      </c>
      <c r="E1937" s="13">
        <f t="shared" si="90"/>
        <v>-5.8979464418838963E-4</v>
      </c>
      <c r="F1937" s="9">
        <f t="shared" si="88"/>
        <v>-8.1229344490959237E-3</v>
      </c>
      <c r="G1937" s="9">
        <f t="shared" si="89"/>
        <v>9.1866454533586651E-3</v>
      </c>
    </row>
    <row r="1938" spans="1:7" x14ac:dyDescent="0.2">
      <c r="A1938" s="11">
        <v>37888</v>
      </c>
      <c r="B1938" s="10">
        <v>124.843</v>
      </c>
      <c r="E1938" s="13">
        <f t="shared" si="90"/>
        <v>2.0855901033488351E-3</v>
      </c>
      <c r="F1938" s="9">
        <f t="shared" si="88"/>
        <v>-8.7208637896098659E-3</v>
      </c>
      <c r="G1938" s="9">
        <f t="shared" si="89"/>
        <v>9.1804253149568634E-3</v>
      </c>
    </row>
    <row r="1939" spans="1:7" x14ac:dyDescent="0.2">
      <c r="A1939" s="11">
        <v>37889</v>
      </c>
      <c r="B1939" s="10">
        <v>122.77679999999999</v>
      </c>
      <c r="E1939" s="13">
        <f t="shared" si="90"/>
        <v>-1.6688875090199125E-2</v>
      </c>
      <c r="F1939" s="9">
        <f t="shared" si="88"/>
        <v>-3.4321249738649813E-2</v>
      </c>
      <c r="G1939" s="9">
        <f t="shared" si="89"/>
        <v>9.4886266644553033E-3</v>
      </c>
    </row>
    <row r="1940" spans="1:7" x14ac:dyDescent="0.2">
      <c r="A1940" s="11">
        <v>37890</v>
      </c>
      <c r="B1940" s="10">
        <v>120.2769</v>
      </c>
      <c r="E1940" s="13">
        <f t="shared" si="90"/>
        <v>-2.0571488190700062E-2</v>
      </c>
      <c r="F1940" s="9">
        <f t="shared" si="88"/>
        <v>-6.0234807914249233E-2</v>
      </c>
      <c r="G1940" s="9">
        <f t="shared" si="89"/>
        <v>1.005539811266838E-2</v>
      </c>
    </row>
    <row r="1941" spans="1:7" x14ac:dyDescent="0.2">
      <c r="A1941" s="11">
        <v>37893</v>
      </c>
      <c r="B1941" s="10">
        <v>121.2497</v>
      </c>
      <c r="E1941" s="13">
        <f t="shared" si="90"/>
        <v>8.0554709954100759E-3</v>
      </c>
      <c r="F1941" s="9">
        <f t="shared" si="88"/>
        <v>-5.0717539619575452E-2</v>
      </c>
      <c r="G1941" s="9">
        <f t="shared" si="89"/>
        <v>1.0229989459426237E-2</v>
      </c>
    </row>
    <row r="1942" spans="1:7" x14ac:dyDescent="0.2">
      <c r="A1942" s="11">
        <v>37894</v>
      </c>
      <c r="B1942" s="10">
        <v>119.8792</v>
      </c>
      <c r="E1942" s="13">
        <f t="shared" si="90"/>
        <v>-1.1367486501538626E-2</v>
      </c>
      <c r="F1942" s="9">
        <f t="shared" si="88"/>
        <v>-5.4622977303035586E-2</v>
      </c>
      <c r="G1942" s="9">
        <f t="shared" si="89"/>
        <v>1.0333071910470764E-2</v>
      </c>
    </row>
    <row r="1943" spans="1:7" x14ac:dyDescent="0.2">
      <c r="A1943" s="11">
        <v>37895</v>
      </c>
      <c r="B1943" s="10">
        <v>121.8964</v>
      </c>
      <c r="E1943" s="13">
        <f t="shared" si="90"/>
        <v>1.6686934561337317E-2</v>
      </c>
      <c r="F1943" s="9">
        <f t="shared" si="88"/>
        <v>-5.2364327335589787E-2</v>
      </c>
      <c r="G1943" s="9">
        <f t="shared" si="89"/>
        <v>1.0468042425964715E-2</v>
      </c>
    </row>
    <row r="1944" spans="1:7" x14ac:dyDescent="0.2">
      <c r="A1944" s="11">
        <v>37896</v>
      </c>
      <c r="B1944" s="10">
        <v>122.72969999999999</v>
      </c>
      <c r="E1944" s="13">
        <f t="shared" si="90"/>
        <v>6.8128725687783978E-3</v>
      </c>
      <c r="F1944" s="9">
        <f t="shared" si="88"/>
        <v>-5.1273494583127965E-2</v>
      </c>
      <c r="G1944" s="9">
        <f t="shared" si="89"/>
        <v>1.0497974913743789E-2</v>
      </c>
    </row>
    <row r="1945" spans="1:7" x14ac:dyDescent="0.2">
      <c r="A1945" s="11">
        <v>37897</v>
      </c>
      <c r="B1945" s="10">
        <v>124.1511</v>
      </c>
      <c r="E1945" s="13">
        <f t="shared" si="90"/>
        <v>1.1514995948317114E-2</v>
      </c>
      <c r="F1945" s="9">
        <f t="shared" si="88"/>
        <v>-2.9608591566904034E-2</v>
      </c>
      <c r="G1945" s="9">
        <f t="shared" si="89"/>
        <v>1.0649963293445865E-2</v>
      </c>
    </row>
    <row r="1946" spans="1:7" x14ac:dyDescent="0.2">
      <c r="A1946" s="11">
        <v>37900</v>
      </c>
      <c r="B1946" s="10">
        <v>124.8091</v>
      </c>
      <c r="E1946" s="13">
        <f t="shared" si="90"/>
        <v>5.2859977790812333E-3</v>
      </c>
      <c r="F1946" s="9">
        <f t="shared" si="88"/>
        <v>-1.7236348511645034E-2</v>
      </c>
      <c r="G1946" s="9">
        <f t="shared" si="89"/>
        <v>1.0646126763683754E-2</v>
      </c>
    </row>
    <row r="1947" spans="1:7" x14ac:dyDescent="0.2">
      <c r="A1947" s="11">
        <v>37901</v>
      </c>
      <c r="B1947" s="10">
        <v>123.92870000000001</v>
      </c>
      <c r="E1947" s="13">
        <f t="shared" si="90"/>
        <v>-7.0789697145632541E-3</v>
      </c>
      <c r="F1947" s="9">
        <f t="shared" si="88"/>
        <v>-2.7961236254957739E-2</v>
      </c>
      <c r="G1947" s="9">
        <f t="shared" si="89"/>
        <v>1.0679794636105459E-2</v>
      </c>
    </row>
    <row r="1948" spans="1:7" x14ac:dyDescent="0.2">
      <c r="A1948" s="11">
        <v>37902</v>
      </c>
      <c r="B1948" s="10">
        <v>125.57259999999999</v>
      </c>
      <c r="E1948" s="13">
        <f t="shared" si="90"/>
        <v>1.3177677139918735E-2</v>
      </c>
      <c r="F1948" s="9">
        <f t="shared" si="88"/>
        <v>-2.0359512672627238E-2</v>
      </c>
      <c r="G1948" s="9">
        <f t="shared" si="89"/>
        <v>1.0936261006467265E-2</v>
      </c>
    </row>
    <row r="1949" spans="1:7" x14ac:dyDescent="0.2">
      <c r="A1949" s="11">
        <v>37903</v>
      </c>
      <c r="B1949" s="10">
        <v>127.0431</v>
      </c>
      <c r="E1949" s="13">
        <f t="shared" si="90"/>
        <v>1.1642321595273175E-2</v>
      </c>
      <c r="F1949" s="9">
        <f t="shared" si="88"/>
        <v>-1.5051869462529812E-2</v>
      </c>
      <c r="G1949" s="9">
        <f t="shared" si="89"/>
        <v>1.110139486839281E-2</v>
      </c>
    </row>
    <row r="1950" spans="1:7" x14ac:dyDescent="0.2">
      <c r="A1950" s="11">
        <v>37904</v>
      </c>
      <c r="B1950" s="10">
        <v>128.27789999999999</v>
      </c>
      <c r="E1950" s="13">
        <f t="shared" si="90"/>
        <v>9.6726052869621094E-3</v>
      </c>
      <c r="F1950" s="9">
        <f t="shared" si="88"/>
        <v>-1.8449271360041677E-2</v>
      </c>
      <c r="G1950" s="9">
        <f t="shared" si="89"/>
        <v>1.0970018542936817E-2</v>
      </c>
    </row>
    <row r="1951" spans="1:7" x14ac:dyDescent="0.2">
      <c r="A1951" s="11">
        <v>37907</v>
      </c>
      <c r="B1951" s="10">
        <v>129.8974</v>
      </c>
      <c r="E1951" s="13">
        <f t="shared" si="90"/>
        <v>1.2545903828490537E-2</v>
      </c>
      <c r="F1951" s="9">
        <f t="shared" si="88"/>
        <v>-1.5807677359788235E-3</v>
      </c>
      <c r="G1951" s="9">
        <f t="shared" si="89"/>
        <v>1.1212114540085782E-2</v>
      </c>
    </row>
    <row r="1952" spans="1:7" x14ac:dyDescent="0.2">
      <c r="A1952" s="11">
        <v>37908</v>
      </c>
      <c r="B1952" s="10">
        <v>130.0652</v>
      </c>
      <c r="E1952" s="13">
        <f t="shared" si="90"/>
        <v>1.2909551089589802E-3</v>
      </c>
      <c r="F1952" s="9">
        <f t="shared" ref="F1952:F2015" si="91">LN(B1952/B1923)</f>
        <v>-8.4430811331837434E-3</v>
      </c>
      <c r="G1952" s="9">
        <f t="shared" si="89"/>
        <v>1.11046019551125E-2</v>
      </c>
    </row>
    <row r="1953" spans="1:7" x14ac:dyDescent="0.2">
      <c r="A1953" s="11">
        <v>37909</v>
      </c>
      <c r="B1953" s="10">
        <v>131.63749999999999</v>
      </c>
      <c r="E1953" s="13">
        <f t="shared" si="90"/>
        <v>1.2016069517972169E-2</v>
      </c>
      <c r="F1953" s="9">
        <f t="shared" si="91"/>
        <v>-1.4021122035649731E-3</v>
      </c>
      <c r="G1953" s="9">
        <f t="shared" ref="G1953:G2016" si="92">STDEV(E1925:E1953)</f>
        <v>1.1299124181568851E-2</v>
      </c>
    </row>
    <row r="1954" spans="1:7" x14ac:dyDescent="0.2">
      <c r="A1954" s="11">
        <v>37910</v>
      </c>
      <c r="B1954" s="10">
        <v>131.185</v>
      </c>
      <c r="E1954" s="13">
        <f t="shared" si="90"/>
        <v>-3.4433920011084575E-3</v>
      </c>
      <c r="F1954" s="9">
        <f t="shared" si="91"/>
        <v>4.1332394577593265E-3</v>
      </c>
      <c r="G1954" s="9">
        <f t="shared" si="92"/>
        <v>1.1189094838558736E-2</v>
      </c>
    </row>
    <row r="1955" spans="1:7" x14ac:dyDescent="0.2">
      <c r="A1955" s="11">
        <v>37911</v>
      </c>
      <c r="B1955" s="10">
        <v>131.77699999999999</v>
      </c>
      <c r="E1955" s="13">
        <f t="shared" si="90"/>
        <v>4.5025593061834793E-3</v>
      </c>
      <c r="F1955" s="9">
        <f t="shared" si="91"/>
        <v>2.2206049730212748E-3</v>
      </c>
      <c r="G1955" s="9">
        <f t="shared" si="92"/>
        <v>1.1156389898773265E-2</v>
      </c>
    </row>
    <row r="1956" spans="1:7" x14ac:dyDescent="0.2">
      <c r="A1956" s="11">
        <v>37914</v>
      </c>
      <c r="B1956" s="10">
        <v>130.65899999999999</v>
      </c>
      <c r="E1956" s="13">
        <f t="shared" si="90"/>
        <v>-8.5202240801807074E-3</v>
      </c>
      <c r="F1956" s="9">
        <f t="shared" si="91"/>
        <v>-3.8880683903174057E-3</v>
      </c>
      <c r="G1956" s="9">
        <f t="shared" si="92"/>
        <v>1.1262213047812211E-2</v>
      </c>
    </row>
    <row r="1957" spans="1:7" x14ac:dyDescent="0.2">
      <c r="A1957" s="11">
        <v>37915</v>
      </c>
      <c r="B1957" s="10">
        <v>130.70609999999999</v>
      </c>
      <c r="E1957" s="13">
        <f t="shared" si="90"/>
        <v>3.6041537687976123E-4</v>
      </c>
      <c r="F1957" s="9">
        <f t="shared" si="91"/>
        <v>1.0978431714135367E-2</v>
      </c>
      <c r="G1957" s="9">
        <f t="shared" si="92"/>
        <v>1.0917739516936486E-2</v>
      </c>
    </row>
    <row r="1958" spans="1:7" x14ac:dyDescent="0.2">
      <c r="A1958" s="11">
        <v>37916</v>
      </c>
      <c r="B1958" s="10">
        <v>129.8785</v>
      </c>
      <c r="E1958" s="13">
        <f t="shared" si="90"/>
        <v>-6.3518932628025939E-3</v>
      </c>
      <c r="F1958" s="9">
        <f t="shared" si="91"/>
        <v>1.0256571605886455E-2</v>
      </c>
      <c r="G1958" s="9">
        <f t="shared" si="92"/>
        <v>1.0932740577692677E-2</v>
      </c>
    </row>
    <row r="1959" spans="1:7" x14ac:dyDescent="0.2">
      <c r="A1959" s="11">
        <v>37917</v>
      </c>
      <c r="B1959" s="10">
        <v>128.88310000000001</v>
      </c>
      <c r="E1959" s="13">
        <f t="shared" si="90"/>
        <v>-7.693606083253951E-3</v>
      </c>
      <c r="F1959" s="9">
        <f t="shared" si="91"/>
        <v>1.3148285715443658E-2</v>
      </c>
      <c r="G1959" s="9">
        <f t="shared" si="92"/>
        <v>1.0842218466300513E-2</v>
      </c>
    </row>
    <row r="1960" spans="1:7" x14ac:dyDescent="0.2">
      <c r="A1960" s="11">
        <v>37918</v>
      </c>
      <c r="B1960" s="10">
        <v>129.33369999999999</v>
      </c>
      <c r="E1960" s="13">
        <f t="shared" si="90"/>
        <v>3.490094040258455E-3</v>
      </c>
      <c r="F1960" s="9">
        <f t="shared" si="91"/>
        <v>5.965162074641101E-3</v>
      </c>
      <c r="G1960" s="9">
        <f t="shared" si="92"/>
        <v>1.0681260461187222E-2</v>
      </c>
    </row>
    <row r="1961" spans="1:7" x14ac:dyDescent="0.2">
      <c r="A1961" s="11">
        <v>37921</v>
      </c>
      <c r="B1961" s="10">
        <v>130.74010000000001</v>
      </c>
      <c r="E1961" s="13">
        <f t="shared" si="90"/>
        <v>1.081549705845449E-2</v>
      </c>
      <c r="F1961" s="9">
        <f t="shared" si="91"/>
        <v>1.1996861350382856E-2</v>
      </c>
      <c r="G1961" s="9">
        <f t="shared" si="92"/>
        <v>1.0831263351154859E-2</v>
      </c>
    </row>
    <row r="1962" spans="1:7" x14ac:dyDescent="0.2">
      <c r="A1962" s="11">
        <v>37922</v>
      </c>
      <c r="B1962" s="10">
        <v>131.547</v>
      </c>
      <c r="E1962" s="13">
        <f t="shared" si="90"/>
        <v>6.1528191480137422E-3</v>
      </c>
      <c r="F1962" s="9">
        <f t="shared" si="91"/>
        <v>1.5395331654469031E-2</v>
      </c>
      <c r="G1962" s="9">
        <f t="shared" si="92"/>
        <v>1.0875785906264037E-2</v>
      </c>
    </row>
    <row r="1963" spans="1:7" x14ac:dyDescent="0.2">
      <c r="A1963" s="11">
        <v>37923</v>
      </c>
      <c r="B1963" s="10">
        <v>132.21619999999999</v>
      </c>
      <c r="E1963" s="13">
        <f t="shared" si="90"/>
        <v>5.0742593044480156E-3</v>
      </c>
      <c r="F1963" s="9">
        <f t="shared" si="91"/>
        <v>3.053339363773095E-2</v>
      </c>
      <c r="G1963" s="9">
        <f t="shared" si="92"/>
        <v>1.0711157774841237E-2</v>
      </c>
    </row>
    <row r="1964" spans="1:7" x14ac:dyDescent="0.2">
      <c r="A1964" s="11">
        <v>37924</v>
      </c>
      <c r="B1964" s="10">
        <v>135.25710000000001</v>
      </c>
      <c r="E1964" s="13">
        <f t="shared" si="90"/>
        <v>2.2738950214077056E-2</v>
      </c>
      <c r="F1964" s="9">
        <f t="shared" si="91"/>
        <v>5.5126054280537427E-2</v>
      </c>
      <c r="G1964" s="9">
        <f t="shared" si="92"/>
        <v>1.142270870401773E-2</v>
      </c>
    </row>
    <row r="1965" spans="1:7" x14ac:dyDescent="0.2">
      <c r="A1965" s="11">
        <v>37925</v>
      </c>
      <c r="B1965" s="10">
        <v>135.67939999999999</v>
      </c>
      <c r="E1965" s="13">
        <f t="shared" si="90"/>
        <v>3.1173381363189382E-3</v>
      </c>
      <c r="F1965" s="9">
        <f t="shared" si="91"/>
        <v>8.473359744994749E-2</v>
      </c>
      <c r="G1965" s="9">
        <f t="shared" si="92"/>
        <v>1.0033139431227224E-2</v>
      </c>
    </row>
    <row r="1966" spans="1:7" x14ac:dyDescent="0.2">
      <c r="A1966" s="11">
        <v>37928</v>
      </c>
      <c r="B1966" s="10">
        <v>137.23099999999999</v>
      </c>
      <c r="E1966" s="13">
        <f t="shared" si="90"/>
        <v>1.1370887427350084E-2</v>
      </c>
      <c r="F1966" s="9">
        <f t="shared" si="91"/>
        <v>9.6694279521486015E-2</v>
      </c>
      <c r="G1966" s="9">
        <f t="shared" si="92"/>
        <v>1.0129007899550596E-2</v>
      </c>
    </row>
    <row r="1967" spans="1:7" x14ac:dyDescent="0.2">
      <c r="A1967" s="11">
        <v>37929</v>
      </c>
      <c r="B1967" s="10">
        <v>137.47800000000001</v>
      </c>
      <c r="E1967" s="13">
        <f t="shared" si="90"/>
        <v>1.7982670139068328E-3</v>
      </c>
      <c r="F1967" s="9">
        <f t="shared" si="91"/>
        <v>9.6406956432043861E-2</v>
      </c>
      <c r="G1967" s="9">
        <f t="shared" si="92"/>
        <v>1.013041335834112E-2</v>
      </c>
    </row>
    <row r="1968" spans="1:7" x14ac:dyDescent="0.2">
      <c r="A1968" s="11">
        <v>37930</v>
      </c>
      <c r="B1968" s="10">
        <v>136.34299999999999</v>
      </c>
      <c r="E1968" s="13">
        <f t="shared" si="90"/>
        <v>-8.2901347987074121E-3</v>
      </c>
      <c r="F1968" s="9">
        <f t="shared" si="91"/>
        <v>0.10480569672353558</v>
      </c>
      <c r="G1968" s="9">
        <f t="shared" si="92"/>
        <v>9.646320417072465E-3</v>
      </c>
    </row>
    <row r="1969" spans="1:7" x14ac:dyDescent="0.2">
      <c r="A1969" s="11">
        <v>37931</v>
      </c>
      <c r="B1969" s="10">
        <v>137.8116</v>
      </c>
      <c r="E1969" s="13">
        <f t="shared" si="90"/>
        <v>1.071376550104239E-2</v>
      </c>
      <c r="F1969" s="9">
        <f t="shared" si="91"/>
        <v>0.13609095041527816</v>
      </c>
      <c r="G1969" s="9">
        <f t="shared" si="92"/>
        <v>8.5296977596335515E-3</v>
      </c>
    </row>
    <row r="1970" spans="1:7" x14ac:dyDescent="0.2">
      <c r="A1970" s="11">
        <v>37932</v>
      </c>
      <c r="B1970" s="10">
        <v>139.46119999999999</v>
      </c>
      <c r="E1970" s="13">
        <f t="shared" si="90"/>
        <v>1.1898891366060968E-2</v>
      </c>
      <c r="F1970" s="9">
        <f t="shared" si="91"/>
        <v>0.13993437078592913</v>
      </c>
      <c r="G1970" s="9">
        <f t="shared" si="92"/>
        <v>8.6132616103444578E-3</v>
      </c>
    </row>
    <row r="1971" spans="1:7" x14ac:dyDescent="0.2">
      <c r="A1971" s="11">
        <v>37935</v>
      </c>
      <c r="B1971" s="10">
        <v>138.68450000000001</v>
      </c>
      <c r="E1971" s="13">
        <f t="shared" si="90"/>
        <v>-5.5848572802851973E-3</v>
      </c>
      <c r="F1971" s="9">
        <f t="shared" si="91"/>
        <v>0.14571700000718249</v>
      </c>
      <c r="G1971" s="9">
        <f t="shared" si="92"/>
        <v>8.2857093545413638E-3</v>
      </c>
    </row>
    <row r="1972" spans="1:7" x14ac:dyDescent="0.2">
      <c r="A1972" s="11">
        <v>37936</v>
      </c>
      <c r="B1972" s="10">
        <v>137.4648</v>
      </c>
      <c r="E1972" s="13">
        <f t="shared" si="90"/>
        <v>-8.8336847603389616E-3</v>
      </c>
      <c r="F1972" s="9">
        <f t="shared" si="91"/>
        <v>0.12019638068550625</v>
      </c>
      <c r="G1972" s="9">
        <f t="shared" si="92"/>
        <v>8.3577873897155396E-3</v>
      </c>
    </row>
    <row r="1973" spans="1:7" x14ac:dyDescent="0.2">
      <c r="A1973" s="11">
        <v>37937</v>
      </c>
      <c r="B1973" s="10">
        <v>137.953</v>
      </c>
      <c r="E1973" s="13">
        <f t="shared" si="90"/>
        <v>3.5451631035859649E-3</v>
      </c>
      <c r="F1973" s="9">
        <f t="shared" si="91"/>
        <v>0.11692867122031377</v>
      </c>
      <c r="G1973" s="9">
        <f t="shared" si="92"/>
        <v>8.3425441369361884E-3</v>
      </c>
    </row>
    <row r="1974" spans="1:7" x14ac:dyDescent="0.2">
      <c r="A1974" s="11">
        <v>37938</v>
      </c>
      <c r="B1974" s="10">
        <v>137.98320000000001</v>
      </c>
      <c r="E1974" s="13">
        <f t="shared" si="90"/>
        <v>2.1889117934202542E-4</v>
      </c>
      <c r="F1974" s="9">
        <f t="shared" si="91"/>
        <v>0.10563256645133888</v>
      </c>
      <c r="G1974" s="9">
        <f t="shared" si="92"/>
        <v>8.2438076760573548E-3</v>
      </c>
    </row>
    <row r="1975" spans="1:7" x14ac:dyDescent="0.2">
      <c r="A1975" s="11">
        <v>37939</v>
      </c>
      <c r="B1975" s="10">
        <v>138.053</v>
      </c>
      <c r="E1975" s="13">
        <f t="shared" si="90"/>
        <v>5.0573078087345371E-4</v>
      </c>
      <c r="F1975" s="9">
        <f t="shared" si="91"/>
        <v>0.100852299453131</v>
      </c>
      <c r="G1975" s="9">
        <f t="shared" si="92"/>
        <v>8.2575517692348461E-3</v>
      </c>
    </row>
    <row r="1976" spans="1:7" x14ac:dyDescent="0.2">
      <c r="A1976" s="11">
        <v>37942</v>
      </c>
      <c r="B1976" s="10">
        <v>135.77930000000001</v>
      </c>
      <c r="E1976" s="13">
        <f t="shared" si="90"/>
        <v>-1.660689593506081E-2</v>
      </c>
      <c r="F1976" s="9">
        <f t="shared" si="91"/>
        <v>9.1324373232633482E-2</v>
      </c>
      <c r="G1976" s="9">
        <f t="shared" si="92"/>
        <v>8.8601378230416042E-3</v>
      </c>
    </row>
    <row r="1977" spans="1:7" x14ac:dyDescent="0.2">
      <c r="A1977" s="11">
        <v>37943</v>
      </c>
      <c r="B1977" s="10">
        <v>135.0102</v>
      </c>
      <c r="E1977" s="13">
        <f t="shared" si="90"/>
        <v>-5.680442321965567E-3</v>
      </c>
      <c r="F1977" s="9">
        <f t="shared" si="91"/>
        <v>7.2466253770749334E-2</v>
      </c>
      <c r="G1977" s="9">
        <f t="shared" si="92"/>
        <v>8.7895701155849167E-3</v>
      </c>
    </row>
    <row r="1978" spans="1:7" x14ac:dyDescent="0.2">
      <c r="A1978" s="11">
        <v>37944</v>
      </c>
      <c r="B1978" s="10">
        <v>133.21729999999999</v>
      </c>
      <c r="E1978" s="13">
        <f t="shared" si="90"/>
        <v>-1.3368701587300543E-2</v>
      </c>
      <c r="F1978" s="9">
        <f t="shared" si="91"/>
        <v>4.7455230588175593E-2</v>
      </c>
      <c r="G1978" s="9">
        <f t="shared" si="92"/>
        <v>9.0825340669444133E-3</v>
      </c>
    </row>
    <row r="1979" spans="1:7" x14ac:dyDescent="0.2">
      <c r="A1979" s="11">
        <v>37945</v>
      </c>
      <c r="B1979" s="10">
        <v>133.583</v>
      </c>
      <c r="E1979" s="13">
        <f t="shared" si="90"/>
        <v>2.7413779446594888E-3</v>
      </c>
      <c r="F1979" s="9">
        <f t="shared" si="91"/>
        <v>4.0524003245873054E-2</v>
      </c>
      <c r="G1979" s="9">
        <f t="shared" si="92"/>
        <v>8.953793068442524E-3</v>
      </c>
    </row>
    <row r="1980" spans="1:7" x14ac:dyDescent="0.2">
      <c r="A1980" s="11">
        <v>37946</v>
      </c>
      <c r="B1980" s="10">
        <v>134.76320000000001</v>
      </c>
      <c r="E1980" s="13">
        <f t="shared" si="90"/>
        <v>8.796156677925852E-3</v>
      </c>
      <c r="F1980" s="9">
        <f t="shared" si="91"/>
        <v>3.6774256095308218E-2</v>
      </c>
      <c r="G1980" s="9">
        <f t="shared" si="92"/>
        <v>8.8130158385789515E-3</v>
      </c>
    </row>
    <row r="1981" spans="1:7" x14ac:dyDescent="0.2">
      <c r="A1981" s="11">
        <v>37949</v>
      </c>
      <c r="B1981" s="10">
        <v>136.72200000000001</v>
      </c>
      <c r="E1981" s="13">
        <f t="shared" si="90"/>
        <v>1.443050296293113E-2</v>
      </c>
      <c r="F1981" s="9">
        <f t="shared" si="91"/>
        <v>4.9913803949280411E-2</v>
      </c>
      <c r="G1981" s="9">
        <f t="shared" si="92"/>
        <v>9.1457142424022798E-3</v>
      </c>
    </row>
    <row r="1982" spans="1:7" x14ac:dyDescent="0.2">
      <c r="A1982" s="11">
        <v>37950</v>
      </c>
      <c r="B1982" s="10">
        <v>136.9331</v>
      </c>
      <c r="E1982" s="13">
        <f t="shared" si="90"/>
        <v>1.5428182546075309E-3</v>
      </c>
      <c r="F1982" s="9">
        <f t="shared" si="91"/>
        <v>3.9440552685915849E-2</v>
      </c>
      <c r="G1982" s="9">
        <f t="shared" si="92"/>
        <v>8.9288834593974492E-3</v>
      </c>
    </row>
    <row r="1983" spans="1:7" x14ac:dyDescent="0.2">
      <c r="A1983" s="11">
        <v>37951</v>
      </c>
      <c r="B1983" s="10">
        <v>136.3562</v>
      </c>
      <c r="E1983" s="13">
        <f t="shared" si="90"/>
        <v>-4.2219059210300766E-3</v>
      </c>
      <c r="F1983" s="9">
        <f t="shared" si="91"/>
        <v>3.8662038765994208E-2</v>
      </c>
      <c r="G1983" s="9">
        <f t="shared" si="92"/>
        <v>8.9449968148707978E-3</v>
      </c>
    </row>
    <row r="1984" spans="1:7" x14ac:dyDescent="0.2">
      <c r="A1984" s="11">
        <v>37952</v>
      </c>
      <c r="B1984" s="10">
        <v>136.86340000000001</v>
      </c>
      <c r="E1984" s="13">
        <f t="shared" si="90"/>
        <v>3.7127686493292397E-3</v>
      </c>
      <c r="F1984" s="9">
        <f t="shared" si="91"/>
        <v>3.7872248109140104E-2</v>
      </c>
      <c r="G1984" s="9">
        <f t="shared" si="92"/>
        <v>8.9362005794685444E-3</v>
      </c>
    </row>
    <row r="1985" spans="1:7" x14ac:dyDescent="0.2">
      <c r="A1985" s="11">
        <v>37953</v>
      </c>
      <c r="B1985" s="10">
        <v>136.62020000000001</v>
      </c>
      <c r="E1985" s="13">
        <f t="shared" si="90"/>
        <v>-1.7785349037912901E-3</v>
      </c>
      <c r="F1985" s="9">
        <f t="shared" si="91"/>
        <v>4.4613937285529461E-2</v>
      </c>
      <c r="G1985" s="9">
        <f t="shared" si="92"/>
        <v>8.757348543799023E-3</v>
      </c>
    </row>
    <row r="1986" spans="1:7" x14ac:dyDescent="0.2">
      <c r="A1986" s="11">
        <v>37956</v>
      </c>
      <c r="B1986" s="10">
        <v>137.4478</v>
      </c>
      <c r="E1986" s="13">
        <f t="shared" si="90"/>
        <v>6.0393954457227152E-3</v>
      </c>
      <c r="F1986" s="9">
        <f t="shared" si="91"/>
        <v>5.029291735437242E-2</v>
      </c>
      <c r="G1986" s="9">
        <f t="shared" si="92"/>
        <v>8.7934865943232916E-3</v>
      </c>
    </row>
    <row r="1987" spans="1:7" x14ac:dyDescent="0.2">
      <c r="A1987" s="11">
        <v>37957</v>
      </c>
      <c r="B1987" s="10">
        <v>138.315</v>
      </c>
      <c r="E1987" s="13">
        <f t="shared" si="90"/>
        <v>6.2894839963523116E-3</v>
      </c>
      <c r="F1987" s="9">
        <f t="shared" si="91"/>
        <v>6.2934294613527314E-2</v>
      </c>
      <c r="G1987" s="9">
        <f t="shared" si="92"/>
        <v>8.6910578393250386E-3</v>
      </c>
    </row>
    <row r="1988" spans="1:7" x14ac:dyDescent="0.2">
      <c r="A1988" s="11">
        <v>37958</v>
      </c>
      <c r="B1988" s="10">
        <v>138.55629999999999</v>
      </c>
      <c r="E1988" s="13">
        <f t="shared" ref="E1988:E2051" si="93">LN(B1988/B1987)</f>
        <v>1.7430485651166233E-3</v>
      </c>
      <c r="F1988" s="9">
        <f t="shared" si="91"/>
        <v>7.2370949261897896E-2</v>
      </c>
      <c r="G1988" s="9">
        <f t="shared" si="92"/>
        <v>8.4827212628883399E-3</v>
      </c>
    </row>
    <row r="1989" spans="1:7" x14ac:dyDescent="0.2">
      <c r="A1989" s="11">
        <v>37959</v>
      </c>
      <c r="B1989" s="10">
        <v>137.71549999999999</v>
      </c>
      <c r="E1989" s="13">
        <f t="shared" si="93"/>
        <v>-6.0867782805860702E-3</v>
      </c>
      <c r="F1989" s="9">
        <f t="shared" si="91"/>
        <v>6.2794076941053531E-2</v>
      </c>
      <c r="G1989" s="9">
        <f t="shared" si="92"/>
        <v>8.6277962003381073E-3</v>
      </c>
    </row>
    <row r="1990" spans="1:7" x14ac:dyDescent="0.2">
      <c r="A1990" s="11">
        <v>37960</v>
      </c>
      <c r="B1990" s="10">
        <v>138.09630000000001</v>
      </c>
      <c r="E1990" s="13">
        <f t="shared" si="93"/>
        <v>2.7613049330048375E-3</v>
      </c>
      <c r="F1990" s="9">
        <f t="shared" si="91"/>
        <v>5.4739884815603719E-2</v>
      </c>
      <c r="G1990" s="9">
        <f t="shared" si="92"/>
        <v>8.4675449909605016E-3</v>
      </c>
    </row>
    <row r="1991" spans="1:7" x14ac:dyDescent="0.2">
      <c r="A1991" s="11">
        <v>37963</v>
      </c>
      <c r="B1991" s="10">
        <v>137.99639999999999</v>
      </c>
      <c r="E1991" s="13">
        <f t="shared" si="93"/>
        <v>-7.2367001633735393E-4</v>
      </c>
      <c r="F1991" s="9">
        <f t="shared" si="91"/>
        <v>4.7863395651252666E-2</v>
      </c>
      <c r="G1991" s="9">
        <f t="shared" si="92"/>
        <v>8.4400760532771946E-3</v>
      </c>
    </row>
    <row r="1992" spans="1:7" x14ac:dyDescent="0.2">
      <c r="A1992" s="11">
        <v>37964</v>
      </c>
      <c r="B1992" s="10">
        <v>140.4265</v>
      </c>
      <c r="E1992" s="13">
        <f t="shared" si="93"/>
        <v>1.7456622359676838E-2</v>
      </c>
      <c r="F1992" s="9">
        <f t="shared" si="91"/>
        <v>6.0245758706481488E-2</v>
      </c>
      <c r="G1992" s="9">
        <f t="shared" si="92"/>
        <v>8.9190848110332951E-3</v>
      </c>
    </row>
    <row r="1993" spans="1:7" x14ac:dyDescent="0.2">
      <c r="A1993" s="11">
        <v>37965</v>
      </c>
      <c r="B1993" s="10">
        <v>139.57060000000001</v>
      </c>
      <c r="E1993" s="13">
        <f t="shared" si="93"/>
        <v>-6.1136537906709351E-3</v>
      </c>
      <c r="F1993" s="9">
        <f t="shared" si="91"/>
        <v>3.1393154701733678E-2</v>
      </c>
      <c r="G1993" s="9">
        <f t="shared" si="92"/>
        <v>8.1039939925569935E-3</v>
      </c>
    </row>
    <row r="1994" spans="1:7" x14ac:dyDescent="0.2">
      <c r="A1994" s="11">
        <v>37966</v>
      </c>
      <c r="B1994" s="10">
        <v>140.0513</v>
      </c>
      <c r="E1994" s="13">
        <f t="shared" si="93"/>
        <v>3.4382176327610882E-3</v>
      </c>
      <c r="F1994" s="9">
        <f t="shared" si="91"/>
        <v>3.1714034198175756E-2</v>
      </c>
      <c r="G1994" s="9">
        <f t="shared" si="92"/>
        <v>8.107089921888579E-3</v>
      </c>
    </row>
    <row r="1995" spans="1:7" x14ac:dyDescent="0.2">
      <c r="A1995" s="11">
        <v>37967</v>
      </c>
      <c r="B1995" s="10">
        <v>139.5461</v>
      </c>
      <c r="E1995" s="13">
        <f t="shared" si="93"/>
        <v>-3.6137714427835195E-3</v>
      </c>
      <c r="F1995" s="9">
        <f t="shared" si="91"/>
        <v>1.6729375328042074E-2</v>
      </c>
      <c r="G1995" s="9">
        <f t="shared" si="92"/>
        <v>7.9036405905780361E-3</v>
      </c>
    </row>
    <row r="1996" spans="1:7" x14ac:dyDescent="0.2">
      <c r="A1996" s="11">
        <v>37970</v>
      </c>
      <c r="B1996" s="10">
        <v>141.04669999999999</v>
      </c>
      <c r="E1996" s="13">
        <f t="shared" si="93"/>
        <v>1.0696028596039818E-2</v>
      </c>
      <c r="F1996" s="9">
        <f t="shared" si="91"/>
        <v>2.562713691017517E-2</v>
      </c>
      <c r="G1996" s="9">
        <f t="shared" si="92"/>
        <v>8.1224258200687707E-3</v>
      </c>
    </row>
    <row r="1997" spans="1:7" x14ac:dyDescent="0.2">
      <c r="A1997" s="11">
        <v>37971</v>
      </c>
      <c r="B1997" s="10">
        <v>140.3605</v>
      </c>
      <c r="E1997" s="13">
        <f t="shared" si="93"/>
        <v>-4.8769282383135599E-3</v>
      </c>
      <c r="F1997" s="9">
        <f t="shared" si="91"/>
        <v>2.9040343470568889E-2</v>
      </c>
      <c r="G1997" s="9">
        <f t="shared" si="92"/>
        <v>8.0086790899273584E-3</v>
      </c>
    </row>
    <row r="1998" spans="1:7" x14ac:dyDescent="0.2">
      <c r="A1998" s="11">
        <v>37972</v>
      </c>
      <c r="B1998" s="10">
        <v>140.0136</v>
      </c>
      <c r="E1998" s="13">
        <f t="shared" si="93"/>
        <v>-2.4745522287367067E-3</v>
      </c>
      <c r="F1998" s="9">
        <f t="shared" si="91"/>
        <v>1.5852025740789668E-2</v>
      </c>
      <c r="G1998" s="9">
        <f t="shared" si="92"/>
        <v>7.8094372001022002E-3</v>
      </c>
    </row>
    <row r="1999" spans="1:7" x14ac:dyDescent="0.2">
      <c r="A1999" s="11">
        <v>37973</v>
      </c>
      <c r="B1999" s="10">
        <v>141.76689999999999</v>
      </c>
      <c r="E1999" s="13">
        <f t="shared" si="93"/>
        <v>1.2444598738752264E-2</v>
      </c>
      <c r="F1999" s="9">
        <f t="shared" si="91"/>
        <v>1.6397733113480768E-2</v>
      </c>
      <c r="G1999" s="9">
        <f t="shared" si="92"/>
        <v>7.8383722459200948E-3</v>
      </c>
    </row>
    <row r="2000" spans="1:7" x14ac:dyDescent="0.2">
      <c r="A2000" s="11">
        <v>37974</v>
      </c>
      <c r="B2000" s="10">
        <v>141.7688</v>
      </c>
      <c r="E2000" s="13">
        <f t="shared" si="93"/>
        <v>1.3402192387368619E-5</v>
      </c>
      <c r="F2000" s="9">
        <f t="shared" si="91"/>
        <v>2.1995992586153323E-2</v>
      </c>
      <c r="G2000" s="9">
        <f t="shared" si="92"/>
        <v>7.7499311455734498E-3</v>
      </c>
    </row>
    <row r="2001" spans="1:7" x14ac:dyDescent="0.2">
      <c r="A2001" s="11">
        <v>37977</v>
      </c>
      <c r="B2001" s="10">
        <v>142.0685</v>
      </c>
      <c r="E2001" s="13">
        <f t="shared" si="93"/>
        <v>2.111773973175763E-3</v>
      </c>
      <c r="F2001" s="9">
        <f t="shared" si="91"/>
        <v>3.2941451319668053E-2</v>
      </c>
      <c r="G2001" s="9">
        <f t="shared" si="92"/>
        <v>7.5294913081594321E-3</v>
      </c>
    </row>
    <row r="2002" spans="1:7" x14ac:dyDescent="0.2">
      <c r="A2002" s="11">
        <v>37978</v>
      </c>
      <c r="B2002" s="10">
        <v>142.8151</v>
      </c>
      <c r="E2002" s="13">
        <f t="shared" si="93"/>
        <v>5.2414509593797665E-3</v>
      </c>
      <c r="F2002" s="9">
        <f t="shared" si="91"/>
        <v>3.4637739175461701E-2</v>
      </c>
      <c r="G2002" s="9">
        <f t="shared" si="92"/>
        <v>7.5554200992163298E-3</v>
      </c>
    </row>
    <row r="2003" spans="1:7" x14ac:dyDescent="0.2">
      <c r="A2003" s="11">
        <v>37984</v>
      </c>
      <c r="B2003" s="10">
        <v>143.7747</v>
      </c>
      <c r="E2003" s="13">
        <f t="shared" si="93"/>
        <v>6.6967043919247656E-3</v>
      </c>
      <c r="F2003" s="9">
        <f t="shared" si="91"/>
        <v>4.1115552388044527E-2</v>
      </c>
      <c r="G2003" s="9">
        <f t="shared" si="92"/>
        <v>7.6210215540855417E-3</v>
      </c>
    </row>
    <row r="2004" spans="1:7" x14ac:dyDescent="0.2">
      <c r="A2004" s="11">
        <v>37985</v>
      </c>
      <c r="B2004" s="10">
        <v>143.61070000000001</v>
      </c>
      <c r="E2004" s="13">
        <f t="shared" si="93"/>
        <v>-1.141324630983196E-3</v>
      </c>
      <c r="F2004" s="9">
        <f t="shared" si="91"/>
        <v>3.9468496976187713E-2</v>
      </c>
      <c r="G2004" s="9">
        <f t="shared" si="92"/>
        <v>7.6341871522075857E-3</v>
      </c>
    </row>
    <row r="2005" spans="1:7" x14ac:dyDescent="0.2">
      <c r="A2005" s="11">
        <v>37988</v>
      </c>
      <c r="B2005" s="10">
        <v>145.7165</v>
      </c>
      <c r="E2005" s="13">
        <f t="shared" si="93"/>
        <v>1.455678681295371E-2</v>
      </c>
      <c r="F2005" s="9">
        <f t="shared" si="91"/>
        <v>7.0632179724202368E-2</v>
      </c>
      <c r="G2005" s="9">
        <f t="shared" si="92"/>
        <v>7.1953818680595971E-3</v>
      </c>
    </row>
    <row r="2006" spans="1:7" x14ac:dyDescent="0.2">
      <c r="A2006" s="11">
        <v>37991</v>
      </c>
      <c r="B2006" s="10">
        <v>147.63</v>
      </c>
      <c r="E2006" s="13">
        <f t="shared" si="93"/>
        <v>1.3046190360020965E-2</v>
      </c>
      <c r="F2006" s="9">
        <f t="shared" si="91"/>
        <v>8.9358812406188648E-2</v>
      </c>
      <c r="G2006" s="9">
        <f t="shared" si="92"/>
        <v>7.2807983480166778E-3</v>
      </c>
    </row>
    <row r="2007" spans="1:7" x14ac:dyDescent="0.2">
      <c r="A2007" s="11">
        <v>37992</v>
      </c>
      <c r="B2007" s="10">
        <v>149.28710000000001</v>
      </c>
      <c r="E2007" s="13">
        <f t="shared" si="93"/>
        <v>1.1162154051172048E-2</v>
      </c>
      <c r="F2007" s="9">
        <f t="shared" si="91"/>
        <v>0.11388966804466139</v>
      </c>
      <c r="G2007" s="9">
        <f t="shared" si="92"/>
        <v>6.7034799393097463E-3</v>
      </c>
    </row>
    <row r="2008" spans="1:7" x14ac:dyDescent="0.2">
      <c r="A2008" s="11">
        <v>37993</v>
      </c>
      <c r="B2008" s="10">
        <v>148.74799999999999</v>
      </c>
      <c r="E2008" s="13">
        <f t="shared" si="93"/>
        <v>-3.6176986399706988E-3</v>
      </c>
      <c r="F2008" s="9">
        <f t="shared" si="91"/>
        <v>0.10753059146003115</v>
      </c>
      <c r="G2008" s="9">
        <f t="shared" si="92"/>
        <v>6.8461441330726364E-3</v>
      </c>
    </row>
    <row r="2009" spans="1:7" x14ac:dyDescent="0.2">
      <c r="A2009" s="11">
        <v>37994</v>
      </c>
      <c r="B2009" s="10">
        <v>149.14760000000001</v>
      </c>
      <c r="E2009" s="13">
        <f t="shared" si="93"/>
        <v>2.6828206907226712E-3</v>
      </c>
      <c r="F2009" s="9">
        <f t="shared" si="91"/>
        <v>0.10141725547282818</v>
      </c>
      <c r="G2009" s="9">
        <f t="shared" si="92"/>
        <v>6.7776514216975371E-3</v>
      </c>
    </row>
    <row r="2010" spans="1:7" x14ac:dyDescent="0.2">
      <c r="A2010" s="11">
        <v>37995</v>
      </c>
      <c r="B2010" s="10">
        <v>149.32300000000001</v>
      </c>
      <c r="E2010" s="13">
        <f t="shared" si="93"/>
        <v>1.1753252762000304E-3</v>
      </c>
      <c r="F2010" s="9">
        <f t="shared" si="91"/>
        <v>8.8162077786096915E-2</v>
      </c>
      <c r="G2010" s="9">
        <f t="shared" si="92"/>
        <v>6.4531764362539866E-3</v>
      </c>
    </row>
    <row r="2011" spans="1:7" x14ac:dyDescent="0.2">
      <c r="A2011" s="11">
        <v>37998</v>
      </c>
      <c r="B2011" s="10">
        <v>150.3014</v>
      </c>
      <c r="E2011" s="13">
        <f t="shared" si="93"/>
        <v>6.5308664953520135E-3</v>
      </c>
      <c r="F2011" s="9">
        <f t="shared" si="91"/>
        <v>9.3150126026841279E-2</v>
      </c>
      <c r="G2011" s="9">
        <f t="shared" si="92"/>
        <v>6.4782701053965018E-3</v>
      </c>
    </row>
    <row r="2012" spans="1:7" x14ac:dyDescent="0.2">
      <c r="A2012" s="11">
        <v>37999</v>
      </c>
      <c r="B2012" s="10">
        <v>150.75389999999999</v>
      </c>
      <c r="E2012" s="13">
        <f t="shared" si="93"/>
        <v>3.006094499948772E-3</v>
      </c>
      <c r="F2012" s="9">
        <f t="shared" si="91"/>
        <v>0.10037812644782028</v>
      </c>
      <c r="G2012" s="9">
        <f t="shared" si="92"/>
        <v>6.3191330858360095E-3</v>
      </c>
    </row>
    <row r="2013" spans="1:7" x14ac:dyDescent="0.2">
      <c r="A2013" s="11">
        <v>38000</v>
      </c>
      <c r="B2013" s="10">
        <v>152.08670000000001</v>
      </c>
      <c r="E2013" s="13">
        <f t="shared" si="93"/>
        <v>8.8020470504521064E-3</v>
      </c>
      <c r="F2013" s="9">
        <f t="shared" si="91"/>
        <v>0.10546740484894303</v>
      </c>
      <c r="G2013" s="9">
        <f t="shared" si="92"/>
        <v>6.396560086177925E-3</v>
      </c>
    </row>
    <row r="2014" spans="1:7" x14ac:dyDescent="0.2">
      <c r="A2014" s="11">
        <v>38001</v>
      </c>
      <c r="B2014" s="10">
        <v>151.23269999999999</v>
      </c>
      <c r="E2014" s="13">
        <f t="shared" si="93"/>
        <v>-5.6310427661219794E-3</v>
      </c>
      <c r="F2014" s="9">
        <f t="shared" si="91"/>
        <v>0.1016148969866125</v>
      </c>
      <c r="G2014" s="9">
        <f t="shared" si="92"/>
        <v>6.5511798045053493E-3</v>
      </c>
    </row>
    <row r="2015" spans="1:7" x14ac:dyDescent="0.2">
      <c r="A2015" s="11">
        <v>38002</v>
      </c>
      <c r="B2015" s="10">
        <v>153.3235</v>
      </c>
      <c r="E2015" s="13">
        <f t="shared" si="93"/>
        <v>1.3730358120052437E-2</v>
      </c>
      <c r="F2015" s="9">
        <f t="shared" si="91"/>
        <v>0.10930585966094225</v>
      </c>
      <c r="G2015" s="9">
        <f t="shared" si="92"/>
        <v>6.808119785036924E-3</v>
      </c>
    </row>
    <row r="2016" spans="1:7" x14ac:dyDescent="0.2">
      <c r="A2016" s="11">
        <v>38005</v>
      </c>
      <c r="B2016" s="10">
        <v>154.29249999999999</v>
      </c>
      <c r="E2016" s="13">
        <f t="shared" si="93"/>
        <v>6.3000832534723192E-3</v>
      </c>
      <c r="F2016" s="9">
        <f t="shared" ref="F2016:F2079" si="94">LN(B2016/B1987)</f>
        <v>0.10931645891806221</v>
      </c>
      <c r="G2016" s="9">
        <f t="shared" si="92"/>
        <v>6.8082602026650141E-3</v>
      </c>
    </row>
    <row r="2017" spans="1:7" x14ac:dyDescent="0.2">
      <c r="A2017" s="11">
        <v>38006</v>
      </c>
      <c r="B2017" s="10">
        <v>155.25020000000001</v>
      </c>
      <c r="E2017" s="13">
        <f t="shared" si="93"/>
        <v>6.1878574802483981E-3</v>
      </c>
      <c r="F2017" s="9">
        <f t="shared" si="94"/>
        <v>0.11376126783319401</v>
      </c>
      <c r="G2017" s="9">
        <f t="shared" ref="G2017:G2080" si="95">STDEV(E1989:E2017)</f>
        <v>6.81104092251693E-3</v>
      </c>
    </row>
    <row r="2018" spans="1:7" x14ac:dyDescent="0.2">
      <c r="A2018" s="11">
        <v>38007</v>
      </c>
      <c r="B2018" s="10">
        <v>155.29169999999999</v>
      </c>
      <c r="E2018" s="13">
        <f t="shared" si="93"/>
        <v>2.672747236173219E-4</v>
      </c>
      <c r="F2018" s="9">
        <f t="shared" si="94"/>
        <v>0.12011532083739734</v>
      </c>
      <c r="G2018" s="9">
        <f t="shared" si="95"/>
        <v>6.5756769558573897E-3</v>
      </c>
    </row>
    <row r="2019" spans="1:7" x14ac:dyDescent="0.2">
      <c r="A2019" s="11">
        <v>38008</v>
      </c>
      <c r="B2019" s="10">
        <v>157.26929999999999</v>
      </c>
      <c r="E2019" s="13">
        <f t="shared" si="93"/>
        <v>1.2654338767350394E-2</v>
      </c>
      <c r="F2019" s="9">
        <f t="shared" si="94"/>
        <v>0.1300083546717429</v>
      </c>
      <c r="G2019" s="9">
        <f t="shared" si="95"/>
        <v>6.7556518340953541E-3</v>
      </c>
    </row>
    <row r="2020" spans="1:7" x14ac:dyDescent="0.2">
      <c r="A2020" s="11">
        <v>38009</v>
      </c>
      <c r="B2020" s="10">
        <v>155.3784</v>
      </c>
      <c r="E2020" s="13">
        <f t="shared" si="93"/>
        <v>-1.2096190414800072E-2</v>
      </c>
      <c r="F2020" s="9">
        <f t="shared" si="94"/>
        <v>0.11863583427327995</v>
      </c>
      <c r="G2020" s="9">
        <f t="shared" si="95"/>
        <v>7.3707643808823952E-3</v>
      </c>
    </row>
    <row r="2021" spans="1:7" x14ac:dyDescent="0.2">
      <c r="A2021" s="11">
        <v>38012</v>
      </c>
      <c r="B2021" s="10">
        <v>154.91650000000001</v>
      </c>
      <c r="E2021" s="13">
        <f t="shared" si="93"/>
        <v>-2.9771700480569932E-3</v>
      </c>
      <c r="F2021" s="9">
        <f t="shared" si="94"/>
        <v>9.8202041865546236E-2</v>
      </c>
      <c r="G2021" s="9">
        <f t="shared" si="95"/>
        <v>7.0155578908346686E-3</v>
      </c>
    </row>
    <row r="2022" spans="1:7" x14ac:dyDescent="0.2">
      <c r="A2022" s="11">
        <v>38013</v>
      </c>
      <c r="B2022" s="10">
        <v>155.1729</v>
      </c>
      <c r="E2022" s="13">
        <f t="shared" si="93"/>
        <v>1.6537170147260601E-3</v>
      </c>
      <c r="F2022" s="9">
        <f t="shared" si="94"/>
        <v>0.10596941267094319</v>
      </c>
      <c r="G2022" s="9">
        <f t="shared" si="95"/>
        <v>6.7843784044817812E-3</v>
      </c>
    </row>
    <row r="2023" spans="1:7" x14ac:dyDescent="0.2">
      <c r="A2023" s="11">
        <v>38014</v>
      </c>
      <c r="B2023" s="10">
        <v>152.8503</v>
      </c>
      <c r="E2023" s="13">
        <f t="shared" si="93"/>
        <v>-1.5080968056906365E-2</v>
      </c>
      <c r="F2023" s="9">
        <f t="shared" si="94"/>
        <v>8.7450226981275664E-2</v>
      </c>
      <c r="G2023" s="9">
        <f t="shared" si="95"/>
        <v>7.624932643583807E-3</v>
      </c>
    </row>
    <row r="2024" spans="1:7" x14ac:dyDescent="0.2">
      <c r="A2024" s="11">
        <v>38015</v>
      </c>
      <c r="B2024" s="10">
        <v>153.55160000000001</v>
      </c>
      <c r="E2024" s="13">
        <f t="shared" si="93"/>
        <v>4.5776558477005963E-3</v>
      </c>
      <c r="F2024" s="9">
        <f t="shared" si="94"/>
        <v>9.5641654271759913E-2</v>
      </c>
      <c r="G2024" s="9">
        <f t="shared" si="95"/>
        <v>7.521606126135838E-3</v>
      </c>
    </row>
    <row r="2025" spans="1:7" x14ac:dyDescent="0.2">
      <c r="A2025" s="11">
        <v>38016</v>
      </c>
      <c r="B2025" s="10">
        <v>153.7533</v>
      </c>
      <c r="E2025" s="13">
        <f t="shared" si="93"/>
        <v>1.3127029797697402E-3</v>
      </c>
      <c r="F2025" s="9">
        <f t="shared" si="94"/>
        <v>8.6258328655489894E-2</v>
      </c>
      <c r="G2025" s="9">
        <f t="shared" si="95"/>
        <v>7.3927133549351815E-3</v>
      </c>
    </row>
    <row r="2026" spans="1:7" x14ac:dyDescent="0.2">
      <c r="A2026" s="11">
        <v>38019</v>
      </c>
      <c r="B2026" s="10">
        <v>153.65899999999999</v>
      </c>
      <c r="E2026" s="13">
        <f t="shared" si="93"/>
        <v>-6.1350832714129541E-4</v>
      </c>
      <c r="F2026" s="9">
        <f t="shared" si="94"/>
        <v>9.0521748566662313E-2</v>
      </c>
      <c r="G2026" s="9">
        <f t="shared" si="95"/>
        <v>7.2724151846527106E-3</v>
      </c>
    </row>
    <row r="2027" spans="1:7" x14ac:dyDescent="0.2">
      <c r="A2027" s="11">
        <v>38020</v>
      </c>
      <c r="B2027" s="10">
        <v>153.1123</v>
      </c>
      <c r="E2027" s="13">
        <f t="shared" si="93"/>
        <v>-3.5642224599134924E-3</v>
      </c>
      <c r="F2027" s="9">
        <f t="shared" si="94"/>
        <v>8.943207833548554E-2</v>
      </c>
      <c r="G2027" s="9">
        <f t="shared" si="95"/>
        <v>7.305102526336202E-3</v>
      </c>
    </row>
    <row r="2028" spans="1:7" x14ac:dyDescent="0.2">
      <c r="A2028" s="11">
        <v>38021</v>
      </c>
      <c r="B2028" s="10">
        <v>154.58090000000001</v>
      </c>
      <c r="E2028" s="13">
        <f t="shared" si="93"/>
        <v>9.5459448058776569E-3</v>
      </c>
      <c r="F2028" s="9">
        <f t="shared" si="94"/>
        <v>8.6533424402611109E-2</v>
      </c>
      <c r="G2028" s="9">
        <f t="shared" si="95"/>
        <v>7.1913937872102127E-3</v>
      </c>
    </row>
    <row r="2029" spans="1:7" x14ac:dyDescent="0.2">
      <c r="A2029" s="11">
        <v>38022</v>
      </c>
      <c r="B2029" s="10">
        <v>154.39429999999999</v>
      </c>
      <c r="E2029" s="13">
        <f t="shared" si="93"/>
        <v>-1.2078640789711819E-3</v>
      </c>
      <c r="F2029" s="9">
        <f t="shared" si="94"/>
        <v>8.5312158131252425E-2</v>
      </c>
      <c r="G2029" s="9">
        <f t="shared" si="95"/>
        <v>7.2129538092767023E-3</v>
      </c>
    </row>
    <row r="2030" spans="1:7" x14ac:dyDescent="0.2">
      <c r="A2030" s="11">
        <v>38023</v>
      </c>
      <c r="B2030" s="10">
        <v>154.30760000000001</v>
      </c>
      <c r="E2030" s="13">
        <f t="shared" si="93"/>
        <v>-5.6170695599585868E-4</v>
      </c>
      <c r="F2030" s="9">
        <f t="shared" si="94"/>
        <v>8.263867720208086E-2</v>
      </c>
      <c r="G2030" s="9">
        <f t="shared" si="95"/>
        <v>7.2409717650726959E-3</v>
      </c>
    </row>
    <row r="2031" spans="1:7" x14ac:dyDescent="0.2">
      <c r="A2031" s="11">
        <v>38026</v>
      </c>
      <c r="B2031" s="10">
        <v>156.27950000000001</v>
      </c>
      <c r="E2031" s="13">
        <f t="shared" si="93"/>
        <v>1.269805794125249E-2</v>
      </c>
      <c r="F2031" s="9">
        <f t="shared" si="94"/>
        <v>9.0095284183953753E-2</v>
      </c>
      <c r="G2031" s="9">
        <f t="shared" si="95"/>
        <v>7.4580746598493447E-3</v>
      </c>
    </row>
    <row r="2032" spans="1:7" x14ac:dyDescent="0.2">
      <c r="A2032" s="11">
        <v>38027</v>
      </c>
      <c r="B2032" s="10">
        <v>156.75839999999999</v>
      </c>
      <c r="E2032" s="13">
        <f t="shared" si="93"/>
        <v>3.0596957979291957E-3</v>
      </c>
      <c r="F2032" s="9">
        <f t="shared" si="94"/>
        <v>8.6458275589958153E-2</v>
      </c>
      <c r="G2032" s="9">
        <f t="shared" si="95"/>
        <v>7.4260611706671847E-3</v>
      </c>
    </row>
    <row r="2033" spans="1:7" x14ac:dyDescent="0.2">
      <c r="A2033" s="11">
        <v>38028</v>
      </c>
      <c r="B2033" s="10">
        <v>158.30430000000001</v>
      </c>
      <c r="E2033" s="13">
        <f t="shared" si="93"/>
        <v>9.813363537471401E-3</v>
      </c>
      <c r="F2033" s="9">
        <f t="shared" si="94"/>
        <v>9.7412963758412768E-2</v>
      </c>
      <c r="G2033" s="9">
        <f t="shared" si="95"/>
        <v>7.4872302710089168E-3</v>
      </c>
    </row>
    <row r="2034" spans="1:7" x14ac:dyDescent="0.2">
      <c r="A2034" s="11">
        <v>38029</v>
      </c>
      <c r="B2034" s="10">
        <v>159.82570000000001</v>
      </c>
      <c r="E2034" s="13">
        <f t="shared" si="93"/>
        <v>9.5647163021605076E-3</v>
      </c>
      <c r="F2034" s="9">
        <f t="shared" si="94"/>
        <v>9.2420893247619471E-2</v>
      </c>
      <c r="G2034" s="9">
        <f t="shared" si="95"/>
        <v>7.2749646642313037E-3</v>
      </c>
    </row>
    <row r="2035" spans="1:7" x14ac:dyDescent="0.2">
      <c r="A2035" s="11">
        <v>38030</v>
      </c>
      <c r="B2035" s="10">
        <v>158.04220000000001</v>
      </c>
      <c r="E2035" s="13">
        <f t="shared" si="93"/>
        <v>-1.1221760460845645E-2</v>
      </c>
      <c r="F2035" s="9">
        <f t="shared" si="94"/>
        <v>6.8152942426752905E-2</v>
      </c>
      <c r="G2035" s="9">
        <f t="shared" si="95"/>
        <v>7.4928543869251518E-3</v>
      </c>
    </row>
    <row r="2036" spans="1:7" x14ac:dyDescent="0.2">
      <c r="A2036" s="11">
        <v>38033</v>
      </c>
      <c r="B2036" s="10">
        <v>158.33449999999999</v>
      </c>
      <c r="E2036" s="13">
        <f t="shared" si="93"/>
        <v>1.8477977876880177E-3</v>
      </c>
      <c r="F2036" s="9">
        <f t="shared" si="94"/>
        <v>5.8838586163268855E-2</v>
      </c>
      <c r="G2036" s="9">
        <f t="shared" si="95"/>
        <v>7.2987491140544293E-3</v>
      </c>
    </row>
    <row r="2037" spans="1:7" x14ac:dyDescent="0.2">
      <c r="A2037" s="11">
        <v>38034</v>
      </c>
      <c r="B2037" s="10">
        <v>158.9999</v>
      </c>
      <c r="E2037" s="13">
        <f t="shared" si="93"/>
        <v>4.1936895287787695E-3</v>
      </c>
      <c r="F2037" s="9">
        <f t="shared" si="94"/>
        <v>6.6649974332018205E-2</v>
      </c>
      <c r="G2037" s="9">
        <f t="shared" si="95"/>
        <v>7.2267029522468679E-3</v>
      </c>
    </row>
    <row r="2038" spans="1:7" x14ac:dyDescent="0.2">
      <c r="A2038" s="11">
        <v>38035</v>
      </c>
      <c r="B2038" s="10">
        <v>160.8852</v>
      </c>
      <c r="E2038" s="13">
        <f t="shared" si="93"/>
        <v>1.1787493880575888E-2</v>
      </c>
      <c r="F2038" s="9">
        <f t="shared" si="94"/>
        <v>7.5754647521871291E-2</v>
      </c>
      <c r="G2038" s="9">
        <f t="shared" si="95"/>
        <v>7.4386671829681983E-3</v>
      </c>
    </row>
    <row r="2039" spans="1:7" x14ac:dyDescent="0.2">
      <c r="A2039" s="11">
        <v>38036</v>
      </c>
      <c r="B2039" s="10">
        <v>165.61529999999999</v>
      </c>
      <c r="E2039" s="13">
        <f t="shared" si="93"/>
        <v>2.8976561817901394E-2</v>
      </c>
      <c r="F2039" s="9">
        <f t="shared" si="94"/>
        <v>0.10355588406357262</v>
      </c>
      <c r="G2039" s="9">
        <f t="shared" si="95"/>
        <v>8.8956386966432942E-3</v>
      </c>
    </row>
    <row r="2040" spans="1:7" x14ac:dyDescent="0.2">
      <c r="A2040" s="11">
        <v>38037</v>
      </c>
      <c r="B2040" s="10">
        <v>166.3486</v>
      </c>
      <c r="E2040" s="13">
        <f t="shared" si="93"/>
        <v>4.4179574509960583E-3</v>
      </c>
      <c r="F2040" s="9">
        <f t="shared" si="94"/>
        <v>0.10144297501921666</v>
      </c>
      <c r="G2040" s="9">
        <f t="shared" si="95"/>
        <v>8.8791670054572183E-3</v>
      </c>
    </row>
    <row r="2041" spans="1:7" x14ac:dyDescent="0.2">
      <c r="A2041" s="11">
        <v>38040</v>
      </c>
      <c r="B2041" s="10">
        <v>167.9907</v>
      </c>
      <c r="E2041" s="13">
        <f t="shared" si="93"/>
        <v>9.8230342894492038E-3</v>
      </c>
      <c r="F2041" s="9">
        <f t="shared" si="94"/>
        <v>0.10825991480871706</v>
      </c>
      <c r="G2041" s="9">
        <f t="shared" si="95"/>
        <v>8.9555852094493956E-3</v>
      </c>
    </row>
    <row r="2042" spans="1:7" x14ac:dyDescent="0.2">
      <c r="A2042" s="11">
        <v>38041</v>
      </c>
      <c r="B2042" s="10">
        <v>166.23740000000001</v>
      </c>
      <c r="E2042" s="13">
        <f t="shared" si="93"/>
        <v>-1.0491733538026541E-2</v>
      </c>
      <c r="F2042" s="9">
        <f t="shared" si="94"/>
        <v>8.8966134220238594E-2</v>
      </c>
      <c r="G2042" s="9">
        <f t="shared" si="95"/>
        <v>9.2764788179402393E-3</v>
      </c>
    </row>
    <row r="2043" spans="1:7" x14ac:dyDescent="0.2">
      <c r="A2043" s="11">
        <v>38042</v>
      </c>
      <c r="B2043" s="10">
        <v>166.25630000000001</v>
      </c>
      <c r="E2043" s="13">
        <f t="shared" si="93"/>
        <v>1.1368636470616736E-4</v>
      </c>
      <c r="F2043" s="9">
        <f t="shared" si="94"/>
        <v>9.4710863351066737E-2</v>
      </c>
      <c r="G2043" s="9">
        <f t="shared" si="95"/>
        <v>9.1444843060105915E-3</v>
      </c>
    </row>
    <row r="2044" spans="1:7" x14ac:dyDescent="0.2">
      <c r="A2044" s="11">
        <v>38043</v>
      </c>
      <c r="B2044" s="10">
        <v>166.80860000000001</v>
      </c>
      <c r="E2044" s="13">
        <f t="shared" si="93"/>
        <v>3.316473793718929E-3</v>
      </c>
      <c r="F2044" s="9">
        <f t="shared" si="94"/>
        <v>8.4296979024733196E-2</v>
      </c>
      <c r="G2044" s="9">
        <f t="shared" si="95"/>
        <v>8.9206071502379945E-3</v>
      </c>
    </row>
    <row r="2045" spans="1:7" x14ac:dyDescent="0.2">
      <c r="A2045" s="11">
        <v>38044</v>
      </c>
      <c r="B2045" s="10">
        <v>169.0634</v>
      </c>
      <c r="E2045" s="13">
        <f t="shared" si="93"/>
        <v>1.3426745153139923E-2</v>
      </c>
      <c r="F2045" s="9">
        <f t="shared" si="94"/>
        <v>9.1423640924400779E-2</v>
      </c>
      <c r="G2045" s="9">
        <f t="shared" si="95"/>
        <v>9.1135027801998395E-3</v>
      </c>
    </row>
    <row r="2046" spans="1:7" x14ac:dyDescent="0.2">
      <c r="A2046" s="11">
        <v>38047</v>
      </c>
      <c r="B2046" s="10">
        <v>171.70840000000001</v>
      </c>
      <c r="E2046" s="13">
        <f t="shared" si="93"/>
        <v>1.5523896744396989E-2</v>
      </c>
      <c r="F2046" s="9">
        <f t="shared" si="94"/>
        <v>0.10075968018854937</v>
      </c>
      <c r="G2046" s="9">
        <f t="shared" si="95"/>
        <v>9.3853949537234024E-3</v>
      </c>
    </row>
    <row r="2047" spans="1:7" x14ac:dyDescent="0.2">
      <c r="A2047" s="11">
        <v>38048</v>
      </c>
      <c r="B2047" s="10">
        <v>172.51150000000001</v>
      </c>
      <c r="E2047" s="13">
        <f t="shared" si="93"/>
        <v>4.6662116698835288E-3</v>
      </c>
      <c r="F2047" s="9">
        <f t="shared" si="94"/>
        <v>0.10515861713481561</v>
      </c>
      <c r="G2047" s="9">
        <f t="shared" si="95"/>
        <v>9.3672391572655299E-3</v>
      </c>
    </row>
    <row r="2048" spans="1:7" x14ac:dyDescent="0.2">
      <c r="A2048" s="11">
        <v>38049</v>
      </c>
      <c r="B2048" s="10">
        <v>171.5821</v>
      </c>
      <c r="E2048" s="13">
        <f t="shared" si="93"/>
        <v>-5.4020316573202259E-3</v>
      </c>
      <c r="F2048" s="9">
        <f t="shared" si="94"/>
        <v>8.7102246710145062E-2</v>
      </c>
      <c r="G2048" s="9">
        <f t="shared" si="95"/>
        <v>9.3457829448270816E-3</v>
      </c>
    </row>
    <row r="2049" spans="1:7" x14ac:dyDescent="0.2">
      <c r="A2049" s="11">
        <v>38050</v>
      </c>
      <c r="B2049" s="10">
        <v>172.1326</v>
      </c>
      <c r="E2049" s="13">
        <f t="shared" si="93"/>
        <v>3.2032407733035913E-3</v>
      </c>
      <c r="F2049" s="9">
        <f t="shared" si="94"/>
        <v>0.10240167789824867</v>
      </c>
      <c r="G2049" s="9">
        <f t="shared" si="95"/>
        <v>8.883350069781408E-3</v>
      </c>
    </row>
    <row r="2050" spans="1:7" x14ac:dyDescent="0.2">
      <c r="A2050" s="11">
        <v>38051</v>
      </c>
      <c r="B2050" s="10">
        <v>172.77170000000001</v>
      </c>
      <c r="E2050" s="13">
        <f t="shared" si="93"/>
        <v>3.7059597775796387E-3</v>
      </c>
      <c r="F2050" s="9">
        <f t="shared" si="94"/>
        <v>0.1090848077238854</v>
      </c>
      <c r="G2050" s="9">
        <f t="shared" si="95"/>
        <v>8.7947272973456208E-3</v>
      </c>
    </row>
    <row r="2051" spans="1:7" x14ac:dyDescent="0.2">
      <c r="A2051" s="11">
        <v>38054</v>
      </c>
      <c r="B2051" s="10">
        <v>173.70679999999999</v>
      </c>
      <c r="E2051" s="13">
        <f t="shared" si="93"/>
        <v>5.3977506275235667E-3</v>
      </c>
      <c r="F2051" s="9">
        <f t="shared" si="94"/>
        <v>0.11282884133668274</v>
      </c>
      <c r="G2051" s="9">
        <f t="shared" si="95"/>
        <v>8.7901593678023932E-3</v>
      </c>
    </row>
    <row r="2052" spans="1:7" x14ac:dyDescent="0.2">
      <c r="A2052" s="11">
        <v>38055</v>
      </c>
      <c r="B2052" s="10">
        <v>169.99279999999999</v>
      </c>
      <c r="E2052" s="13">
        <f t="shared" ref="E2052:E2115" si="96">LN(B2052/B2051)</f>
        <v>-2.1612737224870195E-2</v>
      </c>
      <c r="F2052" s="9">
        <f t="shared" si="94"/>
        <v>0.10629707216871898</v>
      </c>
      <c r="G2052" s="9">
        <f t="shared" si="95"/>
        <v>9.3589196178118089E-3</v>
      </c>
    </row>
    <row r="2053" spans="1:7" x14ac:dyDescent="0.2">
      <c r="A2053" s="11">
        <v>38056</v>
      </c>
      <c r="B2053" s="10">
        <v>168.35640000000001</v>
      </c>
      <c r="E2053" s="13">
        <f t="shared" si="96"/>
        <v>-9.672922289665719E-3</v>
      </c>
      <c r="F2053" s="9">
        <f t="shared" si="94"/>
        <v>9.2046494031352483E-2</v>
      </c>
      <c r="G2053" s="9">
        <f t="shared" si="95"/>
        <v>9.6779921748469579E-3</v>
      </c>
    </row>
    <row r="2054" spans="1:7" x14ac:dyDescent="0.2">
      <c r="A2054" s="11">
        <v>38057</v>
      </c>
      <c r="B2054" s="10">
        <v>164.5086</v>
      </c>
      <c r="E2054" s="13">
        <f t="shared" si="96"/>
        <v>-2.3120312448355905E-2</v>
      </c>
      <c r="F2054" s="9">
        <f t="shared" si="94"/>
        <v>6.7613478603226862E-2</v>
      </c>
      <c r="G2054" s="9">
        <f t="shared" si="95"/>
        <v>1.0839611442459969E-2</v>
      </c>
    </row>
    <row r="2055" spans="1:7" x14ac:dyDescent="0.2">
      <c r="A2055" s="11">
        <v>38058</v>
      </c>
      <c r="B2055" s="10">
        <v>164.31450000000001</v>
      </c>
      <c r="E2055" s="13">
        <f t="shared" si="96"/>
        <v>-1.180574129639805E-3</v>
      </c>
      <c r="F2055" s="9">
        <f t="shared" si="94"/>
        <v>6.7046412800728344E-2</v>
      </c>
      <c r="G2055" s="9">
        <f t="shared" si="95"/>
        <v>1.0845623600041538E-2</v>
      </c>
    </row>
    <row r="2056" spans="1:7" x14ac:dyDescent="0.2">
      <c r="A2056" s="11">
        <v>38061</v>
      </c>
      <c r="B2056" s="10">
        <v>160.7174</v>
      </c>
      <c r="E2056" s="13">
        <f t="shared" si="96"/>
        <v>-2.2134731171274347E-2</v>
      </c>
      <c r="F2056" s="9">
        <f t="shared" si="94"/>
        <v>4.8475904089367493E-2</v>
      </c>
      <c r="G2056" s="9">
        <f t="shared" si="95"/>
        <v>1.1718102940237382E-2</v>
      </c>
    </row>
    <row r="2057" spans="1:7" x14ac:dyDescent="0.2">
      <c r="A2057" s="11">
        <v>38062</v>
      </c>
      <c r="B2057" s="10">
        <v>161.57140000000001</v>
      </c>
      <c r="E2057" s="13">
        <f t="shared" si="96"/>
        <v>5.2996070528937506E-3</v>
      </c>
      <c r="F2057" s="9">
        <f t="shared" si="94"/>
        <v>4.4229566336383509E-2</v>
      </c>
      <c r="G2057" s="9">
        <f t="shared" si="95"/>
        <v>1.1642479845157691E-2</v>
      </c>
    </row>
    <row r="2058" spans="1:7" x14ac:dyDescent="0.2">
      <c r="A2058" s="11">
        <v>38063</v>
      </c>
      <c r="B2058" s="10">
        <v>163.36619999999999</v>
      </c>
      <c r="E2058" s="13">
        <f t="shared" si="96"/>
        <v>1.1047156457294444E-2</v>
      </c>
      <c r="F2058" s="9">
        <f t="shared" si="94"/>
        <v>5.6484586872649019E-2</v>
      </c>
      <c r="G2058" s="9">
        <f t="shared" si="95"/>
        <v>1.176153792377954E-2</v>
      </c>
    </row>
    <row r="2059" spans="1:7" x14ac:dyDescent="0.2">
      <c r="A2059" s="11">
        <v>38064</v>
      </c>
      <c r="B2059" s="10">
        <v>163.6772</v>
      </c>
      <c r="E2059" s="13">
        <f t="shared" si="96"/>
        <v>1.9018888242066376E-3</v>
      </c>
      <c r="F2059" s="9">
        <f t="shared" si="94"/>
        <v>5.8948182652851726E-2</v>
      </c>
      <c r="G2059" s="9">
        <f t="shared" si="95"/>
        <v>1.1751658168270788E-2</v>
      </c>
    </row>
    <row r="2060" spans="1:7" x14ac:dyDescent="0.2">
      <c r="A2060" s="11">
        <v>38065</v>
      </c>
      <c r="B2060" s="10">
        <v>163.15690000000001</v>
      </c>
      <c r="E2060" s="13">
        <f t="shared" si="96"/>
        <v>-3.1838809936148493E-3</v>
      </c>
      <c r="F2060" s="9">
        <f t="shared" si="94"/>
        <v>4.3066243717984419E-2</v>
      </c>
      <c r="G2060" s="9">
        <f t="shared" si="95"/>
        <v>1.1606042280797589E-2</v>
      </c>
    </row>
    <row r="2061" spans="1:7" x14ac:dyDescent="0.2">
      <c r="A2061" s="11">
        <v>38068</v>
      </c>
      <c r="B2061" s="10">
        <v>159.3091</v>
      </c>
      <c r="E2061" s="13">
        <f t="shared" si="96"/>
        <v>-2.3865974308049924E-2</v>
      </c>
      <c r="F2061" s="9">
        <f t="shared" si="94"/>
        <v>1.6140573612005105E-2</v>
      </c>
      <c r="G2061" s="9">
        <f t="shared" si="95"/>
        <v>1.2516847096622657E-2</v>
      </c>
    </row>
    <row r="2062" spans="1:7" x14ac:dyDescent="0.2">
      <c r="A2062" s="11">
        <v>38069</v>
      </c>
      <c r="B2062" s="10">
        <v>161.3603</v>
      </c>
      <c r="E2062" s="13">
        <f t="shared" si="96"/>
        <v>1.2793412635086612E-2</v>
      </c>
      <c r="F2062" s="9">
        <f t="shared" si="94"/>
        <v>1.9120622709620338E-2</v>
      </c>
      <c r="G2062" s="9">
        <f t="shared" si="95"/>
        <v>1.260746202802086E-2</v>
      </c>
    </row>
    <row r="2063" spans="1:7" x14ac:dyDescent="0.2">
      <c r="A2063" s="11">
        <v>38070</v>
      </c>
      <c r="B2063" s="10">
        <v>161.10769999999999</v>
      </c>
      <c r="E2063" s="13">
        <f t="shared" si="96"/>
        <v>-1.5666674005861666E-3</v>
      </c>
      <c r="F2063" s="9">
        <f t="shared" si="94"/>
        <v>7.9892390068736566E-3</v>
      </c>
      <c r="G2063" s="9">
        <f t="shared" si="95"/>
        <v>1.2495603921759888E-2</v>
      </c>
    </row>
    <row r="2064" spans="1:7" x14ac:dyDescent="0.2">
      <c r="A2064" s="11">
        <v>38071</v>
      </c>
      <c r="B2064" s="10">
        <v>161.24719999999999</v>
      </c>
      <c r="E2064" s="13">
        <f t="shared" si="96"/>
        <v>8.6550574356574611E-4</v>
      </c>
      <c r="F2064" s="9">
        <f t="shared" si="94"/>
        <v>2.0076505211285206E-2</v>
      </c>
      <c r="G2064" s="9">
        <f t="shared" si="95"/>
        <v>1.2298441556955586E-2</v>
      </c>
    </row>
    <row r="2065" spans="1:7" x14ac:dyDescent="0.2">
      <c r="A2065" s="11">
        <v>38072</v>
      </c>
      <c r="B2065" s="10">
        <v>162.08609999999999</v>
      </c>
      <c r="E2065" s="13">
        <f t="shared" si="96"/>
        <v>5.1890843435713468E-3</v>
      </c>
      <c r="F2065" s="9">
        <f t="shared" si="94"/>
        <v>2.341779176716844E-2</v>
      </c>
      <c r="G2065" s="9">
        <f t="shared" si="95"/>
        <v>1.232527539441138E-2</v>
      </c>
    </row>
    <row r="2066" spans="1:7" x14ac:dyDescent="0.2">
      <c r="A2066" s="11">
        <v>38075</v>
      </c>
      <c r="B2066" s="10">
        <v>163.73949999999999</v>
      </c>
      <c r="E2066" s="13">
        <f t="shared" si="96"/>
        <v>1.0149074794438597E-2</v>
      </c>
      <c r="F2066" s="9">
        <f t="shared" si="94"/>
        <v>2.9373177032828508E-2</v>
      </c>
      <c r="G2066" s="9">
        <f t="shared" si="95"/>
        <v>1.2432852811560627E-2</v>
      </c>
    </row>
    <row r="2067" spans="1:7" x14ac:dyDescent="0.2">
      <c r="A2067" s="11">
        <v>38076</v>
      </c>
      <c r="B2067" s="10">
        <v>160.60990000000001</v>
      </c>
      <c r="E2067" s="13">
        <f t="shared" si="96"/>
        <v>-1.929830687366987E-2</v>
      </c>
      <c r="F2067" s="9">
        <f t="shared" si="94"/>
        <v>-1.7126237214173392E-3</v>
      </c>
      <c r="G2067" s="9">
        <f t="shared" si="95"/>
        <v>1.2805206620520511E-2</v>
      </c>
    </row>
    <row r="2068" spans="1:7" x14ac:dyDescent="0.2">
      <c r="A2068" s="11">
        <v>38077</v>
      </c>
      <c r="B2068" s="10">
        <v>162.5951</v>
      </c>
      <c r="E2068" s="13">
        <f t="shared" si="96"/>
        <v>1.2284617909905295E-2</v>
      </c>
      <c r="F2068" s="9">
        <f t="shared" si="94"/>
        <v>-1.8404567629413445E-2</v>
      </c>
      <c r="G2068" s="9">
        <f t="shared" si="95"/>
        <v>1.1788227220548274E-2</v>
      </c>
    </row>
    <row r="2069" spans="1:7" x14ac:dyDescent="0.2">
      <c r="A2069" s="11">
        <v>38078</v>
      </c>
      <c r="B2069" s="10">
        <v>162.2765</v>
      </c>
      <c r="E2069" s="13">
        <f t="shared" si="96"/>
        <v>-1.9613909134518831E-3</v>
      </c>
      <c r="F2069" s="9">
        <f t="shared" si="94"/>
        <v>-2.4783915993861434E-2</v>
      </c>
      <c r="G2069" s="9">
        <f t="shared" si="95"/>
        <v>1.1750034404850304E-2</v>
      </c>
    </row>
    <row r="2070" spans="1:7" x14ac:dyDescent="0.2">
      <c r="A2070" s="11">
        <v>38079</v>
      </c>
      <c r="B2070" s="10">
        <v>166.42410000000001</v>
      </c>
      <c r="E2070" s="13">
        <f t="shared" si="96"/>
        <v>2.5237679185946906E-2</v>
      </c>
      <c r="F2070" s="9">
        <f t="shared" si="94"/>
        <v>-9.3692710973636226E-3</v>
      </c>
      <c r="G2070" s="9">
        <f t="shared" si="95"/>
        <v>1.2570337610173602E-2</v>
      </c>
    </row>
    <row r="2071" spans="1:7" x14ac:dyDescent="0.2">
      <c r="A2071" s="11">
        <v>38082</v>
      </c>
      <c r="B2071" s="10">
        <v>168.1</v>
      </c>
      <c r="E2071" s="13">
        <f t="shared" si="96"/>
        <v>1.001969078379498E-2</v>
      </c>
      <c r="F2071" s="9">
        <f t="shared" si="94"/>
        <v>1.114215322445776E-2</v>
      </c>
      <c r="G2071" s="9">
        <f t="shared" si="95"/>
        <v>1.2554792257824377E-2</v>
      </c>
    </row>
    <row r="2072" spans="1:7" x14ac:dyDescent="0.2">
      <c r="A2072" s="11">
        <v>38083</v>
      </c>
      <c r="B2072" s="10">
        <v>166.83500000000001</v>
      </c>
      <c r="E2072" s="13">
        <f t="shared" si="96"/>
        <v>-7.5537403673140938E-3</v>
      </c>
      <c r="F2072" s="9">
        <f t="shared" si="94"/>
        <v>3.474726492437599E-3</v>
      </c>
      <c r="G2072" s="9">
        <f t="shared" si="95"/>
        <v>1.2641130892068803E-2</v>
      </c>
    </row>
    <row r="2073" spans="1:7" x14ac:dyDescent="0.2">
      <c r="A2073" s="11">
        <v>38084</v>
      </c>
      <c r="B2073" s="10">
        <v>168.14340000000001</v>
      </c>
      <c r="E2073" s="13">
        <f t="shared" si="96"/>
        <v>7.8118866996496521E-3</v>
      </c>
      <c r="F2073" s="9">
        <f t="shared" si="94"/>
        <v>7.9701393983683064E-3</v>
      </c>
      <c r="G2073" s="9">
        <f t="shared" si="95"/>
        <v>1.2709110602618845E-2</v>
      </c>
    </row>
    <row r="2074" spans="1:7" x14ac:dyDescent="0.2">
      <c r="A2074" s="11">
        <v>38090</v>
      </c>
      <c r="B2074" s="10">
        <v>169.61770000000001</v>
      </c>
      <c r="E2074" s="13">
        <f t="shared" si="96"/>
        <v>8.7298943729837292E-3</v>
      </c>
      <c r="F2074" s="9">
        <f t="shared" si="94"/>
        <v>3.2732886182120485E-3</v>
      </c>
      <c r="G2074" s="9">
        <f t="shared" si="95"/>
        <v>1.2564627708665095E-2</v>
      </c>
    </row>
    <row r="2075" spans="1:7" x14ac:dyDescent="0.2">
      <c r="A2075" s="11">
        <v>38091</v>
      </c>
      <c r="B2075" s="10">
        <v>166.70500000000001</v>
      </c>
      <c r="E2075" s="13">
        <f t="shared" si="96"/>
        <v>-1.7321297811752213E-2</v>
      </c>
      <c r="F2075" s="9">
        <f t="shared" si="94"/>
        <v>-2.9571905937937175E-2</v>
      </c>
      <c r="G2075" s="9">
        <f t="shared" si="95"/>
        <v>1.2606130460002456E-2</v>
      </c>
    </row>
    <row r="2076" spans="1:7" x14ac:dyDescent="0.2">
      <c r="A2076" s="11">
        <v>38092</v>
      </c>
      <c r="B2076" s="10">
        <v>167.47790000000001</v>
      </c>
      <c r="E2076" s="13">
        <f t="shared" si="96"/>
        <v>4.6256189535897087E-3</v>
      </c>
      <c r="F2076" s="9">
        <f t="shared" si="94"/>
        <v>-2.9612498654230886E-2</v>
      </c>
      <c r="G2076" s="9">
        <f t="shared" si="95"/>
        <v>1.2605478798838339E-2</v>
      </c>
    </row>
    <row r="2077" spans="1:7" x14ac:dyDescent="0.2">
      <c r="A2077" s="11">
        <v>38093</v>
      </c>
      <c r="B2077" s="10">
        <v>167.3252</v>
      </c>
      <c r="E2077" s="13">
        <f t="shared" si="96"/>
        <v>-9.1217799708596839E-4</v>
      </c>
      <c r="F2077" s="9">
        <f t="shared" si="94"/>
        <v>-2.5122644993996645E-2</v>
      </c>
      <c r="G2077" s="9">
        <f t="shared" si="95"/>
        <v>1.257729109714063E-2</v>
      </c>
    </row>
    <row r="2078" spans="1:7" x14ac:dyDescent="0.2">
      <c r="A2078" s="11">
        <v>38096</v>
      </c>
      <c r="B2078" s="10">
        <v>167.21019999999999</v>
      </c>
      <c r="E2078" s="13">
        <f t="shared" si="96"/>
        <v>-6.8752069006690472E-4</v>
      </c>
      <c r="F2078" s="9">
        <f t="shared" si="94"/>
        <v>-2.9013406457367084E-2</v>
      </c>
      <c r="G2078" s="9">
        <f t="shared" si="95"/>
        <v>1.2553058607685666E-2</v>
      </c>
    </row>
    <row r="2079" spans="1:7" x14ac:dyDescent="0.2">
      <c r="A2079" s="11">
        <v>38097</v>
      </c>
      <c r="B2079" s="10">
        <v>168.40360000000001</v>
      </c>
      <c r="E2079" s="13">
        <f t="shared" si="96"/>
        <v>7.1117756773622157E-3</v>
      </c>
      <c r="F2079" s="9">
        <f t="shared" si="94"/>
        <v>-2.5607590557584447E-2</v>
      </c>
      <c r="G2079" s="9">
        <f t="shared" si="95"/>
        <v>1.2614444472807955E-2</v>
      </c>
    </row>
    <row r="2080" spans="1:7" x14ac:dyDescent="0.2">
      <c r="A2080" s="11">
        <v>38098</v>
      </c>
      <c r="B2080" s="10">
        <v>166.51079999999999</v>
      </c>
      <c r="E2080" s="13">
        <f t="shared" si="96"/>
        <v>-1.1303307070207325E-2</v>
      </c>
      <c r="F2080" s="9">
        <f t="shared" ref="F2080:F2143" si="97">LN(B2080/B2051)</f>
        <v>-4.2308648255315454E-2</v>
      </c>
      <c r="G2080" s="9">
        <f t="shared" si="95"/>
        <v>1.2698416715192444E-2</v>
      </c>
    </row>
    <row r="2081" spans="1:7" x14ac:dyDescent="0.2">
      <c r="A2081" s="11">
        <v>38099</v>
      </c>
      <c r="B2081" s="10">
        <v>165.22880000000001</v>
      </c>
      <c r="E2081" s="13">
        <f t="shared" si="96"/>
        <v>-7.7289921488457687E-3</v>
      </c>
      <c r="F2081" s="9">
        <f t="shared" si="97"/>
        <v>-2.8424903179290886E-2</v>
      </c>
      <c r="G2081" s="9">
        <f t="shared" ref="G2081:G2144" si="98">STDEV(E2053:E2081)</f>
        <v>1.2161832308878615E-2</v>
      </c>
    </row>
    <row r="2082" spans="1:7" x14ac:dyDescent="0.2">
      <c r="A2082" s="11">
        <v>38100</v>
      </c>
      <c r="B2082" s="10">
        <v>165.9</v>
      </c>
      <c r="E2082" s="13">
        <f t="shared" si="96"/>
        <v>4.0540171635155501E-3</v>
      </c>
      <c r="F2082" s="9">
        <f t="shared" si="97"/>
        <v>-1.4697963726109436E-2</v>
      </c>
      <c r="G2082" s="9">
        <f t="shared" si="98"/>
        <v>1.207826582361834E-2</v>
      </c>
    </row>
    <row r="2083" spans="1:7" x14ac:dyDescent="0.2">
      <c r="A2083" s="11">
        <v>38103</v>
      </c>
      <c r="B2083" s="10">
        <v>166.0206</v>
      </c>
      <c r="E2083" s="13">
        <f t="shared" si="96"/>
        <v>7.2667984636708757E-4</v>
      </c>
      <c r="F2083" s="9">
        <f t="shared" si="97"/>
        <v>9.1490285686135538E-3</v>
      </c>
      <c r="G2083" s="9">
        <f t="shared" si="98"/>
        <v>1.1268331588009928E-2</v>
      </c>
    </row>
    <row r="2084" spans="1:7" x14ac:dyDescent="0.2">
      <c r="A2084" s="11">
        <v>38104</v>
      </c>
      <c r="B2084" s="10">
        <v>165.5361</v>
      </c>
      <c r="E2084" s="13">
        <f t="shared" si="96"/>
        <v>-2.9225791236415877E-3</v>
      </c>
      <c r="F2084" s="9">
        <f t="shared" si="97"/>
        <v>7.4070235746118004E-3</v>
      </c>
      <c r="G2084" s="9">
        <f t="shared" si="98"/>
        <v>1.1281227344259509E-2</v>
      </c>
    </row>
    <row r="2085" spans="1:7" x14ac:dyDescent="0.2">
      <c r="A2085" s="11">
        <v>38105</v>
      </c>
      <c r="B2085" s="10">
        <v>162.7516</v>
      </c>
      <c r="E2085" s="13">
        <f t="shared" si="96"/>
        <v>-1.6964185849584097E-2</v>
      </c>
      <c r="F2085" s="9">
        <f t="shared" si="97"/>
        <v>1.257756889630199E-2</v>
      </c>
      <c r="G2085" s="9">
        <f t="shared" si="98"/>
        <v>1.0950741433264291E-2</v>
      </c>
    </row>
    <row r="2086" spans="1:7" x14ac:dyDescent="0.2">
      <c r="A2086" s="11">
        <v>38106</v>
      </c>
      <c r="B2086" s="10">
        <v>159.25069999999999</v>
      </c>
      <c r="E2086" s="13">
        <f t="shared" si="96"/>
        <v>-2.1745422022532539E-2</v>
      </c>
      <c r="F2086" s="9">
        <f t="shared" si="97"/>
        <v>-1.4467460179124318E-2</v>
      </c>
      <c r="G2086" s="9">
        <f t="shared" si="98"/>
        <v>1.1650781270331763E-2</v>
      </c>
    </row>
    <row r="2087" spans="1:7" x14ac:dyDescent="0.2">
      <c r="A2087" s="11">
        <v>38107</v>
      </c>
      <c r="B2087" s="10">
        <v>157.9272</v>
      </c>
      <c r="E2087" s="13">
        <f t="shared" si="96"/>
        <v>-8.3455226959848038E-3</v>
      </c>
      <c r="F2087" s="9">
        <f t="shared" si="97"/>
        <v>-3.386013933240354E-2</v>
      </c>
      <c r="G2087" s="9">
        <f t="shared" si="98"/>
        <v>1.1520215932208514E-2</v>
      </c>
    </row>
    <row r="2088" spans="1:7" x14ac:dyDescent="0.2">
      <c r="A2088" s="11">
        <v>38110</v>
      </c>
      <c r="B2088" s="10">
        <v>157.79900000000001</v>
      </c>
      <c r="E2088" s="13">
        <f t="shared" si="96"/>
        <v>-8.1209609494329639E-4</v>
      </c>
      <c r="F2088" s="9">
        <f t="shared" si="97"/>
        <v>-3.6574124251553562E-2</v>
      </c>
      <c r="G2088" s="9">
        <f t="shared" si="98"/>
        <v>1.1505404294633505E-2</v>
      </c>
    </row>
    <row r="2089" spans="1:7" x14ac:dyDescent="0.2">
      <c r="A2089" s="11">
        <v>38111</v>
      </c>
      <c r="B2089" s="10">
        <v>159.4599</v>
      </c>
      <c r="E2089" s="13">
        <f t="shared" si="96"/>
        <v>1.0470408701555092E-2</v>
      </c>
      <c r="F2089" s="9">
        <f t="shared" si="97"/>
        <v>-2.2919834556383731E-2</v>
      </c>
      <c r="G2089" s="9">
        <f t="shared" si="98"/>
        <v>1.1701626161492239E-2</v>
      </c>
    </row>
    <row r="2090" spans="1:7" x14ac:dyDescent="0.2">
      <c r="A2090" s="11">
        <v>38112</v>
      </c>
      <c r="B2090" s="10">
        <v>161.5771</v>
      </c>
      <c r="E2090" s="13">
        <f t="shared" si="96"/>
        <v>1.3189948167052401E-2</v>
      </c>
      <c r="F2090" s="9">
        <f t="shared" si="97"/>
        <v>1.4136087918718589E-2</v>
      </c>
      <c r="G2090" s="9">
        <f t="shared" si="98"/>
        <v>1.1099548455141058E-2</v>
      </c>
    </row>
    <row r="2091" spans="1:7" x14ac:dyDescent="0.2">
      <c r="A2091" s="11">
        <v>38113</v>
      </c>
      <c r="B2091" s="10">
        <v>161.02279999999999</v>
      </c>
      <c r="E2091" s="13">
        <f t="shared" si="96"/>
        <v>-3.4364582598359885E-3</v>
      </c>
      <c r="F2091" s="9">
        <f t="shared" si="97"/>
        <v>-2.0937829762040778E-3</v>
      </c>
      <c r="G2091" s="9">
        <f t="shared" si="98"/>
        <v>1.0863564017561531E-2</v>
      </c>
    </row>
    <row r="2092" spans="1:7" x14ac:dyDescent="0.2">
      <c r="A2092" s="11">
        <v>38114</v>
      </c>
      <c r="B2092" s="10">
        <v>158.40610000000001</v>
      </c>
      <c r="E2092" s="13">
        <f t="shared" si="96"/>
        <v>-1.6383981125010109E-2</v>
      </c>
      <c r="F2092" s="9">
        <f t="shared" si="97"/>
        <v>-1.691109670062808E-2</v>
      </c>
      <c r="G2092" s="9">
        <f t="shared" si="98"/>
        <v>1.127694653915228E-2</v>
      </c>
    </row>
    <row r="2093" spans="1:7" x14ac:dyDescent="0.2">
      <c r="A2093" s="11">
        <v>38117</v>
      </c>
      <c r="B2093" s="10">
        <v>153.49879999999999</v>
      </c>
      <c r="E2093" s="13">
        <f t="shared" si="96"/>
        <v>-3.1469239332723067E-2</v>
      </c>
      <c r="F2093" s="9">
        <f t="shared" si="97"/>
        <v>-4.9245841776916939E-2</v>
      </c>
      <c r="G2093" s="9">
        <f t="shared" si="98"/>
        <v>1.2644233821404133E-2</v>
      </c>
    </row>
    <row r="2094" spans="1:7" x14ac:dyDescent="0.2">
      <c r="A2094" s="11">
        <v>38118</v>
      </c>
      <c r="B2094" s="10">
        <v>155.79130000000001</v>
      </c>
      <c r="E2094" s="13">
        <f t="shared" si="96"/>
        <v>1.482454164880736E-2</v>
      </c>
      <c r="F2094" s="9">
        <f t="shared" si="97"/>
        <v>-3.9610384471680818E-2</v>
      </c>
      <c r="G2094" s="9">
        <f t="shared" si="98"/>
        <v>1.2954466583794301E-2</v>
      </c>
    </row>
    <row r="2095" spans="1:7" x14ac:dyDescent="0.2">
      <c r="A2095" s="11">
        <v>38119</v>
      </c>
      <c r="B2095" s="10">
        <v>155.2672</v>
      </c>
      <c r="E2095" s="13">
        <f t="shared" si="96"/>
        <v>-3.3697873290709592E-3</v>
      </c>
      <c r="F2095" s="9">
        <f t="shared" si="97"/>
        <v>-5.3129246595190485E-2</v>
      </c>
      <c r="G2095" s="9">
        <f t="shared" si="98"/>
        <v>1.2767186254344006E-2</v>
      </c>
    </row>
    <row r="2096" spans="1:7" x14ac:dyDescent="0.2">
      <c r="A2096" s="11">
        <v>38120</v>
      </c>
      <c r="B2096" s="10">
        <v>157.12979999999999</v>
      </c>
      <c r="E2096" s="13">
        <f t="shared" si="96"/>
        <v>1.192471164296279E-2</v>
      </c>
      <c r="F2096" s="9">
        <f t="shared" si="97"/>
        <v>-2.1906228078557795E-2</v>
      </c>
      <c r="G2096" s="9">
        <f t="shared" si="98"/>
        <v>1.2556430815802662E-2</v>
      </c>
    </row>
    <row r="2097" spans="1:7" x14ac:dyDescent="0.2">
      <c r="A2097" s="11">
        <v>38121</v>
      </c>
      <c r="B2097" s="10">
        <v>157.50120000000001</v>
      </c>
      <c r="E2097" s="13">
        <f t="shared" si="96"/>
        <v>2.3608619144653651E-3</v>
      </c>
      <c r="F2097" s="9">
        <f t="shared" si="97"/>
        <v>-3.1829984073997841E-2</v>
      </c>
      <c r="G2097" s="9">
        <f t="shared" si="98"/>
        <v>1.2321386918722924E-2</v>
      </c>
    </row>
    <row r="2098" spans="1:7" x14ac:dyDescent="0.2">
      <c r="A2098" s="11">
        <v>38125</v>
      </c>
      <c r="B2098" s="10">
        <v>156.8715</v>
      </c>
      <c r="E2098" s="13">
        <f t="shared" si="96"/>
        <v>-4.0060784040945388E-3</v>
      </c>
      <c r="F2098" s="9">
        <f t="shared" si="97"/>
        <v>-3.3874671564640413E-2</v>
      </c>
      <c r="G2098" s="9">
        <f t="shared" si="98"/>
        <v>1.2332351652220925E-2</v>
      </c>
    </row>
    <row r="2099" spans="1:7" x14ac:dyDescent="0.2">
      <c r="A2099" s="11">
        <v>38126</v>
      </c>
      <c r="B2099" s="10">
        <v>158.17420000000001</v>
      </c>
      <c r="E2099" s="13">
        <f t="shared" si="96"/>
        <v>8.2699584507020633E-3</v>
      </c>
      <c r="F2099" s="9">
        <f t="shared" si="97"/>
        <v>-5.0842392299885214E-2</v>
      </c>
      <c r="G2099" s="9">
        <f t="shared" si="98"/>
        <v>1.1402251430829097E-2</v>
      </c>
    </row>
    <row r="2100" spans="1:7" x14ac:dyDescent="0.2">
      <c r="A2100" s="11">
        <v>38128</v>
      </c>
      <c r="B2100" s="10">
        <v>157.83109999999999</v>
      </c>
      <c r="E2100" s="13">
        <f t="shared" si="96"/>
        <v>-2.171483420179662E-3</v>
      </c>
      <c r="F2100" s="9">
        <f t="shared" si="97"/>
        <v>-6.30335665038598E-2</v>
      </c>
      <c r="G2100" s="9">
        <f t="shared" si="98"/>
        <v>1.1175174672858907E-2</v>
      </c>
    </row>
    <row r="2101" spans="1:7" x14ac:dyDescent="0.2">
      <c r="A2101" s="11">
        <v>38131</v>
      </c>
      <c r="B2101" s="10">
        <v>159.65790000000001</v>
      </c>
      <c r="E2101" s="13">
        <f t="shared" si="96"/>
        <v>1.1507927270423343E-2</v>
      </c>
      <c r="F2101" s="9">
        <f t="shared" si="97"/>
        <v>-4.3971898866122544E-2</v>
      </c>
      <c r="G2101" s="9">
        <f t="shared" si="98"/>
        <v>1.1405629532055594E-2</v>
      </c>
    </row>
    <row r="2102" spans="1:7" x14ac:dyDescent="0.2">
      <c r="A2102" s="11">
        <v>38132</v>
      </c>
      <c r="B2102" s="10">
        <v>159.97649999999999</v>
      </c>
      <c r="E2102" s="13">
        <f t="shared" si="96"/>
        <v>1.993528265504549E-3</v>
      </c>
      <c r="F2102" s="9">
        <f t="shared" si="97"/>
        <v>-4.9790257300267711E-2</v>
      </c>
      <c r="G2102" s="9">
        <f t="shared" si="98"/>
        <v>1.1286229875466115E-2</v>
      </c>
    </row>
    <row r="2103" spans="1:7" x14ac:dyDescent="0.2">
      <c r="A2103" s="11">
        <v>38133</v>
      </c>
      <c r="B2103" s="10">
        <v>161.1114</v>
      </c>
      <c r="E2103" s="13">
        <f t="shared" si="96"/>
        <v>7.069121733603698E-3</v>
      </c>
      <c r="F2103" s="9">
        <f t="shared" si="97"/>
        <v>-5.1451029939647876E-2</v>
      </c>
      <c r="G2103" s="9">
        <f t="shared" si="98"/>
        <v>1.1235427248064591E-2</v>
      </c>
    </row>
    <row r="2104" spans="1:7" x14ac:dyDescent="0.2">
      <c r="A2104" s="11">
        <v>38134</v>
      </c>
      <c r="B2104" s="10">
        <v>161.41679999999999</v>
      </c>
      <c r="E2104" s="13">
        <f t="shared" si="96"/>
        <v>1.8937884580308743E-3</v>
      </c>
      <c r="F2104" s="9">
        <f t="shared" si="97"/>
        <v>-3.2235943669864771E-2</v>
      </c>
      <c r="G2104" s="9">
        <f t="shared" si="98"/>
        <v>1.0845644736002314E-2</v>
      </c>
    </row>
    <row r="2105" spans="1:7" x14ac:dyDescent="0.2">
      <c r="A2105" s="11">
        <v>38135</v>
      </c>
      <c r="B2105" s="10">
        <v>161.66569999999999</v>
      </c>
      <c r="E2105" s="13">
        <f t="shared" si="96"/>
        <v>1.5407832317812058E-3</v>
      </c>
      <c r="F2105" s="9">
        <f t="shared" si="97"/>
        <v>-3.532077939167326E-2</v>
      </c>
      <c r="G2105" s="9">
        <f t="shared" si="98"/>
        <v>1.080240661026209E-2</v>
      </c>
    </row>
    <row r="2106" spans="1:7" x14ac:dyDescent="0.2">
      <c r="A2106" s="11">
        <v>38139</v>
      </c>
      <c r="B2106" s="10">
        <v>162.35</v>
      </c>
      <c r="E2106" s="13">
        <f t="shared" si="96"/>
        <v>4.2238756788014085E-3</v>
      </c>
      <c r="F2106" s="9">
        <f t="shared" si="97"/>
        <v>-3.0184725715785971E-2</v>
      </c>
      <c r="G2106" s="9">
        <f t="shared" si="98"/>
        <v>1.0849598592290012E-2</v>
      </c>
    </row>
    <row r="2107" spans="1:7" x14ac:dyDescent="0.2">
      <c r="A2107" s="11">
        <v>38140</v>
      </c>
      <c r="B2107" s="10">
        <v>162.96080000000001</v>
      </c>
      <c r="E2107" s="13">
        <f t="shared" si="96"/>
        <v>3.7551825378124852E-3</v>
      </c>
      <c r="F2107" s="9">
        <f t="shared" si="97"/>
        <v>-2.5742022487906621E-2</v>
      </c>
      <c r="G2107" s="9">
        <f t="shared" si="98"/>
        <v>1.0886070082546127E-2</v>
      </c>
    </row>
    <row r="2108" spans="1:7" x14ac:dyDescent="0.2">
      <c r="A2108" s="11">
        <v>38141</v>
      </c>
      <c r="B2108" s="10">
        <v>162.40469999999999</v>
      </c>
      <c r="E2108" s="13">
        <f t="shared" si="96"/>
        <v>-3.4183128911697298E-3</v>
      </c>
      <c r="F2108" s="9">
        <f t="shared" si="97"/>
        <v>-3.6272111056438634E-2</v>
      </c>
      <c r="G2108" s="9">
        <f t="shared" si="98"/>
        <v>1.0784864371270193E-2</v>
      </c>
    </row>
    <row r="2109" spans="1:7" x14ac:dyDescent="0.2">
      <c r="A2109" s="11">
        <v>38142</v>
      </c>
      <c r="B2109" s="10">
        <v>163.04570000000001</v>
      </c>
      <c r="E2109" s="13">
        <f t="shared" si="96"/>
        <v>3.9391614136337731E-3</v>
      </c>
      <c r="F2109" s="9">
        <f t="shared" si="97"/>
        <v>-2.1029642572597596E-2</v>
      </c>
      <c r="G2109" s="9">
        <f t="shared" si="98"/>
        <v>1.0648008809720614E-2</v>
      </c>
    </row>
    <row r="2110" spans="1:7" x14ac:dyDescent="0.2">
      <c r="A2110" s="11">
        <v>38145</v>
      </c>
      <c r="B2110" s="10">
        <v>164.5916</v>
      </c>
      <c r="E2110" s="13">
        <f t="shared" si="96"/>
        <v>9.4367245248157625E-3</v>
      </c>
      <c r="F2110" s="9">
        <f t="shared" si="97"/>
        <v>-3.8639258989361098E-3</v>
      </c>
      <c r="G2110" s="9">
        <f t="shared" si="98"/>
        <v>1.0721627088312636E-2</v>
      </c>
    </row>
    <row r="2111" spans="1:7" x14ac:dyDescent="0.2">
      <c r="A2111" s="11">
        <v>38146</v>
      </c>
      <c r="B2111" s="10">
        <v>165.8905</v>
      </c>
      <c r="E2111" s="13">
        <f t="shared" si="96"/>
        <v>7.8606780111462049E-3</v>
      </c>
      <c r="F2111" s="9">
        <f t="shared" si="97"/>
        <v>-5.7265051305517135E-5</v>
      </c>
      <c r="G2111" s="9">
        <f t="shared" si="98"/>
        <v>1.0797754335443841E-2</v>
      </c>
    </row>
    <row r="2112" spans="1:7" x14ac:dyDescent="0.2">
      <c r="A2112" s="11">
        <v>38147</v>
      </c>
      <c r="B2112" s="10">
        <v>165.55869999999999</v>
      </c>
      <c r="E2112" s="13">
        <f t="shared" si="96"/>
        <v>-2.0021174335874809E-3</v>
      </c>
      <c r="F2112" s="9">
        <f t="shared" si="97"/>
        <v>-2.7860623312601801E-3</v>
      </c>
      <c r="G2112" s="9">
        <f t="shared" si="98"/>
        <v>1.0803066408042308E-2</v>
      </c>
    </row>
    <row r="2113" spans="1:7" x14ac:dyDescent="0.2">
      <c r="A2113" s="11">
        <v>38148</v>
      </c>
      <c r="B2113" s="10">
        <v>165.53229999999999</v>
      </c>
      <c r="E2113" s="13">
        <f t="shared" si="96"/>
        <v>-1.5947277368422516E-4</v>
      </c>
      <c r="F2113" s="9">
        <f t="shared" si="97"/>
        <v>-2.2955981302820157E-5</v>
      </c>
      <c r="G2113" s="9">
        <f t="shared" si="98"/>
        <v>1.0789423444873924E-2</v>
      </c>
    </row>
    <row r="2114" spans="1:7" x14ac:dyDescent="0.2">
      <c r="A2114" s="11">
        <v>38149</v>
      </c>
      <c r="B2114" s="10">
        <v>166.24870000000001</v>
      </c>
      <c r="E2114" s="13">
        <f t="shared" si="96"/>
        <v>4.3185180186971865E-3</v>
      </c>
      <c r="F2114" s="9">
        <f t="shared" si="97"/>
        <v>2.1259747886978337E-2</v>
      </c>
      <c r="G2114" s="9">
        <f t="shared" si="98"/>
        <v>1.0307429769148117E-2</v>
      </c>
    </row>
    <row r="2115" spans="1:7" x14ac:dyDescent="0.2">
      <c r="A2115" s="11">
        <v>38152</v>
      </c>
      <c r="B2115" s="10">
        <v>165.00630000000001</v>
      </c>
      <c r="E2115" s="13">
        <f t="shared" si="96"/>
        <v>-7.501204966663115E-3</v>
      </c>
      <c r="F2115" s="9">
        <f t="shared" si="97"/>
        <v>3.5503964942847688E-2</v>
      </c>
      <c r="G2115" s="9">
        <f t="shared" si="98"/>
        <v>9.5062583498500535E-3</v>
      </c>
    </row>
    <row r="2116" spans="1:7" x14ac:dyDescent="0.2">
      <c r="A2116" s="11">
        <v>38153</v>
      </c>
      <c r="B2116" s="10">
        <v>165.28720000000001</v>
      </c>
      <c r="E2116" s="13">
        <f t="shared" ref="E2116:E2179" si="99">LN(B2116/B2115)</f>
        <v>1.7009118721542542E-3</v>
      </c>
      <c r="F2116" s="9">
        <f t="shared" si="97"/>
        <v>4.5550399510986855E-2</v>
      </c>
      <c r="G2116" s="9">
        <f t="shared" si="98"/>
        <v>9.3264147269918208E-3</v>
      </c>
    </row>
    <row r="2117" spans="1:7" x14ac:dyDescent="0.2">
      <c r="A2117" s="11">
        <v>38154</v>
      </c>
      <c r="B2117" s="10">
        <v>166.36940000000001</v>
      </c>
      <c r="E2117" s="13">
        <f t="shared" si="99"/>
        <v>6.5260503837123191E-3</v>
      </c>
      <c r="F2117" s="9">
        <f t="shared" si="97"/>
        <v>5.2888545989642405E-2</v>
      </c>
      <c r="G2117" s="9">
        <f t="shared" si="98"/>
        <v>9.3589476193089577E-3</v>
      </c>
    </row>
    <row r="2118" spans="1:7" x14ac:dyDescent="0.2">
      <c r="A2118" s="11">
        <v>38155</v>
      </c>
      <c r="B2118" s="10">
        <v>168.20179999999999</v>
      </c>
      <c r="E2118" s="13">
        <f t="shared" si="99"/>
        <v>1.0953831781643598E-2</v>
      </c>
      <c r="F2118" s="9">
        <f t="shared" si="97"/>
        <v>5.337196906973081E-2</v>
      </c>
      <c r="G2118" s="9">
        <f t="shared" si="98"/>
        <v>9.3753149471662786E-3</v>
      </c>
    </row>
    <row r="2119" spans="1:7" x14ac:dyDescent="0.2">
      <c r="A2119" s="11">
        <v>38156</v>
      </c>
      <c r="B2119" s="10">
        <v>170.7432</v>
      </c>
      <c r="E2119" s="13">
        <f t="shared" si="99"/>
        <v>1.4996224325986695E-2</v>
      </c>
      <c r="F2119" s="9">
        <f t="shared" si="97"/>
        <v>5.5178245228665067E-2</v>
      </c>
      <c r="G2119" s="9">
        <f t="shared" si="98"/>
        <v>9.459035305611898E-3</v>
      </c>
    </row>
    <row r="2120" spans="1:7" x14ac:dyDescent="0.2">
      <c r="A2120" s="11">
        <v>38159</v>
      </c>
      <c r="B2120" s="10">
        <v>169.96080000000001</v>
      </c>
      <c r="E2120" s="13">
        <f t="shared" si="99"/>
        <v>-4.5928511279390129E-3</v>
      </c>
      <c r="F2120" s="9">
        <f t="shared" si="97"/>
        <v>5.4021852360562062E-2</v>
      </c>
      <c r="G2120" s="9">
        <f t="shared" si="98"/>
        <v>9.4847494636025407E-3</v>
      </c>
    </row>
    <row r="2121" spans="1:7" x14ac:dyDescent="0.2">
      <c r="A2121" s="11">
        <v>38160</v>
      </c>
      <c r="B2121" s="10">
        <v>169.17840000000001</v>
      </c>
      <c r="E2121" s="13">
        <f t="shared" si="99"/>
        <v>-4.6140427769351009E-3</v>
      </c>
      <c r="F2121" s="9">
        <f t="shared" si="97"/>
        <v>6.5791790708637082E-2</v>
      </c>
      <c r="G2121" s="9">
        <f t="shared" si="98"/>
        <v>8.9105078854290528E-3</v>
      </c>
    </row>
    <row r="2122" spans="1:7" x14ac:dyDescent="0.2">
      <c r="A2122" s="11">
        <v>38161</v>
      </c>
      <c r="B2122" s="10">
        <v>170.95050000000001</v>
      </c>
      <c r="E2122" s="13">
        <f t="shared" si="99"/>
        <v>1.0420261464377417E-2</v>
      </c>
      <c r="F2122" s="9">
        <f t="shared" si="97"/>
        <v>0.10768129150573752</v>
      </c>
      <c r="G2122" s="9">
        <f t="shared" si="98"/>
        <v>6.2416033778693192E-3</v>
      </c>
    </row>
    <row r="2123" spans="1:7" x14ac:dyDescent="0.2">
      <c r="A2123" s="11">
        <v>38162</v>
      </c>
      <c r="B2123" s="10">
        <v>172.04589999999999</v>
      </c>
      <c r="E2123" s="13">
        <f t="shared" si="99"/>
        <v>6.3872607647936005E-3</v>
      </c>
      <c r="F2123" s="9">
        <f t="shared" si="97"/>
        <v>9.9244010621723722E-2</v>
      </c>
      <c r="G2123" s="9">
        <f t="shared" si="98"/>
        <v>5.8920231116245513E-3</v>
      </c>
    </row>
    <row r="2124" spans="1:7" x14ac:dyDescent="0.2">
      <c r="A2124" s="11">
        <v>38163</v>
      </c>
      <c r="B2124" s="10">
        <v>173.23920000000001</v>
      </c>
      <c r="E2124" s="13">
        <f t="shared" si="99"/>
        <v>6.9119967869533576E-3</v>
      </c>
      <c r="F2124" s="9">
        <f t="shared" si="97"/>
        <v>0.10952579473774818</v>
      </c>
      <c r="G2124" s="9">
        <f t="shared" si="98"/>
        <v>5.7769502284729188E-3</v>
      </c>
    </row>
    <row r="2125" spans="1:7" x14ac:dyDescent="0.2">
      <c r="A2125" s="11">
        <v>38166</v>
      </c>
      <c r="B2125" s="10">
        <v>172.49639999999999</v>
      </c>
      <c r="E2125" s="13">
        <f t="shared" si="99"/>
        <v>-4.2969317761775748E-3</v>
      </c>
      <c r="F2125" s="9">
        <f t="shared" si="97"/>
        <v>9.3304151318607795E-2</v>
      </c>
      <c r="G2125" s="9">
        <f t="shared" si="98"/>
        <v>5.7450897253705649E-3</v>
      </c>
    </row>
    <row r="2126" spans="1:7" x14ac:dyDescent="0.2">
      <c r="A2126" s="11">
        <v>38167</v>
      </c>
      <c r="B2126" s="10">
        <v>172.84520000000001</v>
      </c>
      <c r="E2126" s="13">
        <f t="shared" si="99"/>
        <v>2.0200295510712668E-3</v>
      </c>
      <c r="F2126" s="9">
        <f t="shared" si="97"/>
        <v>9.2963318955213772E-2</v>
      </c>
      <c r="G2126" s="9">
        <f t="shared" si="98"/>
        <v>5.7472527252990235E-3</v>
      </c>
    </row>
    <row r="2127" spans="1:7" x14ac:dyDescent="0.2">
      <c r="A2127" s="11">
        <v>38168</v>
      </c>
      <c r="B2127" s="10">
        <v>172.94319999999999</v>
      </c>
      <c r="E2127" s="13">
        <f t="shared" si="99"/>
        <v>5.6682064883510543E-4</v>
      </c>
      <c r="F2127" s="9">
        <f t="shared" si="97"/>
        <v>9.7536218008143216E-2</v>
      </c>
      <c r="G2127" s="9">
        <f t="shared" si="98"/>
        <v>5.6032486341373771E-3</v>
      </c>
    </row>
    <row r="2128" spans="1:7" x14ac:dyDescent="0.2">
      <c r="A2128" s="11">
        <v>38169</v>
      </c>
      <c r="B2128" s="10">
        <v>174.3553</v>
      </c>
      <c r="E2128" s="13">
        <f t="shared" si="99"/>
        <v>8.131954394759033E-3</v>
      </c>
      <c r="F2128" s="9">
        <f t="shared" si="97"/>
        <v>9.7398213952200233E-2</v>
      </c>
      <c r="G2128" s="9">
        <f t="shared" si="98"/>
        <v>5.5989896504179707E-3</v>
      </c>
    </row>
    <row r="2129" spans="1:7" x14ac:dyDescent="0.2">
      <c r="A2129" s="11">
        <v>38170</v>
      </c>
      <c r="B2129" s="10">
        <v>172.1533</v>
      </c>
      <c r="E2129" s="13">
        <f t="shared" si="99"/>
        <v>-1.2709812353212875E-2</v>
      </c>
      <c r="F2129" s="9">
        <f t="shared" si="97"/>
        <v>8.6859885019166888E-2</v>
      </c>
      <c r="G2129" s="9">
        <f t="shared" si="98"/>
        <v>6.2722314428756984E-3</v>
      </c>
    </row>
    <row r="2130" spans="1:7" x14ac:dyDescent="0.2">
      <c r="A2130" s="11">
        <v>38173</v>
      </c>
      <c r="B2130" s="10">
        <v>172.71510000000001</v>
      </c>
      <c r="E2130" s="13">
        <f t="shared" si="99"/>
        <v>3.258057258686975E-3</v>
      </c>
      <c r="F2130" s="9">
        <f t="shared" si="97"/>
        <v>7.8610015007430756E-2</v>
      </c>
      <c r="G2130" s="9">
        <f t="shared" si="98"/>
        <v>6.0556938455151796E-3</v>
      </c>
    </row>
    <row r="2131" spans="1:7" x14ac:dyDescent="0.2">
      <c r="A2131" s="11">
        <v>38174</v>
      </c>
      <c r="B2131" s="10">
        <v>173.0318</v>
      </c>
      <c r="E2131" s="13">
        <f t="shared" si="99"/>
        <v>1.8319764462041942E-3</v>
      </c>
      <c r="F2131" s="9">
        <f t="shared" si="97"/>
        <v>7.8448463188130368E-2</v>
      </c>
      <c r="G2131" s="9">
        <f t="shared" si="98"/>
        <v>6.056451398726753E-3</v>
      </c>
    </row>
    <row r="2132" spans="1:7" x14ac:dyDescent="0.2">
      <c r="A2132" s="11">
        <v>38175</v>
      </c>
      <c r="B2132" s="10">
        <v>170.67339999999999</v>
      </c>
      <c r="E2132" s="13">
        <f t="shared" si="99"/>
        <v>-1.3723603916624305E-2</v>
      </c>
      <c r="F2132" s="9">
        <f t="shared" si="97"/>
        <v>5.7655737537902617E-2</v>
      </c>
      <c r="G2132" s="9">
        <f t="shared" si="98"/>
        <v>6.716204141500778E-3</v>
      </c>
    </row>
    <row r="2133" spans="1:7" x14ac:dyDescent="0.2">
      <c r="A2133" s="11">
        <v>38176</v>
      </c>
      <c r="B2133" s="10">
        <v>170.82230000000001</v>
      </c>
      <c r="E2133" s="13">
        <f t="shared" si="99"/>
        <v>8.7204617473147887E-4</v>
      </c>
      <c r="F2133" s="9">
        <f t="shared" si="97"/>
        <v>5.6633995254603046E-2</v>
      </c>
      <c r="G2133" s="9">
        <f t="shared" si="98"/>
        <v>6.7193959335547643E-3</v>
      </c>
    </row>
    <row r="2134" spans="1:7" x14ac:dyDescent="0.2">
      <c r="A2134" s="11">
        <v>38177</v>
      </c>
      <c r="B2134" s="10">
        <v>171.0599</v>
      </c>
      <c r="E2134" s="13">
        <f t="shared" si="99"/>
        <v>1.3899526693871504E-3</v>
      </c>
      <c r="F2134" s="9">
        <f t="shared" si="97"/>
        <v>5.6483164692208911E-2</v>
      </c>
      <c r="G2134" s="9">
        <f t="shared" si="98"/>
        <v>6.7197846793505623E-3</v>
      </c>
    </row>
    <row r="2135" spans="1:7" x14ac:dyDescent="0.2">
      <c r="A2135" s="11">
        <v>38180</v>
      </c>
      <c r="B2135" s="10">
        <v>169.9759</v>
      </c>
      <c r="E2135" s="13">
        <f t="shared" si="99"/>
        <v>-6.3571252674488312E-3</v>
      </c>
      <c r="F2135" s="9">
        <f t="shared" si="97"/>
        <v>4.5902163745958742E-2</v>
      </c>
      <c r="G2135" s="9">
        <f t="shared" si="98"/>
        <v>6.8771947505969254E-3</v>
      </c>
    </row>
    <row r="2136" spans="1:7" x14ac:dyDescent="0.2">
      <c r="A2136" s="11">
        <v>38181</v>
      </c>
      <c r="B2136" s="10">
        <v>170.6979</v>
      </c>
      <c r="E2136" s="13">
        <f t="shared" si="99"/>
        <v>4.2386651451974903E-3</v>
      </c>
      <c r="F2136" s="9">
        <f t="shared" si="97"/>
        <v>4.6385646353343905E-2</v>
      </c>
      <c r="G2136" s="9">
        <f t="shared" si="98"/>
        <v>6.8832324605466108E-3</v>
      </c>
    </row>
    <row r="2137" spans="1:7" x14ac:dyDescent="0.2">
      <c r="A2137" s="11">
        <v>38182</v>
      </c>
      <c r="B2137" s="10">
        <v>169.74590000000001</v>
      </c>
      <c r="E2137" s="13">
        <f t="shared" si="99"/>
        <v>-5.5927144593193295E-3</v>
      </c>
      <c r="F2137" s="9">
        <f t="shared" si="97"/>
        <v>4.4211244785194323E-2</v>
      </c>
      <c r="G2137" s="9">
        <f t="shared" si="98"/>
        <v>6.9513497771585813E-3</v>
      </c>
    </row>
    <row r="2138" spans="1:7" x14ac:dyDescent="0.2">
      <c r="A2138" s="11">
        <v>38183</v>
      </c>
      <c r="B2138" s="10">
        <v>170.26429999999999</v>
      </c>
      <c r="E2138" s="13">
        <f t="shared" si="99"/>
        <v>3.0493226479056017E-3</v>
      </c>
      <c r="F2138" s="9">
        <f t="shared" si="97"/>
        <v>4.332140601946613E-2</v>
      </c>
      <c r="G2138" s="9">
        <f t="shared" si="98"/>
        <v>6.9422686196766422E-3</v>
      </c>
    </row>
    <row r="2139" spans="1:7" x14ac:dyDescent="0.2">
      <c r="A2139" s="11">
        <v>38184</v>
      </c>
      <c r="B2139" s="10">
        <v>169.85140000000001</v>
      </c>
      <c r="E2139" s="13">
        <f t="shared" si="99"/>
        <v>-2.4279984890033298E-3</v>
      </c>
      <c r="F2139" s="9">
        <f t="shared" si="97"/>
        <v>3.1456683005646927E-2</v>
      </c>
      <c r="G2139" s="9">
        <f t="shared" si="98"/>
        <v>6.8057220299451568E-3</v>
      </c>
    </row>
    <row r="2140" spans="1:7" x14ac:dyDescent="0.2">
      <c r="A2140" s="11">
        <v>38187</v>
      </c>
      <c r="B2140" s="10">
        <v>167.7739</v>
      </c>
      <c r="E2140" s="13">
        <f t="shared" si="99"/>
        <v>-1.2306697516724755E-2</v>
      </c>
      <c r="F2140" s="9">
        <f t="shared" si="97"/>
        <v>1.1289307477776112E-2</v>
      </c>
      <c r="G2140" s="9">
        <f t="shared" si="98"/>
        <v>7.1120900977839577E-3</v>
      </c>
    </row>
    <row r="2141" spans="1:7" x14ac:dyDescent="0.2">
      <c r="A2141" s="11">
        <v>38188</v>
      </c>
      <c r="B2141" s="10">
        <v>167.7663</v>
      </c>
      <c r="E2141" s="13">
        <f t="shared" si="99"/>
        <v>-4.5300086256739215E-5</v>
      </c>
      <c r="F2141" s="9">
        <f t="shared" si="97"/>
        <v>1.3246124825106866E-2</v>
      </c>
      <c r="G2141" s="9">
        <f t="shared" si="98"/>
        <v>7.0978596608144463E-3</v>
      </c>
    </row>
    <row r="2142" spans="1:7" x14ac:dyDescent="0.2">
      <c r="A2142" s="11">
        <v>38189</v>
      </c>
      <c r="B2142" s="10">
        <v>169.25569999999999</v>
      </c>
      <c r="E2142" s="13">
        <f t="shared" si="99"/>
        <v>8.838649679818178E-3</v>
      </c>
      <c r="F2142" s="9">
        <f t="shared" si="97"/>
        <v>2.224424727860946E-2</v>
      </c>
      <c r="G2142" s="9">
        <f t="shared" si="98"/>
        <v>7.2646735015300633E-3</v>
      </c>
    </row>
    <row r="2143" spans="1:7" x14ac:dyDescent="0.2">
      <c r="A2143" s="11">
        <v>38190</v>
      </c>
      <c r="B2143" s="10">
        <v>167.72300000000001</v>
      </c>
      <c r="E2143" s="13">
        <f t="shared" si="99"/>
        <v>-9.0967801193906558E-3</v>
      </c>
      <c r="F2143" s="9">
        <f t="shared" si="97"/>
        <v>8.8289491405215987E-3</v>
      </c>
      <c r="G2143" s="9">
        <f t="shared" si="98"/>
        <v>7.4550788836718861E-3</v>
      </c>
    </row>
    <row r="2144" spans="1:7" x14ac:dyDescent="0.2">
      <c r="A2144" s="11">
        <v>38191</v>
      </c>
      <c r="B2144" s="10">
        <v>168.4092</v>
      </c>
      <c r="E2144" s="13">
        <f t="shared" si="99"/>
        <v>4.0829230479008148E-3</v>
      </c>
      <c r="F2144" s="9">
        <f t="shared" ref="F2144:F2207" si="100">LN(B2144/B2115)</f>
        <v>2.0413077155085453E-2</v>
      </c>
      <c r="G2144" s="9">
        <f t="shared" si="98"/>
        <v>7.3312223964242919E-3</v>
      </c>
    </row>
    <row r="2145" spans="1:7" x14ac:dyDescent="0.2">
      <c r="A2145" s="11">
        <v>38194</v>
      </c>
      <c r="B2145" s="10">
        <v>167.6815</v>
      </c>
      <c r="E2145" s="13">
        <f t="shared" si="99"/>
        <v>-4.33038544158837E-3</v>
      </c>
      <c r="F2145" s="9">
        <f t="shared" si="100"/>
        <v>1.4381779841343032E-2</v>
      </c>
      <c r="G2145" s="9">
        <f t="shared" ref="G2145:G2208" si="101">STDEV(E2117:E2145)</f>
        <v>7.3872637384400121E-3</v>
      </c>
    </row>
    <row r="2146" spans="1:7" x14ac:dyDescent="0.2">
      <c r="A2146" s="11">
        <v>38195</v>
      </c>
      <c r="B2146" s="10">
        <v>168.13399999999999</v>
      </c>
      <c r="E2146" s="13">
        <f t="shared" si="99"/>
        <v>2.6949338184990173E-3</v>
      </c>
      <c r="F2146" s="9">
        <f t="shared" si="100"/>
        <v>1.0550663276129751E-2</v>
      </c>
      <c r="G2146" s="9">
        <f t="shared" si="101"/>
        <v>7.3094208578391344E-3</v>
      </c>
    </row>
    <row r="2147" spans="1:7" x14ac:dyDescent="0.2">
      <c r="A2147" s="11">
        <v>38196</v>
      </c>
      <c r="B2147" s="10">
        <v>169.46680000000001</v>
      </c>
      <c r="E2147" s="13">
        <f t="shared" si="99"/>
        <v>7.8957569070896086E-3</v>
      </c>
      <c r="F2147" s="9">
        <f t="shared" si="100"/>
        <v>7.4925884015758512E-3</v>
      </c>
      <c r="G2147" s="9">
        <f t="shared" si="101"/>
        <v>7.1719517032812945E-3</v>
      </c>
    </row>
    <row r="2148" spans="1:7" x14ac:dyDescent="0.2">
      <c r="A2148" s="11">
        <v>38197</v>
      </c>
      <c r="B2148" s="10">
        <v>171.24090000000001</v>
      </c>
      <c r="E2148" s="13">
        <f t="shared" si="99"/>
        <v>1.0414299615352127E-2</v>
      </c>
      <c r="F2148" s="9">
        <f t="shared" si="100"/>
        <v>2.9106636909413115E-3</v>
      </c>
      <c r="G2148" s="9">
        <f t="shared" si="101"/>
        <v>6.8802188862150419E-3</v>
      </c>
    </row>
    <row r="2149" spans="1:7" x14ac:dyDescent="0.2">
      <c r="A2149" s="11">
        <v>38198</v>
      </c>
      <c r="B2149" s="10">
        <v>170.73750000000001</v>
      </c>
      <c r="E2149" s="13">
        <f t="shared" si="99"/>
        <v>-2.9440477152831131E-3</v>
      </c>
      <c r="F2149" s="9">
        <f t="shared" si="100"/>
        <v>4.5594671035972204E-3</v>
      </c>
      <c r="G2149" s="9">
        <f t="shared" si="101"/>
        <v>6.8467822286811478E-3</v>
      </c>
    </row>
    <row r="2150" spans="1:7" x14ac:dyDescent="0.2">
      <c r="A2150" s="11">
        <v>38201</v>
      </c>
      <c r="B2150" s="10">
        <v>171.91390000000001</v>
      </c>
      <c r="E2150" s="13">
        <f t="shared" si="99"/>
        <v>6.8664807563994998E-3</v>
      </c>
      <c r="F2150" s="9">
        <f t="shared" si="100"/>
        <v>1.6039990636931945E-2</v>
      </c>
      <c r="G2150" s="9">
        <f t="shared" si="101"/>
        <v>6.8928021572870505E-3</v>
      </c>
    </row>
    <row r="2151" spans="1:7" x14ac:dyDescent="0.2">
      <c r="A2151" s="11">
        <v>38202</v>
      </c>
      <c r="B2151" s="10">
        <v>173.00919999999999</v>
      </c>
      <c r="E2151" s="13">
        <f t="shared" si="99"/>
        <v>6.3510021891575261E-3</v>
      </c>
      <c r="F2151" s="9">
        <f t="shared" si="100"/>
        <v>1.1970731361712143E-2</v>
      </c>
      <c r="G2151" s="9">
        <f t="shared" si="101"/>
        <v>6.7241144625141587E-3</v>
      </c>
    </row>
    <row r="2152" spans="1:7" x14ac:dyDescent="0.2">
      <c r="A2152" s="11">
        <v>38203</v>
      </c>
      <c r="B2152" s="10">
        <v>172.07409999999999</v>
      </c>
      <c r="E2152" s="13">
        <f t="shared" si="99"/>
        <v>-5.4195742813127412E-3</v>
      </c>
      <c r="F2152" s="9">
        <f t="shared" si="100"/>
        <v>1.6389631560577845E-4</v>
      </c>
      <c r="G2152" s="9">
        <f t="shared" si="101"/>
        <v>6.7068704433716842E-3</v>
      </c>
    </row>
    <row r="2153" spans="1:7" x14ac:dyDescent="0.2">
      <c r="A2153" s="11">
        <v>38204</v>
      </c>
      <c r="B2153" s="10">
        <v>170.0343</v>
      </c>
      <c r="E2153" s="13">
        <f t="shared" si="99"/>
        <v>-1.1925016588871233E-2</v>
      </c>
      <c r="F2153" s="9">
        <f t="shared" si="100"/>
        <v>-1.8673117060218826E-2</v>
      </c>
      <c r="G2153" s="9">
        <f t="shared" si="101"/>
        <v>6.922805811009766E-3</v>
      </c>
    </row>
    <row r="2154" spans="1:7" x14ac:dyDescent="0.2">
      <c r="A2154" s="11">
        <v>38205</v>
      </c>
      <c r="B2154" s="10">
        <v>166.00739999999999</v>
      </c>
      <c r="E2154" s="13">
        <f t="shared" si="99"/>
        <v>-2.3967815728170663E-2</v>
      </c>
      <c r="F2154" s="9">
        <f t="shared" si="100"/>
        <v>-3.8344001012211928E-2</v>
      </c>
      <c r="G2154" s="9">
        <f t="shared" si="101"/>
        <v>8.1486725990606908E-3</v>
      </c>
    </row>
    <row r="2155" spans="1:7" x14ac:dyDescent="0.2">
      <c r="A2155" s="11">
        <v>38208</v>
      </c>
      <c r="B2155" s="10">
        <v>164.60669999999999</v>
      </c>
      <c r="E2155" s="13">
        <f t="shared" si="99"/>
        <v>-8.4733735228981373E-3</v>
      </c>
      <c r="F2155" s="9">
        <f t="shared" si="100"/>
        <v>-4.8837404086181167E-2</v>
      </c>
      <c r="G2155" s="9">
        <f t="shared" si="101"/>
        <v>8.2275580344923441E-3</v>
      </c>
    </row>
    <row r="2156" spans="1:7" x14ac:dyDescent="0.2">
      <c r="A2156" s="11">
        <v>38209</v>
      </c>
      <c r="B2156" s="10">
        <v>166.24870000000001</v>
      </c>
      <c r="E2156" s="13">
        <f t="shared" si="99"/>
        <v>9.9258678032040342E-3</v>
      </c>
      <c r="F2156" s="9">
        <f t="shared" si="100"/>
        <v>-3.9478356931812245E-2</v>
      </c>
      <c r="G2156" s="9">
        <f t="shared" si="101"/>
        <v>8.4981074602102063E-3</v>
      </c>
    </row>
    <row r="2157" spans="1:7" x14ac:dyDescent="0.2">
      <c r="A2157" s="11">
        <v>38210</v>
      </c>
      <c r="B2157" s="10">
        <v>164.256</v>
      </c>
      <c r="E2157" s="13">
        <f t="shared" si="99"/>
        <v>-1.205867357862595E-2</v>
      </c>
      <c r="F2157" s="9">
        <f t="shared" si="100"/>
        <v>-5.9668984905197314E-2</v>
      </c>
      <c r="G2157" s="9">
        <f t="shared" si="101"/>
        <v>8.519626432583631E-3</v>
      </c>
    </row>
    <row r="2158" spans="1:7" x14ac:dyDescent="0.2">
      <c r="A2158" s="11">
        <v>38211</v>
      </c>
      <c r="B2158" s="10">
        <v>165.78309999999999</v>
      </c>
      <c r="E2158" s="13">
        <f t="shared" si="99"/>
        <v>9.2541210918944145E-3</v>
      </c>
      <c r="F2158" s="9">
        <f t="shared" si="100"/>
        <v>-3.7705051460089851E-2</v>
      </c>
      <c r="G2158" s="9">
        <f t="shared" si="101"/>
        <v>8.5151152403621089E-3</v>
      </c>
    </row>
    <row r="2159" spans="1:7" x14ac:dyDescent="0.2">
      <c r="A2159" s="11">
        <v>38212</v>
      </c>
      <c r="B2159" s="10">
        <v>167.28</v>
      </c>
      <c r="E2159" s="13">
        <f t="shared" si="99"/>
        <v>8.9887476505908538E-3</v>
      </c>
      <c r="F2159" s="9">
        <f t="shared" si="100"/>
        <v>-3.1974361068185859E-2</v>
      </c>
      <c r="G2159" s="9">
        <f t="shared" si="101"/>
        <v>8.6893885377153125E-3</v>
      </c>
    </row>
    <row r="2160" spans="1:7" x14ac:dyDescent="0.2">
      <c r="A2160" s="11">
        <v>38215</v>
      </c>
      <c r="B2160" s="10">
        <v>167.7381</v>
      </c>
      <c r="E2160" s="13">
        <f t="shared" si="99"/>
        <v>2.7347793179620171E-3</v>
      </c>
      <c r="F2160" s="9">
        <f t="shared" si="100"/>
        <v>-3.1071558196428071E-2</v>
      </c>
      <c r="G2160" s="9">
        <f t="shared" si="101"/>
        <v>8.7018857143784708E-3</v>
      </c>
    </row>
    <row r="2161" spans="1:7" x14ac:dyDescent="0.2">
      <c r="A2161" s="11">
        <v>38216</v>
      </c>
      <c r="B2161" s="10">
        <v>169.44990000000001</v>
      </c>
      <c r="E2161" s="13">
        <f t="shared" si="99"/>
        <v>1.0153473469960655E-2</v>
      </c>
      <c r="F2161" s="9">
        <f t="shared" si="100"/>
        <v>-7.1944808098431193E-3</v>
      </c>
      <c r="G2161" s="9">
        <f t="shared" si="101"/>
        <v>8.5909021355168574E-3</v>
      </c>
    </row>
    <row r="2162" spans="1:7" x14ac:dyDescent="0.2">
      <c r="A2162" s="11">
        <v>38217</v>
      </c>
      <c r="B2162" s="10">
        <v>168.74289999999999</v>
      </c>
      <c r="E2162" s="13">
        <f t="shared" si="99"/>
        <v>-4.1810531148745184E-3</v>
      </c>
      <c r="F2162" s="9">
        <f t="shared" si="100"/>
        <v>-1.2247580099448969E-2</v>
      </c>
      <c r="G2162" s="9">
        <f t="shared" si="101"/>
        <v>8.6185718252597722E-3</v>
      </c>
    </row>
    <row r="2163" spans="1:7" x14ac:dyDescent="0.2">
      <c r="A2163" s="11">
        <v>38218</v>
      </c>
      <c r="B2163" s="10">
        <v>169.76660000000001</v>
      </c>
      <c r="E2163" s="13">
        <f t="shared" si="99"/>
        <v>6.0482977330888052E-3</v>
      </c>
      <c r="F2163" s="9">
        <f t="shared" si="100"/>
        <v>-7.5892350357473666E-3</v>
      </c>
      <c r="G2163" s="9">
        <f t="shared" si="101"/>
        <v>8.6966131022499695E-3</v>
      </c>
    </row>
    <row r="2164" spans="1:7" x14ac:dyDescent="0.2">
      <c r="A2164" s="11">
        <v>38219</v>
      </c>
      <c r="B2164" s="10">
        <v>169.96449999999999</v>
      </c>
      <c r="E2164" s="13">
        <f t="shared" si="99"/>
        <v>1.1650391876656917E-3</v>
      </c>
      <c r="F2164" s="9">
        <f t="shared" si="100"/>
        <v>-6.707058063286669E-5</v>
      </c>
      <c r="G2164" s="9">
        <f t="shared" si="101"/>
        <v>8.6201599876136164E-3</v>
      </c>
    </row>
    <row r="2165" spans="1:7" x14ac:dyDescent="0.2">
      <c r="A2165" s="11">
        <v>38222</v>
      </c>
      <c r="B2165" s="10">
        <v>171.37799999999999</v>
      </c>
      <c r="E2165" s="13">
        <f t="shared" si="99"/>
        <v>8.2820514855380164E-3</v>
      </c>
      <c r="F2165" s="9">
        <f t="shared" si="100"/>
        <v>3.9763157597077475E-3</v>
      </c>
      <c r="G2165" s="9">
        <f t="shared" si="101"/>
        <v>8.7232887592345459E-3</v>
      </c>
    </row>
    <row r="2166" spans="1:7" x14ac:dyDescent="0.2">
      <c r="A2166" s="11">
        <v>38223</v>
      </c>
      <c r="B2166" s="10">
        <v>171.41739999999999</v>
      </c>
      <c r="E2166" s="13">
        <f t="shared" si="99"/>
        <v>2.2987473095315816E-4</v>
      </c>
      <c r="F2166" s="9">
        <f t="shared" si="100"/>
        <v>9.7989049499802219E-3</v>
      </c>
      <c r="G2166" s="9">
        <f t="shared" si="101"/>
        <v>8.65342641250289E-3</v>
      </c>
    </row>
    <row r="2167" spans="1:7" x14ac:dyDescent="0.2">
      <c r="A2167" s="11">
        <v>38224</v>
      </c>
      <c r="B2167" s="10">
        <v>171.54490000000001</v>
      </c>
      <c r="C2167" s="10">
        <v>172.0771</v>
      </c>
      <c r="D2167" s="10">
        <v>170.53970000000001</v>
      </c>
      <c r="E2167" s="13">
        <f t="shared" si="99"/>
        <v>7.4352198987344116E-4</v>
      </c>
      <c r="F2167" s="9">
        <f t="shared" si="100"/>
        <v>7.4931042919481978E-3</v>
      </c>
      <c r="G2167" s="9">
        <f t="shared" si="101"/>
        <v>8.6382030069363236E-3</v>
      </c>
    </row>
    <row r="2168" spans="1:7" x14ac:dyDescent="0.2">
      <c r="A2168" s="11">
        <v>38225</v>
      </c>
      <c r="B2168" s="10">
        <v>172.47489999999999</v>
      </c>
      <c r="C2168" s="10">
        <v>173.00749999999999</v>
      </c>
      <c r="D2168" s="10">
        <v>171.54490000000001</v>
      </c>
      <c r="E2168" s="13">
        <f t="shared" si="99"/>
        <v>5.4066787172855815E-3</v>
      </c>
      <c r="F2168" s="9">
        <f t="shared" si="100"/>
        <v>1.5327781498237053E-2</v>
      </c>
      <c r="G2168" s="9">
        <f t="shared" si="101"/>
        <v>8.6736281574808678E-3</v>
      </c>
    </row>
    <row r="2169" spans="1:7" x14ac:dyDescent="0.2">
      <c r="A2169" s="11">
        <v>38226</v>
      </c>
      <c r="B2169" s="10">
        <v>172.65129999999999</v>
      </c>
      <c r="C2169" s="10">
        <v>173.4853</v>
      </c>
      <c r="D2169" s="10">
        <v>172.3879</v>
      </c>
      <c r="E2169" s="13">
        <f t="shared" si="99"/>
        <v>1.0222348541546729E-3</v>
      </c>
      <c r="F2169" s="9">
        <f t="shared" si="100"/>
        <v>2.8656713869116432E-2</v>
      </c>
      <c r="G2169" s="9">
        <f t="shared" si="101"/>
        <v>8.3149288941346197E-3</v>
      </c>
    </row>
    <row r="2170" spans="1:7" x14ac:dyDescent="0.2">
      <c r="A2170" s="11">
        <v>38229</v>
      </c>
      <c r="B2170" s="10">
        <v>173.209</v>
      </c>
      <c r="C2170" s="10">
        <v>173.5943</v>
      </c>
      <c r="D2170" s="10">
        <v>172.19880000000001</v>
      </c>
      <c r="E2170" s="13">
        <f t="shared" si="99"/>
        <v>3.2250043348154684E-3</v>
      </c>
      <c r="F2170" s="9">
        <f t="shared" si="100"/>
        <v>3.1927018290188583E-2</v>
      </c>
      <c r="G2170" s="9">
        <f t="shared" si="101"/>
        <v>8.3225850577753665E-3</v>
      </c>
    </row>
    <row r="2171" spans="1:7" x14ac:dyDescent="0.2">
      <c r="A2171" s="11">
        <v>38230</v>
      </c>
      <c r="B2171" s="10">
        <v>171.9212</v>
      </c>
      <c r="C2171" s="10">
        <v>173.209</v>
      </c>
      <c r="D2171" s="10">
        <v>171.88589999999999</v>
      </c>
      <c r="E2171" s="13">
        <f t="shared" si="99"/>
        <v>-7.4627255262128779E-3</v>
      </c>
      <c r="F2171" s="9">
        <f t="shared" si="100"/>
        <v>1.5625643084157398E-2</v>
      </c>
      <c r="G2171" s="9">
        <f t="shared" si="101"/>
        <v>8.331807580253944E-3</v>
      </c>
    </row>
    <row r="2172" spans="1:7" x14ac:dyDescent="0.2">
      <c r="A2172" s="11">
        <v>38231</v>
      </c>
      <c r="B2172" s="10">
        <v>172.86</v>
      </c>
      <c r="C2172" s="10">
        <v>173.26</v>
      </c>
      <c r="D2172" s="10">
        <v>171.92</v>
      </c>
      <c r="E2172" s="13">
        <f t="shared" si="99"/>
        <v>5.4457860239037845E-3</v>
      </c>
      <c r="F2172" s="9">
        <f t="shared" si="100"/>
        <v>3.016820922745193E-2</v>
      </c>
      <c r="G2172" s="9">
        <f t="shared" si="101"/>
        <v>8.1671675587542038E-3</v>
      </c>
    </row>
    <row r="2173" spans="1:7" x14ac:dyDescent="0.2">
      <c r="A2173" s="11">
        <v>38232</v>
      </c>
      <c r="B2173" s="10">
        <v>175.26390000000001</v>
      </c>
      <c r="C2173" s="10">
        <v>176.0607</v>
      </c>
      <c r="D2173" s="10">
        <v>172.86089999999999</v>
      </c>
      <c r="E2173" s="13">
        <f t="shared" si="99"/>
        <v>1.3810819708826812E-2</v>
      </c>
      <c r="F2173" s="9">
        <f t="shared" si="100"/>
        <v>3.9896105888378129E-2</v>
      </c>
      <c r="G2173" s="9">
        <f t="shared" si="101"/>
        <v>8.4899926436435048E-3</v>
      </c>
    </row>
    <row r="2174" spans="1:7" x14ac:dyDescent="0.2">
      <c r="A2174" s="11">
        <v>38233</v>
      </c>
      <c r="B2174" s="10">
        <v>176.1771</v>
      </c>
      <c r="C2174" s="10">
        <v>176.42080000000001</v>
      </c>
      <c r="D2174" s="10">
        <v>175.0515</v>
      </c>
      <c r="E2174" s="13">
        <f t="shared" si="99"/>
        <v>5.1969010746678946E-3</v>
      </c>
      <c r="F2174" s="9">
        <f t="shared" si="100"/>
        <v>4.9423392404634225E-2</v>
      </c>
      <c r="G2174" s="9">
        <f t="shared" si="101"/>
        <v>8.445520722246011E-3</v>
      </c>
    </row>
    <row r="2175" spans="1:7" x14ac:dyDescent="0.2">
      <c r="A2175" s="11">
        <v>38236</v>
      </c>
      <c r="B2175" s="10">
        <v>176.14930000000001</v>
      </c>
      <c r="C2175" s="10">
        <v>177.16329999999999</v>
      </c>
      <c r="D2175" s="10">
        <v>176.12219999999999</v>
      </c>
      <c r="E2175" s="13">
        <f t="shared" si="99"/>
        <v>-1.5780821452873438E-4</v>
      </c>
      <c r="F2175" s="9">
        <f t="shared" si="100"/>
        <v>4.657065037160641E-2</v>
      </c>
      <c r="G2175" s="9">
        <f t="shared" si="101"/>
        <v>8.4501821124124948E-3</v>
      </c>
    </row>
    <row r="2176" spans="1:7" x14ac:dyDescent="0.2">
      <c r="A2176" s="11">
        <v>38237</v>
      </c>
      <c r="B2176" s="10">
        <v>175.39349999999999</v>
      </c>
      <c r="C2176" s="10">
        <v>176.14930000000001</v>
      </c>
      <c r="D2176" s="10">
        <v>174.88759999999999</v>
      </c>
      <c r="E2176" s="13">
        <f t="shared" si="99"/>
        <v>-4.2999097948394028E-3</v>
      </c>
      <c r="F2176" s="9">
        <f t="shared" si="100"/>
        <v>3.4374983669677589E-2</v>
      </c>
      <c r="G2176" s="9">
        <f t="shared" si="101"/>
        <v>8.4294198225967811E-3</v>
      </c>
    </row>
    <row r="2177" spans="1:7" x14ac:dyDescent="0.2">
      <c r="A2177" s="11">
        <v>38238</v>
      </c>
      <c r="B2177" s="10">
        <v>174.48869999999999</v>
      </c>
      <c r="C2177" s="10">
        <v>175.5934</v>
      </c>
      <c r="D2177" s="10">
        <v>174.48869999999999</v>
      </c>
      <c r="E2177" s="13">
        <f t="shared" si="99"/>
        <v>-5.1720379999174882E-3</v>
      </c>
      <c r="F2177" s="9">
        <f t="shared" si="100"/>
        <v>1.8788646054407887E-2</v>
      </c>
      <c r="G2177" s="9">
        <f t="shared" si="101"/>
        <v>8.3160966546177977E-3</v>
      </c>
    </row>
    <row r="2178" spans="1:7" x14ac:dyDescent="0.2">
      <c r="A2178" s="11">
        <v>38239</v>
      </c>
      <c r="B2178" s="10">
        <v>175.02690000000001</v>
      </c>
      <c r="C2178" s="10">
        <v>175.09610000000001</v>
      </c>
      <c r="D2178" s="10">
        <v>173.61170000000001</v>
      </c>
      <c r="E2178" s="13">
        <f t="shared" si="99"/>
        <v>3.079693297696905E-3</v>
      </c>
      <c r="F2178" s="9">
        <f t="shared" si="100"/>
        <v>2.481238706738784E-2</v>
      </c>
      <c r="G2178" s="9">
        <f t="shared" si="101"/>
        <v>8.2983851186179004E-3</v>
      </c>
    </row>
    <row r="2179" spans="1:7" x14ac:dyDescent="0.2">
      <c r="A2179" s="11">
        <v>38240</v>
      </c>
      <c r="B2179" s="10">
        <v>175.46860000000001</v>
      </c>
      <c r="C2179" s="10">
        <v>175.78319999999999</v>
      </c>
      <c r="D2179" s="10">
        <v>174.73910000000001</v>
      </c>
      <c r="E2179" s="13">
        <f t="shared" si="99"/>
        <v>2.5204331229814023E-3</v>
      </c>
      <c r="F2179" s="9">
        <f t="shared" si="100"/>
        <v>2.0466339433969888E-2</v>
      </c>
      <c r="G2179" s="9">
        <f t="shared" si="101"/>
        <v>8.2248732932227956E-3</v>
      </c>
    </row>
    <row r="2180" spans="1:7" x14ac:dyDescent="0.2">
      <c r="A2180" s="11">
        <v>38243</v>
      </c>
      <c r="B2180" s="10">
        <v>175.31970000000001</v>
      </c>
      <c r="C2180" s="10">
        <v>175.8545</v>
      </c>
      <c r="D2180" s="10">
        <v>175.0359</v>
      </c>
      <c r="E2180" s="13">
        <f t="shared" ref="E2180:E2243" si="102">LN(B2180/B2179)</f>
        <v>-8.4894512697709424E-4</v>
      </c>
      <c r="F2180" s="9">
        <f t="shared" si="100"/>
        <v>1.3266392117835198E-2</v>
      </c>
      <c r="G2180" s="9">
        <f t="shared" si="101"/>
        <v>8.1567666476851791E-3</v>
      </c>
    </row>
    <row r="2181" spans="1:7" x14ac:dyDescent="0.2">
      <c r="A2181" s="11">
        <v>38244</v>
      </c>
      <c r="B2181" s="10">
        <v>175.9607</v>
      </c>
      <c r="C2181" s="10">
        <v>176.0308</v>
      </c>
      <c r="D2181" s="10">
        <v>174.97640000000001</v>
      </c>
      <c r="E2181" s="13">
        <f t="shared" si="102"/>
        <v>3.6495102570620096E-3</v>
      </c>
      <c r="F2181" s="9">
        <f t="shared" si="100"/>
        <v>2.2335476656209868E-2</v>
      </c>
      <c r="G2181" s="9">
        <f t="shared" si="101"/>
        <v>8.0970299940232669E-3</v>
      </c>
    </row>
    <row r="2182" spans="1:7" x14ac:dyDescent="0.2">
      <c r="A2182" s="11">
        <v>38245</v>
      </c>
      <c r="B2182" s="10">
        <v>176.95330000000001</v>
      </c>
      <c r="C2182" s="10">
        <v>177.89240000000001</v>
      </c>
      <c r="D2182" s="10">
        <v>175.9607</v>
      </c>
      <c r="E2182" s="13">
        <f t="shared" si="102"/>
        <v>5.6251813040819644E-3</v>
      </c>
      <c r="F2182" s="9">
        <f t="shared" si="100"/>
        <v>3.9885674549163058E-2</v>
      </c>
      <c r="G2182" s="9">
        <f t="shared" si="101"/>
        <v>7.7632714649531129E-3</v>
      </c>
    </row>
    <row r="2183" spans="1:7" x14ac:dyDescent="0.2">
      <c r="A2183" s="11">
        <v>38246</v>
      </c>
      <c r="B2183" s="10">
        <v>179.12100000000001</v>
      </c>
      <c r="C2183" s="10">
        <v>179.12100000000001</v>
      </c>
      <c r="D2183" s="10">
        <v>176.95330000000001</v>
      </c>
      <c r="E2183" s="13">
        <f t="shared" si="102"/>
        <v>1.2175699170855446E-2</v>
      </c>
      <c r="F2183" s="9">
        <f t="shared" si="100"/>
        <v>7.6029189448189011E-2</v>
      </c>
      <c r="G2183" s="9">
        <f t="shared" si="101"/>
        <v>6.3156219431193192E-3</v>
      </c>
    </row>
    <row r="2184" spans="1:7" x14ac:dyDescent="0.2">
      <c r="A2184" s="11">
        <v>38247</v>
      </c>
      <c r="B2184" s="10">
        <v>180.80760000000001</v>
      </c>
      <c r="C2184" s="10">
        <v>181.44720000000001</v>
      </c>
      <c r="D2184" s="10">
        <v>179.12100000000001</v>
      </c>
      <c r="E2184" s="13">
        <f t="shared" si="102"/>
        <v>9.3719273484417828E-3</v>
      </c>
      <c r="F2184" s="9">
        <f t="shared" si="100"/>
        <v>9.3874490319529158E-2</v>
      </c>
      <c r="G2184" s="9">
        <f t="shared" si="101"/>
        <v>6.0601806458790734E-3</v>
      </c>
    </row>
    <row r="2185" spans="1:7" x14ac:dyDescent="0.2">
      <c r="A2185" s="11">
        <v>38250</v>
      </c>
      <c r="B2185" s="10">
        <v>179.82050000000001</v>
      </c>
      <c r="C2185" s="10">
        <v>181.52959999999999</v>
      </c>
      <c r="D2185" s="10">
        <v>179.5761</v>
      </c>
      <c r="E2185" s="13">
        <f t="shared" si="102"/>
        <v>-5.4743513617463513E-3</v>
      </c>
      <c r="F2185" s="9">
        <f t="shared" si="100"/>
        <v>7.8474271154578723E-2</v>
      </c>
      <c r="G2185" s="9">
        <f t="shared" si="101"/>
        <v>6.1274913708586438E-3</v>
      </c>
    </row>
    <row r="2186" spans="1:7" x14ac:dyDescent="0.2">
      <c r="A2186" s="11">
        <v>38251</v>
      </c>
      <c r="B2186" s="10">
        <v>181.226</v>
      </c>
      <c r="C2186" s="10">
        <v>181.3218</v>
      </c>
      <c r="D2186" s="10">
        <v>179.7175</v>
      </c>
      <c r="E2186" s="13">
        <f t="shared" si="102"/>
        <v>7.7857400631031817E-3</v>
      </c>
      <c r="F2186" s="9">
        <f t="shared" si="100"/>
        <v>9.8318684796307829E-2</v>
      </c>
      <c r="G2186" s="9">
        <f t="shared" si="101"/>
        <v>5.4951949134290478E-3</v>
      </c>
    </row>
    <row r="2187" spans="1:7" x14ac:dyDescent="0.2">
      <c r="A2187" s="11">
        <v>38252</v>
      </c>
      <c r="B2187" s="10">
        <v>180.98070000000001</v>
      </c>
      <c r="C2187" s="10">
        <v>182.9023</v>
      </c>
      <c r="D2187" s="10">
        <v>180.8563</v>
      </c>
      <c r="E2187" s="13">
        <f t="shared" si="102"/>
        <v>-1.3544754279937316E-3</v>
      </c>
      <c r="F2187" s="9">
        <f t="shared" si="100"/>
        <v>8.7710088276419573E-2</v>
      </c>
      <c r="G2187" s="9">
        <f t="shared" si="101"/>
        <v>5.4437657498728345E-3</v>
      </c>
    </row>
    <row r="2188" spans="1:7" x14ac:dyDescent="0.2">
      <c r="A2188" s="11">
        <v>38253</v>
      </c>
      <c r="B2188" s="10">
        <v>181.6421</v>
      </c>
      <c r="C2188" s="10">
        <v>181.97989999999999</v>
      </c>
      <c r="D2188" s="10">
        <v>180.8116</v>
      </c>
      <c r="E2188" s="13">
        <f t="shared" si="102"/>
        <v>3.6478717468155153E-3</v>
      </c>
      <c r="F2188" s="9">
        <f t="shared" si="100"/>
        <v>8.2369212372644149E-2</v>
      </c>
      <c r="G2188" s="9">
        <f t="shared" si="101"/>
        <v>5.3238042473595605E-3</v>
      </c>
    </row>
    <row r="2189" spans="1:7" x14ac:dyDescent="0.2">
      <c r="A2189" s="11">
        <v>38254</v>
      </c>
      <c r="B2189" s="10">
        <v>183.10659999999999</v>
      </c>
      <c r="C2189" s="10">
        <v>183.1275</v>
      </c>
      <c r="D2189" s="10">
        <v>181.6421</v>
      </c>
      <c r="E2189" s="13">
        <f t="shared" si="102"/>
        <v>8.0302294143760056E-3</v>
      </c>
      <c r="F2189" s="9">
        <f t="shared" si="100"/>
        <v>8.7664662469057908E-2</v>
      </c>
      <c r="G2189" s="9">
        <f t="shared" si="101"/>
        <v>5.4101691743222062E-3</v>
      </c>
    </row>
    <row r="2190" spans="1:7" x14ac:dyDescent="0.2">
      <c r="A2190" s="11">
        <v>38257</v>
      </c>
      <c r="B2190" s="10">
        <v>184.20529999999999</v>
      </c>
      <c r="C2190" s="10">
        <v>184.20529999999999</v>
      </c>
      <c r="D2190" s="10">
        <v>183.10659999999999</v>
      </c>
      <c r="E2190" s="13">
        <f t="shared" si="102"/>
        <v>5.9823995726185032E-3</v>
      </c>
      <c r="F2190" s="9">
        <f t="shared" si="100"/>
        <v>8.3493588571715766E-2</v>
      </c>
      <c r="G2190" s="9">
        <f t="shared" si="101"/>
        <v>5.2673924466768293E-3</v>
      </c>
    </row>
    <row r="2191" spans="1:7" x14ac:dyDescent="0.2">
      <c r="A2191" s="11">
        <v>38258</v>
      </c>
      <c r="B2191" s="10">
        <v>184.87379999999999</v>
      </c>
      <c r="C2191" s="10">
        <v>185.4699</v>
      </c>
      <c r="D2191" s="10">
        <v>184.16550000000001</v>
      </c>
      <c r="E2191" s="13">
        <f t="shared" si="102"/>
        <v>3.6225336576705329E-3</v>
      </c>
      <c r="F2191" s="9">
        <f t="shared" si="100"/>
        <v>9.1297175344260698E-2</v>
      </c>
      <c r="G2191" s="9">
        <f t="shared" si="101"/>
        <v>5.0901834359737413E-3</v>
      </c>
    </row>
    <row r="2192" spans="1:7" x14ac:dyDescent="0.2">
      <c r="A2192" s="11">
        <v>38259</v>
      </c>
      <c r="B2192" s="10">
        <v>185.04750000000001</v>
      </c>
      <c r="C2192" s="10">
        <v>186.5763</v>
      </c>
      <c r="D2192" s="10">
        <v>184.7124</v>
      </c>
      <c r="E2192" s="13">
        <f t="shared" si="102"/>
        <v>9.3911874101964079E-4</v>
      </c>
      <c r="F2192" s="9">
        <f t="shared" si="100"/>
        <v>8.6187996352191459E-2</v>
      </c>
      <c r="G2192" s="9">
        <f t="shared" si="101"/>
        <v>5.0746154416137033E-3</v>
      </c>
    </row>
    <row r="2193" spans="1:7" x14ac:dyDescent="0.2">
      <c r="A2193" s="11">
        <v>38260</v>
      </c>
      <c r="B2193" s="10">
        <v>185.28030000000001</v>
      </c>
      <c r="C2193" s="10">
        <v>185.93719999999999</v>
      </c>
      <c r="D2193" s="10">
        <v>184.76840000000001</v>
      </c>
      <c r="E2193" s="13">
        <f t="shared" si="102"/>
        <v>1.257264675597436E-3</v>
      </c>
      <c r="F2193" s="9">
        <f t="shared" si="100"/>
        <v>8.6280221840123253E-2</v>
      </c>
      <c r="G2193" s="9">
        <f t="shared" si="101"/>
        <v>5.0734713715826973E-3</v>
      </c>
    </row>
    <row r="2194" spans="1:7" x14ac:dyDescent="0.2">
      <c r="A2194" s="11">
        <v>38261</v>
      </c>
      <c r="B2194" s="10">
        <v>188.833</v>
      </c>
      <c r="C2194" s="10">
        <v>188.833</v>
      </c>
      <c r="D2194" s="10">
        <v>185.28030000000001</v>
      </c>
      <c r="E2194" s="13">
        <f t="shared" si="102"/>
        <v>1.8993213019022927E-2</v>
      </c>
      <c r="F2194" s="9">
        <f t="shared" si="100"/>
        <v>9.6991383373608145E-2</v>
      </c>
      <c r="G2194" s="9">
        <f t="shared" si="101"/>
        <v>5.8100327418995051E-3</v>
      </c>
    </row>
    <row r="2195" spans="1:7" x14ac:dyDescent="0.2">
      <c r="A2195" s="11">
        <v>38264</v>
      </c>
      <c r="B2195" s="10">
        <v>191.874</v>
      </c>
      <c r="C2195" s="10">
        <v>191.8775</v>
      </c>
      <c r="D2195" s="10">
        <v>188.833</v>
      </c>
      <c r="E2195" s="13">
        <f t="shared" si="102"/>
        <v>1.5975880028168937E-2</v>
      </c>
      <c r="F2195" s="9">
        <f t="shared" si="100"/>
        <v>0.11273738867082393</v>
      </c>
      <c r="G2195" s="9">
        <f t="shared" si="101"/>
        <v>6.2291991680708449E-3</v>
      </c>
    </row>
    <row r="2196" spans="1:7" x14ac:dyDescent="0.2">
      <c r="A2196" s="11">
        <v>38265</v>
      </c>
      <c r="B2196" s="10">
        <v>191.6335</v>
      </c>
      <c r="C2196" s="10">
        <v>192.62209999999999</v>
      </c>
      <c r="D2196" s="10">
        <v>190.84690000000001</v>
      </c>
      <c r="E2196" s="13">
        <f t="shared" si="102"/>
        <v>-1.2542129242664093E-3</v>
      </c>
      <c r="F2196" s="9">
        <f t="shared" si="100"/>
        <v>0.11073965375668413</v>
      </c>
      <c r="G2196" s="9">
        <f t="shared" si="101"/>
        <v>6.276079314283982E-3</v>
      </c>
    </row>
    <row r="2197" spans="1:7" x14ac:dyDescent="0.2">
      <c r="A2197" s="11">
        <v>38266</v>
      </c>
      <c r="B2197" s="10">
        <v>191.3158</v>
      </c>
      <c r="C2197" s="10">
        <v>191.7978</v>
      </c>
      <c r="D2197" s="10">
        <v>189.96539999999999</v>
      </c>
      <c r="E2197" s="13">
        <f t="shared" si="102"/>
        <v>-1.6592278554193214E-3</v>
      </c>
      <c r="F2197" s="9">
        <f t="shared" si="100"/>
        <v>0.10367374718397937</v>
      </c>
      <c r="G2197" s="9">
        <f t="shared" si="101"/>
        <v>6.3489591649637965E-3</v>
      </c>
    </row>
    <row r="2198" spans="1:7" x14ac:dyDescent="0.2">
      <c r="A2198" s="11">
        <v>38267</v>
      </c>
      <c r="B2198" s="10">
        <v>192.9546</v>
      </c>
      <c r="C2198" s="10">
        <v>193.5574</v>
      </c>
      <c r="D2198" s="10">
        <v>191.21279999999999</v>
      </c>
      <c r="E2198" s="13">
        <f t="shared" si="102"/>
        <v>8.5294622507937241E-3</v>
      </c>
      <c r="F2198" s="9">
        <f t="shared" si="100"/>
        <v>0.11118097458061833</v>
      </c>
      <c r="G2198" s="9">
        <f t="shared" si="101"/>
        <v>6.394046474901981E-3</v>
      </c>
    </row>
    <row r="2199" spans="1:7" x14ac:dyDescent="0.2">
      <c r="A2199" s="11">
        <v>38268</v>
      </c>
      <c r="B2199" s="10">
        <v>192.14670000000001</v>
      </c>
      <c r="C2199" s="10">
        <v>192.9546</v>
      </c>
      <c r="D2199" s="10">
        <v>190.71209999999999</v>
      </c>
      <c r="E2199" s="13">
        <f t="shared" si="102"/>
        <v>-4.1957852919753949E-3</v>
      </c>
      <c r="F2199" s="9">
        <f t="shared" si="100"/>
        <v>0.10376018495382773</v>
      </c>
      <c r="G2199" s="9">
        <f t="shared" si="101"/>
        <v>6.5654734151425163E-3</v>
      </c>
    </row>
    <row r="2200" spans="1:7" x14ac:dyDescent="0.2">
      <c r="A2200" s="11">
        <v>38271</v>
      </c>
      <c r="B2200" s="10">
        <v>190.6703</v>
      </c>
      <c r="C2200" s="10">
        <v>192.56739999999999</v>
      </c>
      <c r="D2200" s="10">
        <v>190.6703</v>
      </c>
      <c r="E2200" s="13">
        <f t="shared" si="102"/>
        <v>-7.7133843064469175E-3</v>
      </c>
      <c r="F2200" s="9">
        <f t="shared" si="100"/>
        <v>0.10350952617359369</v>
      </c>
      <c r="G2200" s="9">
        <f t="shared" si="101"/>
        <v>6.5806748842650023E-3</v>
      </c>
    </row>
    <row r="2201" spans="1:7" x14ac:dyDescent="0.2">
      <c r="A2201" s="11">
        <v>38272</v>
      </c>
      <c r="B2201" s="10">
        <v>188.28020000000001</v>
      </c>
      <c r="C2201" s="10">
        <v>190.6703</v>
      </c>
      <c r="D2201" s="10">
        <v>188.27369999999999</v>
      </c>
      <c r="E2201" s="13">
        <f t="shared" si="102"/>
        <v>-1.2614479694088439E-2</v>
      </c>
      <c r="F2201" s="9">
        <f t="shared" si="100"/>
        <v>8.5449260455601389E-2</v>
      </c>
      <c r="G2201" s="9">
        <f t="shared" si="101"/>
        <v>7.2202439891019873E-3</v>
      </c>
    </row>
    <row r="2202" spans="1:7" x14ac:dyDescent="0.2">
      <c r="A2202" s="11">
        <v>38273</v>
      </c>
      <c r="B2202" s="10">
        <v>187.62190000000001</v>
      </c>
      <c r="C2202" s="10">
        <v>189.75399999999999</v>
      </c>
      <c r="D2202" s="10">
        <v>186.9195</v>
      </c>
      <c r="E2202" s="13">
        <f t="shared" si="102"/>
        <v>-3.5025112814167929E-3</v>
      </c>
      <c r="F2202" s="9">
        <f t="shared" si="100"/>
        <v>6.8135929465357778E-2</v>
      </c>
      <c r="G2202" s="9">
        <f t="shared" si="101"/>
        <v>7.0023333022133996E-3</v>
      </c>
    </row>
    <row r="2203" spans="1:7" x14ac:dyDescent="0.2">
      <c r="A2203" s="11">
        <v>38274</v>
      </c>
      <c r="B2203" s="10">
        <v>185.1183</v>
      </c>
      <c r="C2203" s="10">
        <v>187.62190000000001</v>
      </c>
      <c r="D2203" s="10">
        <v>184.82650000000001</v>
      </c>
      <c r="E2203" s="13">
        <f t="shared" si="102"/>
        <v>-1.3433687327974233E-2</v>
      </c>
      <c r="F2203" s="9">
        <f t="shared" si="100"/>
        <v>4.9505341062715702E-2</v>
      </c>
      <c r="G2203" s="9">
        <f t="shared" si="101"/>
        <v>7.56388917132606E-3</v>
      </c>
    </row>
    <row r="2204" spans="1:7" x14ac:dyDescent="0.2">
      <c r="A2204" s="11">
        <v>38275</v>
      </c>
      <c r="B2204" s="10">
        <v>183.62039999999999</v>
      </c>
      <c r="C2204" s="10">
        <v>185.6258</v>
      </c>
      <c r="D2204" s="10">
        <v>183.59350000000001</v>
      </c>
      <c r="E2204" s="13">
        <f t="shared" si="102"/>
        <v>-8.1244970455836597E-3</v>
      </c>
      <c r="F2204" s="9">
        <f t="shared" si="100"/>
        <v>4.1538652231660776E-2</v>
      </c>
      <c r="G2204" s="9">
        <f t="shared" si="101"/>
        <v>7.7757436428359129E-3</v>
      </c>
    </row>
    <row r="2205" spans="1:7" x14ac:dyDescent="0.2">
      <c r="A2205" s="11">
        <v>38278</v>
      </c>
      <c r="B2205" s="10">
        <v>185.54929999999999</v>
      </c>
      <c r="C2205" s="10">
        <v>185.63399999999999</v>
      </c>
      <c r="D2205" s="10">
        <v>183.06960000000001</v>
      </c>
      <c r="E2205" s="13">
        <f t="shared" si="102"/>
        <v>1.0450031806330628E-2</v>
      </c>
      <c r="F2205" s="9">
        <f t="shared" si="100"/>
        <v>5.6288593832830837E-2</v>
      </c>
      <c r="G2205" s="9">
        <f t="shared" si="101"/>
        <v>7.8692404646281532E-3</v>
      </c>
    </row>
    <row r="2206" spans="1:7" x14ac:dyDescent="0.2">
      <c r="A2206" s="11">
        <v>38279</v>
      </c>
      <c r="B2206" s="10">
        <v>186.078</v>
      </c>
      <c r="C2206" s="10">
        <v>186.9932</v>
      </c>
      <c r="D2206" s="10">
        <v>185.54929999999999</v>
      </c>
      <c r="E2206" s="13">
        <f t="shared" si="102"/>
        <v>2.8453257157958116E-3</v>
      </c>
      <c r="F2206" s="9">
        <f t="shared" si="100"/>
        <v>6.4305957548543985E-2</v>
      </c>
      <c r="G2206" s="9">
        <f t="shared" si="101"/>
        <v>7.7503564590494685E-3</v>
      </c>
    </row>
    <row r="2207" spans="1:7" x14ac:dyDescent="0.2">
      <c r="A2207" s="11">
        <v>38280</v>
      </c>
      <c r="B2207" s="10">
        <v>183.57239999999999</v>
      </c>
      <c r="C2207" s="10">
        <v>186.078</v>
      </c>
      <c r="D2207" s="10">
        <v>182.79050000000001</v>
      </c>
      <c r="E2207" s="13">
        <f t="shared" si="102"/>
        <v>-1.35568005584463E-2</v>
      </c>
      <c r="F2207" s="9">
        <f t="shared" si="100"/>
        <v>4.7669463692400785E-2</v>
      </c>
      <c r="G2207" s="9">
        <f t="shared" si="101"/>
        <v>8.2817446053371057E-3</v>
      </c>
    </row>
    <row r="2208" spans="1:7" x14ac:dyDescent="0.2">
      <c r="A2208" s="11">
        <v>38281</v>
      </c>
      <c r="B2208" s="10">
        <v>186.54130000000001</v>
      </c>
      <c r="C2208" s="10">
        <v>186.64689999999999</v>
      </c>
      <c r="D2208" s="10">
        <v>183.57239999999999</v>
      </c>
      <c r="E2208" s="13">
        <f t="shared" si="102"/>
        <v>1.6043522200323675E-2</v>
      </c>
      <c r="F2208" s="9">
        <f t="shared" ref="F2208:F2271" si="103">LN(B2208/B2179)</f>
        <v>6.1192552769743037E-2</v>
      </c>
      <c r="G2208" s="9">
        <f t="shared" si="101"/>
        <v>8.7028780676084976E-3</v>
      </c>
    </row>
    <row r="2209" spans="1:7" x14ac:dyDescent="0.2">
      <c r="A2209" s="11">
        <v>38282</v>
      </c>
      <c r="B2209" s="10">
        <v>187.59119999999999</v>
      </c>
      <c r="C2209" s="10">
        <v>188.05930000000001</v>
      </c>
      <c r="D2209" s="10">
        <v>185.9211</v>
      </c>
      <c r="E2209" s="13">
        <f t="shared" si="102"/>
        <v>5.6124648672072853E-3</v>
      </c>
      <c r="F2209" s="9">
        <f t="shared" si="103"/>
        <v>6.7653962763927281E-2</v>
      </c>
      <c r="G2209" s="9">
        <f t="shared" ref="G2209:G2272" si="104">STDEV(E2181:E2209)</f>
        <v>8.7071266866900702E-3</v>
      </c>
    </row>
    <row r="2210" spans="1:7" x14ac:dyDescent="0.2">
      <c r="A2210" s="11">
        <v>38285</v>
      </c>
      <c r="B2210" s="10">
        <v>184.0301</v>
      </c>
      <c r="C2210" s="10">
        <v>187.59119999999999</v>
      </c>
      <c r="D2210" s="10">
        <v>183.94829999999999</v>
      </c>
      <c r="E2210" s="13">
        <f t="shared" si="102"/>
        <v>-1.9165795969709454E-2</v>
      </c>
      <c r="F2210" s="9">
        <f t="shared" si="103"/>
        <v>4.4838656537155776E-2</v>
      </c>
      <c r="G2210" s="9">
        <f t="shared" si="104"/>
        <v>9.5717295808245648E-3</v>
      </c>
    </row>
    <row r="2211" spans="1:7" x14ac:dyDescent="0.2">
      <c r="A2211" s="11">
        <v>38286</v>
      </c>
      <c r="B2211" s="10">
        <v>181.54580000000001</v>
      </c>
      <c r="C2211" s="10">
        <v>184.52330000000001</v>
      </c>
      <c r="D2211" s="10">
        <v>181.47880000000001</v>
      </c>
      <c r="E2211" s="13">
        <f t="shared" si="102"/>
        <v>-1.3591367716704545E-2</v>
      </c>
      <c r="F2211" s="9">
        <f t="shared" si="103"/>
        <v>2.5622107516369313E-2</v>
      </c>
      <c r="G2211" s="9">
        <f t="shared" si="104"/>
        <v>9.9374416556048568E-3</v>
      </c>
    </row>
    <row r="2212" spans="1:7" x14ac:dyDescent="0.2">
      <c r="A2212" s="11">
        <v>38287</v>
      </c>
      <c r="B2212" s="10">
        <v>181.17859999999999</v>
      </c>
      <c r="C2212" s="10">
        <v>182.88759999999999</v>
      </c>
      <c r="D2212" s="10">
        <v>181.1765</v>
      </c>
      <c r="E2212" s="13">
        <f t="shared" si="102"/>
        <v>-2.024678380827372E-3</v>
      </c>
      <c r="F2212" s="9">
        <f t="shared" si="103"/>
        <v>1.1421729964686704E-2</v>
      </c>
      <c r="G2212" s="9">
        <f t="shared" si="104"/>
        <v>9.7083685689741857E-3</v>
      </c>
    </row>
    <row r="2213" spans="1:7" x14ac:dyDescent="0.2">
      <c r="A2213" s="11">
        <v>38288</v>
      </c>
      <c r="B2213" s="10">
        <v>180.39949999999999</v>
      </c>
      <c r="C2213" s="10">
        <v>182.47309999999999</v>
      </c>
      <c r="D2213" s="10">
        <v>179.21170000000001</v>
      </c>
      <c r="E2213" s="13">
        <f t="shared" si="102"/>
        <v>-4.3094490830313604E-3</v>
      </c>
      <c r="F2213" s="9">
        <f t="shared" si="103"/>
        <v>-2.2596464667866286E-3</v>
      </c>
      <c r="G2213" s="9">
        <f t="shared" si="104"/>
        <v>9.5881781890236623E-3</v>
      </c>
    </row>
    <row r="2214" spans="1:7" x14ac:dyDescent="0.2">
      <c r="A2214" s="11">
        <v>38289</v>
      </c>
      <c r="B2214" s="10">
        <v>180.00630000000001</v>
      </c>
      <c r="C2214" s="10">
        <v>180.65600000000001</v>
      </c>
      <c r="D2214" s="10">
        <v>179.0831</v>
      </c>
      <c r="E2214" s="13">
        <f t="shared" si="102"/>
        <v>-2.1819857283323237E-3</v>
      </c>
      <c r="F2214" s="9">
        <f t="shared" si="103"/>
        <v>1.0327191666274671E-3</v>
      </c>
      <c r="G2214" s="9">
        <f t="shared" si="104"/>
        <v>9.5413766963450379E-3</v>
      </c>
    </row>
    <row r="2215" spans="1:7" x14ac:dyDescent="0.2">
      <c r="A2215" s="11">
        <v>38292</v>
      </c>
      <c r="B2215" s="10">
        <v>181.5857</v>
      </c>
      <c r="C2215" s="10">
        <v>181.80789999999999</v>
      </c>
      <c r="D2215" s="10">
        <v>179.79990000000001</v>
      </c>
      <c r="E2215" s="13">
        <f t="shared" si="102"/>
        <v>8.7358682955656457E-3</v>
      </c>
      <c r="F2215" s="9">
        <f t="shared" si="103"/>
        <v>1.9828473990901145E-3</v>
      </c>
      <c r="G2215" s="9">
        <f t="shared" si="104"/>
        <v>9.5705261587245797E-3</v>
      </c>
    </row>
    <row r="2216" spans="1:7" x14ac:dyDescent="0.2">
      <c r="A2216" s="11">
        <v>38293</v>
      </c>
      <c r="B2216" s="10">
        <v>182.40479999999999</v>
      </c>
      <c r="C2216" s="10">
        <v>182.50899999999999</v>
      </c>
      <c r="D2216" s="10">
        <v>181.1995</v>
      </c>
      <c r="E2216" s="13">
        <f t="shared" si="102"/>
        <v>4.5006745101599157E-3</v>
      </c>
      <c r="F2216" s="9">
        <f t="shared" si="103"/>
        <v>7.8379973372435727E-3</v>
      </c>
      <c r="G2216" s="9">
        <f t="shared" si="104"/>
        <v>9.6011491288298268E-3</v>
      </c>
    </row>
    <row r="2217" spans="1:7" x14ac:dyDescent="0.2">
      <c r="A2217" s="11">
        <v>38294</v>
      </c>
      <c r="B2217" s="10">
        <v>183.7852</v>
      </c>
      <c r="C2217" s="10">
        <v>184.8854</v>
      </c>
      <c r="D2217" s="10">
        <v>182.40479999999999</v>
      </c>
      <c r="E2217" s="13">
        <f t="shared" si="102"/>
        <v>7.5392912891861273E-3</v>
      </c>
      <c r="F2217" s="9">
        <f t="shared" si="103"/>
        <v>1.1729416879614147E-2</v>
      </c>
      <c r="G2217" s="9">
        <f t="shared" si="104"/>
        <v>9.6769351390973059E-3</v>
      </c>
    </row>
    <row r="2218" spans="1:7" x14ac:dyDescent="0.2">
      <c r="A2218" s="11">
        <v>38295</v>
      </c>
      <c r="B2218" s="10">
        <v>183.1095</v>
      </c>
      <c r="C2218" s="10">
        <v>184.29409999999999</v>
      </c>
      <c r="D2218" s="10">
        <v>182.71440000000001</v>
      </c>
      <c r="E2218" s="13">
        <f t="shared" si="102"/>
        <v>-3.6833498218355461E-3</v>
      </c>
      <c r="F2218" s="9">
        <f t="shared" si="103"/>
        <v>1.5837643402724081E-5</v>
      </c>
      <c r="G2218" s="9">
        <f t="shared" si="104"/>
        <v>9.5913514746275436E-3</v>
      </c>
    </row>
    <row r="2219" spans="1:7" x14ac:dyDescent="0.2">
      <c r="A2219" s="11">
        <v>38296</v>
      </c>
      <c r="B2219" s="10">
        <v>185.29050000000001</v>
      </c>
      <c r="C2219" s="10">
        <v>185.4272</v>
      </c>
      <c r="D2219" s="10">
        <v>183.08410000000001</v>
      </c>
      <c r="E2219" s="13">
        <f t="shared" si="102"/>
        <v>1.1840529212545938E-2</v>
      </c>
      <c r="F2219" s="9">
        <f t="shared" si="103"/>
        <v>5.8739672833303183E-3</v>
      </c>
      <c r="G2219" s="9">
        <f t="shared" si="104"/>
        <v>9.7816371466743039E-3</v>
      </c>
    </row>
    <row r="2220" spans="1:7" x14ac:dyDescent="0.2">
      <c r="A2220" s="11">
        <v>38299</v>
      </c>
      <c r="B2220" s="10">
        <v>185.85290000000001</v>
      </c>
      <c r="C2220" s="10">
        <v>186.21549999999999</v>
      </c>
      <c r="D2220" s="10">
        <v>184.26650000000001</v>
      </c>
      <c r="E2220" s="13">
        <f t="shared" si="102"/>
        <v>3.0306368398791373E-3</v>
      </c>
      <c r="F2220" s="9">
        <f t="shared" si="103"/>
        <v>5.2820704655390377E-3</v>
      </c>
      <c r="G2220" s="9">
        <f t="shared" si="104"/>
        <v>9.7748613699432281E-3</v>
      </c>
    </row>
    <row r="2221" spans="1:7" x14ac:dyDescent="0.2">
      <c r="A2221" s="11">
        <v>38300</v>
      </c>
      <c r="B2221" s="10">
        <v>185.81729999999999</v>
      </c>
      <c r="C2221" s="10">
        <v>186.4169</v>
      </c>
      <c r="D2221" s="10">
        <v>185.41659999999999</v>
      </c>
      <c r="E2221" s="13">
        <f t="shared" si="102"/>
        <v>-1.9156768613084714E-4</v>
      </c>
      <c r="F2221" s="9">
        <f t="shared" si="103"/>
        <v>4.1513840383886049E-3</v>
      </c>
      <c r="G2221" s="9">
        <f t="shared" si="104"/>
        <v>9.7739891171428114E-3</v>
      </c>
    </row>
    <row r="2222" spans="1:7" x14ac:dyDescent="0.2">
      <c r="A2222" s="11">
        <v>38301</v>
      </c>
      <c r="B2222" s="10">
        <v>184.25370000000001</v>
      </c>
      <c r="C2222" s="10">
        <v>186.03800000000001</v>
      </c>
      <c r="D2222" s="10">
        <v>184.0881</v>
      </c>
      <c r="E2222" s="13">
        <f t="shared" si="102"/>
        <v>-8.4503206381518151E-3</v>
      </c>
      <c r="F2222" s="9">
        <f t="shared" si="103"/>
        <v>-5.5562012753607257E-3</v>
      </c>
      <c r="G2222" s="9">
        <f t="shared" si="104"/>
        <v>9.8998937966299303E-3</v>
      </c>
    </row>
    <row r="2223" spans="1:7" x14ac:dyDescent="0.2">
      <c r="A2223" s="11">
        <v>38302</v>
      </c>
      <c r="B2223" s="10">
        <v>184.41329999999999</v>
      </c>
      <c r="C2223" s="10">
        <v>185.43510000000001</v>
      </c>
      <c r="D2223" s="10">
        <v>183.99359999999999</v>
      </c>
      <c r="E2223" s="13">
        <f t="shared" si="102"/>
        <v>8.6582205605773694E-4</v>
      </c>
      <c r="F2223" s="9">
        <f t="shared" si="103"/>
        <v>-2.368359223832613E-2</v>
      </c>
      <c r="G2223" s="9">
        <f t="shared" si="104"/>
        <v>9.1922936406670652E-3</v>
      </c>
    </row>
    <row r="2224" spans="1:7" x14ac:dyDescent="0.2">
      <c r="A2224" s="11">
        <v>38303</v>
      </c>
      <c r="B2224" s="10">
        <v>185.2867</v>
      </c>
      <c r="C2224" s="10">
        <v>185.36099999999999</v>
      </c>
      <c r="D2224" s="10">
        <v>184.41329999999999</v>
      </c>
      <c r="E2224" s="13">
        <f t="shared" si="102"/>
        <v>4.7249208811381872E-3</v>
      </c>
      <c r="F2224" s="9">
        <f t="shared" si="103"/>
        <v>-3.4934551385356963E-2</v>
      </c>
      <c r="G2224" s="9">
        <f t="shared" si="104"/>
        <v>8.6814781192070013E-3</v>
      </c>
    </row>
    <row r="2225" spans="1:7" x14ac:dyDescent="0.2">
      <c r="A2225" s="11">
        <v>38306</v>
      </c>
      <c r="B2225" s="10">
        <v>185.75129999999999</v>
      </c>
      <c r="C2225" s="10">
        <v>186.6103</v>
      </c>
      <c r="D2225" s="10">
        <v>185.2867</v>
      </c>
      <c r="E2225" s="13">
        <f t="shared" si="102"/>
        <v>2.5043270113438102E-3</v>
      </c>
      <c r="F2225" s="9">
        <f t="shared" si="103"/>
        <v>-3.1176011449746754E-2</v>
      </c>
      <c r="G2225" s="9">
        <f t="shared" si="104"/>
        <v>8.7087242731293587E-3</v>
      </c>
    </row>
    <row r="2226" spans="1:7" x14ac:dyDescent="0.2">
      <c r="A2226" s="11">
        <v>38307</v>
      </c>
      <c r="B2226" s="10">
        <v>184.68360000000001</v>
      </c>
      <c r="C2226" s="10">
        <v>185.9117</v>
      </c>
      <c r="D2226" s="10">
        <v>184.68360000000001</v>
      </c>
      <c r="E2226" s="13">
        <f t="shared" si="102"/>
        <v>-5.7645916012963195E-3</v>
      </c>
      <c r="F2226" s="9">
        <f t="shared" si="103"/>
        <v>-3.528137519562384E-2</v>
      </c>
      <c r="G2226" s="9">
        <f t="shared" si="104"/>
        <v>8.7518203923745933E-3</v>
      </c>
    </row>
    <row r="2227" spans="1:7" x14ac:dyDescent="0.2">
      <c r="A2227" s="11">
        <v>38308</v>
      </c>
      <c r="B2227" s="10">
        <v>186.6917</v>
      </c>
      <c r="C2227" s="10">
        <v>186.69640000000001</v>
      </c>
      <c r="D2227" s="10">
        <v>184.48439999999999</v>
      </c>
      <c r="E2227" s="13">
        <f t="shared" si="102"/>
        <v>1.0814502586196723E-2</v>
      </c>
      <c r="F2227" s="9">
        <f t="shared" si="103"/>
        <v>-3.2996334860220862E-2</v>
      </c>
      <c r="G2227" s="9">
        <f t="shared" si="104"/>
        <v>8.8524083337073421E-3</v>
      </c>
    </row>
    <row r="2228" spans="1:7" x14ac:dyDescent="0.2">
      <c r="A2228" s="11">
        <v>38309</v>
      </c>
      <c r="B2228" s="10">
        <v>188.1207</v>
      </c>
      <c r="C2228" s="10">
        <v>188.18510000000001</v>
      </c>
      <c r="D2228" s="10">
        <v>186.5778</v>
      </c>
      <c r="E2228" s="13">
        <f t="shared" si="102"/>
        <v>7.6251848866711359E-3</v>
      </c>
      <c r="F2228" s="9">
        <f t="shared" si="103"/>
        <v>-2.1175364681574334E-2</v>
      </c>
      <c r="G2228" s="9">
        <f t="shared" si="104"/>
        <v>8.9778378178632465E-3</v>
      </c>
    </row>
    <row r="2229" spans="1:7" x14ac:dyDescent="0.2">
      <c r="A2229" s="11">
        <v>38310</v>
      </c>
      <c r="B2229" s="10">
        <v>189.77959999999999</v>
      </c>
      <c r="C2229" s="10">
        <v>189.85560000000001</v>
      </c>
      <c r="D2229" s="10">
        <v>188.1207</v>
      </c>
      <c r="E2229" s="13">
        <f t="shared" si="102"/>
        <v>8.7796207406797069E-3</v>
      </c>
      <c r="F2229" s="9">
        <f t="shared" si="103"/>
        <v>-4.6823596344475818E-3</v>
      </c>
      <c r="G2229" s="9">
        <f t="shared" si="104"/>
        <v>9.0418380165877502E-3</v>
      </c>
    </row>
    <row r="2230" spans="1:7" x14ac:dyDescent="0.2">
      <c r="A2230" s="11">
        <v>38313</v>
      </c>
      <c r="B2230" s="10">
        <v>189.29750000000001</v>
      </c>
      <c r="C2230" s="10">
        <v>189.7945</v>
      </c>
      <c r="D2230" s="10">
        <v>188.35820000000001</v>
      </c>
      <c r="E2230" s="13">
        <f t="shared" si="102"/>
        <v>-2.5435472621134266E-3</v>
      </c>
      <c r="F2230" s="9">
        <f t="shared" si="103"/>
        <v>5.3885727975275036E-3</v>
      </c>
      <c r="G2230" s="9">
        <f t="shared" si="104"/>
        <v>8.7346491009991211E-3</v>
      </c>
    </row>
    <row r="2231" spans="1:7" x14ac:dyDescent="0.2">
      <c r="A2231" s="11">
        <v>38314</v>
      </c>
      <c r="B2231" s="10">
        <v>191.58250000000001</v>
      </c>
      <c r="C2231" s="10">
        <v>192.43279999999999</v>
      </c>
      <c r="D2231" s="10">
        <v>189.29750000000001</v>
      </c>
      <c r="E2231" s="13">
        <f t="shared" si="102"/>
        <v>1.1998673670831862E-2</v>
      </c>
      <c r="F2231" s="9">
        <f t="shared" si="103"/>
        <v>2.0889757749776083E-2</v>
      </c>
      <c r="G2231" s="9">
        <f t="shared" si="104"/>
        <v>8.9719580080072671E-3</v>
      </c>
    </row>
    <row r="2232" spans="1:7" x14ac:dyDescent="0.2">
      <c r="A2232" s="11">
        <v>38315</v>
      </c>
      <c r="B2232" s="10">
        <v>191.83539999999999</v>
      </c>
      <c r="C2232" s="10">
        <v>192.10749999999999</v>
      </c>
      <c r="D2232" s="10">
        <v>191.15629999999999</v>
      </c>
      <c r="E2232" s="13">
        <f t="shared" si="102"/>
        <v>1.3191874280041513E-3</v>
      </c>
      <c r="F2232" s="9">
        <f t="shared" si="103"/>
        <v>3.5642632505754404E-2</v>
      </c>
      <c r="G2232" s="9">
        <f t="shared" si="104"/>
        <v>8.5490308699390314E-3</v>
      </c>
    </row>
    <row r="2233" spans="1:7" x14ac:dyDescent="0.2">
      <c r="A2233" s="11">
        <v>38316</v>
      </c>
      <c r="B2233" s="10">
        <v>193.2294</v>
      </c>
      <c r="C2233" s="10">
        <v>194.46340000000001</v>
      </c>
      <c r="D2233" s="10">
        <v>191.8151</v>
      </c>
      <c r="E2233" s="13">
        <f t="shared" si="102"/>
        <v>7.2403714377286387E-3</v>
      </c>
      <c r="F2233" s="9">
        <f t="shared" si="103"/>
        <v>5.1007500989066923E-2</v>
      </c>
      <c r="G2233" s="9">
        <f t="shared" si="104"/>
        <v>8.4238443358012113E-3</v>
      </c>
    </row>
    <row r="2234" spans="1:7" x14ac:dyDescent="0.2">
      <c r="A2234" s="11">
        <v>38317</v>
      </c>
      <c r="B2234" s="10">
        <v>193.5136</v>
      </c>
      <c r="C2234" s="10">
        <v>193.76480000000001</v>
      </c>
      <c r="D2234" s="10">
        <v>192.7758</v>
      </c>
      <c r="E2234" s="13">
        <f t="shared" si="102"/>
        <v>1.4697101235555483E-3</v>
      </c>
      <c r="F2234" s="9">
        <f t="shared" si="103"/>
        <v>4.2027179306291844E-2</v>
      </c>
      <c r="G2234" s="9">
        <f t="shared" si="104"/>
        <v>8.2563371333696494E-3</v>
      </c>
    </row>
    <row r="2235" spans="1:7" x14ac:dyDescent="0.2">
      <c r="A2235" s="11">
        <v>38320</v>
      </c>
      <c r="B2235" s="10">
        <v>195.0206</v>
      </c>
      <c r="C2235" s="10">
        <v>195.48259999999999</v>
      </c>
      <c r="D2235" s="10">
        <v>193.5136</v>
      </c>
      <c r="E2235" s="13">
        <f t="shared" si="102"/>
        <v>7.757399772026264E-3</v>
      </c>
      <c r="F2235" s="9">
        <f t="shared" si="103"/>
        <v>4.6939253362522436E-2</v>
      </c>
      <c r="G2235" s="9">
        <f t="shared" si="104"/>
        <v>8.3360039944433695E-3</v>
      </c>
    </row>
    <row r="2236" spans="1:7" x14ac:dyDescent="0.2">
      <c r="A2236" s="11">
        <v>38321</v>
      </c>
      <c r="B2236" s="10">
        <v>194.73560000000001</v>
      </c>
      <c r="C2236" s="10">
        <v>195.02279999999999</v>
      </c>
      <c r="D2236" s="10">
        <v>193.6499</v>
      </c>
      <c r="E2236" s="13">
        <f t="shared" si="102"/>
        <v>-1.4624529426125658E-3</v>
      </c>
      <c r="F2236" s="9">
        <f t="shared" si="103"/>
        <v>5.9033600978356103E-2</v>
      </c>
      <c r="G2236" s="9">
        <f t="shared" si="104"/>
        <v>7.8372901547014966E-3</v>
      </c>
    </row>
    <row r="2237" spans="1:7" x14ac:dyDescent="0.2">
      <c r="A2237" s="11">
        <v>38322</v>
      </c>
      <c r="B2237" s="10">
        <v>195.16130000000001</v>
      </c>
      <c r="C2237" s="10">
        <v>195.33690000000001</v>
      </c>
      <c r="D2237" s="10">
        <v>194.0616</v>
      </c>
      <c r="E2237" s="13">
        <f t="shared" si="102"/>
        <v>2.1836550593615314E-3</v>
      </c>
      <c r="F2237" s="9">
        <f t="shared" si="103"/>
        <v>4.5173733837394134E-2</v>
      </c>
      <c r="G2237" s="9">
        <f t="shared" si="104"/>
        <v>7.3606687921022335E-3</v>
      </c>
    </row>
    <row r="2238" spans="1:7" x14ac:dyDescent="0.2">
      <c r="A2238" s="11">
        <v>38323</v>
      </c>
      <c r="B2238" s="10">
        <v>191.72389999999999</v>
      </c>
      <c r="C2238" s="10">
        <v>195.178</v>
      </c>
      <c r="D2238" s="10">
        <v>191.72389999999999</v>
      </c>
      <c r="E2238" s="13">
        <f t="shared" si="102"/>
        <v>-1.777007987632687E-2</v>
      </c>
      <c r="F2238" s="9">
        <f t="shared" si="103"/>
        <v>2.1791189093859912E-2</v>
      </c>
      <c r="G2238" s="9">
        <f t="shared" si="104"/>
        <v>8.1400550578461482E-3</v>
      </c>
    </row>
    <row r="2239" spans="1:7" x14ac:dyDescent="0.2">
      <c r="A2239" s="11">
        <v>38324</v>
      </c>
      <c r="B2239" s="10">
        <v>189.77109999999999</v>
      </c>
      <c r="C2239" s="10">
        <v>191.84889999999999</v>
      </c>
      <c r="D2239" s="10">
        <v>189.16839999999999</v>
      </c>
      <c r="E2239" s="13">
        <f t="shared" si="102"/>
        <v>-1.0237707210613321E-2</v>
      </c>
      <c r="F2239" s="9">
        <f t="shared" si="103"/>
        <v>3.0719277852956129E-2</v>
      </c>
      <c r="G2239" s="9">
        <f t="shared" si="104"/>
        <v>7.5038339479561594E-3</v>
      </c>
    </row>
    <row r="2240" spans="1:7" x14ac:dyDescent="0.2">
      <c r="A2240" s="11">
        <v>38327</v>
      </c>
      <c r="B2240" s="10">
        <v>190.66970000000001</v>
      </c>
      <c r="C2240" s="10">
        <v>190.66970000000001</v>
      </c>
      <c r="D2240" s="10">
        <v>188.7439</v>
      </c>
      <c r="E2240" s="13">
        <f t="shared" si="102"/>
        <v>4.7240026364727926E-3</v>
      </c>
      <c r="F2240" s="9">
        <f t="shared" si="103"/>
        <v>4.9034648206133361E-2</v>
      </c>
      <c r="G2240" s="9">
        <f t="shared" si="104"/>
        <v>6.9791317669840895E-3</v>
      </c>
    </row>
    <row r="2241" spans="1:7" x14ac:dyDescent="0.2">
      <c r="A2241" s="11">
        <v>38328</v>
      </c>
      <c r="B2241" s="10">
        <v>192.33439999999999</v>
      </c>
      <c r="C2241" s="10">
        <v>192.33869999999999</v>
      </c>
      <c r="D2241" s="10">
        <v>190.62479999999999</v>
      </c>
      <c r="E2241" s="13">
        <f t="shared" si="102"/>
        <v>8.6929120757717557E-3</v>
      </c>
      <c r="F2241" s="9">
        <f t="shared" si="103"/>
        <v>5.9752238662732535E-2</v>
      </c>
      <c r="G2241" s="9">
        <f t="shared" si="104"/>
        <v>7.0586690556161853E-3</v>
      </c>
    </row>
    <row r="2242" spans="1:7" x14ac:dyDescent="0.2">
      <c r="A2242" s="11">
        <v>38329</v>
      </c>
      <c r="B2242" s="10">
        <v>189.33789999999999</v>
      </c>
      <c r="C2242" s="10">
        <v>192.33439999999999</v>
      </c>
      <c r="D2242" s="10">
        <v>188.6267</v>
      </c>
      <c r="E2242" s="13">
        <f t="shared" si="102"/>
        <v>-1.570227427134516E-2</v>
      </c>
      <c r="F2242" s="9">
        <f t="shared" si="103"/>
        <v>4.8359413474418737E-2</v>
      </c>
      <c r="G2242" s="9">
        <f t="shared" si="104"/>
        <v>7.7125987582547084E-3</v>
      </c>
    </row>
    <row r="2243" spans="1:7" x14ac:dyDescent="0.2">
      <c r="A2243" s="11">
        <v>38330</v>
      </c>
      <c r="B2243" s="10">
        <v>190.15049999999999</v>
      </c>
      <c r="C2243" s="10">
        <v>190.67859999999999</v>
      </c>
      <c r="D2243" s="10">
        <v>188.98570000000001</v>
      </c>
      <c r="E2243" s="13">
        <f t="shared" si="102"/>
        <v>4.2826143933596232E-3</v>
      </c>
      <c r="F2243" s="9">
        <f t="shared" si="103"/>
        <v>5.4824013596110784E-2</v>
      </c>
      <c r="G2243" s="9">
        <f t="shared" si="104"/>
        <v>7.6907536968920664E-3</v>
      </c>
    </row>
    <row r="2244" spans="1:7" x14ac:dyDescent="0.2">
      <c r="A2244" s="11">
        <v>38331</v>
      </c>
      <c r="B2244" s="10">
        <v>191.6172</v>
      </c>
      <c r="C2244" s="10">
        <v>192.16059999999999</v>
      </c>
      <c r="D2244" s="10">
        <v>190.15049999999999</v>
      </c>
      <c r="E2244" s="13">
        <f t="shared" ref="E2244:E2307" si="105">LN(B2244/B2243)</f>
        <v>7.6837679887136546E-3</v>
      </c>
      <c r="F2244" s="9">
        <f t="shared" si="103"/>
        <v>5.3771913289258545E-2</v>
      </c>
      <c r="G2244" s="9">
        <f t="shared" si="104"/>
        <v>7.6597278719959536E-3</v>
      </c>
    </row>
    <row r="2245" spans="1:7" x14ac:dyDescent="0.2">
      <c r="A2245" s="11">
        <v>38334</v>
      </c>
      <c r="B2245" s="10">
        <v>191.27719999999999</v>
      </c>
      <c r="C2245" s="10">
        <v>191.8819</v>
      </c>
      <c r="D2245" s="10">
        <v>190.28149999999999</v>
      </c>
      <c r="E2245" s="13">
        <f t="shared" si="105"/>
        <v>-1.7759470463031065E-3</v>
      </c>
      <c r="F2245" s="9">
        <f t="shared" si="103"/>
        <v>4.7495291732795542E-2</v>
      </c>
      <c r="G2245" s="9">
        <f t="shared" si="104"/>
        <v>7.6709465269093969E-3</v>
      </c>
    </row>
    <row r="2246" spans="1:7" x14ac:dyDescent="0.2">
      <c r="A2246" s="11">
        <v>38335</v>
      </c>
      <c r="B2246" s="10">
        <v>192.61410000000001</v>
      </c>
      <c r="C2246" s="10">
        <v>192.61410000000001</v>
      </c>
      <c r="D2246" s="10">
        <v>191.13120000000001</v>
      </c>
      <c r="E2246" s="13">
        <f t="shared" si="105"/>
        <v>6.9650205908930235E-3</v>
      </c>
      <c r="F2246" s="9">
        <f t="shared" si="103"/>
        <v>4.6921021034502387E-2</v>
      </c>
      <c r="G2246" s="9">
        <f t="shared" si="104"/>
        <v>7.6558942026476616E-3</v>
      </c>
    </row>
    <row r="2247" spans="1:7" x14ac:dyDescent="0.2">
      <c r="A2247" s="11">
        <v>38336</v>
      </c>
      <c r="B2247" s="10">
        <v>193.1225</v>
      </c>
      <c r="C2247" s="10">
        <v>194.22389999999999</v>
      </c>
      <c r="D2247" s="10">
        <v>192.23849999999999</v>
      </c>
      <c r="E2247" s="13">
        <f t="shared" si="105"/>
        <v>2.6359971772651576E-3</v>
      </c>
      <c r="F2247" s="9">
        <f t="shared" si="103"/>
        <v>5.3240368033603311E-2</v>
      </c>
      <c r="G2247" s="9">
        <f t="shared" si="104"/>
        <v>7.5892580208916866E-3</v>
      </c>
    </row>
    <row r="2248" spans="1:7" x14ac:dyDescent="0.2">
      <c r="A2248" s="11">
        <v>38337</v>
      </c>
      <c r="B2248" s="10">
        <v>193.61789999999999</v>
      </c>
      <c r="C2248" s="10">
        <v>194.44919999999999</v>
      </c>
      <c r="D2248" s="10">
        <v>192.93469999999999</v>
      </c>
      <c r="E2248" s="13">
        <f t="shared" si="105"/>
        <v>2.5619266617182578E-3</v>
      </c>
      <c r="F2248" s="9">
        <f t="shared" si="103"/>
        <v>4.396176548277568E-2</v>
      </c>
      <c r="G2248" s="9">
        <f t="shared" si="104"/>
        <v>7.344037376285765E-3</v>
      </c>
    </row>
    <row r="2249" spans="1:7" x14ac:dyDescent="0.2">
      <c r="A2249" s="11">
        <v>38338</v>
      </c>
      <c r="B2249" s="10">
        <v>192.43899999999999</v>
      </c>
      <c r="C2249" s="10">
        <v>194.50190000000001</v>
      </c>
      <c r="D2249" s="10">
        <v>192.10929999999999</v>
      </c>
      <c r="E2249" s="13">
        <f t="shared" si="105"/>
        <v>-6.1074088532307447E-3</v>
      </c>
      <c r="F2249" s="9">
        <f t="shared" si="103"/>
        <v>3.482371978966587E-2</v>
      </c>
      <c r="G2249" s="9">
        <f t="shared" si="104"/>
        <v>7.4716563592614202E-3</v>
      </c>
    </row>
    <row r="2250" spans="1:7" x14ac:dyDescent="0.2">
      <c r="A2250" s="11">
        <v>38341</v>
      </c>
      <c r="B2250" s="10">
        <v>195.87430000000001</v>
      </c>
      <c r="C2250" s="10">
        <v>195.8921</v>
      </c>
      <c r="D2250" s="10">
        <v>192.43899999999999</v>
      </c>
      <c r="E2250" s="13">
        <f t="shared" si="105"/>
        <v>1.7693906569185621E-2</v>
      </c>
      <c r="F2250" s="9">
        <f t="shared" si="103"/>
        <v>5.270919404498222E-2</v>
      </c>
      <c r="G2250" s="9">
        <f t="shared" si="104"/>
        <v>8.0670642213070288E-3</v>
      </c>
    </row>
    <row r="2251" spans="1:7" x14ac:dyDescent="0.2">
      <c r="A2251" s="11">
        <v>38342</v>
      </c>
      <c r="B2251" s="10">
        <v>197.99719999999999</v>
      </c>
      <c r="C2251" s="10">
        <v>198.1362</v>
      </c>
      <c r="D2251" s="10">
        <v>195.57650000000001</v>
      </c>
      <c r="E2251" s="13">
        <f t="shared" si="105"/>
        <v>1.0779762218325552E-2</v>
      </c>
      <c r="F2251" s="9">
        <f t="shared" si="103"/>
        <v>7.1939276901459681E-2</v>
      </c>
      <c r="G2251" s="9">
        <f t="shared" si="104"/>
        <v>7.982818316710211E-3</v>
      </c>
    </row>
    <row r="2252" spans="1:7" x14ac:dyDescent="0.2">
      <c r="A2252" s="11">
        <v>38343</v>
      </c>
      <c r="B2252" s="10">
        <v>197.81540000000001</v>
      </c>
      <c r="C2252" s="10">
        <v>198.33340000000001</v>
      </c>
      <c r="D2252" s="10">
        <v>197.16829999999999</v>
      </c>
      <c r="E2252" s="13">
        <f t="shared" si="105"/>
        <v>-9.1861660181815328E-4</v>
      </c>
      <c r="F2252" s="9">
        <f t="shared" si="103"/>
        <v>7.0154838243583803E-2</v>
      </c>
      <c r="G2252" s="9">
        <f t="shared" si="104"/>
        <v>8.002563133405239E-3</v>
      </c>
    </row>
    <row r="2253" spans="1:7" x14ac:dyDescent="0.2">
      <c r="A2253" s="11">
        <v>38344</v>
      </c>
      <c r="B2253" s="10">
        <v>197.77690000000001</v>
      </c>
      <c r="C2253" s="10">
        <v>197.999</v>
      </c>
      <c r="D2253" s="10">
        <v>196.62</v>
      </c>
      <c r="E2253" s="13">
        <f t="shared" si="105"/>
        <v>-1.9464484076935393E-4</v>
      </c>
      <c r="F2253" s="9">
        <f t="shared" si="103"/>
        <v>6.5235272521676227E-2</v>
      </c>
      <c r="G2253" s="9">
        <f t="shared" si="104"/>
        <v>8.0040817312626404E-3</v>
      </c>
    </row>
    <row r="2254" spans="1:7" x14ac:dyDescent="0.2">
      <c r="A2254" s="11">
        <v>38348</v>
      </c>
      <c r="B2254" s="10">
        <v>198.5513</v>
      </c>
      <c r="C2254" s="10">
        <v>198.87620000000001</v>
      </c>
      <c r="D2254" s="10">
        <v>197.37309999999999</v>
      </c>
      <c r="E2254" s="13">
        <f t="shared" si="105"/>
        <v>3.9078772871618487E-3</v>
      </c>
      <c r="F2254" s="9">
        <f t="shared" si="103"/>
        <v>6.6638822797494196E-2</v>
      </c>
      <c r="G2254" s="9">
        <f t="shared" si="104"/>
        <v>8.0099189694352157E-3</v>
      </c>
    </row>
    <row r="2255" spans="1:7" x14ac:dyDescent="0.2">
      <c r="A2255" s="11">
        <v>38349</v>
      </c>
      <c r="B2255" s="10">
        <v>197.19710000000001</v>
      </c>
      <c r="C2255" s="10">
        <v>198.55500000000001</v>
      </c>
      <c r="D2255" s="10">
        <v>196.66579999999999</v>
      </c>
      <c r="E2255" s="13">
        <f t="shared" si="105"/>
        <v>-6.8437688469276262E-3</v>
      </c>
      <c r="F2255" s="9">
        <f t="shared" si="103"/>
        <v>6.5559645551862986E-2</v>
      </c>
      <c r="G2255" s="9">
        <f t="shared" si="104"/>
        <v>8.0511148552247086E-3</v>
      </c>
    </row>
    <row r="2256" spans="1:7" x14ac:dyDescent="0.2">
      <c r="A2256" s="11">
        <v>38350</v>
      </c>
      <c r="B2256" s="10">
        <v>197.21729999999999</v>
      </c>
      <c r="C2256" s="10">
        <v>197.9941</v>
      </c>
      <c r="D2256" s="10">
        <v>196.6738</v>
      </c>
      <c r="E2256" s="13">
        <f t="shared" si="105"/>
        <v>1.0243033731853905E-4</v>
      </c>
      <c r="F2256" s="9">
        <f t="shared" si="103"/>
        <v>5.4847573302984794E-2</v>
      </c>
      <c r="G2256" s="9">
        <f t="shared" si="104"/>
        <v>7.8887484811331256E-3</v>
      </c>
    </row>
    <row r="2257" spans="1:7" x14ac:dyDescent="0.2">
      <c r="A2257" s="11">
        <v>38351</v>
      </c>
      <c r="B2257" s="10">
        <v>197.06530000000001</v>
      </c>
      <c r="C2257" s="10">
        <v>198.20410000000001</v>
      </c>
      <c r="D2257" s="10">
        <v>197.05430000000001</v>
      </c>
      <c r="E2257" s="13">
        <f t="shared" si="105"/>
        <v>-7.7102062089466053E-4</v>
      </c>
      <c r="F2257" s="9">
        <f t="shared" si="103"/>
        <v>4.6451367795418877E-2</v>
      </c>
      <c r="G2257" s="9">
        <f t="shared" si="104"/>
        <v>7.8246072672674988E-3</v>
      </c>
    </row>
    <row r="2258" spans="1:7" x14ac:dyDescent="0.2">
      <c r="A2258" s="11">
        <v>38355</v>
      </c>
      <c r="B2258" s="10">
        <v>198.381</v>
      </c>
      <c r="C2258" s="10">
        <v>199.25530000000001</v>
      </c>
      <c r="D2258" s="10">
        <v>197.06530000000001</v>
      </c>
      <c r="E2258" s="13">
        <f t="shared" si="105"/>
        <v>6.6542782413982066E-3</v>
      </c>
      <c r="F2258" s="9">
        <f t="shared" si="103"/>
        <v>4.432602529613739E-2</v>
      </c>
      <c r="G2258" s="9">
        <f t="shared" si="104"/>
        <v>7.7647002316442717E-3</v>
      </c>
    </row>
    <row r="2259" spans="1:7" x14ac:dyDescent="0.2">
      <c r="A2259" s="11">
        <v>38356</v>
      </c>
      <c r="B2259" s="10">
        <v>197.32310000000001</v>
      </c>
      <c r="C2259" s="10">
        <v>198.43279999999999</v>
      </c>
      <c r="D2259" s="10">
        <v>196.34100000000001</v>
      </c>
      <c r="E2259" s="13">
        <f t="shared" si="105"/>
        <v>-5.3469373727618522E-3</v>
      </c>
      <c r="F2259" s="9">
        <f t="shared" si="103"/>
        <v>4.1522635185488863E-2</v>
      </c>
      <c r="G2259" s="9">
        <f t="shared" si="104"/>
        <v>7.8343450126494383E-3</v>
      </c>
    </row>
    <row r="2260" spans="1:7" x14ac:dyDescent="0.2">
      <c r="A2260" s="11">
        <v>38357</v>
      </c>
      <c r="B2260" s="10">
        <v>194.62530000000001</v>
      </c>
      <c r="C2260" s="10">
        <v>197.33860000000001</v>
      </c>
      <c r="D2260" s="10">
        <v>192.59989999999999</v>
      </c>
      <c r="E2260" s="13">
        <f t="shared" si="105"/>
        <v>-1.376631518431639E-2</v>
      </c>
      <c r="F2260" s="9">
        <f t="shared" si="103"/>
        <v>1.575764633034055E-2</v>
      </c>
      <c r="G2260" s="9">
        <f t="shared" si="104"/>
        <v>8.0511506253934419E-3</v>
      </c>
    </row>
    <row r="2261" spans="1:7" x14ac:dyDescent="0.2">
      <c r="A2261" s="11">
        <v>38358</v>
      </c>
      <c r="B2261" s="10">
        <v>195.46610000000001</v>
      </c>
      <c r="C2261" s="10">
        <v>196.22739999999999</v>
      </c>
      <c r="D2261" s="10">
        <v>194.4392</v>
      </c>
      <c r="E2261" s="13">
        <f t="shared" si="105"/>
        <v>4.3107912763159922E-3</v>
      </c>
      <c r="F2261" s="9">
        <f t="shared" si="103"/>
        <v>1.8749250178652466E-2</v>
      </c>
      <c r="G2261" s="9">
        <f t="shared" si="104"/>
        <v>8.0805580529710319E-3</v>
      </c>
    </row>
    <row r="2262" spans="1:7" x14ac:dyDescent="0.2">
      <c r="A2262" s="11">
        <v>38359</v>
      </c>
      <c r="B2262" s="10">
        <v>197.11369999999999</v>
      </c>
      <c r="C2262" s="10">
        <v>198.06270000000001</v>
      </c>
      <c r="D2262" s="10">
        <v>195.46610000000001</v>
      </c>
      <c r="E2262" s="13">
        <f t="shared" si="105"/>
        <v>8.3937567520337968E-3</v>
      </c>
      <c r="F2262" s="9">
        <f t="shared" si="103"/>
        <v>1.9902635492957586E-2</v>
      </c>
      <c r="G2262" s="9">
        <f t="shared" si="104"/>
        <v>8.1169281468837055E-3</v>
      </c>
    </row>
    <row r="2263" spans="1:7" x14ac:dyDescent="0.2">
      <c r="A2263" s="11">
        <v>38362</v>
      </c>
      <c r="B2263" s="10">
        <v>198.721</v>
      </c>
      <c r="C2263" s="10">
        <v>198.721</v>
      </c>
      <c r="D2263" s="10">
        <v>197.0069</v>
      </c>
      <c r="E2263" s="13">
        <f t="shared" si="105"/>
        <v>8.121111331428392E-3</v>
      </c>
      <c r="F2263" s="9">
        <f t="shared" si="103"/>
        <v>2.6554036700830456E-2</v>
      </c>
      <c r="G2263" s="9">
        <f t="shared" si="104"/>
        <v>8.2329993501454243E-3</v>
      </c>
    </row>
    <row r="2264" spans="1:7" x14ac:dyDescent="0.2">
      <c r="A2264" s="11">
        <v>38363</v>
      </c>
      <c r="B2264" s="10">
        <v>197.56049999999999</v>
      </c>
      <c r="C2264" s="10">
        <v>198.8305</v>
      </c>
      <c r="D2264" s="10">
        <v>196.99700000000001</v>
      </c>
      <c r="E2264" s="13">
        <f t="shared" si="105"/>
        <v>-5.8569643926545322E-3</v>
      </c>
      <c r="F2264" s="9">
        <f t="shared" si="103"/>
        <v>1.2939672536149468E-2</v>
      </c>
      <c r="G2264" s="9">
        <f t="shared" si="104"/>
        <v>8.2170800399159038E-3</v>
      </c>
    </row>
    <row r="2265" spans="1:7" x14ac:dyDescent="0.2">
      <c r="A2265" s="11">
        <v>38364</v>
      </c>
      <c r="B2265" s="10">
        <v>196.74420000000001</v>
      </c>
      <c r="C2265" s="10">
        <v>197.88679999999999</v>
      </c>
      <c r="D2265" s="10">
        <v>196.3758</v>
      </c>
      <c r="E2265" s="13">
        <f t="shared" si="105"/>
        <v>-4.140458717227213E-3</v>
      </c>
      <c r="F2265" s="9">
        <f t="shared" si="103"/>
        <v>1.0261666761534912E-2</v>
      </c>
      <c r="G2265" s="9">
        <f t="shared" si="104"/>
        <v>8.2542596812270226E-3</v>
      </c>
    </row>
    <row r="2266" spans="1:7" x14ac:dyDescent="0.2">
      <c r="A2266" s="11">
        <v>38365</v>
      </c>
      <c r="B2266" s="10">
        <v>198.2653</v>
      </c>
      <c r="C2266" s="10">
        <v>198.52170000000001</v>
      </c>
      <c r="D2266" s="10">
        <v>196.74420000000001</v>
      </c>
      <c r="E2266" s="13">
        <f t="shared" si="105"/>
        <v>7.7016249921411147E-3</v>
      </c>
      <c r="F2266" s="9">
        <f t="shared" si="103"/>
        <v>1.5779636694314335E-2</v>
      </c>
      <c r="G2266" s="9">
        <f t="shared" si="104"/>
        <v>8.360857257867331E-3</v>
      </c>
    </row>
    <row r="2267" spans="1:7" x14ac:dyDescent="0.2">
      <c r="A2267" s="11">
        <v>38366</v>
      </c>
      <c r="B2267" s="10">
        <v>199.80950000000001</v>
      </c>
      <c r="C2267" s="10">
        <v>200.04400000000001</v>
      </c>
      <c r="D2267" s="10">
        <v>198.25800000000001</v>
      </c>
      <c r="E2267" s="13">
        <f t="shared" si="105"/>
        <v>7.7583798108209253E-3</v>
      </c>
      <c r="F2267" s="9">
        <f t="shared" si="103"/>
        <v>4.1308096381462184E-2</v>
      </c>
      <c r="G2267" s="9">
        <f t="shared" si="104"/>
        <v>7.6799205133012216E-3</v>
      </c>
    </row>
    <row r="2268" spans="1:7" x14ac:dyDescent="0.2">
      <c r="A2268" s="11">
        <v>38369</v>
      </c>
      <c r="B2268" s="10">
        <v>201.71950000000001</v>
      </c>
      <c r="C2268" s="10">
        <v>201.99879999999999</v>
      </c>
      <c r="D2268" s="10">
        <v>199.78380000000001</v>
      </c>
      <c r="E2268" s="13">
        <f t="shared" si="105"/>
        <v>9.513705890477368E-3</v>
      </c>
      <c r="F2268" s="9">
        <f t="shared" si="103"/>
        <v>6.1059509482552933E-2</v>
      </c>
      <c r="G2268" s="9">
        <f t="shared" si="104"/>
        <v>7.4820072453298863E-3</v>
      </c>
    </row>
    <row r="2269" spans="1:7" x14ac:dyDescent="0.2">
      <c r="A2269" s="11">
        <v>38370</v>
      </c>
      <c r="B2269" s="10">
        <v>202.1369</v>
      </c>
      <c r="C2269" s="10">
        <v>202.5993</v>
      </c>
      <c r="D2269" s="10">
        <v>201.34110000000001</v>
      </c>
      <c r="E2269" s="13">
        <f t="shared" si="105"/>
        <v>2.0670721009832514E-3</v>
      </c>
      <c r="F2269" s="9">
        <f t="shared" si="103"/>
        <v>5.8402578947063341E-2</v>
      </c>
      <c r="G2269" s="9">
        <f t="shared" si="104"/>
        <v>7.4650461836593589E-3</v>
      </c>
    </row>
    <row r="2270" spans="1:7" x14ac:dyDescent="0.2">
      <c r="A2270" s="11">
        <v>38371</v>
      </c>
      <c r="B2270" s="10">
        <v>201.53649999999999</v>
      </c>
      <c r="C2270" s="10">
        <v>203.36969999999999</v>
      </c>
      <c r="D2270" s="10">
        <v>201.17769999999999</v>
      </c>
      <c r="E2270" s="13">
        <f t="shared" si="105"/>
        <v>-2.9746842012983825E-3</v>
      </c>
      <c r="F2270" s="9">
        <f t="shared" si="103"/>
        <v>4.6734982669993132E-2</v>
      </c>
      <c r="G2270" s="9">
        <f t="shared" si="104"/>
        <v>7.4064058249989342E-3</v>
      </c>
    </row>
    <row r="2271" spans="1:7" x14ac:dyDescent="0.2">
      <c r="A2271" s="11">
        <v>38372</v>
      </c>
      <c r="B2271" s="10">
        <v>199.14009999999999</v>
      </c>
      <c r="C2271" s="10">
        <v>201.5438</v>
      </c>
      <c r="D2271" s="10">
        <v>199.10980000000001</v>
      </c>
      <c r="E2271" s="13">
        <f t="shared" si="105"/>
        <v>-1.1961909302717014E-2</v>
      </c>
      <c r="F2271" s="9">
        <f t="shared" si="103"/>
        <v>5.0475347638621389E-2</v>
      </c>
      <c r="G2271" s="9">
        <f t="shared" si="104"/>
        <v>7.1212046928984347E-3</v>
      </c>
    </row>
    <row r="2272" spans="1:7" x14ac:dyDescent="0.2">
      <c r="A2272" s="11">
        <v>38373</v>
      </c>
      <c r="B2272" s="10">
        <v>200.67519999999999</v>
      </c>
      <c r="C2272" s="10">
        <v>201.21770000000001</v>
      </c>
      <c r="D2272" s="10">
        <v>199.1336</v>
      </c>
      <c r="E2272" s="13">
        <f t="shared" si="105"/>
        <v>7.679083534399095E-3</v>
      </c>
      <c r="F2272" s="9">
        <f t="shared" ref="F2272:F2335" si="106">LN(B2272/B2243)</f>
        <v>5.3871816779660797E-2</v>
      </c>
      <c r="G2272" s="9">
        <f t="shared" si="104"/>
        <v>7.1920839738918024E-3</v>
      </c>
    </row>
    <row r="2273" spans="1:7" x14ac:dyDescent="0.2">
      <c r="A2273" s="11">
        <v>38376</v>
      </c>
      <c r="B2273" s="10">
        <v>199.76939999999999</v>
      </c>
      <c r="C2273" s="10">
        <v>200.82769999999999</v>
      </c>
      <c r="D2273" s="10">
        <v>199.673</v>
      </c>
      <c r="E2273" s="13">
        <f t="shared" si="105"/>
        <v>-4.5239793213379597E-3</v>
      </c>
      <c r="F2273" s="9">
        <f t="shared" si="106"/>
        <v>4.1664069469609079E-2</v>
      </c>
      <c r="G2273" s="9">
        <f t="shared" ref="G2273:G2336" si="107">STDEV(E2245:E2273)</f>
        <v>7.1961611605698521E-3</v>
      </c>
    </row>
    <row r="2274" spans="1:7" x14ac:dyDescent="0.2">
      <c r="A2274" s="11">
        <v>38377</v>
      </c>
      <c r="B2274" s="10">
        <v>202.12729999999999</v>
      </c>
      <c r="C2274" s="10">
        <v>202.28989999999999</v>
      </c>
      <c r="D2274" s="10">
        <v>199.63900000000001</v>
      </c>
      <c r="E2274" s="13">
        <f t="shared" si="105"/>
        <v>1.1733995597464615E-2</v>
      </c>
      <c r="F2274" s="9">
        <f t="shared" si="106"/>
        <v>5.5174012113376913E-2</v>
      </c>
      <c r="G2274" s="9">
        <f t="shared" si="107"/>
        <v>7.4147349914705169E-3</v>
      </c>
    </row>
    <row r="2275" spans="1:7" x14ac:dyDescent="0.2">
      <c r="A2275" s="11">
        <v>38378</v>
      </c>
      <c r="B2275" s="10">
        <v>201.52529999999999</v>
      </c>
      <c r="C2275" s="10">
        <v>202.7259</v>
      </c>
      <c r="D2275" s="10">
        <v>201.34870000000001</v>
      </c>
      <c r="E2275" s="13">
        <f t="shared" si="105"/>
        <v>-2.9827651120153593E-3</v>
      </c>
      <c r="F2275" s="9">
        <f t="shared" si="106"/>
        <v>4.5226226410468556E-2</v>
      </c>
      <c r="G2275" s="9">
        <f t="shared" si="107"/>
        <v>7.4022622933907663E-3</v>
      </c>
    </row>
    <row r="2276" spans="1:7" x14ac:dyDescent="0.2">
      <c r="A2276" s="11">
        <v>38379</v>
      </c>
      <c r="B2276" s="10">
        <v>201.7937</v>
      </c>
      <c r="C2276" s="10">
        <v>202.654</v>
      </c>
      <c r="D2276" s="10">
        <v>201.42949999999999</v>
      </c>
      <c r="E2276" s="13">
        <f t="shared" si="105"/>
        <v>1.330956585835696E-3</v>
      </c>
      <c r="F2276" s="9">
        <f t="shared" si="106"/>
        <v>4.3921185819039039E-2</v>
      </c>
      <c r="G2276" s="9">
        <f t="shared" si="107"/>
        <v>7.399450656080395E-3</v>
      </c>
    </row>
    <row r="2277" spans="1:7" x14ac:dyDescent="0.2">
      <c r="A2277" s="11">
        <v>38380</v>
      </c>
      <c r="B2277" s="10">
        <v>200.8596</v>
      </c>
      <c r="C2277" s="10">
        <v>202.56039999999999</v>
      </c>
      <c r="D2277" s="10">
        <v>200.68430000000001</v>
      </c>
      <c r="E2277" s="13">
        <f t="shared" si="105"/>
        <v>-4.6397318770549003E-3</v>
      </c>
      <c r="F2277" s="9">
        <f t="shared" si="106"/>
        <v>3.6719527280265868E-2</v>
      </c>
      <c r="G2277" s="9">
        <f t="shared" si="107"/>
        <v>7.4834144195333602E-3</v>
      </c>
    </row>
    <row r="2278" spans="1:7" x14ac:dyDescent="0.2">
      <c r="A2278" s="11">
        <v>38383</v>
      </c>
      <c r="B2278" s="10">
        <v>201.25800000000001</v>
      </c>
      <c r="C2278" s="10">
        <v>202.02760000000001</v>
      </c>
      <c r="D2278" s="10">
        <v>200.8596</v>
      </c>
      <c r="E2278" s="13">
        <f t="shared" si="105"/>
        <v>1.9815105350074907E-3</v>
      </c>
      <c r="F2278" s="9">
        <f t="shared" si="106"/>
        <v>4.4808446668504066E-2</v>
      </c>
      <c r="G2278" s="9">
        <f t="shared" si="107"/>
        <v>7.3482924257880985E-3</v>
      </c>
    </row>
    <row r="2279" spans="1:7" x14ac:dyDescent="0.2">
      <c r="A2279" s="11">
        <v>38384</v>
      </c>
      <c r="B2279" s="10">
        <v>203.11369999999999</v>
      </c>
      <c r="C2279" s="10">
        <v>203.685</v>
      </c>
      <c r="D2279" s="10">
        <v>201.25800000000001</v>
      </c>
      <c r="E2279" s="13">
        <f t="shared" si="105"/>
        <v>9.1782537059266703E-3</v>
      </c>
      <c r="F2279" s="9">
        <f t="shared" si="106"/>
        <v>3.6292793805245013E-2</v>
      </c>
      <c r="G2279" s="9">
        <f t="shared" si="107"/>
        <v>6.8319315493547616E-3</v>
      </c>
    </row>
    <row r="2280" spans="1:7" x14ac:dyDescent="0.2">
      <c r="A2280" s="11">
        <v>38385</v>
      </c>
      <c r="B2280" s="10">
        <v>204.96719999999999</v>
      </c>
      <c r="C2280" s="10">
        <v>205.5977</v>
      </c>
      <c r="D2280" s="10">
        <v>203.11369999999999</v>
      </c>
      <c r="E2280" s="13">
        <f t="shared" si="105"/>
        <v>9.0840455697200843E-3</v>
      </c>
      <c r="F2280" s="9">
        <f t="shared" si="106"/>
        <v>3.4597077156639622E-2</v>
      </c>
      <c r="G2280" s="9">
        <f t="shared" si="107"/>
        <v>6.7542839222251615E-3</v>
      </c>
    </row>
    <row r="2281" spans="1:7" x14ac:dyDescent="0.2">
      <c r="A2281" s="11">
        <v>38386</v>
      </c>
      <c r="B2281" s="10">
        <v>204.97630000000001</v>
      </c>
      <c r="C2281" s="10">
        <v>206.18109999999999</v>
      </c>
      <c r="D2281" s="10">
        <v>204.7508</v>
      </c>
      <c r="E2281" s="13">
        <f t="shared" si="105"/>
        <v>4.4396361945125069E-5</v>
      </c>
      <c r="F2281" s="9">
        <f t="shared" si="106"/>
        <v>3.5560090120402919E-2</v>
      </c>
      <c r="G2281" s="9">
        <f t="shared" si="107"/>
        <v>6.7458935071493887E-3</v>
      </c>
    </row>
    <row r="2282" spans="1:7" x14ac:dyDescent="0.2">
      <c r="A2282" s="11">
        <v>38387</v>
      </c>
      <c r="B2282" s="10">
        <v>207.1677</v>
      </c>
      <c r="C2282" s="10">
        <v>207.28739999999999</v>
      </c>
      <c r="D2282" s="10">
        <v>204.90799999999999</v>
      </c>
      <c r="E2282" s="13">
        <f t="shared" si="105"/>
        <v>1.0634247503650277E-2</v>
      </c>
      <c r="F2282" s="9">
        <f t="shared" si="106"/>
        <v>4.6388982464822544E-2</v>
      </c>
      <c r="G2282" s="9">
        <f t="shared" si="107"/>
        <v>6.9607238473407777E-3</v>
      </c>
    </row>
    <row r="2283" spans="1:7" x14ac:dyDescent="0.2">
      <c r="A2283" s="11">
        <v>38390</v>
      </c>
      <c r="B2283" s="10">
        <v>210.13220000000001</v>
      </c>
      <c r="C2283" s="10">
        <v>210.13679999999999</v>
      </c>
      <c r="D2283" s="10">
        <v>207.1677</v>
      </c>
      <c r="E2283" s="13">
        <f t="shared" si="105"/>
        <v>1.4208246257362214E-2</v>
      </c>
      <c r="F2283" s="9">
        <f t="shared" si="106"/>
        <v>5.6689351435022857E-2</v>
      </c>
      <c r="G2283" s="9">
        <f t="shared" si="107"/>
        <v>7.3354272591761721E-3</v>
      </c>
    </row>
    <row r="2284" spans="1:7" x14ac:dyDescent="0.2">
      <c r="A2284" s="11">
        <v>38391</v>
      </c>
      <c r="B2284" s="10">
        <v>208.17599999999999</v>
      </c>
      <c r="C2284" s="10">
        <v>210.13220000000001</v>
      </c>
      <c r="D2284" s="10">
        <v>207.45009999999999</v>
      </c>
      <c r="E2284" s="13">
        <f t="shared" si="105"/>
        <v>-9.3529806988799924E-3</v>
      </c>
      <c r="F2284" s="9">
        <f t="shared" si="106"/>
        <v>5.4180139583070559E-2</v>
      </c>
      <c r="G2284" s="9">
        <f t="shared" si="107"/>
        <v>7.4567127343140704E-3</v>
      </c>
    </row>
    <row r="2285" spans="1:7" x14ac:dyDescent="0.2">
      <c r="A2285" s="11">
        <v>38392</v>
      </c>
      <c r="B2285" s="10">
        <v>208.61940000000001</v>
      </c>
      <c r="C2285" s="10">
        <v>209.51339999999999</v>
      </c>
      <c r="D2285" s="10">
        <v>207.53729999999999</v>
      </c>
      <c r="E2285" s="13">
        <f t="shared" si="105"/>
        <v>2.1276634400038282E-3</v>
      </c>
      <c r="F2285" s="9">
        <f t="shared" si="106"/>
        <v>5.6205372685755595E-2</v>
      </c>
      <c r="G2285" s="9">
        <f t="shared" si="107"/>
        <v>7.4490637787646826E-3</v>
      </c>
    </row>
    <row r="2286" spans="1:7" x14ac:dyDescent="0.2">
      <c r="A2286" s="11">
        <v>38393</v>
      </c>
      <c r="B2286" s="10">
        <v>209.4006</v>
      </c>
      <c r="C2286" s="10">
        <v>209.4092</v>
      </c>
      <c r="D2286" s="10">
        <v>208.01220000000001</v>
      </c>
      <c r="E2286" s="13">
        <f t="shared" si="105"/>
        <v>3.7376245607204572E-3</v>
      </c>
      <c r="F2286" s="9">
        <f t="shared" si="106"/>
        <v>6.0714017867370865E-2</v>
      </c>
      <c r="G2286" s="9">
        <f t="shared" si="107"/>
        <v>7.4375429860580287E-3</v>
      </c>
    </row>
    <row r="2287" spans="1:7" x14ac:dyDescent="0.2">
      <c r="A2287" s="11">
        <v>38394</v>
      </c>
      <c r="B2287" s="10">
        <v>210.9426</v>
      </c>
      <c r="C2287" s="10">
        <v>211.85400000000001</v>
      </c>
      <c r="D2287" s="10">
        <v>209.4006</v>
      </c>
      <c r="E2287" s="13">
        <f t="shared" si="105"/>
        <v>7.3368947905047008E-3</v>
      </c>
      <c r="F2287" s="9">
        <f t="shared" si="106"/>
        <v>6.1396634416477268E-2</v>
      </c>
      <c r="G2287" s="9">
        <f t="shared" si="107"/>
        <v>7.4535551996593747E-3</v>
      </c>
    </row>
    <row r="2288" spans="1:7" x14ac:dyDescent="0.2">
      <c r="A2288" s="11">
        <v>38397</v>
      </c>
      <c r="B2288" s="10">
        <v>211.05090000000001</v>
      </c>
      <c r="C2288" s="10">
        <v>211.547</v>
      </c>
      <c r="D2288" s="10">
        <v>210.27420000000001</v>
      </c>
      <c r="E2288" s="13">
        <f t="shared" si="105"/>
        <v>5.1327805939038696E-4</v>
      </c>
      <c r="F2288" s="9">
        <f t="shared" si="106"/>
        <v>6.7256849848629632E-2</v>
      </c>
      <c r="G2288" s="9">
        <f t="shared" si="107"/>
        <v>7.322249522851646E-3</v>
      </c>
    </row>
    <row r="2289" spans="1:7" x14ac:dyDescent="0.2">
      <c r="A2289" s="11">
        <v>38398</v>
      </c>
      <c r="B2289" s="10">
        <v>212.27</v>
      </c>
      <c r="C2289" s="10">
        <v>212.39060000000001</v>
      </c>
      <c r="D2289" s="10">
        <v>210.41069999999999</v>
      </c>
      <c r="E2289" s="13">
        <f t="shared" si="105"/>
        <v>5.7597126446131833E-3</v>
      </c>
      <c r="F2289" s="9">
        <f t="shared" si="106"/>
        <v>8.6782877677559364E-2</v>
      </c>
      <c r="G2289" s="9">
        <f t="shared" si="107"/>
        <v>6.6579051623257496E-3</v>
      </c>
    </row>
    <row r="2290" spans="1:7" x14ac:dyDescent="0.2">
      <c r="A2290" s="11">
        <v>38399</v>
      </c>
      <c r="B2290" s="10">
        <v>210.87690000000001</v>
      </c>
      <c r="C2290" s="10">
        <v>212.37379999999999</v>
      </c>
      <c r="D2290" s="10">
        <v>209.71709999999999</v>
      </c>
      <c r="E2290" s="13">
        <f t="shared" si="105"/>
        <v>-6.5844983537508032E-3</v>
      </c>
      <c r="F2290" s="9">
        <f t="shared" si="106"/>
        <v>7.5887588047492321E-2</v>
      </c>
      <c r="G2290" s="9">
        <f t="shared" si="107"/>
        <v>6.8844119085952208E-3</v>
      </c>
    </row>
    <row r="2291" spans="1:7" x14ac:dyDescent="0.2">
      <c r="A2291" s="11">
        <v>38400</v>
      </c>
      <c r="B2291" s="10">
        <v>212.63910000000001</v>
      </c>
      <c r="C2291" s="10">
        <v>212.97370000000001</v>
      </c>
      <c r="D2291" s="10">
        <v>210.86359999999999</v>
      </c>
      <c r="E2291" s="13">
        <f t="shared" si="105"/>
        <v>8.3218115477330691E-3</v>
      </c>
      <c r="F2291" s="9">
        <f t="shared" si="106"/>
        <v>7.5815642843191589E-2</v>
      </c>
      <c r="G2291" s="9">
        <f t="shared" si="107"/>
        <v>6.8822684073054944E-3</v>
      </c>
    </row>
    <row r="2292" spans="1:7" x14ac:dyDescent="0.2">
      <c r="A2292" s="11">
        <v>38401</v>
      </c>
      <c r="B2292" s="10">
        <v>210.7379</v>
      </c>
      <c r="C2292" s="10">
        <v>212.63910000000001</v>
      </c>
      <c r="D2292" s="10">
        <v>210.64580000000001</v>
      </c>
      <c r="E2292" s="13">
        <f t="shared" si="105"/>
        <v>-8.981181214244233E-3</v>
      </c>
      <c r="F2292" s="9">
        <f t="shared" si="106"/>
        <v>5.8713350297519049E-2</v>
      </c>
      <c r="G2292" s="9">
        <f t="shared" si="107"/>
        <v>7.1221055133117422E-3</v>
      </c>
    </row>
    <row r="2293" spans="1:7" x14ac:dyDescent="0.2">
      <c r="A2293" s="11">
        <v>38404</v>
      </c>
      <c r="B2293" s="10">
        <v>211.8622</v>
      </c>
      <c r="C2293" s="10">
        <v>212.1832</v>
      </c>
      <c r="D2293" s="10">
        <v>210.7379</v>
      </c>
      <c r="E2293" s="13">
        <f t="shared" si="105"/>
        <v>5.3208820943355306E-3</v>
      </c>
      <c r="F2293" s="9">
        <f t="shared" si="106"/>
        <v>6.9891196784509085E-2</v>
      </c>
      <c r="G2293" s="9">
        <f t="shared" si="107"/>
        <v>6.9814060919906268E-3</v>
      </c>
    </row>
    <row r="2294" spans="1:7" x14ac:dyDescent="0.2">
      <c r="A2294" s="11">
        <v>38405</v>
      </c>
      <c r="B2294" s="10">
        <v>210.7285</v>
      </c>
      <c r="C2294" s="10">
        <v>211.8622</v>
      </c>
      <c r="D2294" s="10">
        <v>210.06630000000001</v>
      </c>
      <c r="E2294" s="13">
        <f t="shared" si="105"/>
        <v>-5.3654882598640355E-3</v>
      </c>
      <c r="F2294" s="9">
        <f t="shared" si="106"/>
        <v>6.8666167241872189E-2</v>
      </c>
      <c r="G2294" s="9">
        <f t="shared" si="107"/>
        <v>7.026020337171421E-3</v>
      </c>
    </row>
    <row r="2295" spans="1:7" x14ac:dyDescent="0.2">
      <c r="A2295" s="11">
        <v>38406</v>
      </c>
      <c r="B2295" s="10">
        <v>210.6738</v>
      </c>
      <c r="C2295" s="10">
        <v>210.7612</v>
      </c>
      <c r="D2295" s="10">
        <v>209</v>
      </c>
      <c r="E2295" s="13">
        <f t="shared" si="105"/>
        <v>-2.5960940558324944E-4</v>
      </c>
      <c r="F2295" s="9">
        <f t="shared" si="106"/>
        <v>6.0704932844147907E-2</v>
      </c>
      <c r="G2295" s="9">
        <f t="shared" si="107"/>
        <v>6.9654426135966757E-3</v>
      </c>
    </row>
    <row r="2296" spans="1:7" x14ac:dyDescent="0.2">
      <c r="A2296" s="11">
        <v>38407</v>
      </c>
      <c r="B2296" s="10">
        <v>213.755</v>
      </c>
      <c r="C2296" s="10">
        <v>213.89840000000001</v>
      </c>
      <c r="D2296" s="10">
        <v>210.6738</v>
      </c>
      <c r="E2296" s="13">
        <f t="shared" si="105"/>
        <v>1.4519533691171987E-2</v>
      </c>
      <c r="F2296" s="9">
        <f t="shared" si="106"/>
        <v>6.7466086724499025E-2</v>
      </c>
      <c r="G2296" s="9">
        <f t="shared" si="107"/>
        <v>7.2683981763238198E-3</v>
      </c>
    </row>
    <row r="2297" spans="1:7" x14ac:dyDescent="0.2">
      <c r="A2297" s="11">
        <v>38408</v>
      </c>
      <c r="B2297" s="10">
        <v>215.68729999999999</v>
      </c>
      <c r="C2297" s="10">
        <v>216.7012</v>
      </c>
      <c r="D2297" s="10">
        <v>213.755</v>
      </c>
      <c r="E2297" s="13">
        <f t="shared" si="105"/>
        <v>8.9991742341826476E-3</v>
      </c>
      <c r="F2297" s="9">
        <f t="shared" si="106"/>
        <v>6.6951555068204202E-2</v>
      </c>
      <c r="G2297" s="9">
        <f t="shared" si="107"/>
        <v>7.2508338821278672E-3</v>
      </c>
    </row>
    <row r="2298" spans="1:7" x14ac:dyDescent="0.2">
      <c r="A2298" s="11">
        <v>38411</v>
      </c>
      <c r="B2298" s="10">
        <v>216.7501</v>
      </c>
      <c r="C2298" s="10">
        <v>217.6148</v>
      </c>
      <c r="D2298" s="10">
        <v>215.65039999999999</v>
      </c>
      <c r="E2298" s="13">
        <f t="shared" si="105"/>
        <v>4.9154034312263008E-3</v>
      </c>
      <c r="F2298" s="9">
        <f t="shared" si="106"/>
        <v>6.9799886398447475E-2</v>
      </c>
      <c r="G2298" s="9">
        <f t="shared" si="107"/>
        <v>7.2667183651604099E-3</v>
      </c>
    </row>
    <row r="2299" spans="1:7" x14ac:dyDescent="0.2">
      <c r="A2299" s="11">
        <v>38412</v>
      </c>
      <c r="B2299" s="10">
        <v>216.66919999999999</v>
      </c>
      <c r="C2299" s="10">
        <v>217.3792</v>
      </c>
      <c r="D2299" s="10">
        <v>216.5018</v>
      </c>
      <c r="E2299" s="13">
        <f t="shared" si="105"/>
        <v>-3.7331056064899448E-4</v>
      </c>
      <c r="F2299" s="9">
        <f t="shared" si="106"/>
        <v>7.2401260039096763E-2</v>
      </c>
      <c r="G2299" s="9">
        <f t="shared" si="107"/>
        <v>7.2137772280978125E-3</v>
      </c>
    </row>
    <row r="2300" spans="1:7" x14ac:dyDescent="0.2">
      <c r="A2300" s="11">
        <v>38413</v>
      </c>
      <c r="B2300" s="10">
        <v>214.87610000000001</v>
      </c>
      <c r="C2300" s="10">
        <v>216.7816</v>
      </c>
      <c r="D2300" s="10">
        <v>214.3271</v>
      </c>
      <c r="E2300" s="13">
        <f t="shared" si="105"/>
        <v>-8.3101835156197696E-3</v>
      </c>
      <c r="F2300" s="9">
        <f t="shared" si="106"/>
        <v>7.6052985826194117E-2</v>
      </c>
      <c r="G2300" s="9">
        <f t="shared" si="107"/>
        <v>6.9804793531002517E-3</v>
      </c>
    </row>
    <row r="2301" spans="1:7" x14ac:dyDescent="0.2">
      <c r="A2301" s="11">
        <v>38414</v>
      </c>
      <c r="B2301" s="10">
        <v>217.42750000000001</v>
      </c>
      <c r="C2301" s="10">
        <v>217.4812</v>
      </c>
      <c r="D2301" s="10">
        <v>214.86420000000001</v>
      </c>
      <c r="E2301" s="13">
        <f t="shared" si="105"/>
        <v>1.1803878682210108E-2</v>
      </c>
      <c r="F2301" s="9">
        <f t="shared" si="106"/>
        <v>8.017778097400502E-2</v>
      </c>
      <c r="G2301" s="9">
        <f t="shared" si="107"/>
        <v>7.1276634816720991E-3</v>
      </c>
    </row>
    <row r="2302" spans="1:7" x14ac:dyDescent="0.2">
      <c r="A2302" s="11">
        <v>38415</v>
      </c>
      <c r="B2302" s="10">
        <v>219.83510000000001</v>
      </c>
      <c r="C2302" s="10">
        <v>219.9812</v>
      </c>
      <c r="D2302" s="10">
        <v>217.33189999999999</v>
      </c>
      <c r="E2302" s="13">
        <f t="shared" si="105"/>
        <v>1.1012258220672337E-2</v>
      </c>
      <c r="F2302" s="9">
        <f t="shared" si="106"/>
        <v>9.571401851601527E-2</v>
      </c>
      <c r="G2302" s="9">
        <f t="shared" si="107"/>
        <v>7.1441108280149469E-3</v>
      </c>
    </row>
    <row r="2303" spans="1:7" x14ac:dyDescent="0.2">
      <c r="A2303" s="11">
        <v>38418</v>
      </c>
      <c r="B2303" s="10">
        <v>219.3124</v>
      </c>
      <c r="C2303" s="10">
        <v>221.1986</v>
      </c>
      <c r="D2303" s="10">
        <v>219.19309999999999</v>
      </c>
      <c r="E2303" s="13">
        <f t="shared" si="105"/>
        <v>-2.380522475205489E-3</v>
      </c>
      <c r="F2303" s="9">
        <f t="shared" si="106"/>
        <v>8.1599500443345116E-2</v>
      </c>
      <c r="G2303" s="9">
        <f t="shared" si="107"/>
        <v>7.0289020790866904E-3</v>
      </c>
    </row>
    <row r="2304" spans="1:7" x14ac:dyDescent="0.2">
      <c r="A2304" s="11">
        <v>38419</v>
      </c>
      <c r="B2304" s="10">
        <v>218.27600000000001</v>
      </c>
      <c r="C2304" s="10">
        <v>219.4512</v>
      </c>
      <c r="D2304" s="10">
        <v>217.68680000000001</v>
      </c>
      <c r="E2304" s="13">
        <f t="shared" si="105"/>
        <v>-4.7368803098873534E-3</v>
      </c>
      <c r="F2304" s="9">
        <f t="shared" si="106"/>
        <v>7.9845385245473105E-2</v>
      </c>
      <c r="G2304" s="9">
        <f t="shared" si="107"/>
        <v>7.0878654477951296E-3</v>
      </c>
    </row>
    <row r="2305" spans="1:7" x14ac:dyDescent="0.2">
      <c r="A2305" s="11">
        <v>38420</v>
      </c>
      <c r="B2305" s="10">
        <v>217.76140000000001</v>
      </c>
      <c r="C2305" s="10">
        <v>219.8177</v>
      </c>
      <c r="D2305" s="10">
        <v>217.2679</v>
      </c>
      <c r="E2305" s="13">
        <f t="shared" si="105"/>
        <v>-2.3603490843384883E-3</v>
      </c>
      <c r="F2305" s="9">
        <f t="shared" si="106"/>
        <v>7.6154079575298933E-2</v>
      </c>
      <c r="G2305" s="9">
        <f t="shared" si="107"/>
        <v>7.1472168359248012E-3</v>
      </c>
    </row>
    <row r="2306" spans="1:7" x14ac:dyDescent="0.2">
      <c r="A2306" s="11">
        <v>38421</v>
      </c>
      <c r="B2306" s="10">
        <v>215.13</v>
      </c>
      <c r="C2306" s="10">
        <v>217.76140000000001</v>
      </c>
      <c r="D2306" s="10">
        <v>214.4196</v>
      </c>
      <c r="E2306" s="13">
        <f t="shared" si="105"/>
        <v>-1.2157471416148983E-2</v>
      </c>
      <c r="F2306" s="9">
        <f t="shared" si="106"/>
        <v>6.8636340036204876E-2</v>
      </c>
      <c r="G2306" s="9">
        <f t="shared" si="107"/>
        <v>7.5454035322474917E-3</v>
      </c>
    </row>
    <row r="2307" spans="1:7" x14ac:dyDescent="0.2">
      <c r="A2307" s="11">
        <v>38422</v>
      </c>
      <c r="B2307" s="10">
        <v>215.78630000000001</v>
      </c>
      <c r="C2307" s="10">
        <v>216.6678</v>
      </c>
      <c r="D2307" s="10">
        <v>215.0772</v>
      </c>
      <c r="E2307" s="13">
        <f t="shared" si="105"/>
        <v>3.0460695381388132E-3</v>
      </c>
      <c r="F2307" s="9">
        <f t="shared" si="106"/>
        <v>6.9700899039336114E-2</v>
      </c>
      <c r="G2307" s="9">
        <f t="shared" si="107"/>
        <v>7.5460518258884694E-3</v>
      </c>
    </row>
    <row r="2308" spans="1:7" x14ac:dyDescent="0.2">
      <c r="A2308" s="11">
        <v>38425</v>
      </c>
      <c r="B2308" s="10">
        <v>215.30629999999999</v>
      </c>
      <c r="C2308" s="10">
        <v>216.72810000000001</v>
      </c>
      <c r="D2308" s="10">
        <v>215.30629999999999</v>
      </c>
      <c r="E2308" s="13">
        <f t="shared" ref="E2308:E2371" si="108">LN(B2308/B2307)</f>
        <v>-2.2269006629363377E-3</v>
      </c>
      <c r="F2308" s="9">
        <f t="shared" si="106"/>
        <v>5.8295744670473257E-2</v>
      </c>
      <c r="G2308" s="9">
        <f t="shared" si="107"/>
        <v>7.4772477883035936E-3</v>
      </c>
    </row>
    <row r="2309" spans="1:7" x14ac:dyDescent="0.2">
      <c r="A2309" s="11">
        <v>38426</v>
      </c>
      <c r="B2309" s="10">
        <v>216.4203</v>
      </c>
      <c r="C2309" s="10">
        <v>217.55430000000001</v>
      </c>
      <c r="D2309" s="10">
        <v>215.30260000000001</v>
      </c>
      <c r="E2309" s="13">
        <f t="shared" si="108"/>
        <v>5.1606848982587994E-3</v>
      </c>
      <c r="F2309" s="9">
        <f t="shared" si="106"/>
        <v>5.437238399901189E-2</v>
      </c>
      <c r="G2309" s="9">
        <f t="shared" si="107"/>
        <v>7.3795422570071406E-3</v>
      </c>
    </row>
    <row r="2310" spans="1:7" x14ac:dyDescent="0.2">
      <c r="A2310" s="11">
        <v>38427</v>
      </c>
      <c r="B2310" s="10">
        <v>214.5718</v>
      </c>
      <c r="C2310" s="10">
        <v>216.5461</v>
      </c>
      <c r="D2310" s="10">
        <v>214.3373</v>
      </c>
      <c r="E2310" s="13">
        <f t="shared" si="108"/>
        <v>-8.5779360434863686E-3</v>
      </c>
      <c r="F2310" s="9">
        <f t="shared" si="106"/>
        <v>4.5750051593580414E-2</v>
      </c>
      <c r="G2310" s="9">
        <f t="shared" si="107"/>
        <v>7.625524874328154E-3</v>
      </c>
    </row>
    <row r="2311" spans="1:7" x14ac:dyDescent="0.2">
      <c r="A2311" s="11">
        <v>38428</v>
      </c>
      <c r="B2311" s="10">
        <v>218.4246</v>
      </c>
      <c r="C2311" s="10">
        <v>218.44630000000001</v>
      </c>
      <c r="D2311" s="10">
        <v>214.4391</v>
      </c>
      <c r="E2311" s="13">
        <f t="shared" si="108"/>
        <v>1.7796460597707776E-2</v>
      </c>
      <c r="F2311" s="9">
        <f t="shared" si="106"/>
        <v>5.2912264687637871E-2</v>
      </c>
      <c r="G2311" s="9">
        <f t="shared" si="107"/>
        <v>8.0343492578928092E-3</v>
      </c>
    </row>
    <row r="2312" spans="1:7" x14ac:dyDescent="0.2">
      <c r="A2312" s="11">
        <v>38429</v>
      </c>
      <c r="B2312" s="10">
        <v>217.90459999999999</v>
      </c>
      <c r="C2312" s="10">
        <v>218.9811</v>
      </c>
      <c r="D2312" s="10">
        <v>217.5232</v>
      </c>
      <c r="E2312" s="13">
        <f t="shared" si="108"/>
        <v>-2.3835225613341466E-3</v>
      </c>
      <c r="F2312" s="9">
        <f t="shared" si="106"/>
        <v>3.6320495868941712E-2</v>
      </c>
      <c r="G2312" s="9">
        <f t="shared" si="107"/>
        <v>7.7050103311588122E-3</v>
      </c>
    </row>
    <row r="2313" spans="1:7" x14ac:dyDescent="0.2">
      <c r="A2313" s="11">
        <v>38432</v>
      </c>
      <c r="B2313" s="10">
        <v>217.42160000000001</v>
      </c>
      <c r="C2313" s="10">
        <v>218.97059999999999</v>
      </c>
      <c r="D2313" s="10">
        <v>217.32470000000001</v>
      </c>
      <c r="E2313" s="13">
        <f t="shared" si="108"/>
        <v>-2.2190265515566799E-3</v>
      </c>
      <c r="F2313" s="9">
        <f t="shared" si="106"/>
        <v>4.3454450016264926E-2</v>
      </c>
      <c r="G2313" s="9">
        <f t="shared" si="107"/>
        <v>7.4644454344312125E-3</v>
      </c>
    </row>
    <row r="2314" spans="1:7" x14ac:dyDescent="0.2">
      <c r="A2314" s="11">
        <v>38433</v>
      </c>
      <c r="B2314" s="10">
        <v>216.67779999999999</v>
      </c>
      <c r="C2314" s="10">
        <v>217.42160000000001</v>
      </c>
      <c r="D2314" s="10">
        <v>215.827</v>
      </c>
      <c r="E2314" s="13">
        <f t="shared" si="108"/>
        <v>-3.4268682605715166E-3</v>
      </c>
      <c r="F2314" s="9">
        <f t="shared" si="106"/>
        <v>3.7899918315689785E-2</v>
      </c>
      <c r="G2314" s="9">
        <f t="shared" si="107"/>
        <v>7.5187888656427634E-3</v>
      </c>
    </row>
    <row r="2315" spans="1:7" x14ac:dyDescent="0.2">
      <c r="A2315" s="11">
        <v>38434</v>
      </c>
      <c r="B2315" s="10">
        <v>213.43790000000001</v>
      </c>
      <c r="C2315" s="10">
        <v>216.67779999999999</v>
      </c>
      <c r="D2315" s="10">
        <v>213.12039999999999</v>
      </c>
      <c r="E2315" s="13">
        <f t="shared" si="108"/>
        <v>-1.5065533668540894E-2</v>
      </c>
      <c r="F2315" s="9">
        <f t="shared" si="106"/>
        <v>1.9096760086428296E-2</v>
      </c>
      <c r="G2315" s="9">
        <f t="shared" si="107"/>
        <v>8.0906856798215552E-3</v>
      </c>
    </row>
    <row r="2316" spans="1:7" x14ac:dyDescent="0.2">
      <c r="A2316" s="11">
        <v>38440</v>
      </c>
      <c r="B2316" s="10">
        <v>213.22710000000001</v>
      </c>
      <c r="C2316" s="10">
        <v>213.57400000000001</v>
      </c>
      <c r="D2316" s="10">
        <v>212.0891</v>
      </c>
      <c r="E2316" s="13">
        <f t="shared" si="108"/>
        <v>-9.8812894027909093E-4</v>
      </c>
      <c r="F2316" s="9">
        <f t="shared" si="106"/>
        <v>1.0771736355644724E-2</v>
      </c>
      <c r="G2316" s="9">
        <f t="shared" si="107"/>
        <v>7.9923583369256278E-3</v>
      </c>
    </row>
    <row r="2317" spans="1:7" x14ac:dyDescent="0.2">
      <c r="A2317" s="11">
        <v>38441</v>
      </c>
      <c r="B2317" s="10">
        <v>211.26750000000001</v>
      </c>
      <c r="C2317" s="10">
        <v>213.2345</v>
      </c>
      <c r="D2317" s="10">
        <v>210.83090000000001</v>
      </c>
      <c r="E2317" s="13">
        <f t="shared" si="108"/>
        <v>-9.232691865086854E-3</v>
      </c>
      <c r="F2317" s="9">
        <f t="shared" si="106"/>
        <v>1.0257664311672516E-3</v>
      </c>
      <c r="G2317" s="9">
        <f t="shared" si="107"/>
        <v>8.1886726576470351E-3</v>
      </c>
    </row>
    <row r="2318" spans="1:7" x14ac:dyDescent="0.2">
      <c r="A2318" s="11">
        <v>38442</v>
      </c>
      <c r="B2318" s="10">
        <v>213.62819999999999</v>
      </c>
      <c r="C2318" s="10">
        <v>213.70269999999999</v>
      </c>
      <c r="D2318" s="10">
        <v>211.26750000000001</v>
      </c>
      <c r="E2318" s="13">
        <f t="shared" si="108"/>
        <v>1.1112017800843609E-2</v>
      </c>
      <c r="F2318" s="9">
        <f t="shared" si="106"/>
        <v>6.3780715873976868E-3</v>
      </c>
      <c r="G2318" s="9">
        <f t="shared" si="107"/>
        <v>8.3803730268003449E-3</v>
      </c>
    </row>
    <row r="2319" spans="1:7" x14ac:dyDescent="0.2">
      <c r="A2319" s="11">
        <v>38443</v>
      </c>
      <c r="B2319" s="10">
        <v>215.3974</v>
      </c>
      <c r="C2319" s="10">
        <v>215.52780000000001</v>
      </c>
      <c r="D2319" s="10">
        <v>213.56</v>
      </c>
      <c r="E2319" s="13">
        <f t="shared" si="108"/>
        <v>8.2475732392999906E-3</v>
      </c>
      <c r="F2319" s="9">
        <f t="shared" si="106"/>
        <v>2.1210143180448504E-2</v>
      </c>
      <c r="G2319" s="9">
        <f t="shared" si="107"/>
        <v>8.4028377236826553E-3</v>
      </c>
    </row>
    <row r="2320" spans="1:7" x14ac:dyDescent="0.2">
      <c r="A2320" s="11">
        <v>38446</v>
      </c>
      <c r="B2320" s="10">
        <v>217.64490000000001</v>
      </c>
      <c r="C2320" s="10">
        <v>217.69839999999999</v>
      </c>
      <c r="D2320" s="10">
        <v>215.16</v>
      </c>
      <c r="E2320" s="13">
        <f t="shared" si="108"/>
        <v>1.0380141524937783E-2</v>
      </c>
      <c r="F2320" s="9">
        <f t="shared" si="106"/>
        <v>2.3268473157653208E-2</v>
      </c>
      <c r="G2320" s="9">
        <f t="shared" si="107"/>
        <v>8.47760269184414E-3</v>
      </c>
    </row>
    <row r="2321" spans="1:7" x14ac:dyDescent="0.2">
      <c r="A2321" s="11">
        <v>38447</v>
      </c>
      <c r="B2321" s="10">
        <v>217.97919999999999</v>
      </c>
      <c r="C2321" s="10">
        <v>218.3329</v>
      </c>
      <c r="D2321" s="10">
        <v>217.3467</v>
      </c>
      <c r="E2321" s="13">
        <f t="shared" si="108"/>
        <v>1.5348097849693352E-3</v>
      </c>
      <c r="F2321" s="9">
        <f t="shared" si="106"/>
        <v>3.3784464156866714E-2</v>
      </c>
      <c r="G2321" s="9">
        <f t="shared" si="107"/>
        <v>8.2664519823157489E-3</v>
      </c>
    </row>
    <row r="2322" spans="1:7" x14ac:dyDescent="0.2">
      <c r="A2322" s="11">
        <v>38448</v>
      </c>
      <c r="B2322" s="10">
        <v>218.6628</v>
      </c>
      <c r="C2322" s="10">
        <v>218.78639999999999</v>
      </c>
      <c r="D2322" s="10">
        <v>217.33750000000001</v>
      </c>
      <c r="E2322" s="13">
        <f t="shared" si="108"/>
        <v>3.1311717998479924E-3</v>
      </c>
      <c r="F2322" s="9">
        <f t="shared" si="106"/>
        <v>3.1594753862379109E-2</v>
      </c>
      <c r="G2322" s="9">
        <f t="shared" si="107"/>
        <v>8.2370839373888793E-3</v>
      </c>
    </row>
    <row r="2323" spans="1:7" x14ac:dyDescent="0.2">
      <c r="A2323" s="11">
        <v>38449</v>
      </c>
      <c r="B2323" s="10">
        <v>219.9898</v>
      </c>
      <c r="C2323" s="10">
        <v>220.59049999999999</v>
      </c>
      <c r="D2323" s="10">
        <v>218.6568</v>
      </c>
      <c r="E2323" s="13">
        <f t="shared" si="108"/>
        <v>6.0503644483659684E-3</v>
      </c>
      <c r="F2323" s="9">
        <f t="shared" si="106"/>
        <v>4.3010606570609178E-2</v>
      </c>
      <c r="G2323" s="9">
        <f t="shared" si="107"/>
        <v>8.1902326165164425E-3</v>
      </c>
    </row>
    <row r="2324" spans="1:7" x14ac:dyDescent="0.2">
      <c r="A2324" s="11">
        <v>38450</v>
      </c>
      <c r="B2324" s="10">
        <v>220.012</v>
      </c>
      <c r="C2324" s="10">
        <v>221.02529999999999</v>
      </c>
      <c r="D2324" s="10">
        <v>219.95869999999999</v>
      </c>
      <c r="E2324" s="13">
        <f t="shared" si="108"/>
        <v>1.0090867818646637E-4</v>
      </c>
      <c r="F2324" s="9">
        <f t="shared" si="106"/>
        <v>4.3371124654378854E-2</v>
      </c>
      <c r="G2324" s="9">
        <f t="shared" si="107"/>
        <v>8.1877661486223982E-3</v>
      </c>
    </row>
    <row r="2325" spans="1:7" x14ac:dyDescent="0.2">
      <c r="A2325" s="11">
        <v>38453</v>
      </c>
      <c r="B2325" s="10">
        <v>219.03739999999999</v>
      </c>
      <c r="C2325" s="10">
        <v>220.13489999999999</v>
      </c>
      <c r="D2325" s="10">
        <v>218.9521</v>
      </c>
      <c r="E2325" s="13">
        <f t="shared" si="108"/>
        <v>-4.4395988277539586E-3</v>
      </c>
      <c r="F2325" s="9">
        <f t="shared" si="106"/>
        <v>2.4411992135452899E-2</v>
      </c>
      <c r="G2325" s="9">
        <f t="shared" si="107"/>
        <v>7.8611015493799639E-3</v>
      </c>
    </row>
    <row r="2326" spans="1:7" x14ac:dyDescent="0.2">
      <c r="A2326" s="11">
        <v>38454</v>
      </c>
      <c r="B2326" s="10">
        <v>219.26410000000001</v>
      </c>
      <c r="C2326" s="10">
        <v>220.12299999999999</v>
      </c>
      <c r="D2326" s="10">
        <v>218.9273</v>
      </c>
      <c r="E2326" s="13">
        <f t="shared" si="108"/>
        <v>1.0344478411123781E-3</v>
      </c>
      <c r="F2326" s="9">
        <f t="shared" si="106"/>
        <v>1.6447265742382693E-2</v>
      </c>
      <c r="G2326" s="9">
        <f t="shared" si="107"/>
        <v>7.7034789413865474E-3</v>
      </c>
    </row>
    <row r="2327" spans="1:7" x14ac:dyDescent="0.2">
      <c r="A2327" s="11">
        <v>38455</v>
      </c>
      <c r="B2327" s="10">
        <v>219.4324</v>
      </c>
      <c r="C2327" s="10">
        <v>220.09649999999999</v>
      </c>
      <c r="D2327" s="10">
        <v>219.0795</v>
      </c>
      <c r="E2327" s="13">
        <f t="shared" si="108"/>
        <v>7.6727308404157921E-4</v>
      </c>
      <c r="F2327" s="9">
        <f t="shared" si="106"/>
        <v>1.2299135395197947E-2</v>
      </c>
      <c r="G2327" s="9">
        <f t="shared" si="107"/>
        <v>7.6582351364159499E-3</v>
      </c>
    </row>
    <row r="2328" spans="1:7" x14ac:dyDescent="0.2">
      <c r="A2328" s="11">
        <v>38456</v>
      </c>
      <c r="B2328" s="10">
        <v>218.66929999999999</v>
      </c>
      <c r="C2328" s="10">
        <v>219.4682</v>
      </c>
      <c r="D2328" s="10">
        <v>217.38220000000001</v>
      </c>
      <c r="E2328" s="13">
        <f t="shared" si="108"/>
        <v>-3.4836695303640777E-3</v>
      </c>
      <c r="F2328" s="9">
        <f t="shared" si="106"/>
        <v>9.1887764254826865E-3</v>
      </c>
      <c r="G2328" s="9">
        <f t="shared" si="107"/>
        <v>7.6915098908683904E-3</v>
      </c>
    </row>
    <row r="2329" spans="1:7" x14ac:dyDescent="0.2">
      <c r="A2329" s="11">
        <v>38457</v>
      </c>
      <c r="B2329" s="10">
        <v>213.94659999999999</v>
      </c>
      <c r="C2329" s="10">
        <v>218.66929999999999</v>
      </c>
      <c r="D2329" s="10">
        <v>213.6396</v>
      </c>
      <c r="E2329" s="13">
        <f t="shared" si="108"/>
        <v>-2.1834091713289424E-2</v>
      </c>
      <c r="F2329" s="9">
        <f t="shared" si="106"/>
        <v>-4.335131772186908E-3</v>
      </c>
      <c r="G2329" s="9">
        <f t="shared" si="107"/>
        <v>8.5906779851195828E-3</v>
      </c>
    </row>
    <row r="2330" spans="1:7" x14ac:dyDescent="0.2">
      <c r="A2330" s="11">
        <v>38460</v>
      </c>
      <c r="B2330" s="10">
        <v>207.5421</v>
      </c>
      <c r="C2330" s="10">
        <v>213.94659999999999</v>
      </c>
      <c r="D2330" s="10">
        <v>204.8715</v>
      </c>
      <c r="E2330" s="13">
        <f t="shared" si="108"/>
        <v>-3.0392240515796289E-2</v>
      </c>
      <c r="F2330" s="9">
        <f t="shared" si="106"/>
        <v>-4.6531250970193387E-2</v>
      </c>
      <c r="G2330" s="9">
        <f t="shared" si="107"/>
        <v>9.958372522799866E-3</v>
      </c>
    </row>
    <row r="2331" spans="1:7" x14ac:dyDescent="0.2">
      <c r="A2331" s="11">
        <v>38461</v>
      </c>
      <c r="B2331" s="10">
        <v>209.4298</v>
      </c>
      <c r="C2331" s="10">
        <v>209.69909999999999</v>
      </c>
      <c r="D2331" s="10">
        <v>207.53</v>
      </c>
      <c r="E2331" s="13">
        <f t="shared" si="108"/>
        <v>9.0543890196339884E-3</v>
      </c>
      <c r="F2331" s="9">
        <f t="shared" si="106"/>
        <v>-4.8489120171231748E-2</v>
      </c>
      <c r="G2331" s="9">
        <f t="shared" si="107"/>
        <v>9.8760789231878403E-3</v>
      </c>
    </row>
    <row r="2332" spans="1:7" x14ac:dyDescent="0.2">
      <c r="A2332" s="11">
        <v>38462</v>
      </c>
      <c r="B2332" s="10">
        <v>210.0291</v>
      </c>
      <c r="C2332" s="10">
        <v>212.21960000000001</v>
      </c>
      <c r="D2332" s="10">
        <v>209.4298</v>
      </c>
      <c r="E2332" s="13">
        <f t="shared" si="108"/>
        <v>2.857492868964888E-3</v>
      </c>
      <c r="F2332" s="9">
        <f t="shared" si="106"/>
        <v>-4.325110482706139E-2</v>
      </c>
      <c r="G2332" s="9">
        <f t="shared" si="107"/>
        <v>9.9104972965306029E-3</v>
      </c>
    </row>
    <row r="2333" spans="1:7" x14ac:dyDescent="0.2">
      <c r="A2333" s="11">
        <v>38463</v>
      </c>
      <c r="B2333" s="10">
        <v>210.96199999999999</v>
      </c>
      <c r="C2333" s="10">
        <v>211.02029999999999</v>
      </c>
      <c r="D2333" s="10">
        <v>209.51490000000001</v>
      </c>
      <c r="E2333" s="13">
        <f t="shared" si="108"/>
        <v>4.4319299244166008E-3</v>
      </c>
      <c r="F2333" s="9">
        <f t="shared" si="106"/>
        <v>-3.4082294592757467E-2</v>
      </c>
      <c r="G2333" s="9">
        <f t="shared" si="107"/>
        <v>9.9494381318583798E-3</v>
      </c>
    </row>
    <row r="2334" spans="1:7" x14ac:dyDescent="0.2">
      <c r="A2334" s="11">
        <v>38464</v>
      </c>
      <c r="B2334" s="10">
        <v>212.74199999999999</v>
      </c>
      <c r="C2334" s="10">
        <v>213.35429999999999</v>
      </c>
      <c r="D2334" s="10">
        <v>210.90940000000001</v>
      </c>
      <c r="E2334" s="13">
        <f t="shared" si="108"/>
        <v>8.4021414559450128E-3</v>
      </c>
      <c r="F2334" s="9">
        <f t="shared" si="106"/>
        <v>-2.3319804052474014E-2</v>
      </c>
      <c r="G2334" s="9">
        <f t="shared" si="107"/>
        <v>1.0103190367526094E-2</v>
      </c>
    </row>
    <row r="2335" spans="1:7" x14ac:dyDescent="0.2">
      <c r="A2335" s="11">
        <v>38467</v>
      </c>
      <c r="B2335" s="10">
        <v>214.07329999999999</v>
      </c>
      <c r="C2335" s="10">
        <v>214.15770000000001</v>
      </c>
      <c r="D2335" s="10">
        <v>212.49549999999999</v>
      </c>
      <c r="E2335" s="13">
        <f t="shared" si="108"/>
        <v>6.238315812333306E-3</v>
      </c>
      <c r="F2335" s="9">
        <f t="shared" si="106"/>
        <v>-4.9240168239916005E-3</v>
      </c>
      <c r="G2335" s="9">
        <f t="shared" si="107"/>
        <v>9.9411003707370865E-3</v>
      </c>
    </row>
    <row r="2336" spans="1:7" x14ac:dyDescent="0.2">
      <c r="A2336" s="11">
        <v>38468</v>
      </c>
      <c r="B2336" s="10">
        <v>210.8389</v>
      </c>
      <c r="C2336" s="10">
        <v>214.63910000000001</v>
      </c>
      <c r="D2336" s="10">
        <v>210.83109999999999</v>
      </c>
      <c r="E2336" s="13">
        <f t="shared" si="108"/>
        <v>-1.5224144991538031E-2</v>
      </c>
      <c r="F2336" s="9">
        <f t="shared" ref="F2336:F2399" si="109">LN(B2336/B2307)</f>
        <v>-2.3194231353668358E-2</v>
      </c>
      <c r="G2336" s="9">
        <f t="shared" si="107"/>
        <v>1.0302383030506221E-2</v>
      </c>
    </row>
    <row r="2337" spans="1:7" x14ac:dyDescent="0.2">
      <c r="A2337" s="11">
        <v>38469</v>
      </c>
      <c r="B2337" s="10">
        <v>204.89949999999999</v>
      </c>
      <c r="C2337" s="10">
        <v>210.8389</v>
      </c>
      <c r="D2337" s="10">
        <v>204.7903</v>
      </c>
      <c r="E2337" s="13">
        <f t="shared" si="108"/>
        <v>-2.857471971992576E-2</v>
      </c>
      <c r="F2337" s="9">
        <f t="shared" si="109"/>
        <v>-4.9542050410657817E-2</v>
      </c>
      <c r="G2337" s="9">
        <f t="shared" ref="G2337:G2400" si="110">STDEV(E2309:E2337)</f>
        <v>1.1522285845792964E-2</v>
      </c>
    </row>
    <row r="2338" spans="1:7" x14ac:dyDescent="0.2">
      <c r="A2338" s="11">
        <v>38470</v>
      </c>
      <c r="B2338" s="10">
        <v>202.53389999999999</v>
      </c>
      <c r="C2338" s="10">
        <v>205.52780000000001</v>
      </c>
      <c r="D2338" s="10">
        <v>201.87430000000001</v>
      </c>
      <c r="E2338" s="13">
        <f t="shared" si="108"/>
        <v>-1.1612335084193003E-2</v>
      </c>
      <c r="F2338" s="9">
        <f t="shared" si="109"/>
        <v>-6.6315070393109632E-2</v>
      </c>
      <c r="G2338" s="9">
        <f t="shared" si="110"/>
        <v>1.1585967816976756E-2</v>
      </c>
    </row>
    <row r="2339" spans="1:7" x14ac:dyDescent="0.2">
      <c r="A2339" s="11">
        <v>38471</v>
      </c>
      <c r="B2339" s="10">
        <v>203.0411</v>
      </c>
      <c r="C2339" s="10">
        <v>203.64179999999999</v>
      </c>
      <c r="D2339" s="10">
        <v>202.05500000000001</v>
      </c>
      <c r="E2339" s="13">
        <f t="shared" si="108"/>
        <v>2.5011416601514644E-3</v>
      </c>
      <c r="F2339" s="9">
        <f t="shared" si="109"/>
        <v>-5.523599268947179E-2</v>
      </c>
      <c r="G2339" s="9">
        <f t="shared" si="110"/>
        <v>1.1553728453880741E-2</v>
      </c>
    </row>
    <row r="2340" spans="1:7" x14ac:dyDescent="0.2">
      <c r="A2340" s="11">
        <v>38474</v>
      </c>
      <c r="B2340" s="10">
        <v>204.3587</v>
      </c>
      <c r="C2340" s="10">
        <v>204.76820000000001</v>
      </c>
      <c r="D2340" s="10">
        <v>203.0411</v>
      </c>
      <c r="E2340" s="13">
        <f t="shared" si="108"/>
        <v>6.4683615161122525E-3</v>
      </c>
      <c r="F2340" s="9">
        <f t="shared" si="109"/>
        <v>-6.656409177106723E-2</v>
      </c>
      <c r="G2340" s="9">
        <f t="shared" si="110"/>
        <v>1.1044115425631345E-2</v>
      </c>
    </row>
    <row r="2341" spans="1:7" x14ac:dyDescent="0.2">
      <c r="A2341" s="11">
        <v>38475</v>
      </c>
      <c r="B2341" s="10">
        <v>205.53870000000001</v>
      </c>
      <c r="C2341" s="10">
        <v>205.79910000000001</v>
      </c>
      <c r="D2341" s="10">
        <v>204.1653</v>
      </c>
      <c r="E2341" s="13">
        <f t="shared" si="108"/>
        <v>5.757554254758635E-3</v>
      </c>
      <c r="F2341" s="9">
        <f t="shared" si="109"/>
        <v>-5.8423014954974345E-2</v>
      </c>
      <c r="G2341" s="9">
        <f t="shared" si="110"/>
        <v>1.1144801919384191E-2</v>
      </c>
    </row>
    <row r="2342" spans="1:7" x14ac:dyDescent="0.2">
      <c r="A2342" s="11">
        <v>38476</v>
      </c>
      <c r="B2342" s="10">
        <v>205.05770000000001</v>
      </c>
      <c r="C2342" s="10">
        <v>206.50829999999999</v>
      </c>
      <c r="D2342" s="10">
        <v>204.38300000000001</v>
      </c>
      <c r="E2342" s="13">
        <f t="shared" si="108"/>
        <v>-2.3429344243207579E-3</v>
      </c>
      <c r="F2342" s="9">
        <f t="shared" si="109"/>
        <v>-5.8546922827738504E-2</v>
      </c>
      <c r="G2342" s="9">
        <f t="shared" si="110"/>
        <v>1.1144906847932972E-2</v>
      </c>
    </row>
    <row r="2343" spans="1:7" x14ac:dyDescent="0.2">
      <c r="A2343" s="11">
        <v>38478</v>
      </c>
      <c r="B2343" s="10">
        <v>209.89840000000001</v>
      </c>
      <c r="C2343" s="10">
        <v>209.89840000000001</v>
      </c>
      <c r="D2343" s="10">
        <v>205.05770000000001</v>
      </c>
      <c r="E2343" s="13">
        <f t="shared" si="108"/>
        <v>2.3332201170422496E-2</v>
      </c>
      <c r="F2343" s="9">
        <f t="shared" si="109"/>
        <v>-3.1787853396744441E-2</v>
      </c>
      <c r="G2343" s="9">
        <f t="shared" si="110"/>
        <v>1.2091692901608381E-2</v>
      </c>
    </row>
    <row r="2344" spans="1:7" x14ac:dyDescent="0.2">
      <c r="A2344" s="11">
        <v>38481</v>
      </c>
      <c r="B2344" s="10">
        <v>211.59549999999999</v>
      </c>
      <c r="C2344" s="10">
        <v>211.92769999999999</v>
      </c>
      <c r="D2344" s="10">
        <v>209.27359999999999</v>
      </c>
      <c r="E2344" s="13">
        <f t="shared" si="108"/>
        <v>8.0528290972963334E-3</v>
      </c>
      <c r="F2344" s="9">
        <f t="shared" si="109"/>
        <v>-8.6694906309071444E-3</v>
      </c>
      <c r="G2344" s="9">
        <f t="shared" si="110"/>
        <v>1.1898353395660545E-2</v>
      </c>
    </row>
    <row r="2345" spans="1:7" x14ac:dyDescent="0.2">
      <c r="A2345" s="11">
        <v>38482</v>
      </c>
      <c r="B2345" s="10">
        <v>210.43049999999999</v>
      </c>
      <c r="C2345" s="10">
        <v>212.84350000000001</v>
      </c>
      <c r="D2345" s="10">
        <v>209.9511</v>
      </c>
      <c r="E2345" s="13">
        <f t="shared" si="108"/>
        <v>-5.5210008825965261E-3</v>
      </c>
      <c r="F2345" s="9">
        <f t="shared" si="109"/>
        <v>-1.3202362573224602E-2</v>
      </c>
      <c r="G2345" s="9">
        <f t="shared" si="110"/>
        <v>1.1937439798491056E-2</v>
      </c>
    </row>
    <row r="2346" spans="1:7" x14ac:dyDescent="0.2">
      <c r="A2346" s="11">
        <v>38483</v>
      </c>
      <c r="B2346" s="10">
        <v>210.934</v>
      </c>
      <c r="C2346" s="10">
        <v>210.9726</v>
      </c>
      <c r="D2346" s="10">
        <v>209.39359999999999</v>
      </c>
      <c r="E2346" s="13">
        <f t="shared" si="108"/>
        <v>2.3898560018287543E-3</v>
      </c>
      <c r="F2346" s="9">
        <f t="shared" si="109"/>
        <v>-1.5798147063089407E-3</v>
      </c>
      <c r="G2346" s="9">
        <f t="shared" si="110"/>
        <v>1.1826819260942874E-2</v>
      </c>
    </row>
    <row r="2347" spans="1:7" x14ac:dyDescent="0.2">
      <c r="A2347" s="11">
        <v>38484</v>
      </c>
      <c r="B2347" s="10">
        <v>210.85249999999999</v>
      </c>
      <c r="C2347" s="10">
        <v>211.81270000000001</v>
      </c>
      <c r="D2347" s="10">
        <v>210.10910000000001</v>
      </c>
      <c r="E2347" s="13">
        <f t="shared" si="108"/>
        <v>-3.8645144410405882E-4</v>
      </c>
      <c r="F2347" s="9">
        <f t="shared" si="109"/>
        <v>-1.307828395125659E-2</v>
      </c>
      <c r="G2347" s="9">
        <f t="shared" si="110"/>
        <v>1.1630198978472433E-2</v>
      </c>
    </row>
    <row r="2348" spans="1:7" x14ac:dyDescent="0.2">
      <c r="A2348" s="11">
        <v>38485</v>
      </c>
      <c r="B2348" s="10">
        <v>207.55250000000001</v>
      </c>
      <c r="C2348" s="10">
        <v>210.85249999999999</v>
      </c>
      <c r="D2348" s="10">
        <v>207.49719999999999</v>
      </c>
      <c r="E2348" s="13">
        <f t="shared" si="108"/>
        <v>-1.5774517175698298E-2</v>
      </c>
      <c r="F2348" s="9">
        <f t="shared" si="109"/>
        <v>-3.7100374366254865E-2</v>
      </c>
      <c r="G2348" s="9">
        <f t="shared" si="110"/>
        <v>1.18420713847455E-2</v>
      </c>
    </row>
    <row r="2349" spans="1:7" x14ac:dyDescent="0.2">
      <c r="A2349" s="11">
        <v>38490</v>
      </c>
      <c r="B2349" s="10">
        <v>210.50229999999999</v>
      </c>
      <c r="C2349" s="10">
        <v>210.50229999999999</v>
      </c>
      <c r="D2349" s="10">
        <v>207.55250000000001</v>
      </c>
      <c r="E2349" s="13">
        <f t="shared" si="108"/>
        <v>1.4112259711744178E-2</v>
      </c>
      <c r="F2349" s="9">
        <f t="shared" si="109"/>
        <v>-3.3368256179448538E-2</v>
      </c>
      <c r="G2349" s="9">
        <f t="shared" si="110"/>
        <v>1.1992628298439906E-2</v>
      </c>
    </row>
    <row r="2350" spans="1:7" x14ac:dyDescent="0.2">
      <c r="A2350" s="11">
        <v>38491</v>
      </c>
      <c r="B2350" s="10">
        <v>211.8569</v>
      </c>
      <c r="C2350" s="10">
        <v>212.51679999999999</v>
      </c>
      <c r="D2350" s="10">
        <v>210.37569999999999</v>
      </c>
      <c r="E2350" s="13">
        <f t="shared" si="108"/>
        <v>6.4144673284054028E-3</v>
      </c>
      <c r="F2350" s="9">
        <f t="shared" si="109"/>
        <v>-2.8488598636012379E-2</v>
      </c>
      <c r="G2350" s="9">
        <f t="shared" si="110"/>
        <v>1.2065662277230492E-2</v>
      </c>
    </row>
    <row r="2351" spans="1:7" x14ac:dyDescent="0.2">
      <c r="A2351" s="11">
        <v>38492</v>
      </c>
      <c r="B2351" s="10">
        <v>213.41919999999999</v>
      </c>
      <c r="C2351" s="10">
        <v>213.72059999999999</v>
      </c>
      <c r="D2351" s="10">
        <v>211.63560000000001</v>
      </c>
      <c r="E2351" s="13">
        <f t="shared" si="108"/>
        <v>7.3472599472672708E-3</v>
      </c>
      <c r="F2351" s="9">
        <f t="shared" si="109"/>
        <v>-2.4272510488593243E-2</v>
      </c>
      <c r="G2351" s="9">
        <f t="shared" si="110"/>
        <v>1.214215546172878E-2</v>
      </c>
    </row>
    <row r="2352" spans="1:7" x14ac:dyDescent="0.2">
      <c r="A2352" s="11">
        <v>38495</v>
      </c>
      <c r="B2352" s="10">
        <v>212.5463</v>
      </c>
      <c r="C2352" s="10">
        <v>213.42310000000001</v>
      </c>
      <c r="D2352" s="10">
        <v>212.5463</v>
      </c>
      <c r="E2352" s="13">
        <f t="shared" si="108"/>
        <v>-4.0984597197119867E-3</v>
      </c>
      <c r="F2352" s="9">
        <f t="shared" si="109"/>
        <v>-3.4421334656671139E-2</v>
      </c>
      <c r="G2352" s="9">
        <f t="shared" si="110"/>
        <v>1.2082668069981435E-2</v>
      </c>
    </row>
    <row r="2353" spans="1:7" x14ac:dyDescent="0.2">
      <c r="A2353" s="11">
        <v>38496</v>
      </c>
      <c r="B2353" s="10">
        <v>213.71469999999999</v>
      </c>
      <c r="C2353" s="10">
        <v>214.786</v>
      </c>
      <c r="D2353" s="10">
        <v>212.5463</v>
      </c>
      <c r="E2353" s="13">
        <f t="shared" si="108"/>
        <v>5.4821009954039539E-3</v>
      </c>
      <c r="F2353" s="9">
        <f t="shared" si="109"/>
        <v>-2.9040142339453661E-2</v>
      </c>
      <c r="G2353" s="9">
        <f t="shared" si="110"/>
        <v>1.2144315765278444E-2</v>
      </c>
    </row>
    <row r="2354" spans="1:7" x14ac:dyDescent="0.2">
      <c r="A2354" s="11">
        <v>38497</v>
      </c>
      <c r="B2354" s="10">
        <v>213.46100000000001</v>
      </c>
      <c r="C2354" s="10">
        <v>214.64760000000001</v>
      </c>
      <c r="D2354" s="10">
        <v>213.43950000000001</v>
      </c>
      <c r="E2354" s="13">
        <f t="shared" si="108"/>
        <v>-1.187801786609969E-3</v>
      </c>
      <c r="F2354" s="9">
        <f t="shared" si="109"/>
        <v>-2.5788345298309607E-2</v>
      </c>
      <c r="G2354" s="9">
        <f t="shared" si="110"/>
        <v>1.2126435343859944E-2</v>
      </c>
    </row>
    <row r="2355" spans="1:7" x14ac:dyDescent="0.2">
      <c r="A2355" s="11">
        <v>38498</v>
      </c>
      <c r="B2355" s="10">
        <v>216.35</v>
      </c>
      <c r="C2355" s="10">
        <v>216.37459999999999</v>
      </c>
      <c r="D2355" s="10">
        <v>213.428</v>
      </c>
      <c r="E2355" s="13">
        <f t="shared" si="108"/>
        <v>1.3443320477599574E-2</v>
      </c>
      <c r="F2355" s="9">
        <f t="shared" si="109"/>
        <v>-1.3379472661822439E-2</v>
      </c>
      <c r="G2355" s="9">
        <f t="shared" si="110"/>
        <v>1.2412298828061923E-2</v>
      </c>
    </row>
    <row r="2356" spans="1:7" x14ac:dyDescent="0.2">
      <c r="A2356" s="11">
        <v>38499</v>
      </c>
      <c r="B2356" s="10">
        <v>216.5488</v>
      </c>
      <c r="C2356" s="10">
        <v>217.41919999999999</v>
      </c>
      <c r="D2356" s="10">
        <v>216.0138</v>
      </c>
      <c r="E2356" s="13">
        <f t="shared" si="108"/>
        <v>9.1845952899436887E-4</v>
      </c>
      <c r="F2356" s="9">
        <f t="shared" si="109"/>
        <v>-1.3228286216869568E-2</v>
      </c>
      <c r="G2356" s="9">
        <f t="shared" si="110"/>
        <v>1.2412865037579783E-2</v>
      </c>
    </row>
    <row r="2357" spans="1:7" x14ac:dyDescent="0.2">
      <c r="A2357" s="11">
        <v>38502</v>
      </c>
      <c r="B2357" s="10">
        <v>217.5077</v>
      </c>
      <c r="C2357" s="10">
        <v>217.68539999999999</v>
      </c>
      <c r="D2357" s="10">
        <v>216.28739999999999</v>
      </c>
      <c r="E2357" s="13">
        <f t="shared" si="108"/>
        <v>4.418326001054621E-3</v>
      </c>
      <c r="F2357" s="9">
        <f t="shared" si="109"/>
        <v>-5.3262906854509018E-3</v>
      </c>
      <c r="G2357" s="9">
        <f t="shared" si="110"/>
        <v>1.2430750418458125E-2</v>
      </c>
    </row>
    <row r="2358" spans="1:7" x14ac:dyDescent="0.2">
      <c r="A2358" s="11">
        <v>38503</v>
      </c>
      <c r="B2358" s="10">
        <v>215.6146</v>
      </c>
      <c r="C2358" s="10">
        <v>217.5077</v>
      </c>
      <c r="D2358" s="10">
        <v>215.58590000000001</v>
      </c>
      <c r="E2358" s="13">
        <f t="shared" si="108"/>
        <v>-8.741697462571283E-3</v>
      </c>
      <c r="F2358" s="9">
        <f t="shared" si="109"/>
        <v>7.7661035652672452E-3</v>
      </c>
      <c r="G2358" s="9">
        <f t="shared" si="110"/>
        <v>1.1840076915386917E-2</v>
      </c>
    </row>
    <row r="2359" spans="1:7" x14ac:dyDescent="0.2">
      <c r="A2359" s="11">
        <v>38504</v>
      </c>
      <c r="B2359" s="10">
        <v>218.75059999999999</v>
      </c>
      <c r="C2359" s="10">
        <v>219.4512</v>
      </c>
      <c r="D2359" s="10">
        <v>215.60310000000001</v>
      </c>
      <c r="E2359" s="13">
        <f t="shared" si="108"/>
        <v>1.4439713352733466E-2</v>
      </c>
      <c r="F2359" s="9">
        <f t="shared" si="109"/>
        <v>5.2598057433797071E-2</v>
      </c>
      <c r="G2359" s="9">
        <f t="shared" si="110"/>
        <v>1.0550467326223093E-2</v>
      </c>
    </row>
    <row r="2360" spans="1:7" x14ac:dyDescent="0.2">
      <c r="A2360" s="11">
        <v>38505</v>
      </c>
      <c r="B2360" s="10">
        <v>220.05940000000001</v>
      </c>
      <c r="C2360" s="10">
        <v>220.87950000000001</v>
      </c>
      <c r="D2360" s="10">
        <v>218.75059999999999</v>
      </c>
      <c r="E2360" s="13">
        <f t="shared" si="108"/>
        <v>5.9652418178162189E-3</v>
      </c>
      <c r="F2360" s="9">
        <f t="shared" si="109"/>
        <v>4.950891023197955E-2</v>
      </c>
      <c r="G2360" s="9">
        <f t="shared" si="110"/>
        <v>1.0490173842156208E-2</v>
      </c>
    </row>
    <row r="2361" spans="1:7" x14ac:dyDescent="0.2">
      <c r="A2361" s="11">
        <v>38506</v>
      </c>
      <c r="B2361" s="10">
        <v>219.40559999999999</v>
      </c>
      <c r="C2361" s="10">
        <v>221.58410000000001</v>
      </c>
      <c r="D2361" s="10">
        <v>218.87960000000001</v>
      </c>
      <c r="E2361" s="13">
        <f t="shared" si="108"/>
        <v>-2.9754382367359533E-3</v>
      </c>
      <c r="F2361" s="9">
        <f t="shared" si="109"/>
        <v>4.3675979126278741E-2</v>
      </c>
      <c r="G2361" s="9">
        <f t="shared" si="110"/>
        <v>1.0523198326215056E-2</v>
      </c>
    </row>
    <row r="2362" spans="1:7" x14ac:dyDescent="0.2">
      <c r="A2362" s="11">
        <v>38509</v>
      </c>
      <c r="B2362" s="10">
        <v>219.47130000000001</v>
      </c>
      <c r="C2362" s="10">
        <v>220.3818</v>
      </c>
      <c r="D2362" s="10">
        <v>215.30109999999999</v>
      </c>
      <c r="E2362" s="13">
        <f t="shared" si="108"/>
        <v>2.9940058586266758E-4</v>
      </c>
      <c r="F2362" s="9">
        <f t="shared" si="109"/>
        <v>3.9543449787724928E-2</v>
      </c>
      <c r="G2362" s="9">
        <f t="shared" si="110"/>
        <v>1.051013486223625E-2</v>
      </c>
    </row>
    <row r="2363" spans="1:7" x14ac:dyDescent="0.2">
      <c r="A2363" s="11">
        <v>38510</v>
      </c>
      <c r="B2363" s="10">
        <v>220.8682</v>
      </c>
      <c r="C2363" s="10">
        <v>221.0275</v>
      </c>
      <c r="D2363" s="10">
        <v>219.47130000000001</v>
      </c>
      <c r="E2363" s="13">
        <f t="shared" si="108"/>
        <v>6.3446712638645306E-3</v>
      </c>
      <c r="F2363" s="9">
        <f t="shared" si="109"/>
        <v>3.7485979595644349E-2</v>
      </c>
      <c r="G2363" s="9">
        <f t="shared" si="110"/>
        <v>1.0467784035959703E-2</v>
      </c>
    </row>
    <row r="2364" spans="1:7" x14ac:dyDescent="0.2">
      <c r="A2364" s="11">
        <v>38511</v>
      </c>
      <c r="B2364" s="10">
        <v>223.42760000000001</v>
      </c>
      <c r="C2364" s="10">
        <v>223.6748</v>
      </c>
      <c r="D2364" s="10">
        <v>220.50409999999999</v>
      </c>
      <c r="E2364" s="13">
        <f t="shared" si="108"/>
        <v>1.1521280692491736E-2</v>
      </c>
      <c r="F2364" s="9">
        <f t="shared" si="109"/>
        <v>4.2768944475802886E-2</v>
      </c>
      <c r="G2364" s="9">
        <f t="shared" si="110"/>
        <v>1.0602036970777863E-2</v>
      </c>
    </row>
    <row r="2365" spans="1:7" x14ac:dyDescent="0.2">
      <c r="A2365" s="11">
        <v>38512</v>
      </c>
      <c r="B2365" s="10">
        <v>223.09739999999999</v>
      </c>
      <c r="C2365" s="10">
        <v>223.72380000000001</v>
      </c>
      <c r="D2365" s="10">
        <v>222.16059999999999</v>
      </c>
      <c r="E2365" s="13">
        <f t="shared" si="108"/>
        <v>-1.4789768106566179E-3</v>
      </c>
      <c r="F2365" s="9">
        <f t="shared" si="109"/>
        <v>5.6514112656684219E-2</v>
      </c>
      <c r="G2365" s="9">
        <f t="shared" si="110"/>
        <v>1.0125365465031099E-2</v>
      </c>
    </row>
    <row r="2366" spans="1:7" x14ac:dyDescent="0.2">
      <c r="A2366" s="11">
        <v>38513</v>
      </c>
      <c r="B2366" s="10">
        <v>226.22810000000001</v>
      </c>
      <c r="C2366" s="10">
        <v>226.41470000000001</v>
      </c>
      <c r="D2366" s="10">
        <v>223.09739999999999</v>
      </c>
      <c r="E2366" s="13">
        <f t="shared" si="108"/>
        <v>1.3935334911182685E-2</v>
      </c>
      <c r="F2366" s="9">
        <f t="shared" si="109"/>
        <v>9.9024167287792772E-2</v>
      </c>
      <c r="G2366" s="9">
        <f t="shared" si="110"/>
        <v>8.4943798995409832E-3</v>
      </c>
    </row>
    <row r="2367" spans="1:7" x14ac:dyDescent="0.2">
      <c r="A2367" s="11">
        <v>38516</v>
      </c>
      <c r="B2367" s="10">
        <v>225.72479999999999</v>
      </c>
      <c r="C2367" s="10">
        <v>226.37649999999999</v>
      </c>
      <c r="D2367" s="10">
        <v>224.78129999999999</v>
      </c>
      <c r="E2367" s="13">
        <f t="shared" si="108"/>
        <v>-2.2272241556710163E-3</v>
      </c>
      <c r="F2367" s="9">
        <f t="shared" si="109"/>
        <v>0.10840927821631459</v>
      </c>
      <c r="G2367" s="9">
        <f t="shared" si="110"/>
        <v>8.0695843621028142E-3</v>
      </c>
    </row>
    <row r="2368" spans="1:7" x14ac:dyDescent="0.2">
      <c r="A2368" s="11">
        <v>38517</v>
      </c>
      <c r="B2368" s="10">
        <v>228.26929999999999</v>
      </c>
      <c r="C2368" s="10">
        <v>228.29920000000001</v>
      </c>
      <c r="D2368" s="10">
        <v>225.72479999999999</v>
      </c>
      <c r="E2368" s="13">
        <f t="shared" si="108"/>
        <v>1.1209514148574845E-2</v>
      </c>
      <c r="F2368" s="9">
        <f t="shared" si="109"/>
        <v>0.11711765070473795</v>
      </c>
      <c r="G2368" s="9">
        <f t="shared" si="110"/>
        <v>8.1831352658893394E-3</v>
      </c>
    </row>
    <row r="2369" spans="1:7" x14ac:dyDescent="0.2">
      <c r="A2369" s="11">
        <v>38518</v>
      </c>
      <c r="B2369" s="10">
        <v>227.6345</v>
      </c>
      <c r="C2369" s="10">
        <v>229.54419999999999</v>
      </c>
      <c r="D2369" s="10">
        <v>227.00569999999999</v>
      </c>
      <c r="E2369" s="13">
        <f t="shared" si="108"/>
        <v>-2.7847998206869361E-3</v>
      </c>
      <c r="F2369" s="9">
        <f t="shared" si="109"/>
        <v>0.10786448936793865</v>
      </c>
      <c r="G2369" s="9">
        <f t="shared" si="110"/>
        <v>8.2649975315834574E-3</v>
      </c>
    </row>
    <row r="2370" spans="1:7" x14ac:dyDescent="0.2">
      <c r="A2370" s="11">
        <v>38519</v>
      </c>
      <c r="B2370" s="10">
        <v>229.14429999999999</v>
      </c>
      <c r="C2370" s="10">
        <v>229.21960000000001</v>
      </c>
      <c r="D2370" s="10">
        <v>227.38249999999999</v>
      </c>
      <c r="E2370" s="13">
        <f t="shared" si="108"/>
        <v>6.6106636222793419E-3</v>
      </c>
      <c r="F2370" s="9">
        <f t="shared" si="109"/>
        <v>0.10871759873545926</v>
      </c>
      <c r="G2370" s="9">
        <f t="shared" si="110"/>
        <v>8.2740240739243229E-3</v>
      </c>
    </row>
    <row r="2371" spans="1:7" x14ac:dyDescent="0.2">
      <c r="A2371" s="11">
        <v>38520</v>
      </c>
      <c r="B2371" s="10">
        <v>230.8527</v>
      </c>
      <c r="C2371" s="10">
        <v>231.2807</v>
      </c>
      <c r="D2371" s="10">
        <v>229.14429999999999</v>
      </c>
      <c r="E2371" s="13">
        <f t="shared" si="108"/>
        <v>7.42790868160733E-3</v>
      </c>
      <c r="F2371" s="9">
        <f t="shared" si="109"/>
        <v>0.11848844184138753</v>
      </c>
      <c r="G2371" s="9">
        <f t="shared" si="110"/>
        <v>8.2158345179001394E-3</v>
      </c>
    </row>
    <row r="2372" spans="1:7" x14ac:dyDescent="0.2">
      <c r="A2372" s="11">
        <v>38523</v>
      </c>
      <c r="B2372" s="10">
        <v>230.72470000000001</v>
      </c>
      <c r="C2372" s="10">
        <v>232.2012</v>
      </c>
      <c r="D2372" s="10">
        <v>230.53319999999999</v>
      </c>
      <c r="E2372" s="13">
        <f t="shared" ref="E2372:E2435" si="111">LN(B2372/B2371)</f>
        <v>-5.5461988945332069E-4</v>
      </c>
      <c r="F2372" s="9">
        <f t="shared" si="109"/>
        <v>9.4601620781511589E-2</v>
      </c>
      <c r="G2372" s="9">
        <f t="shared" si="110"/>
        <v>7.3713562142392487E-3</v>
      </c>
    </row>
    <row r="2373" spans="1:7" x14ac:dyDescent="0.2">
      <c r="A2373" s="11">
        <v>38524</v>
      </c>
      <c r="B2373" s="10">
        <v>230.89</v>
      </c>
      <c r="C2373" s="10">
        <v>233.04060000000001</v>
      </c>
      <c r="D2373" s="10">
        <v>230.72470000000001</v>
      </c>
      <c r="E2373" s="13">
        <f t="shared" si="111"/>
        <v>7.1618172933138064E-4</v>
      </c>
      <c r="F2373" s="9">
        <f t="shared" si="109"/>
        <v>8.7264973413546554E-2</v>
      </c>
      <c r="G2373" s="9">
        <f t="shared" si="110"/>
        <v>7.3268290864182874E-3</v>
      </c>
    </row>
    <row r="2374" spans="1:7" x14ac:dyDescent="0.2">
      <c r="A2374" s="11">
        <v>38525</v>
      </c>
      <c r="B2374" s="10">
        <v>230.5549</v>
      </c>
      <c r="C2374" s="10">
        <v>231.42429999999999</v>
      </c>
      <c r="D2374" s="10">
        <v>229.74789999999999</v>
      </c>
      <c r="E2374" s="13">
        <f t="shared" si="111"/>
        <v>-1.4523946798691682E-3</v>
      </c>
      <c r="F2374" s="9">
        <f t="shared" si="109"/>
        <v>9.1333579616273877E-2</v>
      </c>
      <c r="G2374" s="9">
        <f t="shared" si="110"/>
        <v>7.1954327903983682E-3</v>
      </c>
    </row>
    <row r="2375" spans="1:7" x14ac:dyDescent="0.2">
      <c r="A2375" s="11">
        <v>38526</v>
      </c>
      <c r="B2375" s="10">
        <v>233.51859999999999</v>
      </c>
      <c r="C2375" s="10">
        <v>233.70650000000001</v>
      </c>
      <c r="D2375" s="10">
        <v>230.5549</v>
      </c>
      <c r="E2375" s="13">
        <f t="shared" si="111"/>
        <v>1.2772719373008152E-2</v>
      </c>
      <c r="F2375" s="9">
        <f t="shared" si="109"/>
        <v>0.10171644298745335</v>
      </c>
      <c r="G2375" s="9">
        <f t="shared" si="110"/>
        <v>7.4113628449800654E-3</v>
      </c>
    </row>
    <row r="2376" spans="1:7" x14ac:dyDescent="0.2">
      <c r="A2376" s="11">
        <v>38527</v>
      </c>
      <c r="B2376" s="10">
        <v>235.80279999999999</v>
      </c>
      <c r="C2376" s="10">
        <v>235.8365</v>
      </c>
      <c r="D2376" s="10">
        <v>233.16079999999999</v>
      </c>
      <c r="E2376" s="13">
        <f t="shared" si="111"/>
        <v>9.7341311786082758E-3</v>
      </c>
      <c r="F2376" s="9">
        <f t="shared" si="109"/>
        <v>0.11183702561016558</v>
      </c>
      <c r="G2376" s="9">
        <f t="shared" si="110"/>
        <v>7.4595797857320845E-3</v>
      </c>
    </row>
    <row r="2377" spans="1:7" x14ac:dyDescent="0.2">
      <c r="A2377" s="11">
        <v>38530</v>
      </c>
      <c r="B2377" s="10">
        <v>233.34569999999999</v>
      </c>
      <c r="C2377" s="10">
        <v>235.80279999999999</v>
      </c>
      <c r="D2377" s="10">
        <v>232.81630000000001</v>
      </c>
      <c r="E2377" s="13">
        <f t="shared" si="111"/>
        <v>-1.0474817531814708E-2</v>
      </c>
      <c r="F2377" s="9">
        <f t="shared" si="109"/>
        <v>0.11713672525404924</v>
      </c>
      <c r="G2377" s="9">
        <f t="shared" si="110"/>
        <v>7.0130264280473904E-3</v>
      </c>
    </row>
    <row r="2378" spans="1:7" x14ac:dyDescent="0.2">
      <c r="A2378" s="11">
        <v>38531</v>
      </c>
      <c r="B2378" s="10">
        <v>236.67689999999999</v>
      </c>
      <c r="C2378" s="10">
        <v>236.8134</v>
      </c>
      <c r="D2378" s="10">
        <v>233.34569999999999</v>
      </c>
      <c r="E2378" s="13">
        <f t="shared" si="111"/>
        <v>1.4174874898229089E-2</v>
      </c>
      <c r="F2378" s="9">
        <f t="shared" si="109"/>
        <v>0.11719934044053404</v>
      </c>
      <c r="G2378" s="9">
        <f t="shared" si="110"/>
        <v>7.016247343201572E-3</v>
      </c>
    </row>
    <row r="2379" spans="1:7" x14ac:dyDescent="0.2">
      <c r="A2379" s="11">
        <v>38532</v>
      </c>
      <c r="B2379" s="10">
        <v>237.45779999999999</v>
      </c>
      <c r="C2379" s="10">
        <v>237.8081</v>
      </c>
      <c r="D2379" s="10">
        <v>235.7166</v>
      </c>
      <c r="E2379" s="13">
        <f t="shared" si="111"/>
        <v>3.2940036073864721E-3</v>
      </c>
      <c r="F2379" s="9">
        <f t="shared" si="109"/>
        <v>0.11407887671951511</v>
      </c>
      <c r="G2379" s="9">
        <f t="shared" si="110"/>
        <v>7.0024675826108364E-3</v>
      </c>
    </row>
    <row r="2380" spans="1:7" x14ac:dyDescent="0.2">
      <c r="A2380" s="11">
        <v>38533</v>
      </c>
      <c r="B2380" s="10">
        <v>238.21109999999999</v>
      </c>
      <c r="C2380" s="10">
        <v>238.4794</v>
      </c>
      <c r="D2380" s="10">
        <v>236.72229999999999</v>
      </c>
      <c r="E2380" s="13">
        <f t="shared" si="111"/>
        <v>3.1673318552384788E-3</v>
      </c>
      <c r="F2380" s="9">
        <f t="shared" si="109"/>
        <v>0.10989894862748645</v>
      </c>
      <c r="G2380" s="9">
        <f t="shared" si="110"/>
        <v>6.9726516020857839E-3</v>
      </c>
    </row>
    <row r="2381" spans="1:7" x14ac:dyDescent="0.2">
      <c r="A2381" s="11">
        <v>38534</v>
      </c>
      <c r="B2381" s="10">
        <v>239.93889999999999</v>
      </c>
      <c r="C2381" s="10">
        <v>240.74469999999999</v>
      </c>
      <c r="D2381" s="10">
        <v>238.1705</v>
      </c>
      <c r="E2381" s="13">
        <f t="shared" si="111"/>
        <v>7.2270522651213817E-3</v>
      </c>
      <c r="F2381" s="9">
        <f t="shared" si="109"/>
        <v>0.12122446061231996</v>
      </c>
      <c r="G2381" s="9">
        <f t="shared" si="110"/>
        <v>6.830790390277384E-3</v>
      </c>
    </row>
    <row r="2382" spans="1:7" x14ac:dyDescent="0.2">
      <c r="A2382" s="11">
        <v>38537</v>
      </c>
      <c r="B2382" s="10">
        <v>244.01599999999999</v>
      </c>
      <c r="C2382" s="10">
        <v>244.8115</v>
      </c>
      <c r="D2382" s="10">
        <v>239.93889999999999</v>
      </c>
      <c r="E2382" s="13">
        <f t="shared" si="111"/>
        <v>1.6849489317007992E-2</v>
      </c>
      <c r="F2382" s="9">
        <f t="shared" si="109"/>
        <v>0.13259184893392387</v>
      </c>
      <c r="G2382" s="9">
        <f t="shared" si="110"/>
        <v>7.2230601575983787E-3</v>
      </c>
    </row>
    <row r="2383" spans="1:7" x14ac:dyDescent="0.2">
      <c r="A2383" s="11">
        <v>38538</v>
      </c>
      <c r="B2383" s="10">
        <v>243.6377</v>
      </c>
      <c r="C2383" s="10">
        <v>246.25239999999999</v>
      </c>
      <c r="D2383" s="10">
        <v>242.72380000000001</v>
      </c>
      <c r="E2383" s="13">
        <f t="shared" si="111"/>
        <v>-1.5515111477122591E-3</v>
      </c>
      <c r="F2383" s="9">
        <f t="shared" si="109"/>
        <v>0.13222813957282159</v>
      </c>
      <c r="G2383" s="9">
        <f t="shared" si="110"/>
        <v>7.2337264460427932E-3</v>
      </c>
    </row>
    <row r="2384" spans="1:7" x14ac:dyDescent="0.2">
      <c r="A2384" s="11">
        <v>38539</v>
      </c>
      <c r="B2384" s="10">
        <v>248.392</v>
      </c>
      <c r="C2384" s="10">
        <v>248.90020000000001</v>
      </c>
      <c r="D2384" s="10">
        <v>243.43950000000001</v>
      </c>
      <c r="E2384" s="13">
        <f t="shared" si="111"/>
        <v>1.9325857655417188E-2</v>
      </c>
      <c r="F2384" s="9">
        <f t="shared" si="109"/>
        <v>0.13811067675063918</v>
      </c>
      <c r="G2384" s="9">
        <f t="shared" si="110"/>
        <v>7.5665596159005411E-3</v>
      </c>
    </row>
    <row r="2385" spans="1:7" x14ac:dyDescent="0.2">
      <c r="A2385" s="11">
        <v>38540</v>
      </c>
      <c r="B2385" s="10">
        <v>242.61600000000001</v>
      </c>
      <c r="C2385" s="10">
        <v>248.40539999999999</v>
      </c>
      <c r="D2385" s="10">
        <v>235.87090000000001</v>
      </c>
      <c r="E2385" s="13">
        <f t="shared" si="111"/>
        <v>-2.3528196901666586E-2</v>
      </c>
      <c r="F2385" s="9">
        <f t="shared" si="109"/>
        <v>0.11366402031997817</v>
      </c>
      <c r="G2385" s="9">
        <f t="shared" si="110"/>
        <v>9.1963786586374899E-3</v>
      </c>
    </row>
    <row r="2386" spans="1:7" x14ac:dyDescent="0.2">
      <c r="A2386" s="11">
        <v>38541</v>
      </c>
      <c r="B2386" s="10">
        <v>249.8699</v>
      </c>
      <c r="C2386" s="10">
        <v>249.87610000000001</v>
      </c>
      <c r="D2386" s="10">
        <v>242.61600000000001</v>
      </c>
      <c r="E2386" s="13">
        <f t="shared" si="111"/>
        <v>2.946043588730431E-2</v>
      </c>
      <c r="F2386" s="9">
        <f t="shared" si="109"/>
        <v>0.13870613020622777</v>
      </c>
      <c r="G2386" s="9">
        <f t="shared" si="110"/>
        <v>1.0348435695585179E-2</v>
      </c>
    </row>
    <row r="2387" spans="1:7" x14ac:dyDescent="0.2">
      <c r="A2387" s="11">
        <v>38544</v>
      </c>
      <c r="B2387" s="10">
        <v>249.1421</v>
      </c>
      <c r="C2387" s="10">
        <v>250.37200000000001</v>
      </c>
      <c r="D2387" s="10">
        <v>249.1421</v>
      </c>
      <c r="E2387" s="13">
        <f t="shared" si="111"/>
        <v>-2.916965989002273E-3</v>
      </c>
      <c r="F2387" s="9">
        <f t="shared" si="109"/>
        <v>0.14453086167979665</v>
      </c>
      <c r="G2387" s="9">
        <f t="shared" si="110"/>
        <v>1.0130797931090792E-2</v>
      </c>
    </row>
    <row r="2388" spans="1:7" x14ac:dyDescent="0.2">
      <c r="A2388" s="11">
        <v>38545</v>
      </c>
      <c r="B2388" s="10">
        <v>246.8897</v>
      </c>
      <c r="C2388" s="10">
        <v>249.20060000000001</v>
      </c>
      <c r="D2388" s="10">
        <v>246.3604</v>
      </c>
      <c r="E2388" s="13">
        <f t="shared" si="111"/>
        <v>-9.0817382316760627E-3</v>
      </c>
      <c r="F2388" s="9">
        <f t="shared" si="109"/>
        <v>0.12100941009538717</v>
      </c>
      <c r="G2388" s="9">
        <f t="shared" si="110"/>
        <v>1.0287082961983189E-2</v>
      </c>
    </row>
    <row r="2389" spans="1:7" x14ac:dyDescent="0.2">
      <c r="A2389" s="11">
        <v>38546</v>
      </c>
      <c r="B2389" s="10">
        <v>247.8725</v>
      </c>
      <c r="C2389" s="10">
        <v>250.67570000000001</v>
      </c>
      <c r="D2389" s="10">
        <v>246.8897</v>
      </c>
      <c r="E2389" s="13">
        <f t="shared" si="111"/>
        <v>3.9728228739127009E-3</v>
      </c>
      <c r="F2389" s="9">
        <f t="shared" si="109"/>
        <v>0.11901699115148366</v>
      </c>
      <c r="G2389" s="9">
        <f t="shared" si="110"/>
        <v>1.0281335610408726E-2</v>
      </c>
    </row>
    <row r="2390" spans="1:7" x14ac:dyDescent="0.2">
      <c r="A2390" s="11">
        <v>38547</v>
      </c>
      <c r="B2390" s="10">
        <v>247.6713</v>
      </c>
      <c r="C2390" s="10">
        <v>248.37700000000001</v>
      </c>
      <c r="D2390" s="10">
        <v>246.55860000000001</v>
      </c>
      <c r="E2390" s="13">
        <f t="shared" si="111"/>
        <v>-8.1203724496604207E-4</v>
      </c>
      <c r="F2390" s="9">
        <f t="shared" si="109"/>
        <v>0.12118039214325348</v>
      </c>
      <c r="G2390" s="9">
        <f t="shared" si="110"/>
        <v>1.0235881518543224E-2</v>
      </c>
    </row>
    <row r="2391" spans="1:7" x14ac:dyDescent="0.2">
      <c r="A2391" s="11">
        <v>38548</v>
      </c>
      <c r="B2391" s="10">
        <v>244.80350000000001</v>
      </c>
      <c r="C2391" s="10">
        <v>247.6713</v>
      </c>
      <c r="D2391" s="10">
        <v>244.3347</v>
      </c>
      <c r="E2391" s="13">
        <f t="shared" si="111"/>
        <v>-1.1646615893853383E-2</v>
      </c>
      <c r="F2391" s="9">
        <f t="shared" si="109"/>
        <v>0.10923437566353734</v>
      </c>
      <c r="G2391" s="9">
        <f t="shared" si="110"/>
        <v>1.0630348600980199E-2</v>
      </c>
    </row>
    <row r="2392" spans="1:7" x14ac:dyDescent="0.2">
      <c r="A2392" s="11">
        <v>38551</v>
      </c>
      <c r="B2392" s="10">
        <v>244.68010000000001</v>
      </c>
      <c r="C2392" s="10">
        <v>247.39009999999999</v>
      </c>
      <c r="D2392" s="10">
        <v>244.65600000000001</v>
      </c>
      <c r="E2392" s="13">
        <f t="shared" si="111"/>
        <v>-5.0420485023094572E-4</v>
      </c>
      <c r="F2392" s="9">
        <f t="shared" si="109"/>
        <v>0.10238549954944173</v>
      </c>
      <c r="G2392" s="9">
        <f t="shared" si="110"/>
        <v>1.0647095446293331E-2</v>
      </c>
    </row>
    <row r="2393" spans="1:7" x14ac:dyDescent="0.2">
      <c r="A2393" s="11">
        <v>38552</v>
      </c>
      <c r="B2393" s="10">
        <v>245.62190000000001</v>
      </c>
      <c r="C2393" s="10">
        <v>245.80340000000001</v>
      </c>
      <c r="D2393" s="10">
        <v>243.72579999999999</v>
      </c>
      <c r="E2393" s="13">
        <f t="shared" si="111"/>
        <v>3.8417186073877161E-3</v>
      </c>
      <c r="F2393" s="9">
        <f t="shared" si="109"/>
        <v>9.4705937464337614E-2</v>
      </c>
      <c r="G2393" s="9">
        <f t="shared" si="110"/>
        <v>1.0536177686559437E-2</v>
      </c>
    </row>
    <row r="2394" spans="1:7" x14ac:dyDescent="0.2">
      <c r="A2394" s="11">
        <v>38553</v>
      </c>
      <c r="B2394" s="10">
        <v>243.52799999999999</v>
      </c>
      <c r="C2394" s="10">
        <v>246.38229999999999</v>
      </c>
      <c r="D2394" s="10">
        <v>242.92359999999999</v>
      </c>
      <c r="E2394" s="13">
        <f t="shared" si="111"/>
        <v>-8.5614360338506033E-3</v>
      </c>
      <c r="F2394" s="9">
        <f t="shared" si="109"/>
        <v>8.7623478241143735E-2</v>
      </c>
      <c r="G2394" s="9">
        <f t="shared" si="110"/>
        <v>1.0730378986366695E-2</v>
      </c>
    </row>
    <row r="2395" spans="1:7" x14ac:dyDescent="0.2">
      <c r="A2395" s="11">
        <v>38554</v>
      </c>
      <c r="B2395" s="10">
        <v>244.13640000000001</v>
      </c>
      <c r="C2395" s="10">
        <v>244.1412</v>
      </c>
      <c r="D2395" s="10">
        <v>241.93450000000001</v>
      </c>
      <c r="E2395" s="13">
        <f t="shared" si="111"/>
        <v>2.4951598502954858E-3</v>
      </c>
      <c r="F2395" s="9">
        <f t="shared" si="109"/>
        <v>7.6183303180256165E-2</v>
      </c>
      <c r="G2395" s="9">
        <f t="shared" si="110"/>
        <v>1.0523105755551156E-2</v>
      </c>
    </row>
    <row r="2396" spans="1:7" x14ac:dyDescent="0.2">
      <c r="A2396" s="11">
        <v>38555</v>
      </c>
      <c r="B2396" s="10">
        <v>246.8631</v>
      </c>
      <c r="C2396" s="10">
        <v>247.05529999999999</v>
      </c>
      <c r="D2396" s="10">
        <v>243.86269999999999</v>
      </c>
      <c r="E2396" s="13">
        <f t="shared" si="111"/>
        <v>1.1106846466774633E-2</v>
      </c>
      <c r="F2396" s="9">
        <f t="shared" si="109"/>
        <v>8.9517373802701847E-2</v>
      </c>
      <c r="G2396" s="9">
        <f t="shared" si="110"/>
        <v>1.0594496906666286E-2</v>
      </c>
    </row>
    <row r="2397" spans="1:7" x14ac:dyDescent="0.2">
      <c r="A2397" s="11">
        <v>38558</v>
      </c>
      <c r="B2397" s="10">
        <v>249.17</v>
      </c>
      <c r="C2397" s="10">
        <v>249.58539999999999</v>
      </c>
      <c r="D2397" s="10">
        <v>246.8631</v>
      </c>
      <c r="E2397" s="13">
        <f t="shared" si="111"/>
        <v>9.3014624717081898E-3</v>
      </c>
      <c r="F2397" s="9">
        <f t="shared" si="109"/>
        <v>8.7609322125835151E-2</v>
      </c>
      <c r="G2397" s="9">
        <f t="shared" si="110"/>
        <v>1.0548074027106875E-2</v>
      </c>
    </row>
    <row r="2398" spans="1:7" x14ac:dyDescent="0.2">
      <c r="A2398" s="11">
        <v>38559</v>
      </c>
      <c r="B2398" s="10">
        <v>248.92590000000001</v>
      </c>
      <c r="C2398" s="10">
        <v>249.3313</v>
      </c>
      <c r="D2398" s="10">
        <v>247.3236</v>
      </c>
      <c r="E2398" s="13">
        <f t="shared" si="111"/>
        <v>-9.8013261920600644E-4</v>
      </c>
      <c r="F2398" s="9">
        <f t="shared" si="109"/>
        <v>8.9413989327316132E-2</v>
      </c>
      <c r="G2398" s="9">
        <f t="shared" si="110"/>
        <v>1.0517878733372822E-2</v>
      </c>
    </row>
    <row r="2399" spans="1:7" x14ac:dyDescent="0.2">
      <c r="A2399" s="11">
        <v>38560</v>
      </c>
      <c r="B2399" s="10">
        <v>248.4872</v>
      </c>
      <c r="C2399" s="10">
        <v>250.53479999999999</v>
      </c>
      <c r="D2399" s="10">
        <v>248.4872</v>
      </c>
      <c r="E2399" s="13">
        <f t="shared" si="111"/>
        <v>-1.7639266587428214E-3</v>
      </c>
      <c r="F2399" s="9">
        <f t="shared" si="109"/>
        <v>8.1039399046293856E-2</v>
      </c>
      <c r="G2399" s="9">
        <f t="shared" si="110"/>
        <v>1.0532527108140349E-2</v>
      </c>
    </row>
    <row r="2400" spans="1:7" x14ac:dyDescent="0.2">
      <c r="A2400" s="11">
        <v>38561</v>
      </c>
      <c r="B2400" s="10">
        <v>248.7105</v>
      </c>
      <c r="C2400" s="10">
        <v>249.893</v>
      </c>
      <c r="D2400" s="10">
        <v>248.48349999999999</v>
      </c>
      <c r="E2400" s="13">
        <f t="shared" si="111"/>
        <v>8.9823430403493951E-4</v>
      </c>
      <c r="F2400" s="9">
        <f t="shared" ref="F2400:F2463" si="112">LN(B2400/B2371)</f>
        <v>7.4509724668721439E-2</v>
      </c>
      <c r="G2400" s="9">
        <f t="shared" si="110"/>
        <v>1.0499680584453483E-2</v>
      </c>
    </row>
    <row r="2401" spans="1:7" x14ac:dyDescent="0.2">
      <c r="A2401" s="11">
        <v>38562</v>
      </c>
      <c r="B2401" s="10">
        <v>250.4546</v>
      </c>
      <c r="C2401" s="10">
        <v>250.62889999999999</v>
      </c>
      <c r="D2401" s="10">
        <v>248.7105</v>
      </c>
      <c r="E2401" s="13">
        <f t="shared" si="111"/>
        <v>6.9880971147088912E-3</v>
      </c>
      <c r="F2401" s="9">
        <f t="shared" si="112"/>
        <v>8.205244167288385E-2</v>
      </c>
      <c r="G2401" s="9">
        <f t="shared" ref="G2401:G2464" si="113">STDEV(E2373:E2401)</f>
        <v>1.0512946530437642E-2</v>
      </c>
    </row>
    <row r="2402" spans="1:7" x14ac:dyDescent="0.2">
      <c r="A2402" s="11">
        <v>38565</v>
      </c>
      <c r="B2402" s="10">
        <v>250.14250000000001</v>
      </c>
      <c r="C2402" s="10">
        <v>250.86150000000001</v>
      </c>
      <c r="D2402" s="10">
        <v>249.5206</v>
      </c>
      <c r="E2402" s="13">
        <f t="shared" si="111"/>
        <v>-1.246911100513454E-3</v>
      </c>
      <c r="F2402" s="9">
        <f t="shared" si="112"/>
        <v>8.0089348843039074E-2</v>
      </c>
      <c r="G2402" s="9">
        <f t="shared" si="113"/>
        <v>1.0533339866796346E-2</v>
      </c>
    </row>
    <row r="2403" spans="1:7" x14ac:dyDescent="0.2">
      <c r="A2403" s="11">
        <v>38566</v>
      </c>
      <c r="B2403" s="10">
        <v>253.22149999999999</v>
      </c>
      <c r="C2403" s="10">
        <v>253.3691</v>
      </c>
      <c r="D2403" s="10">
        <v>250.14250000000001</v>
      </c>
      <c r="E2403" s="13">
        <f t="shared" si="111"/>
        <v>1.2233844303320035E-2</v>
      </c>
      <c r="F2403" s="9">
        <f t="shared" si="112"/>
        <v>9.3775587826228204E-2</v>
      </c>
      <c r="G2403" s="9">
        <f t="shared" si="113"/>
        <v>1.0643809013606063E-2</v>
      </c>
    </row>
    <row r="2404" spans="1:7" x14ac:dyDescent="0.2">
      <c r="A2404" s="11">
        <v>38567</v>
      </c>
      <c r="B2404" s="10">
        <v>255.3708</v>
      </c>
      <c r="C2404" s="10">
        <v>255.86150000000001</v>
      </c>
      <c r="D2404" s="10">
        <v>253.15299999999999</v>
      </c>
      <c r="E2404" s="13">
        <f t="shared" si="111"/>
        <v>8.4520068229220324E-3</v>
      </c>
      <c r="F2404" s="9">
        <f t="shared" si="112"/>
        <v>8.9454875276141987E-2</v>
      </c>
      <c r="G2404" s="9">
        <f t="shared" si="113"/>
        <v>1.0535200097886676E-2</v>
      </c>
    </row>
    <row r="2405" spans="1:7" x14ac:dyDescent="0.2">
      <c r="A2405" s="11">
        <v>38568</v>
      </c>
      <c r="B2405" s="10">
        <v>252.76150000000001</v>
      </c>
      <c r="C2405" s="10">
        <v>255.3845</v>
      </c>
      <c r="D2405" s="10">
        <v>252.76150000000001</v>
      </c>
      <c r="E2405" s="13">
        <f t="shared" si="111"/>
        <v>-1.0270250229243185E-2</v>
      </c>
      <c r="F2405" s="9">
        <f t="shared" si="112"/>
        <v>6.9450493868290553E-2</v>
      </c>
      <c r="G2405" s="9">
        <f t="shared" si="113"/>
        <v>1.0737236606612405E-2</v>
      </c>
    </row>
    <row r="2406" spans="1:7" x14ac:dyDescent="0.2">
      <c r="A2406" s="11">
        <v>38569</v>
      </c>
      <c r="B2406" s="10">
        <v>251.73609999999999</v>
      </c>
      <c r="C2406" s="10">
        <v>253.77029999999999</v>
      </c>
      <c r="D2406" s="10">
        <v>251.73609999999999</v>
      </c>
      <c r="E2406" s="13">
        <f t="shared" si="111"/>
        <v>-4.0650398020616943E-3</v>
      </c>
      <c r="F2406" s="9">
        <f t="shared" si="112"/>
        <v>7.5860271598043705E-2</v>
      </c>
      <c r="G2406" s="9">
        <f t="shared" si="113"/>
        <v>1.0526762099890053E-2</v>
      </c>
    </row>
    <row r="2407" spans="1:7" x14ac:dyDescent="0.2">
      <c r="A2407" s="11">
        <v>38572</v>
      </c>
      <c r="B2407" s="10">
        <v>255.5968</v>
      </c>
      <c r="C2407" s="10">
        <v>255.63120000000001</v>
      </c>
      <c r="D2407" s="10">
        <v>251.7294</v>
      </c>
      <c r="E2407" s="13">
        <f t="shared" si="111"/>
        <v>1.5219886294305906E-2</v>
      </c>
      <c r="F2407" s="9">
        <f t="shared" si="112"/>
        <v>7.6905282994120375E-2</v>
      </c>
      <c r="G2407" s="9">
        <f t="shared" si="113"/>
        <v>1.0569445757315178E-2</v>
      </c>
    </row>
    <row r="2408" spans="1:7" x14ac:dyDescent="0.2">
      <c r="A2408" s="11">
        <v>38573</v>
      </c>
      <c r="B2408" s="10">
        <v>258.24110000000002</v>
      </c>
      <c r="C2408" s="10">
        <v>258.71319999999997</v>
      </c>
      <c r="D2408" s="10">
        <v>255.5968</v>
      </c>
      <c r="E2408" s="13">
        <f t="shared" si="111"/>
        <v>1.0292441812787585E-2</v>
      </c>
      <c r="F2408" s="9">
        <f t="shared" si="112"/>
        <v>8.3903721199521539E-2</v>
      </c>
      <c r="G2408" s="9">
        <f t="shared" si="113"/>
        <v>1.0664101552492629E-2</v>
      </c>
    </row>
    <row r="2409" spans="1:7" x14ac:dyDescent="0.2">
      <c r="A2409" s="11">
        <v>38574</v>
      </c>
      <c r="B2409" s="10">
        <v>257.85829999999999</v>
      </c>
      <c r="C2409" s="10">
        <v>259.58539999999999</v>
      </c>
      <c r="D2409" s="10">
        <v>257.6789</v>
      </c>
      <c r="E2409" s="13">
        <f t="shared" si="111"/>
        <v>-1.4834354397566048E-3</v>
      </c>
      <c r="F2409" s="9">
        <f t="shared" si="112"/>
        <v>7.925295390452658E-2</v>
      </c>
      <c r="G2409" s="9">
        <f t="shared" si="113"/>
        <v>1.0694758344372583E-2</v>
      </c>
    </row>
    <row r="2410" spans="1:7" x14ac:dyDescent="0.2">
      <c r="A2410" s="11">
        <v>38575</v>
      </c>
      <c r="B2410" s="10">
        <v>259.29079999999999</v>
      </c>
      <c r="C2410" s="10">
        <v>260.02300000000002</v>
      </c>
      <c r="D2410" s="10">
        <v>257.85829999999999</v>
      </c>
      <c r="E2410" s="13">
        <f t="shared" si="111"/>
        <v>5.5400025401232487E-3</v>
      </c>
      <c r="F2410" s="9">
        <f t="shared" si="112"/>
        <v>7.7565904179528397E-2</v>
      </c>
      <c r="G2410" s="9">
        <f t="shared" si="113"/>
        <v>1.0674007336485701E-2</v>
      </c>
    </row>
    <row r="2411" spans="1:7" x14ac:dyDescent="0.2">
      <c r="A2411" s="11">
        <v>38576</v>
      </c>
      <c r="B2411" s="10">
        <v>259.55329999999998</v>
      </c>
      <c r="C2411" s="10">
        <v>261.0736</v>
      </c>
      <c r="D2411" s="10">
        <v>259.29079999999999</v>
      </c>
      <c r="E2411" s="13">
        <f t="shared" si="111"/>
        <v>1.0118647292978228E-3</v>
      </c>
      <c r="F2411" s="9">
        <f t="shared" si="112"/>
        <v>6.1728279591818237E-2</v>
      </c>
      <c r="G2411" s="9">
        <f t="shared" si="113"/>
        <v>1.0322227624092241E-2</v>
      </c>
    </row>
    <row r="2412" spans="1:7" x14ac:dyDescent="0.2">
      <c r="A2412" s="11">
        <v>38579</v>
      </c>
      <c r="B2412" s="10">
        <v>259.68009999999998</v>
      </c>
      <c r="C2412" s="10">
        <v>260.84829999999999</v>
      </c>
      <c r="D2412" s="10">
        <v>259.55329999999998</v>
      </c>
      <c r="E2412" s="13">
        <f t="shared" si="111"/>
        <v>4.8841234990141277E-4</v>
      </c>
      <c r="F2412" s="9">
        <f t="shared" si="112"/>
        <v>6.3768203089431832E-2</v>
      </c>
      <c r="G2412" s="9">
        <f t="shared" si="113"/>
        <v>1.0303186729403207E-2</v>
      </c>
    </row>
    <row r="2413" spans="1:7" x14ac:dyDescent="0.2">
      <c r="A2413" s="11">
        <v>38580</v>
      </c>
      <c r="B2413" s="10">
        <v>256.24160000000001</v>
      </c>
      <c r="C2413" s="10">
        <v>260.31959999999998</v>
      </c>
      <c r="D2413" s="10">
        <v>256.24160000000001</v>
      </c>
      <c r="E2413" s="13">
        <f t="shared" si="111"/>
        <v>-1.3329739428026436E-2</v>
      </c>
      <c r="F2413" s="9">
        <f t="shared" si="112"/>
        <v>3.1112606005988284E-2</v>
      </c>
      <c r="G2413" s="9">
        <f t="shared" si="113"/>
        <v>1.0147822752532227E-2</v>
      </c>
    </row>
    <row r="2414" spans="1:7" x14ac:dyDescent="0.2">
      <c r="A2414" s="11">
        <v>38581</v>
      </c>
      <c r="B2414" s="10">
        <v>254.9736</v>
      </c>
      <c r="C2414" s="10">
        <v>256.24160000000001</v>
      </c>
      <c r="D2414" s="10">
        <v>252.88640000000001</v>
      </c>
      <c r="E2414" s="13">
        <f t="shared" si="111"/>
        <v>-4.9607390403991376E-3</v>
      </c>
      <c r="F2414" s="9">
        <f t="shared" si="112"/>
        <v>4.9680063867255667E-2</v>
      </c>
      <c r="G2414" s="9">
        <f t="shared" si="113"/>
        <v>9.0685827008802847E-3</v>
      </c>
    </row>
    <row r="2415" spans="1:7" x14ac:dyDescent="0.2">
      <c r="A2415" s="11">
        <v>38582</v>
      </c>
      <c r="B2415" s="10">
        <v>254.86410000000001</v>
      </c>
      <c r="C2415" s="10">
        <v>255.11199999999999</v>
      </c>
      <c r="D2415" s="10">
        <v>252.63810000000001</v>
      </c>
      <c r="E2415" s="13">
        <f t="shared" si="111"/>
        <v>-4.2954846879175219E-4</v>
      </c>
      <c r="F2415" s="9">
        <f t="shared" si="112"/>
        <v>1.9790079511159735E-2</v>
      </c>
      <c r="G2415" s="9">
        <f t="shared" si="113"/>
        <v>7.3352542353958021E-3</v>
      </c>
    </row>
    <row r="2416" spans="1:7" x14ac:dyDescent="0.2">
      <c r="A2416" s="11">
        <v>38583</v>
      </c>
      <c r="B2416" s="10">
        <v>259.46510000000001</v>
      </c>
      <c r="C2416" s="10">
        <v>259.46510000000001</v>
      </c>
      <c r="D2416" s="10">
        <v>254.86410000000001</v>
      </c>
      <c r="E2416" s="13">
        <f t="shared" si="111"/>
        <v>1.7891742240405111E-2</v>
      </c>
      <c r="F2416" s="9">
        <f t="shared" si="112"/>
        <v>4.0598787740567008E-2</v>
      </c>
      <c r="G2416" s="9">
        <f t="shared" si="113"/>
        <v>7.9616064269126124E-3</v>
      </c>
    </row>
    <row r="2417" spans="1:7" x14ac:dyDescent="0.2">
      <c r="A2417" s="11">
        <v>38586</v>
      </c>
      <c r="B2417" s="10">
        <v>262.61790000000002</v>
      </c>
      <c r="C2417" s="10">
        <v>262.63040000000001</v>
      </c>
      <c r="D2417" s="10">
        <v>259.38600000000002</v>
      </c>
      <c r="E2417" s="13">
        <f t="shared" si="111"/>
        <v>1.2077919895624801E-2</v>
      </c>
      <c r="F2417" s="9">
        <f t="shared" si="112"/>
        <v>6.1758445867867821E-2</v>
      </c>
      <c r="G2417" s="9">
        <f t="shared" si="113"/>
        <v>7.9362523868497254E-3</v>
      </c>
    </row>
    <row r="2418" spans="1:7" x14ac:dyDescent="0.2">
      <c r="A2418" s="11">
        <v>38587</v>
      </c>
      <c r="B2418" s="10">
        <v>263.33370000000002</v>
      </c>
      <c r="C2418" s="10">
        <v>263.37939999999998</v>
      </c>
      <c r="D2418" s="10">
        <v>261.25670000000002</v>
      </c>
      <c r="E2418" s="13">
        <f t="shared" si="111"/>
        <v>2.7219251426916086E-3</v>
      </c>
      <c r="F2418" s="9">
        <f t="shared" si="112"/>
        <v>6.0507548136646543E-2</v>
      </c>
      <c r="G2418" s="9">
        <f t="shared" si="113"/>
        <v>7.9292728010061844E-3</v>
      </c>
    </row>
    <row r="2419" spans="1:7" x14ac:dyDescent="0.2">
      <c r="A2419" s="11">
        <v>38588</v>
      </c>
      <c r="B2419" s="10">
        <v>261.0523</v>
      </c>
      <c r="C2419" s="10">
        <v>263.64499999999998</v>
      </c>
      <c r="D2419" s="10">
        <v>259.64960000000002</v>
      </c>
      <c r="E2419" s="13">
        <f t="shared" si="111"/>
        <v>-8.7012788066157601E-3</v>
      </c>
      <c r="F2419" s="9">
        <f t="shared" si="112"/>
        <v>5.2618306574996894E-2</v>
      </c>
      <c r="G2419" s="9">
        <f t="shared" si="113"/>
        <v>8.1641249297938825E-3</v>
      </c>
    </row>
    <row r="2420" spans="1:7" x14ac:dyDescent="0.2">
      <c r="A2420" s="11">
        <v>38589</v>
      </c>
      <c r="B2420" s="10">
        <v>260.80290000000002</v>
      </c>
      <c r="C2420" s="10">
        <v>261.59050000000002</v>
      </c>
      <c r="D2420" s="10">
        <v>259.68360000000001</v>
      </c>
      <c r="E2420" s="13">
        <f t="shared" si="111"/>
        <v>-9.5582076785860517E-4</v>
      </c>
      <c r="F2420" s="9">
        <f t="shared" si="112"/>
        <v>6.3309101700991841E-2</v>
      </c>
      <c r="G2420" s="9">
        <f t="shared" si="113"/>
        <v>7.7662633876983906E-3</v>
      </c>
    </row>
    <row r="2421" spans="1:7" x14ac:dyDescent="0.2">
      <c r="A2421" s="11">
        <v>38590</v>
      </c>
      <c r="B2421" s="10">
        <v>260.99169999999998</v>
      </c>
      <c r="C2421" s="10">
        <v>262.85860000000002</v>
      </c>
      <c r="D2421" s="10">
        <v>260.78949999999998</v>
      </c>
      <c r="E2421" s="13">
        <f t="shared" si="111"/>
        <v>7.2365642817763694E-4</v>
      </c>
      <c r="F2421" s="9">
        <f t="shared" si="112"/>
        <v>6.4536962979400439E-2</v>
      </c>
      <c r="G2421" s="9">
        <f t="shared" si="113"/>
        <v>7.7544276851531707E-3</v>
      </c>
    </row>
    <row r="2422" spans="1:7" x14ac:dyDescent="0.2">
      <c r="A2422" s="11">
        <v>38593</v>
      </c>
      <c r="B2422" s="10">
        <v>262.40339999999998</v>
      </c>
      <c r="C2422" s="10">
        <v>262.8227</v>
      </c>
      <c r="D2422" s="10">
        <v>260.7355</v>
      </c>
      <c r="E2422" s="13">
        <f t="shared" si="111"/>
        <v>5.3944082523070865E-3</v>
      </c>
      <c r="F2422" s="9">
        <f t="shared" si="112"/>
        <v>6.6089652624319747E-2</v>
      </c>
      <c r="G2422" s="9">
        <f t="shared" si="113"/>
        <v>7.7713280724789361E-3</v>
      </c>
    </row>
    <row r="2423" spans="1:7" x14ac:dyDescent="0.2">
      <c r="A2423" s="11">
        <v>38594</v>
      </c>
      <c r="B2423" s="10">
        <v>263.28640000000001</v>
      </c>
      <c r="C2423" s="10">
        <v>263.99740000000003</v>
      </c>
      <c r="D2423" s="10">
        <v>262.3109</v>
      </c>
      <c r="E2423" s="13">
        <f t="shared" si="111"/>
        <v>3.3593987573242016E-3</v>
      </c>
      <c r="F2423" s="9">
        <f t="shared" si="112"/>
        <v>7.8010487415494517E-2</v>
      </c>
      <c r="G2423" s="9">
        <f t="shared" si="113"/>
        <v>7.4875425559307448E-3</v>
      </c>
    </row>
    <row r="2424" spans="1:7" x14ac:dyDescent="0.2">
      <c r="A2424" s="11">
        <v>38595</v>
      </c>
      <c r="B2424" s="10">
        <v>265.16820000000001</v>
      </c>
      <c r="C2424" s="10">
        <v>267.0804</v>
      </c>
      <c r="D2424" s="10">
        <v>263.28640000000001</v>
      </c>
      <c r="E2424" s="13">
        <f t="shared" si="111"/>
        <v>7.1219285593400478E-3</v>
      </c>
      <c r="F2424" s="9">
        <f t="shared" si="112"/>
        <v>8.2637256124539191E-2</v>
      </c>
      <c r="G2424" s="9">
        <f t="shared" si="113"/>
        <v>7.5324012469742685E-3</v>
      </c>
    </row>
    <row r="2425" spans="1:7" x14ac:dyDescent="0.2">
      <c r="A2425" s="11">
        <v>38596</v>
      </c>
      <c r="B2425" s="10">
        <v>268.04180000000002</v>
      </c>
      <c r="C2425" s="10">
        <v>269.06</v>
      </c>
      <c r="D2425" s="10">
        <v>265.16820000000001</v>
      </c>
      <c r="E2425" s="13">
        <f t="shared" si="111"/>
        <v>1.0778596878305352E-2</v>
      </c>
      <c r="F2425" s="9">
        <f t="shared" si="112"/>
        <v>8.2309006536070067E-2</v>
      </c>
      <c r="G2425" s="9">
        <f t="shared" si="113"/>
        <v>7.5197859254740292E-3</v>
      </c>
    </row>
    <row r="2426" spans="1:7" x14ac:dyDescent="0.2">
      <c r="A2426" s="11">
        <v>38597</v>
      </c>
      <c r="B2426" s="10">
        <v>266.54140000000001</v>
      </c>
      <c r="C2426" s="10">
        <v>269.05029999999999</v>
      </c>
      <c r="D2426" s="10">
        <v>265.68189999999998</v>
      </c>
      <c r="E2426" s="13">
        <f t="shared" si="111"/>
        <v>-5.6133598653096565E-3</v>
      </c>
      <c r="F2426" s="9">
        <f t="shared" si="112"/>
        <v>6.7394184199052257E-2</v>
      </c>
      <c r="G2426" s="9">
        <f t="shared" si="113"/>
        <v>7.5718148362490037E-3</v>
      </c>
    </row>
    <row r="2427" spans="1:7" x14ac:dyDescent="0.2">
      <c r="A2427" s="11">
        <v>38600</v>
      </c>
      <c r="B2427" s="10">
        <v>265.43669999999997</v>
      </c>
      <c r="C2427" s="10">
        <v>266.57490000000001</v>
      </c>
      <c r="D2427" s="10">
        <v>264.38119999999998</v>
      </c>
      <c r="E2427" s="13">
        <f t="shared" si="111"/>
        <v>-4.153184455932925E-3</v>
      </c>
      <c r="F2427" s="9">
        <f t="shared" si="112"/>
        <v>6.4221132362325475E-2</v>
      </c>
      <c r="G2427" s="9">
        <f t="shared" si="113"/>
        <v>7.6438483320446903E-3</v>
      </c>
    </row>
    <row r="2428" spans="1:7" x14ac:dyDescent="0.2">
      <c r="A2428" s="11">
        <v>38601</v>
      </c>
      <c r="B2428" s="10">
        <v>267.87529999999998</v>
      </c>
      <c r="C2428" s="10">
        <v>268.2724</v>
      </c>
      <c r="D2428" s="10">
        <v>265.43669999999997</v>
      </c>
      <c r="E2428" s="13">
        <f t="shared" si="111"/>
        <v>9.1451795416634084E-3</v>
      </c>
      <c r="F2428" s="9">
        <f t="shared" si="112"/>
        <v>7.5130238562731641E-2</v>
      </c>
      <c r="G2428" s="9">
        <f t="shared" si="113"/>
        <v>7.7092196769326668E-3</v>
      </c>
    </row>
    <row r="2429" spans="1:7" x14ac:dyDescent="0.2">
      <c r="A2429" s="11">
        <v>38602</v>
      </c>
      <c r="B2429" s="10">
        <v>265.85079999999999</v>
      </c>
      <c r="C2429" s="10">
        <v>267.94080000000002</v>
      </c>
      <c r="D2429" s="10">
        <v>264.79939999999999</v>
      </c>
      <c r="E2429" s="13">
        <f t="shared" si="111"/>
        <v>-7.5863245569092455E-3</v>
      </c>
      <c r="F2429" s="9">
        <f t="shared" si="112"/>
        <v>6.6645679701787405E-2</v>
      </c>
      <c r="G2429" s="9">
        <f t="shared" si="113"/>
        <v>7.9334799644164688E-3</v>
      </c>
    </row>
    <row r="2430" spans="1:7" x14ac:dyDescent="0.2">
      <c r="A2430" s="11">
        <v>38603</v>
      </c>
      <c r="B2430" s="10">
        <v>263.88139999999999</v>
      </c>
      <c r="C2430" s="10">
        <v>265.85079999999999</v>
      </c>
      <c r="D2430" s="10">
        <v>263.68880000000001</v>
      </c>
      <c r="E2430" s="13">
        <f t="shared" si="111"/>
        <v>-7.435489379079137E-3</v>
      </c>
      <c r="F2430" s="9">
        <f t="shared" si="112"/>
        <v>5.2222093207999212E-2</v>
      </c>
      <c r="G2430" s="9">
        <f t="shared" si="113"/>
        <v>8.07972904138206E-3</v>
      </c>
    </row>
    <row r="2431" spans="1:7" x14ac:dyDescent="0.2">
      <c r="A2431" s="11">
        <v>38604</v>
      </c>
      <c r="B2431" s="10">
        <v>265.16210000000001</v>
      </c>
      <c r="C2431" s="10">
        <v>265.60329999999999</v>
      </c>
      <c r="D2431" s="10">
        <v>263.84120000000001</v>
      </c>
      <c r="E2431" s="13">
        <f t="shared" si="111"/>
        <v>4.8415773059341735E-3</v>
      </c>
      <c r="F2431" s="9">
        <f t="shared" si="112"/>
        <v>5.8310581614446834E-2</v>
      </c>
      <c r="G2431" s="9">
        <f t="shared" si="113"/>
        <v>8.0768111235192657E-3</v>
      </c>
    </row>
    <row r="2432" spans="1:7" x14ac:dyDescent="0.2">
      <c r="A2432" s="11">
        <v>38607</v>
      </c>
      <c r="B2432" s="10">
        <v>267.54739999999998</v>
      </c>
      <c r="C2432" s="10">
        <v>267.86290000000002</v>
      </c>
      <c r="D2432" s="10">
        <v>265.10989999999998</v>
      </c>
      <c r="E2432" s="13">
        <f t="shared" si="111"/>
        <v>8.9554098119422072E-3</v>
      </c>
      <c r="F2432" s="9">
        <f t="shared" si="112"/>
        <v>5.5032147123068982E-2</v>
      </c>
      <c r="G2432" s="9">
        <f t="shared" si="113"/>
        <v>7.9505667705256459E-3</v>
      </c>
    </row>
    <row r="2433" spans="1:7" x14ac:dyDescent="0.2">
      <c r="A2433" s="11">
        <v>38608</v>
      </c>
      <c r="B2433" s="10">
        <v>265.2124</v>
      </c>
      <c r="C2433" s="10">
        <v>267.54739999999998</v>
      </c>
      <c r="D2433" s="10">
        <v>264.18810000000002</v>
      </c>
      <c r="E2433" s="13">
        <f t="shared" si="111"/>
        <v>-8.765732517310585E-3</v>
      </c>
      <c r="F2433" s="9">
        <f t="shared" si="112"/>
        <v>3.7814407782836422E-2</v>
      </c>
      <c r="G2433" s="9">
        <f t="shared" si="113"/>
        <v>8.0853668277600932E-3</v>
      </c>
    </row>
    <row r="2434" spans="1:7" x14ac:dyDescent="0.2">
      <c r="A2434" s="11">
        <v>38609</v>
      </c>
      <c r="B2434" s="10">
        <v>266.49029999999999</v>
      </c>
      <c r="C2434" s="10">
        <v>267.92439999999999</v>
      </c>
      <c r="D2434" s="10">
        <v>265.11320000000001</v>
      </c>
      <c r="E2434" s="13">
        <f t="shared" si="111"/>
        <v>4.8068308118626828E-3</v>
      </c>
      <c r="F2434" s="9">
        <f t="shared" si="112"/>
        <v>5.2891488823942213E-2</v>
      </c>
      <c r="G2434" s="9">
        <f t="shared" si="113"/>
        <v>7.7940408441334701E-3</v>
      </c>
    </row>
    <row r="2435" spans="1:7" x14ac:dyDescent="0.2">
      <c r="A2435" s="11">
        <v>38610</v>
      </c>
      <c r="B2435" s="10">
        <v>269.22190000000001</v>
      </c>
      <c r="C2435" s="10">
        <v>270.09300000000002</v>
      </c>
      <c r="D2435" s="10">
        <v>266.49029999999999</v>
      </c>
      <c r="E2435" s="13">
        <f t="shared" si="111"/>
        <v>1.0198101421305379E-2</v>
      </c>
      <c r="F2435" s="9">
        <f t="shared" si="112"/>
        <v>6.7154630047309413E-2</v>
      </c>
      <c r="G2435" s="9">
        <f t="shared" si="113"/>
        <v>7.8589170954590781E-3</v>
      </c>
    </row>
    <row r="2436" spans="1:7" x14ac:dyDescent="0.2">
      <c r="A2436" s="11">
        <v>38611</v>
      </c>
      <c r="B2436" s="10">
        <v>269.32760000000002</v>
      </c>
      <c r="C2436" s="10">
        <v>269.678</v>
      </c>
      <c r="D2436" s="10">
        <v>267.46890000000002</v>
      </c>
      <c r="E2436" s="13">
        <f t="shared" ref="E2436:E2499" si="114">LN(B2436/B2435)</f>
        <v>3.9253588150115881E-4</v>
      </c>
      <c r="F2436" s="9">
        <f t="shared" si="112"/>
        <v>5.2327279634504752E-2</v>
      </c>
      <c r="G2436" s="9">
        <f t="shared" si="113"/>
        <v>7.461690222341149E-3</v>
      </c>
    </row>
    <row r="2437" spans="1:7" x14ac:dyDescent="0.2">
      <c r="A2437" s="11">
        <v>38614</v>
      </c>
      <c r="B2437" s="10">
        <v>272.83420000000001</v>
      </c>
      <c r="C2437" s="10">
        <v>273.0009</v>
      </c>
      <c r="D2437" s="10">
        <v>269.07900000000001</v>
      </c>
      <c r="E2437" s="13">
        <f t="shared" si="114"/>
        <v>1.2935802182791641E-2</v>
      </c>
      <c r="F2437" s="9">
        <f t="shared" si="112"/>
        <v>5.4970640004508832E-2</v>
      </c>
      <c r="G2437" s="9">
        <f t="shared" si="113"/>
        <v>7.5842208451316262E-3</v>
      </c>
    </row>
    <row r="2438" spans="1:7" x14ac:dyDescent="0.2">
      <c r="A2438" s="11">
        <v>38615</v>
      </c>
      <c r="B2438" s="10">
        <v>274.5419</v>
      </c>
      <c r="C2438" s="10">
        <v>275.68439999999998</v>
      </c>
      <c r="D2438" s="10">
        <v>272.83420000000001</v>
      </c>
      <c r="E2438" s="13">
        <f t="shared" si="114"/>
        <v>6.2396057863733133E-3</v>
      </c>
      <c r="F2438" s="9">
        <f t="shared" si="112"/>
        <v>6.2693681230638884E-2</v>
      </c>
      <c r="G2438" s="9">
        <f t="shared" si="113"/>
        <v>7.596916831398709E-3</v>
      </c>
    </row>
    <row r="2439" spans="1:7" x14ac:dyDescent="0.2">
      <c r="A2439" s="11">
        <v>38616</v>
      </c>
      <c r="B2439" s="10">
        <v>275.07900000000001</v>
      </c>
      <c r="C2439" s="10">
        <v>275.83030000000002</v>
      </c>
      <c r="D2439" s="10">
        <v>274.20729999999998</v>
      </c>
      <c r="E2439" s="13">
        <f t="shared" si="114"/>
        <v>1.9544386720710973E-3</v>
      </c>
      <c r="F2439" s="9">
        <f t="shared" si="112"/>
        <v>5.9108117362586504E-2</v>
      </c>
      <c r="G2439" s="9">
        <f t="shared" si="113"/>
        <v>7.5691003961872423E-3</v>
      </c>
    </row>
    <row r="2440" spans="1:7" x14ac:dyDescent="0.2">
      <c r="A2440" s="11">
        <v>38617</v>
      </c>
      <c r="B2440" s="10">
        <v>275.53590000000003</v>
      </c>
      <c r="C2440" s="10">
        <v>276.14729999999997</v>
      </c>
      <c r="D2440" s="10">
        <v>274.40210000000002</v>
      </c>
      <c r="E2440" s="13">
        <f t="shared" si="114"/>
        <v>1.6595994945610242E-3</v>
      </c>
      <c r="F2440" s="9">
        <f t="shared" si="112"/>
        <v>5.9755852127849604E-2</v>
      </c>
      <c r="G2440" s="9">
        <f t="shared" si="113"/>
        <v>7.5669189688974733E-3</v>
      </c>
    </row>
    <row r="2441" spans="1:7" x14ac:dyDescent="0.2">
      <c r="A2441" s="11">
        <v>38618</v>
      </c>
      <c r="B2441" s="10">
        <v>272.21600000000001</v>
      </c>
      <c r="C2441" s="10">
        <v>275.8476</v>
      </c>
      <c r="D2441" s="10">
        <v>272.20729999999998</v>
      </c>
      <c r="E2441" s="13">
        <f t="shared" si="114"/>
        <v>-1.2122059835028138E-2</v>
      </c>
      <c r="F2441" s="9">
        <f t="shared" si="112"/>
        <v>4.7145379942920153E-2</v>
      </c>
      <c r="G2441" s="9">
        <f t="shared" si="113"/>
        <v>8.0098655428518691E-3</v>
      </c>
    </row>
    <row r="2442" spans="1:7" x14ac:dyDescent="0.2">
      <c r="A2442" s="11">
        <v>38621</v>
      </c>
      <c r="B2442" s="10">
        <v>270.17489999999998</v>
      </c>
      <c r="C2442" s="10">
        <v>272.89299999999997</v>
      </c>
      <c r="D2442" s="10">
        <v>269.69630000000001</v>
      </c>
      <c r="E2442" s="13">
        <f t="shared" si="114"/>
        <v>-7.5263417397779114E-3</v>
      </c>
      <c r="F2442" s="9">
        <f t="shared" si="112"/>
        <v>5.2948777631168585E-2</v>
      </c>
      <c r="G2442" s="9">
        <f t="shared" si="113"/>
        <v>7.6889433522146153E-3</v>
      </c>
    </row>
    <row r="2443" spans="1:7" x14ac:dyDescent="0.2">
      <c r="A2443" s="11">
        <v>38622</v>
      </c>
      <c r="B2443" s="10">
        <v>270.51920000000001</v>
      </c>
      <c r="C2443" s="10">
        <v>272.7647</v>
      </c>
      <c r="D2443" s="10">
        <v>270.17489999999998</v>
      </c>
      <c r="E2443" s="13">
        <f t="shared" si="114"/>
        <v>1.2735483761919387E-3</v>
      </c>
      <c r="F2443" s="9">
        <f t="shared" si="112"/>
        <v>5.9183065047759713E-2</v>
      </c>
      <c r="G2443" s="9">
        <f t="shared" si="113"/>
        <v>7.5787842956725176E-3</v>
      </c>
    </row>
    <row r="2444" spans="1:7" x14ac:dyDescent="0.2">
      <c r="A2444" s="11">
        <v>38623</v>
      </c>
      <c r="B2444" s="10">
        <v>273.17860000000002</v>
      </c>
      <c r="C2444" s="10">
        <v>274.00200000000001</v>
      </c>
      <c r="D2444" s="10">
        <v>270.50920000000002</v>
      </c>
      <c r="E2444" s="13">
        <f t="shared" si="114"/>
        <v>9.7827183006102322E-3</v>
      </c>
      <c r="F2444" s="9">
        <f t="shared" si="112"/>
        <v>6.9395331817161732E-2</v>
      </c>
      <c r="G2444" s="9">
        <f t="shared" si="113"/>
        <v>7.6962461889779838E-3</v>
      </c>
    </row>
    <row r="2445" spans="1:7" x14ac:dyDescent="0.2">
      <c r="A2445" s="11">
        <v>38624</v>
      </c>
      <c r="B2445" s="10">
        <v>275.56</v>
      </c>
      <c r="C2445" s="10">
        <v>276.13229999999999</v>
      </c>
      <c r="D2445" s="10">
        <v>273.15179999999998</v>
      </c>
      <c r="E2445" s="13">
        <f t="shared" si="114"/>
        <v>8.6795969895031664E-3</v>
      </c>
      <c r="F2445" s="9">
        <f t="shared" si="112"/>
        <v>6.0183186566259907E-2</v>
      </c>
      <c r="G2445" s="9">
        <f t="shared" si="113"/>
        <v>7.2083400366544969E-3</v>
      </c>
    </row>
    <row r="2446" spans="1:7" x14ac:dyDescent="0.2">
      <c r="A2446" s="11">
        <v>38625</v>
      </c>
      <c r="B2446" s="10">
        <v>274.7199</v>
      </c>
      <c r="C2446" s="10">
        <v>276.91210000000001</v>
      </c>
      <c r="D2446" s="10">
        <v>273.69729999999998</v>
      </c>
      <c r="E2446" s="13">
        <f t="shared" si="114"/>
        <v>-3.0533575828849201E-3</v>
      </c>
      <c r="F2446" s="9">
        <f t="shared" si="112"/>
        <v>4.5051909087750371E-2</v>
      </c>
      <c r="G2446" s="9">
        <f t="shared" si="113"/>
        <v>7.0031620897441802E-3</v>
      </c>
    </row>
    <row r="2447" spans="1:7" x14ac:dyDescent="0.2">
      <c r="A2447" s="11">
        <v>38628</v>
      </c>
      <c r="B2447" s="10">
        <v>276.04910000000001</v>
      </c>
      <c r="C2447" s="10">
        <v>276.66719999999998</v>
      </c>
      <c r="D2447" s="10">
        <v>274.7199</v>
      </c>
      <c r="E2447" s="13">
        <f t="shared" si="114"/>
        <v>4.8267153036938015E-3</v>
      </c>
      <c r="F2447" s="9">
        <f t="shared" si="112"/>
        <v>4.7156699248752508E-2</v>
      </c>
      <c r="G2447" s="9">
        <f t="shared" si="113"/>
        <v>7.0265712969976779E-3</v>
      </c>
    </row>
    <row r="2448" spans="1:7" x14ac:dyDescent="0.2">
      <c r="A2448" s="11">
        <v>38629</v>
      </c>
      <c r="B2448" s="10">
        <v>274.24130000000002</v>
      </c>
      <c r="C2448" s="10">
        <v>276.07589999999999</v>
      </c>
      <c r="D2448" s="10">
        <v>273.65300000000002</v>
      </c>
      <c r="E2448" s="13">
        <f t="shared" si="114"/>
        <v>-6.5703726742288443E-3</v>
      </c>
      <c r="F2448" s="9">
        <f t="shared" si="112"/>
        <v>4.9287605381139306E-2</v>
      </c>
      <c r="G2448" s="9">
        <f t="shared" si="113"/>
        <v>6.9251265594231937E-3</v>
      </c>
    </row>
    <row r="2449" spans="1:7" x14ac:dyDescent="0.2">
      <c r="A2449" s="11">
        <v>38630</v>
      </c>
      <c r="B2449" s="10">
        <v>269.70729999999998</v>
      </c>
      <c r="C2449" s="10">
        <v>274.24130000000002</v>
      </c>
      <c r="D2449" s="10">
        <v>269.59629999999999</v>
      </c>
      <c r="E2449" s="13">
        <f t="shared" si="114"/>
        <v>-1.6671078880593035E-2</v>
      </c>
      <c r="F2449" s="9">
        <f t="shared" si="112"/>
        <v>3.357234726840478E-2</v>
      </c>
      <c r="G2449" s="9">
        <f t="shared" si="113"/>
        <v>7.7106607971465183E-3</v>
      </c>
    </row>
    <row r="2450" spans="1:7" x14ac:dyDescent="0.2">
      <c r="A2450" s="11">
        <v>38631</v>
      </c>
      <c r="B2450" s="10">
        <v>258.49939999999998</v>
      </c>
      <c r="C2450" s="10">
        <v>269.70729999999998</v>
      </c>
      <c r="D2450" s="10">
        <v>257.94720000000001</v>
      </c>
      <c r="E2450" s="13">
        <f t="shared" si="114"/>
        <v>-4.2443924028364104E-2</v>
      </c>
      <c r="F2450" s="9">
        <f t="shared" si="112"/>
        <v>-9.5952331881368549E-3</v>
      </c>
      <c r="G2450" s="9">
        <f t="shared" si="113"/>
        <v>1.1182534139592915E-2</v>
      </c>
    </row>
    <row r="2451" spans="1:7" x14ac:dyDescent="0.2">
      <c r="A2451" s="11">
        <v>38632</v>
      </c>
      <c r="B2451" s="10">
        <v>258.10840000000002</v>
      </c>
      <c r="C2451" s="10">
        <v>259.93209999999999</v>
      </c>
      <c r="D2451" s="10">
        <v>255.9708</v>
      </c>
      <c r="E2451" s="13">
        <f t="shared" si="114"/>
        <v>-1.5137211426534515E-3</v>
      </c>
      <c r="F2451" s="9">
        <f t="shared" si="112"/>
        <v>-1.6503362583097307E-2</v>
      </c>
      <c r="G2451" s="9">
        <f t="shared" si="113"/>
        <v>1.1129671865400174E-2</v>
      </c>
    </row>
    <row r="2452" spans="1:7" x14ac:dyDescent="0.2">
      <c r="A2452" s="11">
        <v>38635</v>
      </c>
      <c r="B2452" s="10">
        <v>257.60840000000002</v>
      </c>
      <c r="C2452" s="10">
        <v>262.10770000000002</v>
      </c>
      <c r="D2452" s="10">
        <v>257.60840000000002</v>
      </c>
      <c r="E2452" s="13">
        <f t="shared" si="114"/>
        <v>-1.9390493257655673E-3</v>
      </c>
      <c r="F2452" s="9">
        <f t="shared" si="112"/>
        <v>-2.1801810666187072E-2</v>
      </c>
      <c r="G2452" s="9">
        <f t="shared" si="113"/>
        <v>1.110634388344855E-2</v>
      </c>
    </row>
    <row r="2453" spans="1:7" x14ac:dyDescent="0.2">
      <c r="A2453" s="11">
        <v>38636</v>
      </c>
      <c r="B2453" s="10">
        <v>259.2552</v>
      </c>
      <c r="C2453" s="10">
        <v>260.20679999999999</v>
      </c>
      <c r="D2453" s="10">
        <v>257.60840000000002</v>
      </c>
      <c r="E2453" s="13">
        <f t="shared" si="114"/>
        <v>6.3723023734910218E-3</v>
      </c>
      <c r="F2453" s="9">
        <f t="shared" si="112"/>
        <v>-2.255143685203613E-2</v>
      </c>
      <c r="G2453" s="9">
        <f t="shared" si="113"/>
        <v>1.1088221487100662E-2</v>
      </c>
    </row>
    <row r="2454" spans="1:7" x14ac:dyDescent="0.2">
      <c r="A2454" s="11">
        <v>38637</v>
      </c>
      <c r="B2454" s="10">
        <v>258.34429999999998</v>
      </c>
      <c r="C2454" s="10">
        <v>261.03530000000001</v>
      </c>
      <c r="D2454" s="10">
        <v>258.17320000000001</v>
      </c>
      <c r="E2454" s="13">
        <f t="shared" si="114"/>
        <v>-3.5197133705936134E-3</v>
      </c>
      <c r="F2454" s="9">
        <f t="shared" si="112"/>
        <v>-3.6849747100935165E-2</v>
      </c>
      <c r="G2454" s="9">
        <f t="shared" si="113"/>
        <v>1.0871793656996474E-2</v>
      </c>
    </row>
    <row r="2455" spans="1:7" x14ac:dyDescent="0.2">
      <c r="A2455" s="11">
        <v>38638</v>
      </c>
      <c r="B2455" s="10">
        <v>247.99889999999999</v>
      </c>
      <c r="C2455" s="10">
        <v>258.58960000000002</v>
      </c>
      <c r="D2455" s="10">
        <v>247.55119999999999</v>
      </c>
      <c r="E2455" s="13">
        <f t="shared" si="114"/>
        <v>-4.086888072582185E-2</v>
      </c>
      <c r="F2455" s="9">
        <f t="shared" si="112"/>
        <v>-7.2105267961447395E-2</v>
      </c>
      <c r="G2455" s="9">
        <f t="shared" si="113"/>
        <v>1.311458196895594E-2</v>
      </c>
    </row>
    <row r="2456" spans="1:7" x14ac:dyDescent="0.2">
      <c r="A2456" s="11">
        <v>38639</v>
      </c>
      <c r="B2456" s="10">
        <v>244.63640000000001</v>
      </c>
      <c r="C2456" s="10">
        <v>247.99889999999999</v>
      </c>
      <c r="D2456" s="10">
        <v>242.77369999999999</v>
      </c>
      <c r="E2456" s="13">
        <f t="shared" si="114"/>
        <v>-1.3651284099123188E-2</v>
      </c>
      <c r="F2456" s="9">
        <f t="shared" si="112"/>
        <v>-8.1603367604637767E-2</v>
      </c>
      <c r="G2456" s="9">
        <f t="shared" si="113"/>
        <v>1.3275311600012054E-2</v>
      </c>
    </row>
    <row r="2457" spans="1:7" x14ac:dyDescent="0.2">
      <c r="A2457" s="11">
        <v>38642</v>
      </c>
      <c r="B2457" s="10">
        <v>248.1686</v>
      </c>
      <c r="C2457" s="10">
        <v>249.37010000000001</v>
      </c>
      <c r="D2457" s="10">
        <v>244.63640000000001</v>
      </c>
      <c r="E2457" s="13">
        <f t="shared" si="114"/>
        <v>1.4335327316855566E-2</v>
      </c>
      <c r="F2457" s="9">
        <f t="shared" si="112"/>
        <v>-7.6413219829445531E-2</v>
      </c>
      <c r="G2457" s="9">
        <f t="shared" si="113"/>
        <v>1.3475767632663466E-2</v>
      </c>
    </row>
    <row r="2458" spans="1:7" x14ac:dyDescent="0.2">
      <c r="A2458" s="11">
        <v>38643</v>
      </c>
      <c r="B2458" s="10">
        <v>240.40469999999999</v>
      </c>
      <c r="C2458" s="10">
        <v>249.70609999999999</v>
      </c>
      <c r="D2458" s="10">
        <v>239.58959999999999</v>
      </c>
      <c r="E2458" s="13">
        <f t="shared" si="114"/>
        <v>-3.1784600670315605E-2</v>
      </c>
      <c r="F2458" s="9">
        <f t="shared" si="112"/>
        <v>-0.10061149594285172</v>
      </c>
      <c r="G2458" s="9">
        <f t="shared" si="113"/>
        <v>1.4503314573813753E-2</v>
      </c>
    </row>
    <row r="2459" spans="1:7" x14ac:dyDescent="0.2">
      <c r="A2459" s="11">
        <v>38644</v>
      </c>
      <c r="B2459" s="10">
        <v>232.72839999999999</v>
      </c>
      <c r="C2459" s="10">
        <v>240.40469999999999</v>
      </c>
      <c r="D2459" s="10">
        <v>231.29910000000001</v>
      </c>
      <c r="E2459" s="13">
        <f t="shared" si="114"/>
        <v>-3.2451644805184525E-2</v>
      </c>
      <c r="F2459" s="9">
        <f t="shared" si="112"/>
        <v>-0.12562765136895712</v>
      </c>
      <c r="G2459" s="9">
        <f t="shared" si="113"/>
        <v>1.5460034545328332E-2</v>
      </c>
    </row>
    <row r="2460" spans="1:7" x14ac:dyDescent="0.2">
      <c r="A2460" s="11">
        <v>38645</v>
      </c>
      <c r="B2460" s="10">
        <v>240.2234</v>
      </c>
      <c r="C2460" s="10">
        <v>241.96430000000001</v>
      </c>
      <c r="D2460" s="10">
        <v>232.72839999999999</v>
      </c>
      <c r="E2460" s="13">
        <f t="shared" si="114"/>
        <v>3.1697215305123483E-2</v>
      </c>
      <c r="F2460" s="9">
        <f t="shared" si="112"/>
        <v>-9.8772013369767667E-2</v>
      </c>
      <c r="G2460" s="9">
        <f t="shared" si="113"/>
        <v>1.6777359382237178E-2</v>
      </c>
    </row>
    <row r="2461" spans="1:7" x14ac:dyDescent="0.2">
      <c r="A2461" s="11">
        <v>38646</v>
      </c>
      <c r="B2461" s="10">
        <v>237.75839999999999</v>
      </c>
      <c r="C2461" s="10">
        <v>240.2234</v>
      </c>
      <c r="D2461" s="10">
        <v>235.27279999999999</v>
      </c>
      <c r="E2461" s="13">
        <f t="shared" si="114"/>
        <v>-1.0314291686979844E-2</v>
      </c>
      <c r="F2461" s="9">
        <f t="shared" si="112"/>
        <v>-0.11804171486868985</v>
      </c>
      <c r="G2461" s="9">
        <f t="shared" si="113"/>
        <v>1.6651418381340575E-2</v>
      </c>
    </row>
    <row r="2462" spans="1:7" x14ac:dyDescent="0.2">
      <c r="A2462" s="11">
        <v>38649</v>
      </c>
      <c r="B2462" s="10">
        <v>244.2722</v>
      </c>
      <c r="C2462" s="10">
        <v>244.2722</v>
      </c>
      <c r="D2462" s="10">
        <v>237.75839999999999</v>
      </c>
      <c r="E2462" s="13">
        <f t="shared" si="114"/>
        <v>2.7028145242016702E-2</v>
      </c>
      <c r="F2462" s="9">
        <f t="shared" si="112"/>
        <v>-8.2247837109362412E-2</v>
      </c>
      <c r="G2462" s="9">
        <f t="shared" si="113"/>
        <v>1.7591035499978896E-2</v>
      </c>
    </row>
    <row r="2463" spans="1:7" x14ac:dyDescent="0.2">
      <c r="A2463" s="11">
        <v>38650</v>
      </c>
      <c r="B2463" s="10">
        <v>245.82259999999999</v>
      </c>
      <c r="C2463" s="10">
        <v>248.17179999999999</v>
      </c>
      <c r="D2463" s="10">
        <v>244.2722</v>
      </c>
      <c r="E2463" s="13">
        <f t="shared" si="114"/>
        <v>6.3269603020790549E-3</v>
      </c>
      <c r="F2463" s="9">
        <f t="shared" si="112"/>
        <v>-8.0727707619146091E-2</v>
      </c>
      <c r="G2463" s="9">
        <f t="shared" si="113"/>
        <v>1.7616869489751413E-2</v>
      </c>
    </row>
    <row r="2464" spans="1:7" x14ac:dyDescent="0.2">
      <c r="A2464" s="11">
        <v>38651</v>
      </c>
      <c r="B2464" s="10">
        <v>249.6</v>
      </c>
      <c r="C2464" s="10">
        <v>251.09299999999999</v>
      </c>
      <c r="D2464" s="10">
        <v>245.82259999999999</v>
      </c>
      <c r="E2464" s="13">
        <f t="shared" si="114"/>
        <v>1.52494989195264E-2</v>
      </c>
      <c r="F2464" s="9">
        <f t="shared" ref="F2464:F2527" si="115">LN(B2464/B2435)</f>
        <v>-7.5676310120925072E-2</v>
      </c>
      <c r="G2464" s="9">
        <f t="shared" si="113"/>
        <v>1.777408214540847E-2</v>
      </c>
    </row>
    <row r="2465" spans="1:7" x14ac:dyDescent="0.2">
      <c r="A2465" s="11">
        <v>38652</v>
      </c>
      <c r="B2465" s="10">
        <v>246.54230000000001</v>
      </c>
      <c r="C2465" s="10">
        <v>250.31440000000001</v>
      </c>
      <c r="D2465" s="10">
        <v>245.7807</v>
      </c>
      <c r="E2465" s="13">
        <f t="shared" si="114"/>
        <v>-1.2326055300464133E-2</v>
      </c>
      <c r="F2465" s="9">
        <f t="shared" si="115"/>
        <v>-8.8394901302890336E-2</v>
      </c>
      <c r="G2465" s="9">
        <f t="shared" ref="G2465:G2528" si="116">STDEV(E2437:E2465)</f>
        <v>1.7854095557203676E-2</v>
      </c>
    </row>
    <row r="2466" spans="1:7" x14ac:dyDescent="0.2">
      <c r="A2466" s="11">
        <v>38653</v>
      </c>
      <c r="B2466" s="10">
        <v>244.37200000000001</v>
      </c>
      <c r="C2466" s="10">
        <v>246.54230000000001</v>
      </c>
      <c r="D2466" s="10">
        <v>241.3802</v>
      </c>
      <c r="E2466" s="13">
        <f t="shared" si="114"/>
        <v>-8.8419267453653007E-3</v>
      </c>
      <c r="F2466" s="9">
        <f t="shared" si="115"/>
        <v>-0.11017263023104727</v>
      </c>
      <c r="G2466" s="9">
        <f t="shared" si="116"/>
        <v>1.7614172019534351E-2</v>
      </c>
    </row>
    <row r="2467" spans="1:7" x14ac:dyDescent="0.2">
      <c r="A2467" s="11">
        <v>38656</v>
      </c>
      <c r="B2467" s="10">
        <v>253.10599999999999</v>
      </c>
      <c r="C2467" s="10">
        <v>253.10599999999999</v>
      </c>
      <c r="D2467" s="10">
        <v>244.37200000000001</v>
      </c>
      <c r="E2467" s="13">
        <f t="shared" si="114"/>
        <v>3.5116718865692842E-2</v>
      </c>
      <c r="F2467" s="9">
        <f t="shared" si="115"/>
        <v>-8.1295517151727809E-2</v>
      </c>
      <c r="G2467" s="9">
        <f t="shared" si="116"/>
        <v>1.8966287416850969E-2</v>
      </c>
    </row>
    <row r="2468" spans="1:7" x14ac:dyDescent="0.2">
      <c r="A2468" s="11">
        <v>38657</v>
      </c>
      <c r="B2468" s="10">
        <v>250.05070000000001</v>
      </c>
      <c r="C2468" s="10">
        <v>253.10599999999999</v>
      </c>
      <c r="D2468" s="10">
        <v>248.1875</v>
      </c>
      <c r="E2468" s="13">
        <f t="shared" si="114"/>
        <v>-1.2144676014029682E-2</v>
      </c>
      <c r="F2468" s="9">
        <f t="shared" si="115"/>
        <v>-9.539463183782862E-2</v>
      </c>
      <c r="G2468" s="9">
        <f t="shared" si="116"/>
        <v>1.9020601973894189E-2</v>
      </c>
    </row>
    <row r="2469" spans="1:7" x14ac:dyDescent="0.2">
      <c r="A2469" s="11">
        <v>38658</v>
      </c>
      <c r="B2469" s="10">
        <v>251.458</v>
      </c>
      <c r="C2469" s="10">
        <v>251.6061</v>
      </c>
      <c r="D2469" s="10">
        <v>249.86709999999999</v>
      </c>
      <c r="E2469" s="13">
        <f t="shared" si="114"/>
        <v>5.6122802810386419E-3</v>
      </c>
      <c r="F2469" s="9">
        <f t="shared" si="115"/>
        <v>-9.1441951051350959E-2</v>
      </c>
      <c r="G2469" s="9">
        <f t="shared" si="116"/>
        <v>1.9071427306793991E-2</v>
      </c>
    </row>
    <row r="2470" spans="1:7" x14ac:dyDescent="0.2">
      <c r="A2470" s="11">
        <v>38659</v>
      </c>
      <c r="B2470" s="10">
        <v>260.71120000000002</v>
      </c>
      <c r="C2470" s="10">
        <v>260.79820000000001</v>
      </c>
      <c r="D2470" s="10">
        <v>251.458</v>
      </c>
      <c r="E2470" s="13">
        <f t="shared" si="114"/>
        <v>3.6137303692653937E-2</v>
      </c>
      <c r="F2470" s="9">
        <f t="shared" si="115"/>
        <v>-4.3182587523668832E-2</v>
      </c>
      <c r="G2470" s="9">
        <f t="shared" si="116"/>
        <v>2.0325153958727183E-2</v>
      </c>
    </row>
    <row r="2471" spans="1:7" x14ac:dyDescent="0.2">
      <c r="A2471" s="11">
        <v>38660</v>
      </c>
      <c r="B2471" s="10">
        <v>260.12079999999997</v>
      </c>
      <c r="C2471" s="10">
        <v>261.7158</v>
      </c>
      <c r="D2471" s="10">
        <v>258.55040000000002</v>
      </c>
      <c r="E2471" s="13">
        <f t="shared" si="114"/>
        <v>-2.2671427749635332E-3</v>
      </c>
      <c r="F2471" s="9">
        <f t="shared" si="115"/>
        <v>-3.7923388558854444E-2</v>
      </c>
      <c r="G2471" s="9">
        <f t="shared" si="116"/>
        <v>2.0292799179028299E-2</v>
      </c>
    </row>
    <row r="2472" spans="1:7" x14ac:dyDescent="0.2">
      <c r="A2472" s="11">
        <v>38663</v>
      </c>
      <c r="B2472" s="10">
        <v>259.70769999999999</v>
      </c>
      <c r="C2472" s="10">
        <v>261.06020000000001</v>
      </c>
      <c r="D2472" s="10">
        <v>253.55430000000001</v>
      </c>
      <c r="E2472" s="13">
        <f t="shared" si="114"/>
        <v>-1.5893706749858505E-3</v>
      </c>
      <c r="F2472" s="9">
        <f t="shared" si="115"/>
        <v>-4.0786307610032227E-2</v>
      </c>
      <c r="G2472" s="9">
        <f t="shared" si="116"/>
        <v>2.0286756240262077E-2</v>
      </c>
    </row>
    <row r="2473" spans="1:7" x14ac:dyDescent="0.2">
      <c r="A2473" s="11">
        <v>38664</v>
      </c>
      <c r="B2473" s="10">
        <v>257.11829999999998</v>
      </c>
      <c r="C2473" s="10">
        <v>260.464</v>
      </c>
      <c r="D2473" s="10">
        <v>256.54430000000002</v>
      </c>
      <c r="E2473" s="13">
        <f t="shared" si="114"/>
        <v>-1.0020477556322162E-2</v>
      </c>
      <c r="F2473" s="9">
        <f t="shared" si="115"/>
        <v>-6.0589503466964539E-2</v>
      </c>
      <c r="G2473" s="9">
        <f t="shared" si="116"/>
        <v>2.0229885439795307E-2</v>
      </c>
    </row>
    <row r="2474" spans="1:7" x14ac:dyDescent="0.2">
      <c r="A2474" s="11">
        <v>38665</v>
      </c>
      <c r="B2474" s="10">
        <v>258.58629999999999</v>
      </c>
      <c r="C2474" s="10">
        <v>259.40589999999997</v>
      </c>
      <c r="D2474" s="10">
        <v>256.14089999999999</v>
      </c>
      <c r="E2474" s="13">
        <f t="shared" si="114"/>
        <v>5.6931970943296566E-3</v>
      </c>
      <c r="F2474" s="9">
        <f t="shared" si="115"/>
        <v>-6.3575903362138156E-2</v>
      </c>
      <c r="G2474" s="9">
        <f t="shared" si="116"/>
        <v>2.0180650243614148E-2</v>
      </c>
    </row>
    <row r="2475" spans="1:7" x14ac:dyDescent="0.2">
      <c r="A2475" s="11">
        <v>38666</v>
      </c>
      <c r="B2475" s="10">
        <v>256.51499999999999</v>
      </c>
      <c r="C2475" s="10">
        <v>259.0249</v>
      </c>
      <c r="D2475" s="10">
        <v>256.51499999999999</v>
      </c>
      <c r="E2475" s="13">
        <f t="shared" si="114"/>
        <v>-8.0423449297301747E-3</v>
      </c>
      <c r="F2475" s="9">
        <f t="shared" si="115"/>
        <v>-6.8564890708983528E-2</v>
      </c>
      <c r="G2475" s="9">
        <f t="shared" si="116"/>
        <v>2.020949709832157E-2</v>
      </c>
    </row>
    <row r="2476" spans="1:7" x14ac:dyDescent="0.2">
      <c r="A2476" s="11">
        <v>38667</v>
      </c>
      <c r="B2476" s="10">
        <v>254.42920000000001</v>
      </c>
      <c r="C2476" s="10">
        <v>256.83269999999999</v>
      </c>
      <c r="D2476" s="10">
        <v>252.72929999999999</v>
      </c>
      <c r="E2476" s="13">
        <f t="shared" si="114"/>
        <v>-8.1645376796515828E-3</v>
      </c>
      <c r="F2476" s="9">
        <f t="shared" si="115"/>
        <v>-8.1556143692328761E-2</v>
      </c>
      <c r="G2476" s="9">
        <f t="shared" si="116"/>
        <v>2.0188378712908302E-2</v>
      </c>
    </row>
    <row r="2477" spans="1:7" x14ac:dyDescent="0.2">
      <c r="A2477" s="11">
        <v>38670</v>
      </c>
      <c r="B2477" s="10">
        <v>257.12779999999998</v>
      </c>
      <c r="C2477" s="10">
        <v>257.7346</v>
      </c>
      <c r="D2477" s="10">
        <v>254.32400000000001</v>
      </c>
      <c r="E2477" s="13">
        <f t="shared" si="114"/>
        <v>1.0550632805468531E-2</v>
      </c>
      <c r="F2477" s="9">
        <f t="shared" si="115"/>
        <v>-6.4435138212631471E-2</v>
      </c>
      <c r="G2477" s="9">
        <f t="shared" si="116"/>
        <v>2.0324434710987507E-2</v>
      </c>
    </row>
    <row r="2478" spans="1:7" x14ac:dyDescent="0.2">
      <c r="A2478" s="11">
        <v>38671</v>
      </c>
      <c r="B2478" s="10">
        <v>255.79900000000001</v>
      </c>
      <c r="C2478" s="10">
        <v>257.35950000000003</v>
      </c>
      <c r="D2478" s="10">
        <v>255.05099999999999</v>
      </c>
      <c r="E2478" s="13">
        <f t="shared" si="114"/>
        <v>-5.1812577259865451E-3</v>
      </c>
      <c r="F2478" s="9">
        <f t="shared" si="115"/>
        <v>-5.2945317058024848E-2</v>
      </c>
      <c r="G2478" s="9">
        <f t="shared" si="116"/>
        <v>2.0143893863523533E-2</v>
      </c>
    </row>
    <row r="2479" spans="1:7" x14ac:dyDescent="0.2">
      <c r="A2479" s="11">
        <v>38672</v>
      </c>
      <c r="B2479" s="10">
        <v>252.26509999999999</v>
      </c>
      <c r="C2479" s="10">
        <v>255.79900000000001</v>
      </c>
      <c r="D2479" s="10">
        <v>251.47409999999999</v>
      </c>
      <c r="E2479" s="13">
        <f t="shared" si="114"/>
        <v>-1.3911461142090756E-2</v>
      </c>
      <c r="F2479" s="9">
        <f t="shared" si="115"/>
        <v>-2.4412854171751507E-2</v>
      </c>
      <c r="G2479" s="9">
        <f t="shared" si="116"/>
        <v>1.8736799113849418E-2</v>
      </c>
    </row>
    <row r="2480" spans="1:7" x14ac:dyDescent="0.2">
      <c r="A2480" s="11">
        <v>38673</v>
      </c>
      <c r="B2480" s="10">
        <v>257.59460000000001</v>
      </c>
      <c r="C2480" s="10">
        <v>257.98790000000002</v>
      </c>
      <c r="D2480" s="10">
        <v>252.26509999999999</v>
      </c>
      <c r="E2480" s="13">
        <f t="shared" si="114"/>
        <v>2.0906512586691694E-2</v>
      </c>
      <c r="F2480" s="9">
        <f t="shared" si="115"/>
        <v>-1.9926204424062554E-3</v>
      </c>
      <c r="G2480" s="9">
        <f t="shared" si="116"/>
        <v>1.9165723908333189E-2</v>
      </c>
    </row>
    <row r="2481" spans="1:7" x14ac:dyDescent="0.2">
      <c r="A2481" s="11">
        <v>38674</v>
      </c>
      <c r="B2481" s="10">
        <v>258.08819999999997</v>
      </c>
      <c r="C2481" s="10">
        <v>259.78500000000003</v>
      </c>
      <c r="D2481" s="10">
        <v>256.86959999999999</v>
      </c>
      <c r="E2481" s="13">
        <f t="shared" si="114"/>
        <v>1.9143556882007199E-3</v>
      </c>
      <c r="F2481" s="9">
        <f t="shared" si="115"/>
        <v>1.8607845715600982E-3</v>
      </c>
      <c r="G2481" s="9">
        <f t="shared" si="116"/>
        <v>1.9165651572254482E-2</v>
      </c>
    </row>
    <row r="2482" spans="1:7" x14ac:dyDescent="0.2">
      <c r="A2482" s="11">
        <v>38677</v>
      </c>
      <c r="B2482" s="10">
        <v>259.3159</v>
      </c>
      <c r="C2482" s="10">
        <v>260.90800000000002</v>
      </c>
      <c r="D2482" s="10">
        <v>258.08819999999997</v>
      </c>
      <c r="E2482" s="13">
        <f t="shared" si="114"/>
        <v>4.745622634526432E-3</v>
      </c>
      <c r="F2482" s="9">
        <f t="shared" si="115"/>
        <v>2.3410483259573168E-4</v>
      </c>
      <c r="G2482" s="9">
        <f t="shared" si="116"/>
        <v>1.914890318504681E-2</v>
      </c>
    </row>
    <row r="2483" spans="1:7" x14ac:dyDescent="0.2">
      <c r="A2483" s="11">
        <v>38678</v>
      </c>
      <c r="B2483" s="10">
        <v>263.27260000000001</v>
      </c>
      <c r="C2483" s="10">
        <v>263.58280000000002</v>
      </c>
      <c r="D2483" s="10">
        <v>259.3159</v>
      </c>
      <c r="E2483" s="13">
        <f t="shared" si="114"/>
        <v>1.514298768141983E-2</v>
      </c>
      <c r="F2483" s="9">
        <f t="shared" si="115"/>
        <v>1.8896805884609069E-2</v>
      </c>
      <c r="G2483" s="9">
        <f t="shared" si="116"/>
        <v>1.9338769322706922E-2</v>
      </c>
    </row>
    <row r="2484" spans="1:7" x14ac:dyDescent="0.2">
      <c r="A2484" s="11">
        <v>38679</v>
      </c>
      <c r="B2484" s="10">
        <v>262.25880000000001</v>
      </c>
      <c r="C2484" s="10">
        <v>264.00670000000002</v>
      </c>
      <c r="D2484" s="10">
        <v>261.7097</v>
      </c>
      <c r="E2484" s="13">
        <f t="shared" si="114"/>
        <v>-3.8581948008832917E-3</v>
      </c>
      <c r="F2484" s="9">
        <f t="shared" si="115"/>
        <v>5.5907491809547606E-2</v>
      </c>
      <c r="G2484" s="9">
        <f t="shared" si="116"/>
        <v>1.7648165318533974E-2</v>
      </c>
    </row>
    <row r="2485" spans="1:7" x14ac:dyDescent="0.2">
      <c r="A2485" s="11">
        <v>38680</v>
      </c>
      <c r="B2485" s="10">
        <v>260.84429999999998</v>
      </c>
      <c r="C2485" s="10">
        <v>262.53680000000003</v>
      </c>
      <c r="D2485" s="10">
        <v>260.01220000000001</v>
      </c>
      <c r="E2485" s="13">
        <f t="shared" si="114"/>
        <v>-5.4081248900437725E-3</v>
      </c>
      <c r="F2485" s="9">
        <f t="shared" si="115"/>
        <v>6.4150651018627006E-2</v>
      </c>
      <c r="G2485" s="9">
        <f t="shared" si="116"/>
        <v>1.7453592345263128E-2</v>
      </c>
    </row>
    <row r="2486" spans="1:7" x14ac:dyDescent="0.2">
      <c r="A2486" s="11">
        <v>38681</v>
      </c>
      <c r="B2486" s="10">
        <v>264.05070000000001</v>
      </c>
      <c r="C2486" s="10">
        <v>264.11770000000001</v>
      </c>
      <c r="D2486" s="10">
        <v>260.84429999999998</v>
      </c>
      <c r="E2486" s="13">
        <f t="shared" si="114"/>
        <v>1.2217452571715887E-2</v>
      </c>
      <c r="F2486" s="9">
        <f t="shared" si="115"/>
        <v>6.2032776273487342E-2</v>
      </c>
      <c r="G2486" s="9">
        <f t="shared" si="116"/>
        <v>1.7405418425154983E-2</v>
      </c>
    </row>
    <row r="2487" spans="1:7" x14ac:dyDescent="0.2">
      <c r="A2487" s="11">
        <v>38684</v>
      </c>
      <c r="B2487" s="10">
        <v>262.20179999999999</v>
      </c>
      <c r="C2487" s="10">
        <v>265.4436</v>
      </c>
      <c r="D2487" s="10">
        <v>262.20179999999999</v>
      </c>
      <c r="E2487" s="13">
        <f t="shared" si="114"/>
        <v>-7.026693867900123E-3</v>
      </c>
      <c r="F2487" s="9">
        <f t="shared" si="115"/>
        <v>8.6790683075902722E-2</v>
      </c>
      <c r="G2487" s="9">
        <f t="shared" si="116"/>
        <v>1.6250956478677633E-2</v>
      </c>
    </row>
    <row r="2488" spans="1:7" x14ac:dyDescent="0.2">
      <c r="A2488" s="11">
        <v>38685</v>
      </c>
      <c r="B2488" s="10">
        <v>262.71629999999999</v>
      </c>
      <c r="C2488" s="10">
        <v>262.93270000000001</v>
      </c>
      <c r="D2488" s="10">
        <v>258.27429999999998</v>
      </c>
      <c r="E2488" s="13">
        <f t="shared" si="114"/>
        <v>1.9603064354613924E-3</v>
      </c>
      <c r="F2488" s="9">
        <f t="shared" si="115"/>
        <v>0.12120263431654872</v>
      </c>
      <c r="G2488" s="9">
        <f t="shared" si="116"/>
        <v>1.4758224278534458E-2</v>
      </c>
    </row>
    <row r="2489" spans="1:7" x14ac:dyDescent="0.2">
      <c r="A2489" s="11">
        <v>38686</v>
      </c>
      <c r="B2489" s="10">
        <v>263.10270000000003</v>
      </c>
      <c r="C2489" s="10">
        <v>263.10270000000003</v>
      </c>
      <c r="D2489" s="10">
        <v>260.6703</v>
      </c>
      <c r="E2489" s="13">
        <f t="shared" si="114"/>
        <v>1.4697075212319456E-3</v>
      </c>
      <c r="F2489" s="9">
        <f t="shared" si="115"/>
        <v>9.0975126532657005E-2</v>
      </c>
      <c r="G2489" s="9">
        <f t="shared" si="116"/>
        <v>1.378035677580418E-2</v>
      </c>
    </row>
    <row r="2490" spans="1:7" x14ac:dyDescent="0.2">
      <c r="A2490" s="11">
        <v>38687</v>
      </c>
      <c r="B2490" s="10">
        <v>267.86439999999999</v>
      </c>
      <c r="C2490" s="10">
        <v>268.00869999999998</v>
      </c>
      <c r="D2490" s="10">
        <v>263.10270000000003</v>
      </c>
      <c r="E2490" s="13">
        <f t="shared" si="114"/>
        <v>1.793643206422612E-2</v>
      </c>
      <c r="F2490" s="9">
        <f t="shared" si="115"/>
        <v>0.11922585028386316</v>
      </c>
      <c r="G2490" s="9">
        <f t="shared" si="116"/>
        <v>1.3794035346426408E-2</v>
      </c>
    </row>
    <row r="2491" spans="1:7" x14ac:dyDescent="0.2">
      <c r="A2491" s="11">
        <v>38688</v>
      </c>
      <c r="B2491" s="10">
        <v>271.73200000000003</v>
      </c>
      <c r="C2491" s="10">
        <v>271.85379999999998</v>
      </c>
      <c r="D2491" s="10">
        <v>267.86439999999999</v>
      </c>
      <c r="E2491" s="13">
        <f t="shared" si="114"/>
        <v>1.4335404141509259E-2</v>
      </c>
      <c r="F2491" s="9">
        <f t="shared" si="115"/>
        <v>0.10653310918335561</v>
      </c>
      <c r="G2491" s="9">
        <f t="shared" si="116"/>
        <v>1.3230788004548371E-2</v>
      </c>
    </row>
    <row r="2492" spans="1:7" x14ac:dyDescent="0.2">
      <c r="A2492" s="11">
        <v>38691</v>
      </c>
      <c r="B2492" s="10">
        <v>272.15410000000003</v>
      </c>
      <c r="C2492" s="10">
        <v>274.0856</v>
      </c>
      <c r="D2492" s="10">
        <v>271.4599</v>
      </c>
      <c r="E2492" s="13">
        <f t="shared" si="114"/>
        <v>1.5521635310924045E-3</v>
      </c>
      <c r="F2492" s="9">
        <f t="shared" si="115"/>
        <v>0.10175831241236907</v>
      </c>
      <c r="G2492" s="9">
        <f t="shared" si="116"/>
        <v>1.3226297694109703E-2</v>
      </c>
    </row>
    <row r="2493" spans="1:7" x14ac:dyDescent="0.2">
      <c r="A2493" s="11">
        <v>38692</v>
      </c>
      <c r="B2493" s="10">
        <v>273.04059999999998</v>
      </c>
      <c r="C2493" s="10">
        <v>273.2296</v>
      </c>
      <c r="D2493" s="10">
        <v>269.88029999999998</v>
      </c>
      <c r="E2493" s="13">
        <f t="shared" si="114"/>
        <v>3.2520520881446982E-3</v>
      </c>
      <c r="F2493" s="9">
        <f t="shared" si="115"/>
        <v>8.9760865580987184E-2</v>
      </c>
      <c r="G2493" s="9">
        <f t="shared" si="116"/>
        <v>1.3032157614536877E-2</v>
      </c>
    </row>
    <row r="2494" spans="1:7" x14ac:dyDescent="0.2">
      <c r="A2494" s="11">
        <v>38693</v>
      </c>
      <c r="B2494" s="10">
        <v>276.79399999999998</v>
      </c>
      <c r="C2494" s="10">
        <v>277.09390000000002</v>
      </c>
      <c r="D2494" s="10">
        <v>273.04059999999998</v>
      </c>
      <c r="E2494" s="13">
        <f t="shared" si="114"/>
        <v>1.3653045131742298E-2</v>
      </c>
      <c r="F2494" s="9">
        <f t="shared" si="115"/>
        <v>0.11573996601319356</v>
      </c>
      <c r="G2494" s="9">
        <f t="shared" si="116"/>
        <v>1.2825504271631939E-2</v>
      </c>
    </row>
    <row r="2495" spans="1:7" x14ac:dyDescent="0.2">
      <c r="A2495" s="11">
        <v>38694</v>
      </c>
      <c r="B2495" s="10">
        <v>274.66219999999998</v>
      </c>
      <c r="C2495" s="10">
        <v>276.79399999999998</v>
      </c>
      <c r="D2495" s="10">
        <v>274.1506</v>
      </c>
      <c r="E2495" s="13">
        <f t="shared" si="114"/>
        <v>-7.7315682347923716E-3</v>
      </c>
      <c r="F2495" s="9">
        <f t="shared" si="115"/>
        <v>0.11685032452376652</v>
      </c>
      <c r="G2495" s="9">
        <f t="shared" si="116"/>
        <v>1.2787426420042233E-2</v>
      </c>
    </row>
    <row r="2496" spans="1:7" x14ac:dyDescent="0.2">
      <c r="A2496" s="11">
        <v>38695</v>
      </c>
      <c r="B2496" s="10">
        <v>276.58609999999999</v>
      </c>
      <c r="C2496" s="10">
        <v>277.78039999999999</v>
      </c>
      <c r="D2496" s="10">
        <v>274.66219999999998</v>
      </c>
      <c r="E2496" s="13">
        <f t="shared" si="114"/>
        <v>6.9801859216906004E-3</v>
      </c>
      <c r="F2496" s="9">
        <f t="shared" si="115"/>
        <v>8.8713791579764167E-2</v>
      </c>
      <c r="G2496" s="9">
        <f t="shared" si="116"/>
        <v>1.1328683943566266E-2</v>
      </c>
    </row>
    <row r="2497" spans="1:7" x14ac:dyDescent="0.2">
      <c r="A2497" s="11">
        <v>38698</v>
      </c>
      <c r="B2497" s="10">
        <v>275.45650000000001</v>
      </c>
      <c r="C2497" s="10">
        <v>277.72140000000002</v>
      </c>
      <c r="D2497" s="10">
        <v>275.45650000000001</v>
      </c>
      <c r="E2497" s="13">
        <f t="shared" si="114"/>
        <v>-4.0924435054593604E-3</v>
      </c>
      <c r="F2497" s="9">
        <f t="shared" si="115"/>
        <v>9.6766024088334637E-2</v>
      </c>
      <c r="G2497" s="9">
        <f t="shared" si="116"/>
        <v>1.1037676156303087E-2</v>
      </c>
    </row>
    <row r="2498" spans="1:7" x14ac:dyDescent="0.2">
      <c r="A2498" s="11">
        <v>38699</v>
      </c>
      <c r="B2498" s="10">
        <v>277.62349999999998</v>
      </c>
      <c r="C2498" s="10">
        <v>278.59109999999998</v>
      </c>
      <c r="D2498" s="10">
        <v>275.45650000000001</v>
      </c>
      <c r="E2498" s="13">
        <f t="shared" si="114"/>
        <v>7.8361578389201311E-3</v>
      </c>
      <c r="F2498" s="9">
        <f t="shared" si="115"/>
        <v>9.89899016462161E-2</v>
      </c>
      <c r="G2498" s="9">
        <f t="shared" si="116"/>
        <v>1.10617492640665E-2</v>
      </c>
    </row>
    <row r="2499" spans="1:7" x14ac:dyDescent="0.2">
      <c r="A2499" s="11">
        <v>38700</v>
      </c>
      <c r="B2499" s="10">
        <v>277.9631</v>
      </c>
      <c r="C2499" s="10">
        <v>278.01319999999998</v>
      </c>
      <c r="D2499" s="10">
        <v>275.76670000000001</v>
      </c>
      <c r="E2499" s="13">
        <f t="shared" si="114"/>
        <v>1.2224918394142755E-3</v>
      </c>
      <c r="F2499" s="9">
        <f t="shared" si="115"/>
        <v>6.4075089792976478E-2</v>
      </c>
      <c r="G2499" s="9">
        <f t="shared" si="116"/>
        <v>9.0987786598341683E-3</v>
      </c>
    </row>
    <row r="2500" spans="1:7" x14ac:dyDescent="0.2">
      <c r="A2500" s="11">
        <v>38701</v>
      </c>
      <c r="B2500" s="10">
        <v>273.74340000000001</v>
      </c>
      <c r="C2500" s="10">
        <v>278.25209999999998</v>
      </c>
      <c r="D2500" s="10">
        <v>273.22309999999999</v>
      </c>
      <c r="E2500" s="13">
        <f t="shared" ref="E2500:E2563" si="117">LN(B2500/B2499)</f>
        <v>-1.5297199816746617E-2</v>
      </c>
      <c r="F2500" s="9">
        <f t="shared" si="115"/>
        <v>5.1045032751193327E-2</v>
      </c>
      <c r="G2500" s="9">
        <f t="shared" si="116"/>
        <v>9.6337333682280039E-3</v>
      </c>
    </row>
    <row r="2501" spans="1:7" x14ac:dyDescent="0.2">
      <c r="A2501" s="11">
        <v>38702</v>
      </c>
      <c r="B2501" s="10">
        <v>270.83530000000002</v>
      </c>
      <c r="C2501" s="10">
        <v>274.98169999999999</v>
      </c>
      <c r="D2501" s="10">
        <v>270.59769999999997</v>
      </c>
      <c r="E2501" s="13">
        <f t="shared" si="117"/>
        <v>-1.0680284203149032E-2</v>
      </c>
      <c r="F2501" s="9">
        <f t="shared" si="115"/>
        <v>4.1954119223030065E-2</v>
      </c>
      <c r="G2501" s="9">
        <f t="shared" si="116"/>
        <v>9.8910902295362303E-3</v>
      </c>
    </row>
    <row r="2502" spans="1:7" x14ac:dyDescent="0.2">
      <c r="A2502" s="11">
        <v>38705</v>
      </c>
      <c r="B2502" s="10">
        <v>267.60539999999997</v>
      </c>
      <c r="C2502" s="10">
        <v>270.94069999999999</v>
      </c>
      <c r="D2502" s="10">
        <v>267.59699999999998</v>
      </c>
      <c r="E2502" s="13">
        <f t="shared" si="117"/>
        <v>-1.1997379625209787E-2</v>
      </c>
      <c r="F2502" s="9">
        <f t="shared" si="115"/>
        <v>3.9977217154142465E-2</v>
      </c>
      <c r="G2502" s="9">
        <f t="shared" si="116"/>
        <v>9.9793625864852027E-3</v>
      </c>
    </row>
    <row r="2503" spans="1:7" x14ac:dyDescent="0.2">
      <c r="A2503" s="11">
        <v>38706</v>
      </c>
      <c r="B2503" s="10">
        <v>271.38869999999997</v>
      </c>
      <c r="C2503" s="10">
        <v>271.43029999999999</v>
      </c>
      <c r="D2503" s="10">
        <v>266.89870000000002</v>
      </c>
      <c r="E2503" s="13">
        <f t="shared" si="117"/>
        <v>1.403860314961787E-2</v>
      </c>
      <c r="F2503" s="9">
        <f t="shared" si="115"/>
        <v>4.8322623209430912E-2</v>
      </c>
      <c r="G2503" s="9">
        <f t="shared" si="116"/>
        <v>1.0225518817281995E-2</v>
      </c>
    </row>
    <row r="2504" spans="1:7" x14ac:dyDescent="0.2">
      <c r="A2504" s="11">
        <v>38707</v>
      </c>
      <c r="B2504" s="10">
        <v>272.53300000000002</v>
      </c>
      <c r="C2504" s="10">
        <v>274.12349999999998</v>
      </c>
      <c r="D2504" s="10">
        <v>271.38869999999997</v>
      </c>
      <c r="E2504" s="13">
        <f t="shared" si="117"/>
        <v>4.2075971163180502E-3</v>
      </c>
      <c r="F2504" s="9">
        <f t="shared" si="115"/>
        <v>6.0572565255479181E-2</v>
      </c>
      <c r="G2504" s="9">
        <f t="shared" si="116"/>
        <v>1.0061845421201405E-2</v>
      </c>
    </row>
    <row r="2505" spans="1:7" x14ac:dyDescent="0.2">
      <c r="A2505" s="11">
        <v>38708</v>
      </c>
      <c r="B2505" s="10">
        <v>274.94600000000003</v>
      </c>
      <c r="C2505" s="10">
        <v>275.76830000000001</v>
      </c>
      <c r="D2505" s="10">
        <v>272.44729999999998</v>
      </c>
      <c r="E2505" s="13">
        <f t="shared" si="117"/>
        <v>8.8150070597389305E-3</v>
      </c>
      <c r="F2505" s="9">
        <f t="shared" si="115"/>
        <v>7.7552109994869473E-2</v>
      </c>
      <c r="G2505" s="9">
        <f t="shared" si="116"/>
        <v>9.9371471102407214E-3</v>
      </c>
    </row>
    <row r="2506" spans="1:7" x14ac:dyDescent="0.2">
      <c r="A2506" s="11">
        <v>38709</v>
      </c>
      <c r="B2506" s="10">
        <v>275.51069999999999</v>
      </c>
      <c r="C2506" s="10">
        <v>277.03660000000002</v>
      </c>
      <c r="D2506" s="10">
        <v>274.6438</v>
      </c>
      <c r="E2506" s="13">
        <f t="shared" si="117"/>
        <v>2.0517515659295021E-3</v>
      </c>
      <c r="F2506" s="9">
        <f t="shared" si="115"/>
        <v>6.9053228755330473E-2</v>
      </c>
      <c r="G2506" s="9">
        <f t="shared" si="116"/>
        <v>9.8212082865505469E-3</v>
      </c>
    </row>
    <row r="2507" spans="1:7" x14ac:dyDescent="0.2">
      <c r="A2507" s="11">
        <v>38713</v>
      </c>
      <c r="B2507" s="10">
        <v>275.08080000000001</v>
      </c>
      <c r="C2507" s="10">
        <v>276.6533</v>
      </c>
      <c r="D2507" s="10">
        <v>274.11369999999999</v>
      </c>
      <c r="E2507" s="13">
        <f t="shared" si="117"/>
        <v>-1.5615936219934977E-3</v>
      </c>
      <c r="F2507" s="9">
        <f t="shared" si="115"/>
        <v>7.2672892859323573E-2</v>
      </c>
      <c r="G2507" s="9">
        <f t="shared" si="116"/>
        <v>9.7443667915880858E-3</v>
      </c>
    </row>
    <row r="2508" spans="1:7" x14ac:dyDescent="0.2">
      <c r="A2508" s="11">
        <v>38714</v>
      </c>
      <c r="B2508" s="10">
        <v>277.3057</v>
      </c>
      <c r="C2508" s="10">
        <v>277.41590000000002</v>
      </c>
      <c r="D2508" s="10">
        <v>272.79379999999998</v>
      </c>
      <c r="E2508" s="13">
        <f t="shared" si="117"/>
        <v>8.055635073404295E-3</v>
      </c>
      <c r="F2508" s="9">
        <f t="shared" si="115"/>
        <v>9.4639989074818409E-2</v>
      </c>
      <c r="G2508" s="9">
        <f t="shared" si="116"/>
        <v>9.2645686114843483E-3</v>
      </c>
    </row>
    <row r="2509" spans="1:7" x14ac:dyDescent="0.2">
      <c r="A2509" s="11">
        <v>38715</v>
      </c>
      <c r="B2509" s="10">
        <v>277.80900000000003</v>
      </c>
      <c r="C2509" s="10">
        <v>280.48599999999999</v>
      </c>
      <c r="D2509" s="10">
        <v>277.3057</v>
      </c>
      <c r="E2509" s="13">
        <f t="shared" si="117"/>
        <v>1.8133194379813193E-3</v>
      </c>
      <c r="F2509" s="9">
        <f t="shared" si="115"/>
        <v>7.5546795926107857E-2</v>
      </c>
      <c r="G2509" s="9">
        <f t="shared" si="116"/>
        <v>8.6221412116748025E-3</v>
      </c>
    </row>
    <row r="2510" spans="1:7" x14ac:dyDescent="0.2">
      <c r="A2510" s="11">
        <v>38716</v>
      </c>
      <c r="B2510" s="10">
        <v>277.91419999999999</v>
      </c>
      <c r="C2510" s="10">
        <v>278.46929999999998</v>
      </c>
      <c r="D2510" s="10">
        <v>277.089</v>
      </c>
      <c r="E2510" s="13">
        <f t="shared" si="117"/>
        <v>3.7860575645079123E-4</v>
      </c>
      <c r="F2510" s="9">
        <f t="shared" si="115"/>
        <v>7.4011045994357927E-2</v>
      </c>
      <c r="G2510" s="9">
        <f t="shared" si="116"/>
        <v>8.6312464699541437E-3</v>
      </c>
    </row>
    <row r="2511" spans="1:7" x14ac:dyDescent="0.2">
      <c r="A2511" s="11">
        <v>38719</v>
      </c>
      <c r="B2511" s="10">
        <v>277.94810000000001</v>
      </c>
      <c r="C2511" s="10">
        <v>279.28210000000001</v>
      </c>
      <c r="D2511" s="10">
        <v>277.91419999999999</v>
      </c>
      <c r="E2511" s="13">
        <f t="shared" si="117"/>
        <v>1.2197265417005682E-4</v>
      </c>
      <c r="F2511" s="9">
        <f t="shared" si="115"/>
        <v>6.9387396014001498E-2</v>
      </c>
      <c r="G2511" s="9">
        <f t="shared" si="116"/>
        <v>8.6319847167655537E-3</v>
      </c>
    </row>
    <row r="2512" spans="1:7" x14ac:dyDescent="0.2">
      <c r="A2512" s="11">
        <v>38720</v>
      </c>
      <c r="B2512" s="10">
        <v>280.34910000000002</v>
      </c>
      <c r="C2512" s="10">
        <v>281.1198</v>
      </c>
      <c r="D2512" s="10">
        <v>277.94810000000001</v>
      </c>
      <c r="E2512" s="13">
        <f t="shared" si="117"/>
        <v>8.6012066773685659E-3</v>
      </c>
      <c r="F2512" s="9">
        <f t="shared" si="115"/>
        <v>6.2845615009950229E-2</v>
      </c>
      <c r="G2512" s="9">
        <f t="shared" si="116"/>
        <v>8.3683334008440649E-3</v>
      </c>
    </row>
    <row r="2513" spans="1:7" x14ac:dyDescent="0.2">
      <c r="A2513" s="11">
        <v>38721</v>
      </c>
      <c r="B2513" s="10">
        <v>282.53370000000001</v>
      </c>
      <c r="C2513" s="10">
        <v>283.71370000000002</v>
      </c>
      <c r="D2513" s="10">
        <v>280.34910000000002</v>
      </c>
      <c r="E2513" s="13">
        <f t="shared" si="117"/>
        <v>7.7622232155093972E-3</v>
      </c>
      <c r="F2513" s="9">
        <f t="shared" si="115"/>
        <v>7.4466033026342859E-2</v>
      </c>
      <c r="G2513" s="9">
        <f t="shared" si="116"/>
        <v>8.3477054490158631E-3</v>
      </c>
    </row>
    <row r="2514" spans="1:7" x14ac:dyDescent="0.2">
      <c r="A2514" s="11">
        <v>38722</v>
      </c>
      <c r="B2514" s="10">
        <v>281.47019999999998</v>
      </c>
      <c r="C2514" s="10">
        <v>283.91739999999999</v>
      </c>
      <c r="D2514" s="10">
        <v>281.09840000000003</v>
      </c>
      <c r="E2514" s="13">
        <f t="shared" si="117"/>
        <v>-3.7712549876224508E-3</v>
      </c>
      <c r="F2514" s="9">
        <f t="shared" si="115"/>
        <v>7.6102902928764204E-2</v>
      </c>
      <c r="G2514" s="9">
        <f t="shared" si="116"/>
        <v>8.2972307845362026E-3</v>
      </c>
    </row>
    <row r="2515" spans="1:7" x14ac:dyDescent="0.2">
      <c r="A2515" s="11">
        <v>38723</v>
      </c>
      <c r="B2515" s="10">
        <v>283.28199999999998</v>
      </c>
      <c r="C2515" s="10">
        <v>283.5521</v>
      </c>
      <c r="D2515" s="10">
        <v>280.63119999999998</v>
      </c>
      <c r="E2515" s="13">
        <f t="shared" si="117"/>
        <v>6.4162874116823971E-3</v>
      </c>
      <c r="F2515" s="9">
        <f t="shared" si="115"/>
        <v>7.0301737768730749E-2</v>
      </c>
      <c r="G2515" s="9">
        <f t="shared" si="116"/>
        <v>8.1258460890331723E-3</v>
      </c>
    </row>
    <row r="2516" spans="1:7" x14ac:dyDescent="0.2">
      <c r="A2516" s="11">
        <v>38726</v>
      </c>
      <c r="B2516" s="10">
        <v>283.98809999999997</v>
      </c>
      <c r="C2516" s="10">
        <v>285.48570000000001</v>
      </c>
      <c r="D2516" s="10">
        <v>283.28199999999998</v>
      </c>
      <c r="E2516" s="13">
        <f t="shared" si="117"/>
        <v>2.4894679436420347E-3</v>
      </c>
      <c r="F2516" s="9">
        <f t="shared" si="115"/>
        <v>7.9817899580272772E-2</v>
      </c>
      <c r="G2516" s="9">
        <f t="shared" si="116"/>
        <v>7.920102654575642E-3</v>
      </c>
    </row>
    <row r="2517" spans="1:7" x14ac:dyDescent="0.2">
      <c r="A2517" s="11">
        <v>38727</v>
      </c>
      <c r="B2517" s="10">
        <v>281.95339999999999</v>
      </c>
      <c r="C2517" s="10">
        <v>283.98809999999997</v>
      </c>
      <c r="D2517" s="10">
        <v>279.93209999999999</v>
      </c>
      <c r="E2517" s="13">
        <f t="shared" si="117"/>
        <v>-7.1905268186960797E-3</v>
      </c>
      <c r="F2517" s="9">
        <f t="shared" si="115"/>
        <v>7.0667066326115413E-2</v>
      </c>
      <c r="G2517" s="9">
        <f t="shared" si="116"/>
        <v>8.1322342068101058E-3</v>
      </c>
    </row>
    <row r="2518" spans="1:7" x14ac:dyDescent="0.2">
      <c r="A2518" s="11">
        <v>38728</v>
      </c>
      <c r="B2518" s="10">
        <v>281.86810000000003</v>
      </c>
      <c r="C2518" s="10">
        <v>283.30680000000001</v>
      </c>
      <c r="D2518" s="10">
        <v>280.82560000000001</v>
      </c>
      <c r="E2518" s="13">
        <f t="shared" si="117"/>
        <v>-3.025780345402138E-4</v>
      </c>
      <c r="F2518" s="9">
        <f t="shared" si="115"/>
        <v>6.8894780770343111E-2</v>
      </c>
      <c r="G2518" s="9">
        <f t="shared" si="116"/>
        <v>8.146408338842677E-3</v>
      </c>
    </row>
    <row r="2519" spans="1:7" x14ac:dyDescent="0.2">
      <c r="A2519" s="11">
        <v>38729</v>
      </c>
      <c r="B2519" s="10">
        <v>285.57569999999998</v>
      </c>
      <c r="C2519" s="10">
        <v>285.86149999999998</v>
      </c>
      <c r="D2519" s="10">
        <v>281.86810000000003</v>
      </c>
      <c r="E2519" s="13">
        <f t="shared" si="117"/>
        <v>1.3067911790333694E-2</v>
      </c>
      <c r="F2519" s="9">
        <f t="shared" si="115"/>
        <v>6.4026260496450701E-2</v>
      </c>
      <c r="G2519" s="9">
        <f t="shared" si="116"/>
        <v>7.8593907344681555E-3</v>
      </c>
    </row>
    <row r="2520" spans="1:7" x14ac:dyDescent="0.2">
      <c r="A2520" s="11">
        <v>38730</v>
      </c>
      <c r="B2520" s="10">
        <v>282.459</v>
      </c>
      <c r="C2520" s="10">
        <v>285.57569999999998</v>
      </c>
      <c r="D2520" s="10">
        <v>280.7029</v>
      </c>
      <c r="E2520" s="13">
        <f t="shared" si="117"/>
        <v>-1.0973735501606949E-2</v>
      </c>
      <c r="F2520" s="9">
        <f t="shared" si="115"/>
        <v>3.8717120853334279E-2</v>
      </c>
      <c r="G2520" s="9">
        <f t="shared" si="116"/>
        <v>7.8698039971299791E-3</v>
      </c>
    </row>
    <row r="2521" spans="1:7" x14ac:dyDescent="0.2">
      <c r="A2521" s="11">
        <v>38733</v>
      </c>
      <c r="B2521" s="10">
        <v>285.54669999999999</v>
      </c>
      <c r="C2521" s="10">
        <v>286.12020000000001</v>
      </c>
      <c r="D2521" s="10">
        <v>282.459</v>
      </c>
      <c r="E2521" s="13">
        <f t="shared" si="117"/>
        <v>1.0872181088665252E-2</v>
      </c>
      <c r="F2521" s="9">
        <f t="shared" si="115"/>
        <v>4.8037138410907315E-2</v>
      </c>
      <c r="G2521" s="9">
        <f t="shared" si="116"/>
        <v>8.066821050611581E-3</v>
      </c>
    </row>
    <row r="2522" spans="1:7" x14ac:dyDescent="0.2">
      <c r="A2522" s="11">
        <v>38734</v>
      </c>
      <c r="B2522" s="10">
        <v>284.32330000000002</v>
      </c>
      <c r="C2522" s="10">
        <v>287.95769999999999</v>
      </c>
      <c r="D2522" s="10">
        <v>284.25529999999998</v>
      </c>
      <c r="E2522" s="13">
        <f t="shared" si="117"/>
        <v>-4.2936174196324855E-3</v>
      </c>
      <c r="F2522" s="9">
        <f t="shared" si="115"/>
        <v>4.0491468903130171E-2</v>
      </c>
      <c r="G2522" s="9">
        <f t="shared" si="116"/>
        <v>8.1349223044468039E-3</v>
      </c>
    </row>
    <row r="2523" spans="1:7" x14ac:dyDescent="0.2">
      <c r="A2523" s="11">
        <v>38735</v>
      </c>
      <c r="B2523" s="10">
        <v>280.5496</v>
      </c>
      <c r="C2523" s="10">
        <v>284.47899999999998</v>
      </c>
      <c r="D2523" s="10">
        <v>280.19459999999998</v>
      </c>
      <c r="E2523" s="13">
        <f t="shared" si="117"/>
        <v>-1.3361434554232689E-2</v>
      </c>
      <c r="F2523" s="9">
        <f t="shared" si="115"/>
        <v>1.3476989217155129E-2</v>
      </c>
      <c r="G2523" s="9">
        <f t="shared" si="116"/>
        <v>8.2274597691354857E-3</v>
      </c>
    </row>
    <row r="2524" spans="1:7" x14ac:dyDescent="0.2">
      <c r="A2524" s="11">
        <v>38736</v>
      </c>
      <c r="B2524" s="10">
        <v>286.97739999999999</v>
      </c>
      <c r="C2524" s="10">
        <v>286.98809999999997</v>
      </c>
      <c r="D2524" s="10">
        <v>280.5496</v>
      </c>
      <c r="E2524" s="13">
        <f t="shared" si="117"/>
        <v>2.2652930589263508E-2</v>
      </c>
      <c r="F2524" s="9">
        <f t="shared" si="115"/>
        <v>4.3861488041211018E-2</v>
      </c>
      <c r="G2524" s="9">
        <f t="shared" si="116"/>
        <v>9.0408850370026772E-3</v>
      </c>
    </row>
    <row r="2525" spans="1:7" x14ac:dyDescent="0.2">
      <c r="A2525" s="11">
        <v>38737</v>
      </c>
      <c r="B2525" s="10">
        <v>290.50909999999999</v>
      </c>
      <c r="C2525" s="10">
        <v>291.85419999999999</v>
      </c>
      <c r="D2525" s="10">
        <v>286.97739999999999</v>
      </c>
      <c r="E2525" s="13">
        <f t="shared" si="117"/>
        <v>1.2231434088122887E-2</v>
      </c>
      <c r="F2525" s="9">
        <f t="shared" si="115"/>
        <v>4.9112736207643518E-2</v>
      </c>
      <c r="G2525" s="9">
        <f t="shared" si="116"/>
        <v>9.2053988529773086E-3</v>
      </c>
    </row>
    <row r="2526" spans="1:7" x14ac:dyDescent="0.2">
      <c r="A2526" s="11">
        <v>38740</v>
      </c>
      <c r="B2526" s="10">
        <v>287.03620000000001</v>
      </c>
      <c r="C2526" s="10">
        <v>290.50909999999999</v>
      </c>
      <c r="D2526" s="10">
        <v>286.79039999999998</v>
      </c>
      <c r="E2526" s="13">
        <f t="shared" si="117"/>
        <v>-1.2026560892764257E-2</v>
      </c>
      <c r="F2526" s="9">
        <f t="shared" si="115"/>
        <v>4.1178618820338617E-2</v>
      </c>
      <c r="G2526" s="9">
        <f t="shared" si="116"/>
        <v>9.4967949726502063E-3</v>
      </c>
    </row>
    <row r="2527" spans="1:7" x14ac:dyDescent="0.2">
      <c r="A2527" s="11">
        <v>38741</v>
      </c>
      <c r="B2527" s="10">
        <v>289.64190000000002</v>
      </c>
      <c r="C2527" s="10">
        <v>289.9128</v>
      </c>
      <c r="D2527" s="10">
        <v>287.03620000000001</v>
      </c>
      <c r="E2527" s="13">
        <f t="shared" si="117"/>
        <v>9.0369921567465122E-3</v>
      </c>
      <c r="F2527" s="9">
        <f t="shared" si="115"/>
        <v>4.2379453138164873E-2</v>
      </c>
      <c r="G2527" s="9">
        <f t="shared" si="116"/>
        <v>9.528335732574009E-3</v>
      </c>
    </row>
    <row r="2528" spans="1:7" x14ac:dyDescent="0.2">
      <c r="A2528" s="11">
        <v>38742</v>
      </c>
      <c r="B2528" s="10">
        <v>289.83460000000002</v>
      </c>
      <c r="C2528" s="10">
        <v>290.8716</v>
      </c>
      <c r="D2528" s="10">
        <v>288.1902</v>
      </c>
      <c r="E2528" s="13">
        <f t="shared" si="117"/>
        <v>6.6508307792704851E-4</v>
      </c>
      <c r="F2528" s="9">
        <f t="shared" ref="F2528:F2591" si="118">LN(B2528/B2499)</f>
        <v>4.182204437667747E-2</v>
      </c>
      <c r="G2528" s="9">
        <f t="shared" si="116"/>
        <v>9.5293969544030816E-3</v>
      </c>
    </row>
    <row r="2529" spans="1:7" x14ac:dyDescent="0.2">
      <c r="A2529" s="11">
        <v>38743</v>
      </c>
      <c r="B2529" s="10">
        <v>291.62419999999997</v>
      </c>
      <c r="C2529" s="10">
        <v>292.9871</v>
      </c>
      <c r="D2529" s="10">
        <v>288.32119999999998</v>
      </c>
      <c r="E2529" s="13">
        <f t="shared" si="117"/>
        <v>6.1555716443427427E-3</v>
      </c>
      <c r="F2529" s="9">
        <f t="shared" si="118"/>
        <v>6.3274815837766965E-2</v>
      </c>
      <c r="G2529" s="9">
        <f t="shared" ref="G2529:G2592" si="119">STDEV(E2501:E2529)</f>
        <v>9.0015963598613427E-3</v>
      </c>
    </row>
    <row r="2530" spans="1:7" x14ac:dyDescent="0.2">
      <c r="A2530" s="11">
        <v>38744</v>
      </c>
      <c r="B2530" s="10">
        <v>298.07</v>
      </c>
      <c r="C2530" s="10">
        <v>298.6617</v>
      </c>
      <c r="D2530" s="10">
        <v>291.62419999999997</v>
      </c>
      <c r="E2530" s="13">
        <f t="shared" si="117"/>
        <v>2.1862371160940072E-2</v>
      </c>
      <c r="F2530" s="9">
        <f t="shared" si="118"/>
        <v>9.58174712018562E-2</v>
      </c>
      <c r="G2530" s="9">
        <f t="shared" si="119"/>
        <v>9.3621051389786488E-3</v>
      </c>
    </row>
    <row r="2531" spans="1:7" x14ac:dyDescent="0.2">
      <c r="A2531" s="11">
        <v>38747</v>
      </c>
      <c r="B2531" s="10">
        <v>301.93560000000002</v>
      </c>
      <c r="C2531" s="10">
        <v>302.06889999999999</v>
      </c>
      <c r="D2531" s="10">
        <v>298.07</v>
      </c>
      <c r="E2531" s="13">
        <f t="shared" si="117"/>
        <v>1.2885391352066521E-2</v>
      </c>
      <c r="F2531" s="9">
        <f t="shared" si="118"/>
        <v>0.12070024217913237</v>
      </c>
      <c r="G2531" s="9">
        <f t="shared" si="119"/>
        <v>9.0445141065507769E-3</v>
      </c>
    </row>
    <row r="2532" spans="1:7" x14ac:dyDescent="0.2">
      <c r="A2532" s="11">
        <v>38748</v>
      </c>
      <c r="B2532" s="10">
        <v>298.31900000000002</v>
      </c>
      <c r="C2532" s="10">
        <v>304.22579999999999</v>
      </c>
      <c r="D2532" s="10">
        <v>298.3075</v>
      </c>
      <c r="E2532" s="13">
        <f t="shared" si="117"/>
        <v>-1.2050365841977152E-2</v>
      </c>
      <c r="F2532" s="9">
        <f t="shared" si="118"/>
        <v>9.4611273187537398E-2</v>
      </c>
      <c r="G2532" s="9">
        <f t="shared" si="119"/>
        <v>9.3203272361995215E-3</v>
      </c>
    </row>
    <row r="2533" spans="1:7" x14ac:dyDescent="0.2">
      <c r="A2533" s="11">
        <v>38749</v>
      </c>
      <c r="B2533" s="10">
        <v>301.84649999999999</v>
      </c>
      <c r="C2533" s="10">
        <v>301.97179999999997</v>
      </c>
      <c r="D2533" s="10">
        <v>296.73500000000001</v>
      </c>
      <c r="E2533" s="13">
        <f t="shared" si="117"/>
        <v>1.1755226252225012E-2</v>
      </c>
      <c r="F2533" s="9">
        <f t="shared" si="118"/>
        <v>0.10215890232344427</v>
      </c>
      <c r="G2533" s="9">
        <f t="shared" si="119"/>
        <v>9.4521113555608386E-3</v>
      </c>
    </row>
    <row r="2534" spans="1:7" x14ac:dyDescent="0.2">
      <c r="A2534" s="11">
        <v>38750</v>
      </c>
      <c r="B2534" s="10">
        <v>301.12189999999998</v>
      </c>
      <c r="C2534" s="10">
        <v>301.84649999999999</v>
      </c>
      <c r="D2534" s="10">
        <v>299.91919999999999</v>
      </c>
      <c r="E2534" s="13">
        <f t="shared" si="117"/>
        <v>-2.4034438581088152E-3</v>
      </c>
      <c r="F2534" s="9">
        <f t="shared" si="118"/>
        <v>9.0940451405596701E-2</v>
      </c>
      <c r="G2534" s="9">
        <f t="shared" si="119"/>
        <v>9.4573456078173006E-3</v>
      </c>
    </row>
    <row r="2535" spans="1:7" x14ac:dyDescent="0.2">
      <c r="A2535" s="11">
        <v>38751</v>
      </c>
      <c r="B2535" s="10">
        <v>296.52539999999999</v>
      </c>
      <c r="C2535" s="10">
        <v>301.12189999999998</v>
      </c>
      <c r="D2535" s="10">
        <v>296.17099999999999</v>
      </c>
      <c r="E2535" s="13">
        <f t="shared" si="117"/>
        <v>-1.5382285280739259E-2</v>
      </c>
      <c r="F2535" s="9">
        <f t="shared" si="118"/>
        <v>7.3506414558927924E-2</v>
      </c>
      <c r="G2535" s="9">
        <f t="shared" si="119"/>
        <v>1.0063414910925104E-2</v>
      </c>
    </row>
    <row r="2536" spans="1:7" x14ac:dyDescent="0.2">
      <c r="A2536" s="11">
        <v>38754</v>
      </c>
      <c r="B2536" s="10">
        <v>301.51659999999998</v>
      </c>
      <c r="C2536" s="10">
        <v>301.85559999999998</v>
      </c>
      <c r="D2536" s="10">
        <v>296.52539999999999</v>
      </c>
      <c r="E2536" s="13">
        <f t="shared" si="117"/>
        <v>1.6692191821517446E-2</v>
      </c>
      <c r="F2536" s="9">
        <f t="shared" si="118"/>
        <v>9.1760200002438716E-2</v>
      </c>
      <c r="G2536" s="9">
        <f t="shared" si="119"/>
        <v>1.0364413843673193E-2</v>
      </c>
    </row>
    <row r="2537" spans="1:7" x14ac:dyDescent="0.2">
      <c r="A2537" s="11">
        <v>38755</v>
      </c>
      <c r="B2537" s="10">
        <v>296.5548</v>
      </c>
      <c r="C2537" s="10">
        <v>301.6327</v>
      </c>
      <c r="D2537" s="10">
        <v>296.43130000000002</v>
      </c>
      <c r="E2537" s="13">
        <f t="shared" si="117"/>
        <v>-1.6593048400360886E-2</v>
      </c>
      <c r="F2537" s="9">
        <f t="shared" si="118"/>
        <v>6.7111516528673615E-2</v>
      </c>
      <c r="G2537" s="9">
        <f t="shared" si="119"/>
        <v>1.094345829790299E-2</v>
      </c>
    </row>
    <row r="2538" spans="1:7" x14ac:dyDescent="0.2">
      <c r="A2538" s="11">
        <v>38756</v>
      </c>
      <c r="B2538" s="10">
        <v>294.08949999999999</v>
      </c>
      <c r="C2538" s="10">
        <v>296.5548</v>
      </c>
      <c r="D2538" s="10">
        <v>289.01580000000001</v>
      </c>
      <c r="E2538" s="13">
        <f t="shared" si="117"/>
        <v>-8.3478815138744115E-3</v>
      </c>
      <c r="F2538" s="9">
        <f t="shared" si="118"/>
        <v>5.6950315576817949E-2</v>
      </c>
      <c r="G2538" s="9">
        <f t="shared" si="119"/>
        <v>1.1121292935709294E-2</v>
      </c>
    </row>
    <row r="2539" spans="1:7" x14ac:dyDescent="0.2">
      <c r="A2539" s="11">
        <v>38757</v>
      </c>
      <c r="B2539" s="10">
        <v>297.58760000000001</v>
      </c>
      <c r="C2539" s="10">
        <v>298.27809999999999</v>
      </c>
      <c r="D2539" s="10">
        <v>294.08949999999999</v>
      </c>
      <c r="E2539" s="13">
        <f t="shared" si="117"/>
        <v>1.1824492643706446E-2</v>
      </c>
      <c r="F2539" s="9">
        <f t="shared" si="118"/>
        <v>6.8396202464073644E-2</v>
      </c>
      <c r="G2539" s="9">
        <f t="shared" si="119"/>
        <v>1.1265197960688709E-2</v>
      </c>
    </row>
    <row r="2540" spans="1:7" x14ac:dyDescent="0.2">
      <c r="A2540" s="11">
        <v>38758</v>
      </c>
      <c r="B2540" s="10">
        <v>297.62209999999999</v>
      </c>
      <c r="C2540" s="10">
        <v>298.11939999999998</v>
      </c>
      <c r="D2540" s="10">
        <v>294.61040000000003</v>
      </c>
      <c r="E2540" s="13">
        <f t="shared" si="117"/>
        <v>1.1592553024123236E-4</v>
      </c>
      <c r="F2540" s="9">
        <f t="shared" si="118"/>
        <v>6.8390155340144823E-2</v>
      </c>
      <c r="G2540" s="9">
        <f t="shared" si="119"/>
        <v>1.1265240893557855E-2</v>
      </c>
    </row>
    <row r="2541" spans="1:7" x14ac:dyDescent="0.2">
      <c r="A2541" s="11">
        <v>38761</v>
      </c>
      <c r="B2541" s="10">
        <v>294.37700000000001</v>
      </c>
      <c r="C2541" s="10">
        <v>297.62209999999999</v>
      </c>
      <c r="D2541" s="10">
        <v>293.9271</v>
      </c>
      <c r="E2541" s="13">
        <f t="shared" si="117"/>
        <v>-1.0963302151627352E-2</v>
      </c>
      <c r="F2541" s="9">
        <f t="shared" si="118"/>
        <v>4.8825646511148936E-2</v>
      </c>
      <c r="G2541" s="9">
        <f t="shared" si="119"/>
        <v>1.1462126713674995E-2</v>
      </c>
    </row>
    <row r="2542" spans="1:7" x14ac:dyDescent="0.2">
      <c r="A2542" s="11">
        <v>38762</v>
      </c>
      <c r="B2542" s="10">
        <v>290.33499999999998</v>
      </c>
      <c r="C2542" s="10">
        <v>294.37700000000001</v>
      </c>
      <c r="D2542" s="10">
        <v>288.16989999999998</v>
      </c>
      <c r="E2542" s="13">
        <f t="shared" si="117"/>
        <v>-1.3825830106759635E-2</v>
      </c>
      <c r="F2542" s="9">
        <f t="shared" si="118"/>
        <v>2.7237593188879933E-2</v>
      </c>
      <c r="G2542" s="9">
        <f t="shared" si="119"/>
        <v>1.175064420717525E-2</v>
      </c>
    </row>
    <row r="2543" spans="1:7" x14ac:dyDescent="0.2">
      <c r="A2543" s="11">
        <v>38763</v>
      </c>
      <c r="B2543" s="10">
        <v>295.37920000000003</v>
      </c>
      <c r="C2543" s="10">
        <v>295.37920000000003</v>
      </c>
      <c r="D2543" s="10">
        <v>290.33499999999998</v>
      </c>
      <c r="E2543" s="13">
        <f t="shared" si="117"/>
        <v>1.7224525922800139E-2</v>
      </c>
      <c r="F2543" s="9">
        <f t="shared" si="118"/>
        <v>4.8233374099302458E-2</v>
      </c>
      <c r="G2543" s="9">
        <f t="shared" si="119"/>
        <v>1.2091903162974895E-2</v>
      </c>
    </row>
    <row r="2544" spans="1:7" x14ac:dyDescent="0.2">
      <c r="A2544" s="11">
        <v>38764</v>
      </c>
      <c r="B2544" s="10">
        <v>296.72300000000001</v>
      </c>
      <c r="C2544" s="10">
        <v>296.72300000000001</v>
      </c>
      <c r="D2544" s="10">
        <v>292.96980000000002</v>
      </c>
      <c r="E2544" s="13">
        <f t="shared" si="117"/>
        <v>4.5390890533042755E-3</v>
      </c>
      <c r="F2544" s="9">
        <f t="shared" si="118"/>
        <v>4.6356175740924543E-2</v>
      </c>
      <c r="G2544" s="9">
        <f t="shared" si="119"/>
        <v>1.2070555789990695E-2</v>
      </c>
    </row>
    <row r="2545" spans="1:7" x14ac:dyDescent="0.2">
      <c r="A2545" s="11">
        <v>38765</v>
      </c>
      <c r="B2545" s="10">
        <v>300.28210000000001</v>
      </c>
      <c r="C2545" s="10">
        <v>301.51400000000001</v>
      </c>
      <c r="D2545" s="10">
        <v>296.72300000000001</v>
      </c>
      <c r="E2545" s="13">
        <f t="shared" si="117"/>
        <v>1.1923322480957017E-2</v>
      </c>
      <c r="F2545" s="9">
        <f t="shared" si="118"/>
        <v>5.5790030278239561E-2</v>
      </c>
      <c r="G2545" s="9">
        <f t="shared" si="119"/>
        <v>1.2221603152702402E-2</v>
      </c>
    </row>
    <row r="2546" spans="1:7" x14ac:dyDescent="0.2">
      <c r="A2546" s="11">
        <v>38768</v>
      </c>
      <c r="B2546" s="10">
        <v>305.14010000000002</v>
      </c>
      <c r="C2546" s="10">
        <v>306.04000000000002</v>
      </c>
      <c r="D2546" s="10">
        <v>300.28210000000001</v>
      </c>
      <c r="E2546" s="13">
        <f t="shared" si="117"/>
        <v>1.6048649250320637E-2</v>
      </c>
      <c r="F2546" s="9">
        <f t="shared" si="118"/>
        <v>7.902920634725609E-2</v>
      </c>
      <c r="G2546" s="9">
        <f t="shared" si="119"/>
        <v>1.236370016821476E-2</v>
      </c>
    </row>
    <row r="2547" spans="1:7" x14ac:dyDescent="0.2">
      <c r="A2547" s="11">
        <v>38769</v>
      </c>
      <c r="B2547" s="10">
        <v>306.1574</v>
      </c>
      <c r="C2547" s="10">
        <v>308.49619999999999</v>
      </c>
      <c r="D2547" s="10">
        <v>305.0376</v>
      </c>
      <c r="E2547" s="13">
        <f t="shared" si="117"/>
        <v>3.3283333863481676E-3</v>
      </c>
      <c r="F2547" s="9">
        <f t="shared" si="118"/>
        <v>8.2660117768144373E-2</v>
      </c>
      <c r="G2547" s="9">
        <f t="shared" si="119"/>
        <v>1.2350321593332153E-2</v>
      </c>
    </row>
    <row r="2548" spans="1:7" x14ac:dyDescent="0.2">
      <c r="A2548" s="11">
        <v>38770</v>
      </c>
      <c r="B2548" s="10">
        <v>303.97430000000003</v>
      </c>
      <c r="C2548" s="10">
        <v>306.77159999999998</v>
      </c>
      <c r="D2548" s="10">
        <v>303.47699999999998</v>
      </c>
      <c r="E2548" s="13">
        <f t="shared" si="117"/>
        <v>-7.1561904308999795E-3</v>
      </c>
      <c r="F2548" s="9">
        <f t="shared" si="118"/>
        <v>6.2436015546910806E-2</v>
      </c>
      <c r="G2548" s="9">
        <f t="shared" si="119"/>
        <v>1.2323729596360144E-2</v>
      </c>
    </row>
    <row r="2549" spans="1:7" x14ac:dyDescent="0.2">
      <c r="A2549" s="11">
        <v>38771</v>
      </c>
      <c r="B2549" s="10">
        <v>305.81639999999999</v>
      </c>
      <c r="C2549" s="10">
        <v>307.19439999999997</v>
      </c>
      <c r="D2549" s="10">
        <v>303.25970000000001</v>
      </c>
      <c r="E2549" s="13">
        <f t="shared" si="117"/>
        <v>6.041763521473429E-3</v>
      </c>
      <c r="F2549" s="9">
        <f t="shared" si="118"/>
        <v>7.9451514569991277E-2</v>
      </c>
      <c r="G2549" s="9">
        <f t="shared" si="119"/>
        <v>1.2079069068670401E-2</v>
      </c>
    </row>
    <row r="2550" spans="1:7" x14ac:dyDescent="0.2">
      <c r="A2550" s="11">
        <v>38772</v>
      </c>
      <c r="B2550" s="10">
        <v>310.66559999999998</v>
      </c>
      <c r="C2550" s="10">
        <v>310.66559999999998</v>
      </c>
      <c r="D2550" s="10">
        <v>305.81639999999999</v>
      </c>
      <c r="E2550" s="13">
        <f t="shared" si="117"/>
        <v>1.5732170654843936E-2</v>
      </c>
      <c r="F2550" s="9">
        <f t="shared" si="118"/>
        <v>8.4311504136169793E-2</v>
      </c>
      <c r="G2550" s="9">
        <f t="shared" si="119"/>
        <v>1.2228716168325719E-2</v>
      </c>
    </row>
    <row r="2551" spans="1:7" x14ac:dyDescent="0.2">
      <c r="A2551" s="11">
        <v>38775</v>
      </c>
      <c r="B2551" s="10">
        <v>309.93700000000001</v>
      </c>
      <c r="C2551" s="10">
        <v>311.5444</v>
      </c>
      <c r="D2551" s="10">
        <v>309.37790000000001</v>
      </c>
      <c r="E2551" s="13">
        <f t="shared" si="117"/>
        <v>-2.3480415156142726E-3</v>
      </c>
      <c r="F2551" s="9">
        <f t="shared" si="118"/>
        <v>8.6257080040187992E-2</v>
      </c>
      <c r="G2551" s="9">
        <f t="shared" si="119"/>
        <v>1.219308480561708E-2</v>
      </c>
    </row>
    <row r="2552" spans="1:7" x14ac:dyDescent="0.2">
      <c r="A2552" s="11">
        <v>38776</v>
      </c>
      <c r="B2552" s="10">
        <v>305.59320000000002</v>
      </c>
      <c r="C2552" s="10">
        <v>309.93700000000001</v>
      </c>
      <c r="D2552" s="10">
        <v>304.57479999999998</v>
      </c>
      <c r="E2552" s="13">
        <f t="shared" si="117"/>
        <v>-1.4114245283677052E-2</v>
      </c>
      <c r="F2552" s="9">
        <f t="shared" si="118"/>
        <v>8.5504269310743786E-2</v>
      </c>
      <c r="G2552" s="9">
        <f t="shared" si="119"/>
        <v>1.2229851675308471E-2</v>
      </c>
    </row>
    <row r="2553" spans="1:7" x14ac:dyDescent="0.2">
      <c r="A2553" s="11">
        <v>38777</v>
      </c>
      <c r="B2553" s="10">
        <v>308.95960000000002</v>
      </c>
      <c r="C2553" s="10">
        <v>309.54020000000003</v>
      </c>
      <c r="D2553" s="10">
        <v>305.59320000000002</v>
      </c>
      <c r="E2553" s="13">
        <f t="shared" si="117"/>
        <v>1.0955718277489215E-2</v>
      </c>
      <c r="F2553" s="9">
        <f t="shared" si="118"/>
        <v>7.3807056998969334E-2</v>
      </c>
      <c r="G2553" s="9">
        <f t="shared" si="119"/>
        <v>1.1739844669925481E-2</v>
      </c>
    </row>
    <row r="2554" spans="1:7" x14ac:dyDescent="0.2">
      <c r="A2554" s="11">
        <v>38778</v>
      </c>
      <c r="B2554" s="10">
        <v>310.35329999999999</v>
      </c>
      <c r="C2554" s="10">
        <v>312.6438</v>
      </c>
      <c r="D2554" s="10">
        <v>308.95960000000002</v>
      </c>
      <c r="E2554" s="13">
        <f t="shared" si="117"/>
        <v>4.5008019458540674E-3</v>
      </c>
      <c r="F2554" s="9">
        <f t="shared" si="118"/>
        <v>6.6076424856700483E-2</v>
      </c>
      <c r="G2554" s="9">
        <f t="shared" si="119"/>
        <v>1.1598967243471607E-2</v>
      </c>
    </row>
    <row r="2555" spans="1:7" x14ac:dyDescent="0.2">
      <c r="A2555" s="11">
        <v>38779</v>
      </c>
      <c r="B2555" s="10">
        <v>313.255</v>
      </c>
      <c r="C2555" s="10">
        <v>313.78120000000001</v>
      </c>
      <c r="D2555" s="10">
        <v>308.39109999999999</v>
      </c>
      <c r="E2555" s="13">
        <f t="shared" si="117"/>
        <v>9.3062293814864059E-3</v>
      </c>
      <c r="F2555" s="9">
        <f t="shared" si="118"/>
        <v>8.7409215130951096E-2</v>
      </c>
      <c r="G2555" s="9">
        <f t="shared" si="119"/>
        <v>1.1332744572497801E-2</v>
      </c>
    </row>
    <row r="2556" spans="1:7" x14ac:dyDescent="0.2">
      <c r="A2556" s="11">
        <v>38782</v>
      </c>
      <c r="B2556" s="10">
        <v>311.00670000000002</v>
      </c>
      <c r="C2556" s="10">
        <v>315.20859999999999</v>
      </c>
      <c r="D2556" s="10">
        <v>310.99340000000001</v>
      </c>
      <c r="E2556" s="13">
        <f t="shared" si="117"/>
        <v>-7.203099985192119E-3</v>
      </c>
      <c r="F2556" s="9">
        <f t="shared" si="118"/>
        <v>7.1169122989012595E-2</v>
      </c>
      <c r="G2556" s="9">
        <f t="shared" si="119"/>
        <v>1.1425367425521049E-2</v>
      </c>
    </row>
    <row r="2557" spans="1:7" x14ac:dyDescent="0.2">
      <c r="A2557" s="11">
        <v>38783</v>
      </c>
      <c r="B2557" s="10">
        <v>308.2525</v>
      </c>
      <c r="C2557" s="10">
        <v>311.00670000000002</v>
      </c>
      <c r="D2557" s="10">
        <v>307.43</v>
      </c>
      <c r="E2557" s="13">
        <f t="shared" si="117"/>
        <v>-8.8952030438920263E-3</v>
      </c>
      <c r="F2557" s="9">
        <f t="shared" si="118"/>
        <v>6.1608836867193685E-2</v>
      </c>
      <c r="G2557" s="9">
        <f t="shared" si="119"/>
        <v>1.1615179624083417E-2</v>
      </c>
    </row>
    <row r="2558" spans="1:7" x14ac:dyDescent="0.2">
      <c r="A2558" s="11">
        <v>38784</v>
      </c>
      <c r="B2558" s="10">
        <v>304.99869999999999</v>
      </c>
      <c r="C2558" s="10">
        <v>308.67579999999998</v>
      </c>
      <c r="D2558" s="10">
        <v>302.50319999999999</v>
      </c>
      <c r="E2558" s="13">
        <f t="shared" si="117"/>
        <v>-1.0611738008400439E-2</v>
      </c>
      <c r="F2558" s="9">
        <f t="shared" si="118"/>
        <v>4.4841527214450248E-2</v>
      </c>
      <c r="G2558" s="9">
        <f t="shared" si="119"/>
        <v>1.1822818218349412E-2</v>
      </c>
    </row>
    <row r="2559" spans="1:7" x14ac:dyDescent="0.2">
      <c r="A2559" s="11">
        <v>38785</v>
      </c>
      <c r="B2559" s="10">
        <v>306.43290000000002</v>
      </c>
      <c r="C2559" s="10">
        <v>307.63589999999999</v>
      </c>
      <c r="D2559" s="10">
        <v>304.64109999999999</v>
      </c>
      <c r="E2559" s="13">
        <f t="shared" si="117"/>
        <v>4.691293777914737E-3</v>
      </c>
      <c r="F2559" s="9">
        <f t="shared" si="118"/>
        <v>2.7670449831424956E-2</v>
      </c>
      <c r="G2559" s="9">
        <f t="shared" si="119"/>
        <v>1.1181605761165231E-2</v>
      </c>
    </row>
    <row r="2560" spans="1:7" x14ac:dyDescent="0.2">
      <c r="A2560" s="11">
        <v>38786</v>
      </c>
      <c r="B2560" s="10">
        <v>305.47230000000002</v>
      </c>
      <c r="C2560" s="10">
        <v>307.32260000000002</v>
      </c>
      <c r="D2560" s="10">
        <v>304.74360000000001</v>
      </c>
      <c r="E2560" s="13">
        <f t="shared" si="117"/>
        <v>-3.1397046114736917E-3</v>
      </c>
      <c r="F2560" s="9">
        <f t="shared" si="118"/>
        <v>1.1645353867884956E-2</v>
      </c>
      <c r="G2560" s="9">
        <f t="shared" si="119"/>
        <v>1.0964785423663574E-2</v>
      </c>
    </row>
    <row r="2561" spans="1:7" x14ac:dyDescent="0.2">
      <c r="A2561" s="11">
        <v>38789</v>
      </c>
      <c r="B2561" s="10">
        <v>307.8467</v>
      </c>
      <c r="C2561" s="10">
        <v>308.73020000000002</v>
      </c>
      <c r="D2561" s="10">
        <v>305.47230000000002</v>
      </c>
      <c r="E2561" s="13">
        <f t="shared" si="117"/>
        <v>7.7428283238247225E-3</v>
      </c>
      <c r="F2561" s="9">
        <f t="shared" si="118"/>
        <v>3.1438548033686717E-2</v>
      </c>
      <c r="G2561" s="9">
        <f t="shared" si="119"/>
        <v>1.0776424039186239E-2</v>
      </c>
    </row>
    <row r="2562" spans="1:7" x14ac:dyDescent="0.2">
      <c r="A2562" s="11">
        <v>38790</v>
      </c>
      <c r="B2562" s="10">
        <v>308.43299999999999</v>
      </c>
      <c r="C2562" s="10">
        <v>309.45479999999998</v>
      </c>
      <c r="D2562" s="10">
        <v>307.8467</v>
      </c>
      <c r="E2562" s="13">
        <f t="shared" si="117"/>
        <v>1.9027080622051908E-3</v>
      </c>
      <c r="F2562" s="9">
        <f t="shared" si="118"/>
        <v>2.1586029843666813E-2</v>
      </c>
      <c r="G2562" s="9">
        <f t="shared" si="119"/>
        <v>1.0581531168299551E-2</v>
      </c>
    </row>
    <row r="2563" spans="1:7" x14ac:dyDescent="0.2">
      <c r="A2563" s="11">
        <v>38791</v>
      </c>
      <c r="B2563" s="10">
        <v>309.97410000000002</v>
      </c>
      <c r="C2563" s="10">
        <v>311.2697</v>
      </c>
      <c r="D2563" s="10">
        <v>308.43299999999999</v>
      </c>
      <c r="E2563" s="13">
        <f t="shared" si="117"/>
        <v>4.9841057460174032E-3</v>
      </c>
      <c r="F2563" s="9">
        <f t="shared" si="118"/>
        <v>2.8973579447792865E-2</v>
      </c>
      <c r="G2563" s="9">
        <f t="shared" si="119"/>
        <v>1.0591963781326321E-2</v>
      </c>
    </row>
    <row r="2564" spans="1:7" x14ac:dyDescent="0.2">
      <c r="A2564" s="11">
        <v>38792</v>
      </c>
      <c r="B2564" s="10">
        <v>312.68259999999998</v>
      </c>
      <c r="C2564" s="10">
        <v>312.68259999999998</v>
      </c>
      <c r="D2564" s="10">
        <v>309.91329999999999</v>
      </c>
      <c r="E2564" s="13">
        <f t="shared" ref="E2564:E2627" si="120">LN(B2564/B2563)</f>
        <v>8.6998729262629717E-3</v>
      </c>
      <c r="F2564" s="9">
        <f t="shared" si="118"/>
        <v>5.3055737654795265E-2</v>
      </c>
      <c r="G2564" s="9">
        <f t="shared" si="119"/>
        <v>1.0198504570818836E-2</v>
      </c>
    </row>
    <row r="2565" spans="1:7" x14ac:dyDescent="0.2">
      <c r="A2565" s="11">
        <v>38793</v>
      </c>
      <c r="B2565" s="10">
        <v>315.78550000000001</v>
      </c>
      <c r="C2565" s="10">
        <v>316.90300000000002</v>
      </c>
      <c r="D2565" s="10">
        <v>312.68259999999998</v>
      </c>
      <c r="E2565" s="13">
        <f t="shared" si="120"/>
        <v>9.8745671032502529E-3</v>
      </c>
      <c r="F2565" s="9">
        <f t="shared" si="118"/>
        <v>4.6238112936528172E-2</v>
      </c>
      <c r="G2565" s="9">
        <f t="shared" si="119"/>
        <v>9.9183933082293112E-3</v>
      </c>
    </row>
    <row r="2566" spans="1:7" x14ac:dyDescent="0.2">
      <c r="A2566" s="11">
        <v>38796</v>
      </c>
      <c r="B2566" s="10">
        <v>316.15370000000001</v>
      </c>
      <c r="C2566" s="10">
        <v>319.14449999999999</v>
      </c>
      <c r="D2566" s="10">
        <v>315.20370000000003</v>
      </c>
      <c r="E2566" s="13">
        <f t="shared" si="120"/>
        <v>1.1653021102845751E-3</v>
      </c>
      <c r="F2566" s="9">
        <f t="shared" si="118"/>
        <v>6.3996463447173482E-2</v>
      </c>
      <c r="G2566" s="9">
        <f t="shared" si="119"/>
        <v>9.2832654577082539E-3</v>
      </c>
    </row>
    <row r="2567" spans="1:7" x14ac:dyDescent="0.2">
      <c r="A2567" s="11">
        <v>38797</v>
      </c>
      <c r="B2567" s="10">
        <v>311.80840000000001</v>
      </c>
      <c r="C2567" s="10">
        <v>316.15370000000001</v>
      </c>
      <c r="D2567" s="10">
        <v>311.26190000000003</v>
      </c>
      <c r="E2567" s="13">
        <f t="shared" si="120"/>
        <v>-1.3839591134364745E-2</v>
      </c>
      <c r="F2567" s="9">
        <f t="shared" si="118"/>
        <v>5.8504753826683388E-2</v>
      </c>
      <c r="G2567" s="9">
        <f t="shared" si="119"/>
        <v>9.5582007012246419E-3</v>
      </c>
    </row>
    <row r="2568" spans="1:7" x14ac:dyDescent="0.2">
      <c r="A2568" s="11">
        <v>38798</v>
      </c>
      <c r="B2568" s="10">
        <v>315.71109999999999</v>
      </c>
      <c r="C2568" s="10">
        <v>316.07639999999998</v>
      </c>
      <c r="D2568" s="10">
        <v>311.64120000000003</v>
      </c>
      <c r="E2568" s="13">
        <f t="shared" si="120"/>
        <v>1.2438658300670683E-2</v>
      </c>
      <c r="F2568" s="9">
        <f t="shared" si="118"/>
        <v>5.9118919483647642E-2</v>
      </c>
      <c r="G2568" s="9">
        <f t="shared" si="119"/>
        <v>9.581358692628765E-3</v>
      </c>
    </row>
    <row r="2569" spans="1:7" x14ac:dyDescent="0.2">
      <c r="A2569" s="11">
        <v>38799</v>
      </c>
      <c r="B2569" s="10">
        <v>320.05610000000001</v>
      </c>
      <c r="C2569" s="10">
        <v>320.37</v>
      </c>
      <c r="D2569" s="10">
        <v>315.71109999999999</v>
      </c>
      <c r="E2569" s="13">
        <f t="shared" si="120"/>
        <v>1.3668738020493667E-2</v>
      </c>
      <c r="F2569" s="9">
        <f t="shared" si="118"/>
        <v>7.2671731973900033E-2</v>
      </c>
      <c r="G2569" s="9">
        <f t="shared" si="119"/>
        <v>9.8119793698301181E-3</v>
      </c>
    </row>
    <row r="2570" spans="1:7" x14ac:dyDescent="0.2">
      <c r="A2570" s="11">
        <v>38800</v>
      </c>
      <c r="B2570" s="10">
        <v>323.30360000000002</v>
      </c>
      <c r="C2570" s="10">
        <v>323.9606</v>
      </c>
      <c r="D2570" s="10">
        <v>318.77170000000001</v>
      </c>
      <c r="E2570" s="13">
        <f t="shared" si="120"/>
        <v>1.0095526909634216E-2</v>
      </c>
      <c r="F2570" s="9">
        <f t="shared" si="118"/>
        <v>9.3730561035161503E-2</v>
      </c>
      <c r="G2570" s="9">
        <f t="shared" si="119"/>
        <v>9.5554550461645314E-3</v>
      </c>
    </row>
    <row r="2571" spans="1:7" x14ac:dyDescent="0.2">
      <c r="A2571" s="11">
        <v>38803</v>
      </c>
      <c r="B2571" s="10">
        <v>323.8349</v>
      </c>
      <c r="C2571" s="10">
        <v>325.70819999999998</v>
      </c>
      <c r="D2571" s="10">
        <v>322.30869999999999</v>
      </c>
      <c r="E2571" s="13">
        <f t="shared" si="120"/>
        <v>1.6419981792842838E-3</v>
      </c>
      <c r="F2571" s="9">
        <f t="shared" si="118"/>
        <v>0.10919838932120537</v>
      </c>
      <c r="G2571" s="9">
        <f t="shared" si="119"/>
        <v>8.9839020113087007E-3</v>
      </c>
    </row>
    <row r="2572" spans="1:7" x14ac:dyDescent="0.2">
      <c r="A2572" s="11">
        <v>38804</v>
      </c>
      <c r="B2572" s="10">
        <v>323.41289999999998</v>
      </c>
      <c r="C2572" s="10">
        <v>326.73270000000002</v>
      </c>
      <c r="D2572" s="10">
        <v>323.36799999999999</v>
      </c>
      <c r="E2572" s="13">
        <f t="shared" si="120"/>
        <v>-1.3039829870304068E-3</v>
      </c>
      <c r="F2572" s="9">
        <f t="shared" si="118"/>
        <v>9.0669880411374859E-2</v>
      </c>
      <c r="G2572" s="9">
        <f t="shared" si="119"/>
        <v>8.6449998014419011E-3</v>
      </c>
    </row>
    <row r="2573" spans="1:7" x14ac:dyDescent="0.2">
      <c r="A2573" s="11">
        <v>38805</v>
      </c>
      <c r="B2573" s="10">
        <v>328.05759999999998</v>
      </c>
      <c r="C2573" s="10">
        <v>328.72239999999999</v>
      </c>
      <c r="D2573" s="10">
        <v>323.41289999999998</v>
      </c>
      <c r="E2573" s="13">
        <f t="shared" si="120"/>
        <v>1.4259367692433156E-2</v>
      </c>
      <c r="F2573" s="9">
        <f t="shared" si="118"/>
        <v>0.10039015905050371</v>
      </c>
      <c r="G2573" s="9">
        <f t="shared" si="119"/>
        <v>8.8867778008168731E-3</v>
      </c>
    </row>
    <row r="2574" spans="1:7" x14ac:dyDescent="0.2">
      <c r="A2574" s="11">
        <v>38806</v>
      </c>
      <c r="B2574" s="10">
        <v>331.34449999999998</v>
      </c>
      <c r="C2574" s="10">
        <v>332.72539999999998</v>
      </c>
      <c r="D2574" s="10">
        <v>328.05759999999998</v>
      </c>
      <c r="E2574" s="13">
        <f t="shared" si="120"/>
        <v>9.9694169111841247E-3</v>
      </c>
      <c r="F2574" s="9">
        <f t="shared" si="118"/>
        <v>9.8436253480730831E-2</v>
      </c>
      <c r="G2574" s="9">
        <f t="shared" si="119"/>
        <v>8.8275436333587476E-3</v>
      </c>
    </row>
    <row r="2575" spans="1:7" x14ac:dyDescent="0.2">
      <c r="A2575" s="11">
        <v>38807</v>
      </c>
      <c r="B2575" s="10">
        <v>328.61439999999999</v>
      </c>
      <c r="C2575" s="10">
        <v>332.92899999999997</v>
      </c>
      <c r="D2575" s="10">
        <v>328.21600000000001</v>
      </c>
      <c r="E2575" s="13">
        <f t="shared" si="120"/>
        <v>-8.2735927145135852E-3</v>
      </c>
      <c r="F2575" s="9">
        <f t="shared" si="118"/>
        <v>7.4114011515896902E-2</v>
      </c>
      <c r="G2575" s="9">
        <f t="shared" si="119"/>
        <v>8.7372877050780201E-3</v>
      </c>
    </row>
    <row r="2576" spans="1:7" x14ac:dyDescent="0.2">
      <c r="A2576" s="11">
        <v>38810</v>
      </c>
      <c r="B2576" s="10">
        <v>331.1585</v>
      </c>
      <c r="C2576" s="10">
        <v>332.49579999999997</v>
      </c>
      <c r="D2576" s="10">
        <v>328.45690000000002</v>
      </c>
      <c r="E2576" s="13">
        <f t="shared" si="120"/>
        <v>7.7120858084708697E-3</v>
      </c>
      <c r="F2576" s="9">
        <f t="shared" si="118"/>
        <v>7.8497763938019702E-2</v>
      </c>
      <c r="G2576" s="9">
        <f t="shared" si="119"/>
        <v>8.7889024529047895E-3</v>
      </c>
    </row>
    <row r="2577" spans="1:7" x14ac:dyDescent="0.2">
      <c r="A2577" s="11">
        <v>38811</v>
      </c>
      <c r="B2577" s="10">
        <v>324.98</v>
      </c>
      <c r="C2577" s="10">
        <v>331.16</v>
      </c>
      <c r="D2577" s="10">
        <v>324.98</v>
      </c>
      <c r="E2577" s="13">
        <f t="shared" si="120"/>
        <v>-1.8833470753164216E-2</v>
      </c>
      <c r="F2577" s="9">
        <f t="shared" si="118"/>
        <v>6.682048361575546E-2</v>
      </c>
      <c r="G2577" s="9">
        <f t="shared" si="119"/>
        <v>9.4959722382423409E-3</v>
      </c>
    </row>
    <row r="2578" spans="1:7" x14ac:dyDescent="0.2">
      <c r="A2578" s="11">
        <v>38812</v>
      </c>
      <c r="B2578" s="10">
        <v>328.10669999999999</v>
      </c>
      <c r="C2578" s="10">
        <v>329.27260000000001</v>
      </c>
      <c r="D2578" s="10">
        <v>324.9846</v>
      </c>
      <c r="E2578" s="13">
        <f t="shared" si="120"/>
        <v>9.5752183874024191E-3</v>
      </c>
      <c r="F2578" s="9">
        <f t="shared" si="118"/>
        <v>7.0353938481684461E-2</v>
      </c>
      <c r="G2578" s="9">
        <f t="shared" si="119"/>
        <v>9.5680379489354317E-3</v>
      </c>
    </row>
    <row r="2579" spans="1:7" x14ac:dyDescent="0.2">
      <c r="A2579" s="11">
        <v>38813</v>
      </c>
      <c r="B2579" s="10">
        <v>332.2054</v>
      </c>
      <c r="C2579" s="10">
        <v>334.24419999999998</v>
      </c>
      <c r="D2579" s="10">
        <v>328.10669999999999</v>
      </c>
      <c r="E2579" s="13">
        <f t="shared" si="120"/>
        <v>1.2414591952957075E-2</v>
      </c>
      <c r="F2579" s="9">
        <f t="shared" si="118"/>
        <v>6.7036359779797799E-2</v>
      </c>
      <c r="G2579" s="9">
        <f t="shared" si="119"/>
        <v>9.4219804834380708E-3</v>
      </c>
    </row>
    <row r="2580" spans="1:7" x14ac:dyDescent="0.2">
      <c r="A2580" s="11">
        <v>38814</v>
      </c>
      <c r="B2580" s="10">
        <v>331.11810000000003</v>
      </c>
      <c r="C2580" s="10">
        <v>332.67410000000001</v>
      </c>
      <c r="D2580" s="10">
        <v>331.08089999999999</v>
      </c>
      <c r="E2580" s="13">
        <f t="shared" si="120"/>
        <v>-3.278342991966404E-3</v>
      </c>
      <c r="F2580" s="9">
        <f t="shared" si="118"/>
        <v>6.610605830344557E-2</v>
      </c>
      <c r="G2580" s="9">
        <f t="shared" si="119"/>
        <v>9.4399784578859981E-3</v>
      </c>
    </row>
    <row r="2581" spans="1:7" x14ac:dyDescent="0.2">
      <c r="A2581" s="11">
        <v>38817</v>
      </c>
      <c r="B2581" s="10">
        <v>335.74209999999999</v>
      </c>
      <c r="C2581" s="10">
        <v>335.86559999999997</v>
      </c>
      <c r="D2581" s="10">
        <v>330.99099999999999</v>
      </c>
      <c r="E2581" s="13">
        <f t="shared" si="120"/>
        <v>1.3868196391737843E-2</v>
      </c>
      <c r="F2581" s="9">
        <f t="shared" si="118"/>
        <v>9.4088499978860318E-2</v>
      </c>
      <c r="G2581" s="9">
        <f t="shared" si="119"/>
        <v>9.1294475394916724E-3</v>
      </c>
    </row>
    <row r="2582" spans="1:7" x14ac:dyDescent="0.2">
      <c r="A2582" s="11">
        <v>38818</v>
      </c>
      <c r="B2582" s="10">
        <v>334.92219999999998</v>
      </c>
      <c r="C2582" s="10">
        <v>339.8621</v>
      </c>
      <c r="D2582" s="10">
        <v>334.44220000000001</v>
      </c>
      <c r="E2582" s="13">
        <f t="shared" si="120"/>
        <v>-2.4450396672724998E-3</v>
      </c>
      <c r="F2582" s="9">
        <f t="shared" si="118"/>
        <v>8.0687742034098592E-2</v>
      </c>
      <c r="G2582" s="9">
        <f t="shared" si="119"/>
        <v>9.064105912562969E-3</v>
      </c>
    </row>
    <row r="2583" spans="1:7" x14ac:dyDescent="0.2">
      <c r="A2583" s="11">
        <v>38819</v>
      </c>
      <c r="B2583" s="10">
        <v>330.31049999999999</v>
      </c>
      <c r="C2583" s="10">
        <v>335.0797</v>
      </c>
      <c r="D2583" s="10">
        <v>329.82920000000001</v>
      </c>
      <c r="E2583" s="13">
        <f t="shared" si="120"/>
        <v>-1.3865144873542845E-2</v>
      </c>
      <c r="F2583" s="9">
        <f t="shared" si="118"/>
        <v>6.2321795214701804E-2</v>
      </c>
      <c r="G2583" s="9">
        <f t="shared" si="119"/>
        <v>9.5673899805925073E-3</v>
      </c>
    </row>
    <row r="2584" spans="1:7" x14ac:dyDescent="0.2">
      <c r="A2584" s="11">
        <v>38825</v>
      </c>
      <c r="B2584" s="10">
        <v>335.72800000000001</v>
      </c>
      <c r="C2584" s="10">
        <v>337.59050000000002</v>
      </c>
      <c r="D2584" s="10">
        <v>330.31049999999999</v>
      </c>
      <c r="E2584" s="13">
        <f t="shared" si="120"/>
        <v>1.6268187138393238E-2</v>
      </c>
      <c r="F2584" s="9">
        <f t="shared" si="118"/>
        <v>6.9283752971608686E-2</v>
      </c>
      <c r="G2584" s="9">
        <f t="shared" si="119"/>
        <v>9.8369427968983767E-3</v>
      </c>
    </row>
    <row r="2585" spans="1:7" x14ac:dyDescent="0.2">
      <c r="A2585" s="11">
        <v>38826</v>
      </c>
      <c r="B2585" s="10">
        <v>337.9853</v>
      </c>
      <c r="C2585" s="10">
        <v>338.80889999999999</v>
      </c>
      <c r="D2585" s="10">
        <v>335.57049999999998</v>
      </c>
      <c r="E2585" s="13">
        <f t="shared" si="120"/>
        <v>6.7010951006527802E-3</v>
      </c>
      <c r="F2585" s="9">
        <f t="shared" si="118"/>
        <v>8.3187948057453623E-2</v>
      </c>
      <c r="G2585" s="9">
        <f t="shared" si="119"/>
        <v>9.6904760438640963E-3</v>
      </c>
    </row>
    <row r="2586" spans="1:7" x14ac:dyDescent="0.2">
      <c r="A2586" s="11">
        <v>38827</v>
      </c>
      <c r="B2586" s="10">
        <v>345.5813</v>
      </c>
      <c r="C2586" s="10">
        <v>346.1533</v>
      </c>
      <c r="D2586" s="10">
        <v>337.9853</v>
      </c>
      <c r="E2586" s="13">
        <f t="shared" si="120"/>
        <v>2.2225523256678589E-2</v>
      </c>
      <c r="F2586" s="9">
        <f t="shared" si="118"/>
        <v>0.1143086743580241</v>
      </c>
      <c r="G2586" s="9">
        <f t="shared" si="119"/>
        <v>1.005744060175489E-2</v>
      </c>
    </row>
    <row r="2587" spans="1:7" x14ac:dyDescent="0.2">
      <c r="A2587" s="11">
        <v>38828</v>
      </c>
      <c r="B2587" s="10">
        <v>347.69490000000002</v>
      </c>
      <c r="C2587" s="10">
        <v>347.84429999999998</v>
      </c>
      <c r="D2587" s="10">
        <v>343.58800000000002</v>
      </c>
      <c r="E2587" s="13">
        <f t="shared" si="120"/>
        <v>6.097444419488101E-3</v>
      </c>
      <c r="F2587" s="9">
        <f t="shared" si="118"/>
        <v>0.13101785678591252</v>
      </c>
      <c r="G2587" s="9">
        <f t="shared" si="119"/>
        <v>9.6648794295138042E-3</v>
      </c>
    </row>
    <row r="2588" spans="1:7" x14ac:dyDescent="0.2">
      <c r="A2588" s="11">
        <v>38831</v>
      </c>
      <c r="B2588" s="10">
        <v>351.59679999999997</v>
      </c>
      <c r="C2588" s="10">
        <v>353.28129999999999</v>
      </c>
      <c r="D2588" s="10">
        <v>347.47710000000001</v>
      </c>
      <c r="E2588" s="13">
        <f t="shared" si="120"/>
        <v>1.1159693429024575E-2</v>
      </c>
      <c r="F2588" s="9">
        <f t="shared" si="118"/>
        <v>0.13748625643702247</v>
      </c>
      <c r="G2588" s="9">
        <f t="shared" si="119"/>
        <v>9.7433460567240612E-3</v>
      </c>
    </row>
    <row r="2589" spans="1:7" x14ac:dyDescent="0.2">
      <c r="A2589" s="11">
        <v>38832</v>
      </c>
      <c r="B2589" s="10">
        <v>348.54750000000001</v>
      </c>
      <c r="C2589" s="10">
        <v>352.48230000000001</v>
      </c>
      <c r="D2589" s="10">
        <v>348.47019999999998</v>
      </c>
      <c r="E2589" s="13">
        <f t="shared" si="120"/>
        <v>-8.7105451835827203E-3</v>
      </c>
      <c r="F2589" s="9">
        <f t="shared" si="118"/>
        <v>0.13191541586491329</v>
      </c>
      <c r="G2589" s="9">
        <f t="shared" si="119"/>
        <v>9.9568453627917573E-3</v>
      </c>
    </row>
    <row r="2590" spans="1:7" x14ac:dyDescent="0.2">
      <c r="A2590" s="11">
        <v>38833</v>
      </c>
      <c r="B2590" s="10">
        <v>349.57839999999999</v>
      </c>
      <c r="C2590" s="10">
        <v>351.2681</v>
      </c>
      <c r="D2590" s="10">
        <v>347.71289999999999</v>
      </c>
      <c r="E2590" s="13">
        <f t="shared" si="120"/>
        <v>2.9533376409893179E-3</v>
      </c>
      <c r="F2590" s="9">
        <f t="shared" si="118"/>
        <v>0.12712592518207805</v>
      </c>
      <c r="G2590" s="9">
        <f t="shared" si="119"/>
        <v>9.9416840609312992E-3</v>
      </c>
    </row>
    <row r="2591" spans="1:7" x14ac:dyDescent="0.2">
      <c r="A2591" s="11">
        <v>38834</v>
      </c>
      <c r="B2591" s="10">
        <v>340.495</v>
      </c>
      <c r="C2591" s="10">
        <v>349.70740000000001</v>
      </c>
      <c r="D2591" s="10">
        <v>336.05149999999998</v>
      </c>
      <c r="E2591" s="13">
        <f t="shared" si="120"/>
        <v>-2.6327415781649943E-2</v>
      </c>
      <c r="F2591" s="9">
        <f t="shared" si="118"/>
        <v>9.8895801338222872E-2</v>
      </c>
      <c r="G2591" s="9">
        <f t="shared" si="119"/>
        <v>1.1459512960333927E-2</v>
      </c>
    </row>
    <row r="2592" spans="1:7" x14ac:dyDescent="0.2">
      <c r="A2592" s="11">
        <v>38835</v>
      </c>
      <c r="B2592" s="10">
        <v>338.61770000000001</v>
      </c>
      <c r="C2592" s="10">
        <v>340.495</v>
      </c>
      <c r="D2592" s="10">
        <v>336.25420000000003</v>
      </c>
      <c r="E2592" s="13">
        <f t="shared" si="120"/>
        <v>-5.5286987914476525E-3</v>
      </c>
      <c r="F2592" s="9">
        <f t="shared" ref="F2592:F2655" si="121">LN(B2592/B2563)</f>
        <v>8.8382996800757938E-2</v>
      </c>
      <c r="G2592" s="9">
        <f t="shared" si="119"/>
        <v>1.1573658477180429E-2</v>
      </c>
    </row>
    <row r="2593" spans="1:7" x14ac:dyDescent="0.2">
      <c r="A2593" s="11">
        <v>38839</v>
      </c>
      <c r="B2593" s="10">
        <v>344.2799</v>
      </c>
      <c r="C2593" s="10">
        <v>344.9126</v>
      </c>
      <c r="D2593" s="10">
        <v>338.61770000000001</v>
      </c>
      <c r="E2593" s="13">
        <f t="shared" si="120"/>
        <v>1.6583246917486884E-2</v>
      </c>
      <c r="F2593" s="9">
        <f t="shared" si="121"/>
        <v>9.6266370791981776E-2</v>
      </c>
      <c r="G2593" s="9">
        <f t="shared" ref="G2593:G2656" si="122">STDEV(E2565:E2593)</f>
        <v>1.180149671428087E-2</v>
      </c>
    </row>
    <row r="2594" spans="1:7" x14ac:dyDescent="0.2">
      <c r="A2594" s="11">
        <v>38840</v>
      </c>
      <c r="B2594" s="10">
        <v>347.11290000000002</v>
      </c>
      <c r="C2594" s="10">
        <v>349.96089999999998</v>
      </c>
      <c r="D2594" s="10">
        <v>344.2799</v>
      </c>
      <c r="E2594" s="13">
        <f t="shared" si="120"/>
        <v>8.1950979392659325E-3</v>
      </c>
      <c r="F2594" s="9">
        <f t="shared" si="121"/>
        <v>9.458690162799753E-2</v>
      </c>
      <c r="G2594" s="9">
        <f t="shared" si="122"/>
        <v>1.1772265348622152E-2</v>
      </c>
    </row>
    <row r="2595" spans="1:7" x14ac:dyDescent="0.2">
      <c r="A2595" s="11">
        <v>38841</v>
      </c>
      <c r="B2595" s="10">
        <v>352.2355</v>
      </c>
      <c r="C2595" s="10">
        <v>352.35239999999999</v>
      </c>
      <c r="D2595" s="10">
        <v>345.71140000000003</v>
      </c>
      <c r="E2595" s="13">
        <f t="shared" si="120"/>
        <v>1.4649898726225153E-2</v>
      </c>
      <c r="F2595" s="9">
        <f t="shared" si="121"/>
        <v>0.10807149824393787</v>
      </c>
      <c r="G2595" s="9">
        <f t="shared" si="122"/>
        <v>1.1951453508362119E-2</v>
      </c>
    </row>
    <row r="2596" spans="1:7" x14ac:dyDescent="0.2">
      <c r="A2596" s="11">
        <v>38842</v>
      </c>
      <c r="B2596" s="10">
        <v>353.76299999999998</v>
      </c>
      <c r="C2596" s="10">
        <v>354.65589999999997</v>
      </c>
      <c r="D2596" s="10">
        <v>351.05099999999999</v>
      </c>
      <c r="E2596" s="13">
        <f t="shared" si="120"/>
        <v>4.3272114133527696E-3</v>
      </c>
      <c r="F2596" s="9">
        <f t="shared" si="121"/>
        <v>0.12623830079165549</v>
      </c>
      <c r="G2596" s="9">
        <f t="shared" si="122"/>
        <v>1.146399931543801E-2</v>
      </c>
    </row>
    <row r="2597" spans="1:7" x14ac:dyDescent="0.2">
      <c r="A2597" s="11">
        <v>38845</v>
      </c>
      <c r="B2597" s="10">
        <v>350.26670000000001</v>
      </c>
      <c r="C2597" s="10">
        <v>356.68979999999999</v>
      </c>
      <c r="D2597" s="10">
        <v>349.81279999999998</v>
      </c>
      <c r="E2597" s="13">
        <f t="shared" si="120"/>
        <v>-9.9323330899641071E-3</v>
      </c>
      <c r="F2597" s="9">
        <f t="shared" si="121"/>
        <v>0.10386730940102061</v>
      </c>
      <c r="G2597" s="9">
        <f t="shared" si="122"/>
        <v>1.1651623801721972E-2</v>
      </c>
    </row>
    <row r="2598" spans="1:7" x14ac:dyDescent="0.2">
      <c r="A2598" s="11">
        <v>38846</v>
      </c>
      <c r="B2598" s="10">
        <v>354.48680000000002</v>
      </c>
      <c r="C2598" s="10">
        <v>354.9796</v>
      </c>
      <c r="D2598" s="10">
        <v>350.26670000000001</v>
      </c>
      <c r="E2598" s="13">
        <f t="shared" si="120"/>
        <v>1.1976245427045132E-2</v>
      </c>
      <c r="F2598" s="9">
        <f t="shared" si="121"/>
        <v>0.10217481680757218</v>
      </c>
      <c r="G2598" s="9">
        <f t="shared" si="122"/>
        <v>1.1603433127565267E-2</v>
      </c>
    </row>
    <row r="2599" spans="1:7" x14ac:dyDescent="0.2">
      <c r="A2599" s="11">
        <v>38847</v>
      </c>
      <c r="B2599" s="10">
        <v>355.83249999999998</v>
      </c>
      <c r="C2599" s="10">
        <v>356.96749999999997</v>
      </c>
      <c r="D2599" s="10">
        <v>354.48680000000002</v>
      </c>
      <c r="E2599" s="13">
        <f t="shared" si="120"/>
        <v>3.7890047756490215E-3</v>
      </c>
      <c r="F2599" s="9">
        <f t="shared" si="121"/>
        <v>9.5868294673586818E-2</v>
      </c>
      <c r="G2599" s="9">
        <f t="shared" si="122"/>
        <v>1.1534753514798372E-2</v>
      </c>
    </row>
    <row r="2600" spans="1:7" x14ac:dyDescent="0.2">
      <c r="A2600" s="11">
        <v>38848</v>
      </c>
      <c r="B2600" s="10">
        <v>357.12119999999999</v>
      </c>
      <c r="C2600" s="10">
        <v>360.36680000000001</v>
      </c>
      <c r="D2600" s="10">
        <v>355.83249999999998</v>
      </c>
      <c r="E2600" s="13">
        <f t="shared" si="120"/>
        <v>3.6151054507466735E-3</v>
      </c>
      <c r="F2600" s="9">
        <f t="shared" si="121"/>
        <v>9.7841401945049297E-2</v>
      </c>
      <c r="G2600" s="9">
        <f t="shared" si="122"/>
        <v>1.1530407401998151E-2</v>
      </c>
    </row>
    <row r="2601" spans="1:7" x14ac:dyDescent="0.2">
      <c r="A2601" s="11">
        <v>38849</v>
      </c>
      <c r="B2601" s="10">
        <v>346.90440000000001</v>
      </c>
      <c r="C2601" s="10">
        <v>357.12119999999999</v>
      </c>
      <c r="D2601" s="10">
        <v>346.12900000000002</v>
      </c>
      <c r="E2601" s="13">
        <f t="shared" si="120"/>
        <v>-2.902598229649489E-2</v>
      </c>
      <c r="F2601" s="9">
        <f t="shared" si="121"/>
        <v>7.0119402635584943E-2</v>
      </c>
      <c r="G2601" s="9">
        <f t="shared" si="122"/>
        <v>1.2988971248017882E-2</v>
      </c>
    </row>
    <row r="2602" spans="1:7" x14ac:dyDescent="0.2">
      <c r="A2602" s="11">
        <v>38852</v>
      </c>
      <c r="B2602" s="10">
        <v>329.95089999999999</v>
      </c>
      <c r="C2602" s="10">
        <v>346.90440000000001</v>
      </c>
      <c r="D2602" s="10">
        <v>328.30500000000001</v>
      </c>
      <c r="E2602" s="13">
        <f t="shared" si="120"/>
        <v>-5.0105382154081272E-2</v>
      </c>
      <c r="F2602" s="9">
        <f t="shared" si="121"/>
        <v>5.7546527890704928E-3</v>
      </c>
      <c r="G2602" s="9">
        <f t="shared" si="122"/>
        <v>1.603522320600953E-2</v>
      </c>
    </row>
    <row r="2603" spans="1:7" x14ac:dyDescent="0.2">
      <c r="A2603" s="11">
        <v>38853</v>
      </c>
      <c r="B2603" s="10">
        <v>329.39510000000001</v>
      </c>
      <c r="C2603" s="10">
        <v>333.07229999999998</v>
      </c>
      <c r="D2603" s="10">
        <v>326.31020000000001</v>
      </c>
      <c r="E2603" s="13">
        <f t="shared" si="120"/>
        <v>-1.685913410094322E-3</v>
      </c>
      <c r="F2603" s="9">
        <f t="shared" si="121"/>
        <v>-5.9006775322079773E-3</v>
      </c>
      <c r="G2603" s="9">
        <f t="shared" si="122"/>
        <v>1.5927277896557377E-2</v>
      </c>
    </row>
    <row r="2604" spans="1:7" x14ac:dyDescent="0.2">
      <c r="A2604" s="11">
        <v>38855</v>
      </c>
      <c r="B2604" s="10">
        <v>310.83609999999999</v>
      </c>
      <c r="C2604" s="10">
        <v>329.39510000000001</v>
      </c>
      <c r="D2604" s="10">
        <v>310.62259999999998</v>
      </c>
      <c r="E2604" s="13">
        <f t="shared" si="120"/>
        <v>-5.7992178487090665E-2</v>
      </c>
      <c r="F2604" s="9">
        <f t="shared" si="121"/>
        <v>-5.5619263304785053E-2</v>
      </c>
      <c r="G2604" s="9">
        <f t="shared" si="122"/>
        <v>1.9172299237015918E-2</v>
      </c>
    </row>
    <row r="2605" spans="1:7" x14ac:dyDescent="0.2">
      <c r="A2605" s="11">
        <v>38856</v>
      </c>
      <c r="B2605" s="10">
        <v>310.18529999999998</v>
      </c>
      <c r="C2605" s="10">
        <v>318.4248</v>
      </c>
      <c r="D2605" s="10">
        <v>309.83760000000001</v>
      </c>
      <c r="E2605" s="13">
        <f t="shared" si="120"/>
        <v>-2.0959027764152626E-3</v>
      </c>
      <c r="F2605" s="9">
        <f t="shared" si="121"/>
        <v>-6.5427251889671259E-2</v>
      </c>
      <c r="G2605" s="9">
        <f t="shared" si="122"/>
        <v>1.9082654284602672E-2</v>
      </c>
    </row>
    <row r="2606" spans="1:7" x14ac:dyDescent="0.2">
      <c r="A2606" s="11">
        <v>38859</v>
      </c>
      <c r="B2606" s="10">
        <v>295.5428</v>
      </c>
      <c r="C2606" s="10">
        <v>310.18529999999998</v>
      </c>
      <c r="D2606" s="10">
        <v>294.64909999999998</v>
      </c>
      <c r="E2606" s="13">
        <f t="shared" si="120"/>
        <v>-4.8356195224663452E-2</v>
      </c>
      <c r="F2606" s="9">
        <f t="shared" si="121"/>
        <v>-9.4949976361170516E-2</v>
      </c>
      <c r="G2606" s="9">
        <f t="shared" si="122"/>
        <v>2.0716185372111104E-2</v>
      </c>
    </row>
    <row r="2607" spans="1:7" x14ac:dyDescent="0.2">
      <c r="A2607" s="11">
        <v>38860</v>
      </c>
      <c r="B2607" s="10">
        <v>316.70960000000002</v>
      </c>
      <c r="C2607" s="10">
        <v>316.7355</v>
      </c>
      <c r="D2607" s="10">
        <v>295.5428</v>
      </c>
      <c r="E2607" s="13">
        <f t="shared" si="120"/>
        <v>6.9171600070390762E-2</v>
      </c>
      <c r="F2607" s="9">
        <f t="shared" si="121"/>
        <v>-3.5353594678182332E-2</v>
      </c>
      <c r="G2607" s="9">
        <f t="shared" si="122"/>
        <v>2.4623808828506236E-2</v>
      </c>
    </row>
    <row r="2608" spans="1:7" x14ac:dyDescent="0.2">
      <c r="A2608" s="11">
        <v>38861</v>
      </c>
      <c r="B2608" s="10">
        <v>307.5643</v>
      </c>
      <c r="C2608" s="10">
        <v>316.70960000000002</v>
      </c>
      <c r="D2608" s="10">
        <v>304.4228</v>
      </c>
      <c r="E2608" s="13">
        <f t="shared" si="120"/>
        <v>-2.9301094605768758E-2</v>
      </c>
      <c r="F2608" s="9">
        <f t="shared" si="121"/>
        <v>-7.7069281236908274E-2</v>
      </c>
      <c r="G2608" s="9">
        <f t="shared" si="122"/>
        <v>2.5014288639838841E-2</v>
      </c>
    </row>
    <row r="2609" spans="1:7" x14ac:dyDescent="0.2">
      <c r="A2609" s="11">
        <v>38863</v>
      </c>
      <c r="B2609" s="10">
        <v>319.97070000000002</v>
      </c>
      <c r="C2609" s="10">
        <v>322.4939</v>
      </c>
      <c r="D2609" s="10">
        <v>307.5643</v>
      </c>
      <c r="E2609" s="13">
        <f t="shared" si="120"/>
        <v>3.9545258023589075E-2</v>
      </c>
      <c r="F2609" s="9">
        <f t="shared" si="121"/>
        <v>-3.4245680221352791E-2</v>
      </c>
      <c r="G2609" s="9">
        <f t="shared" si="122"/>
        <v>2.6211683485716512E-2</v>
      </c>
    </row>
    <row r="2610" spans="1:7" x14ac:dyDescent="0.2">
      <c r="A2610" s="11">
        <v>38866</v>
      </c>
      <c r="B2610" s="10">
        <v>327.00069999999999</v>
      </c>
      <c r="C2610" s="10">
        <v>328.38459999999998</v>
      </c>
      <c r="D2610" s="10">
        <v>319.97070000000002</v>
      </c>
      <c r="E2610" s="13">
        <f t="shared" si="120"/>
        <v>2.1732882466074372E-2</v>
      </c>
      <c r="F2610" s="9">
        <f t="shared" si="121"/>
        <v>-2.6380994147016272E-2</v>
      </c>
      <c r="G2610" s="9">
        <f t="shared" si="122"/>
        <v>2.6412861354024438E-2</v>
      </c>
    </row>
    <row r="2611" spans="1:7" x14ac:dyDescent="0.2">
      <c r="A2611" s="11">
        <v>38867</v>
      </c>
      <c r="B2611" s="10">
        <v>317.87880000000001</v>
      </c>
      <c r="C2611" s="10">
        <v>327.07429999999999</v>
      </c>
      <c r="D2611" s="10">
        <v>317.19009999999997</v>
      </c>
      <c r="E2611" s="13">
        <f t="shared" si="120"/>
        <v>-2.8292133512329162E-2</v>
      </c>
      <c r="F2611" s="9">
        <f t="shared" si="121"/>
        <v>-5.2228087992072965E-2</v>
      </c>
      <c r="G2611" s="9">
        <f t="shared" si="122"/>
        <v>2.6898156352956608E-2</v>
      </c>
    </row>
    <row r="2612" spans="1:7" x14ac:dyDescent="0.2">
      <c r="A2612" s="11">
        <v>38868</v>
      </c>
      <c r="B2612" s="10">
        <v>317.66989999999998</v>
      </c>
      <c r="C2612" s="10">
        <v>321.90179999999998</v>
      </c>
      <c r="D2612" s="10">
        <v>307.78640000000001</v>
      </c>
      <c r="E2612" s="13">
        <f t="shared" si="120"/>
        <v>-6.5738473707251154E-4</v>
      </c>
      <c r="F2612" s="9">
        <f t="shared" si="121"/>
        <v>-3.9020327855602589E-2</v>
      </c>
      <c r="G2612" s="9">
        <f t="shared" si="122"/>
        <v>2.6798221500514644E-2</v>
      </c>
    </row>
    <row r="2613" spans="1:7" x14ac:dyDescent="0.2">
      <c r="A2613" s="11">
        <v>38869</v>
      </c>
      <c r="B2613" s="10">
        <v>320.2242</v>
      </c>
      <c r="C2613" s="10">
        <v>324.03449999999998</v>
      </c>
      <c r="D2613" s="10">
        <v>317.66989999999998</v>
      </c>
      <c r="E2613" s="13">
        <f t="shared" si="120"/>
        <v>8.0085821523132646E-3</v>
      </c>
      <c r="F2613" s="9">
        <f t="shared" si="121"/>
        <v>-4.7279932841682554E-2</v>
      </c>
      <c r="G2613" s="9">
        <f t="shared" si="122"/>
        <v>2.6647805372263966E-2</v>
      </c>
    </row>
    <row r="2614" spans="1:7" x14ac:dyDescent="0.2">
      <c r="A2614" s="11">
        <v>38870</v>
      </c>
      <c r="B2614" s="10">
        <v>327.12849999999997</v>
      </c>
      <c r="C2614" s="10">
        <v>329.3442</v>
      </c>
      <c r="D2614" s="10">
        <v>320.2242</v>
      </c>
      <c r="E2614" s="13">
        <f t="shared" si="120"/>
        <v>2.1331684596394208E-2</v>
      </c>
      <c r="F2614" s="9">
        <f t="shared" si="121"/>
        <v>-3.2649343345941134E-2</v>
      </c>
      <c r="G2614" s="9">
        <f t="shared" si="122"/>
        <v>2.6947976024648559E-2</v>
      </c>
    </row>
    <row r="2615" spans="1:7" x14ac:dyDescent="0.2">
      <c r="A2615" s="11">
        <v>38874</v>
      </c>
      <c r="B2615" s="10">
        <v>317.63720000000001</v>
      </c>
      <c r="C2615" s="10">
        <v>327.12849999999997</v>
      </c>
      <c r="D2615" s="10">
        <v>316.77719999999999</v>
      </c>
      <c r="E2615" s="13">
        <f t="shared" si="120"/>
        <v>-2.9443209089597046E-2</v>
      </c>
      <c r="F2615" s="9">
        <f t="shared" si="121"/>
        <v>-8.4318075692216624E-2</v>
      </c>
      <c r="G2615" s="9">
        <f t="shared" si="122"/>
        <v>2.7056782650838905E-2</v>
      </c>
    </row>
    <row r="2616" spans="1:7" x14ac:dyDescent="0.2">
      <c r="A2616" s="11">
        <v>38875</v>
      </c>
      <c r="B2616" s="10">
        <v>316.04719999999998</v>
      </c>
      <c r="C2616" s="10">
        <v>321.64980000000003</v>
      </c>
      <c r="D2616" s="10">
        <v>314.71859999999998</v>
      </c>
      <c r="E2616" s="13">
        <f t="shared" si="120"/>
        <v>-5.0182814560871441E-3</v>
      </c>
      <c r="F2616" s="9">
        <f t="shared" si="121"/>
        <v>-9.5433801567791798E-2</v>
      </c>
      <c r="G2616" s="9">
        <f t="shared" si="122"/>
        <v>2.7003340344296172E-2</v>
      </c>
    </row>
    <row r="2617" spans="1:7" x14ac:dyDescent="0.2">
      <c r="A2617" s="11">
        <v>38876</v>
      </c>
      <c r="B2617" s="10">
        <v>297.72109999999998</v>
      </c>
      <c r="C2617" s="10">
        <v>316.04719999999998</v>
      </c>
      <c r="D2617" s="10">
        <v>296.9434</v>
      </c>
      <c r="E2617" s="13">
        <f t="shared" si="120"/>
        <v>-5.9734427289740544E-2</v>
      </c>
      <c r="F2617" s="9">
        <f t="shared" si="121"/>
        <v>-0.16632792228655699</v>
      </c>
      <c r="G2617" s="9">
        <f t="shared" si="122"/>
        <v>2.879782031909622E-2</v>
      </c>
    </row>
    <row r="2618" spans="1:7" x14ac:dyDescent="0.2">
      <c r="A2618" s="11">
        <v>38877</v>
      </c>
      <c r="B2618" s="10">
        <v>304.08569999999997</v>
      </c>
      <c r="C2618" s="10">
        <v>307.67669999999998</v>
      </c>
      <c r="D2618" s="10">
        <v>297.72109999999998</v>
      </c>
      <c r="E2618" s="13">
        <f t="shared" si="120"/>
        <v>2.1152427340768033E-2</v>
      </c>
      <c r="F2618" s="9">
        <f t="shared" si="121"/>
        <v>-0.13646494976220611</v>
      </c>
      <c r="G2618" s="9">
        <f t="shared" si="122"/>
        <v>2.9218487061201347E-2</v>
      </c>
    </row>
    <row r="2619" spans="1:7" x14ac:dyDescent="0.2">
      <c r="A2619" s="11">
        <v>38880</v>
      </c>
      <c r="B2619" s="10">
        <v>295.64109999999999</v>
      </c>
      <c r="C2619" s="10">
        <v>308.27839999999998</v>
      </c>
      <c r="D2619" s="10">
        <v>295.64109999999999</v>
      </c>
      <c r="E2619" s="13">
        <f t="shared" si="120"/>
        <v>-2.8163350921187914E-2</v>
      </c>
      <c r="F2619" s="9">
        <f t="shared" si="121"/>
        <v>-0.16758163832438347</v>
      </c>
      <c r="G2619" s="9">
        <f t="shared" si="122"/>
        <v>2.949719903178203E-2</v>
      </c>
    </row>
    <row r="2620" spans="1:7" x14ac:dyDescent="0.2">
      <c r="A2620" s="11">
        <v>38881</v>
      </c>
      <c r="B2620" s="10">
        <v>284.81079999999997</v>
      </c>
      <c r="C2620" s="10">
        <v>295.64109999999999</v>
      </c>
      <c r="D2620" s="10">
        <v>280.22070000000002</v>
      </c>
      <c r="E2620" s="13">
        <f t="shared" si="120"/>
        <v>-3.7321118484067245E-2</v>
      </c>
      <c r="F2620" s="9">
        <f t="shared" si="121"/>
        <v>-0.17857534102680073</v>
      </c>
      <c r="G2620" s="9">
        <f t="shared" si="122"/>
        <v>2.9839379737603876E-2</v>
      </c>
    </row>
    <row r="2621" spans="1:7" x14ac:dyDescent="0.2">
      <c r="A2621" s="11">
        <v>38882</v>
      </c>
      <c r="B2621" s="10">
        <v>285.61020000000002</v>
      </c>
      <c r="C2621" s="10">
        <v>289.29059999999998</v>
      </c>
      <c r="D2621" s="10">
        <v>280.24279999999999</v>
      </c>
      <c r="E2621" s="13">
        <f t="shared" si="120"/>
        <v>2.8028439462647325E-3</v>
      </c>
      <c r="F2621" s="9">
        <f t="shared" si="121"/>
        <v>-0.17024379828908842</v>
      </c>
      <c r="G2621" s="9">
        <f t="shared" si="122"/>
        <v>2.9885724971783528E-2</v>
      </c>
    </row>
    <row r="2622" spans="1:7" x14ac:dyDescent="0.2">
      <c r="A2622" s="11">
        <v>38883</v>
      </c>
      <c r="B2622" s="10">
        <v>302.3245</v>
      </c>
      <c r="C2622" s="10">
        <v>302.3245</v>
      </c>
      <c r="D2622" s="10">
        <v>285.61020000000002</v>
      </c>
      <c r="E2622" s="13">
        <f t="shared" si="120"/>
        <v>5.6872999707233397E-2</v>
      </c>
      <c r="F2622" s="9">
        <f t="shared" si="121"/>
        <v>-0.12995404549934184</v>
      </c>
      <c r="G2622" s="9">
        <f t="shared" si="122"/>
        <v>3.1839431430395089E-2</v>
      </c>
    </row>
    <row r="2623" spans="1:7" x14ac:dyDescent="0.2">
      <c r="A2623" s="11">
        <v>38884</v>
      </c>
      <c r="B2623" s="10">
        <v>297.3304</v>
      </c>
      <c r="C2623" s="10">
        <v>312.55489999999998</v>
      </c>
      <c r="D2623" s="10">
        <v>296.57260000000002</v>
      </c>
      <c r="E2623" s="13">
        <f t="shared" si="120"/>
        <v>-1.6656965428253644E-2</v>
      </c>
      <c r="F2623" s="9">
        <f t="shared" si="121"/>
        <v>-0.15480610886686139</v>
      </c>
      <c r="G2623" s="9">
        <f t="shared" si="122"/>
        <v>3.1820505315275471E-2</v>
      </c>
    </row>
    <row r="2624" spans="1:7" x14ac:dyDescent="0.2">
      <c r="A2624" s="11">
        <v>38887</v>
      </c>
      <c r="B2624" s="10">
        <v>298.16140000000001</v>
      </c>
      <c r="C2624" s="10">
        <v>303.76080000000002</v>
      </c>
      <c r="D2624" s="10">
        <v>297.3304</v>
      </c>
      <c r="E2624" s="13">
        <f t="shared" si="120"/>
        <v>2.7909722331175548E-3</v>
      </c>
      <c r="F2624" s="9">
        <f t="shared" si="121"/>
        <v>-0.16666503535996888</v>
      </c>
      <c r="G2624" s="9">
        <f t="shared" si="122"/>
        <v>3.1630093558834296E-2</v>
      </c>
    </row>
    <row r="2625" spans="1:7" x14ac:dyDescent="0.2">
      <c r="A2625" s="11">
        <v>38888</v>
      </c>
      <c r="B2625" s="10">
        <v>294.70319999999998</v>
      </c>
      <c r="C2625" s="10">
        <v>298.16140000000001</v>
      </c>
      <c r="D2625" s="10">
        <v>292.9599</v>
      </c>
      <c r="E2625" s="13">
        <f t="shared" si="120"/>
        <v>-1.1666202440635666E-2</v>
      </c>
      <c r="F2625" s="9">
        <f t="shared" si="121"/>
        <v>-0.18265844921395732</v>
      </c>
      <c r="G2625" s="9">
        <f t="shared" si="122"/>
        <v>3.1587567386919042E-2</v>
      </c>
    </row>
    <row r="2626" spans="1:7" x14ac:dyDescent="0.2">
      <c r="A2626" s="11">
        <v>38889</v>
      </c>
      <c r="B2626" s="10">
        <v>295.78590000000003</v>
      </c>
      <c r="C2626" s="10">
        <v>296.11059999999998</v>
      </c>
      <c r="D2626" s="10">
        <v>288.37439999999998</v>
      </c>
      <c r="E2626" s="13">
        <f t="shared" si="120"/>
        <v>3.6671336129108613E-3</v>
      </c>
      <c r="F2626" s="9">
        <f t="shared" si="121"/>
        <v>-0.16905898251108228</v>
      </c>
      <c r="G2626" s="9">
        <f t="shared" si="122"/>
        <v>3.1632610368064286E-2</v>
      </c>
    </row>
    <row r="2627" spans="1:7" x14ac:dyDescent="0.2">
      <c r="A2627" s="11">
        <v>38890</v>
      </c>
      <c r="B2627" s="10">
        <v>300.11720000000003</v>
      </c>
      <c r="C2627" s="10">
        <v>304.98880000000003</v>
      </c>
      <c r="D2627" s="10">
        <v>295.78590000000003</v>
      </c>
      <c r="E2627" s="13">
        <f t="shared" si="120"/>
        <v>1.45371832347379E-2</v>
      </c>
      <c r="F2627" s="9">
        <f t="shared" si="121"/>
        <v>-0.16649804470338958</v>
      </c>
      <c r="G2627" s="9">
        <f t="shared" si="122"/>
        <v>3.1687620815531142E-2</v>
      </c>
    </row>
    <row r="2628" spans="1:7" x14ac:dyDescent="0.2">
      <c r="A2628" s="11">
        <v>38891</v>
      </c>
      <c r="B2628" s="10">
        <v>308.77609999999999</v>
      </c>
      <c r="C2628" s="10">
        <v>308.83870000000002</v>
      </c>
      <c r="D2628" s="10">
        <v>300.11720000000003</v>
      </c>
      <c r="E2628" s="13">
        <f t="shared" ref="E2628:E2691" si="123">LN(B2628/B2627)</f>
        <v>2.8443353749795813E-2</v>
      </c>
      <c r="F2628" s="9">
        <f t="shared" si="121"/>
        <v>-0.14184369572924257</v>
      </c>
      <c r="G2628" s="9">
        <f t="shared" si="122"/>
        <v>3.227767544384879E-2</v>
      </c>
    </row>
    <row r="2629" spans="1:7" x14ac:dyDescent="0.2">
      <c r="A2629" s="11">
        <v>38894</v>
      </c>
      <c r="B2629" s="10">
        <v>307.5145</v>
      </c>
      <c r="C2629" s="10">
        <v>311.36750000000001</v>
      </c>
      <c r="D2629" s="10">
        <v>307.08969999999999</v>
      </c>
      <c r="E2629" s="13">
        <f t="shared" si="123"/>
        <v>-4.0941781759300799E-3</v>
      </c>
      <c r="F2629" s="9">
        <f t="shared" si="121"/>
        <v>-0.14955297935591957</v>
      </c>
      <c r="G2629" s="9">
        <f t="shared" si="122"/>
        <v>3.223683700390604E-2</v>
      </c>
    </row>
    <row r="2630" spans="1:7" x14ac:dyDescent="0.2">
      <c r="A2630" s="11">
        <v>38895</v>
      </c>
      <c r="B2630" s="10">
        <v>315.36329999999998</v>
      </c>
      <c r="C2630" s="10">
        <v>315.4434</v>
      </c>
      <c r="D2630" s="10">
        <v>307.5145</v>
      </c>
      <c r="E2630" s="13">
        <f t="shared" si="123"/>
        <v>2.5203066974634831E-2</v>
      </c>
      <c r="F2630" s="9">
        <f t="shared" si="121"/>
        <v>-9.5323930084789857E-2</v>
      </c>
      <c r="G2630" s="9">
        <f t="shared" si="122"/>
        <v>3.2375355050331428E-2</v>
      </c>
    </row>
    <row r="2631" spans="1:7" x14ac:dyDescent="0.2">
      <c r="A2631" s="11">
        <v>38896</v>
      </c>
      <c r="B2631" s="10">
        <v>310.94650000000001</v>
      </c>
      <c r="C2631" s="10">
        <v>315.36329999999998</v>
      </c>
      <c r="D2631" s="10">
        <v>309.31799999999998</v>
      </c>
      <c r="E2631" s="13">
        <f t="shared" si="123"/>
        <v>-1.410443592337539E-2</v>
      </c>
      <c r="F2631" s="9">
        <f t="shared" si="121"/>
        <v>-5.9322983854083862E-2</v>
      </c>
      <c r="G2631" s="9">
        <f t="shared" si="122"/>
        <v>3.118432958519295E-2</v>
      </c>
    </row>
    <row r="2632" spans="1:7" x14ac:dyDescent="0.2">
      <c r="A2632" s="11">
        <v>38897</v>
      </c>
      <c r="B2632" s="10">
        <v>314.4502</v>
      </c>
      <c r="C2632" s="10">
        <v>316.31619999999998</v>
      </c>
      <c r="D2632" s="10">
        <v>310.94650000000001</v>
      </c>
      <c r="E2632" s="13">
        <f t="shared" si="123"/>
        <v>1.120484536283604E-2</v>
      </c>
      <c r="F2632" s="9">
        <f t="shared" si="121"/>
        <v>-4.6432225081153598E-2</v>
      </c>
      <c r="G2632" s="9">
        <f t="shared" si="122"/>
        <v>3.1281363071214582E-2</v>
      </c>
    </row>
    <row r="2633" spans="1:7" x14ac:dyDescent="0.2">
      <c r="A2633" s="11">
        <v>38898</v>
      </c>
      <c r="B2633" s="10">
        <v>315.64690000000002</v>
      </c>
      <c r="C2633" s="10">
        <v>323.83640000000003</v>
      </c>
      <c r="D2633" s="10">
        <v>313.30130000000003</v>
      </c>
      <c r="E2633" s="13">
        <f t="shared" si="123"/>
        <v>3.7984667406557922E-3</v>
      </c>
      <c r="F2633" s="9">
        <f t="shared" si="121"/>
        <v>1.5358420146592956E-2</v>
      </c>
      <c r="G2633" s="9">
        <f t="shared" si="122"/>
        <v>2.9347796112557365E-2</v>
      </c>
    </row>
    <row r="2634" spans="1:7" x14ac:dyDescent="0.2">
      <c r="A2634" s="11">
        <v>38901</v>
      </c>
      <c r="B2634" s="10">
        <v>321.0324</v>
      </c>
      <c r="C2634" s="10">
        <v>321.93060000000003</v>
      </c>
      <c r="D2634" s="10">
        <v>315.64690000000002</v>
      </c>
      <c r="E2634" s="13">
        <f t="shared" si="123"/>
        <v>1.6917868854771673E-2</v>
      </c>
      <c r="F2634" s="9">
        <f t="shared" si="121"/>
        <v>3.4372191777779983E-2</v>
      </c>
      <c r="G2634" s="9">
        <f t="shared" si="122"/>
        <v>2.9499045725134513E-2</v>
      </c>
    </row>
    <row r="2635" spans="1:7" x14ac:dyDescent="0.2">
      <c r="A2635" s="11">
        <v>38902</v>
      </c>
      <c r="B2635" s="10">
        <v>323.05160000000001</v>
      </c>
      <c r="C2635" s="10">
        <v>324.62549999999999</v>
      </c>
      <c r="D2635" s="10">
        <v>321.0324</v>
      </c>
      <c r="E2635" s="13">
        <f t="shared" si="123"/>
        <v>6.2700101696915008E-3</v>
      </c>
      <c r="F2635" s="9">
        <f t="shared" si="121"/>
        <v>8.8998397172134841E-2</v>
      </c>
      <c r="G2635" s="9">
        <f t="shared" si="122"/>
        <v>2.7924660410112611E-2</v>
      </c>
    </row>
    <row r="2636" spans="1:7" x14ac:dyDescent="0.2">
      <c r="A2636" s="11">
        <v>38903</v>
      </c>
      <c r="B2636" s="10">
        <v>316.73270000000002</v>
      </c>
      <c r="C2636" s="10">
        <v>323.34789999999998</v>
      </c>
      <c r="D2636" s="10">
        <v>316.73270000000002</v>
      </c>
      <c r="E2636" s="13">
        <f t="shared" si="123"/>
        <v>-1.9753862281918517E-2</v>
      </c>
      <c r="F2636" s="9">
        <f t="shared" si="121"/>
        <v>7.2934819825803073E-5</v>
      </c>
      <c r="G2636" s="9">
        <f t="shared" si="122"/>
        <v>2.5151440729085456E-2</v>
      </c>
    </row>
    <row r="2637" spans="1:7" x14ac:dyDescent="0.2">
      <c r="A2637" s="11">
        <v>38904</v>
      </c>
      <c r="B2637" s="10">
        <v>322.29610000000002</v>
      </c>
      <c r="C2637" s="10">
        <v>323.255</v>
      </c>
      <c r="D2637" s="10">
        <v>316.73270000000002</v>
      </c>
      <c r="E2637" s="13">
        <f t="shared" si="123"/>
        <v>1.7412487717045205E-2</v>
      </c>
      <c r="F2637" s="9">
        <f t="shared" si="121"/>
        <v>4.6786517142639629E-2</v>
      </c>
      <c r="G2637" s="9">
        <f t="shared" si="122"/>
        <v>2.4699492433599833E-2</v>
      </c>
    </row>
    <row r="2638" spans="1:7" x14ac:dyDescent="0.2">
      <c r="A2638" s="11">
        <v>38905</v>
      </c>
      <c r="B2638" s="10">
        <v>325.63479999999998</v>
      </c>
      <c r="C2638" s="10">
        <v>326.60480000000001</v>
      </c>
      <c r="D2638" s="10">
        <v>319.92059999999998</v>
      </c>
      <c r="E2638" s="13">
        <f t="shared" si="123"/>
        <v>1.0305819803325079E-2</v>
      </c>
      <c r="F2638" s="9">
        <f t="shared" si="121"/>
        <v>1.7547078922375774E-2</v>
      </c>
      <c r="G2638" s="9">
        <f t="shared" si="122"/>
        <v>2.3671158759746527E-2</v>
      </c>
    </row>
    <row r="2639" spans="1:7" x14ac:dyDescent="0.2">
      <c r="A2639" s="11">
        <v>38908</v>
      </c>
      <c r="B2639" s="10">
        <v>322.7636</v>
      </c>
      <c r="C2639" s="10">
        <v>325.63479999999998</v>
      </c>
      <c r="D2639" s="10">
        <v>321.36160000000001</v>
      </c>
      <c r="E2639" s="13">
        <f t="shared" si="123"/>
        <v>-8.856341307455811E-3</v>
      </c>
      <c r="F2639" s="9">
        <f t="shared" si="121"/>
        <v>-1.3042144851154265E-2</v>
      </c>
      <c r="G2639" s="9">
        <f t="shared" si="122"/>
        <v>2.337576095479247E-2</v>
      </c>
    </row>
    <row r="2640" spans="1:7" x14ac:dyDescent="0.2">
      <c r="A2640" s="11">
        <v>38909</v>
      </c>
      <c r="B2640" s="10">
        <v>322.3064</v>
      </c>
      <c r="C2640" s="10">
        <v>322.7636</v>
      </c>
      <c r="D2640" s="10">
        <v>319.30380000000002</v>
      </c>
      <c r="E2640" s="13">
        <f t="shared" si="123"/>
        <v>-1.4175208165216368E-3</v>
      </c>
      <c r="F2640" s="9">
        <f t="shared" si="121"/>
        <v>1.3832467844653171E-2</v>
      </c>
      <c r="G2640" s="9">
        <f t="shared" si="122"/>
        <v>2.2757075627925036E-2</v>
      </c>
    </row>
    <row r="2641" spans="1:7" x14ac:dyDescent="0.2">
      <c r="A2641" s="11">
        <v>38910</v>
      </c>
      <c r="B2641" s="10">
        <v>328.35340000000002</v>
      </c>
      <c r="C2641" s="10">
        <v>329.2192</v>
      </c>
      <c r="D2641" s="10">
        <v>322.3064</v>
      </c>
      <c r="E2641" s="13">
        <f t="shared" si="123"/>
        <v>1.858782148762668E-2</v>
      </c>
      <c r="F2641" s="9">
        <f t="shared" si="121"/>
        <v>3.3077674069352504E-2</v>
      </c>
      <c r="G2641" s="9">
        <f t="shared" si="122"/>
        <v>2.3002103809395737E-2</v>
      </c>
    </row>
    <row r="2642" spans="1:7" x14ac:dyDescent="0.2">
      <c r="A2642" s="11">
        <v>38911</v>
      </c>
      <c r="B2642" s="10">
        <v>324.1542</v>
      </c>
      <c r="C2642" s="10">
        <v>329.346</v>
      </c>
      <c r="D2642" s="10">
        <v>322.22039999999998</v>
      </c>
      <c r="E2642" s="13">
        <f t="shared" si="123"/>
        <v>-1.2871138886263423E-2</v>
      </c>
      <c r="F2642" s="9">
        <f t="shared" si="121"/>
        <v>1.2197953030775756E-2</v>
      </c>
      <c r="G2642" s="9">
        <f t="shared" si="122"/>
        <v>2.3105995414424055E-2</v>
      </c>
    </row>
    <row r="2643" spans="1:7" x14ac:dyDescent="0.2">
      <c r="A2643" s="11">
        <v>38912</v>
      </c>
      <c r="B2643" s="10">
        <v>320.20920000000001</v>
      </c>
      <c r="C2643" s="10">
        <v>324.6173</v>
      </c>
      <c r="D2643" s="10">
        <v>319.41649999999998</v>
      </c>
      <c r="E2643" s="13">
        <f t="shared" si="123"/>
        <v>-1.2244796309101713E-2</v>
      </c>
      <c r="F2643" s="9">
        <f t="shared" si="121"/>
        <v>-2.1378527874720277E-2</v>
      </c>
      <c r="G2643" s="9">
        <f t="shared" si="122"/>
        <v>2.2860681767899734E-2</v>
      </c>
    </row>
    <row r="2644" spans="1:7" x14ac:dyDescent="0.2">
      <c r="A2644" s="11">
        <v>38915</v>
      </c>
      <c r="B2644" s="10">
        <v>314.15469999999999</v>
      </c>
      <c r="C2644" s="10">
        <v>321.90170000000001</v>
      </c>
      <c r="D2644" s="10">
        <v>313.48450000000003</v>
      </c>
      <c r="E2644" s="13">
        <f t="shared" si="123"/>
        <v>-1.9088992449400415E-2</v>
      </c>
      <c r="F2644" s="9">
        <f t="shared" si="121"/>
        <v>-1.1024311234523663E-2</v>
      </c>
      <c r="G2644" s="9">
        <f t="shared" si="122"/>
        <v>2.247391966989622E-2</v>
      </c>
    </row>
    <row r="2645" spans="1:7" x14ac:dyDescent="0.2">
      <c r="A2645" s="11">
        <v>38916</v>
      </c>
      <c r="B2645" s="10">
        <v>309.14589999999998</v>
      </c>
      <c r="C2645" s="10">
        <v>314.15469999999999</v>
      </c>
      <c r="D2645" s="10">
        <v>305.19459999999998</v>
      </c>
      <c r="E2645" s="13">
        <f t="shared" si="123"/>
        <v>-1.6072205996763258E-2</v>
      </c>
      <c r="F2645" s="9">
        <f t="shared" si="121"/>
        <v>-2.2078235775199854E-2</v>
      </c>
      <c r="G2645" s="9">
        <f t="shared" si="122"/>
        <v>2.2648456896685334E-2</v>
      </c>
    </row>
    <row r="2646" spans="1:7" x14ac:dyDescent="0.2">
      <c r="A2646" s="11">
        <v>38917</v>
      </c>
      <c r="B2646" s="10">
        <v>310.6542</v>
      </c>
      <c r="C2646" s="10">
        <v>311.8974</v>
      </c>
      <c r="D2646" s="10">
        <v>306.62419999999997</v>
      </c>
      <c r="E2646" s="13">
        <f t="shared" si="123"/>
        <v>4.867062710769786E-3</v>
      </c>
      <c r="F2646" s="9">
        <f t="shared" si="121"/>
        <v>4.2523254225310517E-2</v>
      </c>
      <c r="G2646" s="9">
        <f t="shared" si="122"/>
        <v>1.9614694927414505E-2</v>
      </c>
    </row>
    <row r="2647" spans="1:7" x14ac:dyDescent="0.2">
      <c r="A2647" s="11">
        <v>38918</v>
      </c>
      <c r="B2647" s="10">
        <v>313.78769999999997</v>
      </c>
      <c r="C2647" s="10">
        <v>318.72309999999999</v>
      </c>
      <c r="D2647" s="10">
        <v>310.6542</v>
      </c>
      <c r="E2647" s="13">
        <f t="shared" si="123"/>
        <v>1.0036246133048722E-2</v>
      </c>
      <c r="F2647" s="9">
        <f t="shared" si="121"/>
        <v>3.1407073017591068E-2</v>
      </c>
      <c r="G2647" s="9">
        <f t="shared" si="122"/>
        <v>1.9322687418362867E-2</v>
      </c>
    </row>
    <row r="2648" spans="1:7" x14ac:dyDescent="0.2">
      <c r="A2648" s="11">
        <v>38919</v>
      </c>
      <c r="B2648" s="10">
        <v>307.52539999999999</v>
      </c>
      <c r="C2648" s="10">
        <v>313.78769999999997</v>
      </c>
      <c r="D2648" s="10">
        <v>306.8732</v>
      </c>
      <c r="E2648" s="13">
        <f t="shared" si="123"/>
        <v>-2.0158957128723082E-2</v>
      </c>
      <c r="F2648" s="9">
        <f t="shared" si="121"/>
        <v>3.9411466810055924E-2</v>
      </c>
      <c r="G2648" s="9">
        <f t="shared" si="122"/>
        <v>1.8943447145068397E-2</v>
      </c>
    </row>
    <row r="2649" spans="1:7" x14ac:dyDescent="0.2">
      <c r="A2649" s="11">
        <v>38922</v>
      </c>
      <c r="B2649" s="10">
        <v>308.7081</v>
      </c>
      <c r="C2649" s="10">
        <v>309.01830000000001</v>
      </c>
      <c r="D2649" s="10">
        <v>305.69760000000002</v>
      </c>
      <c r="E2649" s="13">
        <f t="shared" si="123"/>
        <v>3.8384847696682858E-3</v>
      </c>
      <c r="F2649" s="9">
        <f t="shared" si="121"/>
        <v>8.0571070063791606E-2</v>
      </c>
      <c r="G2649" s="9">
        <f t="shared" si="122"/>
        <v>1.7422783296976451E-2</v>
      </c>
    </row>
    <row r="2650" spans="1:7" x14ac:dyDescent="0.2">
      <c r="A2650" s="11">
        <v>38923</v>
      </c>
      <c r="B2650" s="10">
        <v>319.10739999999998</v>
      </c>
      <c r="C2650" s="10">
        <v>319.48050000000001</v>
      </c>
      <c r="D2650" s="10">
        <v>308.7081</v>
      </c>
      <c r="E2650" s="13">
        <f t="shared" si="123"/>
        <v>3.3131553006878887E-2</v>
      </c>
      <c r="F2650" s="9">
        <f t="shared" si="121"/>
        <v>0.11089977912440582</v>
      </c>
      <c r="G2650" s="9">
        <f t="shared" si="122"/>
        <v>1.8311876390270231E-2</v>
      </c>
    </row>
    <row r="2651" spans="1:7" x14ac:dyDescent="0.2">
      <c r="A2651" s="11">
        <v>38924</v>
      </c>
      <c r="B2651" s="10">
        <v>319.64</v>
      </c>
      <c r="C2651" s="10">
        <v>320.96570000000003</v>
      </c>
      <c r="D2651" s="10">
        <v>318.00729999999999</v>
      </c>
      <c r="E2651" s="13">
        <f t="shared" si="123"/>
        <v>1.6676392684525632E-3</v>
      </c>
      <c r="F2651" s="9">
        <f t="shared" si="121"/>
        <v>5.5694418685624664E-2</v>
      </c>
      <c r="G2651" s="9">
        <f t="shared" si="122"/>
        <v>1.5206286331006976E-2</v>
      </c>
    </row>
    <row r="2652" spans="1:7" x14ac:dyDescent="0.2">
      <c r="A2652" s="11">
        <v>38925</v>
      </c>
      <c r="B2652" s="10">
        <v>324.67689999999999</v>
      </c>
      <c r="C2652" s="10">
        <v>325.66210000000001</v>
      </c>
      <c r="D2652" s="10">
        <v>319.64</v>
      </c>
      <c r="E2652" s="13">
        <f t="shared" si="123"/>
        <v>1.5635171478621087E-2</v>
      </c>
      <c r="F2652" s="9">
        <f t="shared" si="121"/>
        <v>8.7986555592499349E-2</v>
      </c>
      <c r="G2652" s="9">
        <f t="shared" si="122"/>
        <v>1.4977941162303103E-2</v>
      </c>
    </row>
    <row r="2653" spans="1:7" x14ac:dyDescent="0.2">
      <c r="A2653" s="11">
        <v>38926</v>
      </c>
      <c r="B2653" s="10">
        <v>321.73570000000001</v>
      </c>
      <c r="C2653" s="10">
        <v>324.67689999999999</v>
      </c>
      <c r="D2653" s="10">
        <v>321.72579999999999</v>
      </c>
      <c r="E2653" s="13">
        <f t="shared" si="123"/>
        <v>-9.1001329407750034E-3</v>
      </c>
      <c r="F2653" s="9">
        <f t="shared" si="121"/>
        <v>7.6095450418606853E-2</v>
      </c>
      <c r="G2653" s="9">
        <f t="shared" si="122"/>
        <v>1.5146648580263549E-2</v>
      </c>
    </row>
    <row r="2654" spans="1:7" x14ac:dyDescent="0.2">
      <c r="A2654" s="11">
        <v>38929</v>
      </c>
      <c r="B2654" s="10">
        <v>321.95479999999998</v>
      </c>
      <c r="C2654" s="10">
        <v>323.16059999999999</v>
      </c>
      <c r="D2654" s="10">
        <v>319.07429999999999</v>
      </c>
      <c r="E2654" s="13">
        <f t="shared" si="123"/>
        <v>6.8076197632734232E-4</v>
      </c>
      <c r="F2654" s="9">
        <f t="shared" si="121"/>
        <v>8.8442414835569735E-2</v>
      </c>
      <c r="G2654" s="9">
        <f t="shared" si="122"/>
        <v>1.4902177351458275E-2</v>
      </c>
    </row>
    <row r="2655" spans="1:7" x14ac:dyDescent="0.2">
      <c r="A2655" s="11">
        <v>38930</v>
      </c>
      <c r="B2655" s="10">
        <v>322.99180000000001</v>
      </c>
      <c r="C2655" s="10">
        <v>327.5403</v>
      </c>
      <c r="D2655" s="10">
        <v>321.95479999999998</v>
      </c>
      <c r="E2655" s="13">
        <f t="shared" si="123"/>
        <v>3.2157728830619603E-3</v>
      </c>
      <c r="F2655" s="9">
        <f t="shared" si="121"/>
        <v>8.7991054105720876E-2</v>
      </c>
      <c r="G2655" s="9">
        <f t="shared" si="122"/>
        <v>1.4901745200272843E-2</v>
      </c>
    </row>
    <row r="2656" spans="1:7" x14ac:dyDescent="0.2">
      <c r="A2656" s="11">
        <v>38931</v>
      </c>
      <c r="B2656" s="10">
        <v>327.68400000000003</v>
      </c>
      <c r="C2656" s="10">
        <v>327.94909999999999</v>
      </c>
      <c r="D2656" s="10">
        <v>322.99180000000001</v>
      </c>
      <c r="E2656" s="13">
        <f t="shared" si="123"/>
        <v>1.4422793464335846E-2</v>
      </c>
      <c r="F2656" s="9">
        <f t="shared" ref="F2656:F2719" si="124">LN(B2656/B2627)</f>
        <v>8.7876664335318849E-2</v>
      </c>
      <c r="G2656" s="9">
        <f t="shared" si="122"/>
        <v>1.4898606431826925E-2</v>
      </c>
    </row>
    <row r="2657" spans="1:7" x14ac:dyDescent="0.2">
      <c r="A2657" s="11">
        <v>38932</v>
      </c>
      <c r="B2657" s="10">
        <v>322.33280000000002</v>
      </c>
      <c r="C2657" s="10">
        <v>328.43799999999999</v>
      </c>
      <c r="D2657" s="10">
        <v>321.0582</v>
      </c>
      <c r="E2657" s="13">
        <f t="shared" si="123"/>
        <v>-1.6465177185878681E-2</v>
      </c>
      <c r="F2657" s="9">
        <f t="shared" si="124"/>
        <v>4.2968133399644184E-2</v>
      </c>
      <c r="G2657" s="9">
        <f t="shared" ref="G2657:G2720" si="125">STDEV(E2629:E2657)</f>
        <v>1.4491151587101273E-2</v>
      </c>
    </row>
    <row r="2658" spans="1:7" x14ac:dyDescent="0.2">
      <c r="A2658" s="11">
        <v>38933</v>
      </c>
      <c r="B2658" s="10">
        <v>322.08999999999997</v>
      </c>
      <c r="C2658" s="10">
        <v>325.45800000000003</v>
      </c>
      <c r="D2658" s="10">
        <v>321.08010000000002</v>
      </c>
      <c r="E2658" s="13">
        <f t="shared" si="123"/>
        <v>-7.5354258567216685E-4</v>
      </c>
      <c r="F2658" s="9">
        <f t="shared" si="124"/>
        <v>4.6308768989902174E-2</v>
      </c>
      <c r="G2658" s="9">
        <f t="shared" si="125"/>
        <v>1.4458485668883038E-2</v>
      </c>
    </row>
    <row r="2659" spans="1:7" x14ac:dyDescent="0.2">
      <c r="A2659" s="11">
        <v>38936</v>
      </c>
      <c r="B2659" s="10">
        <v>323.07010000000002</v>
      </c>
      <c r="C2659" s="10">
        <v>323.73239999999998</v>
      </c>
      <c r="D2659" s="10">
        <v>319.7287</v>
      </c>
      <c r="E2659" s="13">
        <f t="shared" si="123"/>
        <v>3.0383179430115009E-3</v>
      </c>
      <c r="F2659" s="9">
        <f t="shared" si="124"/>
        <v>2.4144019958278778E-2</v>
      </c>
      <c r="G2659" s="9">
        <f t="shared" si="125"/>
        <v>1.3733721007783866E-2</v>
      </c>
    </row>
    <row r="2660" spans="1:7" x14ac:dyDescent="0.2">
      <c r="A2660" s="11">
        <v>38937</v>
      </c>
      <c r="B2660" s="10">
        <v>323.19510000000002</v>
      </c>
      <c r="C2660" s="10">
        <v>326.15350000000001</v>
      </c>
      <c r="D2660" s="10">
        <v>322.14409999999998</v>
      </c>
      <c r="E2660" s="13">
        <f t="shared" si="123"/>
        <v>3.8683810163017728E-4</v>
      </c>
      <c r="F2660" s="9">
        <f t="shared" si="124"/>
        <v>3.8635293983284261E-2</v>
      </c>
      <c r="G2660" s="9">
        <f t="shared" si="125"/>
        <v>1.343112903482651E-2</v>
      </c>
    </row>
    <row r="2661" spans="1:7" x14ac:dyDescent="0.2">
      <c r="A2661" s="11">
        <v>38938</v>
      </c>
      <c r="B2661" s="10">
        <v>321.04790000000003</v>
      </c>
      <c r="C2661" s="10">
        <v>324.12220000000002</v>
      </c>
      <c r="D2661" s="10">
        <v>317.38139999999999</v>
      </c>
      <c r="E2661" s="13">
        <f t="shared" si="123"/>
        <v>-6.6658324594806194E-3</v>
      </c>
      <c r="F2661" s="9">
        <f t="shared" si="124"/>
        <v>2.07646161609676E-2</v>
      </c>
      <c r="G2661" s="9">
        <f t="shared" si="125"/>
        <v>1.3371818908259078E-2</v>
      </c>
    </row>
    <row r="2662" spans="1:7" x14ac:dyDescent="0.2">
      <c r="A2662" s="11">
        <v>38939</v>
      </c>
      <c r="B2662" s="10">
        <v>316.21269999999998</v>
      </c>
      <c r="C2662" s="10">
        <v>321.04790000000003</v>
      </c>
      <c r="D2662" s="10">
        <v>314.21019999999999</v>
      </c>
      <c r="E2662" s="13">
        <f t="shared" si="123"/>
        <v>-1.5175244759763696E-2</v>
      </c>
      <c r="F2662" s="9">
        <f t="shared" si="124"/>
        <v>1.7909046605481566E-3</v>
      </c>
      <c r="G2662" s="9">
        <f t="shared" si="125"/>
        <v>1.3676324900572133E-2</v>
      </c>
    </row>
    <row r="2663" spans="1:7" x14ac:dyDescent="0.2">
      <c r="A2663" s="11">
        <v>38940</v>
      </c>
      <c r="B2663" s="10">
        <v>315.60629999999998</v>
      </c>
      <c r="C2663" s="10">
        <v>320.36110000000002</v>
      </c>
      <c r="D2663" s="10">
        <v>315.31220000000002</v>
      </c>
      <c r="E2663" s="13">
        <f t="shared" si="123"/>
        <v>-1.9195376720117206E-3</v>
      </c>
      <c r="F2663" s="9">
        <f t="shared" si="124"/>
        <v>-1.7046501866235419E-2</v>
      </c>
      <c r="G2663" s="9">
        <f t="shared" si="125"/>
        <v>1.3289003218252214E-2</v>
      </c>
    </row>
    <row r="2664" spans="1:7" x14ac:dyDescent="0.2">
      <c r="A2664" s="11">
        <v>38943</v>
      </c>
      <c r="B2664" s="10">
        <v>313.58850000000001</v>
      </c>
      <c r="C2664" s="10">
        <v>316.81450000000001</v>
      </c>
      <c r="D2664" s="10">
        <v>313.21460000000002</v>
      </c>
      <c r="E2664" s="13">
        <f t="shared" si="123"/>
        <v>-6.4139338641768578E-3</v>
      </c>
      <c r="F2664" s="9">
        <f t="shared" si="124"/>
        <v>-2.9730445900103725E-2</v>
      </c>
      <c r="G2664" s="9">
        <f t="shared" si="125"/>
        <v>1.3263940542712691E-2</v>
      </c>
    </row>
    <row r="2665" spans="1:7" x14ac:dyDescent="0.2">
      <c r="A2665" s="11">
        <v>38944</v>
      </c>
      <c r="B2665" s="10">
        <v>317.22609999999997</v>
      </c>
      <c r="C2665" s="10">
        <v>317.49279999999999</v>
      </c>
      <c r="D2665" s="10">
        <v>312.50729999999999</v>
      </c>
      <c r="E2665" s="13">
        <f t="shared" si="123"/>
        <v>1.1533151961811728E-2</v>
      </c>
      <c r="F2665" s="9">
        <f t="shared" si="124"/>
        <v>1.5565683436265128E-3</v>
      </c>
      <c r="G2665" s="9">
        <f t="shared" si="125"/>
        <v>1.2954995706245987E-2</v>
      </c>
    </row>
    <row r="2666" spans="1:7" x14ac:dyDescent="0.2">
      <c r="A2666" s="11">
        <v>38945</v>
      </c>
      <c r="B2666" s="10">
        <v>318.26859999999999</v>
      </c>
      <c r="C2666" s="10">
        <v>319.61869999999999</v>
      </c>
      <c r="D2666" s="10">
        <v>315.90039999999999</v>
      </c>
      <c r="E2666" s="13">
        <f t="shared" si="123"/>
        <v>3.2809115014032037E-3</v>
      </c>
      <c r="F2666" s="9">
        <f t="shared" si="124"/>
        <v>-1.2575007872015478E-2</v>
      </c>
      <c r="G2666" s="9">
        <f t="shared" si="125"/>
        <v>1.2537791441137439E-2</v>
      </c>
    </row>
    <row r="2667" spans="1:7" x14ac:dyDescent="0.2">
      <c r="A2667" s="11">
        <v>38946</v>
      </c>
      <c r="B2667" s="10">
        <v>315.49509999999998</v>
      </c>
      <c r="C2667" s="10">
        <v>318.26859999999999</v>
      </c>
      <c r="D2667" s="10">
        <v>314.63740000000001</v>
      </c>
      <c r="E2667" s="13">
        <f t="shared" si="123"/>
        <v>-8.7525293913719316E-3</v>
      </c>
      <c r="F2667" s="9">
        <f t="shared" si="124"/>
        <v>-3.1633357066712595E-2</v>
      </c>
      <c r="G2667" s="9">
        <f t="shared" si="125"/>
        <v>1.2453969242360963E-2</v>
      </c>
    </row>
    <row r="2668" spans="1:7" x14ac:dyDescent="0.2">
      <c r="A2668" s="11">
        <v>38947</v>
      </c>
      <c r="B2668" s="10">
        <v>317.10449999999997</v>
      </c>
      <c r="C2668" s="10">
        <v>320.09589999999997</v>
      </c>
      <c r="D2668" s="10">
        <v>314.66019999999997</v>
      </c>
      <c r="E2668" s="13">
        <f t="shared" si="123"/>
        <v>5.0882215931811227E-3</v>
      </c>
      <c r="F2668" s="9">
        <f t="shared" si="124"/>
        <v>-1.7688794166075578E-2</v>
      </c>
      <c r="G2668" s="9">
        <f t="shared" si="125"/>
        <v>1.2412564807517261E-2</v>
      </c>
    </row>
    <row r="2669" spans="1:7" x14ac:dyDescent="0.2">
      <c r="A2669" s="11">
        <v>38950</v>
      </c>
      <c r="B2669" s="10">
        <v>323.512</v>
      </c>
      <c r="C2669" s="10">
        <v>324.44369999999998</v>
      </c>
      <c r="D2669" s="10">
        <v>317.10449999999997</v>
      </c>
      <c r="E2669" s="13">
        <f t="shared" si="123"/>
        <v>2.0004834983762553E-2</v>
      </c>
      <c r="F2669" s="9">
        <f t="shared" si="124"/>
        <v>3.7335616342087899E-3</v>
      </c>
      <c r="G2669" s="9">
        <f t="shared" si="125"/>
        <v>1.2986947069775708E-2</v>
      </c>
    </row>
    <row r="2670" spans="1:7" x14ac:dyDescent="0.2">
      <c r="A2670" s="11">
        <v>38951</v>
      </c>
      <c r="B2670" s="10">
        <v>323.63220000000001</v>
      </c>
      <c r="C2670" s="10">
        <v>325.46069999999997</v>
      </c>
      <c r="D2670" s="10">
        <v>321.6515</v>
      </c>
      <c r="E2670" s="13">
        <f t="shared" si="123"/>
        <v>3.7147826213162127E-4</v>
      </c>
      <c r="F2670" s="9">
        <f t="shared" si="124"/>
        <v>-1.4482781591286482E-2</v>
      </c>
      <c r="G2670" s="9">
        <f t="shared" si="125"/>
        <v>1.2493399694362537E-2</v>
      </c>
    </row>
    <row r="2671" spans="1:7" x14ac:dyDescent="0.2">
      <c r="A2671" s="11">
        <v>38952</v>
      </c>
      <c r="B2671" s="10">
        <v>326.42450000000002</v>
      </c>
      <c r="C2671" s="10">
        <v>327.38060000000002</v>
      </c>
      <c r="D2671" s="10">
        <v>323.31470000000002</v>
      </c>
      <c r="E2671" s="13">
        <f t="shared" si="123"/>
        <v>8.5909957510960418E-3</v>
      </c>
      <c r="F2671" s="9">
        <f t="shared" si="124"/>
        <v>6.979353046073093E-3</v>
      </c>
      <c r="G2671" s="9">
        <f t="shared" si="125"/>
        <v>1.2369422389577429E-2</v>
      </c>
    </row>
    <row r="2672" spans="1:7" x14ac:dyDescent="0.2">
      <c r="A2672" s="11">
        <v>38953</v>
      </c>
      <c r="B2672" s="10">
        <v>324.38510000000002</v>
      </c>
      <c r="C2672" s="10">
        <v>326.42450000000002</v>
      </c>
      <c r="D2672" s="10">
        <v>322.18990000000002</v>
      </c>
      <c r="E2672" s="13">
        <f t="shared" si="123"/>
        <v>-6.26729131055089E-3</v>
      </c>
      <c r="F2672" s="9">
        <f t="shared" si="124"/>
        <v>1.2956858044623921E-2</v>
      </c>
      <c r="G2672" s="9">
        <f t="shared" si="125"/>
        <v>1.2202616408193446E-2</v>
      </c>
    </row>
    <row r="2673" spans="1:7" x14ac:dyDescent="0.2">
      <c r="A2673" s="11">
        <v>38954</v>
      </c>
      <c r="B2673" s="10">
        <v>323.9212</v>
      </c>
      <c r="C2673" s="10">
        <v>326.512</v>
      </c>
      <c r="D2673" s="10">
        <v>323.04950000000002</v>
      </c>
      <c r="E2673" s="13">
        <f t="shared" si="123"/>
        <v>-1.4311139014865245E-3</v>
      </c>
      <c r="F2673" s="9">
        <f t="shared" si="124"/>
        <v>3.0614736592537807E-2</v>
      </c>
      <c r="G2673" s="9">
        <f t="shared" si="125"/>
        <v>1.1619619745392414E-2</v>
      </c>
    </row>
    <row r="2674" spans="1:7" x14ac:dyDescent="0.2">
      <c r="A2674" s="11">
        <v>38957</v>
      </c>
      <c r="B2674" s="10">
        <v>321.86180000000002</v>
      </c>
      <c r="C2674" s="10">
        <v>323.9212</v>
      </c>
      <c r="D2674" s="10">
        <v>320.76499999999999</v>
      </c>
      <c r="E2674" s="13">
        <f t="shared" si="123"/>
        <v>-6.3780154671261727E-3</v>
      </c>
      <c r="F2674" s="9">
        <f t="shared" si="124"/>
        <v>4.030892712217482E-2</v>
      </c>
      <c r="G2674" s="9">
        <f t="shared" si="125"/>
        <v>1.1242601544491974E-2</v>
      </c>
    </row>
    <row r="2675" spans="1:7" x14ac:dyDescent="0.2">
      <c r="A2675" s="11">
        <v>38958</v>
      </c>
      <c r="B2675" s="10">
        <v>318.07119999999998</v>
      </c>
      <c r="C2675" s="10">
        <v>323.37939999999998</v>
      </c>
      <c r="D2675" s="10">
        <v>318.01740000000001</v>
      </c>
      <c r="E2675" s="13">
        <f t="shared" si="123"/>
        <v>-1.1847003778819176E-2</v>
      </c>
      <c r="F2675" s="9">
        <f t="shared" si="124"/>
        <v>2.3594860632586003E-2</v>
      </c>
      <c r="G2675" s="9">
        <f t="shared" si="125"/>
        <v>1.1483815426232074E-2</v>
      </c>
    </row>
    <row r="2676" spans="1:7" x14ac:dyDescent="0.2">
      <c r="A2676" s="11">
        <v>38959</v>
      </c>
      <c r="B2676" s="10">
        <v>322.45240000000001</v>
      </c>
      <c r="C2676" s="10">
        <v>322.97019999999998</v>
      </c>
      <c r="D2676" s="10">
        <v>318.07119999999998</v>
      </c>
      <c r="E2676" s="13">
        <f t="shared" si="123"/>
        <v>1.3680271353585549E-2</v>
      </c>
      <c r="F2676" s="9">
        <f t="shared" si="124"/>
        <v>2.7238885853122868E-2</v>
      </c>
      <c r="G2676" s="9">
        <f t="shared" si="125"/>
        <v>1.1607602941456342E-2</v>
      </c>
    </row>
    <row r="2677" spans="1:7" x14ac:dyDescent="0.2">
      <c r="A2677" s="11">
        <v>38960</v>
      </c>
      <c r="B2677" s="10">
        <v>321.6302</v>
      </c>
      <c r="C2677" s="10">
        <v>323.93450000000001</v>
      </c>
      <c r="D2677" s="10">
        <v>320.80430000000001</v>
      </c>
      <c r="E2677" s="13">
        <f t="shared" si="123"/>
        <v>-2.553090074502949E-3</v>
      </c>
      <c r="F2677" s="9">
        <f t="shared" si="124"/>
        <v>4.4844752907342911E-2</v>
      </c>
      <c r="G2677" s="9">
        <f t="shared" si="125"/>
        <v>1.0903789168569131E-2</v>
      </c>
    </row>
    <row r="2678" spans="1:7" x14ac:dyDescent="0.2">
      <c r="A2678" s="11">
        <v>38961</v>
      </c>
      <c r="B2678" s="10">
        <v>326.27390000000003</v>
      </c>
      <c r="C2678" s="10">
        <v>327.15230000000003</v>
      </c>
      <c r="D2678" s="10">
        <v>321.6302</v>
      </c>
      <c r="E2678" s="13">
        <f t="shared" si="123"/>
        <v>1.433477429013752E-2</v>
      </c>
      <c r="F2678" s="9">
        <f t="shared" si="124"/>
        <v>5.534104242781198E-2</v>
      </c>
      <c r="G2678" s="9">
        <f t="shared" si="125"/>
        <v>1.1153929080930101E-2</v>
      </c>
    </row>
    <row r="2679" spans="1:7" x14ac:dyDescent="0.2">
      <c r="A2679" s="11">
        <v>38964</v>
      </c>
      <c r="B2679" s="10">
        <v>330.82190000000003</v>
      </c>
      <c r="C2679" s="10">
        <v>331.00400000000002</v>
      </c>
      <c r="D2679" s="10">
        <v>326.01319999999998</v>
      </c>
      <c r="E2679" s="13">
        <f t="shared" si="123"/>
        <v>1.3842951443355882E-2</v>
      </c>
      <c r="F2679" s="9">
        <f t="shared" si="124"/>
        <v>3.6052440864288951E-2</v>
      </c>
      <c r="G2679" s="9">
        <f t="shared" si="125"/>
        <v>9.7067709562482507E-3</v>
      </c>
    </row>
    <row r="2680" spans="1:7" x14ac:dyDescent="0.2">
      <c r="A2680" s="11">
        <v>38965</v>
      </c>
      <c r="B2680" s="10">
        <v>332.46</v>
      </c>
      <c r="C2680" s="10">
        <v>333.10050000000001</v>
      </c>
      <c r="D2680" s="10">
        <v>330.02350000000001</v>
      </c>
      <c r="E2680" s="13">
        <f t="shared" si="123"/>
        <v>4.9393880052146745E-3</v>
      </c>
      <c r="F2680" s="9">
        <f t="shared" si="124"/>
        <v>3.9324189601051232E-2</v>
      </c>
      <c r="G2680" s="9">
        <f t="shared" si="125"/>
        <v>9.7308638033547432E-3</v>
      </c>
    </row>
    <row r="2681" spans="1:7" x14ac:dyDescent="0.2">
      <c r="A2681" s="11">
        <v>38966</v>
      </c>
      <c r="B2681" s="10">
        <v>324.68630000000002</v>
      </c>
      <c r="C2681" s="10">
        <v>334.01620000000003</v>
      </c>
      <c r="D2681" s="10">
        <v>324.33859999999999</v>
      </c>
      <c r="E2681" s="13">
        <f t="shared" si="123"/>
        <v>-2.3660066682001515E-2</v>
      </c>
      <c r="F2681" s="9">
        <f t="shared" si="124"/>
        <v>2.8951440428565198E-5</v>
      </c>
      <c r="G2681" s="9">
        <f t="shared" si="125"/>
        <v>1.0385387893559715E-2</v>
      </c>
    </row>
    <row r="2682" spans="1:7" x14ac:dyDescent="0.2">
      <c r="A2682" s="11">
        <v>38967</v>
      </c>
      <c r="B2682" s="10">
        <v>322.0566</v>
      </c>
      <c r="C2682" s="10">
        <v>324.68630000000002</v>
      </c>
      <c r="D2682" s="10">
        <v>319.07229999999998</v>
      </c>
      <c r="E2682" s="13">
        <f t="shared" si="123"/>
        <v>-8.1321789302486978E-3</v>
      </c>
      <c r="F2682" s="9">
        <f t="shared" si="124"/>
        <v>9.9690545095486153E-4</v>
      </c>
      <c r="G2682" s="9">
        <f t="shared" si="125"/>
        <v>1.0356608589682193E-2</v>
      </c>
    </row>
    <row r="2683" spans="1:7" x14ac:dyDescent="0.2">
      <c r="A2683" s="11">
        <v>38968</v>
      </c>
      <c r="B2683" s="10">
        <v>321.12209999999999</v>
      </c>
      <c r="C2683" s="10">
        <v>324.65039999999999</v>
      </c>
      <c r="D2683" s="10">
        <v>320.60629999999998</v>
      </c>
      <c r="E2683" s="13">
        <f t="shared" si="123"/>
        <v>-2.9058818570579059E-3</v>
      </c>
      <c r="F2683" s="9">
        <f t="shared" si="124"/>
        <v>-2.5897383824302666E-3</v>
      </c>
      <c r="G2683" s="9">
        <f t="shared" si="125"/>
        <v>1.03700207957876E-2</v>
      </c>
    </row>
    <row r="2684" spans="1:7" x14ac:dyDescent="0.2">
      <c r="A2684" s="11">
        <v>38971</v>
      </c>
      <c r="B2684" s="10">
        <v>309.73919999999998</v>
      </c>
      <c r="C2684" s="10">
        <v>321.12209999999999</v>
      </c>
      <c r="D2684" s="10">
        <v>309.62700000000001</v>
      </c>
      <c r="E2684" s="13">
        <f t="shared" si="123"/>
        <v>-3.6090771564702431E-2</v>
      </c>
      <c r="F2684" s="9">
        <f t="shared" si="124"/>
        <v>-4.1896282830194649E-2</v>
      </c>
      <c r="G2684" s="9">
        <f t="shared" si="125"/>
        <v>1.2309914130934638E-2</v>
      </c>
    </row>
    <row r="2685" spans="1:7" x14ac:dyDescent="0.2">
      <c r="A2685" s="11">
        <v>38972</v>
      </c>
      <c r="B2685" s="10">
        <v>311.10649999999998</v>
      </c>
      <c r="C2685" s="10">
        <v>312.75080000000003</v>
      </c>
      <c r="D2685" s="10">
        <v>307.90609999999998</v>
      </c>
      <c r="E2685" s="13">
        <f t="shared" si="123"/>
        <v>4.4046442153633947E-3</v>
      </c>
      <c r="F2685" s="9">
        <f t="shared" si="124"/>
        <v>-5.191443207916719E-2</v>
      </c>
      <c r="G2685" s="9">
        <f t="shared" si="125"/>
        <v>1.1985002968495083E-2</v>
      </c>
    </row>
    <row r="2686" spans="1:7" x14ac:dyDescent="0.2">
      <c r="A2686" s="11">
        <v>38973</v>
      </c>
      <c r="B2686" s="10">
        <v>315.00529999999998</v>
      </c>
      <c r="C2686" s="10">
        <v>315.43029999999999</v>
      </c>
      <c r="D2686" s="10">
        <v>309.96600000000001</v>
      </c>
      <c r="E2686" s="13">
        <f t="shared" si="123"/>
        <v>1.2454166792247104E-2</v>
      </c>
      <c r="F2686" s="9">
        <f t="shared" si="124"/>
        <v>-2.2995088101041436E-2</v>
      </c>
      <c r="G2686" s="9">
        <f t="shared" si="125"/>
        <v>1.1923317014705458E-2</v>
      </c>
    </row>
    <row r="2687" spans="1:7" x14ac:dyDescent="0.2">
      <c r="A2687" s="11">
        <v>38974</v>
      </c>
      <c r="B2687" s="10">
        <v>314.2294</v>
      </c>
      <c r="C2687" s="10">
        <v>320.59519999999998</v>
      </c>
      <c r="D2687" s="10">
        <v>313.68049999999999</v>
      </c>
      <c r="E2687" s="13">
        <f t="shared" si="123"/>
        <v>-2.4661716629807602E-3</v>
      </c>
      <c r="F2687" s="9">
        <f t="shared" si="124"/>
        <v>-2.4707717178349908E-2</v>
      </c>
      <c r="G2687" s="9">
        <f t="shared" si="125"/>
        <v>1.192735558158985E-2</v>
      </c>
    </row>
    <row r="2688" spans="1:7" x14ac:dyDescent="0.2">
      <c r="A2688" s="11">
        <v>38975</v>
      </c>
      <c r="B2688" s="10">
        <v>311.19729999999998</v>
      </c>
      <c r="C2688" s="10">
        <v>314.48419999999999</v>
      </c>
      <c r="D2688" s="10">
        <v>311.04410000000001</v>
      </c>
      <c r="E2688" s="13">
        <f t="shared" si="123"/>
        <v>-9.6961762438782934E-3</v>
      </c>
      <c r="F2688" s="9">
        <f t="shared" si="124"/>
        <v>-3.7442211365239723E-2</v>
      </c>
      <c r="G2688" s="9">
        <f t="shared" si="125"/>
        <v>1.2013123573163401E-2</v>
      </c>
    </row>
    <row r="2689" spans="1:7" x14ac:dyDescent="0.2">
      <c r="A2689" s="11">
        <v>38978</v>
      </c>
      <c r="B2689" s="10">
        <v>314.04880000000003</v>
      </c>
      <c r="C2689" s="10">
        <v>315.03280000000001</v>
      </c>
      <c r="D2689" s="10">
        <v>311.19729999999998</v>
      </c>
      <c r="E2689" s="13">
        <f t="shared" si="123"/>
        <v>9.1212716714316518E-3</v>
      </c>
      <c r="F2689" s="9">
        <f t="shared" si="124"/>
        <v>-2.8707777795438112E-2</v>
      </c>
      <c r="G2689" s="9">
        <f t="shared" si="125"/>
        <v>1.2165224672984349E-2</v>
      </c>
    </row>
    <row r="2690" spans="1:7" x14ac:dyDescent="0.2">
      <c r="A2690" s="11">
        <v>38979</v>
      </c>
      <c r="B2690" s="10">
        <v>315.36059999999998</v>
      </c>
      <c r="C2690" s="10">
        <v>317.36040000000003</v>
      </c>
      <c r="D2690" s="10">
        <v>313.68720000000002</v>
      </c>
      <c r="E2690" s="13">
        <f t="shared" si="123"/>
        <v>4.1683581446333717E-3</v>
      </c>
      <c r="F2690" s="9">
        <f t="shared" si="124"/>
        <v>-1.7873587191324036E-2</v>
      </c>
      <c r="G2690" s="9">
        <f t="shared" si="125"/>
        <v>1.2151043027683717E-2</v>
      </c>
    </row>
    <row r="2691" spans="1:7" x14ac:dyDescent="0.2">
      <c r="A2691" s="11">
        <v>38980</v>
      </c>
      <c r="B2691" s="10">
        <v>313.73500000000001</v>
      </c>
      <c r="C2691" s="10">
        <v>315.36059999999998</v>
      </c>
      <c r="D2691" s="10">
        <v>311.26369999999997</v>
      </c>
      <c r="E2691" s="13">
        <f t="shared" si="123"/>
        <v>-5.168065451941142E-3</v>
      </c>
      <c r="F2691" s="9">
        <f t="shared" si="124"/>
        <v>-7.8664078835014601E-3</v>
      </c>
      <c r="G2691" s="9">
        <f t="shared" si="125"/>
        <v>1.1861466402536724E-2</v>
      </c>
    </row>
    <row r="2692" spans="1:7" x14ac:dyDescent="0.2">
      <c r="A2692" s="11">
        <v>38981</v>
      </c>
      <c r="B2692" s="10">
        <v>306.72770000000003</v>
      </c>
      <c r="C2692" s="10">
        <v>313.73500000000001</v>
      </c>
      <c r="D2692" s="10">
        <v>306.47190000000001</v>
      </c>
      <c r="E2692" s="13">
        <f t="shared" ref="E2692:E2755" si="126">LN(B2692/B2691)</f>
        <v>-2.2588297226270142E-2</v>
      </c>
      <c r="F2692" s="9">
        <f t="shared" si="124"/>
        <v>-2.8535167437759985E-2</v>
      </c>
      <c r="G2692" s="9">
        <f t="shared" si="125"/>
        <v>1.2564185712415736E-2</v>
      </c>
    </row>
    <row r="2693" spans="1:7" x14ac:dyDescent="0.2">
      <c r="A2693" s="11">
        <v>38982</v>
      </c>
      <c r="B2693" s="10">
        <v>305.59059999999999</v>
      </c>
      <c r="C2693" s="10">
        <v>308.56619999999998</v>
      </c>
      <c r="D2693" s="10">
        <v>305.41649999999998</v>
      </c>
      <c r="E2693" s="13">
        <f t="shared" si="126"/>
        <v>-3.7140856549188394E-3</v>
      </c>
      <c r="F2693" s="9">
        <f t="shared" si="124"/>
        <v>-2.5835319228501925E-2</v>
      </c>
      <c r="G2693" s="9">
        <f t="shared" si="125"/>
        <v>1.2532476429969991E-2</v>
      </c>
    </row>
    <row r="2694" spans="1:7" x14ac:dyDescent="0.2">
      <c r="A2694" s="11">
        <v>38985</v>
      </c>
      <c r="B2694" s="10">
        <v>294.2638</v>
      </c>
      <c r="C2694" s="10">
        <v>305.59059999999999</v>
      </c>
      <c r="D2694" s="10">
        <v>294.23500000000001</v>
      </c>
      <c r="E2694" s="13">
        <f t="shared" si="126"/>
        <v>-3.7769653720824664E-2</v>
      </c>
      <c r="F2694" s="9">
        <f t="shared" si="124"/>
        <v>-7.5138124911138374E-2</v>
      </c>
      <c r="G2694" s="9">
        <f t="shared" si="125"/>
        <v>1.4040288404051363E-2</v>
      </c>
    </row>
    <row r="2695" spans="1:7" x14ac:dyDescent="0.2">
      <c r="A2695" s="11">
        <v>38986</v>
      </c>
      <c r="B2695" s="10">
        <v>303.33429999999998</v>
      </c>
      <c r="C2695" s="10">
        <v>303.33429999999998</v>
      </c>
      <c r="D2695" s="10">
        <v>294.2638</v>
      </c>
      <c r="E2695" s="13">
        <f t="shared" si="126"/>
        <v>3.0358853714730689E-2</v>
      </c>
      <c r="F2695" s="9">
        <f t="shared" si="124"/>
        <v>-4.8060182697810955E-2</v>
      </c>
      <c r="G2695" s="9">
        <f t="shared" si="125"/>
        <v>1.5289539098676783E-2</v>
      </c>
    </row>
    <row r="2696" spans="1:7" x14ac:dyDescent="0.2">
      <c r="A2696" s="11">
        <v>38987</v>
      </c>
      <c r="B2696" s="10">
        <v>308.97050000000002</v>
      </c>
      <c r="C2696" s="10">
        <v>310.0675</v>
      </c>
      <c r="D2696" s="10">
        <v>303.33429999999998</v>
      </c>
      <c r="E2696" s="13">
        <f t="shared" si="126"/>
        <v>1.8410305433707613E-2</v>
      </c>
      <c r="F2696" s="9">
        <f t="shared" si="124"/>
        <v>-2.0897347872731373E-2</v>
      </c>
      <c r="G2696" s="9">
        <f t="shared" si="125"/>
        <v>1.566670921565386E-2</v>
      </c>
    </row>
    <row r="2697" spans="1:7" x14ac:dyDescent="0.2">
      <c r="A2697" s="11">
        <v>38988</v>
      </c>
      <c r="B2697" s="10">
        <v>310.2713</v>
      </c>
      <c r="C2697" s="10">
        <v>314.17680000000001</v>
      </c>
      <c r="D2697" s="10">
        <v>308.97050000000002</v>
      </c>
      <c r="E2697" s="13">
        <f t="shared" si="126"/>
        <v>4.2012729545539999E-3</v>
      </c>
      <c r="F2697" s="9">
        <f t="shared" si="124"/>
        <v>-2.1784296511358436E-2</v>
      </c>
      <c r="G2697" s="9">
        <f t="shared" si="125"/>
        <v>1.5655826249565231E-2</v>
      </c>
    </row>
    <row r="2698" spans="1:7" x14ac:dyDescent="0.2">
      <c r="A2698" s="11">
        <v>38989</v>
      </c>
      <c r="B2698" s="10">
        <v>309.94920000000002</v>
      </c>
      <c r="C2698" s="10">
        <v>310.2713</v>
      </c>
      <c r="D2698" s="10">
        <v>307.50720000000001</v>
      </c>
      <c r="E2698" s="13">
        <f t="shared" si="126"/>
        <v>-1.0386629560207414E-3</v>
      </c>
      <c r="F2698" s="9">
        <f t="shared" si="124"/>
        <v>-4.2827794451141758E-2</v>
      </c>
      <c r="G2698" s="9">
        <f t="shared" si="125"/>
        <v>1.5138571236340409E-2</v>
      </c>
    </row>
    <row r="2699" spans="1:7" x14ac:dyDescent="0.2">
      <c r="A2699" s="11">
        <v>38992</v>
      </c>
      <c r="B2699" s="10">
        <v>308.77670000000001</v>
      </c>
      <c r="C2699" s="10">
        <v>311.9452</v>
      </c>
      <c r="D2699" s="10">
        <v>308.03820000000002</v>
      </c>
      <c r="E2699" s="13">
        <f t="shared" si="126"/>
        <v>-3.7900511471390969E-3</v>
      </c>
      <c r="F2699" s="9">
        <f t="shared" si="124"/>
        <v>-4.6989323860412394E-2</v>
      </c>
      <c r="G2699" s="9">
        <f t="shared" si="125"/>
        <v>1.5140149011124347E-2</v>
      </c>
    </row>
    <row r="2700" spans="1:7" x14ac:dyDescent="0.2">
      <c r="A2700" s="11">
        <v>38993</v>
      </c>
      <c r="B2700" s="10">
        <v>301.67059999999998</v>
      </c>
      <c r="C2700" s="10">
        <v>308.77670000000001</v>
      </c>
      <c r="D2700" s="10">
        <v>301.15469999999999</v>
      </c>
      <c r="E2700" s="13">
        <f t="shared" si="126"/>
        <v>-2.3282668315150211E-2</v>
      </c>
      <c r="F2700" s="9">
        <f t="shared" si="124"/>
        <v>-7.8862987926658537E-2</v>
      </c>
      <c r="G2700" s="9">
        <f t="shared" si="125"/>
        <v>1.5524438478568591E-2</v>
      </c>
    </row>
    <row r="2701" spans="1:7" x14ac:dyDescent="0.2">
      <c r="A2701" s="11">
        <v>38994</v>
      </c>
      <c r="B2701" s="10">
        <v>304.83159999999998</v>
      </c>
      <c r="C2701" s="10">
        <v>305.3227</v>
      </c>
      <c r="D2701" s="10">
        <v>297.24930000000001</v>
      </c>
      <c r="E2701" s="13">
        <f t="shared" si="126"/>
        <v>1.0423799358493092E-2</v>
      </c>
      <c r="F2701" s="9">
        <f t="shared" si="124"/>
        <v>-6.2171897257614642E-2</v>
      </c>
      <c r="G2701" s="9">
        <f t="shared" si="125"/>
        <v>1.5696654883707983E-2</v>
      </c>
    </row>
    <row r="2702" spans="1:7" x14ac:dyDescent="0.2">
      <c r="A2702" s="11">
        <v>38995</v>
      </c>
      <c r="B2702" s="10">
        <v>310.1986</v>
      </c>
      <c r="C2702" s="10">
        <v>311.13780000000003</v>
      </c>
      <c r="D2702" s="10">
        <v>304.83159999999998</v>
      </c>
      <c r="E2702" s="13">
        <f t="shared" si="126"/>
        <v>1.7453244535634904E-2</v>
      </c>
      <c r="F2702" s="9">
        <f t="shared" si="124"/>
        <v>-4.3287538820493209E-2</v>
      </c>
      <c r="G2702" s="9">
        <f t="shared" si="125"/>
        <v>1.6113459905916928E-2</v>
      </c>
    </row>
    <row r="2703" spans="1:7" x14ac:dyDescent="0.2">
      <c r="A2703" s="11">
        <v>38996</v>
      </c>
      <c r="B2703" s="10">
        <v>309.83019999999999</v>
      </c>
      <c r="C2703" s="10">
        <v>311.91750000000002</v>
      </c>
      <c r="D2703" s="10">
        <v>309.67</v>
      </c>
      <c r="E2703" s="13">
        <f t="shared" si="126"/>
        <v>-1.1883320366811569E-3</v>
      </c>
      <c r="F2703" s="9">
        <f t="shared" si="124"/>
        <v>-3.8097855390048146E-2</v>
      </c>
      <c r="G2703" s="9">
        <f t="shared" si="125"/>
        <v>1.6086060809630136E-2</v>
      </c>
    </row>
    <row r="2704" spans="1:7" x14ac:dyDescent="0.2">
      <c r="A2704" s="11">
        <v>38999</v>
      </c>
      <c r="B2704" s="10">
        <v>313.2013</v>
      </c>
      <c r="C2704" s="10">
        <v>313.82589999999999</v>
      </c>
      <c r="D2704" s="10">
        <v>309.83019999999999</v>
      </c>
      <c r="E2704" s="13">
        <f t="shared" si="126"/>
        <v>1.0821709332167074E-2</v>
      </c>
      <c r="F2704" s="9">
        <f t="shared" si="124"/>
        <v>-1.5429142279062048E-2</v>
      </c>
      <c r="G2704" s="9">
        <f t="shared" si="125"/>
        <v>1.6106694184571217E-2</v>
      </c>
    </row>
    <row r="2705" spans="1:7" x14ac:dyDescent="0.2">
      <c r="A2705" s="11">
        <v>39000</v>
      </c>
      <c r="B2705" s="10">
        <v>316.33420000000001</v>
      </c>
      <c r="C2705" s="10">
        <v>317.00819999999999</v>
      </c>
      <c r="D2705" s="10">
        <v>313.2013</v>
      </c>
      <c r="E2705" s="13">
        <f t="shared" si="126"/>
        <v>9.9531348536321083E-3</v>
      </c>
      <c r="F2705" s="9">
        <f t="shared" si="124"/>
        <v>-1.9156278779015646E-2</v>
      </c>
      <c r="G2705" s="9">
        <f t="shared" si="125"/>
        <v>1.6003779481019689E-2</v>
      </c>
    </row>
    <row r="2706" spans="1:7" x14ac:dyDescent="0.2">
      <c r="A2706" s="11">
        <v>39001</v>
      </c>
      <c r="B2706" s="10">
        <v>315.51940000000002</v>
      </c>
      <c r="C2706" s="10">
        <v>317.22519999999997</v>
      </c>
      <c r="D2706" s="10">
        <v>314.11189999999999</v>
      </c>
      <c r="E2706" s="13">
        <f t="shared" si="126"/>
        <v>-2.5790798743480421E-3</v>
      </c>
      <c r="F2706" s="9">
        <f t="shared" si="124"/>
        <v>-1.9182268578860764E-2</v>
      </c>
      <c r="G2706" s="9">
        <f t="shared" si="125"/>
        <v>1.6003889973582312E-2</v>
      </c>
    </row>
    <row r="2707" spans="1:7" x14ac:dyDescent="0.2">
      <c r="A2707" s="11">
        <v>39002</v>
      </c>
      <c r="B2707" s="10">
        <v>319.36989999999997</v>
      </c>
      <c r="C2707" s="10">
        <v>319.4273</v>
      </c>
      <c r="D2707" s="10">
        <v>314.95089999999999</v>
      </c>
      <c r="E2707" s="13">
        <f t="shared" si="126"/>
        <v>1.2129822351878075E-2</v>
      </c>
      <c r="F2707" s="9">
        <f t="shared" si="124"/>
        <v>-2.1387220517120244E-2</v>
      </c>
      <c r="G2707" s="9">
        <f t="shared" si="125"/>
        <v>1.5935190239886425E-2</v>
      </c>
    </row>
    <row r="2708" spans="1:7" x14ac:dyDescent="0.2">
      <c r="A2708" s="11">
        <v>39003</v>
      </c>
      <c r="B2708" s="10">
        <v>325.27530000000002</v>
      </c>
      <c r="C2708" s="10">
        <v>325.37920000000003</v>
      </c>
      <c r="D2708" s="10">
        <v>319.36989999999997</v>
      </c>
      <c r="E2708" s="13">
        <f t="shared" si="126"/>
        <v>1.8321908544010071E-2</v>
      </c>
      <c r="F2708" s="9">
        <f t="shared" si="124"/>
        <v>-1.6908263416465858E-2</v>
      </c>
      <c r="G2708" s="9">
        <f t="shared" si="125"/>
        <v>1.6102381929310922E-2</v>
      </c>
    </row>
    <row r="2709" spans="1:7" x14ac:dyDescent="0.2">
      <c r="A2709" s="11">
        <v>39006</v>
      </c>
      <c r="B2709" s="10">
        <v>330.375</v>
      </c>
      <c r="C2709" s="10">
        <v>330.9898</v>
      </c>
      <c r="D2709" s="10">
        <v>325.27530000000002</v>
      </c>
      <c r="E2709" s="13">
        <f t="shared" si="126"/>
        <v>1.5556472238820647E-2</v>
      </c>
      <c r="F2709" s="9">
        <f t="shared" si="124"/>
        <v>-6.2911791828599581E-3</v>
      </c>
      <c r="G2709" s="9">
        <f t="shared" si="125"/>
        <v>1.6351198562771726E-2</v>
      </c>
    </row>
    <row r="2710" spans="1:7" x14ac:dyDescent="0.2">
      <c r="A2710" s="11">
        <v>39007</v>
      </c>
      <c r="B2710" s="10">
        <v>328.95209999999997</v>
      </c>
      <c r="C2710" s="10">
        <v>333.32760000000002</v>
      </c>
      <c r="D2710" s="10">
        <v>328.42930000000001</v>
      </c>
      <c r="E2710" s="13">
        <f t="shared" si="126"/>
        <v>-4.3162254638953604E-3</v>
      </c>
      <c r="F2710" s="9">
        <f t="shared" si="124"/>
        <v>1.3052662035246188E-2</v>
      </c>
      <c r="G2710" s="9">
        <f t="shared" si="125"/>
        <v>1.5743987952275728E-2</v>
      </c>
    </row>
    <row r="2711" spans="1:7" x14ac:dyDescent="0.2">
      <c r="A2711" s="11">
        <v>39008</v>
      </c>
      <c r="B2711" s="10">
        <v>332.78840000000002</v>
      </c>
      <c r="C2711" s="10">
        <v>332.98750000000001</v>
      </c>
      <c r="D2711" s="10">
        <v>328.38889999999998</v>
      </c>
      <c r="E2711" s="13">
        <f t="shared" si="126"/>
        <v>1.1594705109788557E-2</v>
      </c>
      <c r="F2711" s="9">
        <f t="shared" si="124"/>
        <v>3.2779546075283439E-2</v>
      </c>
      <c r="G2711" s="9">
        <f t="shared" si="125"/>
        <v>1.5786043176978785E-2</v>
      </c>
    </row>
    <row r="2712" spans="1:7" x14ac:dyDescent="0.2">
      <c r="A2712" s="11">
        <v>39009</v>
      </c>
      <c r="B2712" s="10">
        <v>335.40629999999999</v>
      </c>
      <c r="C2712" s="10">
        <v>335.46050000000002</v>
      </c>
      <c r="D2712" s="10">
        <v>329.87299999999999</v>
      </c>
      <c r="E2712" s="13">
        <f t="shared" si="126"/>
        <v>7.835780184392932E-3</v>
      </c>
      <c r="F2712" s="9">
        <f t="shared" si="124"/>
        <v>4.3521208116734163E-2</v>
      </c>
      <c r="G2712" s="9">
        <f t="shared" si="125"/>
        <v>1.5813951566728858E-2</v>
      </c>
    </row>
    <row r="2713" spans="1:7" x14ac:dyDescent="0.2">
      <c r="A2713" s="11">
        <v>39010</v>
      </c>
      <c r="B2713" s="10">
        <v>336.41370000000001</v>
      </c>
      <c r="C2713" s="10">
        <v>338.82909999999998</v>
      </c>
      <c r="D2713" s="10">
        <v>335.40629999999999</v>
      </c>
      <c r="E2713" s="13">
        <f t="shared" si="126"/>
        <v>2.9990198417918041E-3</v>
      </c>
      <c r="F2713" s="9">
        <f t="shared" si="124"/>
        <v>8.261099952322852E-2</v>
      </c>
      <c r="G2713" s="9">
        <f t="shared" si="125"/>
        <v>1.4064524158244569E-2</v>
      </c>
    </row>
    <row r="2714" spans="1:7" x14ac:dyDescent="0.2">
      <c r="A2714" s="11">
        <v>39013</v>
      </c>
      <c r="B2714" s="10">
        <v>332.51740000000001</v>
      </c>
      <c r="C2714" s="10">
        <v>336.41370000000001</v>
      </c>
      <c r="D2714" s="10">
        <v>331.84609999999998</v>
      </c>
      <c r="E2714" s="13">
        <f t="shared" si="126"/>
        <v>-1.1649463042764459E-2</v>
      </c>
      <c r="F2714" s="9">
        <f t="shared" si="124"/>
        <v>6.6556892265100642E-2</v>
      </c>
      <c r="G2714" s="9">
        <f t="shared" si="125"/>
        <v>1.4314815566862564E-2</v>
      </c>
    </row>
    <row r="2715" spans="1:7" x14ac:dyDescent="0.2">
      <c r="A2715" s="11">
        <v>39014</v>
      </c>
      <c r="B2715" s="10">
        <v>334.67020000000002</v>
      </c>
      <c r="C2715" s="10">
        <v>334.67939999999999</v>
      </c>
      <c r="D2715" s="10">
        <v>330.84210000000002</v>
      </c>
      <c r="E2715" s="13">
        <f t="shared" si="126"/>
        <v>6.4533797429897058E-3</v>
      </c>
      <c r="F2715" s="9">
        <f t="shared" si="124"/>
        <v>6.0556105215843294E-2</v>
      </c>
      <c r="G2715" s="9">
        <f t="shared" si="125"/>
        <v>1.4205674145827449E-2</v>
      </c>
    </row>
    <row r="2716" spans="1:7" x14ac:dyDescent="0.2">
      <c r="A2716" s="11">
        <v>39015</v>
      </c>
      <c r="B2716" s="10">
        <v>333.27289999999999</v>
      </c>
      <c r="C2716" s="10">
        <v>336.39789999999999</v>
      </c>
      <c r="D2716" s="10">
        <v>332.83760000000001</v>
      </c>
      <c r="E2716" s="13">
        <f t="shared" si="126"/>
        <v>-4.1838954195607316E-3</v>
      </c>
      <c r="F2716" s="9">
        <f t="shared" si="124"/>
        <v>5.8838381459263504E-2</v>
      </c>
      <c r="G2716" s="9">
        <f t="shared" si="125"/>
        <v>1.4228904080405873E-2</v>
      </c>
    </row>
    <row r="2717" spans="1:7" x14ac:dyDescent="0.2">
      <c r="A2717" s="11">
        <v>39016</v>
      </c>
      <c r="B2717" s="10">
        <v>340.05829999999997</v>
      </c>
      <c r="C2717" s="10">
        <v>341.96809999999999</v>
      </c>
      <c r="D2717" s="10">
        <v>333.27289999999999</v>
      </c>
      <c r="E2717" s="13">
        <f t="shared" si="126"/>
        <v>2.0155399621845586E-2</v>
      </c>
      <c r="F2717" s="9">
        <f t="shared" si="124"/>
        <v>8.8689957324987287E-2</v>
      </c>
      <c r="G2717" s="9">
        <f t="shared" si="125"/>
        <v>1.4428755707418313E-2</v>
      </c>
    </row>
    <row r="2718" spans="1:7" x14ac:dyDescent="0.2">
      <c r="A2718" s="11">
        <v>39017</v>
      </c>
      <c r="B2718" s="10">
        <v>340.09249999999997</v>
      </c>
      <c r="C2718" s="10">
        <v>342.16770000000002</v>
      </c>
      <c r="D2718" s="10">
        <v>338.91160000000002</v>
      </c>
      <c r="E2718" s="13">
        <f t="shared" si="126"/>
        <v>1.0056593340423378E-4</v>
      </c>
      <c r="F2718" s="9">
        <f t="shared" si="124"/>
        <v>7.9669251586959838E-2</v>
      </c>
      <c r="G2718" s="9">
        <f t="shared" si="125"/>
        <v>1.4390564727106902E-2</v>
      </c>
    </row>
    <row r="2719" spans="1:7" x14ac:dyDescent="0.2">
      <c r="A2719" s="11">
        <v>39020</v>
      </c>
      <c r="B2719" s="10">
        <v>335.78429999999997</v>
      </c>
      <c r="C2719" s="10">
        <v>340.17020000000002</v>
      </c>
      <c r="D2719" s="10">
        <v>334.9282</v>
      </c>
      <c r="E2719" s="13">
        <f t="shared" si="126"/>
        <v>-1.2748649902258543E-2</v>
      </c>
      <c r="F2719" s="9">
        <f t="shared" si="124"/>
        <v>6.2752243540067892E-2</v>
      </c>
      <c r="G2719" s="9">
        <f t="shared" si="125"/>
        <v>1.4671044898234491E-2</v>
      </c>
    </row>
    <row r="2720" spans="1:7" x14ac:dyDescent="0.2">
      <c r="A2720" s="11">
        <v>39021</v>
      </c>
      <c r="B2720" s="10">
        <v>337.92649999999998</v>
      </c>
      <c r="C2720" s="10">
        <v>339.2516</v>
      </c>
      <c r="D2720" s="10">
        <v>334.9348</v>
      </c>
      <c r="E2720" s="13">
        <f t="shared" si="126"/>
        <v>6.3594266846282374E-3</v>
      </c>
      <c r="F2720" s="9">
        <f t="shared" ref="F2720:F2783" si="127">LN(B2720/B2691)</f>
        <v>7.4279735676637149E-2</v>
      </c>
      <c r="G2720" s="9">
        <f t="shared" si="125"/>
        <v>1.4621377290055132E-2</v>
      </c>
    </row>
    <row r="2721" spans="1:7" x14ac:dyDescent="0.2">
      <c r="A2721" s="11">
        <v>39022</v>
      </c>
      <c r="B2721" s="10">
        <v>340.6755</v>
      </c>
      <c r="C2721" s="10">
        <v>342.358</v>
      </c>
      <c r="D2721" s="10">
        <v>337.92649999999998</v>
      </c>
      <c r="E2721" s="13">
        <f t="shared" si="126"/>
        <v>8.1019950944619841E-3</v>
      </c>
      <c r="F2721" s="9">
        <f t="shared" si="127"/>
        <v>0.10497002799736936</v>
      </c>
      <c r="G2721" s="9">
        <f t="shared" ref="G2721:G2784" si="128">STDEV(E2693:E2721)</f>
        <v>1.3825034895249645E-2</v>
      </c>
    </row>
    <row r="2722" spans="1:7" x14ac:dyDescent="0.2">
      <c r="A2722" s="11">
        <v>39023</v>
      </c>
      <c r="B2722" s="10">
        <v>337.3295</v>
      </c>
      <c r="C2722" s="10">
        <v>341.22190000000001</v>
      </c>
      <c r="D2722" s="10">
        <v>336.55040000000002</v>
      </c>
      <c r="E2722" s="13">
        <f t="shared" si="126"/>
        <v>-9.870213830906362E-3</v>
      </c>
      <c r="F2722" s="9">
        <f t="shared" si="127"/>
        <v>9.8813899821381945E-2</v>
      </c>
      <c r="G2722" s="9">
        <f t="shared" si="128"/>
        <v>1.3987967424083765E-2</v>
      </c>
    </row>
    <row r="2723" spans="1:7" x14ac:dyDescent="0.2">
      <c r="A2723" s="11">
        <v>39024</v>
      </c>
      <c r="B2723" s="10">
        <v>342.56939999999997</v>
      </c>
      <c r="C2723" s="10">
        <v>342.6026</v>
      </c>
      <c r="D2723" s="10">
        <v>337.3295</v>
      </c>
      <c r="E2723" s="13">
        <f t="shared" si="126"/>
        <v>1.5414067434908004E-2</v>
      </c>
      <c r="F2723" s="9">
        <f t="shared" si="127"/>
        <v>0.15199762097711475</v>
      </c>
      <c r="G2723" s="9">
        <f t="shared" si="128"/>
        <v>1.1695005996049935E-2</v>
      </c>
    </row>
    <row r="2724" spans="1:7" x14ac:dyDescent="0.2">
      <c r="A2724" s="11">
        <v>39027</v>
      </c>
      <c r="B2724" s="10">
        <v>350.10919999999999</v>
      </c>
      <c r="C2724" s="10">
        <v>350.10919999999999</v>
      </c>
      <c r="D2724" s="10">
        <v>342.56939999999997</v>
      </c>
      <c r="E2724" s="13">
        <f t="shared" si="126"/>
        <v>2.1770840908301843E-2</v>
      </c>
      <c r="F2724" s="9">
        <f t="shared" si="127"/>
        <v>0.14340960817068582</v>
      </c>
      <c r="G2724" s="9">
        <f t="shared" si="128"/>
        <v>1.1131421995576287E-2</v>
      </c>
    </row>
    <row r="2725" spans="1:7" x14ac:dyDescent="0.2">
      <c r="A2725" s="11">
        <v>39028</v>
      </c>
      <c r="B2725" s="10">
        <v>346.23669999999998</v>
      </c>
      <c r="C2725" s="10">
        <v>352.9314</v>
      </c>
      <c r="D2725" s="10">
        <v>345.58929999999998</v>
      </c>
      <c r="E2725" s="13">
        <f t="shared" si="126"/>
        <v>-1.1122460610121681E-2</v>
      </c>
      <c r="F2725" s="9">
        <f t="shared" si="127"/>
        <v>0.11387684212685645</v>
      </c>
      <c r="G2725" s="9">
        <f t="shared" si="128"/>
        <v>1.1206220313562028E-2</v>
      </c>
    </row>
    <row r="2726" spans="1:7" x14ac:dyDescent="0.2">
      <c r="A2726" s="11">
        <v>39029</v>
      </c>
      <c r="B2726" s="10">
        <v>346.81740000000002</v>
      </c>
      <c r="C2726" s="10">
        <v>347.1728</v>
      </c>
      <c r="D2726" s="10">
        <v>344.05700000000002</v>
      </c>
      <c r="E2726" s="13">
        <f t="shared" si="126"/>
        <v>1.6757714466850233E-3</v>
      </c>
      <c r="F2726" s="9">
        <f t="shared" si="127"/>
        <v>0.11135134061898741</v>
      </c>
      <c r="G2726" s="9">
        <f t="shared" si="128"/>
        <v>1.1213821604522844E-2</v>
      </c>
    </row>
    <row r="2727" spans="1:7" x14ac:dyDescent="0.2">
      <c r="A2727" s="11">
        <v>39030</v>
      </c>
      <c r="B2727" s="10">
        <v>349.62180000000001</v>
      </c>
      <c r="C2727" s="10">
        <v>351.53809999999999</v>
      </c>
      <c r="D2727" s="10">
        <v>346.81740000000002</v>
      </c>
      <c r="E2727" s="13">
        <f t="shared" si="126"/>
        <v>8.0535821585256909E-3</v>
      </c>
      <c r="F2727" s="9">
        <f t="shared" si="127"/>
        <v>0.12044358573353386</v>
      </c>
      <c r="G2727" s="9">
        <f t="shared" si="128"/>
        <v>1.1199652352982849E-2</v>
      </c>
    </row>
    <row r="2728" spans="1:7" x14ac:dyDescent="0.2">
      <c r="A2728" s="11">
        <v>39031</v>
      </c>
      <c r="B2728" s="10">
        <v>346.08339999999998</v>
      </c>
      <c r="C2728" s="10">
        <v>349.62180000000001</v>
      </c>
      <c r="D2728" s="10">
        <v>345.8254</v>
      </c>
      <c r="E2728" s="13">
        <f t="shared" si="126"/>
        <v>-1.0172212342102844E-2</v>
      </c>
      <c r="F2728" s="9">
        <f t="shared" si="127"/>
        <v>0.11406142453857003</v>
      </c>
      <c r="G2728" s="9">
        <f t="shared" si="128"/>
        <v>1.1421814895054125E-2</v>
      </c>
    </row>
    <row r="2729" spans="1:7" x14ac:dyDescent="0.2">
      <c r="A2729" s="11">
        <v>39034</v>
      </c>
      <c r="B2729" s="10">
        <v>346.7251</v>
      </c>
      <c r="C2729" s="10">
        <v>348.29610000000002</v>
      </c>
      <c r="D2729" s="10">
        <v>344.60169999999999</v>
      </c>
      <c r="E2729" s="13">
        <f t="shared" si="126"/>
        <v>1.8524604807976935E-3</v>
      </c>
      <c r="F2729" s="9">
        <f t="shared" si="127"/>
        <v>0.13919655333451789</v>
      </c>
      <c r="G2729" s="9">
        <f t="shared" si="128"/>
        <v>1.0167635967243425E-2</v>
      </c>
    </row>
    <row r="2730" spans="1:7" x14ac:dyDescent="0.2">
      <c r="A2730" s="11">
        <v>39035</v>
      </c>
      <c r="B2730" s="10">
        <v>349.95830000000001</v>
      </c>
      <c r="C2730" s="10">
        <v>351.44619999999998</v>
      </c>
      <c r="D2730" s="10">
        <v>346.7251</v>
      </c>
      <c r="E2730" s="13">
        <f t="shared" si="126"/>
        <v>9.2817575728779307E-3</v>
      </c>
      <c r="F2730" s="9">
        <f t="shared" si="127"/>
        <v>0.13805451154890275</v>
      </c>
      <c r="G2730" s="9">
        <f t="shared" si="128"/>
        <v>1.0147267011255786E-2</v>
      </c>
    </row>
    <row r="2731" spans="1:7" x14ac:dyDescent="0.2">
      <c r="A2731" s="11">
        <v>39036</v>
      </c>
      <c r="B2731" s="10">
        <v>352.49009999999998</v>
      </c>
      <c r="C2731" s="10">
        <v>352.58109999999999</v>
      </c>
      <c r="D2731" s="10">
        <v>349.92399999999998</v>
      </c>
      <c r="E2731" s="13">
        <f t="shared" si="126"/>
        <v>7.2085322233037393E-3</v>
      </c>
      <c r="F2731" s="9">
        <f t="shared" si="127"/>
        <v>0.1278097992365716</v>
      </c>
      <c r="G2731" s="9">
        <f t="shared" si="128"/>
        <v>9.863976263715029E-3</v>
      </c>
    </row>
    <row r="2732" spans="1:7" x14ac:dyDescent="0.2">
      <c r="A2732" s="11">
        <v>39037</v>
      </c>
      <c r="B2732" s="10">
        <v>354.86559999999997</v>
      </c>
      <c r="C2732" s="10">
        <v>355.35230000000001</v>
      </c>
      <c r="D2732" s="10">
        <v>351.06580000000002</v>
      </c>
      <c r="E2732" s="13">
        <f t="shared" si="126"/>
        <v>6.7165894906997571E-3</v>
      </c>
      <c r="F2732" s="9">
        <f t="shared" si="127"/>
        <v>0.13571472076395263</v>
      </c>
      <c r="G2732" s="9">
        <f t="shared" si="128"/>
        <v>9.8129156537671222E-3</v>
      </c>
    </row>
    <row r="2733" spans="1:7" x14ac:dyDescent="0.2">
      <c r="A2733" s="11">
        <v>39038</v>
      </c>
      <c r="B2733" s="10">
        <v>343.84989999999999</v>
      </c>
      <c r="C2733" s="10">
        <v>354.86559999999997</v>
      </c>
      <c r="D2733" s="10">
        <v>342.70620000000002</v>
      </c>
      <c r="E2733" s="13">
        <f t="shared" si="126"/>
        <v>-3.1533901300930742E-2</v>
      </c>
      <c r="F2733" s="9">
        <f t="shared" si="127"/>
        <v>9.3359110130854989E-2</v>
      </c>
      <c r="G2733" s="9">
        <f t="shared" si="128"/>
        <v>1.1814128078265613E-2</v>
      </c>
    </row>
    <row r="2734" spans="1:7" x14ac:dyDescent="0.2">
      <c r="A2734" s="11">
        <v>39041</v>
      </c>
      <c r="B2734" s="10">
        <v>347.00650000000002</v>
      </c>
      <c r="C2734" s="10">
        <v>347.92739999999998</v>
      </c>
      <c r="D2734" s="10">
        <v>342.04989999999998</v>
      </c>
      <c r="E2734" s="13">
        <f t="shared" si="126"/>
        <v>9.1382868185749342E-3</v>
      </c>
      <c r="F2734" s="9">
        <f t="shared" si="127"/>
        <v>9.2544262095797719E-2</v>
      </c>
      <c r="G2734" s="9">
        <f t="shared" si="128"/>
        <v>1.1798499249594158E-2</v>
      </c>
    </row>
    <row r="2735" spans="1:7" x14ac:dyDescent="0.2">
      <c r="A2735" s="11">
        <v>39042</v>
      </c>
      <c r="B2735" s="10">
        <v>351.37439999999998</v>
      </c>
      <c r="C2735" s="10">
        <v>351.41070000000002</v>
      </c>
      <c r="D2735" s="10">
        <v>347.00650000000002</v>
      </c>
      <c r="E2735" s="13">
        <f t="shared" si="126"/>
        <v>1.2508809887973085E-2</v>
      </c>
      <c r="F2735" s="9">
        <f t="shared" si="127"/>
        <v>0.10763215185811886</v>
      </c>
      <c r="G2735" s="9">
        <f t="shared" si="128"/>
        <v>1.1867423663729877E-2</v>
      </c>
    </row>
    <row r="2736" spans="1:7" x14ac:dyDescent="0.2">
      <c r="A2736" s="11">
        <v>39043</v>
      </c>
      <c r="B2736" s="10">
        <v>350.41579999999999</v>
      </c>
      <c r="C2736" s="10">
        <v>355.99020000000002</v>
      </c>
      <c r="D2736" s="10">
        <v>350.41579999999999</v>
      </c>
      <c r="E2736" s="13">
        <f t="shared" si="126"/>
        <v>-2.7318722780092851E-3</v>
      </c>
      <c r="F2736" s="9">
        <f t="shared" si="127"/>
        <v>9.2770457228231504E-2</v>
      </c>
      <c r="G2736" s="9">
        <f t="shared" si="128"/>
        <v>1.1811665164995492E-2</v>
      </c>
    </row>
    <row r="2737" spans="1:7" x14ac:dyDescent="0.2">
      <c r="A2737" s="11">
        <v>39044</v>
      </c>
      <c r="B2737" s="10">
        <v>347.3569</v>
      </c>
      <c r="C2737" s="10">
        <v>351.54289999999997</v>
      </c>
      <c r="D2737" s="10">
        <v>347.35660000000001</v>
      </c>
      <c r="E2737" s="13">
        <f t="shared" si="126"/>
        <v>-8.7676677384703871E-3</v>
      </c>
      <c r="F2737" s="9">
        <f t="shared" si="127"/>
        <v>6.5680880945751044E-2</v>
      </c>
      <c r="G2737" s="9">
        <f t="shared" si="128"/>
        <v>1.1642939163353353E-2</v>
      </c>
    </row>
    <row r="2738" spans="1:7" x14ac:dyDescent="0.2">
      <c r="A2738" s="11">
        <v>39045</v>
      </c>
      <c r="B2738" s="10">
        <v>347.35270000000003</v>
      </c>
      <c r="C2738" s="10">
        <v>347.9427</v>
      </c>
      <c r="D2738" s="10">
        <v>342.0675</v>
      </c>
      <c r="E2738" s="13">
        <f t="shared" si="126"/>
        <v>-1.2091383219734915E-5</v>
      </c>
      <c r="F2738" s="9">
        <f t="shared" si="127"/>
        <v>5.0112317323710756E-2</v>
      </c>
      <c r="G2738" s="9">
        <f t="shared" si="128"/>
        <v>1.1363765185578059E-2</v>
      </c>
    </row>
    <row r="2739" spans="1:7" x14ac:dyDescent="0.2">
      <c r="A2739" s="11">
        <v>39048</v>
      </c>
      <c r="B2739" s="10">
        <v>342.78890000000001</v>
      </c>
      <c r="C2739" s="10">
        <v>349.6558</v>
      </c>
      <c r="D2739" s="10">
        <v>342.49160000000001</v>
      </c>
      <c r="E2739" s="13">
        <f t="shared" si="126"/>
        <v>-1.3225884445528321E-2</v>
      </c>
      <c r="F2739" s="9">
        <f t="shared" si="127"/>
        <v>4.1202658342077612E-2</v>
      </c>
      <c r="G2739" s="9">
        <f t="shared" si="128"/>
        <v>1.1649851838103392E-2</v>
      </c>
    </row>
    <row r="2740" spans="1:7" x14ac:dyDescent="0.2">
      <c r="A2740" s="11">
        <v>39049</v>
      </c>
      <c r="B2740" s="10">
        <v>338.3965</v>
      </c>
      <c r="C2740" s="10">
        <v>342.928</v>
      </c>
      <c r="D2740" s="10">
        <v>337.05360000000002</v>
      </c>
      <c r="E2740" s="13">
        <f t="shared" si="126"/>
        <v>-1.2896520913652466E-2</v>
      </c>
      <c r="F2740" s="9">
        <f t="shared" si="127"/>
        <v>1.6711432318636758E-2</v>
      </c>
      <c r="G2740" s="9">
        <f t="shared" si="128"/>
        <v>1.1773041699980929E-2</v>
      </c>
    </row>
    <row r="2741" spans="1:7" x14ac:dyDescent="0.2">
      <c r="A2741" s="11">
        <v>39050</v>
      </c>
      <c r="B2741" s="10">
        <v>346.09859999999998</v>
      </c>
      <c r="C2741" s="10">
        <v>346.108</v>
      </c>
      <c r="D2741" s="10">
        <v>338.3965</v>
      </c>
      <c r="E2741" s="13">
        <f t="shared" si="126"/>
        <v>2.2505420670455838E-2</v>
      </c>
      <c r="F2741" s="9">
        <f t="shared" si="127"/>
        <v>3.1381072804699657E-2</v>
      </c>
      <c r="G2741" s="9">
        <f t="shared" si="128"/>
        <v>1.2394833651368458E-2</v>
      </c>
    </row>
    <row r="2742" spans="1:7" x14ac:dyDescent="0.2">
      <c r="A2742" s="11">
        <v>39051</v>
      </c>
      <c r="B2742" s="10">
        <v>346.4513</v>
      </c>
      <c r="C2742" s="10">
        <v>350.67750000000001</v>
      </c>
      <c r="D2742" s="10">
        <v>346.09859999999998</v>
      </c>
      <c r="E2742" s="13">
        <f t="shared" si="126"/>
        <v>1.0185548521268795E-3</v>
      </c>
      <c r="F2742" s="9">
        <f t="shared" si="127"/>
        <v>2.9400607815034896E-2</v>
      </c>
      <c r="G2742" s="9">
        <f t="shared" si="128"/>
        <v>1.2389349494426766E-2</v>
      </c>
    </row>
    <row r="2743" spans="1:7" x14ac:dyDescent="0.2">
      <c r="A2743" s="11">
        <v>39052</v>
      </c>
      <c r="B2743" s="10">
        <v>345.29340000000002</v>
      </c>
      <c r="C2743" s="10">
        <v>350.71629999999999</v>
      </c>
      <c r="D2743" s="10">
        <v>344.54610000000002</v>
      </c>
      <c r="E2743" s="13">
        <f t="shared" si="126"/>
        <v>-3.3477700123652585E-3</v>
      </c>
      <c r="F2743" s="9">
        <f t="shared" si="127"/>
        <v>3.7702300845434078E-2</v>
      </c>
      <c r="G2743" s="9">
        <f t="shared" si="128"/>
        <v>1.2180452441753987E-2</v>
      </c>
    </row>
    <row r="2744" spans="1:7" x14ac:dyDescent="0.2">
      <c r="A2744" s="11">
        <v>39055</v>
      </c>
      <c r="B2744" s="10">
        <v>346.62490000000003</v>
      </c>
      <c r="C2744" s="10">
        <v>349.43950000000001</v>
      </c>
      <c r="D2744" s="10">
        <v>345.29340000000002</v>
      </c>
      <c r="E2744" s="13">
        <f t="shared" si="126"/>
        <v>3.8487250404864713E-3</v>
      </c>
      <c r="F2744" s="9">
        <f t="shared" si="127"/>
        <v>3.5097646142930775E-2</v>
      </c>
      <c r="G2744" s="9">
        <f t="shared" si="128"/>
        <v>1.2150662765921302E-2</v>
      </c>
    </row>
    <row r="2745" spans="1:7" x14ac:dyDescent="0.2">
      <c r="A2745" s="11">
        <v>39056</v>
      </c>
      <c r="B2745" s="10">
        <v>349.69709999999998</v>
      </c>
      <c r="C2745" s="10">
        <v>351.05540000000002</v>
      </c>
      <c r="D2745" s="10">
        <v>346.62490000000003</v>
      </c>
      <c r="E2745" s="13">
        <f t="shared" si="126"/>
        <v>8.8241357728381688E-3</v>
      </c>
      <c r="F2745" s="9">
        <f t="shared" si="127"/>
        <v>4.8105677335329694E-2</v>
      </c>
      <c r="G2745" s="9">
        <f t="shared" si="128"/>
        <v>1.218447528882859E-2</v>
      </c>
    </row>
    <row r="2746" spans="1:7" x14ac:dyDescent="0.2">
      <c r="A2746" s="11">
        <v>39057</v>
      </c>
      <c r="B2746" s="10">
        <v>347.46980000000002</v>
      </c>
      <c r="C2746" s="10">
        <v>350.8</v>
      </c>
      <c r="D2746" s="10">
        <v>346.06529999999998</v>
      </c>
      <c r="E2746" s="13">
        <f t="shared" si="126"/>
        <v>-6.3895964590850434E-3</v>
      </c>
      <c r="F2746" s="9">
        <f t="shared" si="127"/>
        <v>2.1560681254399049E-2</v>
      </c>
      <c r="G2746" s="9">
        <f t="shared" si="128"/>
        <v>1.1734070975406989E-2</v>
      </c>
    </row>
    <row r="2747" spans="1:7" x14ac:dyDescent="0.2">
      <c r="A2747" s="11">
        <v>39058</v>
      </c>
      <c r="B2747" s="10">
        <v>347.22019999999998</v>
      </c>
      <c r="C2747" s="10">
        <v>349.67169999999999</v>
      </c>
      <c r="D2747" s="10">
        <v>346.74220000000003</v>
      </c>
      <c r="E2747" s="13">
        <f t="shared" si="126"/>
        <v>-7.1859393611736939E-4</v>
      </c>
      <c r="F2747" s="9">
        <f t="shared" si="127"/>
        <v>2.0741521384877355E-2</v>
      </c>
      <c r="G2747" s="9">
        <f t="shared" si="128"/>
        <v>1.1736659563482644E-2</v>
      </c>
    </row>
    <row r="2748" spans="1:7" x14ac:dyDescent="0.2">
      <c r="A2748" s="11">
        <v>39059</v>
      </c>
      <c r="B2748" s="10">
        <v>348.608</v>
      </c>
      <c r="C2748" s="10">
        <v>350.11189999999999</v>
      </c>
      <c r="D2748" s="10">
        <v>346.33359999999999</v>
      </c>
      <c r="E2748" s="13">
        <f t="shared" si="126"/>
        <v>3.9889209438863371E-3</v>
      </c>
      <c r="F2748" s="9">
        <f t="shared" si="127"/>
        <v>3.7479092231022436E-2</v>
      </c>
      <c r="G2748" s="9">
        <f t="shared" si="128"/>
        <v>1.1459178980344495E-2</v>
      </c>
    </row>
    <row r="2749" spans="1:7" x14ac:dyDescent="0.2">
      <c r="A2749" s="11">
        <v>39062</v>
      </c>
      <c r="B2749" s="10">
        <v>349.66480000000001</v>
      </c>
      <c r="C2749" s="10">
        <v>351.39769999999999</v>
      </c>
      <c r="D2749" s="10">
        <v>348.12849999999997</v>
      </c>
      <c r="E2749" s="13">
        <f t="shared" si="126"/>
        <v>3.0268995351883667E-3</v>
      </c>
      <c r="F2749" s="9">
        <f t="shared" si="127"/>
        <v>3.4146565081582411E-2</v>
      </c>
      <c r="G2749" s="9">
        <f t="shared" si="128"/>
        <v>1.1423204106052963E-2</v>
      </c>
    </row>
    <row r="2750" spans="1:7" x14ac:dyDescent="0.2">
      <c r="A2750" s="11">
        <v>39063</v>
      </c>
      <c r="B2750" s="10">
        <v>352.036</v>
      </c>
      <c r="C2750" s="10">
        <v>352.07010000000002</v>
      </c>
      <c r="D2750" s="10">
        <v>347.67790000000002</v>
      </c>
      <c r="E2750" s="13">
        <f t="shared" si="126"/>
        <v>6.7584617994734166E-3</v>
      </c>
      <c r="F2750" s="9">
        <f t="shared" si="127"/>
        <v>3.2803031786593738E-2</v>
      </c>
      <c r="G2750" s="9">
        <f t="shared" si="128"/>
        <v>1.1396811504020681E-2</v>
      </c>
    </row>
    <row r="2751" spans="1:7" x14ac:dyDescent="0.2">
      <c r="A2751" s="11">
        <v>39064</v>
      </c>
      <c r="B2751" s="10">
        <v>350.32319999999999</v>
      </c>
      <c r="C2751" s="10">
        <v>352.11099999999999</v>
      </c>
      <c r="D2751" s="10">
        <v>349.05939999999998</v>
      </c>
      <c r="E2751" s="13">
        <f t="shared" si="126"/>
        <v>-4.8772861388526306E-3</v>
      </c>
      <c r="F2751" s="9">
        <f t="shared" si="127"/>
        <v>3.7795959478647501E-2</v>
      </c>
      <c r="G2751" s="9">
        <f t="shared" si="128"/>
        <v>1.1261591687066669E-2</v>
      </c>
    </row>
    <row r="2752" spans="1:7" x14ac:dyDescent="0.2">
      <c r="A2752" s="11">
        <v>39065</v>
      </c>
      <c r="B2752" s="10">
        <v>356.97449999999998</v>
      </c>
      <c r="C2752" s="10">
        <v>357.15800000000002</v>
      </c>
      <c r="D2752" s="10">
        <v>350.32319999999999</v>
      </c>
      <c r="E2752" s="13">
        <f t="shared" si="126"/>
        <v>1.8808193700050036E-2</v>
      </c>
      <c r="F2752" s="9">
        <f t="shared" si="127"/>
        <v>4.1190085743789628E-2</v>
      </c>
      <c r="G2752" s="9">
        <f t="shared" si="128"/>
        <v>1.142985871312175E-2</v>
      </c>
    </row>
    <row r="2753" spans="1:7" x14ac:dyDescent="0.2">
      <c r="A2753" s="11">
        <v>39066</v>
      </c>
      <c r="B2753" s="10">
        <v>360.18099999999998</v>
      </c>
      <c r="C2753" s="10">
        <v>360.18099999999998</v>
      </c>
      <c r="D2753" s="10">
        <v>356.97449999999998</v>
      </c>
      <c r="E2753" s="13">
        <f t="shared" si="126"/>
        <v>8.9423322204668712E-3</v>
      </c>
      <c r="F2753" s="9">
        <f t="shared" si="127"/>
        <v>2.8361577055954858E-2</v>
      </c>
      <c r="G2753" s="9">
        <f t="shared" si="128"/>
        <v>1.0847530323983766E-2</v>
      </c>
    </row>
    <row r="2754" spans="1:7" x14ac:dyDescent="0.2">
      <c r="A2754" s="11">
        <v>39069</v>
      </c>
      <c r="B2754" s="10">
        <v>370.1277</v>
      </c>
      <c r="C2754" s="10">
        <v>378.62020000000001</v>
      </c>
      <c r="D2754" s="10">
        <v>360.18099999999998</v>
      </c>
      <c r="E2754" s="13">
        <f t="shared" si="126"/>
        <v>2.724139835043949E-2</v>
      </c>
      <c r="F2754" s="9">
        <f t="shared" si="127"/>
        <v>6.6725436016515829E-2</v>
      </c>
      <c r="G2754" s="9">
        <f t="shared" si="128"/>
        <v>1.1630201494443796E-2</v>
      </c>
    </row>
    <row r="2755" spans="1:7" x14ac:dyDescent="0.2">
      <c r="A2755" s="11">
        <v>39070</v>
      </c>
      <c r="B2755" s="10">
        <v>365.13780000000003</v>
      </c>
      <c r="C2755" s="10">
        <v>370.1277</v>
      </c>
      <c r="D2755" s="10">
        <v>361.964</v>
      </c>
      <c r="E2755" s="13">
        <f t="shared" si="126"/>
        <v>-1.35732646470299E-2</v>
      </c>
      <c r="F2755" s="9">
        <f t="shared" si="127"/>
        <v>5.1476399922801057E-2</v>
      </c>
      <c r="G2755" s="9">
        <f t="shared" si="128"/>
        <v>1.1998368440970013E-2</v>
      </c>
    </row>
    <row r="2756" spans="1:7" x14ac:dyDescent="0.2">
      <c r="A2756" s="11">
        <v>39071</v>
      </c>
      <c r="B2756" s="10">
        <v>370.30950000000001</v>
      </c>
      <c r="C2756" s="10">
        <v>370.42930000000001</v>
      </c>
      <c r="D2756" s="10">
        <v>365.13780000000003</v>
      </c>
      <c r="E2756" s="13">
        <f t="shared" ref="E2756:E2819" si="129">LN(B2756/B2755)</f>
        <v>1.4064325883967447E-2</v>
      </c>
      <c r="F2756" s="9">
        <f t="shared" si="127"/>
        <v>5.7487143648242638E-2</v>
      </c>
      <c r="G2756" s="9">
        <f t="shared" si="128"/>
        <v>1.2161508650455117E-2</v>
      </c>
    </row>
    <row r="2757" spans="1:7" x14ac:dyDescent="0.2">
      <c r="A2757" s="11">
        <v>39072</v>
      </c>
      <c r="B2757" s="10">
        <v>366.43669999999997</v>
      </c>
      <c r="C2757" s="10">
        <v>370.30950000000001</v>
      </c>
      <c r="D2757" s="10">
        <v>366.24889999999999</v>
      </c>
      <c r="E2757" s="13">
        <f t="shared" si="129"/>
        <v>-1.0513350925532901E-2</v>
      </c>
      <c r="F2757" s="9">
        <f t="shared" si="127"/>
        <v>5.7146005064812704E-2</v>
      </c>
      <c r="G2757" s="9">
        <f t="shared" si="128"/>
        <v>1.2173843907576863E-2</v>
      </c>
    </row>
    <row r="2758" spans="1:7" x14ac:dyDescent="0.2">
      <c r="A2758" s="11">
        <v>39073</v>
      </c>
      <c r="B2758" s="10">
        <v>366.96969999999999</v>
      </c>
      <c r="C2758" s="10">
        <v>368.66340000000002</v>
      </c>
      <c r="D2758" s="10">
        <v>365.6524</v>
      </c>
      <c r="E2758" s="13">
        <f t="shared" si="129"/>
        <v>1.4534917989162096E-3</v>
      </c>
      <c r="F2758" s="9">
        <f t="shared" si="127"/>
        <v>5.6747036382931292E-2</v>
      </c>
      <c r="G2758" s="9">
        <f t="shared" si="128"/>
        <v>1.2174207557586169E-2</v>
      </c>
    </row>
    <row r="2759" spans="1:7" x14ac:dyDescent="0.2">
      <c r="A2759" s="11">
        <v>39078</v>
      </c>
      <c r="B2759" s="10">
        <v>368.63060000000002</v>
      </c>
      <c r="C2759" s="10">
        <v>369.91829999999999</v>
      </c>
      <c r="D2759" s="10">
        <v>366.24770000000001</v>
      </c>
      <c r="E2759" s="13">
        <f t="shared" si="129"/>
        <v>4.5157752721230069E-3</v>
      </c>
      <c r="F2759" s="9">
        <f t="shared" si="127"/>
        <v>5.1981054082176431E-2</v>
      </c>
      <c r="G2759" s="9">
        <f t="shared" si="128"/>
        <v>1.2103758663463624E-2</v>
      </c>
    </row>
    <row r="2760" spans="1:7" x14ac:dyDescent="0.2">
      <c r="A2760" s="11">
        <v>39079</v>
      </c>
      <c r="B2760" s="10">
        <v>372.13380000000001</v>
      </c>
      <c r="C2760" s="10">
        <v>372.13479999999998</v>
      </c>
      <c r="D2760" s="10">
        <v>368.63060000000002</v>
      </c>
      <c r="E2760" s="13">
        <f t="shared" si="129"/>
        <v>9.4584084136655078E-3</v>
      </c>
      <c r="F2760" s="9">
        <f t="shared" si="127"/>
        <v>5.4230930272538121E-2</v>
      </c>
      <c r="G2760" s="9">
        <f t="shared" si="128"/>
        <v>1.2146848043977192E-2</v>
      </c>
    </row>
    <row r="2761" spans="1:7" x14ac:dyDescent="0.2">
      <c r="A2761" s="11">
        <v>39080</v>
      </c>
      <c r="B2761" s="10">
        <v>371.36970000000002</v>
      </c>
      <c r="C2761" s="10">
        <v>373.01170000000002</v>
      </c>
      <c r="D2761" s="10">
        <v>371.3288</v>
      </c>
      <c r="E2761" s="13">
        <f t="shared" si="129"/>
        <v>-2.0554046322767148E-3</v>
      </c>
      <c r="F2761" s="9">
        <f t="shared" si="127"/>
        <v>4.5458936149561584E-2</v>
      </c>
      <c r="G2761" s="9">
        <f t="shared" si="128"/>
        <v>1.2131058496261589E-2</v>
      </c>
    </row>
    <row r="2762" spans="1:7" x14ac:dyDescent="0.2">
      <c r="A2762" s="11">
        <v>39084</v>
      </c>
      <c r="B2762" s="10">
        <v>376.524</v>
      </c>
      <c r="C2762" s="10">
        <v>377.15640000000002</v>
      </c>
      <c r="D2762" s="10">
        <v>371.2063</v>
      </c>
      <c r="E2762" s="13">
        <f t="shared" si="129"/>
        <v>1.3783727836433465E-2</v>
      </c>
      <c r="F2762" s="9">
        <f t="shared" si="127"/>
        <v>9.0776565286925709E-2</v>
      </c>
      <c r="G2762" s="9">
        <f t="shared" si="128"/>
        <v>1.052762420965456E-2</v>
      </c>
    </row>
    <row r="2763" spans="1:7" x14ac:dyDescent="0.2">
      <c r="A2763" s="11">
        <v>39085</v>
      </c>
      <c r="B2763" s="10">
        <v>371.05590000000001</v>
      </c>
      <c r="C2763" s="10">
        <v>377.55099999999999</v>
      </c>
      <c r="D2763" s="10">
        <v>371.05590000000001</v>
      </c>
      <c r="E2763" s="13">
        <f t="shared" si="129"/>
        <v>-1.4629065116523629E-2</v>
      </c>
      <c r="F2763" s="9">
        <f t="shared" si="127"/>
        <v>6.7009213351827218E-2</v>
      </c>
      <c r="G2763" s="9">
        <f t="shared" si="128"/>
        <v>1.0959472719270722E-2</v>
      </c>
    </row>
    <row r="2764" spans="1:7" x14ac:dyDescent="0.2">
      <c r="A2764" s="11">
        <v>39086</v>
      </c>
      <c r="B2764" s="10">
        <v>361.08920000000001</v>
      </c>
      <c r="C2764" s="10">
        <v>371.05590000000001</v>
      </c>
      <c r="D2764" s="10">
        <v>361.08920000000001</v>
      </c>
      <c r="E2764" s="13">
        <f t="shared" si="129"/>
        <v>-2.7227705888149555E-2</v>
      </c>
      <c r="F2764" s="9">
        <f t="shared" si="127"/>
        <v>2.7272697575704469E-2</v>
      </c>
      <c r="G2764" s="9">
        <f t="shared" si="128"/>
        <v>1.2066994874590986E-2</v>
      </c>
    </row>
    <row r="2765" spans="1:7" x14ac:dyDescent="0.2">
      <c r="A2765" s="11">
        <v>39087</v>
      </c>
      <c r="B2765" s="10">
        <v>360.56029999999998</v>
      </c>
      <c r="C2765" s="10">
        <v>361.54329999999999</v>
      </c>
      <c r="D2765" s="10">
        <v>353.77379999999999</v>
      </c>
      <c r="E2765" s="13">
        <f t="shared" si="129"/>
        <v>-1.4658088024708503E-3</v>
      </c>
      <c r="F2765" s="9">
        <f t="shared" si="127"/>
        <v>2.8538761051242891E-2</v>
      </c>
      <c r="G2765" s="9">
        <f t="shared" si="128"/>
        <v>1.2055519063286788E-2</v>
      </c>
    </row>
    <row r="2766" spans="1:7" x14ac:dyDescent="0.2">
      <c r="A2766" s="11">
        <v>39090</v>
      </c>
      <c r="B2766" s="10">
        <v>365.32530000000003</v>
      </c>
      <c r="C2766" s="10">
        <v>367.27760000000001</v>
      </c>
      <c r="D2766" s="10">
        <v>360.56029999999998</v>
      </c>
      <c r="E2766" s="13">
        <f t="shared" si="129"/>
        <v>1.3128979125896514E-2</v>
      </c>
      <c r="F2766" s="9">
        <f t="shared" si="127"/>
        <v>5.0435407915609812E-2</v>
      </c>
      <c r="G2766" s="9">
        <f t="shared" si="128"/>
        <v>1.2108531864697193E-2</v>
      </c>
    </row>
    <row r="2767" spans="1:7" x14ac:dyDescent="0.2">
      <c r="A2767" s="11">
        <v>39091</v>
      </c>
      <c r="B2767" s="10">
        <v>359.20659999999998</v>
      </c>
      <c r="C2767" s="10">
        <v>365.84269999999998</v>
      </c>
      <c r="D2767" s="10">
        <v>358.33179999999999</v>
      </c>
      <c r="E2767" s="13">
        <f t="shared" si="129"/>
        <v>-1.6890479122941279E-2</v>
      </c>
      <c r="F2767" s="9">
        <f t="shared" si="127"/>
        <v>3.3557020175888221E-2</v>
      </c>
      <c r="G2767" s="9">
        <f t="shared" si="128"/>
        <v>1.2591715083271426E-2</v>
      </c>
    </row>
    <row r="2768" spans="1:7" x14ac:dyDescent="0.2">
      <c r="A2768" s="11">
        <v>39092</v>
      </c>
      <c r="B2768" s="10">
        <v>354.30880000000002</v>
      </c>
      <c r="C2768" s="10">
        <v>359.45170000000002</v>
      </c>
      <c r="D2768" s="10">
        <v>354.24380000000002</v>
      </c>
      <c r="E2768" s="13">
        <f t="shared" si="129"/>
        <v>-1.3728861152919727E-2</v>
      </c>
      <c r="F2768" s="9">
        <f t="shared" si="127"/>
        <v>3.3054043468496892E-2</v>
      </c>
      <c r="G2768" s="9">
        <f t="shared" si="128"/>
        <v>1.2612563178058308E-2</v>
      </c>
    </row>
    <row r="2769" spans="1:7" x14ac:dyDescent="0.2">
      <c r="A2769" s="11">
        <v>39093</v>
      </c>
      <c r="B2769" s="10">
        <v>361.95409999999998</v>
      </c>
      <c r="C2769" s="10">
        <v>362.18270000000001</v>
      </c>
      <c r="D2769" s="10">
        <v>352.66660000000002</v>
      </c>
      <c r="E2769" s="13">
        <f t="shared" si="129"/>
        <v>2.1348558935288742E-2</v>
      </c>
      <c r="F2769" s="9">
        <f t="shared" si="127"/>
        <v>6.7299123317438342E-2</v>
      </c>
      <c r="G2769" s="9">
        <f t="shared" si="128"/>
        <v>1.2852301336781082E-2</v>
      </c>
    </row>
    <row r="2770" spans="1:7" x14ac:dyDescent="0.2">
      <c r="A2770" s="11">
        <v>39094</v>
      </c>
      <c r="B2770" s="10">
        <v>362.59370000000001</v>
      </c>
      <c r="C2770" s="10">
        <v>364.38</v>
      </c>
      <c r="D2770" s="10">
        <v>358.78030000000001</v>
      </c>
      <c r="E2770" s="13">
        <f t="shared" si="129"/>
        <v>1.7655154460160852E-3</v>
      </c>
      <c r="F2770" s="9">
        <f t="shared" si="127"/>
        <v>4.6559218092998414E-2</v>
      </c>
      <c r="G2770" s="9">
        <f t="shared" si="128"/>
        <v>1.2252022060853258E-2</v>
      </c>
    </row>
    <row r="2771" spans="1:7" x14ac:dyDescent="0.2">
      <c r="A2771" s="11">
        <v>39097</v>
      </c>
      <c r="B2771" s="10">
        <v>373.27379999999999</v>
      </c>
      <c r="C2771" s="10">
        <v>373.51839999999999</v>
      </c>
      <c r="D2771" s="10">
        <v>362.59370000000001</v>
      </c>
      <c r="E2771" s="13">
        <f t="shared" si="129"/>
        <v>2.9029274967097632E-2</v>
      </c>
      <c r="F2771" s="9">
        <f t="shared" si="127"/>
        <v>7.4569938207969241E-2</v>
      </c>
      <c r="G2771" s="9">
        <f t="shared" si="128"/>
        <v>1.3266232017010949E-2</v>
      </c>
    </row>
    <row r="2772" spans="1:7" x14ac:dyDescent="0.2">
      <c r="A2772" s="11">
        <v>39098</v>
      </c>
      <c r="B2772" s="10">
        <v>371.96319999999997</v>
      </c>
      <c r="C2772" s="10">
        <v>373.89679999999998</v>
      </c>
      <c r="D2772" s="10">
        <v>369.91559999999998</v>
      </c>
      <c r="E2772" s="13">
        <f t="shared" si="129"/>
        <v>-3.5172739709454204E-3</v>
      </c>
      <c r="F2772" s="9">
        <f t="shared" si="127"/>
        <v>7.4400434249388941E-2</v>
      </c>
      <c r="G2772" s="9">
        <f t="shared" si="128"/>
        <v>1.326897012989461E-2</v>
      </c>
    </row>
    <row r="2773" spans="1:7" x14ac:dyDescent="0.2">
      <c r="A2773" s="11">
        <v>39099</v>
      </c>
      <c r="B2773" s="10">
        <v>368.41730000000001</v>
      </c>
      <c r="C2773" s="10">
        <v>372.92399999999998</v>
      </c>
      <c r="D2773" s="10">
        <v>365.83359999999999</v>
      </c>
      <c r="E2773" s="13">
        <f t="shared" si="129"/>
        <v>-9.578661543740272E-3</v>
      </c>
      <c r="F2773" s="9">
        <f t="shared" si="127"/>
        <v>6.0973047665162441E-2</v>
      </c>
      <c r="G2773" s="9">
        <f t="shared" si="128"/>
        <v>1.3455553436458089E-2</v>
      </c>
    </row>
    <row r="2774" spans="1:7" x14ac:dyDescent="0.2">
      <c r="A2774" s="11">
        <v>39100</v>
      </c>
      <c r="B2774" s="10">
        <v>371.15570000000002</v>
      </c>
      <c r="C2774" s="10">
        <v>373.65629999999999</v>
      </c>
      <c r="D2774" s="10">
        <v>368.41730000000001</v>
      </c>
      <c r="E2774" s="13">
        <f t="shared" si="129"/>
        <v>7.4053880128790231E-3</v>
      </c>
      <c r="F2774" s="9">
        <f t="shared" si="127"/>
        <v>5.9554299905203084E-2</v>
      </c>
      <c r="G2774" s="9">
        <f t="shared" si="128"/>
        <v>1.3432801791063253E-2</v>
      </c>
    </row>
    <row r="2775" spans="1:7" x14ac:dyDescent="0.2">
      <c r="A2775" s="11">
        <v>39101</v>
      </c>
      <c r="B2775" s="10">
        <v>376.6275</v>
      </c>
      <c r="C2775" s="10">
        <v>376.6275</v>
      </c>
      <c r="D2775" s="10">
        <v>367.73110000000003</v>
      </c>
      <c r="E2775" s="13">
        <f t="shared" si="129"/>
        <v>1.4634984213128879E-2</v>
      </c>
      <c r="F2775" s="9">
        <f t="shared" si="127"/>
        <v>8.0578880577417036E-2</v>
      </c>
      <c r="G2775" s="9">
        <f t="shared" si="128"/>
        <v>1.3527862624504748E-2</v>
      </c>
    </row>
    <row r="2776" spans="1:7" x14ac:dyDescent="0.2">
      <c r="A2776" s="11">
        <v>39104</v>
      </c>
      <c r="B2776" s="10">
        <v>380.90480000000002</v>
      </c>
      <c r="C2776" s="10">
        <v>382.63659999999999</v>
      </c>
      <c r="D2776" s="10">
        <v>376.6275</v>
      </c>
      <c r="E2776" s="13">
        <f t="shared" si="129"/>
        <v>1.1292839807038041E-2</v>
      </c>
      <c r="F2776" s="9">
        <f t="shared" si="127"/>
        <v>9.2590314320572645E-2</v>
      </c>
      <c r="G2776" s="9">
        <f t="shared" si="128"/>
        <v>1.3600647623016831E-2</v>
      </c>
    </row>
    <row r="2777" spans="1:7" x14ac:dyDescent="0.2">
      <c r="A2777" s="11">
        <v>39105</v>
      </c>
      <c r="B2777" s="10">
        <v>380.76420000000002</v>
      </c>
      <c r="C2777" s="10">
        <v>381.88470000000001</v>
      </c>
      <c r="D2777" s="10">
        <v>377.97059999999999</v>
      </c>
      <c r="E2777" s="13">
        <f t="shared" si="129"/>
        <v>-3.6918924518920826E-4</v>
      </c>
      <c r="F2777" s="9">
        <f t="shared" si="127"/>
        <v>8.8232204131497016E-2</v>
      </c>
      <c r="G2777" s="9">
        <f t="shared" si="128"/>
        <v>1.3615605540721547E-2</v>
      </c>
    </row>
    <row r="2778" spans="1:7" x14ac:dyDescent="0.2">
      <c r="A2778" s="11">
        <v>39106</v>
      </c>
      <c r="B2778" s="10">
        <v>386.87389999999999</v>
      </c>
      <c r="C2778" s="10">
        <v>388.17739999999998</v>
      </c>
      <c r="D2778" s="10">
        <v>380.76420000000002</v>
      </c>
      <c r="E2778" s="13">
        <f t="shared" si="129"/>
        <v>1.5918514246473867E-2</v>
      </c>
      <c r="F2778" s="9">
        <f t="shared" si="127"/>
        <v>0.10112381884278263</v>
      </c>
      <c r="G2778" s="9">
        <f t="shared" si="128"/>
        <v>1.3823934915074863E-2</v>
      </c>
    </row>
    <row r="2779" spans="1:7" x14ac:dyDescent="0.2">
      <c r="A2779" s="11">
        <v>39107</v>
      </c>
      <c r="B2779" s="10">
        <v>383.11110000000002</v>
      </c>
      <c r="C2779" s="10">
        <v>390.30329999999998</v>
      </c>
      <c r="D2779" s="10">
        <v>382.70269999999999</v>
      </c>
      <c r="E2779" s="13">
        <f t="shared" si="129"/>
        <v>-9.7737746941364296E-3</v>
      </c>
      <c r="F2779" s="9">
        <f t="shared" si="127"/>
        <v>8.4591582349172884E-2</v>
      </c>
      <c r="G2779" s="9">
        <f t="shared" si="128"/>
        <v>1.402364700633163E-2</v>
      </c>
    </row>
    <row r="2780" spans="1:7" x14ac:dyDescent="0.2">
      <c r="A2780" s="11">
        <v>39108</v>
      </c>
      <c r="B2780" s="10">
        <v>385.0926</v>
      </c>
      <c r="C2780" s="10">
        <v>385.84350000000001</v>
      </c>
      <c r="D2780" s="10">
        <v>379.65129999999999</v>
      </c>
      <c r="E2780" s="13">
        <f t="shared" si="129"/>
        <v>5.1587994030867848E-3</v>
      </c>
      <c r="F2780" s="9">
        <f t="shared" si="127"/>
        <v>9.4627667891112238E-2</v>
      </c>
      <c r="G2780" s="9">
        <f t="shared" si="128"/>
        <v>1.394806368032607E-2</v>
      </c>
    </row>
    <row r="2781" spans="1:7" x14ac:dyDescent="0.2">
      <c r="A2781" s="11">
        <v>39111</v>
      </c>
      <c r="B2781" s="10">
        <v>387.63069999999999</v>
      </c>
      <c r="C2781" s="10">
        <v>388.16520000000003</v>
      </c>
      <c r="D2781" s="10">
        <v>384.94099999999997</v>
      </c>
      <c r="E2781" s="13">
        <f t="shared" si="129"/>
        <v>6.5692573982581125E-3</v>
      </c>
      <c r="F2781" s="9">
        <f t="shared" si="127"/>
        <v>8.2388731589320197E-2</v>
      </c>
      <c r="G2781" s="9">
        <f t="shared" si="128"/>
        <v>1.3642725796369366E-2</v>
      </c>
    </row>
    <row r="2782" spans="1:7" x14ac:dyDescent="0.2">
      <c r="A2782" s="11">
        <v>39112</v>
      </c>
      <c r="B2782" s="10">
        <v>385.53649999999999</v>
      </c>
      <c r="C2782" s="10">
        <v>387.63069999999999</v>
      </c>
      <c r="D2782" s="10">
        <v>384.16289999999998</v>
      </c>
      <c r="E2782" s="13">
        <f t="shared" si="129"/>
        <v>-5.4172114942151045E-3</v>
      </c>
      <c r="F2782" s="9">
        <f t="shared" si="127"/>
        <v>6.8029187874638172E-2</v>
      </c>
      <c r="G2782" s="9">
        <f t="shared" si="128"/>
        <v>1.3673922512730434E-2</v>
      </c>
    </row>
    <row r="2783" spans="1:7" x14ac:dyDescent="0.2">
      <c r="A2783" s="11">
        <v>39113</v>
      </c>
      <c r="B2783" s="10">
        <v>387.11169999999998</v>
      </c>
      <c r="C2783" s="10">
        <v>389.8075</v>
      </c>
      <c r="D2783" s="10">
        <v>385.53649999999999</v>
      </c>
      <c r="E2783" s="13">
        <f t="shared" si="129"/>
        <v>4.0774111227972693E-3</v>
      </c>
      <c r="F2783" s="9">
        <f t="shared" si="127"/>
        <v>4.4865200646996013E-2</v>
      </c>
      <c r="G2783" s="9">
        <f t="shared" si="128"/>
        <v>1.2817453511396733E-2</v>
      </c>
    </row>
    <row r="2784" spans="1:7" x14ac:dyDescent="0.2">
      <c r="A2784" s="11">
        <v>39114</v>
      </c>
      <c r="B2784" s="10">
        <v>390.23630000000003</v>
      </c>
      <c r="C2784" s="10">
        <v>392.64229999999998</v>
      </c>
      <c r="D2784" s="10">
        <v>387.11169999999998</v>
      </c>
      <c r="E2784" s="13">
        <f t="shared" si="129"/>
        <v>8.0391712028774574E-3</v>
      </c>
      <c r="F2784" s="9">
        <f t="shared" ref="F2784:F2847" si="130">LN(B2784/B2755)</f>
        <v>6.6477636496903358E-2</v>
      </c>
      <c r="G2784" s="9">
        <f t="shared" si="128"/>
        <v>1.2532037521013577E-2</v>
      </c>
    </row>
    <row r="2785" spans="1:7" x14ac:dyDescent="0.2">
      <c r="A2785" s="11">
        <v>39115</v>
      </c>
      <c r="B2785" s="10">
        <v>392.69659999999999</v>
      </c>
      <c r="C2785" s="10">
        <v>394.27749999999997</v>
      </c>
      <c r="D2785" s="10">
        <v>390.23630000000003</v>
      </c>
      <c r="E2785" s="13">
        <f t="shared" si="129"/>
        <v>6.284850459976541E-3</v>
      </c>
      <c r="F2785" s="9">
        <f t="shared" si="130"/>
        <v>5.8698161072912598E-2</v>
      </c>
      <c r="G2785" s="9">
        <f t="shared" ref="G2785:G2848" si="131">STDEV(E2757:E2785)</f>
        <v>1.2353033848643016E-2</v>
      </c>
    </row>
    <row r="2786" spans="1:7" x14ac:dyDescent="0.2">
      <c r="A2786" s="11">
        <v>39118</v>
      </c>
      <c r="B2786" s="10">
        <v>393.48039999999997</v>
      </c>
      <c r="C2786" s="10">
        <v>395.35410000000002</v>
      </c>
      <c r="D2786" s="10">
        <v>392.46559999999999</v>
      </c>
      <c r="E2786" s="13">
        <f t="shared" si="129"/>
        <v>1.9939536763078736E-3</v>
      </c>
      <c r="F2786" s="9">
        <f t="shared" si="130"/>
        <v>7.1205465674753332E-2</v>
      </c>
      <c r="G2786" s="9">
        <f t="shared" si="131"/>
        <v>1.2115733731634526E-2</v>
      </c>
    </row>
    <row r="2787" spans="1:7" x14ac:dyDescent="0.2">
      <c r="A2787" s="11">
        <v>39119</v>
      </c>
      <c r="B2787" s="10">
        <v>394.57560000000001</v>
      </c>
      <c r="C2787" s="10">
        <v>395.4821</v>
      </c>
      <c r="D2787" s="10">
        <v>392.34530000000001</v>
      </c>
      <c r="E2787" s="13">
        <f t="shared" si="129"/>
        <v>2.7794996931471572E-3</v>
      </c>
      <c r="F2787" s="9">
        <f t="shared" si="130"/>
        <v>7.2531473568984067E-2</v>
      </c>
      <c r="G2787" s="9">
        <f t="shared" si="131"/>
        <v>1.2114319745856642E-2</v>
      </c>
    </row>
    <row r="2788" spans="1:7" x14ac:dyDescent="0.2">
      <c r="A2788" s="11">
        <v>39120</v>
      </c>
      <c r="B2788" s="10">
        <v>394.55770000000001</v>
      </c>
      <c r="C2788" s="10">
        <v>396.08920000000001</v>
      </c>
      <c r="D2788" s="10">
        <v>392.99509999999998</v>
      </c>
      <c r="E2788" s="13">
        <f t="shared" si="129"/>
        <v>-4.536622647416179E-5</v>
      </c>
      <c r="F2788" s="9">
        <f t="shared" si="130"/>
        <v>6.7970332070386955E-2</v>
      </c>
      <c r="G2788" s="9">
        <f t="shared" si="131"/>
        <v>1.211683725422625E-2</v>
      </c>
    </row>
    <row r="2789" spans="1:7" x14ac:dyDescent="0.2">
      <c r="A2789" s="11">
        <v>39121</v>
      </c>
      <c r="B2789" s="10">
        <v>390.41739999999999</v>
      </c>
      <c r="C2789" s="10">
        <v>394.81479999999999</v>
      </c>
      <c r="D2789" s="10">
        <v>389.53390000000002</v>
      </c>
      <c r="E2789" s="13">
        <f t="shared" si="129"/>
        <v>-1.0548967462935694E-2</v>
      </c>
      <c r="F2789" s="9">
        <f t="shared" si="130"/>
        <v>4.7962956193785738E-2</v>
      </c>
      <c r="G2789" s="9">
        <f t="shared" si="131"/>
        <v>1.2265951079150173E-2</v>
      </c>
    </row>
    <row r="2790" spans="1:7" x14ac:dyDescent="0.2">
      <c r="A2790" s="11">
        <v>39122</v>
      </c>
      <c r="B2790" s="10">
        <v>395.36</v>
      </c>
      <c r="C2790" s="10">
        <v>395.62139999999999</v>
      </c>
      <c r="D2790" s="10">
        <v>390.41739999999999</v>
      </c>
      <c r="E2790" s="13">
        <f t="shared" si="129"/>
        <v>1.2580319022429686E-2</v>
      </c>
      <c r="F2790" s="9">
        <f t="shared" si="130"/>
        <v>6.2598679848492211E-2</v>
      </c>
      <c r="G2790" s="9">
        <f t="shared" si="131"/>
        <v>1.240814974497377E-2</v>
      </c>
    </row>
    <row r="2791" spans="1:7" x14ac:dyDescent="0.2">
      <c r="A2791" s="11">
        <v>39125</v>
      </c>
      <c r="B2791" s="10">
        <v>389.9572</v>
      </c>
      <c r="C2791" s="10">
        <v>395.36</v>
      </c>
      <c r="D2791" s="10">
        <v>389.81560000000002</v>
      </c>
      <c r="E2791" s="13">
        <f t="shared" si="129"/>
        <v>-1.3759752728619862E-2</v>
      </c>
      <c r="F2791" s="9">
        <f t="shared" si="130"/>
        <v>3.5055199283439038E-2</v>
      </c>
      <c r="G2791" s="9">
        <f t="shared" si="131"/>
        <v>1.2539978805660257E-2</v>
      </c>
    </row>
    <row r="2792" spans="1:7" x14ac:dyDescent="0.2">
      <c r="A2792" s="11">
        <v>39126</v>
      </c>
      <c r="B2792" s="10">
        <v>393.64909999999998</v>
      </c>
      <c r="C2792" s="10">
        <v>393.7672</v>
      </c>
      <c r="D2792" s="10">
        <v>389.64389999999997</v>
      </c>
      <c r="E2792" s="13">
        <f t="shared" si="129"/>
        <v>9.4229138212504077E-3</v>
      </c>
      <c r="F2792" s="9">
        <f t="shared" si="130"/>
        <v>5.9107178221212961E-2</v>
      </c>
      <c r="G2792" s="9">
        <f t="shared" si="131"/>
        <v>1.2247033774802107E-2</v>
      </c>
    </row>
    <row r="2793" spans="1:7" x14ac:dyDescent="0.2">
      <c r="A2793" s="11">
        <v>39127</v>
      </c>
      <c r="B2793" s="10">
        <v>397.84410000000003</v>
      </c>
      <c r="C2793" s="10">
        <v>398.55779999999999</v>
      </c>
      <c r="D2793" s="10">
        <v>393.57929999999999</v>
      </c>
      <c r="E2793" s="13">
        <f t="shared" si="129"/>
        <v>1.0600316670962531E-2</v>
      </c>
      <c r="F2793" s="9">
        <f t="shared" si="130"/>
        <v>9.6935200780325165E-2</v>
      </c>
      <c r="G2793" s="9">
        <f t="shared" si="131"/>
        <v>1.0966165836988621E-2</v>
      </c>
    </row>
    <row r="2794" spans="1:7" x14ac:dyDescent="0.2">
      <c r="A2794" s="11">
        <v>39128</v>
      </c>
      <c r="B2794" s="10">
        <v>389.39240000000001</v>
      </c>
      <c r="C2794" s="10">
        <v>397.84410000000003</v>
      </c>
      <c r="D2794" s="10">
        <v>389.39240000000001</v>
      </c>
      <c r="E2794" s="13">
        <f t="shared" si="129"/>
        <v>-2.1472644462214779E-2</v>
      </c>
      <c r="F2794" s="9">
        <f t="shared" si="130"/>
        <v>7.692836512058121E-2</v>
      </c>
      <c r="G2794" s="9">
        <f t="shared" si="131"/>
        <v>1.1871428730169487E-2</v>
      </c>
    </row>
    <row r="2795" spans="1:7" x14ac:dyDescent="0.2">
      <c r="A2795" s="11">
        <v>39129</v>
      </c>
      <c r="B2795" s="10">
        <v>387.80040000000002</v>
      </c>
      <c r="C2795" s="10">
        <v>391.99759999999998</v>
      </c>
      <c r="D2795" s="10">
        <v>385.99950000000001</v>
      </c>
      <c r="E2795" s="13">
        <f t="shared" si="129"/>
        <v>-4.0968012741435635E-3</v>
      </c>
      <c r="F2795" s="9">
        <f t="shared" si="130"/>
        <v>5.9702584720541151E-2</v>
      </c>
      <c r="G2795" s="9">
        <f t="shared" si="131"/>
        <v>1.1758939456620624E-2</v>
      </c>
    </row>
    <row r="2796" spans="1:7" x14ac:dyDescent="0.2">
      <c r="A2796" s="11">
        <v>39132</v>
      </c>
      <c r="B2796" s="10">
        <v>390.59550000000002</v>
      </c>
      <c r="C2796" s="10">
        <v>391.03530000000001</v>
      </c>
      <c r="D2796" s="10">
        <v>385.10070000000002</v>
      </c>
      <c r="E2796" s="13">
        <f t="shared" si="129"/>
        <v>7.18172337135254E-3</v>
      </c>
      <c r="F2796" s="9">
        <f t="shared" si="130"/>
        <v>8.3774787214835028E-2</v>
      </c>
      <c r="G2796" s="9">
        <f t="shared" si="131"/>
        <v>1.1210368526642939E-2</v>
      </c>
    </row>
    <row r="2797" spans="1:7" x14ac:dyDescent="0.2">
      <c r="A2797" s="11">
        <v>39133</v>
      </c>
      <c r="B2797" s="10">
        <v>385.46600000000001</v>
      </c>
      <c r="C2797" s="10">
        <v>391.35180000000003</v>
      </c>
      <c r="D2797" s="10">
        <v>384.08080000000001</v>
      </c>
      <c r="E2797" s="13">
        <f t="shared" si="129"/>
        <v>-1.321950567166295E-2</v>
      </c>
      <c r="F2797" s="9">
        <f t="shared" si="130"/>
        <v>8.4284142696091732E-2</v>
      </c>
      <c r="G2797" s="9">
        <f t="shared" si="131"/>
        <v>1.1183770236527567E-2</v>
      </c>
    </row>
    <row r="2798" spans="1:7" x14ac:dyDescent="0.2">
      <c r="A2798" s="11">
        <v>39134</v>
      </c>
      <c r="B2798" s="10">
        <v>384.72140000000002</v>
      </c>
      <c r="C2798" s="10">
        <v>388.12099999999998</v>
      </c>
      <c r="D2798" s="10">
        <v>382.8766</v>
      </c>
      <c r="E2798" s="13">
        <f t="shared" si="129"/>
        <v>-1.9335559942489737E-3</v>
      </c>
      <c r="F2798" s="9">
        <f t="shared" si="130"/>
        <v>6.1002027766554015E-2</v>
      </c>
      <c r="G2798" s="9">
        <f t="shared" si="131"/>
        <v>1.0634791386209182E-2</v>
      </c>
    </row>
    <row r="2799" spans="1:7" x14ac:dyDescent="0.2">
      <c r="A2799" s="11">
        <v>39135</v>
      </c>
      <c r="B2799" s="10">
        <v>384.43889999999999</v>
      </c>
      <c r="C2799" s="10">
        <v>387.18509999999998</v>
      </c>
      <c r="D2799" s="10">
        <v>383.90379999999999</v>
      </c>
      <c r="E2799" s="13">
        <f t="shared" si="129"/>
        <v>-7.3456732674021343E-4</v>
      </c>
      <c r="F2799" s="9">
        <f t="shared" si="130"/>
        <v>5.8501944993797531E-2</v>
      </c>
      <c r="G2799" s="9">
        <f t="shared" si="131"/>
        <v>1.0647754644702826E-2</v>
      </c>
    </row>
    <row r="2800" spans="1:7" x14ac:dyDescent="0.2">
      <c r="A2800" s="11">
        <v>39136</v>
      </c>
      <c r="B2800" s="10">
        <v>386.6936</v>
      </c>
      <c r="C2800" s="10">
        <v>388.35419999999999</v>
      </c>
      <c r="D2800" s="10">
        <v>384.43889999999999</v>
      </c>
      <c r="E2800" s="13">
        <f t="shared" si="129"/>
        <v>5.8477795326705804E-3</v>
      </c>
      <c r="F2800" s="9">
        <f t="shared" si="130"/>
        <v>3.5320449559370422E-2</v>
      </c>
      <c r="G2800" s="9">
        <f t="shared" si="131"/>
        <v>9.3369212964063541E-3</v>
      </c>
    </row>
    <row r="2801" spans="1:7" x14ac:dyDescent="0.2">
      <c r="A2801" s="11">
        <v>39139</v>
      </c>
      <c r="B2801" s="10">
        <v>390.41320000000002</v>
      </c>
      <c r="C2801" s="10">
        <v>390.7561</v>
      </c>
      <c r="D2801" s="10">
        <v>386.6936</v>
      </c>
      <c r="E2801" s="13">
        <f t="shared" si="129"/>
        <v>9.5730172638467427E-3</v>
      </c>
      <c r="F2801" s="9">
        <f t="shared" si="130"/>
        <v>4.8410740794162535E-2</v>
      </c>
      <c r="G2801" s="9">
        <f t="shared" si="131"/>
        <v>9.4159114113558078E-3</v>
      </c>
    </row>
    <row r="2802" spans="1:7" x14ac:dyDescent="0.2">
      <c r="A2802" s="11">
        <v>39140</v>
      </c>
      <c r="B2802" s="10">
        <v>375.97329999999999</v>
      </c>
      <c r="C2802" s="10">
        <v>390.41320000000002</v>
      </c>
      <c r="D2802" s="10">
        <v>373.1703</v>
      </c>
      <c r="E2802" s="13">
        <f t="shared" si="129"/>
        <v>-3.7687535212530307E-2</v>
      </c>
      <c r="F2802" s="9">
        <f t="shared" si="130"/>
        <v>2.0301867125372446E-2</v>
      </c>
      <c r="G2802" s="9">
        <f t="shared" si="131"/>
        <v>1.1768091819703468E-2</v>
      </c>
    </row>
    <row r="2803" spans="1:7" x14ac:dyDescent="0.2">
      <c r="A2803" s="11">
        <v>39141</v>
      </c>
      <c r="B2803" s="10">
        <v>369.55529999999999</v>
      </c>
      <c r="C2803" s="10">
        <v>375.97329999999999</v>
      </c>
      <c r="D2803" s="10">
        <v>365.12150000000003</v>
      </c>
      <c r="E2803" s="13">
        <f t="shared" si="129"/>
        <v>-1.7217739335154386E-2</v>
      </c>
      <c r="F2803" s="9">
        <f t="shared" si="130"/>
        <v>-4.3212602226609161E-3</v>
      </c>
      <c r="G2803" s="9">
        <f t="shared" si="131"/>
        <v>1.2149137338414318E-2</v>
      </c>
    </row>
    <row r="2804" spans="1:7" x14ac:dyDescent="0.2">
      <c r="A2804" s="11">
        <v>39142</v>
      </c>
      <c r="B2804" s="10">
        <v>364.64260000000002</v>
      </c>
      <c r="C2804" s="10">
        <v>377.34949999999998</v>
      </c>
      <c r="D2804" s="10">
        <v>360.10730000000001</v>
      </c>
      <c r="E2804" s="13">
        <f t="shared" si="129"/>
        <v>-1.3382695102798076E-2</v>
      </c>
      <c r="F2804" s="9">
        <f t="shared" si="130"/>
        <v>-3.2338939538587845E-2</v>
      </c>
      <c r="G2804" s="9">
        <f t="shared" si="131"/>
        <v>1.2045061861657951E-2</v>
      </c>
    </row>
    <row r="2805" spans="1:7" x14ac:dyDescent="0.2">
      <c r="A2805" s="11">
        <v>39143</v>
      </c>
      <c r="B2805" s="10">
        <v>367.86250000000001</v>
      </c>
      <c r="C2805" s="10">
        <v>370.8965</v>
      </c>
      <c r="D2805" s="10">
        <v>363.94119999999998</v>
      </c>
      <c r="E2805" s="13">
        <f t="shared" si="129"/>
        <v>8.7915312510089584E-3</v>
      </c>
      <c r="F2805" s="9">
        <f t="shared" si="130"/>
        <v>-3.484024809461711E-2</v>
      </c>
      <c r="G2805" s="9">
        <f t="shared" si="131"/>
        <v>1.1961705082235983E-2</v>
      </c>
    </row>
    <row r="2806" spans="1:7" x14ac:dyDescent="0.2">
      <c r="A2806" s="11">
        <v>39146</v>
      </c>
      <c r="B2806" s="10">
        <v>361.71319999999997</v>
      </c>
      <c r="C2806" s="10">
        <v>367.86250000000001</v>
      </c>
      <c r="D2806" s="10">
        <v>354.50029999999998</v>
      </c>
      <c r="E2806" s="13">
        <f t="shared" si="129"/>
        <v>-1.6857594418808467E-2</v>
      </c>
      <c r="F2806" s="9">
        <f t="shared" si="130"/>
        <v>-5.1328653268236435E-2</v>
      </c>
      <c r="G2806" s="9">
        <f t="shared" si="131"/>
        <v>1.2307599836841697E-2</v>
      </c>
    </row>
    <row r="2807" spans="1:7" x14ac:dyDescent="0.2">
      <c r="A2807" s="11">
        <v>39147</v>
      </c>
      <c r="B2807" s="10">
        <v>365.54860000000002</v>
      </c>
      <c r="C2807" s="10">
        <v>366.62270000000001</v>
      </c>
      <c r="D2807" s="10">
        <v>361.71319999999997</v>
      </c>
      <c r="E2807" s="13">
        <f t="shared" si="129"/>
        <v>1.0547606262082882E-2</v>
      </c>
      <c r="F2807" s="9">
        <f t="shared" si="130"/>
        <v>-5.6699561252627505E-2</v>
      </c>
      <c r="G2807" s="9">
        <f t="shared" si="131"/>
        <v>1.2070036778392258E-2</v>
      </c>
    </row>
    <row r="2808" spans="1:7" x14ac:dyDescent="0.2">
      <c r="A2808" s="11">
        <v>39148</v>
      </c>
      <c r="B2808" s="10">
        <v>365.9769</v>
      </c>
      <c r="C2808" s="10">
        <v>369.31979999999999</v>
      </c>
      <c r="D2808" s="10">
        <v>364.55110000000002</v>
      </c>
      <c r="E2808" s="13">
        <f t="shared" si="129"/>
        <v>1.1709777688953182E-3</v>
      </c>
      <c r="F2808" s="9">
        <f t="shared" si="130"/>
        <v>-4.5754808789595744E-2</v>
      </c>
      <c r="G2808" s="9">
        <f t="shared" si="131"/>
        <v>1.1987662399234046E-2</v>
      </c>
    </row>
    <row r="2809" spans="1:7" x14ac:dyDescent="0.2">
      <c r="A2809" s="11">
        <v>39149</v>
      </c>
      <c r="B2809" s="10">
        <v>374.25790000000001</v>
      </c>
      <c r="C2809" s="10">
        <v>375.7337</v>
      </c>
      <c r="D2809" s="10">
        <v>365.9769</v>
      </c>
      <c r="E2809" s="13">
        <f t="shared" si="129"/>
        <v>2.2374915305935834E-2</v>
      </c>
      <c r="F2809" s="9">
        <f t="shared" si="130"/>
        <v>-2.8538692886746642E-2</v>
      </c>
      <c r="G2809" s="9">
        <f t="shared" si="131"/>
        <v>1.2736115740684052E-2</v>
      </c>
    </row>
    <row r="2810" spans="1:7" x14ac:dyDescent="0.2">
      <c r="A2810" s="11">
        <v>39150</v>
      </c>
      <c r="B2810" s="10">
        <v>372.22840000000002</v>
      </c>
      <c r="C2810" s="10">
        <v>375.8947</v>
      </c>
      <c r="D2810" s="10">
        <v>369.6943</v>
      </c>
      <c r="E2810" s="13">
        <f t="shared" si="129"/>
        <v>-5.437487601294636E-3</v>
      </c>
      <c r="F2810" s="9">
        <f t="shared" si="130"/>
        <v>-4.0545437886299523E-2</v>
      </c>
      <c r="G2810" s="9">
        <f t="shared" si="131"/>
        <v>1.2676821593880352E-2</v>
      </c>
    </row>
    <row r="2811" spans="1:7" x14ac:dyDescent="0.2">
      <c r="A2811" s="11">
        <v>39153</v>
      </c>
      <c r="B2811" s="10">
        <v>371.29969999999997</v>
      </c>
      <c r="C2811" s="10">
        <v>374.86759999999998</v>
      </c>
      <c r="D2811" s="10">
        <v>369.46140000000003</v>
      </c>
      <c r="E2811" s="13">
        <f t="shared" si="129"/>
        <v>-2.4980911493716522E-3</v>
      </c>
      <c r="F2811" s="9">
        <f t="shared" si="130"/>
        <v>-3.7626317541456074E-2</v>
      </c>
      <c r="G2811" s="9">
        <f t="shared" si="131"/>
        <v>1.2655339859949096E-2</v>
      </c>
    </row>
    <row r="2812" spans="1:7" x14ac:dyDescent="0.2">
      <c r="A2812" s="11">
        <v>39154</v>
      </c>
      <c r="B2812" s="10">
        <v>370.20409999999998</v>
      </c>
      <c r="C2812" s="10">
        <v>373.608</v>
      </c>
      <c r="D2812" s="10">
        <v>368.41140000000001</v>
      </c>
      <c r="E2812" s="13">
        <f t="shared" si="129"/>
        <v>-2.955078038105457E-3</v>
      </c>
      <c r="F2812" s="9">
        <f t="shared" si="130"/>
        <v>-4.4658806702358764E-2</v>
      </c>
      <c r="G2812" s="9">
        <f t="shared" si="131"/>
        <v>1.2615985675856657E-2</v>
      </c>
    </row>
    <row r="2813" spans="1:7" x14ac:dyDescent="0.2">
      <c r="A2813" s="11">
        <v>39155</v>
      </c>
      <c r="B2813" s="10">
        <v>363.42559999999997</v>
      </c>
      <c r="C2813" s="10">
        <v>370.20409999999998</v>
      </c>
      <c r="D2813" s="10">
        <v>359.14940000000001</v>
      </c>
      <c r="E2813" s="13">
        <f t="shared" si="129"/>
        <v>-1.8479875901966203E-2</v>
      </c>
      <c r="F2813" s="9">
        <f t="shared" si="130"/>
        <v>-7.117785380720261E-2</v>
      </c>
      <c r="G2813" s="9">
        <f t="shared" si="131"/>
        <v>1.2855678796797514E-2</v>
      </c>
    </row>
    <row r="2814" spans="1:7" x14ac:dyDescent="0.2">
      <c r="A2814" s="11">
        <v>39156</v>
      </c>
      <c r="B2814" s="10">
        <v>366.64870000000002</v>
      </c>
      <c r="C2814" s="10">
        <v>368.49720000000002</v>
      </c>
      <c r="D2814" s="10">
        <v>363.17790000000002</v>
      </c>
      <c r="E2814" s="13">
        <f t="shared" si="129"/>
        <v>8.8295696471671903E-3</v>
      </c>
      <c r="F2814" s="9">
        <f t="shared" si="130"/>
        <v>-6.8633134620012054E-2</v>
      </c>
      <c r="G2814" s="9">
        <f t="shared" si="131"/>
        <v>1.2925953385221517E-2</v>
      </c>
    </row>
    <row r="2815" spans="1:7" x14ac:dyDescent="0.2">
      <c r="A2815" s="11">
        <v>39157</v>
      </c>
      <c r="B2815" s="10">
        <v>368.13510000000002</v>
      </c>
      <c r="C2815" s="10">
        <v>369.21019999999999</v>
      </c>
      <c r="D2815" s="10">
        <v>363.64980000000003</v>
      </c>
      <c r="E2815" s="13">
        <f t="shared" si="129"/>
        <v>4.0458214444361769E-3</v>
      </c>
      <c r="F2815" s="9">
        <f t="shared" si="130"/>
        <v>-6.6581266851883592E-2</v>
      </c>
      <c r="G2815" s="9">
        <f t="shared" si="131"/>
        <v>1.2956255209600637E-2</v>
      </c>
    </row>
    <row r="2816" spans="1:7" x14ac:dyDescent="0.2">
      <c r="A2816" s="11">
        <v>39160</v>
      </c>
      <c r="B2816" s="10">
        <v>375.11599999999999</v>
      </c>
      <c r="C2816" s="10">
        <v>375.96949999999998</v>
      </c>
      <c r="D2816" s="10">
        <v>368.13510000000002</v>
      </c>
      <c r="E2816" s="13">
        <f t="shared" si="129"/>
        <v>1.878532110780325E-2</v>
      </c>
      <c r="F2816" s="9">
        <f t="shared" si="130"/>
        <v>-5.057544543722748E-2</v>
      </c>
      <c r="G2816" s="9">
        <f t="shared" si="131"/>
        <v>1.3509298052110734E-2</v>
      </c>
    </row>
    <row r="2817" spans="1:7" x14ac:dyDescent="0.2">
      <c r="A2817" s="11">
        <v>39161</v>
      </c>
      <c r="B2817" s="10">
        <v>377.8125</v>
      </c>
      <c r="C2817" s="10">
        <v>378.73180000000002</v>
      </c>
      <c r="D2817" s="10">
        <v>374.1823</v>
      </c>
      <c r="E2817" s="13">
        <f t="shared" si="129"/>
        <v>7.1627293390591172E-3</v>
      </c>
      <c r="F2817" s="9">
        <f t="shared" si="130"/>
        <v>-4.3367349871694126E-2</v>
      </c>
      <c r="G2817" s="9">
        <f t="shared" si="131"/>
        <v>1.3607619103848029E-2</v>
      </c>
    </row>
    <row r="2818" spans="1:7" x14ac:dyDescent="0.2">
      <c r="A2818" s="11">
        <v>39162</v>
      </c>
      <c r="B2818" s="10">
        <v>381.69060000000002</v>
      </c>
      <c r="C2818" s="10">
        <v>381.91849999999999</v>
      </c>
      <c r="D2818" s="10">
        <v>377.02569999999997</v>
      </c>
      <c r="E2818" s="13">
        <f t="shared" si="129"/>
        <v>1.0212291968671162E-2</v>
      </c>
      <c r="F2818" s="9">
        <f t="shared" si="130"/>
        <v>-2.2606090440087396E-2</v>
      </c>
      <c r="G2818" s="9">
        <f t="shared" si="131"/>
        <v>1.3660324818675641E-2</v>
      </c>
    </row>
    <row r="2819" spans="1:7" x14ac:dyDescent="0.2">
      <c r="A2819" s="11">
        <v>39163</v>
      </c>
      <c r="B2819" s="10">
        <v>383.02030000000002</v>
      </c>
      <c r="C2819" s="10">
        <v>385.2167</v>
      </c>
      <c r="D2819" s="10">
        <v>380.53829999999999</v>
      </c>
      <c r="E2819" s="13">
        <f t="shared" si="129"/>
        <v>3.4776576092404197E-3</v>
      </c>
      <c r="F2819" s="9">
        <f t="shared" si="130"/>
        <v>-3.1708751853276623E-2</v>
      </c>
      <c r="G2819" s="9">
        <f t="shared" si="131"/>
        <v>1.3445267813878789E-2</v>
      </c>
    </row>
    <row r="2820" spans="1:7" x14ac:dyDescent="0.2">
      <c r="A2820" s="11">
        <v>39164</v>
      </c>
      <c r="B2820" s="10">
        <v>386.90499999999997</v>
      </c>
      <c r="C2820" s="10">
        <v>386.94810000000001</v>
      </c>
      <c r="D2820" s="10">
        <v>382.3895</v>
      </c>
      <c r="E2820" s="13">
        <f t="shared" ref="E2820:E2883" si="132">LN(B2820/B2819)</f>
        <v>1.0091194471917805E-2</v>
      </c>
      <c r="F2820" s="9">
        <f t="shared" si="130"/>
        <v>-7.8578046527389318E-3</v>
      </c>
      <c r="G2820" s="9">
        <f t="shared" si="131"/>
        <v>1.3372077957570614E-2</v>
      </c>
    </row>
    <row r="2821" spans="1:7" x14ac:dyDescent="0.2">
      <c r="A2821" s="11">
        <v>39167</v>
      </c>
      <c r="B2821" s="10">
        <v>384.36930000000001</v>
      </c>
      <c r="C2821" s="10">
        <v>390.29340000000002</v>
      </c>
      <c r="D2821" s="10">
        <v>384.33499999999998</v>
      </c>
      <c r="E2821" s="13">
        <f t="shared" si="132"/>
        <v>-6.5753756764062327E-3</v>
      </c>
      <c r="F2821" s="9">
        <f t="shared" si="130"/>
        <v>-2.3856094150395503E-2</v>
      </c>
      <c r="G2821" s="9">
        <f t="shared" si="131"/>
        <v>1.3287612298672152E-2</v>
      </c>
    </row>
    <row r="2822" spans="1:7" x14ac:dyDescent="0.2">
      <c r="A2822" s="11">
        <v>39168</v>
      </c>
      <c r="B2822" s="10">
        <v>380.51369999999997</v>
      </c>
      <c r="C2822" s="10">
        <v>387.73630000000003</v>
      </c>
      <c r="D2822" s="10">
        <v>380.51369999999997</v>
      </c>
      <c r="E2822" s="13">
        <f t="shared" si="132"/>
        <v>-1.0081627272726459E-2</v>
      </c>
      <c r="F2822" s="9">
        <f t="shared" si="130"/>
        <v>-4.4538038094084527E-2</v>
      </c>
      <c r="G2822" s="9">
        <f t="shared" si="131"/>
        <v>1.3207402896480206E-2</v>
      </c>
    </row>
    <row r="2823" spans="1:7" x14ac:dyDescent="0.2">
      <c r="A2823" s="11">
        <v>39169</v>
      </c>
      <c r="B2823" s="10">
        <v>384.41079999999999</v>
      </c>
      <c r="C2823" s="10">
        <v>384.76240000000001</v>
      </c>
      <c r="D2823" s="10">
        <v>380.51369999999997</v>
      </c>
      <c r="E2823" s="13">
        <f t="shared" si="132"/>
        <v>1.0189590525261867E-2</v>
      </c>
      <c r="F2823" s="9">
        <f t="shared" si="130"/>
        <v>-1.2875803106607825E-2</v>
      </c>
      <c r="G2823" s="9">
        <f t="shared" si="131"/>
        <v>1.2802945464006676E-2</v>
      </c>
    </row>
    <row r="2824" spans="1:7" x14ac:dyDescent="0.2">
      <c r="A2824" s="11">
        <v>39170</v>
      </c>
      <c r="B2824" s="10">
        <v>386.97149999999999</v>
      </c>
      <c r="C2824" s="10">
        <v>388.58120000000002</v>
      </c>
      <c r="D2824" s="10">
        <v>383.75760000000002</v>
      </c>
      <c r="E2824" s="13">
        <f t="shared" si="132"/>
        <v>6.6392744720494418E-3</v>
      </c>
      <c r="F2824" s="9">
        <f t="shared" si="130"/>
        <v>-2.1397273604148279E-3</v>
      </c>
      <c r="G2824" s="9">
        <f t="shared" si="131"/>
        <v>1.2848688966625716E-2</v>
      </c>
    </row>
    <row r="2825" spans="1:7" x14ac:dyDescent="0.2">
      <c r="A2825" s="11">
        <v>39171</v>
      </c>
      <c r="B2825" s="10">
        <v>386.15609999999998</v>
      </c>
      <c r="C2825" s="10">
        <v>389.72050000000002</v>
      </c>
      <c r="D2825" s="10">
        <v>386.0677</v>
      </c>
      <c r="E2825" s="13">
        <f t="shared" si="132"/>
        <v>-2.1093550465285499E-3</v>
      </c>
      <c r="F2825" s="9">
        <f t="shared" si="130"/>
        <v>-1.1430805778295878E-2</v>
      </c>
      <c r="G2825" s="9">
        <f t="shared" si="131"/>
        <v>1.2776947855270716E-2</v>
      </c>
    </row>
    <row r="2826" spans="1:7" x14ac:dyDescent="0.2">
      <c r="A2826" s="11">
        <v>39174</v>
      </c>
      <c r="B2826" s="10">
        <v>387.24029999999999</v>
      </c>
      <c r="C2826" s="10">
        <v>388.93810000000002</v>
      </c>
      <c r="D2826" s="10">
        <v>384.68380000000002</v>
      </c>
      <c r="E2826" s="13">
        <f t="shared" si="132"/>
        <v>2.8037387043352859E-3</v>
      </c>
      <c r="F2826" s="9">
        <f t="shared" si="130"/>
        <v>4.5924385977023962E-3</v>
      </c>
      <c r="G2826" s="9">
        <f t="shared" si="131"/>
        <v>1.2546904990889021E-2</v>
      </c>
    </row>
    <row r="2827" spans="1:7" x14ac:dyDescent="0.2">
      <c r="A2827" s="11">
        <v>39175</v>
      </c>
      <c r="B2827" s="10">
        <v>389.6062</v>
      </c>
      <c r="C2827" s="10">
        <v>390.01560000000001</v>
      </c>
      <c r="D2827" s="10">
        <v>387.24029999999999</v>
      </c>
      <c r="E2827" s="13">
        <f t="shared" si="132"/>
        <v>6.0910548345311007E-3</v>
      </c>
      <c r="F2827" s="9">
        <f t="shared" si="130"/>
        <v>1.2617049426482398E-2</v>
      </c>
      <c r="G2827" s="9">
        <f t="shared" si="131"/>
        <v>1.2587543951170031E-2</v>
      </c>
    </row>
    <row r="2828" spans="1:7" x14ac:dyDescent="0.2">
      <c r="A2828" s="11">
        <v>39176</v>
      </c>
      <c r="B2828" s="10">
        <v>389.55520000000001</v>
      </c>
      <c r="C2828" s="10">
        <v>390.90530000000001</v>
      </c>
      <c r="D2828" s="10">
        <v>389</v>
      </c>
      <c r="E2828" s="13">
        <f t="shared" si="132"/>
        <v>-1.3090997596339939E-4</v>
      </c>
      <c r="F2828" s="9">
        <f t="shared" si="130"/>
        <v>1.3220706777259179E-2</v>
      </c>
      <c r="G2828" s="9">
        <f t="shared" si="131"/>
        <v>1.2586039703475847E-2</v>
      </c>
    </row>
    <row r="2829" spans="1:7" x14ac:dyDescent="0.2">
      <c r="A2829" s="11">
        <v>39182</v>
      </c>
      <c r="B2829" s="10">
        <v>392.37009999999998</v>
      </c>
      <c r="C2829" s="10">
        <v>392.41930000000002</v>
      </c>
      <c r="D2829" s="10">
        <v>388.14350000000002</v>
      </c>
      <c r="E2829" s="13">
        <f t="shared" si="132"/>
        <v>7.1999516071267556E-3</v>
      </c>
      <c r="F2829" s="9">
        <f t="shared" si="130"/>
        <v>1.4572878851715479E-2</v>
      </c>
      <c r="G2829" s="9">
        <f t="shared" si="131"/>
        <v>1.2609211383980549E-2</v>
      </c>
    </row>
    <row r="2830" spans="1:7" x14ac:dyDescent="0.2">
      <c r="A2830" s="11">
        <v>39183</v>
      </c>
      <c r="B2830" s="10">
        <v>390.66340000000002</v>
      </c>
      <c r="C2830" s="10">
        <v>394.5829</v>
      </c>
      <c r="D2830" s="10">
        <v>390.5224</v>
      </c>
      <c r="E2830" s="13">
        <f t="shared" si="132"/>
        <v>-4.3592073714764958E-3</v>
      </c>
      <c r="F2830" s="9">
        <f t="shared" si="130"/>
        <v>6.4065421639220412E-4</v>
      </c>
      <c r="G2830" s="9">
        <f t="shared" si="131"/>
        <v>1.2516347691079047E-2</v>
      </c>
    </row>
    <row r="2831" spans="1:7" x14ac:dyDescent="0.2">
      <c r="A2831" s="11">
        <v>39184</v>
      </c>
      <c r="B2831" s="10">
        <v>386.89019999999999</v>
      </c>
      <c r="C2831" s="10">
        <v>390.66340000000002</v>
      </c>
      <c r="D2831" s="10">
        <v>385.8152</v>
      </c>
      <c r="E2831" s="13">
        <f t="shared" si="132"/>
        <v>-9.7053878159928976E-3</v>
      </c>
      <c r="F2831" s="9">
        <f t="shared" si="130"/>
        <v>2.8622801612929641E-2</v>
      </c>
      <c r="G2831" s="9">
        <f t="shared" si="131"/>
        <v>1.0406143021891504E-2</v>
      </c>
    </row>
    <row r="2832" spans="1:7" x14ac:dyDescent="0.2">
      <c r="A2832" s="11">
        <v>39185</v>
      </c>
      <c r="B2832" s="10">
        <v>390.17529999999999</v>
      </c>
      <c r="C2832" s="10">
        <v>391.80860000000001</v>
      </c>
      <c r="D2832" s="10">
        <v>386.89019999999999</v>
      </c>
      <c r="E2832" s="13">
        <f t="shared" si="132"/>
        <v>8.4551934709265128E-3</v>
      </c>
      <c r="F2832" s="9">
        <f t="shared" si="130"/>
        <v>5.4295734419010644E-2</v>
      </c>
      <c r="G2832" s="9">
        <f t="shared" si="131"/>
        <v>9.8808850728726531E-3</v>
      </c>
    </row>
    <row r="2833" spans="1:7" x14ac:dyDescent="0.2">
      <c r="A2833" s="11">
        <v>39188</v>
      </c>
      <c r="B2833" s="10">
        <v>393.9957</v>
      </c>
      <c r="C2833" s="10">
        <v>394.48329999999999</v>
      </c>
      <c r="D2833" s="10">
        <v>390.17529999999999</v>
      </c>
      <c r="E2833" s="13">
        <f t="shared" si="132"/>
        <v>9.7438702187170913E-3</v>
      </c>
      <c r="F2833" s="9">
        <f t="shared" si="130"/>
        <v>7.7422299740525738E-2</v>
      </c>
      <c r="G2833" s="9">
        <f t="shared" si="131"/>
        <v>9.5328351852692131E-3</v>
      </c>
    </row>
    <row r="2834" spans="1:7" x14ac:dyDescent="0.2">
      <c r="A2834" s="11">
        <v>39189</v>
      </c>
      <c r="B2834" s="10">
        <v>394.108</v>
      </c>
      <c r="C2834" s="10">
        <v>395.26010000000002</v>
      </c>
      <c r="D2834" s="10">
        <v>393.14210000000003</v>
      </c>
      <c r="E2834" s="13">
        <f t="shared" si="132"/>
        <v>2.8498787852432935E-4</v>
      </c>
      <c r="F2834" s="9">
        <f t="shared" si="130"/>
        <v>6.8915756368041092E-2</v>
      </c>
      <c r="G2834" s="9">
        <f t="shared" si="131"/>
        <v>9.468394626960237E-3</v>
      </c>
    </row>
    <row r="2835" spans="1:7" x14ac:dyDescent="0.2">
      <c r="A2835" s="11">
        <v>39190</v>
      </c>
      <c r="B2835" s="10">
        <v>389.16379999999998</v>
      </c>
      <c r="C2835" s="10">
        <v>394.108</v>
      </c>
      <c r="D2835" s="10">
        <v>388.565</v>
      </c>
      <c r="E2835" s="13">
        <f t="shared" si="132"/>
        <v>-1.2624648730530683E-2</v>
      </c>
      <c r="F2835" s="9">
        <f t="shared" si="130"/>
        <v>7.3148702056318862E-2</v>
      </c>
      <c r="G2835" s="9">
        <f t="shared" si="131"/>
        <v>9.1898253726168371E-3</v>
      </c>
    </row>
    <row r="2836" spans="1:7" x14ac:dyDescent="0.2">
      <c r="A2836" s="11">
        <v>39191</v>
      </c>
      <c r="B2836" s="10">
        <v>387.54329999999999</v>
      </c>
      <c r="C2836" s="10">
        <v>389.16379999999998</v>
      </c>
      <c r="D2836" s="10">
        <v>384.50080000000003</v>
      </c>
      <c r="E2836" s="13">
        <f t="shared" si="132"/>
        <v>-4.1727501945682151E-3</v>
      </c>
      <c r="F2836" s="9">
        <f t="shared" si="130"/>
        <v>5.8428345599667787E-2</v>
      </c>
      <c r="G2836" s="9">
        <f t="shared" si="131"/>
        <v>9.1371085782328311E-3</v>
      </c>
    </row>
    <row r="2837" spans="1:7" x14ac:dyDescent="0.2">
      <c r="A2837" s="11">
        <v>39192</v>
      </c>
      <c r="B2837" s="10">
        <v>393.97789999999998</v>
      </c>
      <c r="C2837" s="10">
        <v>394.37150000000003</v>
      </c>
      <c r="D2837" s="10">
        <v>387.54329999999999</v>
      </c>
      <c r="E2837" s="13">
        <f t="shared" si="132"/>
        <v>1.6467231867975194E-2</v>
      </c>
      <c r="F2837" s="9">
        <f t="shared" si="130"/>
        <v>7.3724599698747645E-2</v>
      </c>
      <c r="G2837" s="9">
        <f t="shared" si="131"/>
        <v>9.5201339729342766E-3</v>
      </c>
    </row>
    <row r="2838" spans="1:7" x14ac:dyDescent="0.2">
      <c r="A2838" s="11">
        <v>39195</v>
      </c>
      <c r="B2838" s="10">
        <v>398.03440000000001</v>
      </c>
      <c r="C2838" s="10">
        <v>398.53739999999999</v>
      </c>
      <c r="D2838" s="10">
        <v>393.97789999999998</v>
      </c>
      <c r="E2838" s="13">
        <f t="shared" si="132"/>
        <v>1.0243617356002179E-2</v>
      </c>
      <c r="F2838" s="9">
        <f t="shared" si="130"/>
        <v>6.159330174881382E-2</v>
      </c>
      <c r="G2838" s="9">
        <f t="shared" si="131"/>
        <v>8.8612796440308266E-3</v>
      </c>
    </row>
    <row r="2839" spans="1:7" x14ac:dyDescent="0.2">
      <c r="A2839" s="11">
        <v>39196</v>
      </c>
      <c r="B2839" s="10">
        <v>395.56880000000001</v>
      </c>
      <c r="C2839" s="10">
        <v>399.1524</v>
      </c>
      <c r="D2839" s="10">
        <v>394.96300000000002</v>
      </c>
      <c r="E2839" s="13">
        <f t="shared" si="132"/>
        <v>-6.2137046148215223E-3</v>
      </c>
      <c r="F2839" s="9">
        <f t="shared" si="130"/>
        <v>6.0817084735287012E-2</v>
      </c>
      <c r="G2839" s="9">
        <f t="shared" si="131"/>
        <v>8.8860726838264781E-3</v>
      </c>
    </row>
    <row r="2840" spans="1:7" x14ac:dyDescent="0.2">
      <c r="A2840" s="11">
        <v>39197</v>
      </c>
      <c r="B2840" s="10">
        <v>398.03089999999997</v>
      </c>
      <c r="C2840" s="10">
        <v>400.36430000000001</v>
      </c>
      <c r="D2840" s="10">
        <v>394.85640000000001</v>
      </c>
      <c r="E2840" s="13">
        <f t="shared" si="132"/>
        <v>6.2049113663279224E-3</v>
      </c>
      <c r="F2840" s="9">
        <f t="shared" si="130"/>
        <v>6.9520087250986448E-2</v>
      </c>
      <c r="G2840" s="9">
        <f t="shared" si="131"/>
        <v>8.8722880693567572E-3</v>
      </c>
    </row>
    <row r="2841" spans="1:7" x14ac:dyDescent="0.2">
      <c r="A2841" s="11">
        <v>39198</v>
      </c>
      <c r="B2841" s="10">
        <v>400.78899999999999</v>
      </c>
      <c r="C2841" s="10">
        <v>403.70569999999998</v>
      </c>
      <c r="D2841" s="10">
        <v>398.03089999999997</v>
      </c>
      <c r="E2841" s="13">
        <f t="shared" si="132"/>
        <v>6.9054638225466329E-3</v>
      </c>
      <c r="F2841" s="9">
        <f t="shared" si="130"/>
        <v>7.938062911163854E-2</v>
      </c>
      <c r="G2841" s="9">
        <f t="shared" si="131"/>
        <v>8.8487565612361627E-3</v>
      </c>
    </row>
    <row r="2842" spans="1:7" x14ac:dyDescent="0.2">
      <c r="A2842" s="11">
        <v>39199</v>
      </c>
      <c r="B2842" s="10">
        <v>396.90199999999999</v>
      </c>
      <c r="C2842" s="10">
        <v>401.02609999999999</v>
      </c>
      <c r="D2842" s="10">
        <v>395.65929999999997</v>
      </c>
      <c r="E2842" s="13">
        <f t="shared" si="132"/>
        <v>-9.7457054552688577E-3</v>
      </c>
      <c r="F2842" s="9">
        <f t="shared" si="130"/>
        <v>8.8114799558335816E-2</v>
      </c>
      <c r="G2842" s="9">
        <f t="shared" si="131"/>
        <v>8.2276553887912392E-3</v>
      </c>
    </row>
    <row r="2843" spans="1:7" x14ac:dyDescent="0.2">
      <c r="A2843" s="11">
        <v>39202</v>
      </c>
      <c r="B2843" s="10">
        <v>398.97199999999998</v>
      </c>
      <c r="C2843" s="10">
        <v>401.46030000000002</v>
      </c>
      <c r="D2843" s="10">
        <v>396.78269999999998</v>
      </c>
      <c r="E2843" s="13">
        <f t="shared" si="132"/>
        <v>5.201840159873951E-3</v>
      </c>
      <c r="F2843" s="9">
        <f t="shared" si="130"/>
        <v>8.4487070071042614E-2</v>
      </c>
      <c r="G2843" s="9">
        <f t="shared" si="131"/>
        <v>8.1637922067012824E-3</v>
      </c>
    </row>
    <row r="2844" spans="1:7" x14ac:dyDescent="0.2">
      <c r="A2844" s="11">
        <v>39204</v>
      </c>
      <c r="B2844" s="10">
        <v>404.25049999999999</v>
      </c>
      <c r="C2844" s="10">
        <v>404.2681</v>
      </c>
      <c r="D2844" s="10">
        <v>398.97199999999998</v>
      </c>
      <c r="E2844" s="13">
        <f t="shared" si="132"/>
        <v>1.3143496325975371E-2</v>
      </c>
      <c r="F2844" s="9">
        <f t="shared" si="130"/>
        <v>9.3584744952581581E-2</v>
      </c>
      <c r="G2844" s="9">
        <f t="shared" si="131"/>
        <v>8.3807804862628538E-3</v>
      </c>
    </row>
    <row r="2845" spans="1:7" x14ac:dyDescent="0.2">
      <c r="A2845" s="11">
        <v>39205</v>
      </c>
      <c r="B2845" s="10">
        <v>405.25319999999999</v>
      </c>
      <c r="C2845" s="10">
        <v>406.43529999999998</v>
      </c>
      <c r="D2845" s="10">
        <v>401.76479999999998</v>
      </c>
      <c r="E2845" s="13">
        <f t="shared" si="132"/>
        <v>2.4773216300497257E-3</v>
      </c>
      <c r="F2845" s="9">
        <f t="shared" si="130"/>
        <v>7.7276745474828129E-2</v>
      </c>
      <c r="G2845" s="9">
        <f t="shared" si="131"/>
        <v>7.8284768389055986E-3</v>
      </c>
    </row>
    <row r="2846" spans="1:7" x14ac:dyDescent="0.2">
      <c r="A2846" s="11">
        <v>39206</v>
      </c>
      <c r="B2846" s="10">
        <v>408.90449999999998</v>
      </c>
      <c r="C2846" s="10">
        <v>409.2312</v>
      </c>
      <c r="D2846" s="10">
        <v>405.25319999999999</v>
      </c>
      <c r="E2846" s="13">
        <f t="shared" si="132"/>
        <v>8.9695755008897763E-3</v>
      </c>
      <c r="F2846" s="9">
        <f t="shared" si="130"/>
        <v>7.9083591636658818E-2</v>
      </c>
      <c r="G2846" s="9">
        <f t="shared" si="131"/>
        <v>7.8726196976279025E-3</v>
      </c>
    </row>
    <row r="2847" spans="1:7" x14ac:dyDescent="0.2">
      <c r="A2847" s="11">
        <v>39209</v>
      </c>
      <c r="B2847" s="10">
        <v>410.8657</v>
      </c>
      <c r="C2847" s="10">
        <v>413.03410000000002</v>
      </c>
      <c r="D2847" s="10">
        <v>407.11329999999998</v>
      </c>
      <c r="E2847" s="13">
        <f t="shared" si="132"/>
        <v>4.7847646612107992E-3</v>
      </c>
      <c r="F2847" s="9">
        <f t="shared" si="130"/>
        <v>7.365606432919862E-2</v>
      </c>
      <c r="G2847" s="9">
        <f t="shared" si="131"/>
        <v>7.7519056905363424E-3</v>
      </c>
    </row>
    <row r="2848" spans="1:7" x14ac:dyDescent="0.2">
      <c r="A2848" s="11">
        <v>39210</v>
      </c>
      <c r="B2848" s="10">
        <v>400.29129999999998</v>
      </c>
      <c r="C2848" s="10">
        <v>411.5419</v>
      </c>
      <c r="D2848" s="10">
        <v>399.56659999999999</v>
      </c>
      <c r="E2848" s="13">
        <f t="shared" si="132"/>
        <v>-2.6073865044359056E-2</v>
      </c>
      <c r="F2848" s="9">
        <f t="shared" ref="F2848:F2911" si="133">LN(B2848/B2819)</f>
        <v>4.4104541675599122E-2</v>
      </c>
      <c r="G2848" s="9">
        <f t="shared" si="131"/>
        <v>9.3928728435587368E-3</v>
      </c>
    </row>
    <row r="2849" spans="1:7" x14ac:dyDescent="0.2">
      <c r="A2849" s="11">
        <v>39211</v>
      </c>
      <c r="B2849" s="10">
        <v>399.90039999999999</v>
      </c>
      <c r="C2849" s="10">
        <v>403.88290000000001</v>
      </c>
      <c r="D2849" s="10">
        <v>398.74520000000001</v>
      </c>
      <c r="E2849" s="13">
        <f t="shared" si="132"/>
        <v>-9.7701596028743E-4</v>
      </c>
      <c r="F2849" s="9">
        <f t="shared" si="133"/>
        <v>3.303633124339362E-2</v>
      </c>
      <c r="G2849" s="9">
        <f t="shared" ref="G2849:G2912" si="134">STDEV(E2821:E2849)</f>
        <v>9.2560671499717466E-3</v>
      </c>
    </row>
    <row r="2850" spans="1:7" x14ac:dyDescent="0.2">
      <c r="A2850" s="11">
        <v>39212</v>
      </c>
      <c r="B2850" s="10">
        <v>398.12939999999998</v>
      </c>
      <c r="C2850" s="10">
        <v>399.90039999999999</v>
      </c>
      <c r="D2850" s="10">
        <v>395.16460000000001</v>
      </c>
      <c r="E2850" s="13">
        <f t="shared" si="132"/>
        <v>-4.4384380316403738E-3</v>
      </c>
      <c r="F2850" s="9">
        <f t="shared" si="133"/>
        <v>3.517326888815956E-2</v>
      </c>
      <c r="G2850" s="9">
        <f t="shared" si="134"/>
        <v>9.2007992393492184E-3</v>
      </c>
    </row>
    <row r="2851" spans="1:7" x14ac:dyDescent="0.2">
      <c r="A2851" s="11">
        <v>39213</v>
      </c>
      <c r="B2851" s="10">
        <v>393.24939999999998</v>
      </c>
      <c r="C2851" s="10">
        <v>398.12939999999998</v>
      </c>
      <c r="D2851" s="10">
        <v>389.54230000000001</v>
      </c>
      <c r="E2851" s="13">
        <f t="shared" si="132"/>
        <v>-1.2333061880451647E-2</v>
      </c>
      <c r="F2851" s="9">
        <f t="shared" si="133"/>
        <v>3.292183428043445E-2</v>
      </c>
      <c r="G2851" s="9">
        <f t="shared" si="134"/>
        <v>9.3083748816686854E-3</v>
      </c>
    </row>
    <row r="2852" spans="1:7" x14ac:dyDescent="0.2">
      <c r="A2852" s="11">
        <v>39216</v>
      </c>
      <c r="B2852" s="10">
        <v>394.64949999999999</v>
      </c>
      <c r="C2852" s="10">
        <v>397.33710000000002</v>
      </c>
      <c r="D2852" s="10">
        <v>393.24939999999998</v>
      </c>
      <c r="E2852" s="13">
        <f t="shared" si="132"/>
        <v>3.5540130179713214E-3</v>
      </c>
      <c r="F2852" s="9">
        <f t="shared" si="133"/>
        <v>2.6286256773143776E-2</v>
      </c>
      <c r="G2852" s="9">
        <f t="shared" si="134"/>
        <v>9.1582017060595437E-3</v>
      </c>
    </row>
    <row r="2853" spans="1:7" x14ac:dyDescent="0.2">
      <c r="A2853" s="11">
        <v>39217</v>
      </c>
      <c r="B2853" s="10">
        <v>399.68349999999998</v>
      </c>
      <c r="C2853" s="10">
        <v>399.89530000000002</v>
      </c>
      <c r="D2853" s="10">
        <v>392.93400000000003</v>
      </c>
      <c r="E2853" s="13">
        <f t="shared" si="132"/>
        <v>1.267495469626077E-2</v>
      </c>
      <c r="F2853" s="9">
        <f t="shared" si="133"/>
        <v>3.2321936997355055E-2</v>
      </c>
      <c r="G2853" s="9">
        <f t="shared" si="134"/>
        <v>9.3595081654783956E-3</v>
      </c>
    </row>
    <row r="2854" spans="1:7" x14ac:dyDescent="0.2">
      <c r="A2854" s="11">
        <v>39218</v>
      </c>
      <c r="B2854" s="10">
        <v>400.98149999999998</v>
      </c>
      <c r="C2854" s="10">
        <v>403.05669999999998</v>
      </c>
      <c r="D2854" s="10">
        <v>398.8605</v>
      </c>
      <c r="E2854" s="13">
        <f t="shared" si="132"/>
        <v>3.2423076745161459E-3</v>
      </c>
      <c r="F2854" s="9">
        <f t="shared" si="133"/>
        <v>3.7673599718399731E-2</v>
      </c>
      <c r="G2854" s="9">
        <f t="shared" si="134"/>
        <v>9.3464225475028556E-3</v>
      </c>
    </row>
    <row r="2855" spans="1:7" x14ac:dyDescent="0.2">
      <c r="A2855" s="11">
        <v>39220</v>
      </c>
      <c r="B2855" s="10">
        <v>407.93239999999997</v>
      </c>
      <c r="C2855" s="10">
        <v>408.29910000000001</v>
      </c>
      <c r="D2855" s="10">
        <v>400.98149999999998</v>
      </c>
      <c r="E2855" s="13">
        <f t="shared" si="132"/>
        <v>1.718618282317361E-2</v>
      </c>
      <c r="F2855" s="9">
        <f t="shared" si="133"/>
        <v>5.2056043837238032E-2</v>
      </c>
      <c r="G2855" s="9">
        <f t="shared" si="134"/>
        <v>9.7997085314139969E-3</v>
      </c>
    </row>
    <row r="2856" spans="1:7" x14ac:dyDescent="0.2">
      <c r="A2856" s="11">
        <v>39223</v>
      </c>
      <c r="B2856" s="10">
        <v>412.608</v>
      </c>
      <c r="C2856" s="10">
        <v>414.5729</v>
      </c>
      <c r="D2856" s="10">
        <v>407.69490000000002</v>
      </c>
      <c r="E2856" s="13">
        <f t="shared" si="132"/>
        <v>1.1396515285990342E-2</v>
      </c>
      <c r="F2856" s="9">
        <f t="shared" si="133"/>
        <v>5.7361504288697268E-2</v>
      </c>
      <c r="G2856" s="9">
        <f t="shared" si="134"/>
        <v>9.9314113036868233E-3</v>
      </c>
    </row>
    <row r="2857" spans="1:7" x14ac:dyDescent="0.2">
      <c r="A2857" s="11">
        <v>39224</v>
      </c>
      <c r="B2857" s="10">
        <v>414.09730000000002</v>
      </c>
      <c r="C2857" s="10">
        <v>415.36649999999997</v>
      </c>
      <c r="D2857" s="10">
        <v>410.97410000000002</v>
      </c>
      <c r="E2857" s="13">
        <f t="shared" si="132"/>
        <v>3.6029806778987632E-3</v>
      </c>
      <c r="F2857" s="9">
        <f t="shared" si="133"/>
        <v>6.1095394942559417E-2</v>
      </c>
      <c r="G2857" s="9">
        <f t="shared" si="134"/>
        <v>9.9272972972069343E-3</v>
      </c>
    </row>
    <row r="2858" spans="1:7" x14ac:dyDescent="0.2">
      <c r="A2858" s="11">
        <v>39225</v>
      </c>
      <c r="B2858" s="10">
        <v>418.02690000000001</v>
      </c>
      <c r="C2858" s="10">
        <v>418.14</v>
      </c>
      <c r="D2858" s="10">
        <v>413.40929999999997</v>
      </c>
      <c r="E2858" s="13">
        <f t="shared" si="132"/>
        <v>9.4448141550541754E-3</v>
      </c>
      <c r="F2858" s="9">
        <f t="shared" si="133"/>
        <v>6.3340257490486815E-2</v>
      </c>
      <c r="G2858" s="9">
        <f t="shared" si="134"/>
        <v>9.97705805975653E-3</v>
      </c>
    </row>
    <row r="2859" spans="1:7" x14ac:dyDescent="0.2">
      <c r="A2859" s="11">
        <v>39226</v>
      </c>
      <c r="B2859" s="10">
        <v>416.2534</v>
      </c>
      <c r="C2859" s="10">
        <v>418.11180000000002</v>
      </c>
      <c r="D2859" s="10">
        <v>412.70359999999999</v>
      </c>
      <c r="E2859" s="13">
        <f t="shared" si="132"/>
        <v>-4.2515750916454365E-3</v>
      </c>
      <c r="F2859" s="9">
        <f t="shared" si="133"/>
        <v>6.3447889770317983E-2</v>
      </c>
      <c r="G2859" s="9">
        <f t="shared" si="134"/>
        <v>9.9745567100846758E-3</v>
      </c>
    </row>
    <row r="2860" spans="1:7" x14ac:dyDescent="0.2">
      <c r="A2860" s="11">
        <v>39227</v>
      </c>
      <c r="B2860" s="10">
        <v>411.06700000000001</v>
      </c>
      <c r="C2860" s="10">
        <v>416.2534</v>
      </c>
      <c r="D2860" s="10">
        <v>410.08190000000002</v>
      </c>
      <c r="E2860" s="13">
        <f t="shared" si="132"/>
        <v>-1.2537991187430131E-2</v>
      </c>
      <c r="F2860" s="9">
        <f t="shared" si="133"/>
        <v>6.0615286398880863E-2</v>
      </c>
      <c r="G2860" s="9">
        <f t="shared" si="134"/>
        <v>1.0108155381775376E-2</v>
      </c>
    </row>
    <row r="2861" spans="1:7" x14ac:dyDescent="0.2">
      <c r="A2861" s="11">
        <v>39231</v>
      </c>
      <c r="B2861" s="10">
        <v>408.47379999999998</v>
      </c>
      <c r="C2861" s="10">
        <v>413.48950000000002</v>
      </c>
      <c r="D2861" s="10">
        <v>408.37470000000002</v>
      </c>
      <c r="E2861" s="13">
        <f t="shared" si="132"/>
        <v>-6.3284430857490281E-3</v>
      </c>
      <c r="F2861" s="9">
        <f t="shared" si="133"/>
        <v>4.5831649842205287E-2</v>
      </c>
      <c r="G2861" s="9">
        <f t="shared" si="134"/>
        <v>1.0148395406958999E-2</v>
      </c>
    </row>
    <row r="2862" spans="1:7" x14ac:dyDescent="0.2">
      <c r="A2862" s="11">
        <v>39232</v>
      </c>
      <c r="B2862" s="10">
        <v>406.97149999999999</v>
      </c>
      <c r="C2862" s="10">
        <v>408.47379999999998</v>
      </c>
      <c r="D2862" s="10">
        <v>403.3605</v>
      </c>
      <c r="E2862" s="13">
        <f t="shared" si="132"/>
        <v>-3.6846167355475434E-3</v>
      </c>
      <c r="F2862" s="9">
        <f t="shared" si="133"/>
        <v>3.2403162887940491E-2</v>
      </c>
      <c r="G2862" s="9">
        <f t="shared" si="134"/>
        <v>1.0068653876519866E-2</v>
      </c>
    </row>
    <row r="2863" spans="1:7" x14ac:dyDescent="0.2">
      <c r="A2863" s="11">
        <v>39233</v>
      </c>
      <c r="B2863" s="10">
        <v>414.5523</v>
      </c>
      <c r="C2863" s="10">
        <v>415.608</v>
      </c>
      <c r="D2863" s="10">
        <v>406.97149999999999</v>
      </c>
      <c r="E2863" s="13">
        <f t="shared" si="132"/>
        <v>1.8455984310879543E-2</v>
      </c>
      <c r="F2863" s="9">
        <f t="shared" si="133"/>
        <v>5.0574159320295763E-2</v>
      </c>
      <c r="G2863" s="9">
        <f t="shared" si="134"/>
        <v>1.0568024291979164E-2</v>
      </c>
    </row>
    <row r="2864" spans="1:7" x14ac:dyDescent="0.2">
      <c r="A2864" s="11">
        <v>39234</v>
      </c>
      <c r="B2864" s="10">
        <v>418.97829999999999</v>
      </c>
      <c r="C2864" s="10">
        <v>419.36709999999999</v>
      </c>
      <c r="D2864" s="10">
        <v>414.42349999999999</v>
      </c>
      <c r="E2864" s="13">
        <f t="shared" si="132"/>
        <v>1.0619985873241755E-2</v>
      </c>
      <c r="F2864" s="9">
        <f t="shared" si="133"/>
        <v>7.3818793924068232E-2</v>
      </c>
      <c r="G2864" s="9">
        <f t="shared" si="134"/>
        <v>1.0317849259854241E-2</v>
      </c>
    </row>
    <row r="2865" spans="1:7" x14ac:dyDescent="0.2">
      <c r="A2865" s="11">
        <v>39237</v>
      </c>
      <c r="B2865" s="10">
        <v>416.8657</v>
      </c>
      <c r="C2865" s="10">
        <v>420.3723</v>
      </c>
      <c r="D2865" s="10">
        <v>415.70420000000001</v>
      </c>
      <c r="E2865" s="13">
        <f t="shared" si="132"/>
        <v>-5.0550210293919514E-3</v>
      </c>
      <c r="F2865" s="9">
        <f t="shared" si="133"/>
        <v>7.2936523089244476E-2</v>
      </c>
      <c r="G2865" s="9">
        <f t="shared" si="134"/>
        <v>1.0339643755280568E-2</v>
      </c>
    </row>
    <row r="2866" spans="1:7" x14ac:dyDescent="0.2">
      <c r="A2866" s="11">
        <v>39238</v>
      </c>
      <c r="B2866" s="10">
        <v>414.94330000000002</v>
      </c>
      <c r="C2866" s="10">
        <v>420.26029999999997</v>
      </c>
      <c r="D2866" s="10">
        <v>414.43099999999998</v>
      </c>
      <c r="E2866" s="13">
        <f t="shared" si="132"/>
        <v>-4.6222231850419548E-3</v>
      </c>
      <c r="F2866" s="9">
        <f t="shared" si="133"/>
        <v>5.1847068036227441E-2</v>
      </c>
      <c r="G2866" s="9">
        <f t="shared" si="134"/>
        <v>1.0061189917330153E-2</v>
      </c>
    </row>
    <row r="2867" spans="1:7" x14ac:dyDescent="0.2">
      <c r="A2867" s="11">
        <v>39239</v>
      </c>
      <c r="B2867" s="10">
        <v>407.40410000000003</v>
      </c>
      <c r="C2867" s="10">
        <v>416.50479999999999</v>
      </c>
      <c r="D2867" s="10">
        <v>406.09019999999998</v>
      </c>
      <c r="E2867" s="13">
        <f t="shared" si="132"/>
        <v>-1.8336316829015147E-2</v>
      </c>
      <c r="F2867" s="9">
        <f t="shared" si="133"/>
        <v>2.3267133851210119E-2</v>
      </c>
      <c r="G2867" s="9">
        <f t="shared" si="134"/>
        <v>1.0589223262274745E-2</v>
      </c>
    </row>
    <row r="2868" spans="1:7" x14ac:dyDescent="0.2">
      <c r="A2868" s="11">
        <v>39240</v>
      </c>
      <c r="B2868" s="10">
        <v>404.03660000000002</v>
      </c>
      <c r="C2868" s="10">
        <v>411.28859999999997</v>
      </c>
      <c r="D2868" s="10">
        <v>401.1121</v>
      </c>
      <c r="E2868" s="13">
        <f t="shared" si="132"/>
        <v>-8.3000996442457523E-3</v>
      </c>
      <c r="F2868" s="9">
        <f t="shared" si="133"/>
        <v>2.1180738821785835E-2</v>
      </c>
      <c r="G2868" s="9">
        <f t="shared" si="134"/>
        <v>1.0645531417209548E-2</v>
      </c>
    </row>
    <row r="2869" spans="1:7" x14ac:dyDescent="0.2">
      <c r="A2869" s="11">
        <v>39241</v>
      </c>
      <c r="B2869" s="10">
        <v>402.73989999999998</v>
      </c>
      <c r="C2869" s="10">
        <v>404.03660000000002</v>
      </c>
      <c r="D2869" s="10">
        <v>394.55739999999997</v>
      </c>
      <c r="E2869" s="13">
        <f t="shared" si="132"/>
        <v>-3.2145237660845326E-3</v>
      </c>
      <c r="F2869" s="9">
        <f t="shared" si="133"/>
        <v>1.1761303689373654E-2</v>
      </c>
      <c r="G2869" s="9">
        <f t="shared" si="134"/>
        <v>1.0616189753685482E-2</v>
      </c>
    </row>
    <row r="2870" spans="1:7" x14ac:dyDescent="0.2">
      <c r="A2870" s="11">
        <v>39244</v>
      </c>
      <c r="B2870" s="10">
        <v>406.6866</v>
      </c>
      <c r="C2870" s="10">
        <v>408.84410000000003</v>
      </c>
      <c r="D2870" s="10">
        <v>402.73989999999998</v>
      </c>
      <c r="E2870" s="13">
        <f t="shared" si="132"/>
        <v>9.7519201002935086E-3</v>
      </c>
      <c r="F2870" s="9">
        <f t="shared" si="133"/>
        <v>1.4607759967120311E-2</v>
      </c>
      <c r="G2870" s="9">
        <f t="shared" si="134"/>
        <v>1.0691324706807994E-2</v>
      </c>
    </row>
    <row r="2871" spans="1:7" x14ac:dyDescent="0.2">
      <c r="A2871" s="11">
        <v>39245</v>
      </c>
      <c r="B2871" s="10">
        <v>401.86829999999998</v>
      </c>
      <c r="C2871" s="10">
        <v>410.14499999999998</v>
      </c>
      <c r="D2871" s="10">
        <v>401.58269999999999</v>
      </c>
      <c r="E2871" s="13">
        <f t="shared" si="132"/>
        <v>-1.1918441249163905E-2</v>
      </c>
      <c r="F2871" s="9">
        <f t="shared" si="133"/>
        <v>1.243502417322526E-2</v>
      </c>
      <c r="G2871" s="9">
        <f t="shared" si="134"/>
        <v>1.0773015952608409E-2</v>
      </c>
    </row>
    <row r="2872" spans="1:7" x14ac:dyDescent="0.2">
      <c r="A2872" s="11">
        <v>39246</v>
      </c>
      <c r="B2872" s="10">
        <v>402.91739999999999</v>
      </c>
      <c r="C2872" s="10">
        <v>404.51409999999998</v>
      </c>
      <c r="D2872" s="10">
        <v>397.79880000000003</v>
      </c>
      <c r="E2872" s="13">
        <f t="shared" si="132"/>
        <v>2.6071551575785265E-3</v>
      </c>
      <c r="F2872" s="9">
        <f t="shared" si="133"/>
        <v>9.8403391709299196E-3</v>
      </c>
      <c r="G2872" s="9">
        <f t="shared" si="134"/>
        <v>1.0742691156578608E-2</v>
      </c>
    </row>
    <row r="2873" spans="1:7" x14ac:dyDescent="0.2">
      <c r="A2873" s="11">
        <v>39247</v>
      </c>
      <c r="B2873" s="10">
        <v>413.5326</v>
      </c>
      <c r="C2873" s="10">
        <v>413.54109999999997</v>
      </c>
      <c r="D2873" s="10">
        <v>402.91739999999999</v>
      </c>
      <c r="E2873" s="13">
        <f t="shared" si="132"/>
        <v>2.6004772374066679E-2</v>
      </c>
      <c r="F2873" s="9">
        <f t="shared" si="133"/>
        <v>2.270161521902123E-2</v>
      </c>
      <c r="G2873" s="9">
        <f t="shared" si="134"/>
        <v>1.1527011998355416E-2</v>
      </c>
    </row>
    <row r="2874" spans="1:7" x14ac:dyDescent="0.2">
      <c r="A2874" s="11">
        <v>39248</v>
      </c>
      <c r="B2874" s="10">
        <v>422.22050000000002</v>
      </c>
      <c r="C2874" s="10">
        <v>422.23599999999999</v>
      </c>
      <c r="D2874" s="10">
        <v>413.5326</v>
      </c>
      <c r="E2874" s="13">
        <f t="shared" si="132"/>
        <v>2.0791338888718171E-2</v>
      </c>
      <c r="F2874" s="9">
        <f t="shared" si="133"/>
        <v>4.1015632477689724E-2</v>
      </c>
      <c r="G2874" s="9">
        <f t="shared" si="134"/>
        <v>1.2110090581529391E-2</v>
      </c>
    </row>
    <row r="2875" spans="1:7" x14ac:dyDescent="0.2">
      <c r="A2875" s="11">
        <v>39251</v>
      </c>
      <c r="B2875" s="10">
        <v>423.2457</v>
      </c>
      <c r="C2875" s="10">
        <v>425.85160000000002</v>
      </c>
      <c r="D2875" s="10">
        <v>421.77440000000001</v>
      </c>
      <c r="E2875" s="13">
        <f t="shared" si="132"/>
        <v>2.4251720588537003E-3</v>
      </c>
      <c r="F2875" s="9">
        <f t="shared" si="133"/>
        <v>3.4471229035653604E-2</v>
      </c>
      <c r="G2875" s="9">
        <f t="shared" si="134"/>
        <v>1.202494944265591E-2</v>
      </c>
    </row>
    <row r="2876" spans="1:7" x14ac:dyDescent="0.2">
      <c r="A2876" s="11">
        <v>39252</v>
      </c>
      <c r="B2876" s="10">
        <v>423.13319999999999</v>
      </c>
      <c r="C2876" s="10">
        <v>426.8886</v>
      </c>
      <c r="D2876" s="10">
        <v>422.5136</v>
      </c>
      <c r="E2876" s="13">
        <f t="shared" si="132"/>
        <v>-2.6583838671437684E-4</v>
      </c>
      <c r="F2876" s="9">
        <f t="shared" si="133"/>
        <v>2.9420625987728485E-2</v>
      </c>
      <c r="G2876" s="9">
        <f t="shared" si="134"/>
        <v>1.2007568262201498E-2</v>
      </c>
    </row>
    <row r="2877" spans="1:7" x14ac:dyDescent="0.2">
      <c r="A2877" s="11">
        <v>39253</v>
      </c>
      <c r="B2877" s="10">
        <v>424.53769999999997</v>
      </c>
      <c r="C2877" s="10">
        <v>427.50240000000002</v>
      </c>
      <c r="D2877" s="10">
        <v>423.13319999999999</v>
      </c>
      <c r="E2877" s="13">
        <f t="shared" si="132"/>
        <v>3.3137890784206742E-3</v>
      </c>
      <c r="F2877" s="9">
        <f t="shared" si="133"/>
        <v>5.8808280110508045E-2</v>
      </c>
      <c r="G2877" s="9">
        <f t="shared" si="134"/>
        <v>1.0821298344302118E-2</v>
      </c>
    </row>
    <row r="2878" spans="1:7" x14ac:dyDescent="0.2">
      <c r="A2878" s="11">
        <v>39254</v>
      </c>
      <c r="B2878" s="10">
        <v>423.90120000000002</v>
      </c>
      <c r="C2878" s="10">
        <v>424.57420000000002</v>
      </c>
      <c r="D2878" s="10">
        <v>420.36439999999999</v>
      </c>
      <c r="E2878" s="13">
        <f t="shared" si="132"/>
        <v>-1.5004029622117405E-3</v>
      </c>
      <c r="F2878" s="9">
        <f t="shared" si="133"/>
        <v>5.8284893108583646E-2</v>
      </c>
      <c r="G2878" s="9">
        <f t="shared" si="134"/>
        <v>1.0826923890816603E-2</v>
      </c>
    </row>
    <row r="2879" spans="1:7" x14ac:dyDescent="0.2">
      <c r="A2879" s="11">
        <v>39255</v>
      </c>
      <c r="B2879" s="10">
        <v>421.9554</v>
      </c>
      <c r="C2879" s="10">
        <v>425.29860000000002</v>
      </c>
      <c r="D2879" s="10">
        <v>421.02229999999997</v>
      </c>
      <c r="E2879" s="13">
        <f t="shared" si="132"/>
        <v>-4.6007879639843935E-3</v>
      </c>
      <c r="F2879" s="9">
        <f t="shared" si="133"/>
        <v>5.8122543176239785E-2</v>
      </c>
      <c r="G2879" s="9">
        <f t="shared" si="134"/>
        <v>1.0830418578919558E-2</v>
      </c>
    </row>
    <row r="2880" spans="1:7" x14ac:dyDescent="0.2">
      <c r="A2880" s="11">
        <v>39258</v>
      </c>
      <c r="B2880" s="10">
        <v>420.03519999999997</v>
      </c>
      <c r="C2880" s="10">
        <v>421.9554</v>
      </c>
      <c r="D2880" s="10">
        <v>417.38740000000001</v>
      </c>
      <c r="E2880" s="13">
        <f t="shared" si="132"/>
        <v>-4.5611039575327054E-3</v>
      </c>
      <c r="F2880" s="9">
        <f t="shared" si="133"/>
        <v>6.589450109915862E-2</v>
      </c>
      <c r="G2880" s="9">
        <f t="shared" si="134"/>
        <v>1.0555644953375243E-2</v>
      </c>
    </row>
    <row r="2881" spans="1:7" x14ac:dyDescent="0.2">
      <c r="A2881" s="11">
        <v>39259</v>
      </c>
      <c r="B2881" s="10">
        <v>417.9083</v>
      </c>
      <c r="C2881" s="10">
        <v>420.2441</v>
      </c>
      <c r="D2881" s="10">
        <v>415.80169999999998</v>
      </c>
      <c r="E2881" s="13">
        <f t="shared" si="132"/>
        <v>-5.0764868219471205E-3</v>
      </c>
      <c r="F2881" s="9">
        <f t="shared" si="133"/>
        <v>5.7264001259240194E-2</v>
      </c>
      <c r="G2881" s="9">
        <f t="shared" si="134"/>
        <v>1.0639545564469874E-2</v>
      </c>
    </row>
    <row r="2882" spans="1:7" x14ac:dyDescent="0.2">
      <c r="A2882" s="11">
        <v>39260</v>
      </c>
      <c r="B2882" s="10">
        <v>411.6352</v>
      </c>
      <c r="C2882" s="10">
        <v>417.9083</v>
      </c>
      <c r="D2882" s="10">
        <v>411.13470000000001</v>
      </c>
      <c r="E2882" s="13">
        <f t="shared" si="132"/>
        <v>-1.5124510241925388E-2</v>
      </c>
      <c r="F2882" s="9">
        <f t="shared" si="133"/>
        <v>2.9464536321054221E-2</v>
      </c>
      <c r="G2882" s="9">
        <f t="shared" si="134"/>
        <v>1.0890416066355017E-2</v>
      </c>
    </row>
    <row r="2883" spans="1:7" x14ac:dyDescent="0.2">
      <c r="A2883" s="11">
        <v>39261</v>
      </c>
      <c r="B2883" s="10">
        <v>422.33920000000001</v>
      </c>
      <c r="C2883" s="10">
        <v>423.37090000000001</v>
      </c>
      <c r="D2883" s="10">
        <v>411.6352</v>
      </c>
      <c r="E2883" s="13">
        <f t="shared" si="132"/>
        <v>2.5671262412314624E-2</v>
      </c>
      <c r="F2883" s="9">
        <f t="shared" si="133"/>
        <v>5.1893491058852381E-2</v>
      </c>
      <c r="G2883" s="9">
        <f t="shared" si="134"/>
        <v>1.1811632281000807E-2</v>
      </c>
    </row>
    <row r="2884" spans="1:7" x14ac:dyDescent="0.2">
      <c r="A2884" s="11">
        <v>39262</v>
      </c>
      <c r="B2884" s="10">
        <v>426.51580000000001</v>
      </c>
      <c r="C2884" s="10">
        <v>428.70190000000002</v>
      </c>
      <c r="D2884" s="10">
        <v>422.14210000000003</v>
      </c>
      <c r="E2884" s="13">
        <f t="shared" ref="E2884:E2947" si="135">LN(B2884/B2883)</f>
        <v>9.8406293286992363E-3</v>
      </c>
      <c r="F2884" s="9">
        <f t="shared" si="133"/>
        <v>4.4547937564377998E-2</v>
      </c>
      <c r="G2884" s="9">
        <f t="shared" si="134"/>
        <v>1.1545425241463068E-2</v>
      </c>
    </row>
    <row r="2885" spans="1:7" x14ac:dyDescent="0.2">
      <c r="A2885" s="11">
        <v>39265</v>
      </c>
      <c r="B2885" s="10">
        <v>428.65940000000001</v>
      </c>
      <c r="C2885" s="10">
        <v>429.41930000000002</v>
      </c>
      <c r="D2885" s="10">
        <v>425.44990000000001</v>
      </c>
      <c r="E2885" s="13">
        <f t="shared" si="135"/>
        <v>5.0132522307375594E-3</v>
      </c>
      <c r="F2885" s="9">
        <f t="shared" si="133"/>
        <v>3.8164674509125356E-2</v>
      </c>
      <c r="G2885" s="9">
        <f t="shared" si="134"/>
        <v>1.1410787269146173E-2</v>
      </c>
    </row>
    <row r="2886" spans="1:7" x14ac:dyDescent="0.2">
      <c r="A2886" s="11">
        <v>39266</v>
      </c>
      <c r="B2886" s="10">
        <v>429.85270000000003</v>
      </c>
      <c r="C2886" s="10">
        <v>432.34230000000002</v>
      </c>
      <c r="D2886" s="10">
        <v>428.43439999999998</v>
      </c>
      <c r="E2886" s="13">
        <f t="shared" si="135"/>
        <v>2.7799276643507747E-3</v>
      </c>
      <c r="F2886" s="9">
        <f t="shared" si="133"/>
        <v>3.7341621495577432E-2</v>
      </c>
      <c r="G2886" s="9">
        <f t="shared" si="134"/>
        <v>1.1405918472345821E-2</v>
      </c>
    </row>
    <row r="2887" spans="1:7" x14ac:dyDescent="0.2">
      <c r="A2887" s="11">
        <v>39267</v>
      </c>
      <c r="B2887" s="10">
        <v>434.37900000000002</v>
      </c>
      <c r="C2887" s="10">
        <v>435.14159999999998</v>
      </c>
      <c r="D2887" s="10">
        <v>429.8494</v>
      </c>
      <c r="E2887" s="13">
        <f t="shared" si="135"/>
        <v>1.0474833048119789E-2</v>
      </c>
      <c r="F2887" s="9">
        <f t="shared" si="133"/>
        <v>3.8371640388643102E-2</v>
      </c>
      <c r="G2887" s="9">
        <f t="shared" si="134"/>
        <v>1.1433796661928005E-2</v>
      </c>
    </row>
    <row r="2888" spans="1:7" x14ac:dyDescent="0.2">
      <c r="A2888" s="11">
        <v>39268</v>
      </c>
      <c r="B2888" s="10">
        <v>434.57569999999998</v>
      </c>
      <c r="C2888" s="10">
        <v>437.00810000000001</v>
      </c>
      <c r="D2888" s="10">
        <v>430.15910000000002</v>
      </c>
      <c r="E2888" s="13">
        <f t="shared" si="135"/>
        <v>4.5272786569806829E-4</v>
      </c>
      <c r="F2888" s="9">
        <f t="shared" si="133"/>
        <v>4.3075943345986557E-2</v>
      </c>
      <c r="G2888" s="9">
        <f t="shared" si="134"/>
        <v>1.138514795700502E-2</v>
      </c>
    </row>
    <row r="2889" spans="1:7" x14ac:dyDescent="0.2">
      <c r="A2889" s="11">
        <v>39269</v>
      </c>
      <c r="B2889" s="10">
        <v>432.75069999999999</v>
      </c>
      <c r="C2889" s="10">
        <v>434.58229999999998</v>
      </c>
      <c r="D2889" s="10">
        <v>431.8503</v>
      </c>
      <c r="E2889" s="13">
        <f t="shared" si="135"/>
        <v>-4.2083411583358332E-3</v>
      </c>
      <c r="F2889" s="9">
        <f t="shared" si="133"/>
        <v>5.1405593375080792E-2</v>
      </c>
      <c r="G2889" s="9">
        <f t="shared" si="134"/>
        <v>1.112072659118106E-2</v>
      </c>
    </row>
    <row r="2890" spans="1:7" x14ac:dyDescent="0.2">
      <c r="A2890" s="11">
        <v>39272</v>
      </c>
      <c r="B2890" s="10">
        <v>435.54050000000001</v>
      </c>
      <c r="C2890" s="10">
        <v>438.73630000000003</v>
      </c>
      <c r="D2890" s="10">
        <v>432.75069999999999</v>
      </c>
      <c r="E2890" s="13">
        <f t="shared" si="135"/>
        <v>6.4259769072157304E-3</v>
      </c>
      <c r="F2890" s="9">
        <f t="shared" si="133"/>
        <v>6.4160013368045707E-2</v>
      </c>
      <c r="G2890" s="9">
        <f t="shared" si="134"/>
        <v>1.1040822035976229E-2</v>
      </c>
    </row>
    <row r="2891" spans="1:7" x14ac:dyDescent="0.2">
      <c r="A2891" s="11">
        <v>39273</v>
      </c>
      <c r="B2891" s="10">
        <v>432.55509999999998</v>
      </c>
      <c r="C2891" s="10">
        <v>436.7466</v>
      </c>
      <c r="D2891" s="10">
        <v>430.96460000000002</v>
      </c>
      <c r="E2891" s="13">
        <f t="shared" si="135"/>
        <v>-6.8780714230079285E-3</v>
      </c>
      <c r="F2891" s="9">
        <f t="shared" si="133"/>
        <v>6.0966558680585425E-2</v>
      </c>
      <c r="G2891" s="9">
        <f t="shared" si="134"/>
        <v>1.1117398413157602E-2</v>
      </c>
    </row>
    <row r="2892" spans="1:7" x14ac:dyDescent="0.2">
      <c r="A2892" s="11">
        <v>39274</v>
      </c>
      <c r="B2892" s="10">
        <v>432.63630000000001</v>
      </c>
      <c r="C2892" s="10">
        <v>432.74059999999997</v>
      </c>
      <c r="D2892" s="10">
        <v>428.25650000000002</v>
      </c>
      <c r="E2892" s="13">
        <f t="shared" si="135"/>
        <v>1.8770413168331341E-4</v>
      </c>
      <c r="F2892" s="9">
        <f t="shared" si="133"/>
        <v>4.2698278501389006E-2</v>
      </c>
      <c r="G2892" s="9">
        <f t="shared" si="134"/>
        <v>1.0666064184027444E-2</v>
      </c>
    </row>
    <row r="2893" spans="1:7" x14ac:dyDescent="0.2">
      <c r="A2893" s="11">
        <v>39275</v>
      </c>
      <c r="B2893" s="10">
        <v>438.62740000000002</v>
      </c>
      <c r="C2893" s="10">
        <v>439.5394</v>
      </c>
      <c r="D2893" s="10">
        <v>432.63630000000001</v>
      </c>
      <c r="E2893" s="13">
        <f t="shared" si="135"/>
        <v>1.3752884299748577E-2</v>
      </c>
      <c r="F2893" s="9">
        <f t="shared" si="133"/>
        <v>4.5831176927895921E-2</v>
      </c>
      <c r="G2893" s="9">
        <f t="shared" si="134"/>
        <v>1.0777310338563583E-2</v>
      </c>
    </row>
    <row r="2894" spans="1:7" x14ac:dyDescent="0.2">
      <c r="A2894" s="11">
        <v>39276</v>
      </c>
      <c r="B2894" s="10">
        <v>440.22899999999998</v>
      </c>
      <c r="C2894" s="10">
        <v>443.93630000000002</v>
      </c>
      <c r="D2894" s="10">
        <v>438.62740000000002</v>
      </c>
      <c r="E2894" s="13">
        <f t="shared" si="135"/>
        <v>3.6447405355154497E-3</v>
      </c>
      <c r="F2894" s="9">
        <f t="shared" si="133"/>
        <v>5.4530938492803493E-2</v>
      </c>
      <c r="G2894" s="9">
        <f t="shared" si="134"/>
        <v>1.0706864944391888E-2</v>
      </c>
    </row>
    <row r="2895" spans="1:7" x14ac:dyDescent="0.2">
      <c r="A2895" s="11">
        <v>39279</v>
      </c>
      <c r="B2895" s="10">
        <v>440.40530000000001</v>
      </c>
      <c r="C2895" s="10">
        <v>441.83850000000001</v>
      </c>
      <c r="D2895" s="10">
        <v>438.87419999999997</v>
      </c>
      <c r="E2895" s="13">
        <f t="shared" si="135"/>
        <v>4.0039322192052745E-4</v>
      </c>
      <c r="F2895" s="9">
        <f t="shared" si="133"/>
        <v>5.9553554899765784E-2</v>
      </c>
      <c r="G2895" s="9">
        <f t="shared" si="134"/>
        <v>1.0638326012580041E-2</v>
      </c>
    </row>
    <row r="2896" spans="1:7" x14ac:dyDescent="0.2">
      <c r="A2896" s="11">
        <v>39280</v>
      </c>
      <c r="B2896" s="10">
        <v>437.92840000000001</v>
      </c>
      <c r="C2896" s="10">
        <v>440.82459999999998</v>
      </c>
      <c r="D2896" s="10">
        <v>435.19319999999999</v>
      </c>
      <c r="E2896" s="13">
        <f t="shared" si="135"/>
        <v>-5.6400125961064366E-3</v>
      </c>
      <c r="F2896" s="9">
        <f t="shared" si="133"/>
        <v>7.2249859132674565E-2</v>
      </c>
      <c r="G2896" s="9">
        <f t="shared" si="134"/>
        <v>1.0012058209679296E-2</v>
      </c>
    </row>
    <row r="2897" spans="1:7" x14ac:dyDescent="0.2">
      <c r="A2897" s="11">
        <v>39281</v>
      </c>
      <c r="B2897" s="10">
        <v>437.613</v>
      </c>
      <c r="C2897" s="10">
        <v>437.92840000000001</v>
      </c>
      <c r="D2897" s="10">
        <v>433.68169999999998</v>
      </c>
      <c r="E2897" s="13">
        <f t="shared" si="135"/>
        <v>-7.2046853214025421E-4</v>
      </c>
      <c r="F2897" s="9">
        <f t="shared" si="133"/>
        <v>7.9829490244780116E-2</v>
      </c>
      <c r="G2897" s="9">
        <f t="shared" si="134"/>
        <v>9.817323661456703E-3</v>
      </c>
    </row>
    <row r="2898" spans="1:7" x14ac:dyDescent="0.2">
      <c r="A2898" s="11">
        <v>39282</v>
      </c>
      <c r="B2898" s="10">
        <v>444.12380000000002</v>
      </c>
      <c r="C2898" s="10">
        <v>445.52640000000002</v>
      </c>
      <c r="D2898" s="10">
        <v>437.613</v>
      </c>
      <c r="E2898" s="13">
        <f t="shared" si="135"/>
        <v>1.4768394233577915E-2</v>
      </c>
      <c r="F2898" s="9">
        <f t="shared" si="133"/>
        <v>9.78124082444424E-2</v>
      </c>
      <c r="G2898" s="9">
        <f t="shared" si="134"/>
        <v>9.9933050484354649E-3</v>
      </c>
    </row>
    <row r="2899" spans="1:7" x14ac:dyDescent="0.2">
      <c r="A2899" s="11">
        <v>39283</v>
      </c>
      <c r="B2899" s="10">
        <v>440.72969999999998</v>
      </c>
      <c r="C2899" s="10">
        <v>445.77870000000001</v>
      </c>
      <c r="D2899" s="10">
        <v>440.64389999999997</v>
      </c>
      <c r="E2899" s="13">
        <f t="shared" si="135"/>
        <v>-7.6715900341635963E-3</v>
      </c>
      <c r="F2899" s="9">
        <f t="shared" si="133"/>
        <v>8.0388898109985563E-2</v>
      </c>
      <c r="G2899" s="9">
        <f t="shared" si="134"/>
        <v>1.0119060304965238E-2</v>
      </c>
    </row>
    <row r="2900" spans="1:7" x14ac:dyDescent="0.2">
      <c r="A2900" s="11">
        <v>39286</v>
      </c>
      <c r="B2900" s="10">
        <v>440.66849999999999</v>
      </c>
      <c r="C2900" s="10">
        <v>442.84010000000001</v>
      </c>
      <c r="D2900" s="10">
        <v>437.84120000000001</v>
      </c>
      <c r="E2900" s="13">
        <f t="shared" si="135"/>
        <v>-1.3887026340271948E-4</v>
      </c>
      <c r="F2900" s="9">
        <f t="shared" si="133"/>
        <v>9.2168469095746705E-2</v>
      </c>
      <c r="G2900" s="9">
        <f t="shared" si="134"/>
        <v>9.7375365101623722E-3</v>
      </c>
    </row>
    <row r="2901" spans="1:7" x14ac:dyDescent="0.2">
      <c r="A2901" s="11">
        <v>39287</v>
      </c>
      <c r="B2901" s="10">
        <v>430.25040000000001</v>
      </c>
      <c r="C2901" s="10">
        <v>441.0745</v>
      </c>
      <c r="D2901" s="10">
        <v>430.18270000000001</v>
      </c>
      <c r="E2901" s="13">
        <f t="shared" si="135"/>
        <v>-2.3925527314697714E-2</v>
      </c>
      <c r="F2901" s="9">
        <f t="shared" si="133"/>
        <v>6.563578662347061E-2</v>
      </c>
      <c r="G2901" s="9">
        <f t="shared" si="134"/>
        <v>1.0962535496595253E-2</v>
      </c>
    </row>
    <row r="2902" spans="1:7" x14ac:dyDescent="0.2">
      <c r="A2902" s="11">
        <v>39288</v>
      </c>
      <c r="B2902" s="10">
        <v>427.11579999999998</v>
      </c>
      <c r="C2902" s="10">
        <v>431.05119999999999</v>
      </c>
      <c r="D2902" s="10">
        <v>426.07170000000002</v>
      </c>
      <c r="E2902" s="13">
        <f t="shared" si="135"/>
        <v>-7.3121939417891439E-3</v>
      </c>
      <c r="F2902" s="9">
        <f t="shared" si="133"/>
        <v>3.231882030761473E-2</v>
      </c>
      <c r="G2902" s="9">
        <f t="shared" si="134"/>
        <v>1.0097236855089051E-2</v>
      </c>
    </row>
    <row r="2903" spans="1:7" x14ac:dyDescent="0.2">
      <c r="A2903" s="11">
        <v>39289</v>
      </c>
      <c r="B2903" s="10">
        <v>416.1506</v>
      </c>
      <c r="C2903" s="10">
        <v>430.80130000000003</v>
      </c>
      <c r="D2903" s="10">
        <v>415.94130000000001</v>
      </c>
      <c r="E2903" s="13">
        <f t="shared" si="135"/>
        <v>-2.6007956862585373E-2</v>
      </c>
      <c r="F2903" s="9">
        <f t="shared" si="133"/>
        <v>-1.4480475443688804E-2</v>
      </c>
      <c r="G2903" s="9">
        <f t="shared" si="134"/>
        <v>1.0568886938155277E-2</v>
      </c>
    </row>
    <row r="2904" spans="1:7" x14ac:dyDescent="0.2">
      <c r="A2904" s="11">
        <v>39290</v>
      </c>
      <c r="B2904" s="10">
        <v>409.94600000000003</v>
      </c>
      <c r="C2904" s="10">
        <v>416.1506</v>
      </c>
      <c r="D2904" s="10">
        <v>406.61410000000001</v>
      </c>
      <c r="E2904" s="13">
        <f t="shared" si="135"/>
        <v>-1.502177027177163E-2</v>
      </c>
      <c r="F2904" s="9">
        <f t="shared" si="133"/>
        <v>-3.1927417774314105E-2</v>
      </c>
      <c r="G2904" s="9">
        <f t="shared" si="134"/>
        <v>1.0888215545239287E-2</v>
      </c>
    </row>
    <row r="2905" spans="1:7" x14ac:dyDescent="0.2">
      <c r="A2905" s="11">
        <v>39293</v>
      </c>
      <c r="B2905" s="10">
        <v>411.16120000000001</v>
      </c>
      <c r="C2905" s="10">
        <v>414.38459999999998</v>
      </c>
      <c r="D2905" s="10">
        <v>405.94</v>
      </c>
      <c r="E2905" s="13">
        <f t="shared" si="135"/>
        <v>2.9599080051977335E-3</v>
      </c>
      <c r="F2905" s="9">
        <f t="shared" si="133"/>
        <v>-2.8701671382402028E-2</v>
      </c>
      <c r="G2905" s="9">
        <f t="shared" si="134"/>
        <v>1.091349913756255E-2</v>
      </c>
    </row>
    <row r="2906" spans="1:7" x14ac:dyDescent="0.2">
      <c r="A2906" s="11">
        <v>39294</v>
      </c>
      <c r="B2906" s="10">
        <v>418.43439999999998</v>
      </c>
      <c r="C2906" s="10">
        <v>420.88249999999999</v>
      </c>
      <c r="D2906" s="10">
        <v>411.16120000000001</v>
      </c>
      <c r="E2906" s="13">
        <f t="shared" si="135"/>
        <v>1.753477563192439E-2</v>
      </c>
      <c r="F2906" s="9">
        <f t="shared" si="133"/>
        <v>-1.4480684828898272E-2</v>
      </c>
      <c r="G2906" s="9">
        <f t="shared" si="134"/>
        <v>1.142145200982621E-2</v>
      </c>
    </row>
    <row r="2907" spans="1:7" x14ac:dyDescent="0.2">
      <c r="A2907" s="11">
        <v>39295</v>
      </c>
      <c r="B2907" s="10">
        <v>408.9751</v>
      </c>
      <c r="C2907" s="10">
        <v>418.43439999999998</v>
      </c>
      <c r="D2907" s="10">
        <v>404.3252</v>
      </c>
      <c r="E2907" s="13">
        <f t="shared" si="135"/>
        <v>-2.2865853350303719E-2</v>
      </c>
      <c r="F2907" s="9">
        <f t="shared" si="133"/>
        <v>-3.5846135216990233E-2</v>
      </c>
      <c r="G2907" s="9">
        <f t="shared" si="134"/>
        <v>1.215393252647342E-2</v>
      </c>
    </row>
    <row r="2908" spans="1:7" x14ac:dyDescent="0.2">
      <c r="A2908" s="11">
        <v>39296</v>
      </c>
      <c r="B2908" s="10">
        <v>412.09530000000001</v>
      </c>
      <c r="C2908" s="10">
        <v>414.94159999999999</v>
      </c>
      <c r="D2908" s="10">
        <v>407.80610000000001</v>
      </c>
      <c r="E2908" s="13">
        <f t="shared" si="135"/>
        <v>7.6003592870191438E-3</v>
      </c>
      <c r="F2908" s="9">
        <f t="shared" si="133"/>
        <v>-2.3644987965986748E-2</v>
      </c>
      <c r="G2908" s="9">
        <f t="shared" si="134"/>
        <v>1.2244144357052048E-2</v>
      </c>
    </row>
    <row r="2909" spans="1:7" x14ac:dyDescent="0.2">
      <c r="A2909" s="11">
        <v>39297</v>
      </c>
      <c r="B2909" s="10">
        <v>404.37900000000002</v>
      </c>
      <c r="C2909" s="10">
        <v>415.3587</v>
      </c>
      <c r="D2909" s="10">
        <v>402.98230000000001</v>
      </c>
      <c r="E2909" s="13">
        <f t="shared" si="135"/>
        <v>-1.8902076266359879E-2</v>
      </c>
      <c r="F2909" s="9">
        <f t="shared" si="133"/>
        <v>-3.7985960274813817E-2</v>
      </c>
      <c r="G2909" s="9">
        <f t="shared" si="134"/>
        <v>1.2682582684288606E-2</v>
      </c>
    </row>
    <row r="2910" spans="1:7" x14ac:dyDescent="0.2">
      <c r="A2910" s="11">
        <v>39300</v>
      </c>
      <c r="B2910" s="10">
        <v>392.43830000000003</v>
      </c>
      <c r="C2910" s="10">
        <v>404.37900000000002</v>
      </c>
      <c r="D2910" s="10">
        <v>392.15129999999999</v>
      </c>
      <c r="E2910" s="13">
        <f t="shared" si="135"/>
        <v>-2.9973229601168237E-2</v>
      </c>
      <c r="F2910" s="9">
        <f t="shared" si="133"/>
        <v>-6.2882703054035066E-2</v>
      </c>
      <c r="G2910" s="9">
        <f t="shared" si="134"/>
        <v>1.3744828224239856E-2</v>
      </c>
    </row>
    <row r="2911" spans="1:7" x14ac:dyDescent="0.2">
      <c r="A2911" s="11">
        <v>39301</v>
      </c>
      <c r="B2911" s="10">
        <v>397.75330000000002</v>
      </c>
      <c r="C2911" s="10">
        <v>403.86630000000002</v>
      </c>
      <c r="D2911" s="10">
        <v>392.43830000000003</v>
      </c>
      <c r="E2911" s="13">
        <f t="shared" si="135"/>
        <v>1.3452636438821504E-2</v>
      </c>
      <c r="F2911" s="9">
        <f t="shared" si="133"/>
        <v>-3.4305556373288096E-2</v>
      </c>
      <c r="G2911" s="9">
        <f t="shared" si="134"/>
        <v>1.3807040442193814E-2</v>
      </c>
    </row>
    <row r="2912" spans="1:7" x14ac:dyDescent="0.2">
      <c r="A2912" s="11">
        <v>39302</v>
      </c>
      <c r="B2912" s="10">
        <v>410.8963</v>
      </c>
      <c r="C2912" s="10">
        <v>411.04640000000001</v>
      </c>
      <c r="D2912" s="10">
        <v>397.75330000000002</v>
      </c>
      <c r="E2912" s="13">
        <f t="shared" si="135"/>
        <v>3.2508907372585126E-2</v>
      </c>
      <c r="F2912" s="9">
        <f t="shared" ref="F2912:F2975" si="136">LN(B2912/B2883)</f>
        <v>-2.7467911413017496E-2</v>
      </c>
      <c r="G2912" s="9">
        <f t="shared" si="134"/>
        <v>1.4330465284723875E-2</v>
      </c>
    </row>
    <row r="2913" spans="1:7" x14ac:dyDescent="0.2">
      <c r="A2913" s="11">
        <v>39303</v>
      </c>
      <c r="B2913" s="10">
        <v>396.84010000000001</v>
      </c>
      <c r="C2913" s="10">
        <v>411.73349999999999</v>
      </c>
      <c r="D2913" s="10">
        <v>394.67649999999998</v>
      </c>
      <c r="E2913" s="13">
        <f t="shared" si="135"/>
        <v>-3.4807442452429393E-2</v>
      </c>
      <c r="F2913" s="9">
        <f t="shared" si="136"/>
        <v>-7.2115983194146124E-2</v>
      </c>
      <c r="G2913" s="9">
        <f t="shared" ref="G2913:G2976" si="137">STDEV(E2885:E2913)</f>
        <v>1.5482183787437565E-2</v>
      </c>
    </row>
    <row r="2914" spans="1:7" x14ac:dyDescent="0.2">
      <c r="A2914" s="11">
        <v>39304</v>
      </c>
      <c r="B2914" s="10">
        <v>386.14479999999998</v>
      </c>
      <c r="C2914" s="10">
        <v>396.84010000000001</v>
      </c>
      <c r="D2914" s="10">
        <v>378.44260000000003</v>
      </c>
      <c r="E2914" s="13">
        <f t="shared" si="135"/>
        <v>-2.7321000117379271E-2</v>
      </c>
      <c r="F2914" s="9">
        <f t="shared" si="136"/>
        <v>-0.1044502355422629</v>
      </c>
      <c r="G2914" s="9">
        <f t="shared" si="137"/>
        <v>1.6075693700705017E-2</v>
      </c>
    </row>
    <row r="2915" spans="1:7" x14ac:dyDescent="0.2">
      <c r="A2915" s="11">
        <v>39307</v>
      </c>
      <c r="B2915" s="10">
        <v>393.51119999999997</v>
      </c>
      <c r="C2915" s="10">
        <v>395.92230000000001</v>
      </c>
      <c r="D2915" s="10">
        <v>386.14479999999998</v>
      </c>
      <c r="E2915" s="13">
        <f t="shared" si="135"/>
        <v>1.8897101313273702E-2</v>
      </c>
      <c r="F2915" s="9">
        <f t="shared" si="136"/>
        <v>-8.8333061893339865E-2</v>
      </c>
      <c r="G2915" s="9">
        <f t="shared" si="137"/>
        <v>1.6575042078070576E-2</v>
      </c>
    </row>
    <row r="2916" spans="1:7" x14ac:dyDescent="0.2">
      <c r="A2916" s="11">
        <v>39308</v>
      </c>
      <c r="B2916" s="10">
        <v>392.88690000000003</v>
      </c>
      <c r="C2916" s="10">
        <v>396.8159</v>
      </c>
      <c r="D2916" s="10">
        <v>389.26609999999999</v>
      </c>
      <c r="E2916" s="13">
        <f t="shared" si="135"/>
        <v>-1.5877457769841693E-3</v>
      </c>
      <c r="F2916" s="9">
        <f t="shared" si="136"/>
        <v>-0.10039564071844384</v>
      </c>
      <c r="G2916" s="9">
        <f t="shared" si="137"/>
        <v>1.6373752378577432E-2</v>
      </c>
    </row>
    <row r="2917" spans="1:7" x14ac:dyDescent="0.2">
      <c r="A2917" s="11">
        <v>39309</v>
      </c>
      <c r="B2917" s="10">
        <v>386.00110000000001</v>
      </c>
      <c r="C2917" s="10">
        <v>392.88690000000003</v>
      </c>
      <c r="D2917" s="10">
        <v>380.1354</v>
      </c>
      <c r="E2917" s="13">
        <f t="shared" si="135"/>
        <v>-1.7681564989604104E-2</v>
      </c>
      <c r="F2917" s="9">
        <f t="shared" si="136"/>
        <v>-0.11852993357374593</v>
      </c>
      <c r="G2917" s="9">
        <f t="shared" si="137"/>
        <v>1.6564082933022455E-2</v>
      </c>
    </row>
    <row r="2918" spans="1:7" x14ac:dyDescent="0.2">
      <c r="A2918" s="11">
        <v>39310</v>
      </c>
      <c r="B2918" s="10">
        <v>370.5829</v>
      </c>
      <c r="C2918" s="10">
        <v>386.00110000000001</v>
      </c>
      <c r="D2918" s="10">
        <v>370.05520000000001</v>
      </c>
      <c r="E2918" s="13">
        <f t="shared" si="135"/>
        <v>-4.0763047807327112E-2</v>
      </c>
      <c r="F2918" s="9">
        <f t="shared" si="136"/>
        <v>-0.15508464022273735</v>
      </c>
      <c r="G2918" s="9">
        <f t="shared" si="137"/>
        <v>1.7909844087594187E-2</v>
      </c>
    </row>
    <row r="2919" spans="1:7" x14ac:dyDescent="0.2">
      <c r="A2919" s="11">
        <v>39311</v>
      </c>
      <c r="B2919" s="10">
        <v>380.67059999999998</v>
      </c>
      <c r="C2919" s="10">
        <v>383.90359999999998</v>
      </c>
      <c r="D2919" s="10">
        <v>365.11470000000003</v>
      </c>
      <c r="E2919" s="13">
        <f t="shared" si="135"/>
        <v>2.6857262849649535E-2</v>
      </c>
      <c r="F2919" s="9">
        <f t="shared" si="136"/>
        <v>-0.13465335428030359</v>
      </c>
      <c r="G2919" s="9">
        <f t="shared" si="137"/>
        <v>1.877070103416131E-2</v>
      </c>
    </row>
    <row r="2920" spans="1:7" x14ac:dyDescent="0.2">
      <c r="A2920" s="11">
        <v>39314</v>
      </c>
      <c r="B2920" s="10">
        <v>386.71109999999999</v>
      </c>
      <c r="C2920" s="10">
        <v>391.46120000000002</v>
      </c>
      <c r="D2920" s="10">
        <v>380.67059999999998</v>
      </c>
      <c r="E2920" s="13">
        <f t="shared" si="135"/>
        <v>1.5743468379294537E-2</v>
      </c>
      <c r="F2920" s="9">
        <f t="shared" si="136"/>
        <v>-0.11203181447800117</v>
      </c>
      <c r="G2920" s="9">
        <f t="shared" si="137"/>
        <v>1.9140900994505512E-2</v>
      </c>
    </row>
    <row r="2921" spans="1:7" x14ac:dyDescent="0.2">
      <c r="A2921" s="11">
        <v>39315</v>
      </c>
      <c r="B2921" s="10">
        <v>380.76400000000001</v>
      </c>
      <c r="C2921" s="10">
        <v>389.36040000000003</v>
      </c>
      <c r="D2921" s="10">
        <v>380.76400000000001</v>
      </c>
      <c r="E2921" s="13">
        <f t="shared" si="135"/>
        <v>-1.5498141990216574E-2</v>
      </c>
      <c r="F2921" s="9">
        <f t="shared" si="136"/>
        <v>-0.12771766059990106</v>
      </c>
      <c r="G2921" s="9">
        <f t="shared" si="137"/>
        <v>1.9243694073631072E-2</v>
      </c>
    </row>
    <row r="2922" spans="1:7" x14ac:dyDescent="0.2">
      <c r="A2922" s="11">
        <v>39316</v>
      </c>
      <c r="B2922" s="10">
        <v>388.93650000000002</v>
      </c>
      <c r="C2922" s="10">
        <v>390.4375</v>
      </c>
      <c r="D2922" s="10">
        <v>380.76400000000001</v>
      </c>
      <c r="E2922" s="13">
        <f t="shared" si="135"/>
        <v>2.1236330585845155E-2</v>
      </c>
      <c r="F2922" s="9">
        <f t="shared" si="136"/>
        <v>-0.12023421431380456</v>
      </c>
      <c r="G2922" s="9">
        <f t="shared" si="137"/>
        <v>1.9543703027302045E-2</v>
      </c>
    </row>
    <row r="2923" spans="1:7" x14ac:dyDescent="0.2">
      <c r="A2923" s="11">
        <v>39317</v>
      </c>
      <c r="B2923" s="10">
        <v>392.15750000000003</v>
      </c>
      <c r="C2923" s="10">
        <v>394.89600000000002</v>
      </c>
      <c r="D2923" s="10">
        <v>388.93650000000002</v>
      </c>
      <c r="E2923" s="13">
        <f t="shared" si="135"/>
        <v>8.2474535915335496E-3</v>
      </c>
      <c r="F2923" s="9">
        <f t="shared" si="136"/>
        <v>-0.11563150125778637</v>
      </c>
      <c r="G2923" s="9">
        <f t="shared" si="137"/>
        <v>1.9627739836303944E-2</v>
      </c>
    </row>
    <row r="2924" spans="1:7" x14ac:dyDescent="0.2">
      <c r="A2924" s="11">
        <v>39318</v>
      </c>
      <c r="B2924" s="10">
        <v>393.67079999999999</v>
      </c>
      <c r="C2924" s="10">
        <v>393.82479999999998</v>
      </c>
      <c r="D2924" s="10">
        <v>387.8356</v>
      </c>
      <c r="E2924" s="13">
        <f t="shared" si="135"/>
        <v>3.8514822402804442E-3</v>
      </c>
      <c r="F2924" s="9">
        <f t="shared" si="136"/>
        <v>-0.11218041223942647</v>
      </c>
      <c r="G2924" s="9">
        <f t="shared" si="137"/>
        <v>1.9665717730534868E-2</v>
      </c>
    </row>
    <row r="2925" spans="1:7" x14ac:dyDescent="0.2">
      <c r="A2925" s="11">
        <v>39321</v>
      </c>
      <c r="B2925" s="10">
        <v>391.2355</v>
      </c>
      <c r="C2925" s="10">
        <v>395.95069999999998</v>
      </c>
      <c r="D2925" s="10">
        <v>390.85730000000001</v>
      </c>
      <c r="E2925" s="13">
        <f t="shared" si="135"/>
        <v>-6.2053465860396036E-3</v>
      </c>
      <c r="F2925" s="9">
        <f t="shared" si="136"/>
        <v>-0.11274574622935975</v>
      </c>
      <c r="G2925" s="9">
        <f t="shared" si="137"/>
        <v>1.9667816822397759E-2</v>
      </c>
    </row>
    <row r="2926" spans="1:7" x14ac:dyDescent="0.2">
      <c r="A2926" s="11">
        <v>39322</v>
      </c>
      <c r="B2926" s="10">
        <v>383.11779999999999</v>
      </c>
      <c r="C2926" s="10">
        <v>391.39929999999998</v>
      </c>
      <c r="D2926" s="10">
        <v>382.30500000000001</v>
      </c>
      <c r="E2926" s="13">
        <f t="shared" si="135"/>
        <v>-2.096716677302023E-2</v>
      </c>
      <c r="F2926" s="9">
        <f t="shared" si="136"/>
        <v>-0.13299244447023958</v>
      </c>
      <c r="G2926" s="9">
        <f t="shared" si="137"/>
        <v>1.9909242701487431E-2</v>
      </c>
    </row>
    <row r="2927" spans="1:7" x14ac:dyDescent="0.2">
      <c r="A2927" s="11">
        <v>39323</v>
      </c>
      <c r="B2927" s="10">
        <v>385.33409999999998</v>
      </c>
      <c r="C2927" s="10">
        <v>387.46480000000003</v>
      </c>
      <c r="D2927" s="10">
        <v>376.54169999999999</v>
      </c>
      <c r="E2927" s="13">
        <f t="shared" si="135"/>
        <v>5.7682364899083981E-3</v>
      </c>
      <c r="F2927" s="9">
        <f t="shared" si="136"/>
        <v>-0.14199260221390916</v>
      </c>
      <c r="G2927" s="9">
        <f t="shared" si="137"/>
        <v>1.9665422755079362E-2</v>
      </c>
    </row>
    <row r="2928" spans="1:7" x14ac:dyDescent="0.2">
      <c r="A2928" s="11">
        <v>39324</v>
      </c>
      <c r="B2928" s="10">
        <v>392.01049999999998</v>
      </c>
      <c r="C2928" s="10">
        <v>393.99930000000001</v>
      </c>
      <c r="D2928" s="10">
        <v>385.33409999999998</v>
      </c>
      <c r="E2928" s="13">
        <f t="shared" si="135"/>
        <v>1.7177874964406405E-2</v>
      </c>
      <c r="F2928" s="9">
        <f t="shared" si="136"/>
        <v>-0.11714313721533921</v>
      </c>
      <c r="G2928" s="9">
        <f t="shared" si="137"/>
        <v>2.0077245200344641E-2</v>
      </c>
    </row>
    <row r="2929" spans="1:7" x14ac:dyDescent="0.2">
      <c r="A2929" s="11">
        <v>39325</v>
      </c>
      <c r="B2929" s="10">
        <v>399.16910000000001</v>
      </c>
      <c r="C2929" s="10">
        <v>401.01080000000002</v>
      </c>
      <c r="D2929" s="10">
        <v>392.01049999999998</v>
      </c>
      <c r="E2929" s="13">
        <f t="shared" si="135"/>
        <v>1.8096511485765441E-2</v>
      </c>
      <c r="F2929" s="9">
        <f t="shared" si="136"/>
        <v>-9.8907755466171046E-2</v>
      </c>
      <c r="G2929" s="9">
        <f t="shared" si="137"/>
        <v>2.0485186541335482E-2</v>
      </c>
    </row>
    <row r="2930" spans="1:7" x14ac:dyDescent="0.2">
      <c r="A2930" s="11">
        <v>39328</v>
      </c>
      <c r="B2930" s="10">
        <v>400.99970000000002</v>
      </c>
      <c r="C2930" s="10">
        <v>402.44690000000003</v>
      </c>
      <c r="D2930" s="10">
        <v>397.6182</v>
      </c>
      <c r="E2930" s="13">
        <f t="shared" si="135"/>
        <v>4.5755425448307423E-3</v>
      </c>
      <c r="F2930" s="9">
        <f t="shared" si="136"/>
        <v>-7.040668560664258E-2</v>
      </c>
      <c r="G2930" s="9">
        <f t="shared" si="137"/>
        <v>2.0146699923752506E-2</v>
      </c>
    </row>
    <row r="2931" spans="1:7" x14ac:dyDescent="0.2">
      <c r="A2931" s="11">
        <v>39329</v>
      </c>
      <c r="B2931" s="10">
        <v>405.8888</v>
      </c>
      <c r="C2931" s="10">
        <v>406.89699999999999</v>
      </c>
      <c r="D2931" s="10">
        <v>398.75889999999998</v>
      </c>
      <c r="E2931" s="13">
        <f t="shared" si="135"/>
        <v>1.2118551284341798E-2</v>
      </c>
      <c r="F2931" s="9">
        <f t="shared" si="136"/>
        <v>-5.0975940380511627E-2</v>
      </c>
      <c r="G2931" s="9">
        <f t="shared" si="137"/>
        <v>2.0300973835298247E-2</v>
      </c>
    </row>
    <row r="2932" spans="1:7" x14ac:dyDescent="0.2">
      <c r="A2932" s="11">
        <v>39330</v>
      </c>
      <c r="B2932" s="10">
        <v>406.26940000000002</v>
      </c>
      <c r="C2932" s="10">
        <v>411.79939999999999</v>
      </c>
      <c r="D2932" s="10">
        <v>404.54250000000002</v>
      </c>
      <c r="E2932" s="13">
        <f t="shared" si="135"/>
        <v>9.372558889670713E-4</v>
      </c>
      <c r="F2932" s="9">
        <f t="shared" si="136"/>
        <v>-2.4030727628959084E-2</v>
      </c>
      <c r="G2932" s="9">
        <f t="shared" si="137"/>
        <v>1.9760877476136723E-2</v>
      </c>
    </row>
    <row r="2933" spans="1:7" x14ac:dyDescent="0.2">
      <c r="A2933" s="11">
        <v>39331</v>
      </c>
      <c r="B2933" s="10">
        <v>408.77929999999998</v>
      </c>
      <c r="C2933" s="10">
        <v>412.68560000000002</v>
      </c>
      <c r="D2933" s="10">
        <v>405.7586</v>
      </c>
      <c r="E2933" s="13">
        <f t="shared" si="135"/>
        <v>6.158915249698407E-3</v>
      </c>
      <c r="F2933" s="9">
        <f t="shared" si="136"/>
        <v>-2.8500421074890946E-3</v>
      </c>
      <c r="G2933" s="9">
        <f t="shared" si="137"/>
        <v>1.9608394087256332E-2</v>
      </c>
    </row>
    <row r="2934" spans="1:7" x14ac:dyDescent="0.2">
      <c r="A2934" s="11">
        <v>39332</v>
      </c>
      <c r="B2934" s="10">
        <v>402.428</v>
      </c>
      <c r="C2934" s="10">
        <v>411.40769999999998</v>
      </c>
      <c r="D2934" s="10">
        <v>400.12099999999998</v>
      </c>
      <c r="E2934" s="13">
        <f t="shared" si="135"/>
        <v>-1.5659202729871473E-2</v>
      </c>
      <c r="F2934" s="9">
        <f t="shared" si="136"/>
        <v>-2.1469152842558282E-2</v>
      </c>
      <c r="G2934" s="9">
        <f t="shared" si="137"/>
        <v>1.9808485774676442E-2</v>
      </c>
    </row>
    <row r="2935" spans="1:7" x14ac:dyDescent="0.2">
      <c r="A2935" s="11">
        <v>39335</v>
      </c>
      <c r="B2935" s="10">
        <v>397.93169999999998</v>
      </c>
      <c r="C2935" s="10">
        <v>402.428</v>
      </c>
      <c r="D2935" s="10">
        <v>395.6431</v>
      </c>
      <c r="E2935" s="13">
        <f t="shared" si="135"/>
        <v>-1.1235816351857315E-2</v>
      </c>
      <c r="F2935" s="9">
        <f t="shared" si="136"/>
        <v>-5.0239744826339972E-2</v>
      </c>
      <c r="G2935" s="9">
        <f t="shared" si="137"/>
        <v>1.9579658376641013E-2</v>
      </c>
    </row>
    <row r="2936" spans="1:7" x14ac:dyDescent="0.2">
      <c r="A2936" s="11">
        <v>39336</v>
      </c>
      <c r="B2936" s="10">
        <v>403.91199999999998</v>
      </c>
      <c r="C2936" s="10">
        <v>405.21550000000002</v>
      </c>
      <c r="D2936" s="10">
        <v>397.93169999999998</v>
      </c>
      <c r="E2936" s="13">
        <f t="shared" si="135"/>
        <v>1.4916649934469676E-2</v>
      </c>
      <c r="F2936" s="9">
        <f t="shared" si="136"/>
        <v>-1.2457241541566549E-2</v>
      </c>
      <c r="G2936" s="9">
        <f t="shared" si="137"/>
        <v>1.9379212230979131E-2</v>
      </c>
    </row>
    <row r="2937" spans="1:7" x14ac:dyDescent="0.2">
      <c r="A2937" s="11">
        <v>39337</v>
      </c>
      <c r="B2937" s="10">
        <v>403.90699999999998</v>
      </c>
      <c r="C2937" s="10">
        <v>406.6277</v>
      </c>
      <c r="D2937" s="10">
        <v>401.2835</v>
      </c>
      <c r="E2937" s="13">
        <f t="shared" si="135"/>
        <v>-1.237901064480621E-5</v>
      </c>
      <c r="F2937" s="9">
        <f t="shared" si="136"/>
        <v>-2.0069979839230451E-2</v>
      </c>
      <c r="G2937" s="9">
        <f t="shared" si="137"/>
        <v>1.9318019249679384E-2</v>
      </c>
    </row>
    <row r="2938" spans="1:7" x14ac:dyDescent="0.2">
      <c r="A2938" s="11">
        <v>39338</v>
      </c>
      <c r="B2938" s="10">
        <v>412.18180000000001</v>
      </c>
      <c r="C2938" s="10">
        <v>412.71289999999999</v>
      </c>
      <c r="D2938" s="10">
        <v>403.27659999999997</v>
      </c>
      <c r="E2938" s="13">
        <f t="shared" si="135"/>
        <v>2.0279860716225659E-2</v>
      </c>
      <c r="F2938" s="9">
        <f t="shared" si="136"/>
        <v>1.9111957143355066E-2</v>
      </c>
      <c r="G2938" s="9">
        <f t="shared" si="137"/>
        <v>1.9369050188420892E-2</v>
      </c>
    </row>
    <row r="2939" spans="1:7" x14ac:dyDescent="0.2">
      <c r="A2939" s="11">
        <v>39339</v>
      </c>
      <c r="B2939" s="10">
        <v>410.93630000000002</v>
      </c>
      <c r="C2939" s="10">
        <v>412.85149999999999</v>
      </c>
      <c r="D2939" s="10">
        <v>406.05630000000002</v>
      </c>
      <c r="E2939" s="13">
        <f t="shared" si="135"/>
        <v>-3.0262995081134646E-3</v>
      </c>
      <c r="F2939" s="9">
        <f t="shared" si="136"/>
        <v>4.6058887236409808E-2</v>
      </c>
      <c r="G2939" s="9">
        <f t="shared" si="137"/>
        <v>1.8472653437562766E-2</v>
      </c>
    </row>
    <row r="2940" spans="1:7" x14ac:dyDescent="0.2">
      <c r="A2940" s="11">
        <v>39342</v>
      </c>
      <c r="B2940" s="10">
        <v>407.17090000000002</v>
      </c>
      <c r="C2940" s="10">
        <v>410.93630000000002</v>
      </c>
      <c r="D2940" s="10">
        <v>404.70729999999998</v>
      </c>
      <c r="E2940" s="13">
        <f t="shared" si="135"/>
        <v>-9.2052156213887331E-3</v>
      </c>
      <c r="F2940" s="9">
        <f t="shared" si="136"/>
        <v>2.3401035176199604E-2</v>
      </c>
      <c r="G2940" s="9">
        <f t="shared" si="137"/>
        <v>1.8432039137786026E-2</v>
      </c>
    </row>
    <row r="2941" spans="1:7" x14ac:dyDescent="0.2">
      <c r="A2941" s="11">
        <v>39343</v>
      </c>
      <c r="B2941" s="10">
        <v>408.74209999999999</v>
      </c>
      <c r="C2941" s="10">
        <v>409.09870000000001</v>
      </c>
      <c r="D2941" s="10">
        <v>404.44499999999999</v>
      </c>
      <c r="E2941" s="13">
        <f t="shared" si="135"/>
        <v>3.8513957791241654E-3</v>
      </c>
      <c r="F2941" s="9">
        <f t="shared" si="136"/>
        <v>-5.2564764172614254E-3</v>
      </c>
      <c r="G2941" s="9">
        <f t="shared" si="137"/>
        <v>1.7411671304408804E-2</v>
      </c>
    </row>
    <row r="2942" spans="1:7" x14ac:dyDescent="0.2">
      <c r="A2942" s="11">
        <v>39344</v>
      </c>
      <c r="B2942" s="10">
        <v>421.93599999999998</v>
      </c>
      <c r="C2942" s="10">
        <v>422.91649999999998</v>
      </c>
      <c r="D2942" s="10">
        <v>408.74209999999999</v>
      </c>
      <c r="E2942" s="13">
        <f t="shared" si="135"/>
        <v>3.1769248959320769E-2</v>
      </c>
      <c r="F2942" s="9">
        <f t="shared" si="136"/>
        <v>6.1320214994488656E-2</v>
      </c>
      <c r="G2942" s="9">
        <f t="shared" si="137"/>
        <v>1.7068847195092621E-2</v>
      </c>
    </row>
    <row r="2943" spans="1:7" x14ac:dyDescent="0.2">
      <c r="A2943" s="11">
        <v>39345</v>
      </c>
      <c r="B2943" s="10">
        <v>420.38850000000002</v>
      </c>
      <c r="C2943" s="10">
        <v>421.93599999999998</v>
      </c>
      <c r="D2943" s="10">
        <v>417.476</v>
      </c>
      <c r="E2943" s="13">
        <f t="shared" si="135"/>
        <v>-3.6743600383365967E-3</v>
      </c>
      <c r="F2943" s="9">
        <f t="shared" si="136"/>
        <v>8.4966855073531355E-2</v>
      </c>
      <c r="G2943" s="9">
        <f t="shared" si="137"/>
        <v>1.6152682708535964E-2</v>
      </c>
    </row>
    <row r="2944" spans="1:7" x14ac:dyDescent="0.2">
      <c r="A2944" s="11">
        <v>39346</v>
      </c>
      <c r="B2944" s="10">
        <v>423.60129999999998</v>
      </c>
      <c r="C2944" s="10">
        <v>424.36689999999999</v>
      </c>
      <c r="D2944" s="10">
        <v>418.55860000000001</v>
      </c>
      <c r="E2944" s="13">
        <f t="shared" si="135"/>
        <v>7.6133989269488453E-3</v>
      </c>
      <c r="F2944" s="9">
        <f t="shared" si="136"/>
        <v>7.3683152687206641E-2</v>
      </c>
      <c r="G2944" s="9">
        <f t="shared" si="137"/>
        <v>1.5888056481461525E-2</v>
      </c>
    </row>
    <row r="2945" spans="1:7" x14ac:dyDescent="0.2">
      <c r="A2945" s="11">
        <v>39349</v>
      </c>
      <c r="B2945" s="10">
        <v>424.95370000000003</v>
      </c>
      <c r="C2945" s="10">
        <v>429.7681</v>
      </c>
      <c r="D2945" s="10">
        <v>422.87439999999998</v>
      </c>
      <c r="E2945" s="13">
        <f t="shared" si="135"/>
        <v>3.1875391579274815E-3</v>
      </c>
      <c r="F2945" s="9">
        <f t="shared" si="136"/>
        <v>7.845843762211821E-2</v>
      </c>
      <c r="G2945" s="9">
        <f t="shared" si="137"/>
        <v>1.5868473416349903E-2</v>
      </c>
    </row>
    <row r="2946" spans="1:7" x14ac:dyDescent="0.2">
      <c r="A2946" s="11">
        <v>39350</v>
      </c>
      <c r="B2946" s="10">
        <v>418.52699999999999</v>
      </c>
      <c r="C2946" s="10">
        <v>424.95370000000003</v>
      </c>
      <c r="D2946" s="10">
        <v>415.83350000000002</v>
      </c>
      <c r="E2946" s="13">
        <f t="shared" si="135"/>
        <v>-1.5238817835939063E-2</v>
      </c>
      <c r="F2946" s="9">
        <f t="shared" si="136"/>
        <v>8.0901184775783369E-2</v>
      </c>
      <c r="G2946" s="9">
        <f t="shared" si="137"/>
        <v>1.5762520084297137E-2</v>
      </c>
    </row>
    <row r="2947" spans="1:7" x14ac:dyDescent="0.2">
      <c r="A2947" s="11">
        <v>39351</v>
      </c>
      <c r="B2947" s="10">
        <v>421.06299999999999</v>
      </c>
      <c r="C2947" s="10">
        <v>422.61070000000001</v>
      </c>
      <c r="D2947" s="10">
        <v>418.52699999999999</v>
      </c>
      <c r="E2947" s="13">
        <f t="shared" si="135"/>
        <v>6.0410622148559679E-3</v>
      </c>
      <c r="F2947" s="9">
        <f t="shared" si="136"/>
        <v>0.12770529479796636</v>
      </c>
      <c r="G2947" s="9">
        <f t="shared" si="137"/>
        <v>1.3356363126077382E-2</v>
      </c>
    </row>
    <row r="2948" spans="1:7" x14ac:dyDescent="0.2">
      <c r="A2948" s="11">
        <v>39352</v>
      </c>
      <c r="B2948" s="10">
        <v>422.11610000000002</v>
      </c>
      <c r="C2948" s="10">
        <v>424.8689</v>
      </c>
      <c r="D2948" s="10">
        <v>419.67439999999999</v>
      </c>
      <c r="E2948" s="13">
        <f t="shared" ref="E2948:E3011" si="138">LN(B2948/B2947)</f>
        <v>2.4979284889319565E-3</v>
      </c>
      <c r="F2948" s="9">
        <f t="shared" si="136"/>
        <v>0.10334596043724859</v>
      </c>
      <c r="G2948" s="9">
        <f t="shared" si="137"/>
        <v>1.2640627579326588E-2</v>
      </c>
    </row>
    <row r="2949" spans="1:7" x14ac:dyDescent="0.2">
      <c r="A2949" s="11">
        <v>39353</v>
      </c>
      <c r="B2949" s="10">
        <v>423.12740000000002</v>
      </c>
      <c r="C2949" s="10">
        <v>426.40690000000001</v>
      </c>
      <c r="D2949" s="10">
        <v>421.12720000000002</v>
      </c>
      <c r="E2949" s="13">
        <f t="shared" si="138"/>
        <v>2.3929210518972015E-3</v>
      </c>
      <c r="F2949" s="9">
        <f t="shared" si="136"/>
        <v>8.9995413109851236E-2</v>
      </c>
      <c r="G2949" s="9">
        <f t="shared" si="137"/>
        <v>1.2422430262577938E-2</v>
      </c>
    </row>
    <row r="2950" spans="1:7" x14ac:dyDescent="0.2">
      <c r="A2950" s="11">
        <v>39356</v>
      </c>
      <c r="B2950" s="10">
        <v>425.14640000000003</v>
      </c>
      <c r="C2950" s="10">
        <v>425.21859999999998</v>
      </c>
      <c r="D2950" s="10">
        <v>420.11900000000003</v>
      </c>
      <c r="E2950" s="13">
        <f t="shared" si="138"/>
        <v>4.7602644631093132E-3</v>
      </c>
      <c r="F2950" s="9">
        <f t="shared" si="136"/>
        <v>0.11025381956317713</v>
      </c>
      <c r="G2950" s="9">
        <f t="shared" si="137"/>
        <v>1.1897553951563783E-2</v>
      </c>
    </row>
    <row r="2951" spans="1:7" x14ac:dyDescent="0.2">
      <c r="A2951" s="11">
        <v>39357</v>
      </c>
      <c r="B2951" s="10">
        <v>420.85140000000001</v>
      </c>
      <c r="C2951" s="10">
        <v>430.03930000000003</v>
      </c>
      <c r="D2951" s="10">
        <v>420.77229999999997</v>
      </c>
      <c r="E2951" s="13">
        <f t="shared" si="138"/>
        <v>-1.0153777943301872E-2</v>
      </c>
      <c r="F2951" s="9">
        <f t="shared" si="136"/>
        <v>7.8863711034030351E-2</v>
      </c>
      <c r="G2951" s="9">
        <f t="shared" si="137"/>
        <v>1.1680679594355101E-2</v>
      </c>
    </row>
    <row r="2952" spans="1:7" x14ac:dyDescent="0.2">
      <c r="A2952" s="11">
        <v>39358</v>
      </c>
      <c r="B2952" s="10">
        <v>413.39839999999998</v>
      </c>
      <c r="C2952" s="10">
        <v>423.40359999999998</v>
      </c>
      <c r="D2952" s="10">
        <v>412.15519999999998</v>
      </c>
      <c r="E2952" s="13">
        <f t="shared" si="138"/>
        <v>-1.7868025356293647E-2</v>
      </c>
      <c r="F2952" s="9">
        <f t="shared" si="136"/>
        <v>5.2748232086203092E-2</v>
      </c>
      <c r="G2952" s="9">
        <f t="shared" si="137"/>
        <v>1.2232916015781903E-2</v>
      </c>
    </row>
    <row r="2953" spans="1:7" x14ac:dyDescent="0.2">
      <c r="A2953" s="11">
        <v>39359</v>
      </c>
      <c r="B2953" s="10">
        <v>412.12259999999998</v>
      </c>
      <c r="C2953" s="10">
        <v>416.0351</v>
      </c>
      <c r="D2953" s="10">
        <v>410.94799999999998</v>
      </c>
      <c r="E2953" s="13">
        <f t="shared" si="138"/>
        <v>-3.0908989976336158E-3</v>
      </c>
      <c r="F2953" s="9">
        <f t="shared" si="136"/>
        <v>4.5805850848289059E-2</v>
      </c>
      <c r="G2953" s="9">
        <f t="shared" si="137"/>
        <v>1.2259619261381523E-2</v>
      </c>
    </row>
    <row r="2954" spans="1:7" x14ac:dyDescent="0.2">
      <c r="A2954" s="11">
        <v>39360</v>
      </c>
      <c r="B2954" s="10">
        <v>414.41629999999998</v>
      </c>
      <c r="C2954" s="10">
        <v>415.24709999999999</v>
      </c>
      <c r="D2954" s="10">
        <v>409.05680000000001</v>
      </c>
      <c r="E2954" s="13">
        <f t="shared" si="138"/>
        <v>5.5501462494953156E-3</v>
      </c>
      <c r="F2954" s="9">
        <f t="shared" si="136"/>
        <v>5.756134368382395E-2</v>
      </c>
      <c r="G2954" s="9">
        <f t="shared" si="137"/>
        <v>1.2187153785542802E-2</v>
      </c>
    </row>
    <row r="2955" spans="1:7" x14ac:dyDescent="0.2">
      <c r="A2955" s="11">
        <v>39363</v>
      </c>
      <c r="B2955" s="10">
        <v>414.04480000000001</v>
      </c>
      <c r="C2955" s="10">
        <v>417.88920000000002</v>
      </c>
      <c r="D2955" s="10">
        <v>413.42360000000002</v>
      </c>
      <c r="E2955" s="13">
        <f t="shared" si="138"/>
        <v>-8.9684361740250502E-4</v>
      </c>
      <c r="F2955" s="9">
        <f t="shared" si="136"/>
        <v>7.7631666839441588E-2</v>
      </c>
      <c r="G2955" s="9">
        <f t="shared" si="137"/>
        <v>1.138038089298187E-2</v>
      </c>
    </row>
    <row r="2956" spans="1:7" x14ac:dyDescent="0.2">
      <c r="A2956" s="11">
        <v>39364</v>
      </c>
      <c r="B2956" s="10">
        <v>415.11680000000001</v>
      </c>
      <c r="C2956" s="10">
        <v>416.39089999999999</v>
      </c>
      <c r="D2956" s="10">
        <v>410.56330000000003</v>
      </c>
      <c r="E2956" s="13">
        <f t="shared" si="138"/>
        <v>2.5857458842519407E-3</v>
      </c>
      <c r="F2956" s="9">
        <f t="shared" si="136"/>
        <v>7.4449176233785316E-2</v>
      </c>
      <c r="G2956" s="9">
        <f t="shared" si="137"/>
        <v>1.136484080294534E-2</v>
      </c>
    </row>
    <row r="2957" spans="1:7" x14ac:dyDescent="0.2">
      <c r="A2957" s="11">
        <v>39365</v>
      </c>
      <c r="B2957" s="10">
        <v>416.82330000000002</v>
      </c>
      <c r="C2957" s="10">
        <v>417.99650000000003</v>
      </c>
      <c r="D2957" s="10">
        <v>414.6182</v>
      </c>
      <c r="E2957" s="13">
        <f t="shared" si="138"/>
        <v>4.1024645726206784E-3</v>
      </c>
      <c r="F2957" s="9">
        <f t="shared" si="136"/>
        <v>6.1373765841999391E-2</v>
      </c>
      <c r="G2957" s="9">
        <f t="shared" si="137"/>
        <v>1.1018586802341549E-2</v>
      </c>
    </row>
    <row r="2958" spans="1:7" x14ac:dyDescent="0.2">
      <c r="A2958" s="11">
        <v>39366</v>
      </c>
      <c r="B2958" s="10">
        <v>427.70350000000002</v>
      </c>
      <c r="C2958" s="10">
        <v>428.16820000000001</v>
      </c>
      <c r="D2958" s="10">
        <v>416.82330000000002</v>
      </c>
      <c r="E2958" s="13">
        <f t="shared" si="138"/>
        <v>2.5767807517418761E-2</v>
      </c>
      <c r="F2958" s="9">
        <f t="shared" si="136"/>
        <v>6.9045061873652641E-2</v>
      </c>
      <c r="G2958" s="9">
        <f t="shared" si="137"/>
        <v>1.1497602172123591E-2</v>
      </c>
    </row>
    <row r="2959" spans="1:7" x14ac:dyDescent="0.2">
      <c r="A2959" s="11">
        <v>39367</v>
      </c>
      <c r="B2959" s="10">
        <v>429.83839999999998</v>
      </c>
      <c r="C2959" s="10">
        <v>429.87139999999999</v>
      </c>
      <c r="D2959" s="10">
        <v>423.09059999999999</v>
      </c>
      <c r="E2959" s="13">
        <f t="shared" si="138"/>
        <v>4.9791255929225045E-3</v>
      </c>
      <c r="F2959" s="9">
        <f t="shared" si="136"/>
        <v>6.9448644921744448E-2</v>
      </c>
      <c r="G2959" s="9">
        <f t="shared" si="137"/>
        <v>1.1500597333144484E-2</v>
      </c>
    </row>
    <row r="2960" spans="1:7" x14ac:dyDescent="0.2">
      <c r="A2960" s="11">
        <v>39370</v>
      </c>
      <c r="B2960" s="10">
        <v>432.97770000000003</v>
      </c>
      <c r="C2960" s="10">
        <v>434.92750000000001</v>
      </c>
      <c r="D2960" s="10">
        <v>429.83839999999998</v>
      </c>
      <c r="E2960" s="13">
        <f t="shared" si="138"/>
        <v>7.2769014231674894E-3</v>
      </c>
      <c r="F2960" s="9">
        <f t="shared" si="136"/>
        <v>6.460699506057016E-2</v>
      </c>
      <c r="G2960" s="9">
        <f t="shared" si="137"/>
        <v>1.1388998062574394E-2</v>
      </c>
    </row>
    <row r="2961" spans="1:7" x14ac:dyDescent="0.2">
      <c r="A2961" s="11">
        <v>39371</v>
      </c>
      <c r="B2961" s="10">
        <v>428.64139999999998</v>
      </c>
      <c r="C2961" s="10">
        <v>432.97770000000003</v>
      </c>
      <c r="D2961" s="10">
        <v>426.27409999999998</v>
      </c>
      <c r="E2961" s="13">
        <f t="shared" si="138"/>
        <v>-1.0065553586477132E-2</v>
      </c>
      <c r="F2961" s="9">
        <f t="shared" si="136"/>
        <v>5.3604185585125898E-2</v>
      </c>
      <c r="G2961" s="9">
        <f t="shared" si="137"/>
        <v>1.1614564207667162E-2</v>
      </c>
    </row>
    <row r="2962" spans="1:7" x14ac:dyDescent="0.2">
      <c r="A2962" s="11">
        <v>39372</v>
      </c>
      <c r="B2962" s="10">
        <v>429.24880000000002</v>
      </c>
      <c r="C2962" s="10">
        <v>430.84649999999999</v>
      </c>
      <c r="D2962" s="10">
        <v>424.17720000000003</v>
      </c>
      <c r="E2962" s="13">
        <f t="shared" si="138"/>
        <v>1.4160322649540216E-3</v>
      </c>
      <c r="F2962" s="9">
        <f t="shared" si="136"/>
        <v>4.886130260038133E-2</v>
      </c>
      <c r="G2962" s="9">
        <f t="shared" si="137"/>
        <v>1.1585054646710159E-2</v>
      </c>
    </row>
    <row r="2963" spans="1:7" x14ac:dyDescent="0.2">
      <c r="A2963" s="11">
        <v>39373</v>
      </c>
      <c r="B2963" s="10">
        <v>422.26409999999998</v>
      </c>
      <c r="C2963" s="10">
        <v>430.3655</v>
      </c>
      <c r="D2963" s="10">
        <v>420.57029999999997</v>
      </c>
      <c r="E2963" s="13">
        <f t="shared" si="138"/>
        <v>-1.6405756529646865E-2</v>
      </c>
      <c r="F2963" s="9">
        <f t="shared" si="136"/>
        <v>4.8114748800605997E-2</v>
      </c>
      <c r="G2963" s="9">
        <f t="shared" si="137"/>
        <v>1.1625729542527352E-2</v>
      </c>
    </row>
    <row r="2964" spans="1:7" x14ac:dyDescent="0.2">
      <c r="A2964" s="11">
        <v>39374</v>
      </c>
      <c r="B2964" s="10">
        <v>422.79590000000002</v>
      </c>
      <c r="C2964" s="10">
        <v>427.77609999999999</v>
      </c>
      <c r="D2964" s="10">
        <v>421.44549999999998</v>
      </c>
      <c r="E2964" s="13">
        <f t="shared" si="138"/>
        <v>1.258609022322403E-3</v>
      </c>
      <c r="F2964" s="9">
        <f t="shared" si="136"/>
        <v>6.0609174174785889E-2</v>
      </c>
      <c r="G2964" s="9">
        <f t="shared" si="137"/>
        <v>1.1359247514371449E-2</v>
      </c>
    </row>
    <row r="2965" spans="1:7" x14ac:dyDescent="0.2">
      <c r="A2965" s="11">
        <v>39377</v>
      </c>
      <c r="B2965" s="10">
        <v>412.53269999999998</v>
      </c>
      <c r="C2965" s="10">
        <v>422.79590000000002</v>
      </c>
      <c r="D2965" s="10">
        <v>408.4769</v>
      </c>
      <c r="E2965" s="13">
        <f t="shared" si="138"/>
        <v>-2.4574081332586192E-2</v>
      </c>
      <c r="F2965" s="9">
        <f t="shared" si="136"/>
        <v>2.1118442907729865E-2</v>
      </c>
      <c r="G2965" s="9">
        <f t="shared" si="137"/>
        <v>1.2109001481246455E-2</v>
      </c>
    </row>
    <row r="2966" spans="1:7" x14ac:dyDescent="0.2">
      <c r="A2966" s="11">
        <v>39378</v>
      </c>
      <c r="B2966" s="10">
        <v>421.82690000000002</v>
      </c>
      <c r="C2966" s="10">
        <v>422.68990000000002</v>
      </c>
      <c r="D2966" s="10">
        <v>412.53269999999998</v>
      </c>
      <c r="E2966" s="13">
        <f t="shared" si="138"/>
        <v>2.2279564951704637E-2</v>
      </c>
      <c r="F2966" s="9">
        <f t="shared" si="136"/>
        <v>4.341038687007942E-2</v>
      </c>
      <c r="G2966" s="9">
        <f t="shared" si="137"/>
        <v>1.2750851532372705E-2</v>
      </c>
    </row>
    <row r="2967" spans="1:7" x14ac:dyDescent="0.2">
      <c r="A2967" s="11">
        <v>39379</v>
      </c>
      <c r="B2967" s="10">
        <v>421.63440000000003</v>
      </c>
      <c r="C2967" s="10">
        <v>426.03109999999998</v>
      </c>
      <c r="D2967" s="10">
        <v>420.85419999999999</v>
      </c>
      <c r="E2967" s="13">
        <f t="shared" si="138"/>
        <v>-4.5645248535349507E-4</v>
      </c>
      <c r="F2967" s="9">
        <f t="shared" si="136"/>
        <v>2.26740736685003E-2</v>
      </c>
      <c r="G2967" s="9">
        <f t="shared" si="137"/>
        <v>1.2230738493055622E-2</v>
      </c>
    </row>
    <row r="2968" spans="1:7" x14ac:dyDescent="0.2">
      <c r="A2968" s="11">
        <v>39380</v>
      </c>
      <c r="B2968" s="10">
        <v>429.48899999999998</v>
      </c>
      <c r="C2968" s="10">
        <v>432.06630000000001</v>
      </c>
      <c r="D2968" s="10">
        <v>421.19659999999999</v>
      </c>
      <c r="E2968" s="13">
        <f t="shared" si="138"/>
        <v>1.8457542094109592E-2</v>
      </c>
      <c r="F2968" s="9">
        <f t="shared" si="136"/>
        <v>4.4157915270723158E-2</v>
      </c>
      <c r="G2968" s="9">
        <f t="shared" si="137"/>
        <v>1.2635775104590265E-2</v>
      </c>
    </row>
    <row r="2969" spans="1:7" x14ac:dyDescent="0.2">
      <c r="A2969" s="11">
        <v>39381</v>
      </c>
      <c r="B2969" s="10">
        <v>433.06810000000002</v>
      </c>
      <c r="C2969" s="10">
        <v>436.23410000000001</v>
      </c>
      <c r="D2969" s="10">
        <v>429.48849999999999</v>
      </c>
      <c r="E2969" s="13">
        <f t="shared" si="138"/>
        <v>8.2988605423382107E-3</v>
      </c>
      <c r="F2969" s="9">
        <f t="shared" si="136"/>
        <v>6.1661991434450274E-2</v>
      </c>
      <c r="G2969" s="9">
        <f t="shared" si="137"/>
        <v>1.2522582640217226E-2</v>
      </c>
    </row>
    <row r="2970" spans="1:7" x14ac:dyDescent="0.2">
      <c r="A2970" s="11">
        <v>39384</v>
      </c>
      <c r="B2970" s="10">
        <v>439.34879999999998</v>
      </c>
      <c r="C2970" s="10">
        <v>439.94510000000002</v>
      </c>
      <c r="D2970" s="10">
        <v>433.06810000000002</v>
      </c>
      <c r="E2970" s="13">
        <f t="shared" si="138"/>
        <v>1.4398640167617738E-2</v>
      </c>
      <c r="F2970" s="9">
        <f t="shared" si="136"/>
        <v>7.2209235822943821E-2</v>
      </c>
      <c r="G2970" s="9">
        <f t="shared" si="137"/>
        <v>1.2725987202882609E-2</v>
      </c>
    </row>
    <row r="2971" spans="1:7" x14ac:dyDescent="0.2">
      <c r="A2971" s="11">
        <v>39385</v>
      </c>
      <c r="B2971" s="10">
        <v>432.97809999999998</v>
      </c>
      <c r="C2971" s="10">
        <v>439.88619999999997</v>
      </c>
      <c r="D2971" s="10">
        <v>431.7867</v>
      </c>
      <c r="E2971" s="13">
        <f t="shared" si="138"/>
        <v>-1.4606481274302488E-2</v>
      </c>
      <c r="F2971" s="9">
        <f t="shared" si="136"/>
        <v>2.5833505589320706E-2</v>
      </c>
      <c r="G2971" s="9">
        <f t="shared" si="137"/>
        <v>1.1795082902961518E-2</v>
      </c>
    </row>
    <row r="2972" spans="1:7" x14ac:dyDescent="0.2">
      <c r="A2972" s="11">
        <v>39386</v>
      </c>
      <c r="B2972" s="10">
        <v>438.03579999999999</v>
      </c>
      <c r="C2972" s="10">
        <v>438.06549999999999</v>
      </c>
      <c r="D2972" s="10">
        <v>429.15379999999999</v>
      </c>
      <c r="E2972" s="13">
        <f t="shared" si="138"/>
        <v>1.1613492839921278E-2</v>
      </c>
      <c r="F2972" s="9">
        <f t="shared" si="136"/>
        <v>4.1121358467578348E-2</v>
      </c>
      <c r="G2972" s="9">
        <f t="shared" si="137"/>
        <v>1.1924685284677732E-2</v>
      </c>
    </row>
    <row r="2973" spans="1:7" x14ac:dyDescent="0.2">
      <c r="A2973" s="11">
        <v>39387</v>
      </c>
      <c r="B2973" s="10">
        <v>431.90750000000003</v>
      </c>
      <c r="C2973" s="10">
        <v>443.02499999999998</v>
      </c>
      <c r="D2973" s="10">
        <v>428.83879999999999</v>
      </c>
      <c r="E2973" s="13">
        <f t="shared" si="138"/>
        <v>-1.4089197249426614E-2</v>
      </c>
      <c r="F2973" s="9">
        <f t="shared" si="136"/>
        <v>1.941876229120296E-2</v>
      </c>
      <c r="G2973" s="9">
        <f t="shared" si="137"/>
        <v>1.2199817186271972E-2</v>
      </c>
    </row>
    <row r="2974" spans="1:7" x14ac:dyDescent="0.2">
      <c r="A2974" s="11">
        <v>39388</v>
      </c>
      <c r="B2974" s="10">
        <v>430.15050000000002</v>
      </c>
      <c r="C2974" s="10">
        <v>434.5034</v>
      </c>
      <c r="D2974" s="10">
        <v>426.43220000000002</v>
      </c>
      <c r="E2974" s="13">
        <f t="shared" si="138"/>
        <v>-4.0762974948046126E-3</v>
      </c>
      <c r="F2974" s="9">
        <f t="shared" si="136"/>
        <v>1.2154925638470667E-2</v>
      </c>
      <c r="G2974" s="9">
        <f t="shared" si="137"/>
        <v>1.2220824417754088E-2</v>
      </c>
    </row>
    <row r="2975" spans="1:7" x14ac:dyDescent="0.2">
      <c r="A2975" s="11">
        <v>39391</v>
      </c>
      <c r="B2975" s="10">
        <v>428.43060000000003</v>
      </c>
      <c r="C2975" s="10">
        <v>432.85520000000002</v>
      </c>
      <c r="D2975" s="10">
        <v>427.83080000000001</v>
      </c>
      <c r="E2975" s="13">
        <f t="shared" si="138"/>
        <v>-4.0063828577726552E-3</v>
      </c>
      <c r="F2975" s="9">
        <f t="shared" si="136"/>
        <v>2.3387360616637105E-2</v>
      </c>
      <c r="G2975" s="9">
        <f t="shared" si="137"/>
        <v>1.1880089121390774E-2</v>
      </c>
    </row>
    <row r="2976" spans="1:7" x14ac:dyDescent="0.2">
      <c r="A2976" s="11">
        <v>39392</v>
      </c>
      <c r="B2976" s="10">
        <v>438.92770000000002</v>
      </c>
      <c r="C2976" s="10">
        <v>439.10500000000002</v>
      </c>
      <c r="D2976" s="10">
        <v>428.43060000000003</v>
      </c>
      <c r="E2976" s="13">
        <f t="shared" si="138"/>
        <v>2.4205942434836088E-2</v>
      </c>
      <c r="F2976" s="9">
        <f t="shared" ref="F2976:F3039" si="139">LN(B2976/B2947)</f>
        <v>4.1552240836617294E-2</v>
      </c>
      <c r="G2976" s="9">
        <f t="shared" si="137"/>
        <v>1.2621663848924198E-2</v>
      </c>
    </row>
    <row r="2977" spans="1:7" x14ac:dyDescent="0.2">
      <c r="A2977" s="11">
        <v>39393</v>
      </c>
      <c r="B2977" s="10">
        <v>440.1712</v>
      </c>
      <c r="C2977" s="10">
        <v>442.98849999999999</v>
      </c>
      <c r="D2977" s="10">
        <v>435.4409</v>
      </c>
      <c r="E2977" s="13">
        <f t="shared" si="138"/>
        <v>2.8290351161998476E-3</v>
      </c>
      <c r="F2977" s="9">
        <f t="shared" si="139"/>
        <v>4.1883347463885306E-2</v>
      </c>
      <c r="G2977" s="9">
        <f t="shared" ref="G2977:G3040" si="140">STDEV(E2949:E2977)</f>
        <v>1.2622811440377498E-2</v>
      </c>
    </row>
    <row r="2978" spans="1:7" x14ac:dyDescent="0.2">
      <c r="A2978" s="11">
        <v>39394</v>
      </c>
      <c r="B2978" s="10">
        <v>439.66809999999998</v>
      </c>
      <c r="C2978" s="10">
        <v>441.98160000000001</v>
      </c>
      <c r="D2978" s="10">
        <v>430.53410000000002</v>
      </c>
      <c r="E2978" s="13">
        <f t="shared" si="138"/>
        <v>-1.1436180557793795E-3</v>
      </c>
      <c r="F2978" s="9">
        <f t="shared" si="139"/>
        <v>3.8346808356208829E-2</v>
      </c>
      <c r="G2978" s="9">
        <f t="shared" si="140"/>
        <v>1.2630400048700554E-2</v>
      </c>
    </row>
    <row r="2979" spans="1:7" x14ac:dyDescent="0.2">
      <c r="A2979" s="11">
        <v>39395</v>
      </c>
      <c r="B2979" s="10">
        <v>434.03449999999998</v>
      </c>
      <c r="C2979" s="10">
        <v>443.92880000000002</v>
      </c>
      <c r="D2979" s="10">
        <v>430.89479999999998</v>
      </c>
      <c r="E2979" s="13">
        <f t="shared" si="138"/>
        <v>-1.289610006082559E-2</v>
      </c>
      <c r="F2979" s="9">
        <f t="shared" si="139"/>
        <v>2.0690443832273812E-2</v>
      </c>
      <c r="G2979" s="9">
        <f t="shared" si="140"/>
        <v>1.2881811207748667E-2</v>
      </c>
    </row>
    <row r="2980" spans="1:7" x14ac:dyDescent="0.2">
      <c r="A2980" s="11">
        <v>39398</v>
      </c>
      <c r="B2980" s="10">
        <v>422.98849999999999</v>
      </c>
      <c r="C2980" s="10">
        <v>434.03449999999998</v>
      </c>
      <c r="D2980" s="10">
        <v>421.88990000000001</v>
      </c>
      <c r="E2980" s="13">
        <f t="shared" si="138"/>
        <v>-2.5779032113072448E-2</v>
      </c>
      <c r="F2980" s="9">
        <f t="shared" si="139"/>
        <v>5.0651896625032323E-3</v>
      </c>
      <c r="G2980" s="9">
        <f t="shared" si="140"/>
        <v>1.3656089893967875E-2</v>
      </c>
    </row>
    <row r="2981" spans="1:7" x14ac:dyDescent="0.2">
      <c r="A2981" s="11">
        <v>39399</v>
      </c>
      <c r="B2981" s="10">
        <v>417.68630000000002</v>
      </c>
      <c r="C2981" s="10">
        <v>422.98849999999999</v>
      </c>
      <c r="D2981" s="10">
        <v>412.91140000000001</v>
      </c>
      <c r="E2981" s="13">
        <f t="shared" si="138"/>
        <v>-1.2614319609564868E-2</v>
      </c>
      <c r="F2981" s="9">
        <f t="shared" si="139"/>
        <v>1.0318895409232004E-2</v>
      </c>
      <c r="G2981" s="9">
        <f t="shared" si="140"/>
        <v>1.3441345950261998E-2</v>
      </c>
    </row>
    <row r="2982" spans="1:7" x14ac:dyDescent="0.2">
      <c r="A2982" s="11">
        <v>39400</v>
      </c>
      <c r="B2982" s="10">
        <v>421.97469999999998</v>
      </c>
      <c r="C2982" s="10">
        <v>425.58659999999998</v>
      </c>
      <c r="D2982" s="10">
        <v>417.68630000000002</v>
      </c>
      <c r="E2982" s="13">
        <f t="shared" si="138"/>
        <v>1.0214687326230208E-2</v>
      </c>
      <c r="F2982" s="9">
        <f t="shared" si="139"/>
        <v>2.362448173309593E-2</v>
      </c>
      <c r="G2982" s="9">
        <f t="shared" si="140"/>
        <v>1.354617285656535E-2</v>
      </c>
    </row>
    <row r="2983" spans="1:7" x14ac:dyDescent="0.2">
      <c r="A2983" s="11">
        <v>39401</v>
      </c>
      <c r="B2983" s="10">
        <v>414.55529999999999</v>
      </c>
      <c r="C2983" s="10">
        <v>421.97469999999998</v>
      </c>
      <c r="D2983" s="10">
        <v>413.1626</v>
      </c>
      <c r="E2983" s="13">
        <f t="shared" si="138"/>
        <v>-1.7738980204112905E-2</v>
      </c>
      <c r="F2983" s="9">
        <f t="shared" si="139"/>
        <v>3.3535527948782374E-4</v>
      </c>
      <c r="G2983" s="9">
        <f t="shared" si="140"/>
        <v>1.3940018414326653E-2</v>
      </c>
    </row>
    <row r="2984" spans="1:7" x14ac:dyDescent="0.2">
      <c r="A2984" s="11">
        <v>39402</v>
      </c>
      <c r="B2984" s="10">
        <v>409.21019999999999</v>
      </c>
      <c r="C2984" s="10">
        <v>414.55529999999999</v>
      </c>
      <c r="D2984" s="10">
        <v>405.04899999999998</v>
      </c>
      <c r="E2984" s="13">
        <f t="shared" si="138"/>
        <v>-1.2977418975010722E-2</v>
      </c>
      <c r="F2984" s="9">
        <f t="shared" si="139"/>
        <v>-1.1745220078120375E-2</v>
      </c>
      <c r="G2984" s="9">
        <f t="shared" si="140"/>
        <v>1.4147098673432652E-2</v>
      </c>
    </row>
    <row r="2985" spans="1:7" x14ac:dyDescent="0.2">
      <c r="A2985" s="11">
        <v>39405</v>
      </c>
      <c r="B2985" s="10">
        <v>398.1198</v>
      </c>
      <c r="C2985" s="10">
        <v>414.36579999999998</v>
      </c>
      <c r="D2985" s="10">
        <v>397.67829999999998</v>
      </c>
      <c r="E2985" s="13">
        <f t="shared" si="138"/>
        <v>-2.7475995436384296E-2</v>
      </c>
      <c r="F2985" s="9">
        <f t="shared" si="139"/>
        <v>-4.1806961398756629E-2</v>
      </c>
      <c r="G2985" s="9">
        <f t="shared" si="140"/>
        <v>1.4996026433638759E-2</v>
      </c>
    </row>
    <row r="2986" spans="1:7" x14ac:dyDescent="0.2">
      <c r="A2986" s="11">
        <v>39406</v>
      </c>
      <c r="B2986" s="10">
        <v>406.99560000000002</v>
      </c>
      <c r="C2986" s="10">
        <v>407.39460000000003</v>
      </c>
      <c r="D2986" s="10">
        <v>392.68549999999999</v>
      </c>
      <c r="E2986" s="13">
        <f t="shared" si="138"/>
        <v>2.2049409556707634E-2</v>
      </c>
      <c r="F2986" s="9">
        <f t="shared" si="139"/>
        <v>-2.3860016414669817E-2</v>
      </c>
      <c r="G2986" s="9">
        <f t="shared" si="140"/>
        <v>1.5591489860268882E-2</v>
      </c>
    </row>
    <row r="2987" spans="1:7" x14ac:dyDescent="0.2">
      <c r="A2987" s="11">
        <v>39407</v>
      </c>
      <c r="B2987" s="10">
        <v>400.37880000000001</v>
      </c>
      <c r="C2987" s="10">
        <v>407.7165</v>
      </c>
      <c r="D2987" s="10">
        <v>398.71890000000002</v>
      </c>
      <c r="E2987" s="13">
        <f t="shared" si="138"/>
        <v>-1.6391275586973186E-2</v>
      </c>
      <c r="F2987" s="9">
        <f t="shared" si="139"/>
        <v>-6.6019099519061777E-2</v>
      </c>
      <c r="G2987" s="9">
        <f t="shared" si="140"/>
        <v>1.4976980889376835E-2</v>
      </c>
    </row>
    <row r="2988" spans="1:7" x14ac:dyDescent="0.2">
      <c r="A2988" s="11">
        <v>39408</v>
      </c>
      <c r="B2988" s="10">
        <v>399.42619999999999</v>
      </c>
      <c r="C2988" s="10">
        <v>405.47730000000001</v>
      </c>
      <c r="D2988" s="10">
        <v>396.99720000000002</v>
      </c>
      <c r="E2988" s="13">
        <f t="shared" si="138"/>
        <v>-2.3820817585433365E-3</v>
      </c>
      <c r="F2988" s="9">
        <f t="shared" si="139"/>
        <v>-7.3380306870527601E-2</v>
      </c>
      <c r="G2988" s="9">
        <f t="shared" si="140"/>
        <v>1.4911856493097068E-2</v>
      </c>
    </row>
    <row r="2989" spans="1:7" x14ac:dyDescent="0.2">
      <c r="A2989" s="11">
        <v>39409</v>
      </c>
      <c r="B2989" s="10">
        <v>407.98759999999999</v>
      </c>
      <c r="C2989" s="10">
        <v>408.26310000000001</v>
      </c>
      <c r="D2989" s="10">
        <v>399.42619999999999</v>
      </c>
      <c r="E2989" s="13">
        <f t="shared" si="138"/>
        <v>2.1207764557617609E-2</v>
      </c>
      <c r="F2989" s="9">
        <f t="shared" si="139"/>
        <v>-5.9449443736077565E-2</v>
      </c>
      <c r="G2989" s="9">
        <f t="shared" si="140"/>
        <v>1.5453618409255297E-2</v>
      </c>
    </row>
    <row r="2990" spans="1:7" x14ac:dyDescent="0.2">
      <c r="A2990" s="11">
        <v>39412</v>
      </c>
      <c r="B2990" s="10">
        <v>414.4486</v>
      </c>
      <c r="C2990" s="10">
        <v>417.214</v>
      </c>
      <c r="D2990" s="10">
        <v>407.98759999999999</v>
      </c>
      <c r="E2990" s="13">
        <f t="shared" si="138"/>
        <v>1.5712180275577248E-2</v>
      </c>
      <c r="F2990" s="9">
        <f t="shared" si="139"/>
        <v>-3.3671709874023091E-2</v>
      </c>
      <c r="G2990" s="9">
        <f t="shared" si="140"/>
        <v>1.5715247909555818E-2</v>
      </c>
    </row>
    <row r="2991" spans="1:7" x14ac:dyDescent="0.2">
      <c r="A2991" s="11">
        <v>39413</v>
      </c>
      <c r="B2991" s="10">
        <v>403.99239999999998</v>
      </c>
      <c r="C2991" s="10">
        <v>414.4486</v>
      </c>
      <c r="D2991" s="10">
        <v>403.0059</v>
      </c>
      <c r="E2991" s="13">
        <f t="shared" si="138"/>
        <v>-2.555289615800892E-2</v>
      </c>
      <c r="F2991" s="9">
        <f t="shared" si="139"/>
        <v>-6.0640638296986106E-2</v>
      </c>
      <c r="G2991" s="9">
        <f t="shared" si="140"/>
        <v>1.6342725367076403E-2</v>
      </c>
    </row>
    <row r="2992" spans="1:7" x14ac:dyDescent="0.2">
      <c r="A2992" s="11">
        <v>39414</v>
      </c>
      <c r="B2992" s="10">
        <v>417.37290000000002</v>
      </c>
      <c r="C2992" s="10">
        <v>417.37889999999999</v>
      </c>
      <c r="D2992" s="10">
        <v>403.99239999999998</v>
      </c>
      <c r="E2992" s="13">
        <f t="shared" si="138"/>
        <v>3.2584000901603773E-2</v>
      </c>
      <c r="F2992" s="9">
        <f t="shared" si="139"/>
        <v>-1.1650880865735434E-2</v>
      </c>
      <c r="G2992" s="9">
        <f t="shared" si="140"/>
        <v>1.7313352920501658E-2</v>
      </c>
    </row>
    <row r="2993" spans="1:7" x14ac:dyDescent="0.2">
      <c r="A2993" s="11">
        <v>39415</v>
      </c>
      <c r="B2993" s="10">
        <v>418.89949999999999</v>
      </c>
      <c r="C2993" s="10">
        <v>422.46480000000003</v>
      </c>
      <c r="D2993" s="10">
        <v>415.80669999999998</v>
      </c>
      <c r="E2993" s="13">
        <f t="shared" si="138"/>
        <v>3.650967545365123E-3</v>
      </c>
      <c r="F2993" s="9">
        <f t="shared" si="139"/>
        <v>-9.2585223426928445E-3</v>
      </c>
      <c r="G2993" s="9">
        <f t="shared" si="140"/>
        <v>1.7327240829007301E-2</v>
      </c>
    </row>
    <row r="2994" spans="1:7" x14ac:dyDescent="0.2">
      <c r="A2994" s="11">
        <v>39416</v>
      </c>
      <c r="B2994" s="10">
        <v>422.60239999999999</v>
      </c>
      <c r="C2994" s="10">
        <v>423.76830000000001</v>
      </c>
      <c r="D2994" s="10">
        <v>418.18560000000002</v>
      </c>
      <c r="E2994" s="13">
        <f t="shared" si="138"/>
        <v>8.8007499450450874E-3</v>
      </c>
      <c r="F2994" s="9">
        <f t="shared" si="139"/>
        <v>2.4116308934938612E-2</v>
      </c>
      <c r="G2994" s="9">
        <f t="shared" si="140"/>
        <v>1.6757727687099353E-2</v>
      </c>
    </row>
    <row r="2995" spans="1:7" x14ac:dyDescent="0.2">
      <c r="A2995" s="11">
        <v>39419</v>
      </c>
      <c r="B2995" s="10">
        <v>417.19600000000003</v>
      </c>
      <c r="C2995" s="10">
        <v>423.55900000000003</v>
      </c>
      <c r="D2995" s="10">
        <v>415.85579999999999</v>
      </c>
      <c r="E2995" s="13">
        <f t="shared" si="138"/>
        <v>-1.287564894208389E-2</v>
      </c>
      <c r="F2995" s="9">
        <f t="shared" si="139"/>
        <v>-1.1038904958850067E-2</v>
      </c>
      <c r="G2995" s="9">
        <f t="shared" si="140"/>
        <v>1.6418909645490639E-2</v>
      </c>
    </row>
    <row r="2996" spans="1:7" x14ac:dyDescent="0.2">
      <c r="A2996" s="11">
        <v>39420</v>
      </c>
      <c r="B2996" s="10">
        <v>410.59429999999998</v>
      </c>
      <c r="C2996" s="10">
        <v>419.03559999999999</v>
      </c>
      <c r="D2996" s="10">
        <v>410.31240000000003</v>
      </c>
      <c r="E2996" s="13">
        <f t="shared" si="138"/>
        <v>-1.5950512988192205E-2</v>
      </c>
      <c r="F2996" s="9">
        <f t="shared" si="139"/>
        <v>-2.6532965461688669E-2</v>
      </c>
      <c r="G2996" s="9">
        <f t="shared" si="140"/>
        <v>1.667161116172837E-2</v>
      </c>
    </row>
    <row r="2997" spans="1:7" x14ac:dyDescent="0.2">
      <c r="A2997" s="11">
        <v>39421</v>
      </c>
      <c r="B2997" s="10">
        <v>419.74509999999998</v>
      </c>
      <c r="C2997" s="10">
        <v>420.85270000000003</v>
      </c>
      <c r="D2997" s="10">
        <v>410.59429999999998</v>
      </c>
      <c r="E2997" s="13">
        <f t="shared" si="138"/>
        <v>2.2041999909511632E-2</v>
      </c>
      <c r="F2997" s="9">
        <f t="shared" si="139"/>
        <v>-2.2948507646286691E-2</v>
      </c>
      <c r="G2997" s="9">
        <f t="shared" si="140"/>
        <v>1.6832874121109658E-2</v>
      </c>
    </row>
    <row r="2998" spans="1:7" x14ac:dyDescent="0.2">
      <c r="A2998" s="11">
        <v>39422</v>
      </c>
      <c r="B2998" s="10">
        <v>424.97789999999998</v>
      </c>
      <c r="C2998" s="10">
        <v>424.97789999999998</v>
      </c>
      <c r="D2998" s="10">
        <v>416.8612</v>
      </c>
      <c r="E2998" s="13">
        <f t="shared" si="138"/>
        <v>1.2389545298104186E-2</v>
      </c>
      <c r="F2998" s="9">
        <f t="shared" si="139"/>
        <v>-1.8857822890520827E-2</v>
      </c>
      <c r="G2998" s="9">
        <f t="shared" si="140"/>
        <v>1.6928637086202285E-2</v>
      </c>
    </row>
    <row r="2999" spans="1:7" x14ac:dyDescent="0.2">
      <c r="A2999" s="11">
        <v>39423</v>
      </c>
      <c r="B2999" s="10">
        <v>416.30779999999999</v>
      </c>
      <c r="C2999" s="10">
        <v>424.97789999999998</v>
      </c>
      <c r="D2999" s="10">
        <v>415.23099999999999</v>
      </c>
      <c r="E2999" s="13">
        <f t="shared" si="138"/>
        <v>-2.0612277058856401E-2</v>
      </c>
      <c r="F2999" s="9">
        <f t="shared" si="139"/>
        <v>-5.3868740116995169E-2</v>
      </c>
      <c r="G2999" s="9">
        <f t="shared" si="140"/>
        <v>1.706494884164448E-2</v>
      </c>
    </row>
    <row r="3000" spans="1:7" x14ac:dyDescent="0.2">
      <c r="A3000" s="11">
        <v>39426</v>
      </c>
      <c r="B3000" s="10">
        <v>418.32139999999998</v>
      </c>
      <c r="C3000" s="10">
        <v>419.50560000000002</v>
      </c>
      <c r="D3000" s="10">
        <v>413.80860000000001</v>
      </c>
      <c r="E3000" s="13">
        <f t="shared" si="138"/>
        <v>4.82514608097566E-3</v>
      </c>
      <c r="F3000" s="9">
        <f t="shared" si="139"/>
        <v>-3.4437112761717001E-2</v>
      </c>
      <c r="G3000" s="9">
        <f t="shared" si="140"/>
        <v>1.6927420725136685E-2</v>
      </c>
    </row>
    <row r="3001" spans="1:7" x14ac:dyDescent="0.2">
      <c r="A3001" s="11">
        <v>39427</v>
      </c>
      <c r="B3001" s="10">
        <v>419.17669999999998</v>
      </c>
      <c r="C3001" s="10">
        <v>421.57080000000002</v>
      </c>
      <c r="D3001" s="10">
        <v>414.82330000000002</v>
      </c>
      <c r="E3001" s="13">
        <f t="shared" si="138"/>
        <v>2.042512806534588E-3</v>
      </c>
      <c r="F3001" s="9">
        <f t="shared" si="139"/>
        <v>-4.4008092795103676E-2</v>
      </c>
      <c r="G3001" s="9">
        <f t="shared" si="140"/>
        <v>1.676141519463354E-2</v>
      </c>
    </row>
    <row r="3002" spans="1:7" x14ac:dyDescent="0.2">
      <c r="A3002" s="11">
        <v>39428</v>
      </c>
      <c r="B3002" s="10">
        <v>420.6336</v>
      </c>
      <c r="C3002" s="10">
        <v>422.42439999999999</v>
      </c>
      <c r="D3002" s="10">
        <v>410.99310000000003</v>
      </c>
      <c r="E3002" s="13">
        <f t="shared" si="138"/>
        <v>3.4695965541871165E-3</v>
      </c>
      <c r="F3002" s="9">
        <f t="shared" si="139"/>
        <v>-2.6449298991489959E-2</v>
      </c>
      <c r="G3002" s="9">
        <f t="shared" si="140"/>
        <v>1.6607500411007451E-2</v>
      </c>
    </row>
    <row r="3003" spans="1:7" x14ac:dyDescent="0.2">
      <c r="A3003" s="11">
        <v>39429</v>
      </c>
      <c r="B3003" s="10">
        <v>412.74259999999998</v>
      </c>
      <c r="C3003" s="10">
        <v>420.6336</v>
      </c>
      <c r="D3003" s="10">
        <v>411.19009999999997</v>
      </c>
      <c r="E3003" s="13">
        <f t="shared" si="138"/>
        <v>-1.8937991843856191E-2</v>
      </c>
      <c r="F3003" s="9">
        <f t="shared" si="139"/>
        <v>-4.1310993340541488E-2</v>
      </c>
      <c r="G3003" s="9">
        <f t="shared" si="140"/>
        <v>1.6934706568475236E-2</v>
      </c>
    </row>
    <row r="3004" spans="1:7" x14ac:dyDescent="0.2">
      <c r="A3004" s="11">
        <v>39430</v>
      </c>
      <c r="B3004" s="10">
        <v>411.58019999999999</v>
      </c>
      <c r="C3004" s="10">
        <v>416.3811</v>
      </c>
      <c r="D3004" s="10">
        <v>408.70030000000003</v>
      </c>
      <c r="E3004" s="13">
        <f t="shared" si="138"/>
        <v>-2.8202562648088052E-3</v>
      </c>
      <c r="F3004" s="9">
        <f t="shared" si="139"/>
        <v>-4.0124866747577675E-2</v>
      </c>
      <c r="G3004" s="9">
        <f t="shared" si="140"/>
        <v>1.6929679735853961E-2</v>
      </c>
    </row>
    <row r="3005" spans="1:7" x14ac:dyDescent="0.2">
      <c r="A3005" s="11">
        <v>39433</v>
      </c>
      <c r="B3005" s="10">
        <v>403.06610000000001</v>
      </c>
      <c r="C3005" s="10">
        <v>411.58019999999999</v>
      </c>
      <c r="D3005" s="10">
        <v>401.51620000000003</v>
      </c>
      <c r="E3005" s="13">
        <f t="shared" si="138"/>
        <v>-2.0903329498531294E-2</v>
      </c>
      <c r="F3005" s="9">
        <f t="shared" si="139"/>
        <v>-8.5234138680944968E-2</v>
      </c>
      <c r="G3005" s="9">
        <f t="shared" si="140"/>
        <v>1.6562888976274472E-2</v>
      </c>
    </row>
    <row r="3006" spans="1:7" x14ac:dyDescent="0.2">
      <c r="A3006" s="11">
        <v>39434</v>
      </c>
      <c r="B3006" s="10">
        <v>405.3415</v>
      </c>
      <c r="C3006" s="10">
        <v>408.65370000000001</v>
      </c>
      <c r="D3006" s="10">
        <v>401.88229999999999</v>
      </c>
      <c r="E3006" s="13">
        <f t="shared" si="138"/>
        <v>5.62935333333514E-3</v>
      </c>
      <c r="F3006" s="9">
        <f t="shared" si="139"/>
        <v>-8.2433820463809718E-2</v>
      </c>
      <c r="G3006" s="9">
        <f t="shared" si="140"/>
        <v>1.6605826004698832E-2</v>
      </c>
    </row>
    <row r="3007" spans="1:7" x14ac:dyDescent="0.2">
      <c r="A3007" s="11">
        <v>39435</v>
      </c>
      <c r="B3007" s="10">
        <v>403.37180000000001</v>
      </c>
      <c r="C3007" s="10">
        <v>405.72430000000003</v>
      </c>
      <c r="D3007" s="10">
        <v>398.54770000000002</v>
      </c>
      <c r="E3007" s="13">
        <f t="shared" si="138"/>
        <v>-4.871204405456713E-3</v>
      </c>
      <c r="F3007" s="9">
        <f t="shared" si="139"/>
        <v>-8.6161406813486982E-2</v>
      </c>
      <c r="G3007" s="9">
        <f t="shared" si="140"/>
        <v>1.6606632466015462E-2</v>
      </c>
    </row>
    <row r="3008" spans="1:7" x14ac:dyDescent="0.2">
      <c r="A3008" s="11">
        <v>39436</v>
      </c>
      <c r="B3008" s="10">
        <v>402.83260000000001</v>
      </c>
      <c r="C3008" s="10">
        <v>406.452</v>
      </c>
      <c r="D3008" s="10">
        <v>402.82679999999999</v>
      </c>
      <c r="E3008" s="13">
        <f t="shared" si="138"/>
        <v>-1.337626240682055E-3</v>
      </c>
      <c r="F3008" s="9">
        <f t="shared" si="139"/>
        <v>-7.4602932993343474E-2</v>
      </c>
      <c r="G3008" s="9">
        <f t="shared" si="140"/>
        <v>1.6498270635320857E-2</v>
      </c>
    </row>
    <row r="3009" spans="1:7" x14ac:dyDescent="0.2">
      <c r="A3009" s="11">
        <v>39437</v>
      </c>
      <c r="B3009" s="10">
        <v>412.87909999999999</v>
      </c>
      <c r="C3009" s="10">
        <v>414.0059</v>
      </c>
      <c r="D3009" s="10">
        <v>402.83260000000001</v>
      </c>
      <c r="E3009" s="13">
        <f t="shared" si="138"/>
        <v>2.46337229927708E-2</v>
      </c>
      <c r="F3009" s="9">
        <f t="shared" si="139"/>
        <v>-2.4190177887500351E-2</v>
      </c>
      <c r="G3009" s="9">
        <f t="shared" si="140"/>
        <v>1.6621203141365264E-2</v>
      </c>
    </row>
    <row r="3010" spans="1:7" x14ac:dyDescent="0.2">
      <c r="A3010" s="11">
        <v>39443</v>
      </c>
      <c r="B3010" s="10">
        <v>419.6463</v>
      </c>
      <c r="C3010" s="10">
        <v>420.21570000000003</v>
      </c>
      <c r="D3010" s="10">
        <v>412.87909999999999</v>
      </c>
      <c r="E3010" s="13">
        <f t="shared" si="138"/>
        <v>1.6257399590783837E-2</v>
      </c>
      <c r="F3010" s="9">
        <f t="shared" si="139"/>
        <v>4.6815413128484355E-3</v>
      </c>
      <c r="G3010" s="9">
        <f t="shared" si="140"/>
        <v>1.675453813906732E-2</v>
      </c>
    </row>
    <row r="3011" spans="1:7" x14ac:dyDescent="0.2">
      <c r="A3011" s="11">
        <v>39444</v>
      </c>
      <c r="B3011" s="10">
        <v>422.07659999999998</v>
      </c>
      <c r="C3011" s="10">
        <v>422.59440000000001</v>
      </c>
      <c r="D3011" s="10">
        <v>416.03579999999999</v>
      </c>
      <c r="E3011" s="13">
        <f t="shared" si="138"/>
        <v>5.77460053278144E-3</v>
      </c>
      <c r="F3011" s="9">
        <f t="shared" si="139"/>
        <v>2.4145451939972063E-4</v>
      </c>
      <c r="G3011" s="9">
        <f t="shared" si="140"/>
        <v>1.6679507601940299E-2</v>
      </c>
    </row>
    <row r="3012" spans="1:7" x14ac:dyDescent="0.2">
      <c r="A3012" s="11">
        <v>39449</v>
      </c>
      <c r="B3012" s="10">
        <v>422.59059999999999</v>
      </c>
      <c r="C3012" s="10">
        <v>428.16550000000001</v>
      </c>
      <c r="D3012" s="10">
        <v>420.5317</v>
      </c>
      <c r="E3012" s="13">
        <f t="shared" ref="E3012:E3075" si="141">LN(B3012/B3011)</f>
        <v>1.2170475269904157E-3</v>
      </c>
      <c r="F3012" s="9">
        <f t="shared" si="139"/>
        <v>1.9197482250503002E-2</v>
      </c>
      <c r="G3012" s="9">
        <f t="shared" si="140"/>
        <v>1.6326873851606857E-2</v>
      </c>
    </row>
    <row r="3013" spans="1:7" x14ac:dyDescent="0.2">
      <c r="A3013" s="11">
        <v>39450</v>
      </c>
      <c r="B3013" s="10">
        <v>418.2518</v>
      </c>
      <c r="C3013" s="10">
        <v>423.7835</v>
      </c>
      <c r="D3013" s="10">
        <v>415.21910000000003</v>
      </c>
      <c r="E3013" s="13">
        <f t="shared" si="141"/>
        <v>-1.0320218174719967E-2</v>
      </c>
      <c r="F3013" s="9">
        <f t="shared" si="139"/>
        <v>2.1854683050793553E-2</v>
      </c>
      <c r="G3013" s="9">
        <f t="shared" si="140"/>
        <v>1.6254892298088495E-2</v>
      </c>
    </row>
    <row r="3014" spans="1:7" x14ac:dyDescent="0.2">
      <c r="A3014" s="11">
        <v>39451</v>
      </c>
      <c r="B3014" s="10">
        <v>409.25119999999998</v>
      </c>
      <c r="C3014" s="10">
        <v>423.13240000000002</v>
      </c>
      <c r="D3014" s="10">
        <v>409.10570000000001</v>
      </c>
      <c r="E3014" s="13">
        <f t="shared" si="141"/>
        <v>-2.1754495063835953E-2</v>
      </c>
      <c r="F3014" s="9">
        <f t="shared" si="139"/>
        <v>2.757618342334189E-2</v>
      </c>
      <c r="G3014" s="9">
        <f t="shared" si="140"/>
        <v>1.5931525375362798E-2</v>
      </c>
    </row>
    <row r="3015" spans="1:7" x14ac:dyDescent="0.2">
      <c r="A3015" s="11">
        <v>39454</v>
      </c>
      <c r="B3015" s="10">
        <v>402.98410000000001</v>
      </c>
      <c r="C3015" s="10">
        <v>410.99779999999998</v>
      </c>
      <c r="D3015" s="10">
        <v>402.9701</v>
      </c>
      <c r="E3015" s="13">
        <f t="shared" si="141"/>
        <v>-1.5432041365924404E-2</v>
      </c>
      <c r="F3015" s="9">
        <f t="shared" si="139"/>
        <v>-9.9052674992899919E-3</v>
      </c>
      <c r="G3015" s="9">
        <f t="shared" si="140"/>
        <v>1.5677085735589187E-2</v>
      </c>
    </row>
    <row r="3016" spans="1:7" x14ac:dyDescent="0.2">
      <c r="A3016" s="11">
        <v>39455</v>
      </c>
      <c r="B3016" s="10">
        <v>412.49650000000003</v>
      </c>
      <c r="C3016" s="10">
        <v>412.88580000000002</v>
      </c>
      <c r="D3016" s="10">
        <v>402.98410000000001</v>
      </c>
      <c r="E3016" s="13">
        <f t="shared" si="141"/>
        <v>2.3330613816197381E-2</v>
      </c>
      <c r="F3016" s="9">
        <f t="shared" si="139"/>
        <v>2.9816621903880482E-2</v>
      </c>
      <c r="G3016" s="9">
        <f t="shared" si="140"/>
        <v>1.5957487180641619E-2</v>
      </c>
    </row>
    <row r="3017" spans="1:7" x14ac:dyDescent="0.2">
      <c r="A3017" s="11">
        <v>39456</v>
      </c>
      <c r="B3017" s="10">
        <v>401.44709999999998</v>
      </c>
      <c r="C3017" s="10">
        <v>412.49650000000003</v>
      </c>
      <c r="D3017" s="10">
        <v>398.08080000000001</v>
      </c>
      <c r="E3017" s="13">
        <f t="shared" si="141"/>
        <v>-2.7151952099328761E-2</v>
      </c>
      <c r="F3017" s="9">
        <f t="shared" si="139"/>
        <v>5.0467515630952912E-3</v>
      </c>
      <c r="G3017" s="9">
        <f t="shared" si="140"/>
        <v>1.6787847733316961E-2</v>
      </c>
    </row>
    <row r="3018" spans="1:7" x14ac:dyDescent="0.2">
      <c r="A3018" s="11">
        <v>39457</v>
      </c>
      <c r="B3018" s="10">
        <v>387.97469999999998</v>
      </c>
      <c r="C3018" s="10">
        <v>406.05880000000002</v>
      </c>
      <c r="D3018" s="10">
        <v>385.36340000000001</v>
      </c>
      <c r="E3018" s="13">
        <f t="shared" si="141"/>
        <v>-3.4135637479234968E-2</v>
      </c>
      <c r="F3018" s="9">
        <f t="shared" si="139"/>
        <v>-5.0296650473757289E-2</v>
      </c>
      <c r="G3018" s="9">
        <f t="shared" si="140"/>
        <v>1.744420611229288E-2</v>
      </c>
    </row>
    <row r="3019" spans="1:7" x14ac:dyDescent="0.2">
      <c r="A3019" s="11">
        <v>39458</v>
      </c>
      <c r="B3019" s="10">
        <v>377.45549999999997</v>
      </c>
      <c r="C3019" s="10">
        <v>392.04020000000003</v>
      </c>
      <c r="D3019" s="10">
        <v>376.55900000000003</v>
      </c>
      <c r="E3019" s="13">
        <f t="shared" si="141"/>
        <v>-2.7487450365800272E-2</v>
      </c>
      <c r="F3019" s="9">
        <f t="shared" si="139"/>
        <v>-9.3496281115134777E-2</v>
      </c>
      <c r="G3019" s="9">
        <f t="shared" si="140"/>
        <v>1.7743103709197853E-2</v>
      </c>
    </row>
    <row r="3020" spans="1:7" x14ac:dyDescent="0.2">
      <c r="A3020" s="11">
        <v>39461</v>
      </c>
      <c r="B3020" s="10">
        <v>380.44200000000001</v>
      </c>
      <c r="C3020" s="10">
        <v>383.45960000000002</v>
      </c>
      <c r="D3020" s="10">
        <v>375.05869999999999</v>
      </c>
      <c r="E3020" s="13">
        <f t="shared" si="141"/>
        <v>7.8810537252362242E-3</v>
      </c>
      <c r="F3020" s="9">
        <f t="shared" si="139"/>
        <v>-6.0062331231889622E-2</v>
      </c>
      <c r="G3020" s="9">
        <f t="shared" si="140"/>
        <v>1.7321635783068546E-2</v>
      </c>
    </row>
    <row r="3021" spans="1:7" x14ac:dyDescent="0.2">
      <c r="A3021" s="11">
        <v>39462</v>
      </c>
      <c r="B3021" s="10">
        <v>367.4896</v>
      </c>
      <c r="C3021" s="10">
        <v>383.77429999999998</v>
      </c>
      <c r="D3021" s="10">
        <v>367.01170000000002</v>
      </c>
      <c r="E3021" s="13">
        <f t="shared" si="141"/>
        <v>-3.4638715738396407E-2</v>
      </c>
      <c r="F3021" s="9">
        <f t="shared" si="139"/>
        <v>-0.12728504787188985</v>
      </c>
      <c r="G3021" s="9">
        <f t="shared" si="140"/>
        <v>1.7013588594799178E-2</v>
      </c>
    </row>
    <row r="3022" spans="1:7" x14ac:dyDescent="0.2">
      <c r="A3022" s="11">
        <v>39463</v>
      </c>
      <c r="B3022" s="10">
        <v>354.80349999999999</v>
      </c>
      <c r="C3022" s="10">
        <v>367.4896</v>
      </c>
      <c r="D3022" s="10">
        <v>349.2362</v>
      </c>
      <c r="E3022" s="13">
        <f t="shared" si="141"/>
        <v>-3.5130903833447635E-2</v>
      </c>
      <c r="F3022" s="9">
        <f t="shared" si="139"/>
        <v>-0.1660669192507026</v>
      </c>
      <c r="G3022" s="9">
        <f t="shared" si="140"/>
        <v>1.7862061784441642E-2</v>
      </c>
    </row>
    <row r="3023" spans="1:7" x14ac:dyDescent="0.2">
      <c r="A3023" s="11">
        <v>39464</v>
      </c>
      <c r="B3023" s="10">
        <v>352.5693</v>
      </c>
      <c r="C3023" s="10">
        <v>362.36939999999998</v>
      </c>
      <c r="D3023" s="10">
        <v>351.30759999999998</v>
      </c>
      <c r="E3023" s="13">
        <f t="shared" si="141"/>
        <v>-6.3169164246892895E-3</v>
      </c>
      <c r="F3023" s="9">
        <f t="shared" si="139"/>
        <v>-0.1811845856204371</v>
      </c>
      <c r="G3023" s="9">
        <f t="shared" si="140"/>
        <v>1.7642197243379953E-2</v>
      </c>
    </row>
    <row r="3024" spans="1:7" x14ac:dyDescent="0.2">
      <c r="A3024" s="11">
        <v>39465</v>
      </c>
      <c r="B3024" s="10">
        <v>347.10500000000002</v>
      </c>
      <c r="C3024" s="10">
        <v>352.5693</v>
      </c>
      <c r="D3024" s="10">
        <v>339.91180000000003</v>
      </c>
      <c r="E3024" s="13">
        <f t="shared" si="141"/>
        <v>-1.5619870840019758E-2</v>
      </c>
      <c r="F3024" s="9">
        <f t="shared" si="139"/>
        <v>-0.18392880751837293</v>
      </c>
      <c r="G3024" s="9">
        <f t="shared" si="140"/>
        <v>1.7686321807986103E-2</v>
      </c>
    </row>
    <row r="3025" spans="1:7" x14ac:dyDescent="0.2">
      <c r="A3025" s="11">
        <v>39468</v>
      </c>
      <c r="B3025" s="10">
        <v>324.0598</v>
      </c>
      <c r="C3025" s="10">
        <v>347.10500000000002</v>
      </c>
      <c r="D3025" s="10">
        <v>322.88979999999998</v>
      </c>
      <c r="E3025" s="13">
        <f t="shared" si="141"/>
        <v>-6.869926117156909E-2</v>
      </c>
      <c r="F3025" s="9">
        <f t="shared" si="139"/>
        <v>-0.23667755570174984</v>
      </c>
      <c r="G3025" s="9">
        <f t="shared" si="140"/>
        <v>2.1093911376537103E-2</v>
      </c>
    </row>
    <row r="3026" spans="1:7" x14ac:dyDescent="0.2">
      <c r="A3026" s="11">
        <v>39469</v>
      </c>
      <c r="B3026" s="10">
        <v>333.7278</v>
      </c>
      <c r="C3026" s="10">
        <v>334.26029999999997</v>
      </c>
      <c r="D3026" s="10">
        <v>302.56040000000002</v>
      </c>
      <c r="E3026" s="13">
        <f t="shared" si="141"/>
        <v>2.9397623985178253E-2</v>
      </c>
      <c r="F3026" s="9">
        <f t="shared" si="139"/>
        <v>-0.22932193162608308</v>
      </c>
      <c r="G3026" s="9">
        <f t="shared" si="140"/>
        <v>2.1510175661824265E-2</v>
      </c>
    </row>
    <row r="3027" spans="1:7" x14ac:dyDescent="0.2">
      <c r="A3027" s="11">
        <v>39470</v>
      </c>
      <c r="B3027" s="10">
        <v>326.27050000000003</v>
      </c>
      <c r="C3027" s="10">
        <v>343.42779999999999</v>
      </c>
      <c r="D3027" s="10">
        <v>317.90550000000002</v>
      </c>
      <c r="E3027" s="13">
        <f t="shared" si="141"/>
        <v>-2.2598898736288849E-2</v>
      </c>
      <c r="F3027" s="9">
        <f t="shared" si="139"/>
        <v>-0.2643103756604761</v>
      </c>
      <c r="G3027" s="9">
        <f t="shared" si="140"/>
        <v>2.1311379724527992E-2</v>
      </c>
    </row>
    <row r="3028" spans="1:7" x14ac:dyDescent="0.2">
      <c r="A3028" s="11">
        <v>39471</v>
      </c>
      <c r="B3028" s="10">
        <v>338.48880000000003</v>
      </c>
      <c r="C3028" s="10">
        <v>342.82470000000001</v>
      </c>
      <c r="D3028" s="10">
        <v>326.27050000000003</v>
      </c>
      <c r="E3028" s="13">
        <f t="shared" si="141"/>
        <v>3.6764212743856502E-2</v>
      </c>
      <c r="F3028" s="9">
        <f t="shared" si="139"/>
        <v>-0.20693388585776312</v>
      </c>
      <c r="G3028" s="9">
        <f t="shared" si="140"/>
        <v>2.2816030814976705E-2</v>
      </c>
    </row>
    <row r="3029" spans="1:7" x14ac:dyDescent="0.2">
      <c r="A3029" s="11">
        <v>39472</v>
      </c>
      <c r="B3029" s="10">
        <v>350.84890000000001</v>
      </c>
      <c r="C3029" s="10">
        <v>354.70339999999999</v>
      </c>
      <c r="D3029" s="10">
        <v>338.48880000000003</v>
      </c>
      <c r="E3029" s="13">
        <f t="shared" si="141"/>
        <v>3.5864641794651167E-2</v>
      </c>
      <c r="F3029" s="9">
        <f t="shared" si="139"/>
        <v>-0.17589439014408756</v>
      </c>
      <c r="G3029" s="9">
        <f t="shared" si="140"/>
        <v>2.4089666904946797E-2</v>
      </c>
    </row>
    <row r="3030" spans="1:7" x14ac:dyDescent="0.2">
      <c r="A3030" s="11">
        <v>39475</v>
      </c>
      <c r="B3030" s="10">
        <v>341.3143</v>
      </c>
      <c r="C3030" s="10">
        <v>350.84890000000001</v>
      </c>
      <c r="D3030" s="10">
        <v>337.22280000000001</v>
      </c>
      <c r="E3030" s="13">
        <f t="shared" si="141"/>
        <v>-2.7551892792550534E-2</v>
      </c>
      <c r="F3030" s="9">
        <f t="shared" si="139"/>
        <v>-0.20548879574317264</v>
      </c>
      <c r="G3030" s="9">
        <f t="shared" si="140"/>
        <v>2.4359269343608884E-2</v>
      </c>
    </row>
    <row r="3031" spans="1:7" x14ac:dyDescent="0.2">
      <c r="A3031" s="11">
        <v>39476</v>
      </c>
      <c r="B3031" s="10">
        <v>350.61399999999998</v>
      </c>
      <c r="C3031" s="10">
        <v>353.21809999999999</v>
      </c>
      <c r="D3031" s="10">
        <v>341.3143</v>
      </c>
      <c r="E3031" s="13">
        <f t="shared" si="141"/>
        <v>2.6882149577961371E-2</v>
      </c>
      <c r="F3031" s="9">
        <f t="shared" si="139"/>
        <v>-0.18207624271939843</v>
      </c>
      <c r="G3031" s="9">
        <f t="shared" si="140"/>
        <v>2.5098361218581451E-2</v>
      </c>
    </row>
    <row r="3032" spans="1:7" x14ac:dyDescent="0.2">
      <c r="A3032" s="11">
        <v>39477</v>
      </c>
      <c r="B3032" s="10">
        <v>348.89530000000002</v>
      </c>
      <c r="C3032" s="10">
        <v>351.99579999999997</v>
      </c>
      <c r="D3032" s="10">
        <v>346.9427</v>
      </c>
      <c r="E3032" s="13">
        <f t="shared" si="141"/>
        <v>-4.9140260423871981E-3</v>
      </c>
      <c r="F3032" s="9">
        <f t="shared" si="139"/>
        <v>-0.16805227691792948</v>
      </c>
      <c r="G3032" s="9">
        <f t="shared" si="140"/>
        <v>2.4980559320304879E-2</v>
      </c>
    </row>
    <row r="3033" spans="1:7" x14ac:dyDescent="0.2">
      <c r="A3033" s="11">
        <v>39478</v>
      </c>
      <c r="B3033" s="10">
        <v>335.4667</v>
      </c>
      <c r="C3033" s="10">
        <v>348.99650000000003</v>
      </c>
      <c r="D3033" s="10">
        <v>332.21460000000002</v>
      </c>
      <c r="E3033" s="13">
        <f t="shared" si="141"/>
        <v>-3.9249180551293839E-2</v>
      </c>
      <c r="F3033" s="9">
        <f t="shared" si="139"/>
        <v>-0.20448120120441438</v>
      </c>
      <c r="G3033" s="9">
        <f t="shared" si="140"/>
        <v>2.5730313315980888E-2</v>
      </c>
    </row>
    <row r="3034" spans="1:7" x14ac:dyDescent="0.2">
      <c r="A3034" s="11">
        <v>39479</v>
      </c>
      <c r="B3034" s="10">
        <v>344.39769999999999</v>
      </c>
      <c r="C3034" s="10">
        <v>347.7029</v>
      </c>
      <c r="D3034" s="10">
        <v>335.4667</v>
      </c>
      <c r="E3034" s="13">
        <f t="shared" si="141"/>
        <v>2.6274397608075938E-2</v>
      </c>
      <c r="F3034" s="9">
        <f t="shared" si="139"/>
        <v>-0.15730347409780715</v>
      </c>
      <c r="G3034" s="9">
        <f t="shared" si="140"/>
        <v>2.6308150098288907E-2</v>
      </c>
    </row>
    <row r="3035" spans="1:7" x14ac:dyDescent="0.2">
      <c r="A3035" s="11">
        <v>39482</v>
      </c>
      <c r="B3035" s="10">
        <v>349.98309999999998</v>
      </c>
      <c r="C3035" s="10">
        <v>352.6377</v>
      </c>
      <c r="D3035" s="10">
        <v>344.39769999999999</v>
      </c>
      <c r="E3035" s="13">
        <f t="shared" si="141"/>
        <v>1.6087773353173705E-2</v>
      </c>
      <c r="F3035" s="9">
        <f t="shared" si="139"/>
        <v>-0.14684505407796866</v>
      </c>
      <c r="G3035" s="9">
        <f t="shared" si="140"/>
        <v>2.6535783666489485E-2</v>
      </c>
    </row>
    <row r="3036" spans="1:7" x14ac:dyDescent="0.2">
      <c r="A3036" s="11">
        <v>39483</v>
      </c>
      <c r="B3036" s="10">
        <v>346.1336</v>
      </c>
      <c r="C3036" s="10">
        <v>354.0548</v>
      </c>
      <c r="D3036" s="10">
        <v>342.13139999999999</v>
      </c>
      <c r="E3036" s="13">
        <f t="shared" si="141"/>
        <v>-1.106003990593722E-2</v>
      </c>
      <c r="F3036" s="9">
        <f t="shared" si="139"/>
        <v>-0.15303388957844916</v>
      </c>
      <c r="G3036" s="9">
        <f t="shared" si="140"/>
        <v>2.6559056877893127E-2</v>
      </c>
    </row>
    <row r="3037" spans="1:7" x14ac:dyDescent="0.2">
      <c r="A3037" s="11">
        <v>39484</v>
      </c>
      <c r="B3037" s="10">
        <v>346.87599999999998</v>
      </c>
      <c r="C3037" s="10">
        <v>346.87599999999998</v>
      </c>
      <c r="D3037" s="10">
        <v>332.24610000000001</v>
      </c>
      <c r="E3037" s="13">
        <f t="shared" si="141"/>
        <v>2.1425396819825891E-3</v>
      </c>
      <c r="F3037" s="9">
        <f t="shared" si="139"/>
        <v>-0.14955372365578457</v>
      </c>
      <c r="G3037" s="9">
        <f t="shared" si="140"/>
        <v>2.6585342054257267E-2</v>
      </c>
    </row>
    <row r="3038" spans="1:7" x14ac:dyDescent="0.2">
      <c r="A3038" s="11">
        <v>39485</v>
      </c>
      <c r="B3038" s="10">
        <v>340.72719999999998</v>
      </c>
      <c r="C3038" s="10">
        <v>346.87599999999998</v>
      </c>
      <c r="D3038" s="10">
        <v>334.42540000000002</v>
      </c>
      <c r="E3038" s="13">
        <f t="shared" si="141"/>
        <v>-1.7885210266678716E-2</v>
      </c>
      <c r="F3038" s="9">
        <f t="shared" si="139"/>
        <v>-0.19207265691523401</v>
      </c>
      <c r="G3038" s="9">
        <f t="shared" si="140"/>
        <v>2.6050794880230745E-2</v>
      </c>
    </row>
    <row r="3039" spans="1:7" x14ac:dyDescent="0.2">
      <c r="A3039" s="11">
        <v>39486</v>
      </c>
      <c r="B3039" s="10">
        <v>336.45269999999999</v>
      </c>
      <c r="C3039" s="10">
        <v>344.93340000000001</v>
      </c>
      <c r="D3039" s="10">
        <v>332.4905</v>
      </c>
      <c r="E3039" s="13">
        <f t="shared" si="141"/>
        <v>-1.2624582544057824E-2</v>
      </c>
      <c r="F3039" s="9">
        <f t="shared" si="139"/>
        <v>-0.22095463905007576</v>
      </c>
      <c r="G3039" s="9">
        <f t="shared" si="140"/>
        <v>2.5694468682293595E-2</v>
      </c>
    </row>
    <row r="3040" spans="1:7" x14ac:dyDescent="0.2">
      <c r="A3040" s="11">
        <v>39489</v>
      </c>
      <c r="B3040" s="10">
        <v>334.85969999999998</v>
      </c>
      <c r="C3040" s="10">
        <v>340.20080000000002</v>
      </c>
      <c r="D3040" s="10">
        <v>333.00490000000002</v>
      </c>
      <c r="E3040" s="13">
        <f t="shared" si="141"/>
        <v>-4.7459364374866243E-3</v>
      </c>
      <c r="F3040" s="9">
        <f t="shared" ref="F3040:F3103" si="142">LN(B3040/B3011)</f>
        <v>-0.23147517602034384</v>
      </c>
      <c r="G3040" s="9">
        <f t="shared" si="140"/>
        <v>2.5572590580976991E-2</v>
      </c>
    </row>
    <row r="3041" spans="1:7" x14ac:dyDescent="0.2">
      <c r="A3041" s="11">
        <v>39490</v>
      </c>
      <c r="B3041" s="10">
        <v>348.52339999999998</v>
      </c>
      <c r="C3041" s="10">
        <v>349.27809999999999</v>
      </c>
      <c r="D3041" s="10">
        <v>334.85969999999998</v>
      </c>
      <c r="E3041" s="13">
        <f t="shared" si="141"/>
        <v>3.9993734722000199E-2</v>
      </c>
      <c r="F3041" s="9">
        <f t="shared" si="142"/>
        <v>-0.19269848882533405</v>
      </c>
      <c r="G3041" s="9">
        <f t="shared" ref="G3041:G3104" si="143">STDEV(E3013:E3041)</f>
        <v>2.7042294008161414E-2</v>
      </c>
    </row>
    <row r="3042" spans="1:7" x14ac:dyDescent="0.2">
      <c r="A3042" s="11">
        <v>39491</v>
      </c>
      <c r="B3042" s="10">
        <v>348.85050000000001</v>
      </c>
      <c r="C3042" s="10">
        <v>349.88479999999998</v>
      </c>
      <c r="D3042" s="10">
        <v>342.04500000000002</v>
      </c>
      <c r="E3042" s="13">
        <f t="shared" si="141"/>
        <v>9.380908117946978E-4</v>
      </c>
      <c r="F3042" s="9">
        <f t="shared" si="142"/>
        <v>-0.18144017983881916</v>
      </c>
      <c r="G3042" s="9">
        <f t="shared" si="143"/>
        <v>2.7068444289592139E-2</v>
      </c>
    </row>
    <row r="3043" spans="1:7" x14ac:dyDescent="0.2">
      <c r="A3043" s="11">
        <v>39492</v>
      </c>
      <c r="B3043" s="10">
        <v>359.8732</v>
      </c>
      <c r="C3043" s="10">
        <v>361.29770000000002</v>
      </c>
      <c r="D3043" s="10">
        <v>348.85050000000001</v>
      </c>
      <c r="E3043" s="13">
        <f t="shared" si="141"/>
        <v>3.1108283518118882E-2</v>
      </c>
      <c r="F3043" s="9">
        <f t="shared" si="142"/>
        <v>-0.12857740125686429</v>
      </c>
      <c r="G3043" s="9">
        <f t="shared" si="143"/>
        <v>2.7758655732093775E-2</v>
      </c>
    </row>
    <row r="3044" spans="1:7" x14ac:dyDescent="0.2">
      <c r="A3044" s="11">
        <v>39493</v>
      </c>
      <c r="B3044" s="10">
        <v>356.78120000000001</v>
      </c>
      <c r="C3044" s="10">
        <v>362.82549999999998</v>
      </c>
      <c r="D3044" s="10">
        <v>354.66340000000002</v>
      </c>
      <c r="E3044" s="13">
        <f t="shared" si="141"/>
        <v>-8.6290384484198745E-3</v>
      </c>
      <c r="F3044" s="9">
        <f t="shared" si="142"/>
        <v>-0.12177439833935981</v>
      </c>
      <c r="G3044" s="9">
        <f t="shared" si="143"/>
        <v>2.769105361816164E-2</v>
      </c>
    </row>
    <row r="3045" spans="1:7" x14ac:dyDescent="0.2">
      <c r="A3045" s="11">
        <v>39496</v>
      </c>
      <c r="B3045" s="10">
        <v>363.35090000000002</v>
      </c>
      <c r="C3045" s="10">
        <v>363.64179999999999</v>
      </c>
      <c r="D3045" s="10">
        <v>356.78120000000001</v>
      </c>
      <c r="E3045" s="13">
        <f t="shared" si="141"/>
        <v>1.8246325275478797E-2</v>
      </c>
      <c r="F3045" s="9">
        <f t="shared" si="142"/>
        <v>-0.12685868688007848</v>
      </c>
      <c r="G3045" s="9">
        <f t="shared" si="143"/>
        <v>2.7526133707573716E-2</v>
      </c>
    </row>
    <row r="3046" spans="1:7" x14ac:dyDescent="0.2">
      <c r="A3046" s="11">
        <v>39497</v>
      </c>
      <c r="B3046" s="10">
        <v>367.04649999999998</v>
      </c>
      <c r="C3046" s="10">
        <v>369.01839999999999</v>
      </c>
      <c r="D3046" s="10">
        <v>359.48140000000001</v>
      </c>
      <c r="E3046" s="13">
        <f t="shared" si="141"/>
        <v>1.0119509015522726E-2</v>
      </c>
      <c r="F3046" s="9">
        <f t="shared" si="142"/>
        <v>-8.9587225765227069E-2</v>
      </c>
      <c r="G3046" s="9">
        <f t="shared" si="143"/>
        <v>2.7293786717085027E-2</v>
      </c>
    </row>
    <row r="3047" spans="1:7" x14ac:dyDescent="0.2">
      <c r="A3047" s="11">
        <v>39498</v>
      </c>
      <c r="B3047" s="10">
        <v>363.57769999999999</v>
      </c>
      <c r="C3047" s="10">
        <v>367.28410000000002</v>
      </c>
      <c r="D3047" s="10">
        <v>361.03640000000001</v>
      </c>
      <c r="E3047" s="13">
        <f t="shared" si="141"/>
        <v>-9.4955137363190723E-3</v>
      </c>
      <c r="F3047" s="9">
        <f t="shared" si="142"/>
        <v>-6.494710202231109E-2</v>
      </c>
      <c r="G3047" s="9">
        <f t="shared" si="143"/>
        <v>2.6669168126279223E-2</v>
      </c>
    </row>
    <row r="3048" spans="1:7" x14ac:dyDescent="0.2">
      <c r="A3048" s="11">
        <v>39499</v>
      </c>
      <c r="B3048" s="10">
        <v>369.38830000000002</v>
      </c>
      <c r="C3048" s="10">
        <v>372.79379999999998</v>
      </c>
      <c r="D3048" s="10">
        <v>363.57769999999999</v>
      </c>
      <c r="E3048" s="13">
        <f t="shared" si="141"/>
        <v>1.5855364990944379E-2</v>
      </c>
      <c r="F3048" s="9">
        <f t="shared" si="142"/>
        <v>-2.1604286665566328E-2</v>
      </c>
      <c r="G3048" s="9">
        <f t="shared" si="143"/>
        <v>2.6417011180141271E-2</v>
      </c>
    </row>
    <row r="3049" spans="1:7" x14ac:dyDescent="0.2">
      <c r="A3049" s="11">
        <v>39500</v>
      </c>
      <c r="B3049" s="10">
        <v>365.6755</v>
      </c>
      <c r="C3049" s="10">
        <v>369.38830000000002</v>
      </c>
      <c r="D3049" s="10">
        <v>364.26909999999998</v>
      </c>
      <c r="E3049" s="13">
        <f t="shared" si="141"/>
        <v>-1.0102066173725244E-2</v>
      </c>
      <c r="F3049" s="9">
        <f t="shared" si="142"/>
        <v>-3.9587406564527791E-2</v>
      </c>
      <c r="G3049" s="9">
        <f t="shared" si="143"/>
        <v>2.6418359911483152E-2</v>
      </c>
    </row>
    <row r="3050" spans="1:7" x14ac:dyDescent="0.2">
      <c r="A3050" s="11">
        <v>39503</v>
      </c>
      <c r="B3050" s="10">
        <v>365.48340000000002</v>
      </c>
      <c r="C3050" s="10">
        <v>372.27949999999998</v>
      </c>
      <c r="D3050" s="10">
        <v>364.39519999999999</v>
      </c>
      <c r="E3050" s="13">
        <f t="shared" si="141"/>
        <v>-5.2546718482162377E-4</v>
      </c>
      <c r="F3050" s="9">
        <f t="shared" si="142"/>
        <v>-5.4741580109529649E-3</v>
      </c>
      <c r="G3050" s="9">
        <f t="shared" si="143"/>
        <v>2.5631645472853799E-2</v>
      </c>
    </row>
    <row r="3051" spans="1:7" x14ac:dyDescent="0.2">
      <c r="A3051" s="11">
        <v>39504</v>
      </c>
      <c r="B3051" s="10">
        <v>368.07220000000001</v>
      </c>
      <c r="C3051" s="10">
        <v>371.77730000000003</v>
      </c>
      <c r="D3051" s="10">
        <v>365.48340000000002</v>
      </c>
      <c r="E3051" s="13">
        <f t="shared" si="141"/>
        <v>7.0582536554777732E-3</v>
      </c>
      <c r="F3051" s="9">
        <f t="shared" si="142"/>
        <v>3.6714999477972396E-2</v>
      </c>
      <c r="G3051" s="9">
        <f t="shared" si="143"/>
        <v>2.4760037214538799E-2</v>
      </c>
    </row>
    <row r="3052" spans="1:7" x14ac:dyDescent="0.2">
      <c r="A3052" s="11">
        <v>39505</v>
      </c>
      <c r="B3052" s="10">
        <v>373.5444</v>
      </c>
      <c r="C3052" s="10">
        <v>374.29520000000002</v>
      </c>
      <c r="D3052" s="10">
        <v>368.07220000000001</v>
      </c>
      <c r="E3052" s="13">
        <f t="shared" si="141"/>
        <v>1.4757758432492579E-2</v>
      </c>
      <c r="F3052" s="9">
        <f t="shared" si="142"/>
        <v>5.7789674335154251E-2</v>
      </c>
      <c r="G3052" s="9">
        <f t="shared" si="143"/>
        <v>2.4838675655565867E-2</v>
      </c>
    </row>
    <row r="3053" spans="1:7" x14ac:dyDescent="0.2">
      <c r="A3053" s="11">
        <v>39506</v>
      </c>
      <c r="B3053" s="10">
        <v>372.85289999999998</v>
      </c>
      <c r="C3053" s="10">
        <v>377.37439999999998</v>
      </c>
      <c r="D3053" s="10">
        <v>371.14519999999999</v>
      </c>
      <c r="E3053" s="13">
        <f t="shared" si="141"/>
        <v>-1.8529011234113713E-3</v>
      </c>
      <c r="F3053" s="9">
        <f t="shared" si="142"/>
        <v>7.1556644051762555E-2</v>
      </c>
      <c r="G3053" s="9">
        <f t="shared" si="143"/>
        <v>2.462063871902798E-2</v>
      </c>
    </row>
    <row r="3054" spans="1:7" x14ac:dyDescent="0.2">
      <c r="A3054" s="11">
        <v>39507</v>
      </c>
      <c r="B3054" s="10">
        <v>367.77870000000001</v>
      </c>
      <c r="C3054" s="10">
        <v>375.1694</v>
      </c>
      <c r="D3054" s="10">
        <v>366.53480000000002</v>
      </c>
      <c r="E3054" s="13">
        <f t="shared" si="141"/>
        <v>-1.3702573301720597E-2</v>
      </c>
      <c r="F3054" s="9">
        <f t="shared" si="142"/>
        <v>0.12655333192161108</v>
      </c>
      <c r="G3054" s="9">
        <f t="shared" si="143"/>
        <v>2.0758296676616678E-2</v>
      </c>
    </row>
    <row r="3055" spans="1:7" x14ac:dyDescent="0.2">
      <c r="A3055" s="11">
        <v>39510</v>
      </c>
      <c r="B3055" s="10">
        <v>361.48160000000001</v>
      </c>
      <c r="C3055" s="10">
        <v>367.77870000000001</v>
      </c>
      <c r="D3055" s="10">
        <v>358.02289999999999</v>
      </c>
      <c r="E3055" s="13">
        <f t="shared" si="141"/>
        <v>-1.7270257313007634E-2</v>
      </c>
      <c r="F3055" s="9">
        <f t="shared" si="142"/>
        <v>7.9885450623425253E-2</v>
      </c>
      <c r="G3055" s="9">
        <f t="shared" si="143"/>
        <v>2.0556232234901294E-2</v>
      </c>
    </row>
    <row r="3056" spans="1:7" x14ac:dyDescent="0.2">
      <c r="A3056" s="11">
        <v>39511</v>
      </c>
      <c r="B3056" s="10">
        <v>362.73719999999997</v>
      </c>
      <c r="C3056" s="10">
        <v>363.96170000000001</v>
      </c>
      <c r="D3056" s="10">
        <v>359.25380000000001</v>
      </c>
      <c r="E3056" s="13">
        <f t="shared" si="141"/>
        <v>3.4674638604748629E-3</v>
      </c>
      <c r="F3056" s="9">
        <f t="shared" si="142"/>
        <v>0.10595181322018886</v>
      </c>
      <c r="G3056" s="9">
        <f t="shared" si="143"/>
        <v>1.9969546673911105E-2</v>
      </c>
    </row>
    <row r="3057" spans="1:7" x14ac:dyDescent="0.2">
      <c r="A3057" s="11">
        <v>39512</v>
      </c>
      <c r="B3057" s="10">
        <v>366.46429999999998</v>
      </c>
      <c r="C3057" s="10">
        <v>368.74810000000002</v>
      </c>
      <c r="D3057" s="10">
        <v>360.95620000000002</v>
      </c>
      <c r="E3057" s="13">
        <f t="shared" si="141"/>
        <v>1.0222503537476963E-2</v>
      </c>
      <c r="F3057" s="9">
        <f t="shared" si="142"/>
        <v>7.9410104013809435E-2</v>
      </c>
      <c r="G3057" s="9">
        <f t="shared" si="143"/>
        <v>1.8981626003030265E-2</v>
      </c>
    </row>
    <row r="3058" spans="1:7" x14ac:dyDescent="0.2">
      <c r="A3058" s="11">
        <v>39513</v>
      </c>
      <c r="B3058" s="10">
        <v>363.72820000000002</v>
      </c>
      <c r="C3058" s="10">
        <v>369.4529</v>
      </c>
      <c r="D3058" s="10">
        <v>363.72820000000002</v>
      </c>
      <c r="E3058" s="13">
        <f t="shared" si="141"/>
        <v>-7.494223251285446E-3</v>
      </c>
      <c r="F3058" s="9">
        <f t="shared" si="142"/>
        <v>3.6051238967872774E-2</v>
      </c>
      <c r="G3058" s="9">
        <f t="shared" si="143"/>
        <v>1.7959259914915371E-2</v>
      </c>
    </row>
    <row r="3059" spans="1:7" x14ac:dyDescent="0.2">
      <c r="A3059" s="11">
        <v>39514</v>
      </c>
      <c r="B3059" s="10">
        <v>355.74860000000001</v>
      </c>
      <c r="C3059" s="10">
        <v>363.72820000000002</v>
      </c>
      <c r="D3059" s="10">
        <v>353.51159999999999</v>
      </c>
      <c r="E3059" s="13">
        <f t="shared" si="141"/>
        <v>-2.2182583803912657E-2</v>
      </c>
      <c r="F3059" s="9">
        <f t="shared" si="142"/>
        <v>4.142054795651056E-2</v>
      </c>
      <c r="G3059" s="9">
        <f t="shared" si="143"/>
        <v>1.7677262335854541E-2</v>
      </c>
    </row>
    <row r="3060" spans="1:7" x14ac:dyDescent="0.2">
      <c r="A3060" s="11">
        <v>39517</v>
      </c>
      <c r="B3060" s="10">
        <v>346.7998</v>
      </c>
      <c r="C3060" s="10">
        <v>355.74860000000001</v>
      </c>
      <c r="D3060" s="10">
        <v>346.79140000000001</v>
      </c>
      <c r="E3060" s="13">
        <f t="shared" si="141"/>
        <v>-2.5476633409409907E-2</v>
      </c>
      <c r="F3060" s="9">
        <f t="shared" si="142"/>
        <v>-1.0938235030860615E-2</v>
      </c>
      <c r="G3060" s="9">
        <f t="shared" si="143"/>
        <v>1.7658507510149371E-2</v>
      </c>
    </row>
    <row r="3061" spans="1:7" x14ac:dyDescent="0.2">
      <c r="A3061" s="11">
        <v>39518</v>
      </c>
      <c r="B3061" s="10">
        <v>356.36709999999999</v>
      </c>
      <c r="C3061" s="10">
        <v>357.23750000000001</v>
      </c>
      <c r="D3061" s="10">
        <v>346.1986</v>
      </c>
      <c r="E3061" s="13">
        <f t="shared" si="141"/>
        <v>2.721371112170811E-2</v>
      </c>
      <c r="F3061" s="9">
        <f t="shared" si="142"/>
        <v>2.118950213323453E-2</v>
      </c>
      <c r="G3061" s="9">
        <f t="shared" si="143"/>
        <v>1.8357678788070635E-2</v>
      </c>
    </row>
    <row r="3062" spans="1:7" x14ac:dyDescent="0.2">
      <c r="A3062" s="11">
        <v>39519</v>
      </c>
      <c r="B3062" s="10">
        <v>357.96120000000002</v>
      </c>
      <c r="C3062" s="10">
        <v>364.55689999999998</v>
      </c>
      <c r="D3062" s="10">
        <v>354.5924</v>
      </c>
      <c r="E3062" s="13">
        <f t="shared" si="141"/>
        <v>4.4632213122478542E-3</v>
      </c>
      <c r="F3062" s="9">
        <f t="shared" si="142"/>
        <v>6.4901903996776367E-2</v>
      </c>
      <c r="G3062" s="9">
        <f t="shared" si="143"/>
        <v>1.6675234935249052E-2</v>
      </c>
    </row>
    <row r="3063" spans="1:7" x14ac:dyDescent="0.2">
      <c r="A3063" s="11">
        <v>39520</v>
      </c>
      <c r="B3063" s="10">
        <v>350.77809999999999</v>
      </c>
      <c r="C3063" s="10">
        <v>357.96120000000002</v>
      </c>
      <c r="D3063" s="10">
        <v>348.00029999999998</v>
      </c>
      <c r="E3063" s="13">
        <f t="shared" si="141"/>
        <v>-2.0270770823955842E-2</v>
      </c>
      <c r="F3063" s="9">
        <f t="shared" si="142"/>
        <v>1.8356735564744583E-2</v>
      </c>
      <c r="G3063" s="9">
        <f t="shared" si="143"/>
        <v>1.6518353065901312E-2</v>
      </c>
    </row>
    <row r="3064" spans="1:7" x14ac:dyDescent="0.2">
      <c r="A3064" s="11">
        <v>39521</v>
      </c>
      <c r="B3064" s="10">
        <v>351.08749999999998</v>
      </c>
      <c r="C3064" s="10">
        <v>359.45460000000003</v>
      </c>
      <c r="D3064" s="10">
        <v>350.69240000000002</v>
      </c>
      <c r="E3064" s="13">
        <f t="shared" si="141"/>
        <v>8.8165033317360426E-4</v>
      </c>
      <c r="F3064" s="9">
        <f t="shared" si="142"/>
        <v>3.1506125447445434E-3</v>
      </c>
      <c r="G3064" s="9">
        <f t="shared" si="143"/>
        <v>1.6249402052836606E-2</v>
      </c>
    </row>
    <row r="3065" spans="1:7" x14ac:dyDescent="0.2">
      <c r="A3065" s="11">
        <v>39524</v>
      </c>
      <c r="B3065" s="10">
        <v>338.85419999999999</v>
      </c>
      <c r="C3065" s="10">
        <v>351.08749999999998</v>
      </c>
      <c r="D3065" s="10">
        <v>338.02730000000003</v>
      </c>
      <c r="E3065" s="13">
        <f t="shared" si="141"/>
        <v>-3.5465553777834793E-2</v>
      </c>
      <c r="F3065" s="9">
        <f t="shared" si="142"/>
        <v>-2.1254901327152992E-2</v>
      </c>
      <c r="G3065" s="9">
        <f t="shared" si="143"/>
        <v>1.743708167332108E-2</v>
      </c>
    </row>
    <row r="3066" spans="1:7" x14ac:dyDescent="0.2">
      <c r="A3066" s="11">
        <v>39525</v>
      </c>
      <c r="B3066" s="10">
        <v>344.63650000000001</v>
      </c>
      <c r="C3066" s="10">
        <v>345.22430000000003</v>
      </c>
      <c r="D3066" s="10">
        <v>338.85419999999999</v>
      </c>
      <c r="E3066" s="13">
        <f t="shared" si="141"/>
        <v>1.6920312021559854E-2</v>
      </c>
      <c r="F3066" s="9">
        <f t="shared" si="142"/>
        <v>-6.4771289875756146E-3</v>
      </c>
      <c r="G3066" s="9">
        <f t="shared" si="143"/>
        <v>1.7737459361623888E-2</v>
      </c>
    </row>
    <row r="3067" spans="1:7" x14ac:dyDescent="0.2">
      <c r="A3067" s="11">
        <v>39526</v>
      </c>
      <c r="B3067" s="10">
        <v>341.62720000000002</v>
      </c>
      <c r="C3067" s="10">
        <v>351.05720000000002</v>
      </c>
      <c r="D3067" s="10">
        <v>340.96530000000001</v>
      </c>
      <c r="E3067" s="13">
        <f t="shared" si="141"/>
        <v>-8.7701543546211212E-3</v>
      </c>
      <c r="F3067" s="9">
        <f t="shared" si="142"/>
        <v>2.6379269244818987E-3</v>
      </c>
      <c r="G3067" s="9">
        <f t="shared" si="143"/>
        <v>1.7492376480702877E-2</v>
      </c>
    </row>
    <row r="3068" spans="1:7" x14ac:dyDescent="0.2">
      <c r="A3068" s="11">
        <v>39532</v>
      </c>
      <c r="B3068" s="10">
        <v>344.97469999999998</v>
      </c>
      <c r="C3068" s="10">
        <v>348.49439999999998</v>
      </c>
      <c r="D3068" s="10">
        <v>341.62720000000002</v>
      </c>
      <c r="E3068" s="13">
        <f t="shared" si="141"/>
        <v>9.7509969717764471E-3</v>
      </c>
      <c r="F3068" s="9">
        <f t="shared" si="142"/>
        <v>2.5013506440316288E-2</v>
      </c>
      <c r="G3068" s="9">
        <f t="shared" si="143"/>
        <v>1.7404738037458439E-2</v>
      </c>
    </row>
    <row r="3069" spans="1:7" x14ac:dyDescent="0.2">
      <c r="A3069" s="11">
        <v>39533</v>
      </c>
      <c r="B3069" s="10">
        <v>345.9203</v>
      </c>
      <c r="C3069" s="10">
        <v>349.05869999999999</v>
      </c>
      <c r="D3069" s="10">
        <v>344.71</v>
      </c>
      <c r="E3069" s="13">
        <f t="shared" si="141"/>
        <v>2.7373206940054105E-3</v>
      </c>
      <c r="F3069" s="9">
        <f t="shared" si="142"/>
        <v>3.249676357180814E-2</v>
      </c>
      <c r="G3069" s="9">
        <f t="shared" si="143"/>
        <v>1.7374063429524574E-2</v>
      </c>
    </row>
    <row r="3070" spans="1:7" x14ac:dyDescent="0.2">
      <c r="A3070" s="11">
        <v>39534</v>
      </c>
      <c r="B3070" s="10">
        <v>352.68270000000001</v>
      </c>
      <c r="C3070" s="10">
        <v>355.24880000000002</v>
      </c>
      <c r="D3070" s="10">
        <v>345.9203</v>
      </c>
      <c r="E3070" s="13">
        <f t="shared" si="141"/>
        <v>1.9360384151702766E-2</v>
      </c>
      <c r="F3070" s="9">
        <f t="shared" si="142"/>
        <v>1.1863413001510835E-2</v>
      </c>
      <c r="G3070" s="9">
        <f t="shared" si="143"/>
        <v>1.6101146738254923E-2</v>
      </c>
    </row>
    <row r="3071" spans="1:7" x14ac:dyDescent="0.2">
      <c r="A3071" s="11">
        <v>39535</v>
      </c>
      <c r="B3071" s="10">
        <v>356.15210000000002</v>
      </c>
      <c r="C3071" s="10">
        <v>358.39280000000002</v>
      </c>
      <c r="D3071" s="10">
        <v>352.68270000000001</v>
      </c>
      <c r="E3071" s="13">
        <f t="shared" si="141"/>
        <v>9.789100944234715E-3</v>
      </c>
      <c r="F3071" s="9">
        <f t="shared" si="142"/>
        <v>2.0714423133950683E-2</v>
      </c>
      <c r="G3071" s="9">
        <f t="shared" si="143"/>
        <v>1.6195146348862776E-2</v>
      </c>
    </row>
    <row r="3072" spans="1:7" x14ac:dyDescent="0.2">
      <c r="A3072" s="11">
        <v>39538</v>
      </c>
      <c r="B3072" s="10">
        <v>356.71539999999999</v>
      </c>
      <c r="C3072" s="10">
        <v>358.21120000000002</v>
      </c>
      <c r="D3072" s="10">
        <v>351.0856</v>
      </c>
      <c r="E3072" s="13">
        <f t="shared" si="141"/>
        <v>1.5803781691304021E-3</v>
      </c>
      <c r="F3072" s="9">
        <f t="shared" si="142"/>
        <v>-8.8134822150379138E-3</v>
      </c>
      <c r="G3072" s="9">
        <f t="shared" si="143"/>
        <v>1.5107717162691336E-2</v>
      </c>
    </row>
    <row r="3073" spans="1:7" x14ac:dyDescent="0.2">
      <c r="A3073" s="11">
        <v>39539</v>
      </c>
      <c r="B3073" s="10">
        <v>363.56639999999999</v>
      </c>
      <c r="C3073" s="10">
        <v>363.56639999999999</v>
      </c>
      <c r="D3073" s="10">
        <v>353.90089999999998</v>
      </c>
      <c r="E3073" s="13">
        <f t="shared" si="141"/>
        <v>1.9023683824323567E-2</v>
      </c>
      <c r="F3073" s="9">
        <f t="shared" si="142"/>
        <v>1.8839240057705573E-2</v>
      </c>
      <c r="G3073" s="9">
        <f t="shared" si="143"/>
        <v>1.5432673547822106E-2</v>
      </c>
    </row>
    <row r="3074" spans="1:7" x14ac:dyDescent="0.2">
      <c r="A3074" s="11">
        <v>39540</v>
      </c>
      <c r="B3074" s="10">
        <v>366.49079999999998</v>
      </c>
      <c r="C3074" s="10">
        <v>370.05279999999999</v>
      </c>
      <c r="D3074" s="10">
        <v>363.56639999999999</v>
      </c>
      <c r="E3074" s="13">
        <f t="shared" si="141"/>
        <v>8.0114698999990044E-3</v>
      </c>
      <c r="F3074" s="9">
        <f t="shared" si="142"/>
        <v>8.6043846822256437E-3</v>
      </c>
      <c r="G3074" s="9">
        <f t="shared" si="143"/>
        <v>1.5129947116856862E-2</v>
      </c>
    </row>
    <row r="3075" spans="1:7" x14ac:dyDescent="0.2">
      <c r="A3075" s="11">
        <v>39541</v>
      </c>
      <c r="B3075" s="10">
        <v>365.642</v>
      </c>
      <c r="C3075" s="10">
        <v>370.42380000000003</v>
      </c>
      <c r="D3075" s="10">
        <v>365.22699999999998</v>
      </c>
      <c r="E3075" s="13">
        <f t="shared" si="141"/>
        <v>-2.3187060606777335E-3</v>
      </c>
      <c r="F3075" s="9">
        <f t="shared" si="142"/>
        <v>-3.8338303939746904E-3</v>
      </c>
      <c r="G3075" s="9">
        <f t="shared" si="143"/>
        <v>1.5017426113392695E-2</v>
      </c>
    </row>
    <row r="3076" spans="1:7" x14ac:dyDescent="0.2">
      <c r="A3076" s="11">
        <v>39542</v>
      </c>
      <c r="B3076" s="10">
        <v>370.84059999999999</v>
      </c>
      <c r="C3076" s="10">
        <v>372.54480000000001</v>
      </c>
      <c r="D3076" s="10">
        <v>365.01139999999998</v>
      </c>
      <c r="E3076" s="13">
        <f t="shared" ref="E3076:E3139" si="144">LN(B3076/B3075)</f>
        <v>1.411760805419026E-2</v>
      </c>
      <c r="F3076" s="9">
        <f t="shared" si="142"/>
        <v>1.977929139653465E-2</v>
      </c>
      <c r="G3076" s="9">
        <f t="shared" si="143"/>
        <v>1.5131335736669567E-2</v>
      </c>
    </row>
    <row r="3077" spans="1:7" x14ac:dyDescent="0.2">
      <c r="A3077" s="11">
        <v>39545</v>
      </c>
      <c r="B3077" s="10">
        <v>378.64400000000001</v>
      </c>
      <c r="C3077" s="10">
        <v>379.39659999999998</v>
      </c>
      <c r="D3077" s="10">
        <v>370.84059999999999</v>
      </c>
      <c r="E3077" s="13">
        <f t="shared" si="144"/>
        <v>2.0824128980512661E-2</v>
      </c>
      <c r="F3077" s="9">
        <f t="shared" si="142"/>
        <v>2.4748055386102537E-2</v>
      </c>
      <c r="G3077" s="9">
        <f t="shared" si="143"/>
        <v>1.5336030839570133E-2</v>
      </c>
    </row>
    <row r="3078" spans="1:7" x14ac:dyDescent="0.2">
      <c r="A3078" s="11">
        <v>39546</v>
      </c>
      <c r="B3078" s="10">
        <v>374.75189999999998</v>
      </c>
      <c r="C3078" s="10">
        <v>378.64400000000001</v>
      </c>
      <c r="D3078" s="10">
        <v>371.32420000000002</v>
      </c>
      <c r="E3078" s="13">
        <f t="shared" si="144"/>
        <v>-1.03322426498745E-2</v>
      </c>
      <c r="F3078" s="9">
        <f t="shared" si="142"/>
        <v>2.4517878909953408E-2</v>
      </c>
      <c r="G3078" s="9">
        <f t="shared" si="143"/>
        <v>1.5341961716116934E-2</v>
      </c>
    </row>
    <row r="3079" spans="1:7" x14ac:dyDescent="0.2">
      <c r="A3079" s="11">
        <v>39547</v>
      </c>
      <c r="B3079" s="10">
        <v>375.29250000000002</v>
      </c>
      <c r="C3079" s="10">
        <v>378.23630000000003</v>
      </c>
      <c r="D3079" s="10">
        <v>372.69110000000001</v>
      </c>
      <c r="E3079" s="13">
        <f t="shared" si="144"/>
        <v>1.4415149119501385E-3</v>
      </c>
      <c r="F3079" s="9">
        <f t="shared" si="142"/>
        <v>2.6484861006725171E-2</v>
      </c>
      <c r="G3079" s="9">
        <f t="shared" si="143"/>
        <v>1.5340032348393878E-2</v>
      </c>
    </row>
    <row r="3080" spans="1:7" x14ac:dyDescent="0.2">
      <c r="A3080" s="11">
        <v>39548</v>
      </c>
      <c r="B3080" s="10">
        <v>376.24299999999999</v>
      </c>
      <c r="C3080" s="10">
        <v>378.4427</v>
      </c>
      <c r="D3080" s="10">
        <v>373.37610000000001</v>
      </c>
      <c r="E3080" s="13">
        <f t="shared" si="144"/>
        <v>2.5294893103515507E-3</v>
      </c>
      <c r="F3080" s="9">
        <f t="shared" si="142"/>
        <v>2.1956096661599221E-2</v>
      </c>
      <c r="G3080" s="9">
        <f t="shared" si="143"/>
        <v>1.529823601847206E-2</v>
      </c>
    </row>
    <row r="3081" spans="1:7" x14ac:dyDescent="0.2">
      <c r="A3081" s="11">
        <v>39549</v>
      </c>
      <c r="B3081" s="10">
        <v>375.12909999999999</v>
      </c>
      <c r="C3081" s="10">
        <v>382.23649999999998</v>
      </c>
      <c r="D3081" s="10">
        <v>373.59280000000001</v>
      </c>
      <c r="E3081" s="13">
        <f t="shared" si="144"/>
        <v>-2.9649778479481511E-3</v>
      </c>
      <c r="F3081" s="9">
        <f t="shared" si="142"/>
        <v>4.2333603811585E-3</v>
      </c>
      <c r="G3081" s="9">
        <f t="shared" si="143"/>
        <v>1.507127530373883E-2</v>
      </c>
    </row>
    <row r="3082" spans="1:7" x14ac:dyDescent="0.2">
      <c r="A3082" s="11">
        <v>39552</v>
      </c>
      <c r="B3082" s="10">
        <v>370.51499999999999</v>
      </c>
      <c r="C3082" s="10">
        <v>375.12909999999999</v>
      </c>
      <c r="D3082" s="10">
        <v>366.99220000000003</v>
      </c>
      <c r="E3082" s="13">
        <f t="shared" si="144"/>
        <v>-1.2376303644333902E-2</v>
      </c>
      <c r="F3082" s="9">
        <f t="shared" si="142"/>
        <v>-6.2900421397641204E-3</v>
      </c>
      <c r="G3082" s="9">
        <f t="shared" si="143"/>
        <v>1.5246787517433136E-2</v>
      </c>
    </row>
    <row r="3083" spans="1:7" x14ac:dyDescent="0.2">
      <c r="A3083" s="11">
        <v>39553</v>
      </c>
      <c r="B3083" s="10">
        <v>379.37689999999998</v>
      </c>
      <c r="C3083" s="10">
        <v>380.476</v>
      </c>
      <c r="D3083" s="10">
        <v>370.51499999999999</v>
      </c>
      <c r="E3083" s="13">
        <f t="shared" si="144"/>
        <v>2.3636240291881827E-2</v>
      </c>
      <c r="F3083" s="9">
        <f t="shared" si="142"/>
        <v>3.1048771453838393E-2</v>
      </c>
      <c r="G3083" s="9">
        <f t="shared" si="143"/>
        <v>1.5638825521557626E-2</v>
      </c>
    </row>
    <row r="3084" spans="1:7" x14ac:dyDescent="0.2">
      <c r="A3084" s="11">
        <v>39554</v>
      </c>
      <c r="B3084" s="10">
        <v>384.85219999999998</v>
      </c>
      <c r="C3084" s="10">
        <v>385.97930000000002</v>
      </c>
      <c r="D3084" s="10">
        <v>379.37689999999998</v>
      </c>
      <c r="E3084" s="13">
        <f t="shared" si="144"/>
        <v>1.4329194438460518E-2</v>
      </c>
      <c r="F3084" s="9">
        <f t="shared" si="142"/>
        <v>6.2648223205306386E-2</v>
      </c>
      <c r="G3084" s="9">
        <f t="shared" si="143"/>
        <v>1.5414520711590027E-2</v>
      </c>
    </row>
    <row r="3085" spans="1:7" x14ac:dyDescent="0.2">
      <c r="A3085" s="11">
        <v>39555</v>
      </c>
      <c r="B3085" s="10">
        <v>380.33620000000002</v>
      </c>
      <c r="C3085" s="10">
        <v>390.43049999999999</v>
      </c>
      <c r="D3085" s="10">
        <v>378.21460000000002</v>
      </c>
      <c r="E3085" s="13">
        <f t="shared" si="144"/>
        <v>-1.180376606332512E-2</v>
      </c>
      <c r="F3085" s="9">
        <f t="shared" si="142"/>
        <v>4.7376993281506304E-2</v>
      </c>
      <c r="G3085" s="9">
        <f t="shared" si="143"/>
        <v>1.5627645818156129E-2</v>
      </c>
    </row>
    <row r="3086" spans="1:7" x14ac:dyDescent="0.2">
      <c r="A3086" s="11">
        <v>39556</v>
      </c>
      <c r="B3086" s="10">
        <v>386.26</v>
      </c>
      <c r="C3086" s="10">
        <v>388.68360000000001</v>
      </c>
      <c r="D3086" s="10">
        <v>379.83170000000001</v>
      </c>
      <c r="E3086" s="13">
        <f t="shared" si="144"/>
        <v>1.5455119430864087E-2</v>
      </c>
      <c r="F3086" s="9">
        <f t="shared" si="142"/>
        <v>5.2609609174893664E-2</v>
      </c>
      <c r="G3086" s="9">
        <f t="shared" si="143"/>
        <v>1.5760000044473584E-2</v>
      </c>
    </row>
    <row r="3087" spans="1:7" x14ac:dyDescent="0.2">
      <c r="A3087" s="11">
        <v>39559</v>
      </c>
      <c r="B3087" s="10">
        <v>389.80340000000001</v>
      </c>
      <c r="C3087" s="10">
        <v>393.26819999999998</v>
      </c>
      <c r="D3087" s="10">
        <v>386.26</v>
      </c>
      <c r="E3087" s="13">
        <f t="shared" si="144"/>
        <v>9.1317916127218058E-3</v>
      </c>
      <c r="F3087" s="9">
        <f t="shared" si="142"/>
        <v>6.9235624038900795E-2</v>
      </c>
      <c r="G3087" s="9">
        <f t="shared" si="143"/>
        <v>1.5711624313644867E-2</v>
      </c>
    </row>
    <row r="3088" spans="1:7" x14ac:dyDescent="0.2">
      <c r="A3088" s="11">
        <v>39560</v>
      </c>
      <c r="B3088" s="10">
        <v>399.77440000000001</v>
      </c>
      <c r="C3088" s="10">
        <v>401.60919999999999</v>
      </c>
      <c r="D3088" s="10">
        <v>389.61419999999998</v>
      </c>
      <c r="E3088" s="13">
        <f t="shared" si="144"/>
        <v>2.5257878542979617E-2</v>
      </c>
      <c r="F3088" s="9">
        <f t="shared" si="142"/>
        <v>0.11667608638579303</v>
      </c>
      <c r="G3088" s="9">
        <f t="shared" si="143"/>
        <v>1.5530739570596757E-2</v>
      </c>
    </row>
    <row r="3089" spans="1:7" x14ac:dyDescent="0.2">
      <c r="A3089" s="11">
        <v>39561</v>
      </c>
      <c r="B3089" s="10">
        <v>400.1078</v>
      </c>
      <c r="C3089" s="10">
        <v>402.68360000000001</v>
      </c>
      <c r="D3089" s="10">
        <v>397.2885</v>
      </c>
      <c r="E3089" s="13">
        <f t="shared" si="144"/>
        <v>8.3362279922558459E-4</v>
      </c>
      <c r="F3089" s="9">
        <f t="shared" si="142"/>
        <v>0.14298634259442855</v>
      </c>
      <c r="G3089" s="9">
        <f t="shared" si="143"/>
        <v>1.4478759921102485E-2</v>
      </c>
    </row>
    <row r="3090" spans="1:7" x14ac:dyDescent="0.2">
      <c r="A3090" s="11">
        <v>39562</v>
      </c>
      <c r="B3090" s="10">
        <v>392.96980000000002</v>
      </c>
      <c r="C3090" s="10">
        <v>402.0086</v>
      </c>
      <c r="D3090" s="10">
        <v>392.9545</v>
      </c>
      <c r="E3090" s="13">
        <f t="shared" si="144"/>
        <v>-1.8001246666545616E-2</v>
      </c>
      <c r="F3090" s="9">
        <f t="shared" si="142"/>
        <v>9.7771384806174796E-2</v>
      </c>
      <c r="G3090" s="9">
        <f t="shared" si="143"/>
        <v>1.4427897890340192E-2</v>
      </c>
    </row>
    <row r="3091" spans="1:7" x14ac:dyDescent="0.2">
      <c r="A3091" s="11">
        <v>39563</v>
      </c>
      <c r="B3091" s="10">
        <v>398.21510000000001</v>
      </c>
      <c r="C3091" s="10">
        <v>401.41489999999999</v>
      </c>
      <c r="D3091" s="10">
        <v>392.96980000000002</v>
      </c>
      <c r="E3091" s="13">
        <f t="shared" si="144"/>
        <v>1.3259547421184908E-2</v>
      </c>
      <c r="F3091" s="9">
        <f t="shared" si="142"/>
        <v>0.10656771091511173</v>
      </c>
      <c r="G3091" s="9">
        <f t="shared" si="143"/>
        <v>1.4543670008535644E-2</v>
      </c>
    </row>
    <row r="3092" spans="1:7" x14ac:dyDescent="0.2">
      <c r="A3092" s="11">
        <v>39566</v>
      </c>
      <c r="B3092" s="10">
        <v>408.2165</v>
      </c>
      <c r="C3092" s="10">
        <v>409.32749999999999</v>
      </c>
      <c r="D3092" s="10">
        <v>398.21510000000001</v>
      </c>
      <c r="E3092" s="13">
        <f t="shared" si="144"/>
        <v>2.4805359366880962E-2</v>
      </c>
      <c r="F3092" s="9">
        <f t="shared" si="142"/>
        <v>0.15164384110594867</v>
      </c>
      <c r="G3092" s="9">
        <f t="shared" si="143"/>
        <v>1.4299805441855298E-2</v>
      </c>
    </row>
    <row r="3093" spans="1:7" x14ac:dyDescent="0.2">
      <c r="A3093" s="11">
        <v>39567</v>
      </c>
      <c r="B3093" s="10">
        <v>399.85770000000002</v>
      </c>
      <c r="C3093" s="10">
        <v>409.29180000000002</v>
      </c>
      <c r="D3093" s="10">
        <v>399.45490000000001</v>
      </c>
      <c r="E3093" s="13">
        <f t="shared" si="144"/>
        <v>-2.0688937106961472E-2</v>
      </c>
      <c r="F3093" s="9">
        <f t="shared" si="142"/>
        <v>0.13007325366581354</v>
      </c>
      <c r="G3093" s="9">
        <f t="shared" si="143"/>
        <v>1.5074059967180566E-2</v>
      </c>
    </row>
    <row r="3094" spans="1:7" x14ac:dyDescent="0.2">
      <c r="A3094" s="11">
        <v>39568</v>
      </c>
      <c r="B3094" s="10">
        <v>405.22660000000002</v>
      </c>
      <c r="C3094" s="10">
        <v>405.31950000000001</v>
      </c>
      <c r="D3094" s="10">
        <v>397.11559999999997</v>
      </c>
      <c r="E3094" s="13">
        <f t="shared" si="144"/>
        <v>1.3337683000220391E-2</v>
      </c>
      <c r="F3094" s="9">
        <f t="shared" si="142"/>
        <v>0.17887649044386875</v>
      </c>
      <c r="G3094" s="9">
        <f t="shared" si="143"/>
        <v>1.3041869256911939E-2</v>
      </c>
    </row>
    <row r="3095" spans="1:7" x14ac:dyDescent="0.2">
      <c r="A3095" s="11">
        <v>39570</v>
      </c>
      <c r="B3095" s="10">
        <v>418.42959999999999</v>
      </c>
      <c r="C3095" s="10">
        <v>420.39769999999999</v>
      </c>
      <c r="D3095" s="10">
        <v>404.90910000000002</v>
      </c>
      <c r="E3095" s="13">
        <f t="shared" si="144"/>
        <v>3.206223913209158E-2</v>
      </c>
      <c r="F3095" s="9">
        <f t="shared" si="142"/>
        <v>0.19401841755440033</v>
      </c>
      <c r="G3095" s="9">
        <f t="shared" si="143"/>
        <v>1.377046332443488E-2</v>
      </c>
    </row>
    <row r="3096" spans="1:7" x14ac:dyDescent="0.2">
      <c r="A3096" s="11">
        <v>39573</v>
      </c>
      <c r="B3096" s="10">
        <v>417.71809999999999</v>
      </c>
      <c r="C3096" s="10">
        <v>419.05290000000002</v>
      </c>
      <c r="D3096" s="10">
        <v>414.45229999999998</v>
      </c>
      <c r="E3096" s="13">
        <f t="shared" si="144"/>
        <v>-1.7018528466360983E-3</v>
      </c>
      <c r="F3096" s="9">
        <f t="shared" si="142"/>
        <v>0.20108671906238532</v>
      </c>
      <c r="G3096" s="9">
        <f t="shared" si="143"/>
        <v>1.3547796887057302E-2</v>
      </c>
    </row>
    <row r="3097" spans="1:7" x14ac:dyDescent="0.2">
      <c r="A3097" s="11">
        <v>39574</v>
      </c>
      <c r="B3097" s="10">
        <v>416.71510000000001</v>
      </c>
      <c r="C3097" s="10">
        <v>421.62139999999999</v>
      </c>
      <c r="D3097" s="10">
        <v>411.84199999999998</v>
      </c>
      <c r="E3097" s="13">
        <f t="shared" si="144"/>
        <v>-2.404028226723053E-3</v>
      </c>
      <c r="F3097" s="9">
        <f t="shared" si="142"/>
        <v>0.18893169386388575</v>
      </c>
      <c r="G3097" s="9">
        <f t="shared" si="143"/>
        <v>1.3645208045743956E-2</v>
      </c>
    </row>
    <row r="3098" spans="1:7" x14ac:dyDescent="0.2">
      <c r="A3098" s="11">
        <v>39575</v>
      </c>
      <c r="B3098" s="10">
        <v>429.33530000000002</v>
      </c>
      <c r="C3098" s="10">
        <v>429.66390000000001</v>
      </c>
      <c r="D3098" s="10">
        <v>416.71510000000001</v>
      </c>
      <c r="E3098" s="13">
        <f t="shared" si="144"/>
        <v>2.9835423858147532E-2</v>
      </c>
      <c r="F3098" s="9">
        <f t="shared" si="142"/>
        <v>0.21602979702802796</v>
      </c>
      <c r="G3098" s="9">
        <f t="shared" si="143"/>
        <v>1.428988681097146E-2</v>
      </c>
    </row>
    <row r="3099" spans="1:7" x14ac:dyDescent="0.2">
      <c r="A3099" s="11">
        <v>39576</v>
      </c>
      <c r="B3099" s="10">
        <v>434.51530000000002</v>
      </c>
      <c r="C3099" s="10">
        <v>435.41590000000002</v>
      </c>
      <c r="D3099" s="10">
        <v>424.74439999999998</v>
      </c>
      <c r="E3099" s="13">
        <f t="shared" si="144"/>
        <v>1.1992958242825764E-2</v>
      </c>
      <c r="F3099" s="9">
        <f t="shared" si="142"/>
        <v>0.20866237111915092</v>
      </c>
      <c r="G3099" s="9">
        <f t="shared" si="143"/>
        <v>1.4135218790814088E-2</v>
      </c>
    </row>
    <row r="3100" spans="1:7" x14ac:dyDescent="0.2">
      <c r="A3100" s="11">
        <v>39577</v>
      </c>
      <c r="B3100" s="10">
        <v>427.1551</v>
      </c>
      <c r="C3100" s="10">
        <v>435.34109999999998</v>
      </c>
      <c r="D3100" s="10">
        <v>426.56810000000002</v>
      </c>
      <c r="E3100" s="13">
        <f t="shared" si="144"/>
        <v>-1.7083977847841578E-2</v>
      </c>
      <c r="F3100" s="9">
        <f t="shared" si="142"/>
        <v>0.18178929232707455</v>
      </c>
      <c r="G3100" s="9">
        <f t="shared" si="143"/>
        <v>1.4823213459639453E-2</v>
      </c>
    </row>
    <row r="3101" spans="1:7" x14ac:dyDescent="0.2">
      <c r="A3101" s="11">
        <v>39581</v>
      </c>
      <c r="B3101" s="10">
        <v>425.5385</v>
      </c>
      <c r="C3101" s="10">
        <v>434.72039999999998</v>
      </c>
      <c r="D3101" s="10">
        <v>424.50830000000002</v>
      </c>
      <c r="E3101" s="13">
        <f t="shared" si="144"/>
        <v>-3.7917534196906101E-3</v>
      </c>
      <c r="F3101" s="9">
        <f t="shared" si="142"/>
        <v>0.17641716073825373</v>
      </c>
      <c r="G3101" s="9">
        <f t="shared" si="143"/>
        <v>1.4917164711955477E-2</v>
      </c>
    </row>
    <row r="3102" spans="1:7" x14ac:dyDescent="0.2">
      <c r="A3102" s="11">
        <v>39582</v>
      </c>
      <c r="B3102" s="10">
        <v>433.15769999999998</v>
      </c>
      <c r="C3102" s="10">
        <v>433.495</v>
      </c>
      <c r="D3102" s="10">
        <v>425.5385</v>
      </c>
      <c r="E3102" s="13">
        <f t="shared" si="144"/>
        <v>1.774643922351439E-2</v>
      </c>
      <c r="F3102" s="9">
        <f t="shared" si="142"/>
        <v>0.17513991613744465</v>
      </c>
      <c r="G3102" s="9">
        <f t="shared" si="143"/>
        <v>1.4879431684782904E-2</v>
      </c>
    </row>
    <row r="3103" spans="1:7" x14ac:dyDescent="0.2">
      <c r="A3103" s="11">
        <v>39583</v>
      </c>
      <c r="B3103" s="10">
        <v>442.80770000000001</v>
      </c>
      <c r="C3103" s="10">
        <v>443.94420000000002</v>
      </c>
      <c r="D3103" s="10">
        <v>431.27530000000002</v>
      </c>
      <c r="E3103" s="13">
        <f t="shared" si="144"/>
        <v>2.2033725094001713E-2</v>
      </c>
      <c r="F3103" s="9">
        <f t="shared" si="142"/>
        <v>0.18916217133144753</v>
      </c>
      <c r="G3103" s="9">
        <f t="shared" si="143"/>
        <v>1.5170791354199282E-2</v>
      </c>
    </row>
    <row r="3104" spans="1:7" x14ac:dyDescent="0.2">
      <c r="A3104" s="11">
        <v>39584</v>
      </c>
      <c r="B3104" s="10">
        <v>448.8811</v>
      </c>
      <c r="C3104" s="10">
        <v>451.09480000000002</v>
      </c>
      <c r="D3104" s="10">
        <v>442.53620000000001</v>
      </c>
      <c r="E3104" s="13">
        <f t="shared" si="144"/>
        <v>1.362245195944008E-2</v>
      </c>
      <c r="F3104" s="9">
        <f t="shared" ref="F3104:F3167" si="145">LN(B3104/B3075)</f>
        <v>0.20510332935156531</v>
      </c>
      <c r="G3104" s="9">
        <f t="shared" si="143"/>
        <v>1.5127730536156842E-2</v>
      </c>
    </row>
    <row r="3105" spans="1:7" x14ac:dyDescent="0.2">
      <c r="A3105" s="11">
        <v>39587</v>
      </c>
      <c r="B3105" s="10">
        <v>454.06830000000002</v>
      </c>
      <c r="C3105" s="10">
        <v>454.41399999999999</v>
      </c>
      <c r="D3105" s="10">
        <v>444.9606</v>
      </c>
      <c r="E3105" s="13">
        <f t="shared" si="144"/>
        <v>1.1489585271651769E-2</v>
      </c>
      <c r="F3105" s="9">
        <f t="shared" si="145"/>
        <v>0.20247530656902674</v>
      </c>
      <c r="G3105" s="9">
        <f t="shared" ref="G3105:G3168" si="146">STDEV(E3077:E3105)</f>
        <v>1.5091849222466317E-2</v>
      </c>
    </row>
    <row r="3106" spans="1:7" x14ac:dyDescent="0.2">
      <c r="A3106" s="11">
        <v>39588</v>
      </c>
      <c r="B3106" s="10">
        <v>446.2568</v>
      </c>
      <c r="C3106" s="10">
        <v>454.06830000000002</v>
      </c>
      <c r="D3106" s="10">
        <v>445.72980000000001</v>
      </c>
      <c r="E3106" s="13">
        <f t="shared" si="144"/>
        <v>-1.7353056181952514E-2</v>
      </c>
      <c r="F3106" s="9">
        <f t="shared" si="145"/>
        <v>0.16429812140656158</v>
      </c>
      <c r="G3106" s="9">
        <f t="shared" si="146"/>
        <v>1.5500822976384809E-2</v>
      </c>
    </row>
    <row r="3107" spans="1:7" x14ac:dyDescent="0.2">
      <c r="A3107" s="11">
        <v>39589</v>
      </c>
      <c r="B3107" s="10">
        <v>452.6232</v>
      </c>
      <c r="C3107" s="10">
        <v>455.51650000000001</v>
      </c>
      <c r="D3107" s="10">
        <v>446.2568</v>
      </c>
      <c r="E3107" s="13">
        <f t="shared" si="144"/>
        <v>1.4165420202921074E-2</v>
      </c>
      <c r="F3107" s="9">
        <f t="shared" si="145"/>
        <v>0.18879578425935714</v>
      </c>
      <c r="G3107" s="9">
        <f t="shared" si="146"/>
        <v>1.5263569183421118E-2</v>
      </c>
    </row>
    <row r="3108" spans="1:7" x14ac:dyDescent="0.2">
      <c r="A3108" s="11">
        <v>39590</v>
      </c>
      <c r="B3108" s="10">
        <v>462.69729999999998</v>
      </c>
      <c r="C3108" s="10">
        <v>463.39370000000002</v>
      </c>
      <c r="D3108" s="10">
        <v>450.54450000000003</v>
      </c>
      <c r="E3108" s="13">
        <f t="shared" si="144"/>
        <v>2.2013069305560455E-2</v>
      </c>
      <c r="F3108" s="9">
        <f t="shared" si="145"/>
        <v>0.20936733865296728</v>
      </c>
      <c r="G3108" s="9">
        <f t="shared" si="146"/>
        <v>1.5495849593660927E-2</v>
      </c>
    </row>
    <row r="3109" spans="1:7" x14ac:dyDescent="0.2">
      <c r="A3109" s="11">
        <v>39591</v>
      </c>
      <c r="B3109" s="10">
        <v>455.7106</v>
      </c>
      <c r="C3109" s="10">
        <v>462.69729999999998</v>
      </c>
      <c r="D3109" s="10">
        <v>454.76280000000003</v>
      </c>
      <c r="E3109" s="13">
        <f t="shared" si="144"/>
        <v>-1.5215101664893652E-2</v>
      </c>
      <c r="F3109" s="9">
        <f t="shared" si="145"/>
        <v>0.19162274767772197</v>
      </c>
      <c r="G3109" s="9">
        <f t="shared" si="146"/>
        <v>1.6028833091316665E-2</v>
      </c>
    </row>
    <row r="3110" spans="1:7" x14ac:dyDescent="0.2">
      <c r="A3110" s="11">
        <v>39594</v>
      </c>
      <c r="B3110" s="10">
        <v>442.64269999999999</v>
      </c>
      <c r="C3110" s="10">
        <v>455.7106</v>
      </c>
      <c r="D3110" s="10">
        <v>442.0052</v>
      </c>
      <c r="E3110" s="13">
        <f t="shared" si="144"/>
        <v>-2.9095060580279164E-2</v>
      </c>
      <c r="F3110" s="9">
        <f t="shared" si="145"/>
        <v>0.16549266494539103</v>
      </c>
      <c r="G3110" s="9">
        <f t="shared" si="146"/>
        <v>1.7272359736173592E-2</v>
      </c>
    </row>
    <row r="3111" spans="1:7" x14ac:dyDescent="0.2">
      <c r="A3111" s="11">
        <v>39595</v>
      </c>
      <c r="B3111" s="10">
        <v>432.59500000000003</v>
      </c>
      <c r="C3111" s="10">
        <v>446.73079999999999</v>
      </c>
      <c r="D3111" s="10">
        <v>431.64699999999999</v>
      </c>
      <c r="E3111" s="13">
        <f t="shared" si="144"/>
        <v>-2.2960942905399576E-2</v>
      </c>
      <c r="F3111" s="9">
        <f t="shared" si="145"/>
        <v>0.15490802568432527</v>
      </c>
      <c r="G3111" s="9">
        <f t="shared" si="146"/>
        <v>1.7772709594948415E-2</v>
      </c>
    </row>
    <row r="3112" spans="1:7" x14ac:dyDescent="0.2">
      <c r="A3112" s="11">
        <v>39596</v>
      </c>
      <c r="B3112" s="10">
        <v>433.59309999999999</v>
      </c>
      <c r="C3112" s="10">
        <v>435.62450000000001</v>
      </c>
      <c r="D3112" s="10">
        <v>425.49419999999998</v>
      </c>
      <c r="E3112" s="13">
        <f t="shared" si="144"/>
        <v>2.3045812837887347E-3</v>
      </c>
      <c r="F3112" s="9">
        <f t="shared" si="145"/>
        <v>0.13357636667623224</v>
      </c>
      <c r="G3112" s="9">
        <f t="shared" si="146"/>
        <v>1.7426558923177876E-2</v>
      </c>
    </row>
    <row r="3113" spans="1:7" x14ac:dyDescent="0.2">
      <c r="A3113" s="11">
        <v>39597</v>
      </c>
      <c r="B3113" s="10">
        <v>430.9776</v>
      </c>
      <c r="C3113" s="10">
        <v>440.66489999999999</v>
      </c>
      <c r="D3113" s="10">
        <v>429.91809999999998</v>
      </c>
      <c r="E3113" s="13">
        <f t="shared" si="144"/>
        <v>-6.0504201193101364E-3</v>
      </c>
      <c r="F3113" s="9">
        <f t="shared" si="145"/>
        <v>0.11319675211846152</v>
      </c>
      <c r="G3113" s="9">
        <f t="shared" si="146"/>
        <v>1.7431374825242884E-2</v>
      </c>
    </row>
    <row r="3114" spans="1:7" x14ac:dyDescent="0.2">
      <c r="A3114" s="11">
        <v>39598</v>
      </c>
      <c r="B3114" s="10">
        <v>437.62290000000002</v>
      </c>
      <c r="C3114" s="10">
        <v>439.39609999999999</v>
      </c>
      <c r="D3114" s="10">
        <v>428.66480000000001</v>
      </c>
      <c r="E3114" s="13">
        <f t="shared" si="144"/>
        <v>1.5301464038977381E-2</v>
      </c>
      <c r="F3114" s="9">
        <f t="shared" si="145"/>
        <v>0.14030198222076407</v>
      </c>
      <c r="G3114" s="9">
        <f t="shared" si="146"/>
        <v>1.7285160012228448E-2</v>
      </c>
    </row>
    <row r="3115" spans="1:7" x14ac:dyDescent="0.2">
      <c r="A3115" s="11">
        <v>39601</v>
      </c>
      <c r="B3115" s="10">
        <v>437.73860000000002</v>
      </c>
      <c r="C3115" s="10">
        <v>438.26589999999999</v>
      </c>
      <c r="D3115" s="10">
        <v>432.70330000000001</v>
      </c>
      <c r="E3115" s="13">
        <f t="shared" si="144"/>
        <v>2.6434793093778238E-4</v>
      </c>
      <c r="F3115" s="9">
        <f t="shared" si="145"/>
        <v>0.12511121072083747</v>
      </c>
      <c r="G3115" s="9">
        <f t="shared" si="146"/>
        <v>1.7181787502939135E-2</v>
      </c>
    </row>
    <row r="3116" spans="1:7" x14ac:dyDescent="0.2">
      <c r="A3116" s="11">
        <v>39602</v>
      </c>
      <c r="B3116" s="10">
        <v>440.93770000000001</v>
      </c>
      <c r="C3116" s="10">
        <v>441.79039999999998</v>
      </c>
      <c r="D3116" s="10">
        <v>437.60480000000001</v>
      </c>
      <c r="E3116" s="13">
        <f t="shared" si="144"/>
        <v>7.2816670607614509E-3</v>
      </c>
      <c r="F3116" s="9">
        <f t="shared" si="145"/>
        <v>0.12326108616887707</v>
      </c>
      <c r="G3116" s="9">
        <f t="shared" si="146"/>
        <v>1.7166688645850581E-2</v>
      </c>
    </row>
    <row r="3117" spans="1:7" x14ac:dyDescent="0.2">
      <c r="A3117" s="11">
        <v>39603</v>
      </c>
      <c r="B3117" s="10">
        <v>429.89339999999999</v>
      </c>
      <c r="C3117" s="10">
        <v>440.93770000000001</v>
      </c>
      <c r="D3117" s="10">
        <v>428.63249999999999</v>
      </c>
      <c r="E3117" s="13">
        <f t="shared" si="144"/>
        <v>-2.5366324649202535E-2</v>
      </c>
      <c r="F3117" s="9">
        <f t="shared" si="145"/>
        <v>7.2636882976695058E-2</v>
      </c>
      <c r="G3117" s="9">
        <f t="shared" si="146"/>
        <v>1.7524398550088124E-2</v>
      </c>
    </row>
    <row r="3118" spans="1:7" x14ac:dyDescent="0.2">
      <c r="A3118" s="11">
        <v>39604</v>
      </c>
      <c r="B3118" s="10">
        <v>427.1438</v>
      </c>
      <c r="C3118" s="10">
        <v>430.4128</v>
      </c>
      <c r="D3118" s="10">
        <v>422.54329999999999</v>
      </c>
      <c r="E3118" s="13">
        <f t="shared" si="144"/>
        <v>-6.4165462920076294E-3</v>
      </c>
      <c r="F3118" s="9">
        <f t="shared" si="145"/>
        <v>6.5386713885461772E-2</v>
      </c>
      <c r="G3118" s="9">
        <f t="shared" si="146"/>
        <v>1.7600640299356717E-2</v>
      </c>
    </row>
    <row r="3119" spans="1:7" x14ac:dyDescent="0.2">
      <c r="A3119" s="11">
        <v>39605</v>
      </c>
      <c r="B3119" s="10">
        <v>433.8562</v>
      </c>
      <c r="C3119" s="10">
        <v>438.05860000000001</v>
      </c>
      <c r="D3119" s="10">
        <v>427.1438</v>
      </c>
      <c r="E3119" s="13">
        <f t="shared" si="144"/>
        <v>1.559241810599785E-2</v>
      </c>
      <c r="F3119" s="9">
        <f t="shared" si="145"/>
        <v>9.8980378658005436E-2</v>
      </c>
      <c r="G3119" s="9">
        <f t="shared" si="146"/>
        <v>1.7323174511377378E-2</v>
      </c>
    </row>
    <row r="3120" spans="1:7" x14ac:dyDescent="0.2">
      <c r="A3120" s="11">
        <v>39608</v>
      </c>
      <c r="B3120" s="10">
        <v>430.59190000000001</v>
      </c>
      <c r="C3120" s="10">
        <v>436.98860000000002</v>
      </c>
      <c r="D3120" s="10">
        <v>427.19810000000001</v>
      </c>
      <c r="E3120" s="13">
        <f t="shared" si="144"/>
        <v>-7.5523689989548263E-3</v>
      </c>
      <c r="F3120" s="9">
        <f t="shared" si="145"/>
        <v>7.816846223786561E-2</v>
      </c>
      <c r="G3120" s="9">
        <f t="shared" si="146"/>
        <v>1.7331783824738631E-2</v>
      </c>
    </row>
    <row r="3121" spans="1:7" x14ac:dyDescent="0.2">
      <c r="A3121" s="11">
        <v>39609</v>
      </c>
      <c r="B3121" s="10">
        <v>425.11849999999998</v>
      </c>
      <c r="C3121" s="10">
        <v>430.80279999999999</v>
      </c>
      <c r="D3121" s="10">
        <v>422.46980000000002</v>
      </c>
      <c r="E3121" s="13">
        <f t="shared" si="144"/>
        <v>-1.2792820202112903E-2</v>
      </c>
      <c r="F3121" s="9">
        <f t="shared" si="145"/>
        <v>4.0570282668871603E-2</v>
      </c>
      <c r="G3121" s="9">
        <f t="shared" si="146"/>
        <v>1.702229034606317E-2</v>
      </c>
    </row>
    <row r="3122" spans="1:7" x14ac:dyDescent="0.2">
      <c r="A3122" s="11">
        <v>39610</v>
      </c>
      <c r="B3122" s="10">
        <v>420.89420000000001</v>
      </c>
      <c r="C3122" s="10">
        <v>429.02789999999999</v>
      </c>
      <c r="D3122" s="10">
        <v>420.46679999999998</v>
      </c>
      <c r="E3122" s="13">
        <f t="shared" si="144"/>
        <v>-9.9864579034405591E-3</v>
      </c>
      <c r="F3122" s="9">
        <f t="shared" si="145"/>
        <v>5.1272761872392651E-2</v>
      </c>
      <c r="G3122" s="9">
        <f t="shared" si="146"/>
        <v>1.6637990924693084E-2</v>
      </c>
    </row>
    <row r="3123" spans="1:7" x14ac:dyDescent="0.2">
      <c r="A3123" s="11">
        <v>39611</v>
      </c>
      <c r="B3123" s="10">
        <v>427.08819999999997</v>
      </c>
      <c r="C3123" s="10">
        <v>428.67380000000003</v>
      </c>
      <c r="D3123" s="10">
        <v>420.89420000000001</v>
      </c>
      <c r="E3123" s="13">
        <f t="shared" si="144"/>
        <v>1.460905358930421E-2</v>
      </c>
      <c r="F3123" s="9">
        <f t="shared" si="145"/>
        <v>5.2544132461476448E-2</v>
      </c>
      <c r="G3123" s="9">
        <f t="shared" si="146"/>
        <v>1.6671207069900652E-2</v>
      </c>
    </row>
    <row r="3124" spans="1:7" x14ac:dyDescent="0.2">
      <c r="A3124" s="11">
        <v>39612</v>
      </c>
      <c r="B3124" s="10">
        <v>430.5256</v>
      </c>
      <c r="C3124" s="10">
        <v>432.24979999999999</v>
      </c>
      <c r="D3124" s="10">
        <v>423.95229999999998</v>
      </c>
      <c r="E3124" s="13">
        <f t="shared" si="144"/>
        <v>8.0162385616472688E-3</v>
      </c>
      <c r="F3124" s="9">
        <f t="shared" si="145"/>
        <v>2.849813189103206E-2</v>
      </c>
      <c r="G3124" s="9">
        <f t="shared" si="146"/>
        <v>1.5681525730651683E-2</v>
      </c>
    </row>
    <row r="3125" spans="1:7" x14ac:dyDescent="0.2">
      <c r="A3125" s="11">
        <v>39615</v>
      </c>
      <c r="B3125" s="10">
        <v>437.05709999999999</v>
      </c>
      <c r="C3125" s="10">
        <v>437.6429</v>
      </c>
      <c r="D3125" s="10">
        <v>430.5256</v>
      </c>
      <c r="E3125" s="13">
        <f t="shared" si="144"/>
        <v>1.5057062338120953E-2</v>
      </c>
      <c r="F3125" s="9">
        <f t="shared" si="145"/>
        <v>4.5257047075789154E-2</v>
      </c>
      <c r="G3125" s="9">
        <f t="shared" si="146"/>
        <v>1.5886520739749062E-2</v>
      </c>
    </row>
    <row r="3126" spans="1:7" x14ac:dyDescent="0.2">
      <c r="A3126" s="11">
        <v>39616</v>
      </c>
      <c r="B3126" s="10">
        <v>441.613</v>
      </c>
      <c r="C3126" s="10">
        <v>443.39870000000002</v>
      </c>
      <c r="D3126" s="10">
        <v>436.66390000000001</v>
      </c>
      <c r="E3126" s="13">
        <f t="shared" si="144"/>
        <v>1.0370082759977304E-2</v>
      </c>
      <c r="F3126" s="9">
        <f t="shared" si="145"/>
        <v>5.8031158062489381E-2</v>
      </c>
      <c r="G3126" s="9">
        <f t="shared" si="146"/>
        <v>1.5949636527329471E-2</v>
      </c>
    </row>
    <row r="3127" spans="1:7" x14ac:dyDescent="0.2">
      <c r="A3127" s="11">
        <v>39617</v>
      </c>
      <c r="B3127" s="10">
        <v>435.94560000000001</v>
      </c>
      <c r="C3127" s="10">
        <v>444.2611</v>
      </c>
      <c r="D3127" s="10">
        <v>434.3526</v>
      </c>
      <c r="E3127" s="13">
        <f t="shared" si="144"/>
        <v>-1.2916468013052873E-2</v>
      </c>
      <c r="F3127" s="9">
        <f t="shared" si="145"/>
        <v>1.5279266191289083E-2</v>
      </c>
      <c r="G3127" s="9">
        <f t="shared" si="146"/>
        <v>1.5245259730167009E-2</v>
      </c>
    </row>
    <row r="3128" spans="1:7" x14ac:dyDescent="0.2">
      <c r="A3128" s="11">
        <v>39618</v>
      </c>
      <c r="B3128" s="10">
        <v>435.15620000000001</v>
      </c>
      <c r="C3128" s="10">
        <v>439.2835</v>
      </c>
      <c r="D3128" s="10">
        <v>433.17140000000001</v>
      </c>
      <c r="E3128" s="13">
        <f t="shared" si="144"/>
        <v>-1.8124178278334619E-3</v>
      </c>
      <c r="F3128" s="9">
        <f t="shared" si="145"/>
        <v>1.4738901206298796E-3</v>
      </c>
      <c r="G3128" s="9">
        <f t="shared" si="146"/>
        <v>1.5089177231959067E-2</v>
      </c>
    </row>
    <row r="3129" spans="1:7" x14ac:dyDescent="0.2">
      <c r="A3129" s="11">
        <v>39619</v>
      </c>
      <c r="B3129" s="10">
        <v>424.80259999999998</v>
      </c>
      <c r="C3129" s="10">
        <v>436.18200000000002</v>
      </c>
      <c r="D3129" s="10">
        <v>423.78789999999998</v>
      </c>
      <c r="E3129" s="13">
        <f t="shared" si="144"/>
        <v>-2.4080456658189271E-2</v>
      </c>
      <c r="F3129" s="9">
        <f t="shared" si="145"/>
        <v>-5.5225886897177986E-3</v>
      </c>
      <c r="G3129" s="9">
        <f t="shared" si="146"/>
        <v>1.5425119657253565E-2</v>
      </c>
    </row>
    <row r="3130" spans="1:7" x14ac:dyDescent="0.2">
      <c r="A3130" s="11">
        <v>39622</v>
      </c>
      <c r="B3130" s="10">
        <v>420.9676</v>
      </c>
      <c r="C3130" s="10">
        <v>428.529</v>
      </c>
      <c r="D3130" s="10">
        <v>420.06110000000001</v>
      </c>
      <c r="E3130" s="13">
        <f t="shared" si="144"/>
        <v>-9.0687193354202014E-3</v>
      </c>
      <c r="F3130" s="9">
        <f t="shared" si="145"/>
        <v>-1.0799554605447454E-2</v>
      </c>
      <c r="G3130" s="9">
        <f t="shared" si="146"/>
        <v>1.5500063466070484E-2</v>
      </c>
    </row>
    <row r="3131" spans="1:7" x14ac:dyDescent="0.2">
      <c r="A3131" s="11">
        <v>39623</v>
      </c>
      <c r="B3131" s="10">
        <v>416.88670000000002</v>
      </c>
      <c r="C3131" s="10">
        <v>428.02229999999997</v>
      </c>
      <c r="D3131" s="10">
        <v>416.80739999999997</v>
      </c>
      <c r="E3131" s="13">
        <f t="shared" si="144"/>
        <v>-9.741388857822636E-3</v>
      </c>
      <c r="F3131" s="9">
        <f t="shared" si="145"/>
        <v>-3.8287382686784534E-2</v>
      </c>
      <c r="G3131" s="9">
        <f t="shared" si="146"/>
        <v>1.5189853621843656E-2</v>
      </c>
    </row>
    <row r="3132" spans="1:7" x14ac:dyDescent="0.2">
      <c r="A3132" s="11">
        <v>39624</v>
      </c>
      <c r="B3132" s="10">
        <v>417.41910000000001</v>
      </c>
      <c r="C3132" s="10">
        <v>422.22699999999998</v>
      </c>
      <c r="D3132" s="10">
        <v>416.71570000000003</v>
      </c>
      <c r="E3132" s="13">
        <f t="shared" si="144"/>
        <v>1.2762708164498772E-3</v>
      </c>
      <c r="F3132" s="9">
        <f t="shared" si="145"/>
        <v>-5.9044836964336427E-2</v>
      </c>
      <c r="G3132" s="9">
        <f t="shared" si="146"/>
        <v>1.4524563198735274E-2</v>
      </c>
    </row>
    <row r="3133" spans="1:7" x14ac:dyDescent="0.2">
      <c r="A3133" s="11">
        <v>39625</v>
      </c>
      <c r="B3133" s="10">
        <v>411.35910000000001</v>
      </c>
      <c r="C3133" s="10">
        <v>417.46019999999999</v>
      </c>
      <c r="D3133" s="10">
        <v>409.33069999999998</v>
      </c>
      <c r="E3133" s="13">
        <f t="shared" si="144"/>
        <v>-1.4624197408970765E-2</v>
      </c>
      <c r="F3133" s="9">
        <f t="shared" si="145"/>
        <v>-8.7291486332747262E-2</v>
      </c>
      <c r="G3133" s="9">
        <f t="shared" si="146"/>
        <v>1.43834271050381E-2</v>
      </c>
    </row>
    <row r="3134" spans="1:7" x14ac:dyDescent="0.2">
      <c r="A3134" s="11">
        <v>39626</v>
      </c>
      <c r="B3134" s="10">
        <v>408.33499999999998</v>
      </c>
      <c r="C3134" s="10">
        <v>411.68389999999999</v>
      </c>
      <c r="D3134" s="10">
        <v>403.74419999999998</v>
      </c>
      <c r="E3134" s="13">
        <f t="shared" si="144"/>
        <v>-7.3786397155010319E-3</v>
      </c>
      <c r="F3134" s="9">
        <f t="shared" si="145"/>
        <v>-0.10615971131990007</v>
      </c>
      <c r="G3134" s="9">
        <f t="shared" si="146"/>
        <v>1.4128608527536954E-2</v>
      </c>
    </row>
    <row r="3135" spans="1:7" x14ac:dyDescent="0.2">
      <c r="A3135" s="11">
        <v>39629</v>
      </c>
      <c r="B3135" s="10">
        <v>411.2192</v>
      </c>
      <c r="C3135" s="10">
        <v>414.8245</v>
      </c>
      <c r="D3135" s="10">
        <v>406.13659999999999</v>
      </c>
      <c r="E3135" s="13">
        <f t="shared" si="144"/>
        <v>7.0384897228525358E-3</v>
      </c>
      <c r="F3135" s="9">
        <f t="shared" si="145"/>
        <v>-8.176816541509499E-2</v>
      </c>
      <c r="G3135" s="9">
        <f t="shared" si="146"/>
        <v>1.4009904444326397E-2</v>
      </c>
    </row>
    <row r="3136" spans="1:7" x14ac:dyDescent="0.2">
      <c r="A3136" s="11">
        <v>39630</v>
      </c>
      <c r="B3136" s="10">
        <v>403.55720000000002</v>
      </c>
      <c r="C3136" s="10">
        <v>412.10910000000001</v>
      </c>
      <c r="D3136" s="10">
        <v>402.4307</v>
      </c>
      <c r="E3136" s="13">
        <f t="shared" si="144"/>
        <v>-1.8808168391363286E-2</v>
      </c>
      <c r="F3136" s="9">
        <f t="shared" si="145"/>
        <v>-0.11474175400937926</v>
      </c>
      <c r="G3136" s="9">
        <f t="shared" si="146"/>
        <v>1.3919949883156261E-2</v>
      </c>
    </row>
    <row r="3137" spans="1:7" x14ac:dyDescent="0.2">
      <c r="A3137" s="11">
        <v>39631</v>
      </c>
      <c r="B3137" s="10">
        <v>406.71839999999997</v>
      </c>
      <c r="C3137" s="10">
        <v>412.44069999999999</v>
      </c>
      <c r="D3137" s="10">
        <v>403.0926</v>
      </c>
      <c r="E3137" s="13">
        <f t="shared" si="144"/>
        <v>7.8028168165143047E-3</v>
      </c>
      <c r="F3137" s="9">
        <f t="shared" si="145"/>
        <v>-0.12895200649842531</v>
      </c>
      <c r="G3137" s="9">
        <f t="shared" si="146"/>
        <v>1.3204864902532577E-2</v>
      </c>
    </row>
    <row r="3138" spans="1:7" x14ac:dyDescent="0.2">
      <c r="A3138" s="11">
        <v>39632</v>
      </c>
      <c r="B3138" s="10">
        <v>392.35899999999998</v>
      </c>
      <c r="C3138" s="10">
        <v>406.71839999999997</v>
      </c>
      <c r="D3138" s="10">
        <v>390.15960000000001</v>
      </c>
      <c r="E3138" s="13">
        <f t="shared" si="144"/>
        <v>-3.5943817069961338E-2</v>
      </c>
      <c r="F3138" s="9">
        <f t="shared" si="145"/>
        <v>-0.14968072190349299</v>
      </c>
      <c r="G3138" s="9">
        <f t="shared" si="146"/>
        <v>1.4322327034663908E-2</v>
      </c>
    </row>
    <row r="3139" spans="1:7" x14ac:dyDescent="0.2">
      <c r="A3139" s="11">
        <v>39633</v>
      </c>
      <c r="B3139" s="10">
        <v>392.28210000000001</v>
      </c>
      <c r="C3139" s="10">
        <v>397.464</v>
      </c>
      <c r="D3139" s="10">
        <v>391.50569999999999</v>
      </c>
      <c r="E3139" s="13">
        <f t="shared" si="144"/>
        <v>-1.9601318423463306E-4</v>
      </c>
      <c r="F3139" s="9">
        <f t="shared" si="145"/>
        <v>-0.12078167450744845</v>
      </c>
      <c r="G3139" s="9">
        <f t="shared" si="146"/>
        <v>1.3583932474823745E-2</v>
      </c>
    </row>
    <row r="3140" spans="1:7" x14ac:dyDescent="0.2">
      <c r="A3140" s="11">
        <v>39636</v>
      </c>
      <c r="B3140" s="10">
        <v>396.34129999999999</v>
      </c>
      <c r="C3140" s="10">
        <v>399.30930000000001</v>
      </c>
      <c r="D3140" s="10">
        <v>392.28210000000001</v>
      </c>
      <c r="E3140" s="13">
        <f t="shared" ref="E3140:E3203" si="147">LN(B3140/B3139)</f>
        <v>1.0294484916950002E-2</v>
      </c>
      <c r="F3140" s="9">
        <f t="shared" si="145"/>
        <v>-8.7526246685098799E-2</v>
      </c>
      <c r="G3140" s="9">
        <f t="shared" si="146"/>
        <v>1.3342060930530317E-2</v>
      </c>
    </row>
    <row r="3141" spans="1:7" x14ac:dyDescent="0.2">
      <c r="A3141" s="11">
        <v>39637</v>
      </c>
      <c r="B3141" s="10">
        <v>385.61939999999998</v>
      </c>
      <c r="C3141" s="10">
        <v>396.34129999999999</v>
      </c>
      <c r="D3141" s="10">
        <v>385.12959999999998</v>
      </c>
      <c r="E3141" s="13">
        <f t="shared" si="147"/>
        <v>-2.7424836071654565E-2</v>
      </c>
      <c r="F3141" s="9">
        <f t="shared" si="145"/>
        <v>-0.11725566404054205</v>
      </c>
      <c r="G3141" s="9">
        <f t="shared" si="146"/>
        <v>1.404225053661769E-2</v>
      </c>
    </row>
    <row r="3142" spans="1:7" x14ac:dyDescent="0.2">
      <c r="A3142" s="11">
        <v>39638</v>
      </c>
      <c r="B3142" s="10">
        <v>390.964</v>
      </c>
      <c r="C3142" s="10">
        <v>392.16719999999998</v>
      </c>
      <c r="D3142" s="10">
        <v>385.61939999999998</v>
      </c>
      <c r="E3142" s="13">
        <f t="shared" si="147"/>
        <v>1.3764611461117649E-2</v>
      </c>
      <c r="F3142" s="9">
        <f t="shared" si="145"/>
        <v>-9.7440632460114224E-2</v>
      </c>
      <c r="G3142" s="9">
        <f t="shared" si="146"/>
        <v>1.4418153710387153E-2</v>
      </c>
    </row>
    <row r="3143" spans="1:7" x14ac:dyDescent="0.2">
      <c r="A3143" s="11">
        <v>39639</v>
      </c>
      <c r="B3143" s="10">
        <v>383.63690000000003</v>
      </c>
      <c r="C3143" s="10">
        <v>390.964</v>
      </c>
      <c r="D3143" s="10">
        <v>382.92680000000001</v>
      </c>
      <c r="E3143" s="13">
        <f t="shared" si="147"/>
        <v>-1.8918951800286493E-2</v>
      </c>
      <c r="F3143" s="9">
        <f t="shared" si="145"/>
        <v>-0.13166104829937814</v>
      </c>
      <c r="G3143" s="9">
        <f t="shared" si="146"/>
        <v>1.4235490165042717E-2</v>
      </c>
    </row>
    <row r="3144" spans="1:7" x14ac:dyDescent="0.2">
      <c r="A3144" s="11">
        <v>39640</v>
      </c>
      <c r="B3144" s="10">
        <v>384.31220000000002</v>
      </c>
      <c r="C3144" s="10">
        <v>391.45650000000001</v>
      </c>
      <c r="D3144" s="10">
        <v>380.6198</v>
      </c>
      <c r="E3144" s="13">
        <f t="shared" si="147"/>
        <v>1.758710763674564E-3</v>
      </c>
      <c r="F3144" s="9">
        <f t="shared" si="145"/>
        <v>-0.13016668546664112</v>
      </c>
      <c r="G3144" s="9">
        <f t="shared" si="146"/>
        <v>1.4256191823737349E-2</v>
      </c>
    </row>
    <row r="3145" spans="1:7" x14ac:dyDescent="0.2">
      <c r="A3145" s="11">
        <v>39643</v>
      </c>
      <c r="B3145" s="10">
        <v>375.7953</v>
      </c>
      <c r="C3145" s="10">
        <v>385.83690000000001</v>
      </c>
      <c r="D3145" s="10">
        <v>375.58550000000002</v>
      </c>
      <c r="E3145" s="13">
        <f t="shared" si="147"/>
        <v>-2.2410662849968357E-2</v>
      </c>
      <c r="F3145" s="9">
        <f t="shared" si="145"/>
        <v>-0.15985901537737088</v>
      </c>
      <c r="G3145" s="9">
        <f t="shared" si="146"/>
        <v>1.4445658850496094E-2</v>
      </c>
    </row>
    <row r="3146" spans="1:7" x14ac:dyDescent="0.2">
      <c r="A3146" s="11">
        <v>39644</v>
      </c>
      <c r="B3146" s="10">
        <v>361.19170000000003</v>
      </c>
      <c r="C3146" s="10">
        <v>375.7953</v>
      </c>
      <c r="D3146" s="10">
        <v>359.99279999999999</v>
      </c>
      <c r="E3146" s="13">
        <f t="shared" si="147"/>
        <v>-3.9635737928896728E-2</v>
      </c>
      <c r="F3146" s="9">
        <f t="shared" si="145"/>
        <v>-0.1741284286570651</v>
      </c>
      <c r="G3146" s="9">
        <f t="shared" si="146"/>
        <v>1.5360153535226736E-2</v>
      </c>
    </row>
    <row r="3147" spans="1:7" x14ac:dyDescent="0.2">
      <c r="A3147" s="11">
        <v>39645</v>
      </c>
      <c r="B3147" s="10">
        <v>353.82380000000001</v>
      </c>
      <c r="C3147" s="10">
        <v>365.91719999999998</v>
      </c>
      <c r="D3147" s="10">
        <v>353.62459999999999</v>
      </c>
      <c r="E3147" s="13">
        <f t="shared" si="147"/>
        <v>-2.0609793212734189E-2</v>
      </c>
      <c r="F3147" s="9">
        <f t="shared" si="145"/>
        <v>-0.18832167557779161</v>
      </c>
      <c r="G3147" s="9">
        <f t="shared" si="146"/>
        <v>1.5598032395450096E-2</v>
      </c>
    </row>
    <row r="3148" spans="1:7" x14ac:dyDescent="0.2">
      <c r="A3148" s="11">
        <v>39646</v>
      </c>
      <c r="B3148" s="10">
        <v>363.7833</v>
      </c>
      <c r="C3148" s="10">
        <v>364.6114</v>
      </c>
      <c r="D3148" s="10">
        <v>353.82380000000001</v>
      </c>
      <c r="E3148" s="13">
        <f t="shared" si="147"/>
        <v>2.7759311580289225E-2</v>
      </c>
      <c r="F3148" s="9">
        <f t="shared" si="145"/>
        <v>-0.17615478210350038</v>
      </c>
      <c r="G3148" s="9">
        <f t="shared" si="146"/>
        <v>1.6358410324314631E-2</v>
      </c>
    </row>
    <row r="3149" spans="1:7" x14ac:dyDescent="0.2">
      <c r="A3149" s="11">
        <v>39647</v>
      </c>
      <c r="B3149" s="10">
        <v>362.14940000000001</v>
      </c>
      <c r="C3149" s="10">
        <v>363.7833</v>
      </c>
      <c r="D3149" s="10">
        <v>355.0351</v>
      </c>
      <c r="E3149" s="13">
        <f t="shared" si="147"/>
        <v>-4.501526819432714E-3</v>
      </c>
      <c r="F3149" s="9">
        <f t="shared" si="145"/>
        <v>-0.17310393992397829</v>
      </c>
      <c r="G3149" s="9">
        <f t="shared" si="146"/>
        <v>1.6358375383482619E-2</v>
      </c>
    </row>
    <row r="3150" spans="1:7" x14ac:dyDescent="0.2">
      <c r="A3150" s="11">
        <v>39650</v>
      </c>
      <c r="B3150" s="10">
        <v>369.65699999999998</v>
      </c>
      <c r="C3150" s="10">
        <v>373.7799</v>
      </c>
      <c r="D3150" s="10">
        <v>362.14940000000001</v>
      </c>
      <c r="E3150" s="13">
        <f t="shared" si="147"/>
        <v>2.0518714788041039E-2</v>
      </c>
      <c r="F3150" s="9">
        <f t="shared" si="145"/>
        <v>-0.13979240493382428</v>
      </c>
      <c r="G3150" s="9">
        <f t="shared" si="146"/>
        <v>1.7018348973876031E-2</v>
      </c>
    </row>
    <row r="3151" spans="1:7" x14ac:dyDescent="0.2">
      <c r="A3151" s="11">
        <v>39651</v>
      </c>
      <c r="B3151" s="10">
        <v>364.86770000000001</v>
      </c>
      <c r="C3151" s="10">
        <v>374.0675</v>
      </c>
      <c r="D3151" s="10">
        <v>364.22149999999999</v>
      </c>
      <c r="E3151" s="13">
        <f t="shared" si="147"/>
        <v>-1.3040726533470395E-2</v>
      </c>
      <c r="F3151" s="9">
        <f t="shared" si="145"/>
        <v>-0.14284667356385411</v>
      </c>
      <c r="G3151" s="9">
        <f t="shared" si="146"/>
        <v>1.7060858942992748E-2</v>
      </c>
    </row>
    <row r="3152" spans="1:7" x14ac:dyDescent="0.2">
      <c r="A3152" s="11">
        <v>39652</v>
      </c>
      <c r="B3152" s="10">
        <v>361.62009999999998</v>
      </c>
      <c r="C3152" s="10">
        <v>367.96120000000002</v>
      </c>
      <c r="D3152" s="10">
        <v>360.72250000000003</v>
      </c>
      <c r="E3152" s="13">
        <f t="shared" si="147"/>
        <v>-8.9406088661305432E-3</v>
      </c>
      <c r="F3152" s="9">
        <f t="shared" si="145"/>
        <v>-0.16639633601928885</v>
      </c>
      <c r="G3152" s="9">
        <f t="shared" si="146"/>
        <v>1.6653429943896875E-2</v>
      </c>
    </row>
    <row r="3153" spans="1:7" x14ac:dyDescent="0.2">
      <c r="A3153" s="11">
        <v>39653</v>
      </c>
      <c r="B3153" s="10">
        <v>356.60039999999998</v>
      </c>
      <c r="C3153" s="10">
        <v>362.13889999999998</v>
      </c>
      <c r="D3153" s="10">
        <v>354.37110000000001</v>
      </c>
      <c r="E3153" s="13">
        <f t="shared" si="147"/>
        <v>-1.3978386122944558E-2</v>
      </c>
      <c r="F3153" s="9">
        <f t="shared" si="145"/>
        <v>-0.18839096070388067</v>
      </c>
      <c r="G3153" s="9">
        <f t="shared" si="146"/>
        <v>1.6504848189405254E-2</v>
      </c>
    </row>
    <row r="3154" spans="1:7" x14ac:dyDescent="0.2">
      <c r="A3154" s="11">
        <v>39654</v>
      </c>
      <c r="B3154" s="10">
        <v>351.54719999999998</v>
      </c>
      <c r="C3154" s="10">
        <v>357.70620000000002</v>
      </c>
      <c r="D3154" s="10">
        <v>349.20760000000001</v>
      </c>
      <c r="E3154" s="13">
        <f t="shared" si="147"/>
        <v>-1.4271843247585568E-2</v>
      </c>
      <c r="F3154" s="9">
        <f t="shared" si="145"/>
        <v>-0.21771986628958725</v>
      </c>
      <c r="G3154" s="9">
        <f t="shared" si="146"/>
        <v>1.6028695257515845E-2</v>
      </c>
    </row>
    <row r="3155" spans="1:7" x14ac:dyDescent="0.2">
      <c r="A3155" s="11">
        <v>39657</v>
      </c>
      <c r="B3155" s="10">
        <v>358.43450000000001</v>
      </c>
      <c r="C3155" s="10">
        <v>359.97340000000003</v>
      </c>
      <c r="D3155" s="10">
        <v>351.54719999999998</v>
      </c>
      <c r="E3155" s="13">
        <f t="shared" si="147"/>
        <v>1.9401953742864568E-2</v>
      </c>
      <c r="F3155" s="9">
        <f t="shared" si="145"/>
        <v>-0.20868799530669976</v>
      </c>
      <c r="G3155" s="9">
        <f t="shared" si="146"/>
        <v>1.6470138883208519E-2</v>
      </c>
    </row>
    <row r="3156" spans="1:7" x14ac:dyDescent="0.2">
      <c r="A3156" s="11">
        <v>39658</v>
      </c>
      <c r="B3156" s="10">
        <v>361.78230000000002</v>
      </c>
      <c r="C3156" s="10">
        <v>366.40039999999999</v>
      </c>
      <c r="D3156" s="10">
        <v>355.63209999999998</v>
      </c>
      <c r="E3156" s="13">
        <f t="shared" si="147"/>
        <v>9.2967120794057428E-3</v>
      </c>
      <c r="F3156" s="9">
        <f t="shared" si="145"/>
        <v>-0.1864748152142412</v>
      </c>
      <c r="G3156" s="9">
        <f t="shared" si="146"/>
        <v>1.670939699840214E-2</v>
      </c>
    </row>
    <row r="3157" spans="1:7" x14ac:dyDescent="0.2">
      <c r="A3157" s="11">
        <v>39659</v>
      </c>
      <c r="B3157" s="10">
        <v>368.37889999999999</v>
      </c>
      <c r="C3157" s="10">
        <v>368.49209999999999</v>
      </c>
      <c r="D3157" s="10">
        <v>361.78230000000002</v>
      </c>
      <c r="E3157" s="13">
        <f t="shared" si="147"/>
        <v>1.806937833139469E-2</v>
      </c>
      <c r="F3157" s="9">
        <f t="shared" si="145"/>
        <v>-0.16659301905501298</v>
      </c>
      <c r="G3157" s="9">
        <f t="shared" si="146"/>
        <v>1.7302956060277607E-2</v>
      </c>
    </row>
    <row r="3158" spans="1:7" x14ac:dyDescent="0.2">
      <c r="A3158" s="11">
        <v>39660</v>
      </c>
      <c r="B3158" s="10">
        <v>374.95420000000001</v>
      </c>
      <c r="C3158" s="10">
        <v>379.29259999999999</v>
      </c>
      <c r="D3158" s="10">
        <v>368.37889999999999</v>
      </c>
      <c r="E3158" s="13">
        <f t="shared" si="147"/>
        <v>1.7691857138712647E-2</v>
      </c>
      <c r="F3158" s="9">
        <f t="shared" si="145"/>
        <v>-0.12482070525811105</v>
      </c>
      <c r="G3158" s="9">
        <f t="shared" si="146"/>
        <v>1.7460032925518607E-2</v>
      </c>
    </row>
    <row r="3159" spans="1:7" x14ac:dyDescent="0.2">
      <c r="A3159" s="11">
        <v>39661</v>
      </c>
      <c r="B3159" s="10">
        <v>363.13529999999997</v>
      </c>
      <c r="C3159" s="10">
        <v>374.95420000000001</v>
      </c>
      <c r="D3159" s="10">
        <v>361.67540000000002</v>
      </c>
      <c r="E3159" s="13">
        <f t="shared" si="147"/>
        <v>-3.2028393086170899E-2</v>
      </c>
      <c r="F3159" s="9">
        <f t="shared" si="145"/>
        <v>-0.14778037900886176</v>
      </c>
      <c r="G3159" s="9">
        <f t="shared" si="146"/>
        <v>1.818911712977403E-2</v>
      </c>
    </row>
    <row r="3160" spans="1:7" x14ac:dyDescent="0.2">
      <c r="A3160" s="11">
        <v>39664</v>
      </c>
      <c r="B3160" s="10">
        <v>358.16930000000002</v>
      </c>
      <c r="C3160" s="10">
        <v>367.02670000000001</v>
      </c>
      <c r="D3160" s="10">
        <v>357.77179999999998</v>
      </c>
      <c r="E3160" s="13">
        <f t="shared" si="147"/>
        <v>-1.3769712447732171E-2</v>
      </c>
      <c r="F3160" s="9">
        <f t="shared" si="145"/>
        <v>-0.1518087025987713</v>
      </c>
      <c r="G3160" s="9">
        <f t="shared" si="146"/>
        <v>1.8241168690674114E-2</v>
      </c>
    </row>
    <row r="3161" spans="1:7" x14ac:dyDescent="0.2">
      <c r="A3161" s="11">
        <v>39665</v>
      </c>
      <c r="B3161" s="10">
        <v>349.22710000000001</v>
      </c>
      <c r="C3161" s="10">
        <v>358.16930000000002</v>
      </c>
      <c r="D3161" s="10">
        <v>346.53579999999999</v>
      </c>
      <c r="E3161" s="13">
        <f t="shared" si="147"/>
        <v>-2.5283352733558816E-2</v>
      </c>
      <c r="F3161" s="9">
        <f t="shared" si="145"/>
        <v>-0.17836832614878001</v>
      </c>
      <c r="G3161" s="9">
        <f t="shared" si="146"/>
        <v>1.8566437954838162E-2</v>
      </c>
    </row>
    <row r="3162" spans="1:7" x14ac:dyDescent="0.2">
      <c r="A3162" s="11">
        <v>39666</v>
      </c>
      <c r="B3162" s="10">
        <v>356.24149999999997</v>
      </c>
      <c r="C3162" s="10">
        <v>356.29259999999999</v>
      </c>
      <c r="D3162" s="10">
        <v>349.03219999999999</v>
      </c>
      <c r="E3162" s="13">
        <f t="shared" si="147"/>
        <v>1.9886444738358874E-2</v>
      </c>
      <c r="F3162" s="9">
        <f t="shared" si="145"/>
        <v>-0.14385768400145046</v>
      </c>
      <c r="G3162" s="9">
        <f t="shared" si="146"/>
        <v>1.9102181003816752E-2</v>
      </c>
    </row>
    <row r="3163" spans="1:7" x14ac:dyDescent="0.2">
      <c r="A3163" s="11">
        <v>39667</v>
      </c>
      <c r="B3163" s="10">
        <v>360.34899999999999</v>
      </c>
      <c r="C3163" s="10">
        <v>364.5557</v>
      </c>
      <c r="D3163" s="10">
        <v>355.56259999999997</v>
      </c>
      <c r="E3163" s="13">
        <f t="shared" si="147"/>
        <v>1.146413463772443E-2</v>
      </c>
      <c r="F3163" s="9">
        <f t="shared" si="145"/>
        <v>-0.12501490964822493</v>
      </c>
      <c r="G3163" s="9">
        <f t="shared" si="146"/>
        <v>1.9336027797248367E-2</v>
      </c>
    </row>
    <row r="3164" spans="1:7" x14ac:dyDescent="0.2">
      <c r="A3164" s="11">
        <v>39668</v>
      </c>
      <c r="B3164" s="10">
        <v>356.80070000000001</v>
      </c>
      <c r="C3164" s="10">
        <v>361.80579999999998</v>
      </c>
      <c r="D3164" s="10">
        <v>353.38659999999999</v>
      </c>
      <c r="E3164" s="13">
        <f t="shared" si="147"/>
        <v>-9.8956436994780718E-3</v>
      </c>
      <c r="F3164" s="9">
        <f t="shared" si="145"/>
        <v>-0.14194904307055545</v>
      </c>
      <c r="G3164" s="9">
        <f t="shared" si="146"/>
        <v>1.923648769605639E-2</v>
      </c>
    </row>
    <row r="3165" spans="1:7" x14ac:dyDescent="0.2">
      <c r="A3165" s="11">
        <v>39671</v>
      </c>
      <c r="B3165" s="10">
        <v>358.27589999999998</v>
      </c>
      <c r="C3165" s="10">
        <v>361.58960000000002</v>
      </c>
      <c r="D3165" s="10">
        <v>356.80070000000001</v>
      </c>
      <c r="E3165" s="13">
        <f t="shared" si="147"/>
        <v>4.1259973904853257E-3</v>
      </c>
      <c r="F3165" s="9">
        <f t="shared" si="145"/>
        <v>-0.11901487728870683</v>
      </c>
      <c r="G3165" s="9">
        <f t="shared" si="146"/>
        <v>1.9115106651115359E-2</v>
      </c>
    </row>
    <row r="3166" spans="1:7" x14ac:dyDescent="0.2">
      <c r="A3166" s="11">
        <v>39672</v>
      </c>
      <c r="B3166" s="10">
        <v>353.94979999999998</v>
      </c>
      <c r="C3166" s="10">
        <v>358.27589999999998</v>
      </c>
      <c r="D3166" s="10">
        <v>351.86369999999999</v>
      </c>
      <c r="E3166" s="13">
        <f t="shared" si="147"/>
        <v>-1.214826480934565E-2</v>
      </c>
      <c r="F3166" s="9">
        <f t="shared" si="145"/>
        <v>-0.13896595891456684</v>
      </c>
      <c r="G3166" s="9">
        <f t="shared" si="146"/>
        <v>1.9030106040910755E-2</v>
      </c>
    </row>
    <row r="3167" spans="1:7" x14ac:dyDescent="0.2">
      <c r="A3167" s="11">
        <v>39673</v>
      </c>
      <c r="B3167" s="10">
        <v>348.959</v>
      </c>
      <c r="C3167" s="10">
        <v>356.41719999999998</v>
      </c>
      <c r="D3167" s="10">
        <v>348.75990000000002</v>
      </c>
      <c r="E3167" s="13">
        <f t="shared" si="147"/>
        <v>-1.4200658377219703E-2</v>
      </c>
      <c r="F3167" s="9">
        <f t="shared" si="145"/>
        <v>-0.11722280022182525</v>
      </c>
      <c r="G3167" s="9">
        <f t="shared" si="146"/>
        <v>1.8167710811229823E-2</v>
      </c>
    </row>
    <row r="3168" spans="1:7" x14ac:dyDescent="0.2">
      <c r="A3168" s="11">
        <v>39674</v>
      </c>
      <c r="B3168" s="10">
        <v>354.63060000000002</v>
      </c>
      <c r="C3168" s="10">
        <v>358.01240000000001</v>
      </c>
      <c r="D3168" s="10">
        <v>348.959</v>
      </c>
      <c r="E3168" s="13">
        <f t="shared" si="147"/>
        <v>1.6122247541944499E-2</v>
      </c>
      <c r="F3168" s="9">
        <f t="shared" ref="F3168:F3231" si="148">LN(B3168/B3139)</f>
        <v>-0.10090453949564618</v>
      </c>
      <c r="G3168" s="9">
        <f t="shared" si="146"/>
        <v>1.8539984256682015E-2</v>
      </c>
    </row>
    <row r="3169" spans="1:7" x14ac:dyDescent="0.2">
      <c r="A3169" s="11">
        <v>39675</v>
      </c>
      <c r="B3169" s="10">
        <v>352.47949999999997</v>
      </c>
      <c r="C3169" s="10">
        <v>358.1456</v>
      </c>
      <c r="D3169" s="10">
        <v>352.21800000000002</v>
      </c>
      <c r="E3169" s="13">
        <f t="shared" si="147"/>
        <v>-6.0842198003752236E-3</v>
      </c>
      <c r="F3169" s="9">
        <f t="shared" si="148"/>
        <v>-0.11728324421297133</v>
      </c>
      <c r="G3169" s="9">
        <f t="shared" ref="G3169:G3232" si="149">STDEV(E3141:E3169)</f>
        <v>1.8353941802849029E-2</v>
      </c>
    </row>
    <row r="3170" spans="1:7" x14ac:dyDescent="0.2">
      <c r="A3170" s="11">
        <v>39678</v>
      </c>
      <c r="B3170" s="10">
        <v>360.05309999999997</v>
      </c>
      <c r="C3170" s="10">
        <v>361.28930000000003</v>
      </c>
      <c r="D3170" s="10">
        <v>352.47949999999997</v>
      </c>
      <c r="E3170" s="13">
        <f t="shared" si="147"/>
        <v>2.1259056040273061E-2</v>
      </c>
      <c r="F3170" s="9">
        <f t="shared" si="148"/>
        <v>-6.8599352101043704E-2</v>
      </c>
      <c r="G3170" s="9">
        <f t="shared" si="149"/>
        <v>1.8365493829944093E-2</v>
      </c>
    </row>
    <row r="3171" spans="1:7" x14ac:dyDescent="0.2">
      <c r="A3171" s="11">
        <v>39679</v>
      </c>
      <c r="B3171" s="10">
        <v>353.93819999999999</v>
      </c>
      <c r="C3171" s="10">
        <v>360.05309999999997</v>
      </c>
      <c r="D3171" s="10">
        <v>353.24610000000001</v>
      </c>
      <c r="E3171" s="13">
        <f t="shared" si="147"/>
        <v>-1.7129198950723127E-2</v>
      </c>
      <c r="F3171" s="9">
        <f t="shared" si="148"/>
        <v>-9.9493162512884536E-2</v>
      </c>
      <c r="G3171" s="9">
        <f t="shared" si="149"/>
        <v>1.8292302746467926E-2</v>
      </c>
    </row>
    <row r="3172" spans="1:7" x14ac:dyDescent="0.2">
      <c r="A3172" s="11">
        <v>39680</v>
      </c>
      <c r="B3172" s="10">
        <v>360.75940000000003</v>
      </c>
      <c r="C3172" s="10">
        <v>361.32740000000001</v>
      </c>
      <c r="D3172" s="10">
        <v>353.93819999999999</v>
      </c>
      <c r="E3172" s="13">
        <f t="shared" si="147"/>
        <v>1.9088932518186962E-2</v>
      </c>
      <c r="F3172" s="9">
        <f t="shared" si="148"/>
        <v>-6.1485278194411054E-2</v>
      </c>
      <c r="G3172" s="9">
        <f t="shared" si="149"/>
        <v>1.8503354091519351E-2</v>
      </c>
    </row>
    <row r="3173" spans="1:7" x14ac:dyDescent="0.2">
      <c r="A3173" s="11">
        <v>39681</v>
      </c>
      <c r="B3173" s="10">
        <v>368.93189999999998</v>
      </c>
      <c r="C3173" s="10">
        <v>368.95</v>
      </c>
      <c r="D3173" s="10">
        <v>360.75940000000003</v>
      </c>
      <c r="E3173" s="13">
        <f t="shared" si="147"/>
        <v>2.2400820022462842E-2</v>
      </c>
      <c r="F3173" s="9">
        <f t="shared" si="148"/>
        <v>-4.0843168935623016E-2</v>
      </c>
      <c r="G3173" s="9">
        <f t="shared" si="149"/>
        <v>1.9046949414933779E-2</v>
      </c>
    </row>
    <row r="3174" spans="1:7" x14ac:dyDescent="0.2">
      <c r="A3174" s="11">
        <v>39682</v>
      </c>
      <c r="B3174" s="10">
        <v>372.08429999999998</v>
      </c>
      <c r="C3174" s="10">
        <v>373.07530000000003</v>
      </c>
      <c r="D3174" s="10">
        <v>367.43959999999998</v>
      </c>
      <c r="E3174" s="13">
        <f t="shared" si="147"/>
        <v>8.5083673405201721E-3</v>
      </c>
      <c r="F3174" s="9">
        <f t="shared" si="148"/>
        <v>-9.9241387451345052E-3</v>
      </c>
      <c r="G3174" s="9">
        <f t="shared" si="149"/>
        <v>1.8691381854509765E-2</v>
      </c>
    </row>
    <row r="3175" spans="1:7" x14ac:dyDescent="0.2">
      <c r="A3175" s="11">
        <v>39685</v>
      </c>
      <c r="B3175" s="10">
        <v>367.59660000000002</v>
      </c>
      <c r="C3175" s="10">
        <v>374.9889</v>
      </c>
      <c r="D3175" s="10">
        <v>367.57659999999998</v>
      </c>
      <c r="E3175" s="13">
        <f t="shared" si="147"/>
        <v>-1.2134300248684327E-2</v>
      </c>
      <c r="F3175" s="9">
        <f t="shared" si="148"/>
        <v>1.7577298935077885E-2</v>
      </c>
      <c r="G3175" s="9">
        <f t="shared" si="149"/>
        <v>1.7270214855707382E-2</v>
      </c>
    </row>
    <row r="3176" spans="1:7" x14ac:dyDescent="0.2">
      <c r="A3176" s="11">
        <v>39686</v>
      </c>
      <c r="B3176" s="10">
        <v>364.0745</v>
      </c>
      <c r="C3176" s="10">
        <v>367.59660000000002</v>
      </c>
      <c r="D3176" s="10">
        <v>360.62670000000003</v>
      </c>
      <c r="E3176" s="13">
        <f t="shared" si="147"/>
        <v>-9.627624230566019E-3</v>
      </c>
      <c r="F3176" s="9">
        <f t="shared" si="148"/>
        <v>2.8559467917246045E-2</v>
      </c>
      <c r="G3176" s="9">
        <f t="shared" si="149"/>
        <v>1.6904928253777183E-2</v>
      </c>
    </row>
    <row r="3177" spans="1:7" x14ac:dyDescent="0.2">
      <c r="A3177" s="11">
        <v>39687</v>
      </c>
      <c r="B3177" s="10">
        <v>370.5532</v>
      </c>
      <c r="C3177" s="10">
        <v>370.5532</v>
      </c>
      <c r="D3177" s="10">
        <v>363.51560000000001</v>
      </c>
      <c r="E3177" s="13">
        <f t="shared" si="147"/>
        <v>1.7638507147414443E-2</v>
      </c>
      <c r="F3177" s="9">
        <f t="shared" si="148"/>
        <v>1.8438663484371152E-2</v>
      </c>
      <c r="G3177" s="9">
        <f t="shared" si="149"/>
        <v>1.643024689550807E-2</v>
      </c>
    </row>
    <row r="3178" spans="1:7" x14ac:dyDescent="0.2">
      <c r="A3178" s="11">
        <v>39688</v>
      </c>
      <c r="B3178" s="10">
        <v>375.55520000000001</v>
      </c>
      <c r="C3178" s="10">
        <v>376.16030000000001</v>
      </c>
      <c r="D3178" s="10">
        <v>369.38189999999997</v>
      </c>
      <c r="E3178" s="13">
        <f t="shared" si="147"/>
        <v>1.3408440223124023E-2</v>
      </c>
      <c r="F3178" s="9">
        <f t="shared" si="148"/>
        <v>3.6348630526927939E-2</v>
      </c>
      <c r="G3178" s="9">
        <f t="shared" si="149"/>
        <v>1.6566285767880336E-2</v>
      </c>
    </row>
    <row r="3179" spans="1:7" x14ac:dyDescent="0.2">
      <c r="A3179" s="11">
        <v>39689</v>
      </c>
      <c r="B3179" s="10">
        <v>377.41239999999999</v>
      </c>
      <c r="C3179" s="10">
        <v>378.8759</v>
      </c>
      <c r="D3179" s="10">
        <v>374.214</v>
      </c>
      <c r="E3179" s="13">
        <f t="shared" si="147"/>
        <v>4.9330243856532587E-3</v>
      </c>
      <c r="F3179" s="9">
        <f t="shared" si="148"/>
        <v>2.0762940124540202E-2</v>
      </c>
      <c r="G3179" s="9">
        <f t="shared" si="149"/>
        <v>1.6166965938638162E-2</v>
      </c>
    </row>
    <row r="3180" spans="1:7" x14ac:dyDescent="0.2">
      <c r="A3180" s="11">
        <v>39692</v>
      </c>
      <c r="B3180" s="10">
        <v>369.19920000000002</v>
      </c>
      <c r="C3180" s="10">
        <v>378.00580000000002</v>
      </c>
      <c r="D3180" s="10">
        <v>368.41489999999999</v>
      </c>
      <c r="E3180" s="13">
        <f t="shared" si="147"/>
        <v>-2.2002153001375858E-2</v>
      </c>
      <c r="F3180" s="9">
        <f t="shared" si="148"/>
        <v>1.1801513656634722E-2</v>
      </c>
      <c r="G3180" s="9">
        <f t="shared" si="149"/>
        <v>1.6521067867801418E-2</v>
      </c>
    </row>
    <row r="3181" spans="1:7" x14ac:dyDescent="0.2">
      <c r="A3181" s="11">
        <v>39693</v>
      </c>
      <c r="B3181" s="10">
        <v>356.92349999999999</v>
      </c>
      <c r="C3181" s="10">
        <v>369.19920000000002</v>
      </c>
      <c r="D3181" s="10">
        <v>356.6977</v>
      </c>
      <c r="E3181" s="13">
        <f t="shared" si="147"/>
        <v>-3.3814862676222981E-2</v>
      </c>
      <c r="F3181" s="9">
        <f t="shared" si="148"/>
        <v>-1.3072740153457803E-2</v>
      </c>
      <c r="G3181" s="9">
        <f t="shared" si="149"/>
        <v>1.7632051999461228E-2</v>
      </c>
    </row>
    <row r="3182" spans="1:7" x14ac:dyDescent="0.2">
      <c r="A3182" s="11">
        <v>39694</v>
      </c>
      <c r="B3182" s="10">
        <v>346.9932</v>
      </c>
      <c r="C3182" s="10">
        <v>358.50229999999999</v>
      </c>
      <c r="D3182" s="10">
        <v>346.87549999999999</v>
      </c>
      <c r="E3182" s="13">
        <f t="shared" si="147"/>
        <v>-2.8216289889831478E-2</v>
      </c>
      <c r="F3182" s="9">
        <f t="shared" si="148"/>
        <v>-2.7310643920344688E-2</v>
      </c>
      <c r="G3182" s="9">
        <f t="shared" si="149"/>
        <v>1.8210903560220652E-2</v>
      </c>
    </row>
    <row r="3183" spans="1:7" x14ac:dyDescent="0.2">
      <c r="A3183" s="11">
        <v>39695</v>
      </c>
      <c r="B3183" s="10">
        <v>334.97199999999998</v>
      </c>
      <c r="C3183" s="10">
        <v>351.35919999999999</v>
      </c>
      <c r="D3183" s="10">
        <v>334.84399999999999</v>
      </c>
      <c r="E3183" s="13">
        <f t="shared" si="147"/>
        <v>-3.5258236970721037E-2</v>
      </c>
      <c r="F3183" s="9">
        <f t="shared" si="148"/>
        <v>-4.8297037643480242E-2</v>
      </c>
      <c r="G3183" s="9">
        <f t="shared" si="149"/>
        <v>1.9152190368665237E-2</v>
      </c>
    </row>
    <row r="3184" spans="1:7" x14ac:dyDescent="0.2">
      <c r="A3184" s="11">
        <v>39696</v>
      </c>
      <c r="B3184" s="10">
        <v>324.94839999999999</v>
      </c>
      <c r="C3184" s="10">
        <v>335.56459999999998</v>
      </c>
      <c r="D3184" s="10">
        <v>324.58030000000002</v>
      </c>
      <c r="E3184" s="13">
        <f t="shared" si="147"/>
        <v>-3.0380545748536943E-2</v>
      </c>
      <c r="F3184" s="9">
        <f t="shared" si="148"/>
        <v>-9.807953713488185E-2</v>
      </c>
      <c r="G3184" s="9">
        <f t="shared" si="149"/>
        <v>1.9425540311219697E-2</v>
      </c>
    </row>
    <row r="3185" spans="1:7" x14ac:dyDescent="0.2">
      <c r="A3185" s="11">
        <v>39699</v>
      </c>
      <c r="B3185" s="10">
        <v>332.84969999999998</v>
      </c>
      <c r="C3185" s="10">
        <v>342.85660000000001</v>
      </c>
      <c r="D3185" s="10">
        <v>324.94839999999999</v>
      </c>
      <c r="E3185" s="13">
        <f t="shared" si="147"/>
        <v>2.4024636245611717E-2</v>
      </c>
      <c r="F3185" s="9">
        <f t="shared" si="148"/>
        <v>-8.3351612968675826E-2</v>
      </c>
      <c r="G3185" s="9">
        <f t="shared" si="149"/>
        <v>1.995418061710115E-2</v>
      </c>
    </row>
    <row r="3186" spans="1:7" x14ac:dyDescent="0.2">
      <c r="A3186" s="11">
        <v>39700</v>
      </c>
      <c r="B3186" s="10">
        <v>312.66480000000001</v>
      </c>
      <c r="C3186" s="10">
        <v>332.84969999999998</v>
      </c>
      <c r="D3186" s="10">
        <v>311.34640000000002</v>
      </c>
      <c r="E3186" s="13">
        <f t="shared" si="147"/>
        <v>-6.2559346568371532E-2</v>
      </c>
      <c r="F3186" s="9">
        <f t="shared" si="148"/>
        <v>-0.16398033786844196</v>
      </c>
      <c r="G3186" s="9">
        <f t="shared" si="149"/>
        <v>2.2399181465673532E-2</v>
      </c>
    </row>
    <row r="3187" spans="1:7" x14ac:dyDescent="0.2">
      <c r="A3187" s="11">
        <v>39701</v>
      </c>
      <c r="B3187" s="10">
        <v>313.23099999999999</v>
      </c>
      <c r="C3187" s="10">
        <v>317.9862</v>
      </c>
      <c r="D3187" s="10">
        <v>306.44069999999999</v>
      </c>
      <c r="E3187" s="13">
        <f t="shared" si="147"/>
        <v>1.8092473362140554E-3</v>
      </c>
      <c r="F3187" s="9">
        <f t="shared" si="148"/>
        <v>-0.17986294767094083</v>
      </c>
      <c r="G3187" s="9">
        <f t="shared" si="149"/>
        <v>2.1998547056046407E-2</v>
      </c>
    </row>
    <row r="3188" spans="1:7" x14ac:dyDescent="0.2">
      <c r="A3188" s="11">
        <v>39702</v>
      </c>
      <c r="B3188" s="10">
        <v>314.81400000000002</v>
      </c>
      <c r="C3188" s="10">
        <v>317.5652</v>
      </c>
      <c r="D3188" s="10">
        <v>307.62040000000002</v>
      </c>
      <c r="E3188" s="13">
        <f t="shared" si="147"/>
        <v>5.0410507281813503E-3</v>
      </c>
      <c r="F3188" s="9">
        <f t="shared" si="148"/>
        <v>-0.14279350385658848</v>
      </c>
      <c r="G3188" s="9">
        <f t="shared" si="149"/>
        <v>2.1515975814065141E-2</v>
      </c>
    </row>
    <row r="3189" spans="1:7" x14ac:dyDescent="0.2">
      <c r="A3189" s="11">
        <v>39703</v>
      </c>
      <c r="B3189" s="10">
        <v>326.44970000000001</v>
      </c>
      <c r="C3189" s="10">
        <v>327.1354</v>
      </c>
      <c r="D3189" s="10">
        <v>314.81400000000002</v>
      </c>
      <c r="E3189" s="13">
        <f t="shared" si="147"/>
        <v>3.6293890419912531E-2</v>
      </c>
      <c r="F3189" s="9">
        <f t="shared" si="148"/>
        <v>-9.2729900988943667E-2</v>
      </c>
      <c r="G3189" s="9">
        <f t="shared" si="149"/>
        <v>2.2753708421314106E-2</v>
      </c>
    </row>
    <row r="3190" spans="1:7" x14ac:dyDescent="0.2">
      <c r="A3190" s="11">
        <v>39706</v>
      </c>
      <c r="B3190" s="10">
        <v>310.76060000000001</v>
      </c>
      <c r="C3190" s="10">
        <v>326.44970000000001</v>
      </c>
      <c r="D3190" s="10">
        <v>301.2414</v>
      </c>
      <c r="E3190" s="13">
        <f t="shared" si="147"/>
        <v>-4.9253037824573291E-2</v>
      </c>
      <c r="F3190" s="9">
        <f t="shared" si="148"/>
        <v>-0.1166995860799581</v>
      </c>
      <c r="G3190" s="9">
        <f t="shared" si="149"/>
        <v>2.398659349800461E-2</v>
      </c>
    </row>
    <row r="3191" spans="1:7" x14ac:dyDescent="0.2">
      <c r="A3191" s="11">
        <v>39707</v>
      </c>
      <c r="B3191" s="10">
        <v>292.66669999999999</v>
      </c>
      <c r="C3191" s="10">
        <v>310.76060000000001</v>
      </c>
      <c r="D3191" s="10">
        <v>281.67219999999998</v>
      </c>
      <c r="E3191" s="13">
        <f t="shared" si="147"/>
        <v>-5.9988421968557699E-2</v>
      </c>
      <c r="F3191" s="9">
        <f t="shared" si="148"/>
        <v>-0.19657445278687455</v>
      </c>
      <c r="G3191" s="9">
        <f t="shared" si="149"/>
        <v>2.5669794849834966E-2</v>
      </c>
    </row>
    <row r="3192" spans="1:7" x14ac:dyDescent="0.2">
      <c r="A3192" s="11">
        <v>39708</v>
      </c>
      <c r="B3192" s="10">
        <v>285.0138</v>
      </c>
      <c r="C3192" s="10">
        <v>305.7371</v>
      </c>
      <c r="D3192" s="10">
        <v>283.84019999999998</v>
      </c>
      <c r="E3192" s="13">
        <f t="shared" si="147"/>
        <v>-2.6496818713196056E-2</v>
      </c>
      <c r="F3192" s="9">
        <f t="shared" si="148"/>
        <v>-0.23453540613779519</v>
      </c>
      <c r="G3192" s="9">
        <f t="shared" si="149"/>
        <v>2.5674199946352099E-2</v>
      </c>
    </row>
    <row r="3193" spans="1:7" x14ac:dyDescent="0.2">
      <c r="A3193" s="11">
        <v>39709</v>
      </c>
      <c r="B3193" s="10">
        <v>293.21409999999997</v>
      </c>
      <c r="C3193" s="10">
        <v>300.63040000000001</v>
      </c>
      <c r="D3193" s="10">
        <v>283.17720000000003</v>
      </c>
      <c r="E3193" s="13">
        <f t="shared" si="147"/>
        <v>2.8365458748114379E-2</v>
      </c>
      <c r="F3193" s="9">
        <f t="shared" si="148"/>
        <v>-0.19627430369020282</v>
      </c>
      <c r="G3193" s="9">
        <f t="shared" si="149"/>
        <v>2.6546233772957218E-2</v>
      </c>
    </row>
    <row r="3194" spans="1:7" x14ac:dyDescent="0.2">
      <c r="A3194" s="11">
        <v>39710</v>
      </c>
      <c r="B3194" s="10">
        <v>320.6979</v>
      </c>
      <c r="C3194" s="10">
        <v>321.78280000000001</v>
      </c>
      <c r="D3194" s="10">
        <v>293.21409999999997</v>
      </c>
      <c r="E3194" s="13">
        <f t="shared" si="147"/>
        <v>8.9596499604669463E-2</v>
      </c>
      <c r="F3194" s="9">
        <f t="shared" si="148"/>
        <v>-0.11080380147601866</v>
      </c>
      <c r="G3194" s="9">
        <f t="shared" si="149"/>
        <v>3.1986167922279339E-2</v>
      </c>
    </row>
    <row r="3195" spans="1:7" x14ac:dyDescent="0.2">
      <c r="A3195" s="11">
        <v>39713</v>
      </c>
      <c r="B3195" s="10">
        <v>320.42329999999998</v>
      </c>
      <c r="C3195" s="10">
        <v>327.93220000000002</v>
      </c>
      <c r="D3195" s="10">
        <v>317.92200000000003</v>
      </c>
      <c r="E3195" s="13">
        <f t="shared" si="147"/>
        <v>-8.5662435368518189E-4</v>
      </c>
      <c r="F3195" s="9">
        <f t="shared" si="148"/>
        <v>-9.9512161020358245E-2</v>
      </c>
      <c r="G3195" s="9">
        <f t="shared" si="149"/>
        <v>3.194988364509635E-2</v>
      </c>
    </row>
    <row r="3196" spans="1:7" x14ac:dyDescent="0.2">
      <c r="A3196" s="11">
        <v>39714</v>
      </c>
      <c r="B3196" s="10">
        <v>315.06169999999997</v>
      </c>
      <c r="C3196" s="10">
        <v>321.27999999999997</v>
      </c>
      <c r="D3196" s="10">
        <v>312.53769999999997</v>
      </c>
      <c r="E3196" s="13">
        <f t="shared" si="147"/>
        <v>-1.6874441487227991E-2</v>
      </c>
      <c r="F3196" s="9">
        <f t="shared" si="148"/>
        <v>-0.10218594413036644</v>
      </c>
      <c r="G3196" s="9">
        <f t="shared" si="149"/>
        <v>3.1985908419356911E-2</v>
      </c>
    </row>
    <row r="3197" spans="1:7" x14ac:dyDescent="0.2">
      <c r="A3197" s="11">
        <v>39715</v>
      </c>
      <c r="B3197" s="10">
        <v>310.30829999999997</v>
      </c>
      <c r="C3197" s="10">
        <v>318.46440000000001</v>
      </c>
      <c r="D3197" s="10">
        <v>310.30829999999997</v>
      </c>
      <c r="E3197" s="13">
        <f t="shared" si="147"/>
        <v>-1.52021732561977E-2</v>
      </c>
      <c r="F3197" s="9">
        <f t="shared" si="148"/>
        <v>-0.13351036492850843</v>
      </c>
      <c r="G3197" s="9">
        <f t="shared" si="149"/>
        <v>3.1827293268172047E-2</v>
      </c>
    </row>
    <row r="3198" spans="1:7" x14ac:dyDescent="0.2">
      <c r="A3198" s="11">
        <v>39716</v>
      </c>
      <c r="B3198" s="10">
        <v>307.65870000000001</v>
      </c>
      <c r="C3198" s="10">
        <v>312.3322</v>
      </c>
      <c r="D3198" s="10">
        <v>303.54739999999998</v>
      </c>
      <c r="E3198" s="13">
        <f t="shared" si="147"/>
        <v>-8.5752677296874972E-3</v>
      </c>
      <c r="F3198" s="9">
        <f t="shared" si="148"/>
        <v>-0.1360014128578208</v>
      </c>
      <c r="G3198" s="9">
        <f t="shared" si="149"/>
        <v>3.183479207343895E-2</v>
      </c>
    </row>
    <row r="3199" spans="1:7" x14ac:dyDescent="0.2">
      <c r="A3199" s="11">
        <v>39717</v>
      </c>
      <c r="B3199" s="10">
        <v>290.97329999999999</v>
      </c>
      <c r="C3199" s="10">
        <v>307.65870000000001</v>
      </c>
      <c r="D3199" s="10">
        <v>290.9452</v>
      </c>
      <c r="E3199" s="13">
        <f t="shared" si="147"/>
        <v>-5.575954129035858E-2</v>
      </c>
      <c r="F3199" s="9">
        <f t="shared" si="148"/>
        <v>-0.21302001018845251</v>
      </c>
      <c r="G3199" s="9">
        <f t="shared" si="149"/>
        <v>3.2790980206863642E-2</v>
      </c>
    </row>
    <row r="3200" spans="1:7" x14ac:dyDescent="0.2">
      <c r="A3200" s="11">
        <v>39720</v>
      </c>
      <c r="B3200" s="10">
        <v>265.61759999999998</v>
      </c>
      <c r="C3200" s="10">
        <v>294.09780000000001</v>
      </c>
      <c r="D3200" s="10">
        <v>265.31259999999997</v>
      </c>
      <c r="E3200" s="13">
        <f t="shared" si="147"/>
        <v>-9.1173829917560179E-2</v>
      </c>
      <c r="F3200" s="9">
        <f t="shared" si="148"/>
        <v>-0.28706464115528946</v>
      </c>
      <c r="G3200" s="9">
        <f t="shared" si="149"/>
        <v>3.6277386118995572E-2</v>
      </c>
    </row>
    <row r="3201" spans="1:7" x14ac:dyDescent="0.2">
      <c r="A3201" s="11">
        <v>39721</v>
      </c>
      <c r="B3201" s="10">
        <v>281.7319</v>
      </c>
      <c r="C3201" s="10">
        <v>281.82150000000001</v>
      </c>
      <c r="D3201" s="10">
        <v>253.2859</v>
      </c>
      <c r="E3201" s="13">
        <f t="shared" si="147"/>
        <v>5.8898229040520861E-2</v>
      </c>
      <c r="F3201" s="9">
        <f t="shared" si="148"/>
        <v>-0.24725534463295545</v>
      </c>
      <c r="G3201" s="9">
        <f t="shared" si="149"/>
        <v>3.811985715487045E-2</v>
      </c>
    </row>
    <row r="3202" spans="1:7" x14ac:dyDescent="0.2">
      <c r="A3202" s="11">
        <v>39722</v>
      </c>
      <c r="B3202" s="10">
        <v>271.70490000000001</v>
      </c>
      <c r="C3202" s="10">
        <v>289.45890000000003</v>
      </c>
      <c r="D3202" s="10">
        <v>270.14710000000002</v>
      </c>
      <c r="E3202" s="13">
        <f t="shared" si="147"/>
        <v>-3.6239358640945768E-2</v>
      </c>
      <c r="F3202" s="9">
        <f t="shared" si="148"/>
        <v>-0.3058955232963641</v>
      </c>
      <c r="G3202" s="9">
        <f t="shared" si="149"/>
        <v>3.7975762962381698E-2</v>
      </c>
    </row>
    <row r="3203" spans="1:7" x14ac:dyDescent="0.2">
      <c r="A3203" s="11">
        <v>39723</v>
      </c>
      <c r="B3203" s="10">
        <v>253.84229999999999</v>
      </c>
      <c r="C3203" s="10">
        <v>275.55860000000001</v>
      </c>
      <c r="D3203" s="10">
        <v>252.8433</v>
      </c>
      <c r="E3203" s="13">
        <f t="shared" si="147"/>
        <v>-6.8003342807054584E-2</v>
      </c>
      <c r="F3203" s="9">
        <f t="shared" si="148"/>
        <v>-0.38240723344393879</v>
      </c>
      <c r="G3203" s="9">
        <f t="shared" si="149"/>
        <v>3.9241254353995163E-2</v>
      </c>
    </row>
    <row r="3204" spans="1:7" x14ac:dyDescent="0.2">
      <c r="A3204" s="11">
        <v>39724</v>
      </c>
      <c r="B3204" s="10">
        <v>270.69290000000001</v>
      </c>
      <c r="C3204" s="10">
        <v>270.76609999999999</v>
      </c>
      <c r="D3204" s="10">
        <v>246.9084</v>
      </c>
      <c r="E3204" s="13">
        <f t="shared" ref="E3204:E3267" si="150">LN(B3204/B3203)</f>
        <v>6.427175991967192E-2</v>
      </c>
      <c r="F3204" s="9">
        <f t="shared" si="148"/>
        <v>-0.30600117327558257</v>
      </c>
      <c r="G3204" s="9">
        <f t="shared" si="149"/>
        <v>4.1796228054502949E-2</v>
      </c>
    </row>
    <row r="3205" spans="1:7" x14ac:dyDescent="0.2">
      <c r="A3205" s="11">
        <v>39727</v>
      </c>
      <c r="B3205" s="10">
        <v>244.47730000000001</v>
      </c>
      <c r="C3205" s="10">
        <v>270.69290000000001</v>
      </c>
      <c r="D3205" s="10">
        <v>236.05099999999999</v>
      </c>
      <c r="E3205" s="13">
        <f t="shared" si="150"/>
        <v>-0.10186250591027553</v>
      </c>
      <c r="F3205" s="9">
        <f t="shared" si="148"/>
        <v>-0.39823605495529202</v>
      </c>
      <c r="G3205" s="9">
        <f t="shared" si="149"/>
        <v>4.5102001150263339E-2</v>
      </c>
    </row>
    <row r="3206" spans="1:7" x14ac:dyDescent="0.2">
      <c r="A3206" s="11">
        <v>39728</v>
      </c>
      <c r="B3206" s="10">
        <v>237.80330000000001</v>
      </c>
      <c r="C3206" s="10">
        <v>251.74969999999999</v>
      </c>
      <c r="D3206" s="10">
        <v>236.88730000000001</v>
      </c>
      <c r="E3206" s="13">
        <f t="shared" si="150"/>
        <v>-2.7678600700872889E-2</v>
      </c>
      <c r="F3206" s="9">
        <f t="shared" si="148"/>
        <v>-0.44355316280357932</v>
      </c>
      <c r="G3206" s="9">
        <f t="shared" si="149"/>
        <v>4.4760031921767668E-2</v>
      </c>
    </row>
    <row r="3207" spans="1:7" x14ac:dyDescent="0.2">
      <c r="A3207" s="11">
        <v>39729</v>
      </c>
      <c r="B3207" s="10">
        <v>222.05420000000001</v>
      </c>
      <c r="C3207" s="10">
        <v>245.68190000000001</v>
      </c>
      <c r="D3207" s="10">
        <v>214.27930000000001</v>
      </c>
      <c r="E3207" s="13">
        <f t="shared" si="150"/>
        <v>-6.852236515003951E-2</v>
      </c>
      <c r="F3207" s="9">
        <f t="shared" si="148"/>
        <v>-0.52548396817674281</v>
      </c>
      <c r="G3207" s="9">
        <f t="shared" si="149"/>
        <v>4.5463759974449701E-2</v>
      </c>
    </row>
    <row r="3208" spans="1:7" x14ac:dyDescent="0.2">
      <c r="A3208" s="11">
        <v>39730</v>
      </c>
      <c r="B3208" s="10">
        <v>229.7491</v>
      </c>
      <c r="C3208" s="10">
        <v>237.0094</v>
      </c>
      <c r="D3208" s="10">
        <v>222.05420000000001</v>
      </c>
      <c r="E3208" s="13">
        <f t="shared" si="150"/>
        <v>3.4066347708617176E-2</v>
      </c>
      <c r="F3208" s="9">
        <f t="shared" si="148"/>
        <v>-0.49635064485377894</v>
      </c>
      <c r="G3208" s="9">
        <f t="shared" si="149"/>
        <v>4.6305434290580955E-2</v>
      </c>
    </row>
    <row r="3209" spans="1:7" x14ac:dyDescent="0.2">
      <c r="A3209" s="11">
        <v>39731</v>
      </c>
      <c r="B3209" s="10">
        <v>211.27959999999999</v>
      </c>
      <c r="C3209" s="10">
        <v>229.7491</v>
      </c>
      <c r="D3209" s="10">
        <v>207.0539</v>
      </c>
      <c r="E3209" s="13">
        <f t="shared" si="150"/>
        <v>-8.3805469161888899E-2</v>
      </c>
      <c r="F3209" s="9">
        <f t="shared" si="148"/>
        <v>-0.55815396101429204</v>
      </c>
      <c r="G3209" s="9">
        <f t="shared" si="149"/>
        <v>4.7932007841440076E-2</v>
      </c>
    </row>
    <row r="3210" spans="1:7" x14ac:dyDescent="0.2">
      <c r="A3210" s="11">
        <v>39734</v>
      </c>
      <c r="B3210" s="10">
        <v>224.7302</v>
      </c>
      <c r="C3210" s="10">
        <v>230.77019999999999</v>
      </c>
      <c r="D3210" s="10">
        <v>211.27959999999999</v>
      </c>
      <c r="E3210" s="13">
        <f t="shared" si="150"/>
        <v>6.1718196819521974E-2</v>
      </c>
      <c r="F3210" s="9">
        <f t="shared" si="148"/>
        <v>-0.46262090151854701</v>
      </c>
      <c r="G3210" s="9">
        <f t="shared" si="149"/>
        <v>5.0127600853823895E-2</v>
      </c>
    </row>
    <row r="3211" spans="1:7" x14ac:dyDescent="0.2">
      <c r="A3211" s="11">
        <v>39735</v>
      </c>
      <c r="B3211" s="10">
        <v>237.4804</v>
      </c>
      <c r="C3211" s="10">
        <v>253.8595</v>
      </c>
      <c r="D3211" s="10">
        <v>224.7302</v>
      </c>
      <c r="E3211" s="13">
        <f t="shared" si="150"/>
        <v>5.5184522169080437E-2</v>
      </c>
      <c r="F3211" s="9">
        <f t="shared" si="148"/>
        <v>-0.37922008945963509</v>
      </c>
      <c r="G3211" s="9">
        <f t="shared" si="149"/>
        <v>5.1764560720798693E-2</v>
      </c>
    </row>
    <row r="3212" spans="1:7" x14ac:dyDescent="0.2">
      <c r="A3212" s="11">
        <v>39736</v>
      </c>
      <c r="B3212" s="10">
        <v>215.13890000000001</v>
      </c>
      <c r="C3212" s="10">
        <v>241.9093</v>
      </c>
      <c r="D3212" s="10">
        <v>215.12280000000001</v>
      </c>
      <c r="E3212" s="13">
        <f t="shared" si="150"/>
        <v>-9.8801227712341608E-2</v>
      </c>
      <c r="F3212" s="9">
        <f t="shared" si="148"/>
        <v>-0.44276308020125554</v>
      </c>
      <c r="G3212" s="9">
        <f t="shared" si="149"/>
        <v>5.4032204017991331E-2</v>
      </c>
    </row>
    <row r="3213" spans="1:7" x14ac:dyDescent="0.2">
      <c r="A3213" s="11">
        <v>39737</v>
      </c>
      <c r="B3213" s="10">
        <v>197.0213</v>
      </c>
      <c r="C3213" s="10">
        <v>215.13890000000001</v>
      </c>
      <c r="D3213" s="10">
        <v>196.75810000000001</v>
      </c>
      <c r="E3213" s="13">
        <f t="shared" si="150"/>
        <v>-8.797202132042492E-2</v>
      </c>
      <c r="F3213" s="9">
        <f t="shared" si="148"/>
        <v>-0.50035455577314358</v>
      </c>
      <c r="G3213" s="9">
        <f t="shared" si="149"/>
        <v>5.5641891797017159E-2</v>
      </c>
    </row>
    <row r="3214" spans="1:7" x14ac:dyDescent="0.2">
      <c r="A3214" s="11">
        <v>39738</v>
      </c>
      <c r="B3214" s="10">
        <v>202.01</v>
      </c>
      <c r="C3214" s="10">
        <v>210.7861</v>
      </c>
      <c r="D3214" s="10">
        <v>195.23699999999999</v>
      </c>
      <c r="E3214" s="13">
        <f t="shared" si="150"/>
        <v>2.5005356405713944E-2</v>
      </c>
      <c r="F3214" s="9">
        <f t="shared" si="148"/>
        <v>-0.49937383561304133</v>
      </c>
      <c r="G3214" s="9">
        <f t="shared" si="149"/>
        <v>5.5668167644977909E-2</v>
      </c>
    </row>
    <row r="3215" spans="1:7" x14ac:dyDescent="0.2">
      <c r="A3215" s="11">
        <v>39741</v>
      </c>
      <c r="B3215" s="10">
        <v>219.53620000000001</v>
      </c>
      <c r="C3215" s="10">
        <v>219.53620000000001</v>
      </c>
      <c r="D3215" s="10">
        <v>202.01</v>
      </c>
      <c r="E3215" s="13">
        <f t="shared" si="150"/>
        <v>8.3199938064351137E-2</v>
      </c>
      <c r="F3215" s="9">
        <f t="shared" si="148"/>
        <v>-0.35361455098031852</v>
      </c>
      <c r="G3215" s="9">
        <f t="shared" si="149"/>
        <v>5.7961283201876594E-2</v>
      </c>
    </row>
    <row r="3216" spans="1:7" x14ac:dyDescent="0.2">
      <c r="A3216" s="11">
        <v>39742</v>
      </c>
      <c r="B3216" s="10">
        <v>225.59800000000001</v>
      </c>
      <c r="C3216" s="10">
        <v>228.58</v>
      </c>
      <c r="D3216" s="10">
        <v>219.53620000000001</v>
      </c>
      <c r="E3216" s="13">
        <f t="shared" si="150"/>
        <v>2.7237515145659089E-2</v>
      </c>
      <c r="F3216" s="9">
        <f t="shared" si="148"/>
        <v>-0.32818628317087345</v>
      </c>
      <c r="G3216" s="9">
        <f t="shared" si="149"/>
        <v>5.8371570484390622E-2</v>
      </c>
    </row>
    <row r="3217" spans="1:7" x14ac:dyDescent="0.2">
      <c r="A3217" s="11">
        <v>39743</v>
      </c>
      <c r="B3217" s="10">
        <v>212.51830000000001</v>
      </c>
      <c r="C3217" s="10">
        <v>225.59800000000001</v>
      </c>
      <c r="D3217" s="10">
        <v>212.066</v>
      </c>
      <c r="E3217" s="13">
        <f t="shared" si="150"/>
        <v>-5.9726552032761678E-2</v>
      </c>
      <c r="F3217" s="9">
        <f t="shared" si="148"/>
        <v>-0.39295388593181657</v>
      </c>
      <c r="G3217" s="9">
        <f t="shared" si="149"/>
        <v>5.8959430940946751E-2</v>
      </c>
    </row>
    <row r="3218" spans="1:7" x14ac:dyDescent="0.2">
      <c r="A3218" s="11">
        <v>39744</v>
      </c>
      <c r="B3218" s="10">
        <v>213.5753</v>
      </c>
      <c r="C3218" s="10">
        <v>215.57419999999999</v>
      </c>
      <c r="D3218" s="10">
        <v>202.8699</v>
      </c>
      <c r="E3218" s="13">
        <f t="shared" si="150"/>
        <v>4.9613613918619692E-3</v>
      </c>
      <c r="F3218" s="9">
        <f t="shared" si="148"/>
        <v>-0.42428641495986702</v>
      </c>
      <c r="G3218" s="9">
        <f t="shared" si="149"/>
        <v>5.8296778254509116E-2</v>
      </c>
    </row>
    <row r="3219" spans="1:7" x14ac:dyDescent="0.2">
      <c r="A3219" s="11">
        <v>39745</v>
      </c>
      <c r="B3219" s="10">
        <v>192.82660000000001</v>
      </c>
      <c r="C3219" s="10">
        <v>213.5753</v>
      </c>
      <c r="D3219" s="10">
        <v>186.7543</v>
      </c>
      <c r="E3219" s="13">
        <f t="shared" si="150"/>
        <v>-0.1021981242306005</v>
      </c>
      <c r="F3219" s="9">
        <f t="shared" si="148"/>
        <v>-0.47723150136589421</v>
      </c>
      <c r="G3219" s="9">
        <f t="shared" si="149"/>
        <v>6.0217196813279368E-2</v>
      </c>
    </row>
    <row r="3220" spans="1:7" x14ac:dyDescent="0.2">
      <c r="A3220" s="11">
        <v>39748</v>
      </c>
      <c r="B3220" s="10">
        <v>184.30600000000001</v>
      </c>
      <c r="C3220" s="10">
        <v>192.82660000000001</v>
      </c>
      <c r="D3220" s="10">
        <v>177.3304</v>
      </c>
      <c r="E3220" s="13">
        <f t="shared" si="150"/>
        <v>-4.5193919703181359E-2</v>
      </c>
      <c r="F3220" s="9">
        <f t="shared" si="148"/>
        <v>-0.462436999100518</v>
      </c>
      <c r="G3220" s="9">
        <f t="shared" si="149"/>
        <v>5.9897042201153362E-2</v>
      </c>
    </row>
    <row r="3221" spans="1:7" x14ac:dyDescent="0.2">
      <c r="A3221" s="11">
        <v>39749</v>
      </c>
      <c r="B3221" s="10">
        <v>186.52610000000001</v>
      </c>
      <c r="C3221" s="10">
        <v>193.88319999999999</v>
      </c>
      <c r="D3221" s="10">
        <v>184.30600000000001</v>
      </c>
      <c r="E3221" s="13">
        <f t="shared" si="150"/>
        <v>1.1973755911287298E-2</v>
      </c>
      <c r="F3221" s="9">
        <f t="shared" si="148"/>
        <v>-0.42396642447603461</v>
      </c>
      <c r="G3221" s="9">
        <f t="shared" si="149"/>
        <v>6.0080756839322305E-2</v>
      </c>
    </row>
    <row r="3222" spans="1:7" x14ac:dyDescent="0.2">
      <c r="A3222" s="11">
        <v>39750</v>
      </c>
      <c r="B3222" s="10">
        <v>191.7953</v>
      </c>
      <c r="C3222" s="10">
        <v>196.66499999999999</v>
      </c>
      <c r="D3222" s="10">
        <v>186.52610000000001</v>
      </c>
      <c r="E3222" s="13">
        <f t="shared" si="150"/>
        <v>2.7857481783718836E-2</v>
      </c>
      <c r="F3222" s="9">
        <f t="shared" si="148"/>
        <v>-0.42447440144042997</v>
      </c>
      <c r="G3222" s="9">
        <f t="shared" si="149"/>
        <v>6.0067849719932856E-2</v>
      </c>
    </row>
    <row r="3223" spans="1:7" x14ac:dyDescent="0.2">
      <c r="A3223" s="11">
        <v>39751</v>
      </c>
      <c r="B3223" s="10">
        <v>205.15119999999999</v>
      </c>
      <c r="C3223" s="10">
        <v>208.6446</v>
      </c>
      <c r="D3223" s="10">
        <v>191.7953</v>
      </c>
      <c r="E3223" s="13">
        <f t="shared" si="150"/>
        <v>6.7318610792885897E-2</v>
      </c>
      <c r="F3223" s="9">
        <f t="shared" si="148"/>
        <v>-0.44675229025221347</v>
      </c>
      <c r="G3223" s="9">
        <f t="shared" si="149"/>
        <v>5.8816630169034156E-2</v>
      </c>
    </row>
    <row r="3224" spans="1:7" x14ac:dyDescent="0.2">
      <c r="A3224" s="11">
        <v>39752</v>
      </c>
      <c r="B3224" s="10">
        <v>214.54300000000001</v>
      </c>
      <c r="C3224" s="10">
        <v>214.54300000000001</v>
      </c>
      <c r="D3224" s="10">
        <v>200.86279999999999</v>
      </c>
      <c r="E3224" s="13">
        <f t="shared" si="150"/>
        <v>4.4762916228283114E-2</v>
      </c>
      <c r="F3224" s="9">
        <f t="shared" si="148"/>
        <v>-0.40113274967024531</v>
      </c>
      <c r="G3224" s="9">
        <f t="shared" si="149"/>
        <v>5.9821123203194902E-2</v>
      </c>
    </row>
    <row r="3225" spans="1:7" x14ac:dyDescent="0.2">
      <c r="A3225" s="11">
        <v>39755</v>
      </c>
      <c r="B3225" s="10">
        <v>223.06200000000001</v>
      </c>
      <c r="C3225" s="10">
        <v>225.46170000000001</v>
      </c>
      <c r="D3225" s="10">
        <v>213.02719999999999</v>
      </c>
      <c r="E3225" s="13">
        <f t="shared" si="150"/>
        <v>3.8939575245756364E-2</v>
      </c>
      <c r="F3225" s="9">
        <f t="shared" si="148"/>
        <v>-0.34531873293726095</v>
      </c>
      <c r="G3225" s="9">
        <f t="shared" si="149"/>
        <v>6.0612366141306211E-2</v>
      </c>
    </row>
    <row r="3226" spans="1:7" x14ac:dyDescent="0.2">
      <c r="A3226" s="11">
        <v>39756</v>
      </c>
      <c r="B3226" s="10">
        <v>240.19</v>
      </c>
      <c r="C3226" s="10">
        <v>240.34970000000001</v>
      </c>
      <c r="D3226" s="10">
        <v>220.4008</v>
      </c>
      <c r="E3226" s="13">
        <f t="shared" si="150"/>
        <v>7.398051708226247E-2</v>
      </c>
      <c r="F3226" s="9">
        <f t="shared" si="148"/>
        <v>-0.25613604259880079</v>
      </c>
      <c r="G3226" s="9">
        <f t="shared" si="149"/>
        <v>6.2666832702222175E-2</v>
      </c>
    </row>
    <row r="3227" spans="1:7" x14ac:dyDescent="0.2">
      <c r="A3227" s="11">
        <v>39757</v>
      </c>
      <c r="B3227" s="10">
        <v>239.10059999999999</v>
      </c>
      <c r="C3227" s="10">
        <v>241.1739</v>
      </c>
      <c r="D3227" s="10">
        <v>229.45939999999999</v>
      </c>
      <c r="E3227" s="13">
        <f t="shared" si="150"/>
        <v>-4.5458929344739871E-3</v>
      </c>
      <c r="F3227" s="9">
        <f t="shared" si="148"/>
        <v>-0.25210666780358731</v>
      </c>
      <c r="G3227" s="9">
        <f t="shared" si="149"/>
        <v>6.2671889621939494E-2</v>
      </c>
    </row>
    <row r="3228" spans="1:7" x14ac:dyDescent="0.2">
      <c r="A3228" s="11">
        <v>39758</v>
      </c>
      <c r="B3228" s="10">
        <v>213.60679999999999</v>
      </c>
      <c r="C3228" s="10">
        <v>239.10059999999999</v>
      </c>
      <c r="D3228" s="10">
        <v>212.43979999999999</v>
      </c>
      <c r="E3228" s="13">
        <f t="shared" si="150"/>
        <v>-0.11274744208611616</v>
      </c>
      <c r="F3228" s="9">
        <f t="shared" si="148"/>
        <v>-0.30909456859934492</v>
      </c>
      <c r="G3228" s="9">
        <f t="shared" si="149"/>
        <v>6.5048740970841054E-2</v>
      </c>
    </row>
    <row r="3229" spans="1:7" x14ac:dyDescent="0.2">
      <c r="A3229" s="11">
        <v>39759</v>
      </c>
      <c r="B3229" s="10">
        <v>220.62200000000001</v>
      </c>
      <c r="C3229" s="10">
        <v>222.8236</v>
      </c>
      <c r="D3229" s="10">
        <v>212.5641</v>
      </c>
      <c r="E3229" s="13">
        <f t="shared" si="150"/>
        <v>3.2313888076097433E-2</v>
      </c>
      <c r="F3229" s="9">
        <f t="shared" si="148"/>
        <v>-0.18560685060568741</v>
      </c>
      <c r="G3229" s="9">
        <f t="shared" si="149"/>
        <v>6.3615906573879041E-2</v>
      </c>
    </row>
    <row r="3230" spans="1:7" x14ac:dyDescent="0.2">
      <c r="A3230" s="11">
        <v>39762</v>
      </c>
      <c r="B3230" s="10">
        <v>221.6026</v>
      </c>
      <c r="C3230" s="10">
        <v>233.13919999999999</v>
      </c>
      <c r="D3230" s="10">
        <v>219.83090000000001</v>
      </c>
      <c r="E3230" s="13">
        <f t="shared" si="150"/>
        <v>4.434857794884786E-3</v>
      </c>
      <c r="F3230" s="9">
        <f t="shared" si="148"/>
        <v>-0.24007022185132357</v>
      </c>
      <c r="G3230" s="9">
        <f t="shared" si="149"/>
        <v>6.2411870679406525E-2</v>
      </c>
    </row>
    <row r="3231" spans="1:7" x14ac:dyDescent="0.2">
      <c r="A3231" s="11">
        <v>39763</v>
      </c>
      <c r="B3231" s="10">
        <v>208.01</v>
      </c>
      <c r="C3231" s="10">
        <v>221.6026</v>
      </c>
      <c r="D3231" s="10">
        <v>208.00129999999999</v>
      </c>
      <c r="E3231" s="13">
        <f t="shared" si="150"/>
        <v>-6.3299532187548302E-2</v>
      </c>
      <c r="F3231" s="9">
        <f t="shared" si="148"/>
        <v>-0.26713039539792605</v>
      </c>
      <c r="G3231" s="9">
        <f t="shared" si="149"/>
        <v>6.3043927663841065E-2</v>
      </c>
    </row>
    <row r="3232" spans="1:7" x14ac:dyDescent="0.2">
      <c r="A3232" s="11">
        <v>39764</v>
      </c>
      <c r="B3232" s="10">
        <v>190.64510000000001</v>
      </c>
      <c r="C3232" s="10">
        <v>212.66470000000001</v>
      </c>
      <c r="D3232" s="10">
        <v>189.77959999999999</v>
      </c>
      <c r="E3232" s="13">
        <f t="shared" si="150"/>
        <v>-8.717257104279226E-2</v>
      </c>
      <c r="F3232" s="9">
        <f t="shared" ref="F3232:F3295" si="151">LN(B3232/B3203)</f>
        <v>-0.28629962363366368</v>
      </c>
      <c r="G3232" s="9">
        <f t="shared" si="149"/>
        <v>6.3778582314977683E-2</v>
      </c>
    </row>
    <row r="3233" spans="1:7" x14ac:dyDescent="0.2">
      <c r="A3233" s="11">
        <v>39765</v>
      </c>
      <c r="B3233" s="10">
        <v>190.36179999999999</v>
      </c>
      <c r="C3233" s="10">
        <v>195.87129999999999</v>
      </c>
      <c r="D3233" s="10">
        <v>185.2867</v>
      </c>
      <c r="E3233" s="13">
        <f t="shared" si="150"/>
        <v>-1.4871124497216888E-3</v>
      </c>
      <c r="F3233" s="9">
        <f t="shared" si="151"/>
        <v>-0.35205849600305739</v>
      </c>
      <c r="G3233" s="9">
        <f t="shared" ref="G3233:G3296" si="152">STDEV(E3205:E3233)</f>
        <v>6.2197742515863602E-2</v>
      </c>
    </row>
    <row r="3234" spans="1:7" x14ac:dyDescent="0.2">
      <c r="A3234" s="11">
        <v>39766</v>
      </c>
      <c r="B3234" s="10">
        <v>193.07249999999999</v>
      </c>
      <c r="C3234" s="10">
        <v>200.59719999999999</v>
      </c>
      <c r="D3234" s="10">
        <v>190.36179999999999</v>
      </c>
      <c r="E3234" s="13">
        <f t="shared" si="150"/>
        <v>1.4139294059135697E-2</v>
      </c>
      <c r="F3234" s="9">
        <f t="shared" si="151"/>
        <v>-0.2360566960336461</v>
      </c>
      <c r="G3234" s="9">
        <f t="shared" si="152"/>
        <v>5.9909486391480769E-2</v>
      </c>
    </row>
    <row r="3235" spans="1:7" x14ac:dyDescent="0.2">
      <c r="A3235" s="11">
        <v>39769</v>
      </c>
      <c r="B3235" s="10">
        <v>186.55099999999999</v>
      </c>
      <c r="C3235" s="10">
        <v>194.63329999999999</v>
      </c>
      <c r="D3235" s="10">
        <v>185.584</v>
      </c>
      <c r="E3235" s="13">
        <f t="shared" si="150"/>
        <v>-3.4361105889393492E-2</v>
      </c>
      <c r="F3235" s="9">
        <f t="shared" si="151"/>
        <v>-0.24273920122216677</v>
      </c>
      <c r="G3235" s="9">
        <f t="shared" si="152"/>
        <v>6.0000105599001721E-2</v>
      </c>
    </row>
    <row r="3236" spans="1:7" x14ac:dyDescent="0.2">
      <c r="A3236" s="11">
        <v>39770</v>
      </c>
      <c r="B3236" s="10">
        <v>185.10980000000001</v>
      </c>
      <c r="C3236" s="10">
        <v>187.49529999999999</v>
      </c>
      <c r="D3236" s="10">
        <v>178.3897</v>
      </c>
      <c r="E3236" s="13">
        <f t="shared" si="150"/>
        <v>-7.7554976136127414E-3</v>
      </c>
      <c r="F3236" s="9">
        <f t="shared" si="151"/>
        <v>-0.18197233368573995</v>
      </c>
      <c r="G3236" s="9">
        <f t="shared" si="152"/>
        <v>5.887490749122689E-2</v>
      </c>
    </row>
    <row r="3237" spans="1:7" x14ac:dyDescent="0.2">
      <c r="A3237" s="11">
        <v>39771</v>
      </c>
      <c r="B3237" s="10">
        <v>170.77209999999999</v>
      </c>
      <c r="C3237" s="10">
        <v>185.7029</v>
      </c>
      <c r="D3237" s="10">
        <v>170.77209999999999</v>
      </c>
      <c r="E3237" s="13">
        <f t="shared" si="150"/>
        <v>-8.0619243466910573E-2</v>
      </c>
      <c r="F3237" s="9">
        <f t="shared" si="151"/>
        <v>-0.29665792486126774</v>
      </c>
      <c r="G3237" s="9">
        <f t="shared" si="152"/>
        <v>5.9911020773995398E-2</v>
      </c>
    </row>
    <row r="3238" spans="1:7" x14ac:dyDescent="0.2">
      <c r="A3238" s="11">
        <v>39772</v>
      </c>
      <c r="B3238" s="10">
        <v>164.66890000000001</v>
      </c>
      <c r="C3238" s="10">
        <v>170.77209999999999</v>
      </c>
      <c r="D3238" s="10">
        <v>155.70330000000001</v>
      </c>
      <c r="E3238" s="13">
        <f t="shared" si="150"/>
        <v>-3.6393127884565502E-2</v>
      </c>
      <c r="F3238" s="9">
        <f t="shared" si="151"/>
        <v>-0.24924558358394427</v>
      </c>
      <c r="G3238" s="9">
        <f t="shared" si="152"/>
        <v>5.8460871153490641E-2</v>
      </c>
    </row>
    <row r="3239" spans="1:7" x14ac:dyDescent="0.2">
      <c r="A3239" s="11">
        <v>39773</v>
      </c>
      <c r="B3239" s="10">
        <v>162.91990000000001</v>
      </c>
      <c r="C3239" s="10">
        <v>171.67599999999999</v>
      </c>
      <c r="D3239" s="10">
        <v>161.0787</v>
      </c>
      <c r="E3239" s="13">
        <f t="shared" si="150"/>
        <v>-1.06781221990356E-2</v>
      </c>
      <c r="F3239" s="9">
        <f t="shared" si="151"/>
        <v>-0.32164190260250197</v>
      </c>
      <c r="G3239" s="9">
        <f t="shared" si="152"/>
        <v>5.6875354180621396E-2</v>
      </c>
    </row>
    <row r="3240" spans="1:7" x14ac:dyDescent="0.2">
      <c r="A3240" s="11">
        <v>39776</v>
      </c>
      <c r="B3240" s="10">
        <v>181.8964</v>
      </c>
      <c r="C3240" s="10">
        <v>181.8964</v>
      </c>
      <c r="D3240" s="10">
        <v>162.91990000000001</v>
      </c>
      <c r="E3240" s="13">
        <f t="shared" si="150"/>
        <v>0.11017862525238219</v>
      </c>
      <c r="F3240" s="9">
        <f t="shared" si="151"/>
        <v>-0.26664779951920003</v>
      </c>
      <c r="G3240" s="9">
        <f t="shared" si="152"/>
        <v>5.9995287246207937E-2</v>
      </c>
    </row>
    <row r="3241" spans="1:7" x14ac:dyDescent="0.2">
      <c r="A3241" s="11">
        <v>39777</v>
      </c>
      <c r="B3241" s="10">
        <v>183.10130000000001</v>
      </c>
      <c r="C3241" s="10">
        <v>188.67959999999999</v>
      </c>
      <c r="D3241" s="10">
        <v>177.80850000000001</v>
      </c>
      <c r="E3241" s="13">
        <f t="shared" si="150"/>
        <v>6.6022573664229686E-3</v>
      </c>
      <c r="F3241" s="9">
        <f t="shared" si="151"/>
        <v>-0.16124431444043549</v>
      </c>
      <c r="G3241" s="9">
        <f t="shared" si="152"/>
        <v>5.7514374261301265E-2</v>
      </c>
    </row>
    <row r="3242" spans="1:7" x14ac:dyDescent="0.2">
      <c r="A3242" s="11">
        <v>39778</v>
      </c>
      <c r="B3242" s="10">
        <v>186.02449999999999</v>
      </c>
      <c r="C3242" s="10">
        <v>186.04249999999999</v>
      </c>
      <c r="D3242" s="10">
        <v>179.5318</v>
      </c>
      <c r="E3242" s="13">
        <f t="shared" si="150"/>
        <v>1.5838833868288993E-2</v>
      </c>
      <c r="F3242" s="9">
        <f t="shared" si="151"/>
        <v>-5.7433459251721573E-2</v>
      </c>
      <c r="G3242" s="9">
        <f t="shared" si="152"/>
        <v>5.5393359743286082E-2</v>
      </c>
    </row>
    <row r="3243" spans="1:7" x14ac:dyDescent="0.2">
      <c r="A3243" s="11">
        <v>39779</v>
      </c>
      <c r="B3243" s="10">
        <v>196.88929999999999</v>
      </c>
      <c r="C3243" s="10">
        <v>196.94239999999999</v>
      </c>
      <c r="D3243" s="10">
        <v>185.69489999999999</v>
      </c>
      <c r="E3243" s="13">
        <f t="shared" si="150"/>
        <v>5.6763256393809761E-2</v>
      </c>
      <c r="F3243" s="9">
        <f t="shared" si="151"/>
        <v>-2.567555926362584E-2</v>
      </c>
      <c r="G3243" s="9">
        <f t="shared" si="152"/>
        <v>5.6253156297405606E-2</v>
      </c>
    </row>
    <row r="3244" spans="1:7" x14ac:dyDescent="0.2">
      <c r="A3244" s="11">
        <v>39780</v>
      </c>
      <c r="B3244" s="10">
        <v>192.79259999999999</v>
      </c>
      <c r="C3244" s="10">
        <v>198.68819999999999</v>
      </c>
      <c r="D3244" s="10">
        <v>190.97970000000001</v>
      </c>
      <c r="E3244" s="13">
        <f t="shared" si="150"/>
        <v>-2.1026642165635538E-2</v>
      </c>
      <c r="F3244" s="9">
        <f t="shared" si="151"/>
        <v>-0.12990213949361268</v>
      </c>
      <c r="G3244" s="9">
        <f t="shared" si="152"/>
        <v>5.3972358414978813E-2</v>
      </c>
    </row>
    <row r="3245" spans="1:7" x14ac:dyDescent="0.2">
      <c r="A3245" s="11">
        <v>39783</v>
      </c>
      <c r="B3245" s="10">
        <v>176.0059</v>
      </c>
      <c r="C3245" s="10">
        <v>193.50370000000001</v>
      </c>
      <c r="D3245" s="10">
        <v>176.005</v>
      </c>
      <c r="E3245" s="13">
        <f t="shared" si="150"/>
        <v>-9.1097482493558202E-2</v>
      </c>
      <c r="F3245" s="9">
        <f t="shared" si="151"/>
        <v>-0.24823713713282991</v>
      </c>
      <c r="G3245" s="9">
        <f t="shared" si="152"/>
        <v>5.5926705389004558E-2</v>
      </c>
    </row>
    <row r="3246" spans="1:7" x14ac:dyDescent="0.2">
      <c r="A3246" s="11">
        <v>39784</v>
      </c>
      <c r="B3246" s="10">
        <v>180.43459999999999</v>
      </c>
      <c r="C3246" s="10">
        <v>184.05260000000001</v>
      </c>
      <c r="D3246" s="10">
        <v>166.93219999999999</v>
      </c>
      <c r="E3246" s="13">
        <f t="shared" si="150"/>
        <v>2.485086804333898E-2</v>
      </c>
      <c r="F3246" s="9">
        <f t="shared" si="151"/>
        <v>-0.16365971705672935</v>
      </c>
      <c r="G3246" s="9">
        <f t="shared" si="152"/>
        <v>5.5365630448933792E-2</v>
      </c>
    </row>
    <row r="3247" spans="1:7" x14ac:dyDescent="0.2">
      <c r="A3247" s="11">
        <v>39785</v>
      </c>
      <c r="B3247" s="10">
        <v>183.2062</v>
      </c>
      <c r="C3247" s="10">
        <v>183.2062</v>
      </c>
      <c r="D3247" s="10">
        <v>173.92009999999999</v>
      </c>
      <c r="E3247" s="13">
        <f t="shared" si="150"/>
        <v>1.5243909215245877E-2</v>
      </c>
      <c r="F3247" s="9">
        <f t="shared" si="151"/>
        <v>-0.15337716923334557</v>
      </c>
      <c r="G3247" s="9">
        <f t="shared" si="152"/>
        <v>5.5468800305456756E-2</v>
      </c>
    </row>
    <row r="3248" spans="1:7" x14ac:dyDescent="0.2">
      <c r="A3248" s="11">
        <v>39786</v>
      </c>
      <c r="B3248" s="10">
        <v>179.76769999999999</v>
      </c>
      <c r="C3248" s="10">
        <v>187.39500000000001</v>
      </c>
      <c r="D3248" s="10">
        <v>178.03870000000001</v>
      </c>
      <c r="E3248" s="13">
        <f t="shared" si="150"/>
        <v>-1.8946832611483565E-2</v>
      </c>
      <c r="F3248" s="9">
        <f t="shared" si="151"/>
        <v>-7.0125877614228602E-2</v>
      </c>
      <c r="G3248" s="9">
        <f t="shared" si="152"/>
        <v>5.2340302115064963E-2</v>
      </c>
    </row>
    <row r="3249" spans="1:7" x14ac:dyDescent="0.2">
      <c r="A3249" s="11">
        <v>39787</v>
      </c>
      <c r="B3249" s="10">
        <v>164.9025</v>
      </c>
      <c r="C3249" s="10">
        <v>179.76769999999999</v>
      </c>
      <c r="D3249" s="10">
        <v>163.83150000000001</v>
      </c>
      <c r="E3249" s="13">
        <f t="shared" si="150"/>
        <v>-8.6311071696564087E-2</v>
      </c>
      <c r="F3249" s="9">
        <f t="shared" si="151"/>
        <v>-0.11124302960761126</v>
      </c>
      <c r="G3249" s="9">
        <f t="shared" si="152"/>
        <v>5.4068792901347425E-2</v>
      </c>
    </row>
    <row r="3250" spans="1:7" x14ac:dyDescent="0.2">
      <c r="A3250" s="11">
        <v>39790</v>
      </c>
      <c r="B3250" s="10">
        <v>183.79079999999999</v>
      </c>
      <c r="C3250" s="10">
        <v>183.79079999999999</v>
      </c>
      <c r="D3250" s="10">
        <v>164.9025</v>
      </c>
      <c r="E3250" s="13">
        <f t="shared" si="150"/>
        <v>0.10844376410777137</v>
      </c>
      <c r="F3250" s="9">
        <f t="shared" si="151"/>
        <v>-1.4773021411127255E-2</v>
      </c>
      <c r="G3250" s="9">
        <f t="shared" si="152"/>
        <v>5.7907574243446489E-2</v>
      </c>
    </row>
    <row r="3251" spans="1:7" x14ac:dyDescent="0.2">
      <c r="A3251" s="11">
        <v>39791</v>
      </c>
      <c r="B3251" s="10">
        <v>186.4494</v>
      </c>
      <c r="C3251" s="10">
        <v>187.96799999999999</v>
      </c>
      <c r="D3251" s="10">
        <v>177.6473</v>
      </c>
      <c r="E3251" s="13">
        <f t="shared" si="150"/>
        <v>1.436173433687586E-2</v>
      </c>
      <c r="F3251" s="9">
        <f t="shared" si="151"/>
        <v>-2.8268768857970229E-2</v>
      </c>
      <c r="G3251" s="9">
        <f t="shared" si="152"/>
        <v>5.7725406040546864E-2</v>
      </c>
    </row>
    <row r="3252" spans="1:7" x14ac:dyDescent="0.2">
      <c r="A3252" s="11">
        <v>39792</v>
      </c>
      <c r="B3252" s="10">
        <v>190.73679999999999</v>
      </c>
      <c r="C3252" s="10">
        <v>190.93180000000001</v>
      </c>
      <c r="D3252" s="10">
        <v>184.54910000000001</v>
      </c>
      <c r="E3252" s="13">
        <f t="shared" si="150"/>
        <v>2.2734578647118406E-2</v>
      </c>
      <c r="F3252" s="9">
        <f t="shared" si="151"/>
        <v>-7.2852801003737797E-2</v>
      </c>
      <c r="G3252" s="9">
        <f t="shared" si="152"/>
        <v>5.6420561556252441E-2</v>
      </c>
    </row>
    <row r="3253" spans="1:7" x14ac:dyDescent="0.2">
      <c r="A3253" s="11">
        <v>39793</v>
      </c>
      <c r="B3253" s="10">
        <v>194.7698</v>
      </c>
      <c r="C3253" s="10">
        <v>195.5078</v>
      </c>
      <c r="D3253" s="10">
        <v>186.85579999999999</v>
      </c>
      <c r="E3253" s="13">
        <f t="shared" si="150"/>
        <v>2.0923881143243405E-2</v>
      </c>
      <c r="F3253" s="9">
        <f t="shared" si="151"/>
        <v>-9.6691836088777502E-2</v>
      </c>
      <c r="G3253" s="9">
        <f t="shared" si="152"/>
        <v>5.5878232359907833E-2</v>
      </c>
    </row>
    <row r="3254" spans="1:7" x14ac:dyDescent="0.2">
      <c r="A3254" s="11">
        <v>39794</v>
      </c>
      <c r="B3254" s="10">
        <v>182.58609999999999</v>
      </c>
      <c r="C3254" s="10">
        <v>194.7698</v>
      </c>
      <c r="D3254" s="10">
        <v>180.91</v>
      </c>
      <c r="E3254" s="13">
        <f t="shared" si="150"/>
        <v>-6.4596505798214451E-2</v>
      </c>
      <c r="F3254" s="9">
        <f t="shared" si="151"/>
        <v>-0.20022791713274832</v>
      </c>
      <c r="G3254" s="9">
        <f t="shared" si="152"/>
        <v>5.638607480932141E-2</v>
      </c>
    </row>
    <row r="3255" spans="1:7" x14ac:dyDescent="0.2">
      <c r="A3255" s="11">
        <v>39797</v>
      </c>
      <c r="B3255" s="10">
        <v>189.38890000000001</v>
      </c>
      <c r="C3255" s="10">
        <v>191.44059999999999</v>
      </c>
      <c r="D3255" s="10">
        <v>182.58609999999999</v>
      </c>
      <c r="E3255" s="13">
        <f t="shared" si="150"/>
        <v>3.6580730319085687E-2</v>
      </c>
      <c r="F3255" s="9">
        <f t="shared" si="151"/>
        <v>-0.23762770389592514</v>
      </c>
      <c r="G3255" s="9">
        <f t="shared" si="152"/>
        <v>5.4877544680115263E-2</v>
      </c>
    </row>
    <row r="3256" spans="1:7" x14ac:dyDescent="0.2">
      <c r="A3256" s="11">
        <v>39798</v>
      </c>
      <c r="B3256" s="10">
        <v>191.5548</v>
      </c>
      <c r="C3256" s="10">
        <v>192.86779999999999</v>
      </c>
      <c r="D3256" s="10">
        <v>185.9614</v>
      </c>
      <c r="E3256" s="13">
        <f t="shared" si="150"/>
        <v>1.1371356654126979E-2</v>
      </c>
      <c r="F3256" s="9">
        <f t="shared" si="151"/>
        <v>-0.22171045430732411</v>
      </c>
      <c r="G3256" s="9">
        <f t="shared" si="152"/>
        <v>5.4994810579223438E-2</v>
      </c>
    </row>
    <row r="3257" spans="1:7" x14ac:dyDescent="0.2">
      <c r="A3257" s="11">
        <v>39799</v>
      </c>
      <c r="B3257" s="10">
        <v>195.7764</v>
      </c>
      <c r="C3257" s="10">
        <v>196.80959999999999</v>
      </c>
      <c r="D3257" s="10">
        <v>191.5548</v>
      </c>
      <c r="E3257" s="13">
        <f t="shared" si="150"/>
        <v>2.1799262113612647E-2</v>
      </c>
      <c r="F3257" s="9">
        <f t="shared" si="151"/>
        <v>-8.7163750107595125E-2</v>
      </c>
      <c r="G3257" s="9">
        <f t="shared" si="152"/>
        <v>5.1367121977452572E-2</v>
      </c>
    </row>
    <row r="3258" spans="1:7" x14ac:dyDescent="0.2">
      <c r="A3258" s="11">
        <v>39800</v>
      </c>
      <c r="B3258" s="10">
        <v>194.69329999999999</v>
      </c>
      <c r="C3258" s="10">
        <v>196.5317</v>
      </c>
      <c r="D3258" s="10">
        <v>192.9521</v>
      </c>
      <c r="E3258" s="13">
        <f t="shared" si="150"/>
        <v>-5.5476918074250725E-3</v>
      </c>
      <c r="F3258" s="9">
        <f t="shared" si="151"/>
        <v>-0.12502532999111765</v>
      </c>
      <c r="G3258" s="9">
        <f t="shared" si="152"/>
        <v>5.0916540824317139E-2</v>
      </c>
    </row>
    <row r="3259" spans="1:7" x14ac:dyDescent="0.2">
      <c r="A3259" s="11">
        <v>39801</v>
      </c>
      <c r="B3259" s="10">
        <v>192.2901</v>
      </c>
      <c r="C3259" s="10">
        <v>194.69329999999999</v>
      </c>
      <c r="D3259" s="10">
        <v>187.494</v>
      </c>
      <c r="E3259" s="13">
        <f t="shared" si="150"/>
        <v>-1.2420330660077633E-2</v>
      </c>
      <c r="F3259" s="9">
        <f t="shared" si="151"/>
        <v>-0.14188051844607999</v>
      </c>
      <c r="G3259" s="9">
        <f t="shared" si="152"/>
        <v>5.0909339243590493E-2</v>
      </c>
    </row>
    <row r="3260" spans="1:7" x14ac:dyDescent="0.2">
      <c r="A3260" s="11">
        <v>39804</v>
      </c>
      <c r="B3260" s="10">
        <v>186.36279999999999</v>
      </c>
      <c r="C3260" s="10">
        <v>192.30369999999999</v>
      </c>
      <c r="D3260" s="10">
        <v>185.92439999999999</v>
      </c>
      <c r="E3260" s="13">
        <f t="shared" si="150"/>
        <v>-3.130985769106992E-2</v>
      </c>
      <c r="F3260" s="9">
        <f t="shared" si="151"/>
        <v>-0.10989084394960158</v>
      </c>
      <c r="G3260" s="9">
        <f t="shared" si="152"/>
        <v>4.9935854019965607E-2</v>
      </c>
    </row>
    <row r="3261" spans="1:7" x14ac:dyDescent="0.2">
      <c r="A3261" s="11">
        <v>39805</v>
      </c>
      <c r="B3261" s="10">
        <v>188.9367</v>
      </c>
      <c r="C3261" s="10">
        <v>189.66730000000001</v>
      </c>
      <c r="D3261" s="10">
        <v>182.922</v>
      </c>
      <c r="E3261" s="13">
        <f t="shared" si="150"/>
        <v>1.3716726807144851E-2</v>
      </c>
      <c r="F3261" s="9">
        <f t="shared" si="151"/>
        <v>-9.0015460996645189E-3</v>
      </c>
      <c r="G3261" s="9">
        <f t="shared" si="152"/>
        <v>4.7367566347206694E-2</v>
      </c>
    </row>
    <row r="3262" spans="1:7" x14ac:dyDescent="0.2">
      <c r="A3262" s="11">
        <v>39811</v>
      </c>
      <c r="B3262" s="10">
        <v>194.32839999999999</v>
      </c>
      <c r="C3262" s="10">
        <v>194.9665</v>
      </c>
      <c r="D3262" s="10">
        <v>188.9367</v>
      </c>
      <c r="E3262" s="13">
        <f t="shared" si="150"/>
        <v>2.8137473099054473E-2</v>
      </c>
      <c r="F3262" s="9">
        <f t="shared" si="151"/>
        <v>2.0623039449111764E-2</v>
      </c>
      <c r="G3262" s="9">
        <f t="shared" si="152"/>
        <v>4.7659825723887855E-2</v>
      </c>
    </row>
    <row r="3263" spans="1:7" x14ac:dyDescent="0.2">
      <c r="A3263" s="11">
        <v>39812</v>
      </c>
      <c r="B3263" s="10">
        <v>199.13200000000001</v>
      </c>
      <c r="C3263" s="10">
        <v>199.18379999999999</v>
      </c>
      <c r="D3263" s="10">
        <v>194.32839999999999</v>
      </c>
      <c r="E3263" s="13">
        <f t="shared" si="150"/>
        <v>2.4418409984863578E-2</v>
      </c>
      <c r="F3263" s="9">
        <f t="shared" si="151"/>
        <v>3.0902155374839688E-2</v>
      </c>
      <c r="G3263" s="9">
        <f t="shared" si="152"/>
        <v>4.7801272977721715E-2</v>
      </c>
    </row>
    <row r="3264" spans="1:7" x14ac:dyDescent="0.2">
      <c r="A3264" s="11">
        <v>39815</v>
      </c>
      <c r="B3264" s="10">
        <v>211.6797</v>
      </c>
      <c r="C3264" s="10">
        <v>211.6797</v>
      </c>
      <c r="D3264" s="10">
        <v>199.13200000000001</v>
      </c>
      <c r="E3264" s="13">
        <f t="shared" si="150"/>
        <v>6.1106361721883072E-2</v>
      </c>
      <c r="F3264" s="9">
        <f t="shared" si="151"/>
        <v>0.12636962298611637</v>
      </c>
      <c r="G3264" s="9">
        <f t="shared" si="152"/>
        <v>4.8555746162069709E-2</v>
      </c>
    </row>
    <row r="3265" spans="1:7" x14ac:dyDescent="0.2">
      <c r="A3265" s="11">
        <v>39818</v>
      </c>
      <c r="B3265" s="10">
        <v>215.364</v>
      </c>
      <c r="C3265" s="10">
        <v>216.8417</v>
      </c>
      <c r="D3265" s="10">
        <v>209.42609999999999</v>
      </c>
      <c r="E3265" s="13">
        <f t="shared" si="150"/>
        <v>1.7255336703058576E-2</v>
      </c>
      <c r="F3265" s="9">
        <f t="shared" si="151"/>
        <v>0.15138045730278776</v>
      </c>
      <c r="G3265" s="9">
        <f t="shared" si="152"/>
        <v>4.8555031003282387E-2</v>
      </c>
    </row>
    <row r="3266" spans="1:7" x14ac:dyDescent="0.2">
      <c r="A3266" s="11">
        <v>39819</v>
      </c>
      <c r="B3266" s="10">
        <v>222.81950000000001</v>
      </c>
      <c r="C3266" s="10">
        <v>225.87540000000001</v>
      </c>
      <c r="D3266" s="10">
        <v>213.1481</v>
      </c>
      <c r="E3266" s="13">
        <f t="shared" si="150"/>
        <v>3.4032406829775499E-2</v>
      </c>
      <c r="F3266" s="9">
        <f t="shared" si="151"/>
        <v>0.26603210759947371</v>
      </c>
      <c r="G3266" s="9">
        <f t="shared" si="152"/>
        <v>4.591181320097739E-2</v>
      </c>
    </row>
    <row r="3267" spans="1:7" x14ac:dyDescent="0.2">
      <c r="A3267" s="11">
        <v>39820</v>
      </c>
      <c r="B3267" s="10">
        <v>209.22210000000001</v>
      </c>
      <c r="C3267" s="10">
        <v>222.81950000000001</v>
      </c>
      <c r="D3267" s="10">
        <v>209.1687</v>
      </c>
      <c r="E3267" s="13">
        <f t="shared" si="150"/>
        <v>-6.2965659518342959E-2</v>
      </c>
      <c r="F3267" s="9">
        <f t="shared" si="151"/>
        <v>0.23945957596569634</v>
      </c>
      <c r="G3267" s="9">
        <f t="shared" si="152"/>
        <v>4.7103397729849728E-2</v>
      </c>
    </row>
    <row r="3268" spans="1:7" x14ac:dyDescent="0.2">
      <c r="A3268" s="11">
        <v>39821</v>
      </c>
      <c r="B3268" s="10">
        <v>211.6653</v>
      </c>
      <c r="C3268" s="10">
        <v>211.6653</v>
      </c>
      <c r="D3268" s="10">
        <v>204.61439999999999</v>
      </c>
      <c r="E3268" s="13">
        <f t="shared" ref="E3268:E3331" si="153">LN(B3268/B3267)</f>
        <v>1.160988636425179E-2</v>
      </c>
      <c r="F3268" s="9">
        <f t="shared" si="151"/>
        <v>0.26174758452898367</v>
      </c>
      <c r="G3268" s="9">
        <f t="shared" si="152"/>
        <v>4.6965034702062064E-2</v>
      </c>
    </row>
    <row r="3269" spans="1:7" x14ac:dyDescent="0.2">
      <c r="A3269" s="11">
        <v>39822</v>
      </c>
      <c r="B3269" s="10">
        <v>210.37860000000001</v>
      </c>
      <c r="C3269" s="10">
        <v>216.86949999999999</v>
      </c>
      <c r="D3269" s="10">
        <v>208.9119</v>
      </c>
      <c r="E3269" s="13">
        <f t="shared" si="153"/>
        <v>-6.0974888468023998E-3</v>
      </c>
      <c r="F3269" s="9">
        <f t="shared" si="151"/>
        <v>0.14547147042979897</v>
      </c>
      <c r="G3269" s="9">
        <f t="shared" si="152"/>
        <v>4.2799619866318153E-2</v>
      </c>
    </row>
    <row r="3270" spans="1:7" x14ac:dyDescent="0.2">
      <c r="A3270" s="11">
        <v>39825</v>
      </c>
      <c r="B3270" s="10">
        <v>202.4624</v>
      </c>
      <c r="C3270" s="10">
        <v>210.5266</v>
      </c>
      <c r="D3270" s="10">
        <v>202.43109999999999</v>
      </c>
      <c r="E3270" s="13">
        <f t="shared" si="153"/>
        <v>-3.8354574370255384E-2</v>
      </c>
      <c r="F3270" s="9">
        <f t="shared" si="151"/>
        <v>0.10051463869312059</v>
      </c>
      <c r="G3270" s="9">
        <f t="shared" si="152"/>
        <v>4.3547768882601659E-2</v>
      </c>
    </row>
    <row r="3271" spans="1:7" x14ac:dyDescent="0.2">
      <c r="A3271" s="11">
        <v>39826</v>
      </c>
      <c r="B3271" s="10">
        <v>201.66720000000001</v>
      </c>
      <c r="C3271" s="10">
        <v>204.4462</v>
      </c>
      <c r="D3271" s="10">
        <v>195.36529999999999</v>
      </c>
      <c r="E3271" s="13">
        <f t="shared" si="153"/>
        <v>-3.9353763064321947E-3</v>
      </c>
      <c r="F3271" s="9">
        <f t="shared" si="151"/>
        <v>8.0740428518399465E-2</v>
      </c>
      <c r="G3271" s="9">
        <f t="shared" si="152"/>
        <v>4.3501904591886111E-2</v>
      </c>
    </row>
    <row r="3272" spans="1:7" x14ac:dyDescent="0.2">
      <c r="A3272" s="11">
        <v>39827</v>
      </c>
      <c r="B3272" s="10">
        <v>192.6404</v>
      </c>
      <c r="C3272" s="10">
        <v>206.70349999999999</v>
      </c>
      <c r="D3272" s="10">
        <v>190.94659999999999</v>
      </c>
      <c r="E3272" s="13">
        <f t="shared" si="153"/>
        <v>-4.5793575457073382E-2</v>
      </c>
      <c r="F3272" s="9">
        <f t="shared" si="151"/>
        <v>-2.1816403332483709E-2</v>
      </c>
      <c r="G3272" s="9">
        <f t="shared" si="152"/>
        <v>4.3123992903245478E-2</v>
      </c>
    </row>
    <row r="3273" spans="1:7" x14ac:dyDescent="0.2">
      <c r="A3273" s="11">
        <v>39828</v>
      </c>
      <c r="B3273" s="10">
        <v>197.1371</v>
      </c>
      <c r="C3273" s="10">
        <v>198.61750000000001</v>
      </c>
      <c r="D3273" s="10">
        <v>190.3433</v>
      </c>
      <c r="E3273" s="13">
        <f t="shared" si="153"/>
        <v>2.307418724071288E-2</v>
      </c>
      <c r="F3273" s="9">
        <f t="shared" si="151"/>
        <v>2.228442607386466E-2</v>
      </c>
      <c r="G3273" s="9">
        <f t="shared" si="152"/>
        <v>4.3161073771508053E-2</v>
      </c>
    </row>
    <row r="3274" spans="1:7" x14ac:dyDescent="0.2">
      <c r="A3274" s="11">
        <v>39829</v>
      </c>
      <c r="B3274" s="10">
        <v>204.63849999999999</v>
      </c>
      <c r="C3274" s="10">
        <v>204.68049999999999</v>
      </c>
      <c r="D3274" s="10">
        <v>197.1371</v>
      </c>
      <c r="E3274" s="13">
        <f t="shared" si="153"/>
        <v>3.7345582087425153E-2</v>
      </c>
      <c r="F3274" s="9">
        <f t="shared" si="151"/>
        <v>0.15072749065484814</v>
      </c>
      <c r="G3274" s="9">
        <f t="shared" si="152"/>
        <v>3.9861479428999251E-2</v>
      </c>
    </row>
    <row r="3275" spans="1:7" x14ac:dyDescent="0.2">
      <c r="A3275" s="11">
        <v>39832</v>
      </c>
      <c r="B3275" s="10">
        <v>197.68129999999999</v>
      </c>
      <c r="C3275" s="10">
        <v>207.5857</v>
      </c>
      <c r="D3275" s="10">
        <v>197.08349999999999</v>
      </c>
      <c r="E3275" s="13">
        <f t="shared" si="153"/>
        <v>-3.4588869914762746E-2</v>
      </c>
      <c r="F3275" s="9">
        <f t="shared" si="151"/>
        <v>9.1287752696746563E-2</v>
      </c>
      <c r="G3275" s="9">
        <f t="shared" si="152"/>
        <v>4.0340125837105494E-2</v>
      </c>
    </row>
    <row r="3276" spans="1:7" x14ac:dyDescent="0.2">
      <c r="A3276" s="11">
        <v>39833</v>
      </c>
      <c r="B3276" s="10">
        <v>195.1275</v>
      </c>
      <c r="C3276" s="10">
        <v>198.82060000000001</v>
      </c>
      <c r="D3276" s="10">
        <v>193.55760000000001</v>
      </c>
      <c r="E3276" s="13">
        <f t="shared" si="153"/>
        <v>-1.3002946890308698E-2</v>
      </c>
      <c r="F3276" s="9">
        <f t="shared" si="151"/>
        <v>6.3040896591191942E-2</v>
      </c>
      <c r="G3276" s="9">
        <f t="shared" si="152"/>
        <v>4.0378628360403311E-2</v>
      </c>
    </row>
    <row r="3277" spans="1:7" x14ac:dyDescent="0.2">
      <c r="A3277" s="11">
        <v>39834</v>
      </c>
      <c r="B3277" s="10">
        <v>196.55359999999999</v>
      </c>
      <c r="C3277" s="10">
        <v>199.32939999999999</v>
      </c>
      <c r="D3277" s="10">
        <v>188.35319999999999</v>
      </c>
      <c r="E3277" s="13">
        <f t="shared" si="153"/>
        <v>7.2819765969471175E-3</v>
      </c>
      <c r="F3277" s="9">
        <f t="shared" si="151"/>
        <v>8.9269705799622498E-2</v>
      </c>
      <c r="G3277" s="9">
        <f t="shared" si="152"/>
        <v>4.0181921240852181E-2</v>
      </c>
    </row>
    <row r="3278" spans="1:7" x14ac:dyDescent="0.2">
      <c r="A3278" s="11">
        <v>39835</v>
      </c>
      <c r="B3278" s="10">
        <v>193.9846</v>
      </c>
      <c r="C3278" s="10">
        <v>203.1353</v>
      </c>
      <c r="D3278" s="10">
        <v>193.12049999999999</v>
      </c>
      <c r="E3278" s="13">
        <f t="shared" si="153"/>
        <v>-1.3156393181118579E-2</v>
      </c>
      <c r="F3278" s="9">
        <f t="shared" si="151"/>
        <v>0.16242438431506798</v>
      </c>
      <c r="G3278" s="9">
        <f t="shared" si="152"/>
        <v>3.6497065725114949E-2</v>
      </c>
    </row>
    <row r="3279" spans="1:7" x14ac:dyDescent="0.2">
      <c r="A3279" s="11">
        <v>39836</v>
      </c>
      <c r="B3279" s="10">
        <v>197.73750000000001</v>
      </c>
      <c r="C3279" s="10">
        <v>197.74369999999999</v>
      </c>
      <c r="D3279" s="10">
        <v>189.94450000000001</v>
      </c>
      <c r="E3279" s="13">
        <f t="shared" si="153"/>
        <v>1.9161619055542183E-2</v>
      </c>
      <c r="F3279" s="9">
        <f t="shared" si="151"/>
        <v>7.3142239262838984E-2</v>
      </c>
      <c r="G3279" s="9">
        <f t="shared" si="152"/>
        <v>3.0839074216899635E-2</v>
      </c>
    </row>
    <row r="3280" spans="1:7" x14ac:dyDescent="0.2">
      <c r="A3280" s="11">
        <v>39839</v>
      </c>
      <c r="B3280" s="10">
        <v>204.42439999999999</v>
      </c>
      <c r="C3280" s="10">
        <v>205.35810000000001</v>
      </c>
      <c r="D3280" s="10">
        <v>195.2526</v>
      </c>
      <c r="E3280" s="13">
        <f t="shared" si="153"/>
        <v>3.3257831457277107E-2</v>
      </c>
      <c r="F3280" s="9">
        <f t="shared" si="151"/>
        <v>9.203833638324023E-2</v>
      </c>
      <c r="G3280" s="9">
        <f t="shared" si="152"/>
        <v>3.1294426684147496E-2</v>
      </c>
    </row>
    <row r="3281" spans="1:7" x14ac:dyDescent="0.2">
      <c r="A3281" s="11">
        <v>39840</v>
      </c>
      <c r="B3281" s="10">
        <v>203.3509</v>
      </c>
      <c r="C3281" s="10">
        <v>207.4307</v>
      </c>
      <c r="D3281" s="10">
        <v>200.66139999999999</v>
      </c>
      <c r="E3281" s="13">
        <f t="shared" si="153"/>
        <v>-5.2651667718033321E-3</v>
      </c>
      <c r="F3281" s="9">
        <f t="shared" si="151"/>
        <v>6.4038590964318465E-2</v>
      </c>
      <c r="G3281" s="9">
        <f t="shared" si="152"/>
        <v>3.1100704212725313E-2</v>
      </c>
    </row>
    <row r="3282" spans="1:7" x14ac:dyDescent="0.2">
      <c r="A3282" s="11">
        <v>39841</v>
      </c>
      <c r="B3282" s="10">
        <v>207.74950000000001</v>
      </c>
      <c r="C3282" s="10">
        <v>207.96870000000001</v>
      </c>
      <c r="D3282" s="10">
        <v>203.3509</v>
      </c>
      <c r="E3282" s="13">
        <f t="shared" si="153"/>
        <v>2.1399968783620903E-2</v>
      </c>
      <c r="F3282" s="9">
        <f t="shared" si="151"/>
        <v>6.4514678604695896E-2</v>
      </c>
      <c r="G3282" s="9">
        <f t="shared" si="152"/>
        <v>3.1111060215978894E-2</v>
      </c>
    </row>
    <row r="3283" spans="1:7" x14ac:dyDescent="0.2">
      <c r="A3283" s="11">
        <v>39842</v>
      </c>
      <c r="B3283" s="10">
        <v>201.93119999999999</v>
      </c>
      <c r="C3283" s="10">
        <v>207.74950000000001</v>
      </c>
      <c r="D3283" s="10">
        <v>200.17580000000001</v>
      </c>
      <c r="E3283" s="13">
        <f t="shared" si="153"/>
        <v>-2.8405981667323922E-2</v>
      </c>
      <c r="F3283" s="9">
        <f t="shared" si="151"/>
        <v>0.10070520273558656</v>
      </c>
      <c r="G3283" s="9">
        <f t="shared" si="152"/>
        <v>2.8988391227569046E-2</v>
      </c>
    </row>
    <row r="3284" spans="1:7" x14ac:dyDescent="0.2">
      <c r="A3284" s="11">
        <v>39843</v>
      </c>
      <c r="B3284" s="10">
        <v>201.15180000000001</v>
      </c>
      <c r="C3284" s="10">
        <v>203.22919999999999</v>
      </c>
      <c r="D3284" s="10">
        <v>198.58349999999999</v>
      </c>
      <c r="E3284" s="13">
        <f t="shared" si="153"/>
        <v>-3.8671984248480782E-3</v>
      </c>
      <c r="F3284" s="9">
        <f t="shared" si="151"/>
        <v>6.0257273991652649E-2</v>
      </c>
      <c r="G3284" s="9">
        <f t="shared" si="152"/>
        <v>2.8303495446961886E-2</v>
      </c>
    </row>
    <row r="3285" spans="1:7" x14ac:dyDescent="0.2">
      <c r="A3285" s="11">
        <v>39846</v>
      </c>
      <c r="B3285" s="10">
        <v>192.82329999999999</v>
      </c>
      <c r="C3285" s="10">
        <v>201.15180000000001</v>
      </c>
      <c r="D3285" s="10">
        <v>192.8152</v>
      </c>
      <c r="E3285" s="13">
        <f t="shared" si="153"/>
        <v>-4.2285621404616919E-2</v>
      </c>
      <c r="F3285" s="9">
        <f t="shared" si="151"/>
        <v>6.6002959329087016E-3</v>
      </c>
      <c r="G3285" s="9">
        <f t="shared" si="152"/>
        <v>2.9406588513268266E-2</v>
      </c>
    </row>
    <row r="3286" spans="1:7" x14ac:dyDescent="0.2">
      <c r="A3286" s="11">
        <v>39847</v>
      </c>
      <c r="B3286" s="10">
        <v>198.38720000000001</v>
      </c>
      <c r="C3286" s="10">
        <v>198.38720000000001</v>
      </c>
      <c r="D3286" s="10">
        <v>190.26</v>
      </c>
      <c r="E3286" s="13">
        <f t="shared" si="153"/>
        <v>2.8446451143481603E-2</v>
      </c>
      <c r="F3286" s="9">
        <f t="shared" si="151"/>
        <v>1.3247484962777594E-2</v>
      </c>
      <c r="G3286" s="9">
        <f t="shared" si="152"/>
        <v>2.9605967014394614E-2</v>
      </c>
    </row>
    <row r="3287" spans="1:7" x14ac:dyDescent="0.2">
      <c r="A3287" s="11">
        <v>39848</v>
      </c>
      <c r="B3287" s="10">
        <v>202.5181</v>
      </c>
      <c r="C3287" s="10">
        <v>203.3228</v>
      </c>
      <c r="D3287" s="10">
        <v>196.88990000000001</v>
      </c>
      <c r="E3287" s="13">
        <f t="shared" si="153"/>
        <v>2.0608588627761097E-2</v>
      </c>
      <c r="F3287" s="9">
        <f t="shared" si="151"/>
        <v>3.9403765397963621E-2</v>
      </c>
      <c r="G3287" s="9">
        <f t="shared" si="152"/>
        <v>2.9814198831497718E-2</v>
      </c>
    </row>
    <row r="3288" spans="1:7" x14ac:dyDescent="0.2">
      <c r="A3288" s="11">
        <v>39849</v>
      </c>
      <c r="B3288" s="10">
        <v>200.99279999999999</v>
      </c>
      <c r="C3288" s="10">
        <v>203.4795</v>
      </c>
      <c r="D3288" s="10">
        <v>198.40180000000001</v>
      </c>
      <c r="E3288" s="13">
        <f t="shared" si="153"/>
        <v>-7.560178746276556E-3</v>
      </c>
      <c r="F3288" s="9">
        <f t="shared" si="151"/>
        <v>4.4263917311764697E-2</v>
      </c>
      <c r="G3288" s="9">
        <f t="shared" si="152"/>
        <v>2.9747563139148597E-2</v>
      </c>
    </row>
    <row r="3289" spans="1:7" x14ac:dyDescent="0.2">
      <c r="A3289" s="11">
        <v>39850</v>
      </c>
      <c r="B3289" s="10">
        <v>209.03559999999999</v>
      </c>
      <c r="C3289" s="10">
        <v>209.12029999999999</v>
      </c>
      <c r="D3289" s="10">
        <v>200.99279999999999</v>
      </c>
      <c r="E3289" s="13">
        <f t="shared" si="153"/>
        <v>3.9235485865724118E-2</v>
      </c>
      <c r="F3289" s="9">
        <f t="shared" si="151"/>
        <v>0.1148092608685589</v>
      </c>
      <c r="G3289" s="9">
        <f t="shared" si="152"/>
        <v>2.9850727087904497E-2</v>
      </c>
    </row>
    <row r="3290" spans="1:7" x14ac:dyDescent="0.2">
      <c r="A3290" s="11">
        <v>39853</v>
      </c>
      <c r="B3290" s="10">
        <v>215.809</v>
      </c>
      <c r="C3290" s="10">
        <v>216.62889999999999</v>
      </c>
      <c r="D3290" s="10">
        <v>208.02969999999999</v>
      </c>
      <c r="E3290" s="13">
        <f t="shared" si="153"/>
        <v>3.1889184849368389E-2</v>
      </c>
      <c r="F3290" s="9">
        <f t="shared" si="151"/>
        <v>0.13298171891078239</v>
      </c>
      <c r="G3290" s="9">
        <f t="shared" si="152"/>
        <v>3.0250939809845973E-2</v>
      </c>
    </row>
    <row r="3291" spans="1:7" x14ac:dyDescent="0.2">
      <c r="A3291" s="11">
        <v>39854</v>
      </c>
      <c r="B3291" s="10">
        <v>212.4221</v>
      </c>
      <c r="C3291" s="10">
        <v>218.38339999999999</v>
      </c>
      <c r="D3291" s="10">
        <v>210.4468</v>
      </c>
      <c r="E3291" s="13">
        <f t="shared" si="153"/>
        <v>-1.5818424317778131E-2</v>
      </c>
      <c r="F3291" s="9">
        <f t="shared" si="151"/>
        <v>8.9025821493949803E-2</v>
      </c>
      <c r="G3291" s="9">
        <f t="shared" si="152"/>
        <v>3.0129689095986591E-2</v>
      </c>
    </row>
    <row r="3292" spans="1:7" x14ac:dyDescent="0.2">
      <c r="A3292" s="11">
        <v>39855</v>
      </c>
      <c r="B3292" s="10">
        <v>213.1156</v>
      </c>
      <c r="C3292" s="10">
        <v>214.83519999999999</v>
      </c>
      <c r="D3292" s="10">
        <v>208.3415</v>
      </c>
      <c r="E3292" s="13">
        <f t="shared" si="153"/>
        <v>3.2594085739701944E-3</v>
      </c>
      <c r="F3292" s="9">
        <f t="shared" si="151"/>
        <v>6.7866820083056403E-2</v>
      </c>
      <c r="G3292" s="9">
        <f t="shared" si="152"/>
        <v>2.9849135991101901E-2</v>
      </c>
    </row>
    <row r="3293" spans="1:7" x14ac:dyDescent="0.2">
      <c r="A3293" s="11">
        <v>39856</v>
      </c>
      <c r="B3293" s="10">
        <v>207.04480000000001</v>
      </c>
      <c r="C3293" s="10">
        <v>213.1156</v>
      </c>
      <c r="D3293" s="10">
        <v>206.0351</v>
      </c>
      <c r="E3293" s="13">
        <f t="shared" si="153"/>
        <v>-2.8899546523650264E-2</v>
      </c>
      <c r="F3293" s="9">
        <f t="shared" si="151"/>
        <v>-2.2139088162477019E-2</v>
      </c>
      <c r="G3293" s="9">
        <f t="shared" si="152"/>
        <v>2.8151570025382999E-2</v>
      </c>
    </row>
    <row r="3294" spans="1:7" x14ac:dyDescent="0.2">
      <c r="A3294" s="11">
        <v>39857</v>
      </c>
      <c r="B3294" s="10">
        <v>210.63800000000001</v>
      </c>
      <c r="C3294" s="10">
        <v>212.89670000000001</v>
      </c>
      <c r="D3294" s="10">
        <v>207.04480000000001</v>
      </c>
      <c r="E3294" s="13">
        <f t="shared" si="153"/>
        <v>1.7205825300604556E-2</v>
      </c>
      <c r="F3294" s="9">
        <f t="shared" si="151"/>
        <v>-2.2188599564931001E-2</v>
      </c>
      <c r="G3294" s="9">
        <f t="shared" si="152"/>
        <v>2.8150439704993795E-2</v>
      </c>
    </row>
    <row r="3295" spans="1:7" x14ac:dyDescent="0.2">
      <c r="A3295" s="11">
        <v>39860</v>
      </c>
      <c r="B3295" s="10">
        <v>206.69759999999999</v>
      </c>
      <c r="C3295" s="10">
        <v>210.63800000000001</v>
      </c>
      <c r="D3295" s="10">
        <v>206.65600000000001</v>
      </c>
      <c r="E3295" s="13">
        <f t="shared" si="153"/>
        <v>-1.8884164680373627E-2</v>
      </c>
      <c r="F3295" s="9">
        <f t="shared" si="151"/>
        <v>-7.510517107508019E-2</v>
      </c>
      <c r="G3295" s="9">
        <f t="shared" si="152"/>
        <v>2.7522326821809603E-2</v>
      </c>
    </row>
    <row r="3296" spans="1:7" x14ac:dyDescent="0.2">
      <c r="A3296" s="11">
        <v>39861</v>
      </c>
      <c r="B3296" s="10">
        <v>200.35130000000001</v>
      </c>
      <c r="C3296" s="10">
        <v>206.69759999999999</v>
      </c>
      <c r="D3296" s="10">
        <v>200.14449999999999</v>
      </c>
      <c r="E3296" s="13">
        <f t="shared" si="153"/>
        <v>-3.1184529883861195E-2</v>
      </c>
      <c r="F3296" s="9">
        <f t="shared" ref="F3296:F3359" si="154">LN(B3296/B3267)</f>
        <v>-4.3324041440598399E-2</v>
      </c>
      <c r="G3296" s="9">
        <f t="shared" si="152"/>
        <v>2.5597840717903029E-2</v>
      </c>
    </row>
    <row r="3297" spans="1:7" x14ac:dyDescent="0.2">
      <c r="A3297" s="11">
        <v>39862</v>
      </c>
      <c r="B3297" s="10">
        <v>197.48670000000001</v>
      </c>
      <c r="C3297" s="10">
        <v>200.98560000000001</v>
      </c>
      <c r="D3297" s="10">
        <v>194.70650000000001</v>
      </c>
      <c r="E3297" s="13">
        <f t="shared" si="153"/>
        <v>-1.4401085404508105E-2</v>
      </c>
      <c r="F3297" s="9">
        <f t="shared" si="154"/>
        <v>-6.933501320935824E-2</v>
      </c>
      <c r="G3297" s="9">
        <f t="shared" ref="G3297:G3360" si="155">STDEV(E3269:E3297)</f>
        <v>2.5577989345204045E-2</v>
      </c>
    </row>
    <row r="3298" spans="1:7" x14ac:dyDescent="0.2">
      <c r="A3298" s="11">
        <v>39863</v>
      </c>
      <c r="B3298" s="10">
        <v>199.51910000000001</v>
      </c>
      <c r="C3298" s="10">
        <v>200.6893</v>
      </c>
      <c r="D3298" s="10">
        <v>195.7141</v>
      </c>
      <c r="E3298" s="13">
        <f t="shared" si="153"/>
        <v>1.0238730794104402E-2</v>
      </c>
      <c r="F3298" s="9">
        <f t="shared" si="154"/>
        <v>-5.2998793568451386E-2</v>
      </c>
      <c r="G3298" s="9">
        <f t="shared" si="155"/>
        <v>2.567315451279974E-2</v>
      </c>
    </row>
    <row r="3299" spans="1:7" x14ac:dyDescent="0.2">
      <c r="A3299" s="11">
        <v>39864</v>
      </c>
      <c r="B3299" s="10">
        <v>188.56549999999999</v>
      </c>
      <c r="C3299" s="10">
        <v>199.51910000000001</v>
      </c>
      <c r="D3299" s="10">
        <v>188.07689999999999</v>
      </c>
      <c r="E3299" s="13">
        <f t="shared" si="153"/>
        <v>-5.6464544458634566E-2</v>
      </c>
      <c r="F3299" s="9">
        <f t="shared" si="154"/>
        <v>-7.1108763656830568E-2</v>
      </c>
      <c r="G3299" s="9">
        <f t="shared" si="155"/>
        <v>2.6789371998432621E-2</v>
      </c>
    </row>
    <row r="3300" spans="1:7" x14ac:dyDescent="0.2">
      <c r="A3300" s="11">
        <v>39867</v>
      </c>
      <c r="B3300" s="10">
        <v>185.9605</v>
      </c>
      <c r="C3300" s="10">
        <v>192.32089999999999</v>
      </c>
      <c r="D3300" s="10">
        <v>185.88130000000001</v>
      </c>
      <c r="E3300" s="13">
        <f t="shared" si="153"/>
        <v>-1.3911141067897542E-2</v>
      </c>
      <c r="F3300" s="9">
        <f t="shared" si="154"/>
        <v>-8.1084528418295818E-2</v>
      </c>
      <c r="G3300" s="9">
        <f t="shared" si="155"/>
        <v>2.6873016245175827E-2</v>
      </c>
    </row>
    <row r="3301" spans="1:7" x14ac:dyDescent="0.2">
      <c r="A3301" s="11">
        <v>39868</v>
      </c>
      <c r="B3301" s="10">
        <v>186.71520000000001</v>
      </c>
      <c r="C3301" s="10">
        <v>186.92679999999999</v>
      </c>
      <c r="D3301" s="10">
        <v>179.68680000000001</v>
      </c>
      <c r="E3301" s="13">
        <f t="shared" si="153"/>
        <v>4.0501756979045489E-3</v>
      </c>
      <c r="F3301" s="9">
        <f t="shared" si="154"/>
        <v>-3.1240777263317792E-2</v>
      </c>
      <c r="G3301" s="9">
        <f t="shared" si="155"/>
        <v>2.5587987941354022E-2</v>
      </c>
    </row>
    <row r="3302" spans="1:7" x14ac:dyDescent="0.2">
      <c r="A3302" s="11">
        <v>39869</v>
      </c>
      <c r="B3302" s="10">
        <v>188.14179999999999</v>
      </c>
      <c r="C3302" s="10">
        <v>192.80869999999999</v>
      </c>
      <c r="D3302" s="10">
        <v>186.71520000000001</v>
      </c>
      <c r="E3302" s="13">
        <f t="shared" si="153"/>
        <v>7.611472574563332E-3</v>
      </c>
      <c r="F3302" s="9">
        <f t="shared" si="154"/>
        <v>-4.670349192946717E-2</v>
      </c>
      <c r="G3302" s="9">
        <f t="shared" si="155"/>
        <v>2.5225285143360414E-2</v>
      </c>
    </row>
    <row r="3303" spans="1:7" x14ac:dyDescent="0.2">
      <c r="A3303" s="11">
        <v>39870</v>
      </c>
      <c r="B3303" s="10">
        <v>195.76859999999999</v>
      </c>
      <c r="C3303" s="10">
        <v>195.76859999999999</v>
      </c>
      <c r="D3303" s="10">
        <v>188.14179999999999</v>
      </c>
      <c r="E3303" s="13">
        <f t="shared" si="153"/>
        <v>3.9737415672460252E-2</v>
      </c>
      <c r="F3303" s="9">
        <f t="shared" si="154"/>
        <v>-4.4311658344432167E-2</v>
      </c>
      <c r="G3303" s="9">
        <f t="shared" si="155"/>
        <v>2.5360751916135821E-2</v>
      </c>
    </row>
    <row r="3304" spans="1:7" x14ac:dyDescent="0.2">
      <c r="A3304" s="11">
        <v>39871</v>
      </c>
      <c r="B3304" s="10">
        <v>191.57400000000001</v>
      </c>
      <c r="C3304" s="10">
        <v>195.76859999999999</v>
      </c>
      <c r="D3304" s="10">
        <v>188.5197</v>
      </c>
      <c r="E3304" s="13">
        <f t="shared" si="153"/>
        <v>-2.1659192558894449E-2</v>
      </c>
      <c r="F3304" s="9">
        <f t="shared" si="154"/>
        <v>-3.1381980988563873E-2</v>
      </c>
      <c r="G3304" s="9">
        <f t="shared" si="155"/>
        <v>2.4867632030033244E-2</v>
      </c>
    </row>
    <row r="3305" spans="1:7" x14ac:dyDescent="0.2">
      <c r="A3305" s="11">
        <v>39874</v>
      </c>
      <c r="B3305" s="10">
        <v>183.55240000000001</v>
      </c>
      <c r="C3305" s="10">
        <v>191.57400000000001</v>
      </c>
      <c r="D3305" s="10">
        <v>182.0968</v>
      </c>
      <c r="E3305" s="13">
        <f t="shared" si="153"/>
        <v>-4.2773971641432713E-2</v>
      </c>
      <c r="F3305" s="9">
        <f t="shared" si="154"/>
        <v>-6.1153005739687863E-2</v>
      </c>
      <c r="G3305" s="9">
        <f t="shared" si="155"/>
        <v>2.5967504583348081E-2</v>
      </c>
    </row>
    <row r="3306" spans="1:7" x14ac:dyDescent="0.2">
      <c r="A3306" s="11">
        <v>39875</v>
      </c>
      <c r="B3306" s="10">
        <v>175.74870000000001</v>
      </c>
      <c r="C3306" s="10">
        <v>184.44560000000001</v>
      </c>
      <c r="D3306" s="10">
        <v>175.4169</v>
      </c>
      <c r="E3306" s="13">
        <f t="shared" si="153"/>
        <v>-4.3445051520776594E-2</v>
      </c>
      <c r="F3306" s="9">
        <f t="shared" si="154"/>
        <v>-0.11188003385741162</v>
      </c>
      <c r="G3306" s="9">
        <f t="shared" si="155"/>
        <v>2.7000324604222546E-2</v>
      </c>
    </row>
    <row r="3307" spans="1:7" x14ac:dyDescent="0.2">
      <c r="A3307" s="11">
        <v>39876</v>
      </c>
      <c r="B3307" s="10">
        <v>188.84559999999999</v>
      </c>
      <c r="C3307" s="10">
        <v>188.84559999999999</v>
      </c>
      <c r="D3307" s="10">
        <v>175.74870000000001</v>
      </c>
      <c r="E3307" s="13">
        <f t="shared" si="153"/>
        <v>7.1874616179696912E-2</v>
      </c>
      <c r="F3307" s="9">
        <f t="shared" si="154"/>
        <v>-2.6849024496596163E-2</v>
      </c>
      <c r="G3307" s="9">
        <f t="shared" si="155"/>
        <v>3.0362176051987721E-2</v>
      </c>
    </row>
    <row r="3308" spans="1:7" x14ac:dyDescent="0.2">
      <c r="A3308" s="11">
        <v>39877</v>
      </c>
      <c r="B3308" s="10">
        <v>179.7843</v>
      </c>
      <c r="C3308" s="10">
        <v>189.01509999999999</v>
      </c>
      <c r="D3308" s="10">
        <v>179.0215</v>
      </c>
      <c r="E3308" s="13">
        <f t="shared" si="153"/>
        <v>-4.917195099119074E-2</v>
      </c>
      <c r="F3308" s="9">
        <f t="shared" si="154"/>
        <v>-9.5182594543329044E-2</v>
      </c>
      <c r="G3308" s="9">
        <f t="shared" si="155"/>
        <v>3.1382032463710401E-2</v>
      </c>
    </row>
    <row r="3309" spans="1:7" x14ac:dyDescent="0.2">
      <c r="A3309" s="11">
        <v>39878</v>
      </c>
      <c r="B3309" s="10">
        <v>179.62860000000001</v>
      </c>
      <c r="C3309" s="10">
        <v>184.79320000000001</v>
      </c>
      <c r="D3309" s="10">
        <v>178.27369999999999</v>
      </c>
      <c r="E3309" s="13">
        <f t="shared" si="153"/>
        <v>-8.6641302935963269E-4</v>
      </c>
      <c r="F3309" s="9">
        <f t="shared" si="154"/>
        <v>-0.12930683902996581</v>
      </c>
      <c r="G3309" s="9">
        <f t="shared" si="155"/>
        <v>3.0592836436840267E-2</v>
      </c>
    </row>
    <row r="3310" spans="1:7" x14ac:dyDescent="0.2">
      <c r="A3310" s="11">
        <v>39881</v>
      </c>
      <c r="B3310" s="10">
        <v>184.6986</v>
      </c>
      <c r="C3310" s="10">
        <v>184.76679999999999</v>
      </c>
      <c r="D3310" s="10">
        <v>176.88650000000001</v>
      </c>
      <c r="E3310" s="13">
        <f t="shared" si="153"/>
        <v>2.7833921365226551E-2</v>
      </c>
      <c r="F3310" s="9">
        <f t="shared" si="154"/>
        <v>-9.6207750892935873E-2</v>
      </c>
      <c r="G3310" s="9">
        <f t="shared" si="155"/>
        <v>3.1173593305762068E-2</v>
      </c>
    </row>
    <row r="3311" spans="1:7" x14ac:dyDescent="0.2">
      <c r="A3311" s="11">
        <v>39882</v>
      </c>
      <c r="B3311" s="10">
        <v>193.4709</v>
      </c>
      <c r="C3311" s="10">
        <v>194.35220000000001</v>
      </c>
      <c r="D3311" s="10">
        <v>182.453</v>
      </c>
      <c r="E3311" s="13">
        <f t="shared" si="153"/>
        <v>4.6401806246352983E-2</v>
      </c>
      <c r="F3311" s="9">
        <f t="shared" si="154"/>
        <v>-7.120591343020384E-2</v>
      </c>
      <c r="G3311" s="9">
        <f t="shared" si="155"/>
        <v>3.2210082405240717E-2</v>
      </c>
    </row>
    <row r="3312" spans="1:7" x14ac:dyDescent="0.2">
      <c r="A3312" s="11">
        <v>39883</v>
      </c>
      <c r="B3312" s="10">
        <v>190.13249999999999</v>
      </c>
      <c r="C3312" s="10">
        <v>196.92320000000001</v>
      </c>
      <c r="D3312" s="10">
        <v>189.8056</v>
      </c>
      <c r="E3312" s="13">
        <f t="shared" si="153"/>
        <v>-1.7405916030417801E-2</v>
      </c>
      <c r="F3312" s="9">
        <f t="shared" si="154"/>
        <v>-6.0205847793297608E-2</v>
      </c>
      <c r="G3312" s="9">
        <f t="shared" si="155"/>
        <v>3.1957346403188362E-2</v>
      </c>
    </row>
    <row r="3313" spans="1:7" x14ac:dyDescent="0.2">
      <c r="A3313" s="11">
        <v>39884</v>
      </c>
      <c r="B3313" s="10">
        <v>188.749</v>
      </c>
      <c r="C3313" s="10">
        <v>190.13249999999999</v>
      </c>
      <c r="D3313" s="10">
        <v>186.08189999999999</v>
      </c>
      <c r="E3313" s="13">
        <f t="shared" si="153"/>
        <v>-7.3031074313164761E-3</v>
      </c>
      <c r="F3313" s="9">
        <f t="shared" si="154"/>
        <v>-6.3641756799766094E-2</v>
      </c>
      <c r="G3313" s="9">
        <f t="shared" si="155"/>
        <v>3.1970590521931026E-2</v>
      </c>
    </row>
    <row r="3314" spans="1:7" x14ac:dyDescent="0.2">
      <c r="A3314" s="11">
        <v>39885</v>
      </c>
      <c r="B3314" s="10">
        <v>189.8141</v>
      </c>
      <c r="C3314" s="10">
        <v>194.31190000000001</v>
      </c>
      <c r="D3314" s="10">
        <v>188.749</v>
      </c>
      <c r="E3314" s="13">
        <f t="shared" si="153"/>
        <v>5.627082039675965E-3</v>
      </c>
      <c r="F3314" s="9">
        <f t="shared" si="154"/>
        <v>-1.5729053355473199E-2</v>
      </c>
      <c r="G3314" s="9">
        <f t="shared" si="155"/>
        <v>3.1049526197812798E-2</v>
      </c>
    </row>
    <row r="3315" spans="1:7" x14ac:dyDescent="0.2">
      <c r="A3315" s="11">
        <v>39888</v>
      </c>
      <c r="B3315" s="10">
        <v>192.959</v>
      </c>
      <c r="C3315" s="10">
        <v>193.1035</v>
      </c>
      <c r="D3315" s="10">
        <v>189.30340000000001</v>
      </c>
      <c r="E3315" s="13">
        <f t="shared" si="153"/>
        <v>1.6432558962634129E-2</v>
      </c>
      <c r="F3315" s="9">
        <f t="shared" si="154"/>
        <v>-2.7742945536320607E-2</v>
      </c>
      <c r="G3315" s="9">
        <f t="shared" si="155"/>
        <v>3.0727410594876964E-2</v>
      </c>
    </row>
    <row r="3316" spans="1:7" x14ac:dyDescent="0.2">
      <c r="A3316" s="11">
        <v>39889</v>
      </c>
      <c r="B3316" s="10">
        <v>193.6285</v>
      </c>
      <c r="C3316" s="10">
        <v>195.38210000000001</v>
      </c>
      <c r="D3316" s="10">
        <v>191.29079999999999</v>
      </c>
      <c r="E3316" s="13">
        <f t="shared" si="153"/>
        <v>3.4636436476754157E-3</v>
      </c>
      <c r="F3316" s="9">
        <f t="shared" si="154"/>
        <v>-4.4887890516406209E-2</v>
      </c>
      <c r="G3316" s="9">
        <f t="shared" si="155"/>
        <v>3.0461456043993133E-2</v>
      </c>
    </row>
    <row r="3317" spans="1:7" x14ac:dyDescent="0.2">
      <c r="A3317" s="11">
        <v>39890</v>
      </c>
      <c r="B3317" s="10">
        <v>189.86420000000001</v>
      </c>
      <c r="C3317" s="10">
        <v>196.566</v>
      </c>
      <c r="D3317" s="10">
        <v>189.01400000000001</v>
      </c>
      <c r="E3317" s="13">
        <f t="shared" si="153"/>
        <v>-1.9632294979608625E-2</v>
      </c>
      <c r="F3317" s="9">
        <f t="shared" si="154"/>
        <v>-5.69600067497383E-2</v>
      </c>
      <c r="G3317" s="9">
        <f t="shared" si="155"/>
        <v>3.0628582586373704E-2</v>
      </c>
    </row>
    <row r="3318" spans="1:7" x14ac:dyDescent="0.2">
      <c r="A3318" s="11">
        <v>39891</v>
      </c>
      <c r="B3318" s="10">
        <v>198.7775</v>
      </c>
      <c r="C3318" s="10">
        <v>199.62299999999999</v>
      </c>
      <c r="D3318" s="10">
        <v>189.86420000000001</v>
      </c>
      <c r="E3318" s="13">
        <f t="shared" si="153"/>
        <v>4.5877028970560736E-2</v>
      </c>
      <c r="F3318" s="9">
        <f t="shared" si="154"/>
        <v>-5.031846364490164E-2</v>
      </c>
      <c r="G3318" s="9">
        <f t="shared" si="155"/>
        <v>3.0970567369831791E-2</v>
      </c>
    </row>
    <row r="3319" spans="1:7" x14ac:dyDescent="0.2">
      <c r="A3319" s="11">
        <v>39892</v>
      </c>
      <c r="B3319" s="10">
        <v>200.85509999999999</v>
      </c>
      <c r="C3319" s="10">
        <v>202.9804</v>
      </c>
      <c r="D3319" s="10">
        <v>196.79130000000001</v>
      </c>
      <c r="E3319" s="13">
        <f t="shared" si="153"/>
        <v>1.0397643823769863E-2</v>
      </c>
      <c r="F3319" s="9">
        <f t="shared" si="154"/>
        <v>-7.1810004670500097E-2</v>
      </c>
      <c r="G3319" s="9">
        <f t="shared" si="155"/>
        <v>3.0388914920034555E-2</v>
      </c>
    </row>
    <row r="3320" spans="1:7" x14ac:dyDescent="0.2">
      <c r="A3320" s="11">
        <v>39895</v>
      </c>
      <c r="B3320" s="10">
        <v>209.6138</v>
      </c>
      <c r="C3320" s="10">
        <v>209.6259</v>
      </c>
      <c r="D3320" s="10">
        <v>200.85509999999999</v>
      </c>
      <c r="E3320" s="13">
        <f t="shared" si="153"/>
        <v>4.2683037407643849E-2</v>
      </c>
      <c r="F3320" s="9">
        <f t="shared" si="154"/>
        <v>-1.3308542945078144E-2</v>
      </c>
      <c r="G3320" s="9">
        <f t="shared" si="155"/>
        <v>3.1396621907496265E-2</v>
      </c>
    </row>
    <row r="3321" spans="1:7" x14ac:dyDescent="0.2">
      <c r="A3321" s="11">
        <v>39896</v>
      </c>
      <c r="B3321" s="10">
        <v>205.5368</v>
      </c>
      <c r="C3321" s="10">
        <v>212.9556</v>
      </c>
      <c r="D3321" s="10">
        <v>204.3467</v>
      </c>
      <c r="E3321" s="13">
        <f t="shared" si="153"/>
        <v>-1.9641696644216132E-2</v>
      </c>
      <c r="F3321" s="9">
        <f t="shared" si="154"/>
        <v>-3.6209648163264482E-2</v>
      </c>
      <c r="G3321" s="9">
        <f t="shared" si="155"/>
        <v>3.1587185806878443E-2</v>
      </c>
    </row>
    <row r="3322" spans="1:7" x14ac:dyDescent="0.2">
      <c r="A3322" s="11">
        <v>39897</v>
      </c>
      <c r="B3322" s="10">
        <v>210.19630000000001</v>
      </c>
      <c r="C3322" s="10">
        <v>211.04339999999999</v>
      </c>
      <c r="D3322" s="10">
        <v>204.1173</v>
      </c>
      <c r="E3322" s="13">
        <f t="shared" si="153"/>
        <v>2.2416762674399394E-2</v>
      </c>
      <c r="F3322" s="9">
        <f t="shared" si="154"/>
        <v>1.5106661034785033E-2</v>
      </c>
      <c r="G3322" s="9">
        <f t="shared" si="155"/>
        <v>3.141978356843686E-2</v>
      </c>
    </row>
    <row r="3323" spans="1:7" x14ac:dyDescent="0.2">
      <c r="A3323" s="11">
        <v>39898</v>
      </c>
      <c r="B3323" s="10">
        <v>214.55609999999999</v>
      </c>
      <c r="C3323" s="10">
        <v>215.23560000000001</v>
      </c>
      <c r="D3323" s="10">
        <v>209.9058</v>
      </c>
      <c r="E3323" s="13">
        <f t="shared" si="153"/>
        <v>2.0529386629999483E-2</v>
      </c>
      <c r="F3323" s="9">
        <f t="shared" si="154"/>
        <v>1.8430222364180012E-2</v>
      </c>
      <c r="G3323" s="9">
        <f t="shared" si="155"/>
        <v>3.148880195707375E-2</v>
      </c>
    </row>
    <row r="3324" spans="1:7" x14ac:dyDescent="0.2">
      <c r="A3324" s="11">
        <v>39899</v>
      </c>
      <c r="B3324" s="10">
        <v>208.964</v>
      </c>
      <c r="C3324" s="10">
        <v>214.56460000000001</v>
      </c>
      <c r="D3324" s="10">
        <v>207.63040000000001</v>
      </c>
      <c r="E3324" s="13">
        <f t="shared" si="153"/>
        <v>-2.6409254309934398E-2</v>
      </c>
      <c r="F3324" s="9">
        <f t="shared" si="154"/>
        <v>1.090513273461923E-2</v>
      </c>
      <c r="G3324" s="9">
        <f t="shared" si="155"/>
        <v>3.1685789576511053E-2</v>
      </c>
    </row>
    <row r="3325" spans="1:7" x14ac:dyDescent="0.2">
      <c r="A3325" s="11">
        <v>39902</v>
      </c>
      <c r="B3325" s="10">
        <v>198.75829999999999</v>
      </c>
      <c r="C3325" s="10">
        <v>208.964</v>
      </c>
      <c r="D3325" s="10">
        <v>198.73310000000001</v>
      </c>
      <c r="E3325" s="13">
        <f t="shared" si="153"/>
        <v>-5.0072474655690251E-2</v>
      </c>
      <c r="F3325" s="9">
        <f t="shared" si="154"/>
        <v>-7.9828120372099597E-3</v>
      </c>
      <c r="G3325" s="9">
        <f t="shared" si="155"/>
        <v>3.2540293953715146E-2</v>
      </c>
    </row>
    <row r="3326" spans="1:7" x14ac:dyDescent="0.2">
      <c r="A3326" s="11">
        <v>39903</v>
      </c>
      <c r="B3326" s="10">
        <v>203.71770000000001</v>
      </c>
      <c r="C3326" s="10">
        <v>204.32380000000001</v>
      </c>
      <c r="D3326" s="10">
        <v>198.75829999999999</v>
      </c>
      <c r="E3326" s="13">
        <f t="shared" si="153"/>
        <v>2.4645698278016905E-2</v>
      </c>
      <c r="F3326" s="9">
        <f t="shared" si="154"/>
        <v>3.1063971645314999E-2</v>
      </c>
      <c r="G3326" s="9">
        <f t="shared" si="155"/>
        <v>3.2742132219614847E-2</v>
      </c>
    </row>
    <row r="3327" spans="1:7" x14ac:dyDescent="0.2">
      <c r="A3327" s="11">
        <v>39904</v>
      </c>
      <c r="B3327" s="10">
        <v>204.99250000000001</v>
      </c>
      <c r="C3327" s="10">
        <v>205.59399999999999</v>
      </c>
      <c r="D3327" s="10">
        <v>199.35679999999999</v>
      </c>
      <c r="E3327" s="13">
        <f t="shared" si="153"/>
        <v>6.2381811565128962E-3</v>
      </c>
      <c r="F3327" s="9">
        <f t="shared" si="154"/>
        <v>2.7063422007723634E-2</v>
      </c>
      <c r="G3327" s="9">
        <f t="shared" si="155"/>
        <v>3.2710540128049213E-2</v>
      </c>
    </row>
    <row r="3328" spans="1:7" x14ac:dyDescent="0.2">
      <c r="A3328" s="11">
        <v>39905</v>
      </c>
      <c r="B3328" s="10">
        <v>215.5686</v>
      </c>
      <c r="C3328" s="10">
        <v>215.58799999999999</v>
      </c>
      <c r="D3328" s="10">
        <v>204.99250000000001</v>
      </c>
      <c r="E3328" s="13">
        <f t="shared" si="153"/>
        <v>5.030579525079145E-2</v>
      </c>
      <c r="F3328" s="9">
        <f t="shared" si="154"/>
        <v>0.13383376171714953</v>
      </c>
      <c r="G3328" s="9">
        <f t="shared" si="155"/>
        <v>3.2020903617906896E-2</v>
      </c>
    </row>
    <row r="3329" spans="1:7" x14ac:dyDescent="0.2">
      <c r="A3329" s="11">
        <v>39906</v>
      </c>
      <c r="B3329" s="10">
        <v>209.01140000000001</v>
      </c>
      <c r="C3329" s="10">
        <v>218.61879999999999</v>
      </c>
      <c r="D3329" s="10">
        <v>209.0068</v>
      </c>
      <c r="E3329" s="13">
        <f t="shared" si="153"/>
        <v>-3.089039242227784E-2</v>
      </c>
      <c r="F3329" s="9">
        <f t="shared" si="154"/>
        <v>0.1168545103627691</v>
      </c>
      <c r="G3329" s="9">
        <f t="shared" si="155"/>
        <v>3.2523037906283851E-2</v>
      </c>
    </row>
    <row r="3330" spans="1:7" x14ac:dyDescent="0.2">
      <c r="A3330" s="11">
        <v>39909</v>
      </c>
      <c r="B3330" s="10">
        <v>207.67060000000001</v>
      </c>
      <c r="C3330" s="10">
        <v>215.73689999999999</v>
      </c>
      <c r="D3330" s="10">
        <v>207.21360000000001</v>
      </c>
      <c r="E3330" s="13">
        <f t="shared" si="153"/>
        <v>-6.4356253818830143E-3</v>
      </c>
      <c r="F3330" s="9">
        <f t="shared" si="154"/>
        <v>0.10636870928298144</v>
      </c>
      <c r="G3330" s="9">
        <f t="shared" si="155"/>
        <v>3.2581036392408294E-2</v>
      </c>
    </row>
    <row r="3331" spans="1:7" x14ac:dyDescent="0.2">
      <c r="A3331" s="11">
        <v>39910</v>
      </c>
      <c r="B3331" s="10">
        <v>200.68430000000001</v>
      </c>
      <c r="C3331" s="10">
        <v>210.2567</v>
      </c>
      <c r="D3331" s="10">
        <v>200.67740000000001</v>
      </c>
      <c r="E3331" s="13">
        <f t="shared" si="153"/>
        <v>-3.4220144015732257E-2</v>
      </c>
      <c r="F3331" s="9">
        <f t="shared" si="154"/>
        <v>6.4537092692685857E-2</v>
      </c>
      <c r="G3331" s="9">
        <f t="shared" si="155"/>
        <v>3.3317884655750279E-2</v>
      </c>
    </row>
    <row r="3332" spans="1:7" x14ac:dyDescent="0.2">
      <c r="A3332" s="11">
        <v>39911</v>
      </c>
      <c r="B3332" s="10">
        <v>196.9853</v>
      </c>
      <c r="C3332" s="10">
        <v>200.68430000000001</v>
      </c>
      <c r="D3332" s="10">
        <v>195.59630000000001</v>
      </c>
      <c r="E3332" s="13">
        <f t="shared" ref="E3332:E3395" si="156">LN(B3332/B3331)</f>
        <v>-1.8603919869701304E-2</v>
      </c>
      <c r="F3332" s="9">
        <f t="shared" si="154"/>
        <v>6.1957571505242602E-3</v>
      </c>
      <c r="G3332" s="9">
        <f t="shared" si="155"/>
        <v>3.2728112714119878E-2</v>
      </c>
    </row>
    <row r="3333" spans="1:7" x14ac:dyDescent="0.2">
      <c r="A3333" s="11">
        <v>39917</v>
      </c>
      <c r="B3333" s="10">
        <v>206.8383</v>
      </c>
      <c r="C3333" s="10">
        <v>207.52799999999999</v>
      </c>
      <c r="D3333" s="10">
        <v>196.9853</v>
      </c>
      <c r="E3333" s="13">
        <f t="shared" si="156"/>
        <v>4.8808221916585043E-2</v>
      </c>
      <c r="F3333" s="9">
        <f t="shared" si="154"/>
        <v>7.6663171626003751E-2</v>
      </c>
      <c r="G3333" s="9">
        <f t="shared" si="155"/>
        <v>3.3649137234741097E-2</v>
      </c>
    </row>
    <row r="3334" spans="1:7" x14ac:dyDescent="0.2">
      <c r="A3334" s="11">
        <v>39918</v>
      </c>
      <c r="B3334" s="10">
        <v>208.7209</v>
      </c>
      <c r="C3334" s="10">
        <v>210.8389</v>
      </c>
      <c r="D3334" s="10">
        <v>204.00149999999999</v>
      </c>
      <c r="E3334" s="13">
        <f t="shared" si="156"/>
        <v>9.0606242350344292E-3</v>
      </c>
      <c r="F3334" s="9">
        <f t="shared" si="154"/>
        <v>0.12849776750247083</v>
      </c>
      <c r="G3334" s="9">
        <f t="shared" si="155"/>
        <v>3.250779129362049E-2</v>
      </c>
    </row>
    <row r="3335" spans="1:7" x14ac:dyDescent="0.2">
      <c r="A3335" s="11">
        <v>39919</v>
      </c>
      <c r="B3335" s="10">
        <v>214.054</v>
      </c>
      <c r="C3335" s="10">
        <v>214.91669999999999</v>
      </c>
      <c r="D3335" s="10">
        <v>208.7209</v>
      </c>
      <c r="E3335" s="13">
        <f t="shared" si="156"/>
        <v>2.5230366822852592E-2</v>
      </c>
      <c r="F3335" s="9">
        <f t="shared" si="154"/>
        <v>0.19717318584610005</v>
      </c>
      <c r="G3335" s="9">
        <f t="shared" si="155"/>
        <v>3.1377342574380282E-2</v>
      </c>
    </row>
    <row r="3336" spans="1:7" x14ac:dyDescent="0.2">
      <c r="A3336" s="11">
        <v>39920</v>
      </c>
      <c r="B3336" s="10">
        <v>221.57159999999999</v>
      </c>
      <c r="C3336" s="10">
        <v>221.57159999999999</v>
      </c>
      <c r="D3336" s="10">
        <v>214.054</v>
      </c>
      <c r="E3336" s="13">
        <f t="shared" si="156"/>
        <v>3.451746817635426E-2</v>
      </c>
      <c r="F3336" s="9">
        <f t="shared" si="154"/>
        <v>0.1598160378427573</v>
      </c>
      <c r="G3336" s="9">
        <f t="shared" si="155"/>
        <v>2.9308954145608055E-2</v>
      </c>
    </row>
    <row r="3337" spans="1:7" x14ac:dyDescent="0.2">
      <c r="A3337" s="11">
        <v>39923</v>
      </c>
      <c r="B3337" s="10">
        <v>210.78460000000001</v>
      </c>
      <c r="C3337" s="10">
        <v>223.7182</v>
      </c>
      <c r="D3337" s="10">
        <v>210.72020000000001</v>
      </c>
      <c r="E3337" s="13">
        <f t="shared" si="156"/>
        <v>-4.9909028845221144E-2</v>
      </c>
      <c r="F3337" s="9">
        <f t="shared" si="154"/>
        <v>0.15907895998872698</v>
      </c>
      <c r="G3337" s="9">
        <f t="shared" si="155"/>
        <v>2.9358346215747861E-2</v>
      </c>
    </row>
    <row r="3338" spans="1:7" x14ac:dyDescent="0.2">
      <c r="A3338" s="11">
        <v>39924</v>
      </c>
      <c r="B3338" s="10">
        <v>214.3657</v>
      </c>
      <c r="C3338" s="10">
        <v>214.36869999999999</v>
      </c>
      <c r="D3338" s="10">
        <v>207.16810000000001</v>
      </c>
      <c r="E3338" s="13">
        <f t="shared" si="156"/>
        <v>1.6846676084887498E-2</v>
      </c>
      <c r="F3338" s="9">
        <f t="shared" si="154"/>
        <v>0.17679204910297394</v>
      </c>
      <c r="G3338" s="9">
        <f t="shared" si="155"/>
        <v>2.9405697265116229E-2</v>
      </c>
    </row>
    <row r="3339" spans="1:7" x14ac:dyDescent="0.2">
      <c r="A3339" s="11">
        <v>39925</v>
      </c>
      <c r="B3339" s="10">
        <v>216.1696</v>
      </c>
      <c r="C3339" s="10">
        <v>216.87139999999999</v>
      </c>
      <c r="D3339" s="10">
        <v>212.47110000000001</v>
      </c>
      <c r="E3339" s="13">
        <f t="shared" si="156"/>
        <v>8.3798497177440985E-3</v>
      </c>
      <c r="F3339" s="9">
        <f t="shared" si="154"/>
        <v>0.15733797745549169</v>
      </c>
      <c r="G3339" s="9">
        <f t="shared" si="155"/>
        <v>2.9112528018485569E-2</v>
      </c>
    </row>
    <row r="3340" spans="1:7" x14ac:dyDescent="0.2">
      <c r="A3340" s="11">
        <v>39926</v>
      </c>
      <c r="B3340" s="10">
        <v>214.27500000000001</v>
      </c>
      <c r="C3340" s="10">
        <v>218.023</v>
      </c>
      <c r="D3340" s="10">
        <v>213.77549999999999</v>
      </c>
      <c r="E3340" s="13">
        <f t="shared" si="156"/>
        <v>-8.8030479877809192E-3</v>
      </c>
      <c r="F3340" s="9">
        <f t="shared" si="154"/>
        <v>0.10213312322135772</v>
      </c>
      <c r="G3340" s="9">
        <f t="shared" si="155"/>
        <v>2.8125610682841962E-2</v>
      </c>
    </row>
    <row r="3341" spans="1:7" x14ac:dyDescent="0.2">
      <c r="A3341" s="11">
        <v>39927</v>
      </c>
      <c r="B3341" s="10">
        <v>219.4059</v>
      </c>
      <c r="C3341" s="10">
        <v>219.8819</v>
      </c>
      <c r="D3341" s="10">
        <v>214.26570000000001</v>
      </c>
      <c r="E3341" s="13">
        <f t="shared" si="156"/>
        <v>2.3663202216946604E-2</v>
      </c>
      <c r="F3341" s="9">
        <f t="shared" si="154"/>
        <v>0.14320224146872193</v>
      </c>
      <c r="G3341" s="9">
        <f t="shared" si="155"/>
        <v>2.8068120188890846E-2</v>
      </c>
    </row>
    <row r="3342" spans="1:7" x14ac:dyDescent="0.2">
      <c r="A3342" s="11">
        <v>39930</v>
      </c>
      <c r="B3342" s="10">
        <v>217.60980000000001</v>
      </c>
      <c r="C3342" s="10">
        <v>219.4059</v>
      </c>
      <c r="D3342" s="10">
        <v>214.9187</v>
      </c>
      <c r="E3342" s="13">
        <f t="shared" si="156"/>
        <v>-8.2198882695241303E-3</v>
      </c>
      <c r="F3342" s="9">
        <f t="shared" si="154"/>
        <v>0.14228546063051437</v>
      </c>
      <c r="G3342" s="9">
        <f t="shared" si="155"/>
        <v>2.8082912147899562E-2</v>
      </c>
    </row>
    <row r="3343" spans="1:7" x14ac:dyDescent="0.2">
      <c r="A3343" s="11">
        <v>39931</v>
      </c>
      <c r="B3343" s="10">
        <v>217.1788</v>
      </c>
      <c r="C3343" s="10">
        <v>218.12799999999999</v>
      </c>
      <c r="D3343" s="10">
        <v>213.96430000000001</v>
      </c>
      <c r="E3343" s="13">
        <f t="shared" si="156"/>
        <v>-1.9825733295396109E-3</v>
      </c>
      <c r="F3343" s="9">
        <f t="shared" si="154"/>
        <v>0.13467580526129874</v>
      </c>
      <c r="G3343" s="9">
        <f t="shared" si="155"/>
        <v>2.8111474805977709E-2</v>
      </c>
    </row>
    <row r="3344" spans="1:7" x14ac:dyDescent="0.2">
      <c r="A3344" s="11">
        <v>39932</v>
      </c>
      <c r="B3344" s="10">
        <v>224.13839999999999</v>
      </c>
      <c r="C3344" s="10">
        <v>224.52099999999999</v>
      </c>
      <c r="D3344" s="10">
        <v>217.1788</v>
      </c>
      <c r="E3344" s="13">
        <f t="shared" si="156"/>
        <v>3.1542740799928727E-2</v>
      </c>
      <c r="F3344" s="9">
        <f t="shared" si="154"/>
        <v>0.14978598709859323</v>
      </c>
      <c r="G3344" s="9">
        <f t="shared" si="155"/>
        <v>2.8475452936380489E-2</v>
      </c>
    </row>
    <row r="3345" spans="1:7" x14ac:dyDescent="0.2">
      <c r="A3345" s="11">
        <v>39933</v>
      </c>
      <c r="B3345" s="10">
        <v>226.66370000000001</v>
      </c>
      <c r="C3345" s="10">
        <v>229.21850000000001</v>
      </c>
      <c r="D3345" s="10">
        <v>224.13839999999999</v>
      </c>
      <c r="E3345" s="13">
        <f t="shared" si="156"/>
        <v>1.1203702978339053E-2</v>
      </c>
      <c r="F3345" s="9">
        <f t="shared" si="154"/>
        <v>0.15752604642925686</v>
      </c>
      <c r="G3345" s="9">
        <f t="shared" si="155"/>
        <v>2.8495203067752314E-2</v>
      </c>
    </row>
    <row r="3346" spans="1:7" x14ac:dyDescent="0.2">
      <c r="A3346" s="11">
        <v>39937</v>
      </c>
      <c r="B3346" s="10">
        <v>239.0556</v>
      </c>
      <c r="C3346" s="10">
        <v>239.10849999999999</v>
      </c>
      <c r="D3346" s="10">
        <v>226.66370000000001</v>
      </c>
      <c r="E3346" s="13">
        <f t="shared" si="156"/>
        <v>5.3228739678122944E-2</v>
      </c>
      <c r="F3346" s="9">
        <f t="shared" si="154"/>
        <v>0.23038708108698849</v>
      </c>
      <c r="G3346" s="9">
        <f t="shared" si="155"/>
        <v>2.9403962518424875E-2</v>
      </c>
    </row>
    <row r="3347" spans="1:7" x14ac:dyDescent="0.2">
      <c r="A3347" s="11">
        <v>39938</v>
      </c>
      <c r="B3347" s="10">
        <v>238.25569999999999</v>
      </c>
      <c r="C3347" s="10">
        <v>243.709</v>
      </c>
      <c r="D3347" s="10">
        <v>236.2681</v>
      </c>
      <c r="E3347" s="13">
        <f t="shared" si="156"/>
        <v>-3.351694161985413E-3</v>
      </c>
      <c r="F3347" s="9">
        <f t="shared" si="154"/>
        <v>0.18115835795444216</v>
      </c>
      <c r="G3347" s="9">
        <f t="shared" si="155"/>
        <v>2.8544296488769851E-2</v>
      </c>
    </row>
    <row r="3348" spans="1:7" x14ac:dyDescent="0.2">
      <c r="A3348" s="11">
        <v>39939</v>
      </c>
      <c r="B3348" s="10">
        <v>240.70419999999999</v>
      </c>
      <c r="C3348" s="10">
        <v>242.9975</v>
      </c>
      <c r="D3348" s="10">
        <v>235.2261</v>
      </c>
      <c r="E3348" s="13">
        <f t="shared" si="156"/>
        <v>1.0224327046329793E-2</v>
      </c>
      <c r="F3348" s="9">
        <f t="shared" si="154"/>
        <v>0.18098504117700201</v>
      </c>
      <c r="G3348" s="9">
        <f t="shared" si="155"/>
        <v>2.8543414509470601E-2</v>
      </c>
    </row>
    <row r="3349" spans="1:7" x14ac:dyDescent="0.2">
      <c r="A3349" s="11">
        <v>39940</v>
      </c>
      <c r="B3349" s="10">
        <v>245.72550000000001</v>
      </c>
      <c r="C3349" s="10">
        <v>255.31739999999999</v>
      </c>
      <c r="D3349" s="10">
        <v>240.70419999999999</v>
      </c>
      <c r="E3349" s="13">
        <f t="shared" si="156"/>
        <v>2.0646265502053087E-2</v>
      </c>
      <c r="F3349" s="9">
        <f t="shared" si="154"/>
        <v>0.1589482692714112</v>
      </c>
      <c r="G3349" s="9">
        <f t="shared" si="155"/>
        <v>2.7822832610776373E-2</v>
      </c>
    </row>
    <row r="3350" spans="1:7" x14ac:dyDescent="0.2">
      <c r="A3350" s="11">
        <v>39941</v>
      </c>
      <c r="B3350" s="10">
        <v>255.83009999999999</v>
      </c>
      <c r="C3350" s="10">
        <v>255.83009999999999</v>
      </c>
      <c r="D3350" s="10">
        <v>245.72550000000001</v>
      </c>
      <c r="E3350" s="13">
        <f t="shared" si="156"/>
        <v>4.0298493031277305E-2</v>
      </c>
      <c r="F3350" s="9">
        <f t="shared" si="154"/>
        <v>0.21888845894690478</v>
      </c>
      <c r="G3350" s="9">
        <f t="shared" si="155"/>
        <v>2.8114752607616329E-2</v>
      </c>
    </row>
    <row r="3351" spans="1:7" x14ac:dyDescent="0.2">
      <c r="A3351" s="11">
        <v>39944</v>
      </c>
      <c r="B3351" s="10">
        <v>249.95760000000001</v>
      </c>
      <c r="C3351" s="10">
        <v>258.6968</v>
      </c>
      <c r="D3351" s="10">
        <v>248.8229</v>
      </c>
      <c r="E3351" s="13">
        <f t="shared" si="156"/>
        <v>-2.3222248798354498E-2</v>
      </c>
      <c r="F3351" s="9">
        <f t="shared" si="154"/>
        <v>0.17324944747415094</v>
      </c>
      <c r="G3351" s="9">
        <f t="shared" si="155"/>
        <v>2.8527050416832029E-2</v>
      </c>
    </row>
    <row r="3352" spans="1:7" x14ac:dyDescent="0.2">
      <c r="A3352" s="11">
        <v>39945</v>
      </c>
      <c r="B3352" s="10">
        <v>252.37970000000001</v>
      </c>
      <c r="C3352" s="10">
        <v>255.75049999999999</v>
      </c>
      <c r="D3352" s="10">
        <v>248.06819999999999</v>
      </c>
      <c r="E3352" s="13">
        <f t="shared" si="156"/>
        <v>9.6433960617871711E-3</v>
      </c>
      <c r="F3352" s="9">
        <f t="shared" si="154"/>
        <v>0.1623634569059384</v>
      </c>
      <c r="G3352" s="9">
        <f t="shared" si="155"/>
        <v>2.8400021602860311E-2</v>
      </c>
    </row>
    <row r="3353" spans="1:7" x14ac:dyDescent="0.2">
      <c r="A3353" s="11">
        <v>39946</v>
      </c>
      <c r="B3353" s="10">
        <v>245.0324</v>
      </c>
      <c r="C3353" s="10">
        <v>256.35989999999998</v>
      </c>
      <c r="D3353" s="10">
        <v>244.18600000000001</v>
      </c>
      <c r="E3353" s="13">
        <f t="shared" si="156"/>
        <v>-2.9544252841226713E-2</v>
      </c>
      <c r="F3353" s="9">
        <f t="shared" si="154"/>
        <v>0.15922845837464625</v>
      </c>
      <c r="G3353" s="9">
        <f t="shared" si="155"/>
        <v>2.8531870462591022E-2</v>
      </c>
    </row>
    <row r="3354" spans="1:7" x14ac:dyDescent="0.2">
      <c r="A3354" s="11">
        <v>39947</v>
      </c>
      <c r="B3354" s="10">
        <v>246.2911</v>
      </c>
      <c r="C3354" s="10">
        <v>246.66130000000001</v>
      </c>
      <c r="D3354" s="10">
        <v>240.81389999999999</v>
      </c>
      <c r="E3354" s="13">
        <f t="shared" si="156"/>
        <v>5.1237229795488733E-3</v>
      </c>
      <c r="F3354" s="9">
        <f t="shared" si="154"/>
        <v>0.21442465600988525</v>
      </c>
      <c r="G3354" s="9">
        <f t="shared" si="155"/>
        <v>2.6458669341626211E-2</v>
      </c>
    </row>
    <row r="3355" spans="1:7" x14ac:dyDescent="0.2">
      <c r="A3355" s="11">
        <v>39948</v>
      </c>
      <c r="B3355" s="10">
        <v>247.977</v>
      </c>
      <c r="C3355" s="10">
        <v>250.15549999999999</v>
      </c>
      <c r="D3355" s="10">
        <v>244.7869</v>
      </c>
      <c r="E3355" s="13">
        <f t="shared" si="156"/>
        <v>6.821830250049744E-3</v>
      </c>
      <c r="F3355" s="9">
        <f t="shared" si="154"/>
        <v>0.19660078798191827</v>
      </c>
      <c r="G3355" s="9">
        <f t="shared" si="155"/>
        <v>2.6249804712844851E-2</v>
      </c>
    </row>
    <row r="3356" spans="1:7" x14ac:dyDescent="0.2">
      <c r="A3356" s="11">
        <v>39951</v>
      </c>
      <c r="B3356" s="10">
        <v>253.05070000000001</v>
      </c>
      <c r="C3356" s="10">
        <v>253.07820000000001</v>
      </c>
      <c r="D3356" s="10">
        <v>243.87090000000001</v>
      </c>
      <c r="E3356" s="13">
        <f t="shared" si="156"/>
        <v>2.025386397929084E-2</v>
      </c>
      <c r="F3356" s="9">
        <f t="shared" si="154"/>
        <v>0.21061647080469606</v>
      </c>
      <c r="G3356" s="9">
        <f t="shared" si="155"/>
        <v>2.6368243326104587E-2</v>
      </c>
    </row>
    <row r="3357" spans="1:7" x14ac:dyDescent="0.2">
      <c r="A3357" s="11">
        <v>39952</v>
      </c>
      <c r="B3357" s="10">
        <v>257.30279999999999</v>
      </c>
      <c r="C3357" s="10">
        <v>260.68810000000002</v>
      </c>
      <c r="D3357" s="10">
        <v>253.05070000000001</v>
      </c>
      <c r="E3357" s="13">
        <f t="shared" si="156"/>
        <v>1.6663737559129393E-2</v>
      </c>
      <c r="F3357" s="9">
        <f t="shared" si="154"/>
        <v>0.17697441311303416</v>
      </c>
      <c r="G3357" s="9">
        <f t="shared" si="155"/>
        <v>2.5117295699638761E-2</v>
      </c>
    </row>
    <row r="3358" spans="1:7" x14ac:dyDescent="0.2">
      <c r="A3358" s="11">
        <v>39953</v>
      </c>
      <c r="B3358" s="10">
        <v>262.11239999999998</v>
      </c>
      <c r="C3358" s="10">
        <v>263.68869999999998</v>
      </c>
      <c r="D3358" s="10">
        <v>257.30279999999999</v>
      </c>
      <c r="E3358" s="13">
        <f t="shared" si="156"/>
        <v>1.8519817930101178E-2</v>
      </c>
      <c r="F3358" s="9">
        <f t="shared" si="154"/>
        <v>0.2263846234654133</v>
      </c>
      <c r="G3358" s="9">
        <f t="shared" si="155"/>
        <v>2.4176525844161495E-2</v>
      </c>
    </row>
    <row r="3359" spans="1:7" x14ac:dyDescent="0.2">
      <c r="A3359" s="11">
        <v>39955</v>
      </c>
      <c r="B3359" s="10">
        <v>256.46980000000002</v>
      </c>
      <c r="C3359" s="10">
        <v>262.11239999999998</v>
      </c>
      <c r="D3359" s="10">
        <v>254.83009999999999</v>
      </c>
      <c r="E3359" s="13">
        <f t="shared" si="156"/>
        <v>-2.1762500509574834E-2</v>
      </c>
      <c r="F3359" s="9">
        <f t="shared" si="154"/>
        <v>0.21105774833772145</v>
      </c>
      <c r="G3359" s="9">
        <f t="shared" si="155"/>
        <v>2.4661643410216743E-2</v>
      </c>
    </row>
    <row r="3360" spans="1:7" x14ac:dyDescent="0.2">
      <c r="A3360" s="11">
        <v>39958</v>
      </c>
      <c r="B3360" s="10">
        <v>258.07780000000002</v>
      </c>
      <c r="C3360" s="10">
        <v>259.1671</v>
      </c>
      <c r="D3360" s="10">
        <v>253.06219999999999</v>
      </c>
      <c r="E3360" s="13">
        <f t="shared" si="156"/>
        <v>6.2501709643887323E-3</v>
      </c>
      <c r="F3360" s="9">
        <f t="shared" ref="F3360:F3423" si="157">LN(B3360/B3331)</f>
        <v>0.2515280633178425</v>
      </c>
      <c r="G3360" s="9">
        <f t="shared" si="155"/>
        <v>2.3339115878649782E-2</v>
      </c>
    </row>
    <row r="3361" spans="1:7" x14ac:dyDescent="0.2">
      <c r="A3361" s="11">
        <v>39959</v>
      </c>
      <c r="B3361" s="10">
        <v>255.5496</v>
      </c>
      <c r="C3361" s="10">
        <v>258.07780000000002</v>
      </c>
      <c r="D3361" s="10">
        <v>249.57310000000001</v>
      </c>
      <c r="E3361" s="13">
        <f t="shared" si="156"/>
        <v>-9.8445698903893882E-3</v>
      </c>
      <c r="F3361" s="9">
        <f t="shared" si="157"/>
        <v>0.26028741329715438</v>
      </c>
      <c r="G3361" s="9">
        <f t="shared" ref="G3361:G3424" si="158">STDEV(E3333:E3361)</f>
        <v>2.3028103065493848E-2</v>
      </c>
    </row>
    <row r="3362" spans="1:7" x14ac:dyDescent="0.2">
      <c r="A3362" s="11">
        <v>39960</v>
      </c>
      <c r="B3362" s="10">
        <v>258.91750000000002</v>
      </c>
      <c r="C3362" s="10">
        <v>261.19819999999999</v>
      </c>
      <c r="D3362" s="10">
        <v>255.5496</v>
      </c>
      <c r="E3362" s="13">
        <f t="shared" si="156"/>
        <v>1.309295817700605E-2</v>
      </c>
      <c r="F3362" s="9">
        <f t="shared" si="157"/>
        <v>0.22457214955757529</v>
      </c>
      <c r="G3362" s="9">
        <f t="shared" si="158"/>
        <v>2.1740791096104526E-2</v>
      </c>
    </row>
    <row r="3363" spans="1:7" x14ac:dyDescent="0.2">
      <c r="A3363" s="11">
        <v>39961</v>
      </c>
      <c r="B3363" s="10">
        <v>259.476</v>
      </c>
      <c r="C3363" s="10">
        <v>260.44130000000001</v>
      </c>
      <c r="D3363" s="10">
        <v>254.7312</v>
      </c>
      <c r="E3363" s="13">
        <f t="shared" si="156"/>
        <v>2.1547346411071185E-3</v>
      </c>
      <c r="F3363" s="9">
        <f t="shared" si="157"/>
        <v>0.21766625996364819</v>
      </c>
      <c r="G3363" s="9">
        <f t="shared" si="158"/>
        <v>2.1763662339213823E-2</v>
      </c>
    </row>
    <row r="3364" spans="1:7" x14ac:dyDescent="0.2">
      <c r="A3364" s="11">
        <v>39962</v>
      </c>
      <c r="B3364" s="10">
        <v>265.70710000000003</v>
      </c>
      <c r="C3364" s="10">
        <v>267.63740000000001</v>
      </c>
      <c r="D3364" s="10">
        <v>259.476</v>
      </c>
      <c r="E3364" s="13">
        <f t="shared" si="156"/>
        <v>2.3730361495753964E-2</v>
      </c>
      <c r="F3364" s="9">
        <f t="shared" si="157"/>
        <v>0.21616625463654945</v>
      </c>
      <c r="G3364" s="9">
        <f t="shared" si="158"/>
        <v>2.1721775031757901E-2</v>
      </c>
    </row>
    <row r="3365" spans="1:7" x14ac:dyDescent="0.2">
      <c r="A3365" s="11">
        <v>39966</v>
      </c>
      <c r="B3365" s="10">
        <v>278.24930000000001</v>
      </c>
      <c r="C3365" s="10">
        <v>278.26490000000001</v>
      </c>
      <c r="D3365" s="10">
        <v>265.70710000000003</v>
      </c>
      <c r="E3365" s="13">
        <f t="shared" si="156"/>
        <v>4.6122900153707215E-2</v>
      </c>
      <c r="F3365" s="9">
        <f t="shared" si="157"/>
        <v>0.22777168661390251</v>
      </c>
      <c r="G3365" s="9">
        <f t="shared" si="158"/>
        <v>2.233639108991782E-2</v>
      </c>
    </row>
    <row r="3366" spans="1:7" x14ac:dyDescent="0.2">
      <c r="A3366" s="11">
        <v>39967</v>
      </c>
      <c r="B3366" s="10">
        <v>266.26060000000001</v>
      </c>
      <c r="C3366" s="10">
        <v>279.44979999999998</v>
      </c>
      <c r="D3366" s="10">
        <v>266.0301</v>
      </c>
      <c r="E3366" s="13">
        <f t="shared" si="156"/>
        <v>-4.4041945991496571E-2</v>
      </c>
      <c r="F3366" s="9">
        <f t="shared" si="157"/>
        <v>0.23363876946762699</v>
      </c>
      <c r="G3366" s="9">
        <f t="shared" si="158"/>
        <v>2.181499704783383E-2</v>
      </c>
    </row>
    <row r="3367" spans="1:7" x14ac:dyDescent="0.2">
      <c r="A3367" s="11">
        <v>39968</v>
      </c>
      <c r="B3367" s="10">
        <v>269.66109999999998</v>
      </c>
      <c r="C3367" s="10">
        <v>270.27699999999999</v>
      </c>
      <c r="D3367" s="10">
        <v>263.55279999999999</v>
      </c>
      <c r="E3367" s="13">
        <f t="shared" si="156"/>
        <v>1.2690456970743816E-2</v>
      </c>
      <c r="F3367" s="9">
        <f t="shared" si="157"/>
        <v>0.22948255035348339</v>
      </c>
      <c r="G3367" s="9">
        <f t="shared" si="158"/>
        <v>2.1768789479896116E-2</v>
      </c>
    </row>
    <row r="3368" spans="1:7" x14ac:dyDescent="0.2">
      <c r="A3368" s="11">
        <v>39969</v>
      </c>
      <c r="B3368" s="10">
        <v>272.76799999999997</v>
      </c>
      <c r="C3368" s="10">
        <v>274.58460000000002</v>
      </c>
      <c r="D3368" s="10">
        <v>269.66109999999998</v>
      </c>
      <c r="E3368" s="13">
        <f t="shared" si="156"/>
        <v>1.1455631627630452E-2</v>
      </c>
      <c r="F3368" s="9">
        <f t="shared" si="157"/>
        <v>0.2325583322633698</v>
      </c>
      <c r="G3368" s="9">
        <f t="shared" si="158"/>
        <v>2.1778634978476142E-2</v>
      </c>
    </row>
    <row r="3369" spans="1:7" x14ac:dyDescent="0.2">
      <c r="A3369" s="11">
        <v>39972</v>
      </c>
      <c r="B3369" s="10">
        <v>265.39260000000002</v>
      </c>
      <c r="C3369" s="10">
        <v>272.76799999999997</v>
      </c>
      <c r="D3369" s="10">
        <v>265.39260000000002</v>
      </c>
      <c r="E3369" s="13">
        <f t="shared" si="156"/>
        <v>-2.7411377968310016E-2</v>
      </c>
      <c r="F3369" s="9">
        <f t="shared" si="157"/>
        <v>0.21395000228284067</v>
      </c>
      <c r="G3369" s="9">
        <f t="shared" si="158"/>
        <v>2.2552359564554491E-2</v>
      </c>
    </row>
    <row r="3370" spans="1:7" x14ac:dyDescent="0.2">
      <c r="A3370" s="11">
        <v>39973</v>
      </c>
      <c r="B3370" s="10">
        <v>269.65820000000002</v>
      </c>
      <c r="C3370" s="10">
        <v>271.5086</v>
      </c>
      <c r="D3370" s="10">
        <v>265.39260000000002</v>
      </c>
      <c r="E3370" s="13">
        <f t="shared" si="156"/>
        <v>1.5944992043549804E-2</v>
      </c>
      <c r="F3370" s="9">
        <f t="shared" si="157"/>
        <v>0.20623179210944395</v>
      </c>
      <c r="G3370" s="9">
        <f t="shared" si="158"/>
        <v>2.2398321688358588E-2</v>
      </c>
    </row>
    <row r="3371" spans="1:7" x14ac:dyDescent="0.2">
      <c r="A3371" s="11">
        <v>39974</v>
      </c>
      <c r="B3371" s="10">
        <v>276.42309999999998</v>
      </c>
      <c r="C3371" s="10">
        <v>278.93740000000003</v>
      </c>
      <c r="D3371" s="10">
        <v>269.65820000000002</v>
      </c>
      <c r="E3371" s="13">
        <f t="shared" si="156"/>
        <v>2.4777431819688556E-2</v>
      </c>
      <c r="F3371" s="9">
        <f t="shared" si="157"/>
        <v>0.2392291121986567</v>
      </c>
      <c r="G3371" s="9">
        <f t="shared" si="158"/>
        <v>2.2429784683749225E-2</v>
      </c>
    </row>
    <row r="3372" spans="1:7" x14ac:dyDescent="0.2">
      <c r="A3372" s="11">
        <v>39975</v>
      </c>
      <c r="B3372" s="10">
        <v>280.77890000000002</v>
      </c>
      <c r="C3372" s="10">
        <v>280.78750000000002</v>
      </c>
      <c r="D3372" s="10">
        <v>276.42309999999998</v>
      </c>
      <c r="E3372" s="13">
        <f t="shared" si="156"/>
        <v>1.5634863947152911E-2</v>
      </c>
      <c r="F3372" s="9">
        <f t="shared" si="157"/>
        <v>0.25684654947534907</v>
      </c>
      <c r="G3372" s="9">
        <f t="shared" si="158"/>
        <v>2.2381290200412574E-2</v>
      </c>
    </row>
    <row r="3373" spans="1:7" x14ac:dyDescent="0.2">
      <c r="A3373" s="11">
        <v>39976</v>
      </c>
      <c r="B3373" s="10">
        <v>276.7516</v>
      </c>
      <c r="C3373" s="10">
        <v>282.68290000000002</v>
      </c>
      <c r="D3373" s="10">
        <v>276.68779999999998</v>
      </c>
      <c r="E3373" s="13">
        <f t="shared" si="156"/>
        <v>-1.4447173914997023E-2</v>
      </c>
      <c r="F3373" s="9">
        <f t="shared" si="157"/>
        <v>0.21085663476042341</v>
      </c>
      <c r="G3373" s="9">
        <f t="shared" si="158"/>
        <v>2.2345747382174777E-2</v>
      </c>
    </row>
    <row r="3374" spans="1:7" x14ac:dyDescent="0.2">
      <c r="A3374" s="11">
        <v>39979</v>
      </c>
      <c r="B3374" s="10">
        <v>267.17700000000002</v>
      </c>
      <c r="C3374" s="10">
        <v>276.7516</v>
      </c>
      <c r="D3374" s="10">
        <v>267.17700000000002</v>
      </c>
      <c r="E3374" s="13">
        <f t="shared" si="156"/>
        <v>-3.5208992849912225E-2</v>
      </c>
      <c r="F3374" s="9">
        <f t="shared" si="157"/>
        <v>0.16444393893217216</v>
      </c>
      <c r="G3374" s="9">
        <f t="shared" si="158"/>
        <v>2.3676467646974071E-2</v>
      </c>
    </row>
    <row r="3375" spans="1:7" x14ac:dyDescent="0.2">
      <c r="A3375" s="11">
        <v>39980</v>
      </c>
      <c r="B3375" s="10">
        <v>270.07819999999998</v>
      </c>
      <c r="C3375" s="10">
        <v>272.77870000000001</v>
      </c>
      <c r="D3375" s="10">
        <v>264.25439999999998</v>
      </c>
      <c r="E3375" s="13">
        <f t="shared" si="156"/>
        <v>1.0800186580170778E-2</v>
      </c>
      <c r="F3375" s="9">
        <f t="shared" si="157"/>
        <v>0.12201538583421997</v>
      </c>
      <c r="G3375" s="9">
        <f t="shared" si="158"/>
        <v>2.1875095103961857E-2</v>
      </c>
    </row>
    <row r="3376" spans="1:7" x14ac:dyDescent="0.2">
      <c r="A3376" s="11">
        <v>39981</v>
      </c>
      <c r="B3376" s="10">
        <v>256.65989999999999</v>
      </c>
      <c r="C3376" s="10">
        <v>270.07819999999998</v>
      </c>
      <c r="D3376" s="10">
        <v>255.23830000000001</v>
      </c>
      <c r="E3376" s="13">
        <f t="shared" si="156"/>
        <v>-5.0959684497710517E-2</v>
      </c>
      <c r="F3376" s="9">
        <f t="shared" si="157"/>
        <v>7.4407395498495052E-2</v>
      </c>
      <c r="G3376" s="9">
        <f t="shared" si="158"/>
        <v>2.4132571352585709E-2</v>
      </c>
    </row>
    <row r="3377" spans="1:7" x14ac:dyDescent="0.2">
      <c r="A3377" s="11">
        <v>39982</v>
      </c>
      <c r="B3377" s="10">
        <v>260.41269999999997</v>
      </c>
      <c r="C3377" s="10">
        <v>261.66180000000003</v>
      </c>
      <c r="D3377" s="10">
        <v>253.69970000000001</v>
      </c>
      <c r="E3377" s="13">
        <f t="shared" si="156"/>
        <v>1.451581807076398E-2</v>
      </c>
      <c r="F3377" s="9">
        <f t="shared" si="157"/>
        <v>7.8698886522929168E-2</v>
      </c>
      <c r="G3377" s="9">
        <f t="shared" si="158"/>
        <v>2.4194290258076977E-2</v>
      </c>
    </row>
    <row r="3378" spans="1:7" x14ac:dyDescent="0.2">
      <c r="A3378" s="11">
        <v>39983</v>
      </c>
      <c r="B3378" s="10">
        <v>261.42180000000002</v>
      </c>
      <c r="C3378" s="10">
        <v>263.2645</v>
      </c>
      <c r="D3378" s="10">
        <v>258.81729999999999</v>
      </c>
      <c r="E3378" s="13">
        <f t="shared" si="156"/>
        <v>3.8675145388624658E-3</v>
      </c>
      <c r="F3378" s="9">
        <f t="shared" si="157"/>
        <v>6.1920135559738534E-2</v>
      </c>
      <c r="G3378" s="9">
        <f t="shared" si="158"/>
        <v>2.394952391351075E-2</v>
      </c>
    </row>
    <row r="3379" spans="1:7" x14ac:dyDescent="0.2">
      <c r="A3379" s="11">
        <v>39986</v>
      </c>
      <c r="B3379" s="10">
        <v>243.86930000000001</v>
      </c>
      <c r="C3379" s="10">
        <v>261.42180000000002</v>
      </c>
      <c r="D3379" s="10">
        <v>243.86490000000001</v>
      </c>
      <c r="E3379" s="13">
        <f t="shared" si="156"/>
        <v>-6.950276876464552E-2</v>
      </c>
      <c r="F3379" s="9">
        <f t="shared" si="157"/>
        <v>-4.7881126236184325E-2</v>
      </c>
      <c r="G3379" s="9">
        <f t="shared" si="158"/>
        <v>2.6267887109323571E-2</v>
      </c>
    </row>
    <row r="3380" spans="1:7" x14ac:dyDescent="0.2">
      <c r="A3380" s="11">
        <v>39987</v>
      </c>
      <c r="B3380" s="10">
        <v>243.8912</v>
      </c>
      <c r="C3380" s="10">
        <v>247.9023</v>
      </c>
      <c r="D3380" s="10">
        <v>239.39609999999999</v>
      </c>
      <c r="E3380" s="13">
        <f t="shared" si="156"/>
        <v>8.9798169448765698E-5</v>
      </c>
      <c r="F3380" s="9">
        <f t="shared" si="157"/>
        <v>-2.4569079268381068E-2</v>
      </c>
      <c r="G3380" s="9">
        <f t="shared" si="158"/>
        <v>2.5938821101061178E-2</v>
      </c>
    </row>
    <row r="3381" spans="1:7" x14ac:dyDescent="0.2">
      <c r="A3381" s="11">
        <v>39988</v>
      </c>
      <c r="B3381" s="10">
        <v>252.9091</v>
      </c>
      <c r="C3381" s="10">
        <v>252.92189999999999</v>
      </c>
      <c r="D3381" s="10">
        <v>243.8912</v>
      </c>
      <c r="E3381" s="13">
        <f t="shared" si="156"/>
        <v>3.630791142022087E-2</v>
      </c>
      <c r="F3381" s="9">
        <f t="shared" si="157"/>
        <v>2.0954360900528536E-3</v>
      </c>
      <c r="G3381" s="9">
        <f t="shared" si="158"/>
        <v>2.6782831267107225E-2</v>
      </c>
    </row>
    <row r="3382" spans="1:7" x14ac:dyDescent="0.2">
      <c r="A3382" s="11">
        <v>39989</v>
      </c>
      <c r="B3382" s="10">
        <v>249.852</v>
      </c>
      <c r="C3382" s="10">
        <v>254.36799999999999</v>
      </c>
      <c r="D3382" s="10">
        <v>247.30619999999999</v>
      </c>
      <c r="E3382" s="13">
        <f t="shared" si="156"/>
        <v>-1.2161393069322578E-2</v>
      </c>
      <c r="F3382" s="9">
        <f t="shared" si="157"/>
        <v>1.9478295861956995E-2</v>
      </c>
      <c r="G3382" s="9">
        <f t="shared" si="158"/>
        <v>2.6286244730143314E-2</v>
      </c>
    </row>
    <row r="3383" spans="1:7" x14ac:dyDescent="0.2">
      <c r="A3383" s="11">
        <v>39990</v>
      </c>
      <c r="B3383" s="10">
        <v>252.5615</v>
      </c>
      <c r="C3383" s="10">
        <v>257.13290000000001</v>
      </c>
      <c r="D3383" s="10">
        <v>249.852</v>
      </c>
      <c r="E3383" s="13">
        <f t="shared" si="156"/>
        <v>1.0786040853810226E-2</v>
      </c>
      <c r="F3383" s="9">
        <f t="shared" si="157"/>
        <v>2.5140613736218453E-2</v>
      </c>
      <c r="G3383" s="9">
        <f t="shared" si="158"/>
        <v>2.6341466990526089E-2</v>
      </c>
    </row>
    <row r="3384" spans="1:7" x14ac:dyDescent="0.2">
      <c r="A3384" s="11">
        <v>39993</v>
      </c>
      <c r="B3384" s="10">
        <v>255.84540000000001</v>
      </c>
      <c r="C3384" s="10">
        <v>256.03469999999999</v>
      </c>
      <c r="D3384" s="10">
        <v>251.58779999999999</v>
      </c>
      <c r="E3384" s="13">
        <f t="shared" si="156"/>
        <v>1.2918572389866673E-2</v>
      </c>
      <c r="F3384" s="9">
        <f t="shared" si="157"/>
        <v>3.1237355876035409E-2</v>
      </c>
      <c r="G3384" s="9">
        <f t="shared" si="158"/>
        <v>2.6414917588497195E-2</v>
      </c>
    </row>
    <row r="3385" spans="1:7" x14ac:dyDescent="0.2">
      <c r="A3385" s="11">
        <v>39994</v>
      </c>
      <c r="B3385" s="10">
        <v>254.45580000000001</v>
      </c>
      <c r="C3385" s="10">
        <v>258.60379999999998</v>
      </c>
      <c r="D3385" s="10">
        <v>253.54849999999999</v>
      </c>
      <c r="E3385" s="13">
        <f t="shared" si="156"/>
        <v>-5.4462087675439643E-3</v>
      </c>
      <c r="F3385" s="9">
        <f t="shared" si="157"/>
        <v>5.5372831292007088E-3</v>
      </c>
      <c r="G3385" s="9">
        <f t="shared" si="158"/>
        <v>2.6178625829236735E-2</v>
      </c>
    </row>
    <row r="3386" spans="1:7" x14ac:dyDescent="0.2">
      <c r="A3386" s="11">
        <v>39995</v>
      </c>
      <c r="B3386" s="10">
        <v>260.09620000000001</v>
      </c>
      <c r="C3386" s="10">
        <v>261.2124</v>
      </c>
      <c r="D3386" s="10">
        <v>254.45580000000001</v>
      </c>
      <c r="E3386" s="13">
        <f t="shared" si="156"/>
        <v>2.1924415545216965E-2</v>
      </c>
      <c r="F3386" s="9">
        <f t="shared" si="157"/>
        <v>1.0797961115288249E-2</v>
      </c>
      <c r="G3386" s="9">
        <f t="shared" si="158"/>
        <v>2.6314722385907437E-2</v>
      </c>
    </row>
    <row r="3387" spans="1:7" x14ac:dyDescent="0.2">
      <c r="A3387" s="11">
        <v>39996</v>
      </c>
      <c r="B3387" s="10">
        <v>253.96199999999999</v>
      </c>
      <c r="C3387" s="10">
        <v>260.959</v>
      </c>
      <c r="D3387" s="10">
        <v>253.91970000000001</v>
      </c>
      <c r="E3387" s="13">
        <f t="shared" si="156"/>
        <v>-2.3866913055222181E-2</v>
      </c>
      <c r="F3387" s="9">
        <f t="shared" si="157"/>
        <v>-3.1588769870035227E-2</v>
      </c>
      <c r="G3387" s="9">
        <f t="shared" si="158"/>
        <v>2.6447567399736284E-2</v>
      </c>
    </row>
    <row r="3388" spans="1:7" x14ac:dyDescent="0.2">
      <c r="A3388" s="11">
        <v>39997</v>
      </c>
      <c r="B3388" s="10">
        <v>252.49520000000001</v>
      </c>
      <c r="C3388" s="10">
        <v>254.8125</v>
      </c>
      <c r="D3388" s="10">
        <v>250.31479999999999</v>
      </c>
      <c r="E3388" s="13">
        <f t="shared" si="156"/>
        <v>-5.7924108934512752E-3</v>
      </c>
      <c r="F3388" s="9">
        <f t="shared" si="157"/>
        <v>-1.5618680253911705E-2</v>
      </c>
      <c r="G3388" s="9">
        <f t="shared" si="158"/>
        <v>2.6166506258697847E-2</v>
      </c>
    </row>
    <row r="3389" spans="1:7" x14ac:dyDescent="0.2">
      <c r="A3389" s="11">
        <v>40000</v>
      </c>
      <c r="B3389" s="10">
        <v>242.20240000000001</v>
      </c>
      <c r="C3389" s="10">
        <v>252.49520000000001</v>
      </c>
      <c r="D3389" s="10">
        <v>241.91730000000001</v>
      </c>
      <c r="E3389" s="13">
        <f t="shared" si="156"/>
        <v>-4.1618498397859034E-2</v>
      </c>
      <c r="F3389" s="9">
        <f t="shared" si="157"/>
        <v>-6.3487349616159497E-2</v>
      </c>
      <c r="G3389" s="9">
        <f t="shared" si="158"/>
        <v>2.7211911973020288E-2</v>
      </c>
    </row>
    <row r="3390" spans="1:7" x14ac:dyDescent="0.2">
      <c r="A3390" s="11">
        <v>40001</v>
      </c>
      <c r="B3390" s="10">
        <v>242.2482</v>
      </c>
      <c r="C3390" s="10">
        <v>247.66239999999999</v>
      </c>
      <c r="D3390" s="10">
        <v>242.0127</v>
      </c>
      <c r="E3390" s="13">
        <f t="shared" si="156"/>
        <v>1.8908016683821913E-4</v>
      </c>
      <c r="F3390" s="9">
        <f t="shared" si="157"/>
        <v>-5.3453699558931797E-2</v>
      </c>
      <c r="G3390" s="9">
        <f t="shared" si="158"/>
        <v>2.7174862778755877E-2</v>
      </c>
    </row>
    <row r="3391" spans="1:7" x14ac:dyDescent="0.2">
      <c r="A3391" s="11">
        <v>40002</v>
      </c>
      <c r="B3391" s="10">
        <v>237.76929999999999</v>
      </c>
      <c r="C3391" s="10">
        <v>242.2482</v>
      </c>
      <c r="D3391" s="10">
        <v>237.76929999999999</v>
      </c>
      <c r="E3391" s="13">
        <f t="shared" si="156"/>
        <v>-1.8661944564269305E-2</v>
      </c>
      <c r="F3391" s="9">
        <f t="shared" si="157"/>
        <v>-8.5208602300207145E-2</v>
      </c>
      <c r="G3391" s="9">
        <f t="shared" si="158"/>
        <v>2.7191290978938045E-2</v>
      </c>
    </row>
    <row r="3392" spans="1:7" x14ac:dyDescent="0.2">
      <c r="A3392" s="11">
        <v>40003</v>
      </c>
      <c r="B3392" s="10">
        <v>240.45249999999999</v>
      </c>
      <c r="C3392" s="10">
        <v>242.39609999999999</v>
      </c>
      <c r="D3392" s="10">
        <v>237.76929999999999</v>
      </c>
      <c r="E3392" s="13">
        <f t="shared" si="156"/>
        <v>1.1221689003146662E-2</v>
      </c>
      <c r="F3392" s="9">
        <f t="shared" si="157"/>
        <v>-7.6141647938167634E-2</v>
      </c>
      <c r="G3392" s="9">
        <f t="shared" si="158"/>
        <v>2.7303837185806121E-2</v>
      </c>
    </row>
    <row r="3393" spans="1:7" x14ac:dyDescent="0.2">
      <c r="A3393" s="11">
        <v>40004</v>
      </c>
      <c r="B3393" s="10">
        <v>234.79239999999999</v>
      </c>
      <c r="C3393" s="10">
        <v>240.45249999999999</v>
      </c>
      <c r="D3393" s="10">
        <v>234.43629999999999</v>
      </c>
      <c r="E3393" s="13">
        <f t="shared" si="156"/>
        <v>-2.3820845384246198E-2</v>
      </c>
      <c r="F3393" s="9">
        <f t="shared" si="157"/>
        <v>-0.12369285481816784</v>
      </c>
      <c r="G3393" s="9">
        <f t="shared" si="158"/>
        <v>2.7091525643599838E-2</v>
      </c>
    </row>
    <row r="3394" spans="1:7" x14ac:dyDescent="0.2">
      <c r="A3394" s="11">
        <v>40007</v>
      </c>
      <c r="B3394" s="10">
        <v>239.01820000000001</v>
      </c>
      <c r="C3394" s="10">
        <v>239.01820000000001</v>
      </c>
      <c r="D3394" s="10">
        <v>232.03039999999999</v>
      </c>
      <c r="E3394" s="13">
        <f t="shared" si="156"/>
        <v>1.7837980202469544E-2</v>
      </c>
      <c r="F3394" s="9">
        <f t="shared" si="157"/>
        <v>-0.15197777476940544</v>
      </c>
      <c r="G3394" s="9">
        <f t="shared" si="158"/>
        <v>2.5685334743572603E-2</v>
      </c>
    </row>
    <row r="3395" spans="1:7" x14ac:dyDescent="0.2">
      <c r="A3395" s="11">
        <v>40008</v>
      </c>
      <c r="B3395" s="10">
        <v>245.06399999999999</v>
      </c>
      <c r="C3395" s="10">
        <v>245.08590000000001</v>
      </c>
      <c r="D3395" s="10">
        <v>239.01820000000001</v>
      </c>
      <c r="E3395" s="13">
        <f t="shared" si="156"/>
        <v>2.4979701261532507E-2</v>
      </c>
      <c r="F3395" s="9">
        <f t="shared" si="157"/>
        <v>-8.2956127516376335E-2</v>
      </c>
      <c r="G3395" s="9">
        <f t="shared" si="158"/>
        <v>2.5153861025280493E-2</v>
      </c>
    </row>
    <row r="3396" spans="1:7" x14ac:dyDescent="0.2">
      <c r="A3396" s="11">
        <v>40009</v>
      </c>
      <c r="B3396" s="10">
        <v>253.55189999999999</v>
      </c>
      <c r="C3396" s="10">
        <v>253.55189999999999</v>
      </c>
      <c r="D3396" s="10">
        <v>245.06399999999999</v>
      </c>
      <c r="E3396" s="13">
        <f t="shared" ref="E3396:E3459" si="159">LN(B3396/B3395)</f>
        <v>3.404913488261245E-2</v>
      </c>
      <c r="F3396" s="9">
        <f t="shared" si="157"/>
        <v>-6.1597449604507637E-2</v>
      </c>
      <c r="G3396" s="9">
        <f t="shared" si="158"/>
        <v>2.5926288898883019E-2</v>
      </c>
    </row>
    <row r="3397" spans="1:7" x14ac:dyDescent="0.2">
      <c r="A3397" s="11">
        <v>40010</v>
      </c>
      <c r="B3397" s="10">
        <v>252.16659999999999</v>
      </c>
      <c r="C3397" s="10">
        <v>254.8142</v>
      </c>
      <c r="D3397" s="10">
        <v>250.60640000000001</v>
      </c>
      <c r="E3397" s="13">
        <f t="shared" si="159"/>
        <v>-5.4785556191060767E-3</v>
      </c>
      <c r="F3397" s="9">
        <f t="shared" si="157"/>
        <v>-7.8531636851244355E-2</v>
      </c>
      <c r="G3397" s="9">
        <f t="shared" si="158"/>
        <v>2.5799906712455134E-2</v>
      </c>
    </row>
    <row r="3398" spans="1:7" x14ac:dyDescent="0.2">
      <c r="A3398" s="11">
        <v>40011</v>
      </c>
      <c r="B3398" s="10">
        <v>254.14580000000001</v>
      </c>
      <c r="C3398" s="10">
        <v>255.14</v>
      </c>
      <c r="D3398" s="10">
        <v>252.12119999999999</v>
      </c>
      <c r="E3398" s="13">
        <f t="shared" si="159"/>
        <v>7.8181378976934796E-3</v>
      </c>
      <c r="F3398" s="9">
        <f t="shared" si="157"/>
        <v>-4.3302120985240743E-2</v>
      </c>
      <c r="G3398" s="9">
        <f t="shared" si="158"/>
        <v>2.542181981269051E-2</v>
      </c>
    </row>
    <row r="3399" spans="1:7" x14ac:dyDescent="0.2">
      <c r="A3399" s="11">
        <v>40014</v>
      </c>
      <c r="B3399" s="10">
        <v>258.78730000000002</v>
      </c>
      <c r="C3399" s="10">
        <v>260.06920000000002</v>
      </c>
      <c r="D3399" s="10">
        <v>254.14580000000001</v>
      </c>
      <c r="E3399" s="13">
        <f t="shared" si="159"/>
        <v>1.8098370697130002E-2</v>
      </c>
      <c r="F3399" s="9">
        <f t="shared" si="157"/>
        <v>-4.114874233166043E-2</v>
      </c>
      <c r="G3399" s="9">
        <f t="shared" si="158"/>
        <v>2.5477657533026003E-2</v>
      </c>
    </row>
    <row r="3400" spans="1:7" x14ac:dyDescent="0.2">
      <c r="A3400" s="11">
        <v>40015</v>
      </c>
      <c r="B3400" s="10">
        <v>265.31330000000003</v>
      </c>
      <c r="C3400" s="10">
        <v>265.31330000000003</v>
      </c>
      <c r="D3400" s="10">
        <v>258.78730000000002</v>
      </c>
      <c r="E3400" s="13">
        <f t="shared" si="159"/>
        <v>2.4904903033575936E-2</v>
      </c>
      <c r="F3400" s="9">
        <f t="shared" si="157"/>
        <v>-4.1021271117772984E-2</v>
      </c>
      <c r="G3400" s="9">
        <f t="shared" si="158"/>
        <v>2.5482349062668583E-2</v>
      </c>
    </row>
    <row r="3401" spans="1:7" x14ac:dyDescent="0.2">
      <c r="A3401" s="11">
        <v>40016</v>
      </c>
      <c r="B3401" s="10">
        <v>264.69080000000002</v>
      </c>
      <c r="C3401" s="10">
        <v>267.3417</v>
      </c>
      <c r="D3401" s="10">
        <v>261.38209999999998</v>
      </c>
      <c r="E3401" s="13">
        <f t="shared" si="159"/>
        <v>-2.3490395121302603E-3</v>
      </c>
      <c r="F3401" s="9">
        <f t="shared" si="157"/>
        <v>-5.9005174577056195E-2</v>
      </c>
      <c r="G3401" s="9">
        <f t="shared" si="158"/>
        <v>2.5270566122987486E-2</v>
      </c>
    </row>
    <row r="3402" spans="1:7" x14ac:dyDescent="0.2">
      <c r="A3402" s="11">
        <v>40017</v>
      </c>
      <c r="B3402" s="10">
        <v>269.25869999999998</v>
      </c>
      <c r="C3402" s="10">
        <v>269.42770000000002</v>
      </c>
      <c r="D3402" s="10">
        <v>262.53699999999998</v>
      </c>
      <c r="E3402" s="13">
        <f t="shared" si="159"/>
        <v>1.7110275191070858E-2</v>
      </c>
      <c r="F3402" s="9">
        <f t="shared" si="157"/>
        <v>-2.7447725470988341E-2</v>
      </c>
      <c r="G3402" s="9">
        <f t="shared" si="158"/>
        <v>2.5396118955244636E-2</v>
      </c>
    </row>
    <row r="3403" spans="1:7" x14ac:dyDescent="0.2">
      <c r="A3403" s="11">
        <v>40018</v>
      </c>
      <c r="B3403" s="10">
        <v>268.00689999999997</v>
      </c>
      <c r="C3403" s="10">
        <v>270.25069999999999</v>
      </c>
      <c r="D3403" s="10">
        <v>266.51760000000002</v>
      </c>
      <c r="E3403" s="13">
        <f t="shared" si="159"/>
        <v>-4.6599010441091991E-3</v>
      </c>
      <c r="F3403" s="9">
        <f t="shared" si="157"/>
        <v>3.1013663348147423E-3</v>
      </c>
      <c r="G3403" s="9">
        <f t="shared" si="158"/>
        <v>2.4543436998459272E-2</v>
      </c>
    </row>
    <row r="3404" spans="1:7" x14ac:dyDescent="0.2">
      <c r="A3404" s="11">
        <v>40021</v>
      </c>
      <c r="B3404" s="10">
        <v>271.47340000000003</v>
      </c>
      <c r="C3404" s="10">
        <v>272.83199999999999</v>
      </c>
      <c r="D3404" s="10">
        <v>268.00689999999997</v>
      </c>
      <c r="E3404" s="13">
        <f t="shared" si="159"/>
        <v>1.285143390880799E-2</v>
      </c>
      <c r="F3404" s="9">
        <f t="shared" si="157"/>
        <v>5.1526136634519213E-3</v>
      </c>
      <c r="G3404" s="9">
        <f t="shared" si="158"/>
        <v>2.4578285922491564E-2</v>
      </c>
    </row>
    <row r="3405" spans="1:7" x14ac:dyDescent="0.2">
      <c r="A3405" s="11">
        <v>40022</v>
      </c>
      <c r="B3405" s="10">
        <v>262.91860000000003</v>
      </c>
      <c r="C3405" s="10">
        <v>272.28109999999998</v>
      </c>
      <c r="D3405" s="10">
        <v>262.10989999999998</v>
      </c>
      <c r="E3405" s="13">
        <f t="shared" si="159"/>
        <v>-3.2019681789324676E-2</v>
      </c>
      <c r="F3405" s="9">
        <f t="shared" si="157"/>
        <v>2.4092616371837808E-2</v>
      </c>
      <c r="G3405" s="9">
        <f t="shared" si="158"/>
        <v>2.3394024193711897E-2</v>
      </c>
    </row>
    <row r="3406" spans="1:7" x14ac:dyDescent="0.2">
      <c r="A3406" s="11">
        <v>40023</v>
      </c>
      <c r="B3406" s="10">
        <v>260.55869999999999</v>
      </c>
      <c r="C3406" s="10">
        <v>264.65550000000002</v>
      </c>
      <c r="D3406" s="10">
        <v>260.11509999999998</v>
      </c>
      <c r="E3406" s="13">
        <f t="shared" si="159"/>
        <v>-9.0163068659501761E-3</v>
      </c>
      <c r="F3406" s="9">
        <f t="shared" si="157"/>
        <v>5.6049143512365313E-4</v>
      </c>
      <c r="G3406" s="9">
        <f t="shared" si="158"/>
        <v>2.3310359397394106E-2</v>
      </c>
    </row>
    <row r="3407" spans="1:7" x14ac:dyDescent="0.2">
      <c r="A3407" s="11">
        <v>40024</v>
      </c>
      <c r="B3407" s="10">
        <v>267.6782</v>
      </c>
      <c r="C3407" s="10">
        <v>267.87310000000002</v>
      </c>
      <c r="D3407" s="10">
        <v>260.55869999999999</v>
      </c>
      <c r="E3407" s="13">
        <f t="shared" si="159"/>
        <v>2.6957341067186762E-2</v>
      </c>
      <c r="F3407" s="9">
        <f t="shared" si="157"/>
        <v>2.3650317963447683E-2</v>
      </c>
      <c r="G3407" s="9">
        <f t="shared" si="158"/>
        <v>2.3834926238844849E-2</v>
      </c>
    </row>
    <row r="3408" spans="1:7" x14ac:dyDescent="0.2">
      <c r="A3408" s="11">
        <v>40025</v>
      </c>
      <c r="B3408" s="10">
        <v>269.387</v>
      </c>
      <c r="C3408" s="10">
        <v>269.387</v>
      </c>
      <c r="D3408" s="10">
        <v>265.0283</v>
      </c>
      <c r="E3408" s="13">
        <f t="shared" si="159"/>
        <v>6.3634946608004178E-3</v>
      </c>
      <c r="F3408" s="9">
        <f t="shared" si="157"/>
        <v>9.9516581388893646E-2</v>
      </c>
      <c r="G3408" s="9">
        <f t="shared" si="158"/>
        <v>1.9634653061143502E-2</v>
      </c>
    </row>
    <row r="3409" spans="1:7" x14ac:dyDescent="0.2">
      <c r="A3409" s="11">
        <v>40028</v>
      </c>
      <c r="B3409" s="10">
        <v>277.07569999999998</v>
      </c>
      <c r="C3409" s="10">
        <v>278.21409999999997</v>
      </c>
      <c r="D3409" s="10">
        <v>269.387</v>
      </c>
      <c r="E3409" s="13">
        <f t="shared" si="159"/>
        <v>2.8141746620692382E-2</v>
      </c>
      <c r="F3409" s="9">
        <f t="shared" si="157"/>
        <v>0.12756852984013745</v>
      </c>
      <c r="G3409" s="9">
        <f t="shared" si="158"/>
        <v>2.0148411217795356E-2</v>
      </c>
    </row>
    <row r="3410" spans="1:7" x14ac:dyDescent="0.2">
      <c r="A3410" s="11">
        <v>40029</v>
      </c>
      <c r="B3410" s="10">
        <v>273.9819</v>
      </c>
      <c r="C3410" s="10">
        <v>279.03199999999998</v>
      </c>
      <c r="D3410" s="10">
        <v>271.65839999999997</v>
      </c>
      <c r="E3410" s="13">
        <f t="shared" si="159"/>
        <v>-1.1228708238338766E-2</v>
      </c>
      <c r="F3410" s="9">
        <f t="shared" si="157"/>
        <v>8.0031910181577723E-2</v>
      </c>
      <c r="G3410" s="9">
        <f t="shared" si="158"/>
        <v>1.9378701578322222E-2</v>
      </c>
    </row>
    <row r="3411" spans="1:7" x14ac:dyDescent="0.2">
      <c r="A3411" s="11">
        <v>40030</v>
      </c>
      <c r="B3411" s="10">
        <v>273.2099</v>
      </c>
      <c r="C3411" s="10">
        <v>277.3</v>
      </c>
      <c r="D3411" s="10">
        <v>271.56049999999999</v>
      </c>
      <c r="E3411" s="13">
        <f t="shared" si="159"/>
        <v>-2.8216815830012232E-3</v>
      </c>
      <c r="F3411" s="9">
        <f t="shared" si="157"/>
        <v>8.9371621667899082E-2</v>
      </c>
      <c r="G3411" s="9">
        <f t="shared" si="158"/>
        <v>1.9198640732010944E-2</v>
      </c>
    </row>
    <row r="3412" spans="1:7" x14ac:dyDescent="0.2">
      <c r="A3412" s="11">
        <v>40031</v>
      </c>
      <c r="B3412" s="10">
        <v>272.50040000000001</v>
      </c>
      <c r="C3412" s="10">
        <v>277.31299999999999</v>
      </c>
      <c r="D3412" s="10">
        <v>270.97309999999999</v>
      </c>
      <c r="E3412" s="13">
        <f t="shared" si="159"/>
        <v>-2.6002822368268253E-3</v>
      </c>
      <c r="F3412" s="9">
        <f t="shared" si="157"/>
        <v>7.598529857726187E-2</v>
      </c>
      <c r="G3412" s="9">
        <f t="shared" si="158"/>
        <v>1.9167690144255376E-2</v>
      </c>
    </row>
    <row r="3413" spans="1:7" x14ac:dyDescent="0.2">
      <c r="A3413" s="11">
        <v>40032</v>
      </c>
      <c r="B3413" s="10">
        <v>274.20760000000001</v>
      </c>
      <c r="C3413" s="10">
        <v>274.40969999999999</v>
      </c>
      <c r="D3413" s="10">
        <v>266.10649999999998</v>
      </c>
      <c r="E3413" s="13">
        <f t="shared" si="159"/>
        <v>6.2454017468698353E-3</v>
      </c>
      <c r="F3413" s="9">
        <f t="shared" si="157"/>
        <v>6.9312127934264986E-2</v>
      </c>
      <c r="G3413" s="9">
        <f t="shared" si="158"/>
        <v>1.9079494880697535E-2</v>
      </c>
    </row>
    <row r="3414" spans="1:7" x14ac:dyDescent="0.2">
      <c r="A3414" s="11">
        <v>40035</v>
      </c>
      <c r="B3414" s="10">
        <v>271.4948</v>
      </c>
      <c r="C3414" s="10">
        <v>274.20760000000001</v>
      </c>
      <c r="D3414" s="10">
        <v>269.0299</v>
      </c>
      <c r="E3414" s="13">
        <f t="shared" si="159"/>
        <v>-9.9424974029396034E-3</v>
      </c>
      <c r="F3414" s="9">
        <f t="shared" si="157"/>
        <v>6.4815839298869457E-2</v>
      </c>
      <c r="G3414" s="9">
        <f t="shared" si="158"/>
        <v>1.9163532477945163E-2</v>
      </c>
    </row>
    <row r="3415" spans="1:7" x14ac:dyDescent="0.2">
      <c r="A3415" s="11">
        <v>40036</v>
      </c>
      <c r="B3415" s="10">
        <v>266.60300000000001</v>
      </c>
      <c r="C3415" s="10">
        <v>274.19459999999998</v>
      </c>
      <c r="D3415" s="10">
        <v>266.22320000000002</v>
      </c>
      <c r="E3415" s="13">
        <f t="shared" si="159"/>
        <v>-1.8182325841560647E-2</v>
      </c>
      <c r="F3415" s="9">
        <f t="shared" si="157"/>
        <v>2.4709097912091867E-2</v>
      </c>
      <c r="G3415" s="9">
        <f t="shared" si="158"/>
        <v>1.9139036886825105E-2</v>
      </c>
    </row>
    <row r="3416" spans="1:7" x14ac:dyDescent="0.2">
      <c r="A3416" s="11">
        <v>40037</v>
      </c>
      <c r="B3416" s="10">
        <v>271.27289999999999</v>
      </c>
      <c r="C3416" s="10">
        <v>271.27289999999999</v>
      </c>
      <c r="D3416" s="10">
        <v>263.79329999999999</v>
      </c>
      <c r="E3416" s="13">
        <f t="shared" si="159"/>
        <v>1.7364664759801595E-2</v>
      </c>
      <c r="F3416" s="9">
        <f t="shared" si="157"/>
        <v>6.59406757271154E-2</v>
      </c>
      <c r="G3416" s="9">
        <f t="shared" si="158"/>
        <v>1.8764988925885687E-2</v>
      </c>
    </row>
    <row r="3417" spans="1:7" x14ac:dyDescent="0.2">
      <c r="A3417" s="11">
        <v>40038</v>
      </c>
      <c r="B3417" s="10">
        <v>272.10680000000002</v>
      </c>
      <c r="C3417" s="10">
        <v>274.57170000000002</v>
      </c>
      <c r="D3417" s="10">
        <v>269.88170000000002</v>
      </c>
      <c r="E3417" s="13">
        <f t="shared" si="159"/>
        <v>3.0693110348363277E-3</v>
      </c>
      <c r="F3417" s="9">
        <f t="shared" si="157"/>
        <v>7.4802397655403016E-2</v>
      </c>
      <c r="G3417" s="9">
        <f t="shared" si="158"/>
        <v>1.8700988817200354E-2</v>
      </c>
    </row>
    <row r="3418" spans="1:7" x14ac:dyDescent="0.2">
      <c r="A3418" s="11">
        <v>40039</v>
      </c>
      <c r="B3418" s="10">
        <v>270.67259999999999</v>
      </c>
      <c r="C3418" s="10">
        <v>275.1968</v>
      </c>
      <c r="D3418" s="10">
        <v>269.05119999999999</v>
      </c>
      <c r="E3418" s="13">
        <f t="shared" si="159"/>
        <v>-5.284663853568284E-3</v>
      </c>
      <c r="F3418" s="9">
        <f t="shared" si="157"/>
        <v>0.11113623219969361</v>
      </c>
      <c r="G3418" s="9">
        <f t="shared" si="158"/>
        <v>1.6749438127647398E-2</v>
      </c>
    </row>
    <row r="3419" spans="1:7" x14ac:dyDescent="0.2">
      <c r="A3419" s="11">
        <v>40042</v>
      </c>
      <c r="B3419" s="10">
        <v>263.28390000000002</v>
      </c>
      <c r="C3419" s="10">
        <v>270.67259999999999</v>
      </c>
      <c r="D3419" s="10">
        <v>262.66559999999998</v>
      </c>
      <c r="E3419" s="13">
        <f t="shared" si="159"/>
        <v>-2.7677054783488114E-2</v>
      </c>
      <c r="F3419" s="9">
        <f t="shared" si="157"/>
        <v>8.3270097249367181E-2</v>
      </c>
      <c r="G3419" s="9">
        <f t="shared" si="158"/>
        <v>1.7736173547517557E-2</v>
      </c>
    </row>
    <row r="3420" spans="1:7" x14ac:dyDescent="0.2">
      <c r="A3420" s="11">
        <v>40043</v>
      </c>
      <c r="B3420" s="10">
        <v>266.91930000000002</v>
      </c>
      <c r="C3420" s="10">
        <v>267.56689999999998</v>
      </c>
      <c r="D3420" s="10">
        <v>263.28390000000002</v>
      </c>
      <c r="E3420" s="13">
        <f t="shared" si="159"/>
        <v>1.3713447871269761E-2</v>
      </c>
      <c r="F3420" s="9">
        <f t="shared" si="157"/>
        <v>0.1156454896849063</v>
      </c>
      <c r="G3420" s="9">
        <f t="shared" si="158"/>
        <v>1.73470195042639E-2</v>
      </c>
    </row>
    <row r="3421" spans="1:7" x14ac:dyDescent="0.2">
      <c r="A3421" s="11">
        <v>40044</v>
      </c>
      <c r="B3421" s="10">
        <v>266.97820000000002</v>
      </c>
      <c r="C3421" s="10">
        <v>267.94850000000002</v>
      </c>
      <c r="D3421" s="10">
        <v>263.18060000000003</v>
      </c>
      <c r="E3421" s="13">
        <f t="shared" si="159"/>
        <v>2.2064160344993959E-4</v>
      </c>
      <c r="F3421" s="9">
        <f t="shared" si="157"/>
        <v>0.10464444228520953</v>
      </c>
      <c r="G3421" s="9">
        <f t="shared" si="158"/>
        <v>1.7303409020056611E-2</v>
      </c>
    </row>
    <row r="3422" spans="1:7" x14ac:dyDescent="0.2">
      <c r="A3422" s="11">
        <v>40045</v>
      </c>
      <c r="B3422" s="10">
        <v>271.2432</v>
      </c>
      <c r="C3422" s="10">
        <v>272.76229999999998</v>
      </c>
      <c r="D3422" s="10">
        <v>266.97820000000002</v>
      </c>
      <c r="E3422" s="13">
        <f t="shared" si="159"/>
        <v>1.584882828920943E-2</v>
      </c>
      <c r="F3422" s="9">
        <f t="shared" si="157"/>
        <v>0.14431411595866514</v>
      </c>
      <c r="G3422" s="9">
        <f t="shared" si="158"/>
        <v>1.6611764689381008E-2</v>
      </c>
    </row>
    <row r="3423" spans="1:7" x14ac:dyDescent="0.2">
      <c r="A3423" s="11">
        <v>40046</v>
      </c>
      <c r="B3423" s="10">
        <v>278.28930000000003</v>
      </c>
      <c r="C3423" s="10">
        <v>278.28930000000003</v>
      </c>
      <c r="D3423" s="10">
        <v>269.87950000000001</v>
      </c>
      <c r="E3423" s="13">
        <f t="shared" si="159"/>
        <v>2.5645384658413505E-2</v>
      </c>
      <c r="F3423" s="9">
        <f t="shared" si="157"/>
        <v>0.15212152041460927</v>
      </c>
      <c r="G3423" s="9">
        <f t="shared" si="158"/>
        <v>1.6888611859594973E-2</v>
      </c>
    </row>
    <row r="3424" spans="1:7" x14ac:dyDescent="0.2">
      <c r="A3424" s="11">
        <v>40049</v>
      </c>
      <c r="B3424" s="10">
        <v>283.52999999999997</v>
      </c>
      <c r="C3424" s="10">
        <v>284.21960000000001</v>
      </c>
      <c r="D3424" s="10">
        <v>278.28930000000003</v>
      </c>
      <c r="E3424" s="13">
        <f t="shared" si="159"/>
        <v>1.8656717600651126E-2</v>
      </c>
      <c r="F3424" s="9">
        <f t="shared" ref="F3424:F3487" si="160">LN(B3424/B3395)</f>
        <v>0.14579853675372778</v>
      </c>
      <c r="G3424" s="9">
        <f t="shared" si="158"/>
        <v>1.666406549763284E-2</v>
      </c>
    </row>
    <row r="3425" spans="1:7" x14ac:dyDescent="0.2">
      <c r="A3425" s="11">
        <v>40050</v>
      </c>
      <c r="B3425" s="10">
        <v>284.23419999999999</v>
      </c>
      <c r="C3425" s="10">
        <v>285.89359999999999</v>
      </c>
      <c r="D3425" s="10">
        <v>279.41019999999997</v>
      </c>
      <c r="E3425" s="13">
        <f t="shared" si="159"/>
        <v>2.4806085382033222E-3</v>
      </c>
      <c r="F3425" s="9">
        <f t="shared" si="160"/>
        <v>0.11423001040931875</v>
      </c>
      <c r="G3425" s="9">
        <f t="shared" ref="G3425:G3488" si="161">STDEV(E3397:E3425)</f>
        <v>1.5703979573816869E-2</v>
      </c>
    </row>
    <row r="3426" spans="1:7" x14ac:dyDescent="0.2">
      <c r="A3426" s="11">
        <v>40051</v>
      </c>
      <c r="B3426" s="10">
        <v>277.70510000000002</v>
      </c>
      <c r="C3426" s="10">
        <v>285.6968</v>
      </c>
      <c r="D3426" s="10">
        <v>277.70510000000002</v>
      </c>
      <c r="E3426" s="13">
        <f t="shared" si="159"/>
        <v>-2.3238786926921065E-2</v>
      </c>
      <c r="F3426" s="9">
        <f t="shared" si="160"/>
        <v>9.6469779101503686E-2</v>
      </c>
      <c r="G3426" s="9">
        <f t="shared" si="161"/>
        <v>1.6414587446154701E-2</v>
      </c>
    </row>
    <row r="3427" spans="1:7" x14ac:dyDescent="0.2">
      <c r="A3427" s="11">
        <v>40052</v>
      </c>
      <c r="B3427" s="10">
        <v>273.47340000000003</v>
      </c>
      <c r="C3427" s="10">
        <v>280.33499999999998</v>
      </c>
      <c r="D3427" s="10">
        <v>272.90120000000002</v>
      </c>
      <c r="E3427" s="13">
        <f t="shared" si="159"/>
        <v>-1.5355399923816836E-2</v>
      </c>
      <c r="F3427" s="9">
        <f t="shared" si="160"/>
        <v>7.3296241279993429E-2</v>
      </c>
      <c r="G3427" s="9">
        <f t="shared" si="161"/>
        <v>1.6748780341624445E-2</v>
      </c>
    </row>
    <row r="3428" spans="1:7" x14ac:dyDescent="0.2">
      <c r="A3428" s="11">
        <v>40053</v>
      </c>
      <c r="B3428" s="10">
        <v>278.435</v>
      </c>
      <c r="C3428" s="10">
        <v>280.35989999999998</v>
      </c>
      <c r="D3428" s="10">
        <v>273.47340000000003</v>
      </c>
      <c r="E3428" s="13">
        <f t="shared" si="159"/>
        <v>1.7980279586634854E-2</v>
      </c>
      <c r="F3428" s="9">
        <f t="shared" si="160"/>
        <v>7.3178150169498107E-2</v>
      </c>
      <c r="G3428" s="9">
        <f t="shared" si="161"/>
        <v>1.6744873302480007E-2</v>
      </c>
    </row>
    <row r="3429" spans="1:7" x14ac:dyDescent="0.2">
      <c r="A3429" s="11">
        <v>40056</v>
      </c>
      <c r="B3429" s="10">
        <v>271.57639999999998</v>
      </c>
      <c r="C3429" s="10">
        <v>278.435</v>
      </c>
      <c r="D3429" s="10">
        <v>271.3433</v>
      </c>
      <c r="E3429" s="13">
        <f t="shared" si="159"/>
        <v>-2.494113952895894E-2</v>
      </c>
      <c r="F3429" s="9">
        <f t="shared" si="160"/>
        <v>2.3332107606963196E-2</v>
      </c>
      <c r="G3429" s="9">
        <f t="shared" si="161"/>
        <v>1.6922758107064281E-2</v>
      </c>
    </row>
    <row r="3430" spans="1:7" x14ac:dyDescent="0.2">
      <c r="A3430" s="11">
        <v>40057</v>
      </c>
      <c r="B3430" s="10">
        <v>269.6429</v>
      </c>
      <c r="C3430" s="10">
        <v>274.72430000000003</v>
      </c>
      <c r="D3430" s="10">
        <v>266.45740000000001</v>
      </c>
      <c r="E3430" s="13">
        <f t="shared" si="159"/>
        <v>-7.1450084119644864E-3</v>
      </c>
      <c r="F3430" s="9">
        <f t="shared" si="160"/>
        <v>1.8536138707129123E-2</v>
      </c>
      <c r="G3430" s="9">
        <f t="shared" si="161"/>
        <v>1.697802153834671E-2</v>
      </c>
    </row>
    <row r="3431" spans="1:7" x14ac:dyDescent="0.2">
      <c r="A3431" s="11">
        <v>40058</v>
      </c>
      <c r="B3431" s="10">
        <v>265.37029999999999</v>
      </c>
      <c r="C3431" s="10">
        <v>269.85680000000002</v>
      </c>
      <c r="D3431" s="10">
        <v>264.5575</v>
      </c>
      <c r="E3431" s="13">
        <f t="shared" si="159"/>
        <v>-1.597228192829157E-2</v>
      </c>
      <c r="F3431" s="9">
        <f t="shared" si="160"/>
        <v>-1.4546418412233402E-2</v>
      </c>
      <c r="G3431" s="9">
        <f t="shared" si="161"/>
        <v>1.6943175709383893E-2</v>
      </c>
    </row>
    <row r="3432" spans="1:7" x14ac:dyDescent="0.2">
      <c r="A3432" s="11">
        <v>40059</v>
      </c>
      <c r="B3432" s="10">
        <v>268.06970000000001</v>
      </c>
      <c r="C3432" s="10">
        <v>270.84829999999999</v>
      </c>
      <c r="D3432" s="10">
        <v>265.37029999999999</v>
      </c>
      <c r="E3432" s="13">
        <f t="shared" si="159"/>
        <v>1.0120812244219622E-2</v>
      </c>
      <c r="F3432" s="9">
        <f t="shared" si="160"/>
        <v>2.3429487609546724E-4</v>
      </c>
      <c r="G3432" s="9">
        <f t="shared" si="161"/>
        <v>1.7035681513776334E-2</v>
      </c>
    </row>
    <row r="3433" spans="1:7" x14ac:dyDescent="0.2">
      <c r="A3433" s="11">
        <v>40060</v>
      </c>
      <c r="B3433" s="10">
        <v>271.4871</v>
      </c>
      <c r="C3433" s="10">
        <v>272.51960000000003</v>
      </c>
      <c r="D3433" s="10">
        <v>268.06970000000001</v>
      </c>
      <c r="E3433" s="13">
        <f t="shared" si="159"/>
        <v>1.2667603108839369E-2</v>
      </c>
      <c r="F3433" s="9">
        <f t="shared" si="160"/>
        <v>5.0464076126607659E-5</v>
      </c>
      <c r="G3433" s="9">
        <f t="shared" si="161"/>
        <v>1.7030765302390082E-2</v>
      </c>
    </row>
    <row r="3434" spans="1:7" x14ac:dyDescent="0.2">
      <c r="A3434" s="11">
        <v>40063</v>
      </c>
      <c r="B3434" s="10">
        <v>276.8057</v>
      </c>
      <c r="C3434" s="10">
        <v>276.8057</v>
      </c>
      <c r="D3434" s="10">
        <v>271.4871</v>
      </c>
      <c r="E3434" s="13">
        <f t="shared" si="159"/>
        <v>1.9401191584022901E-2</v>
      </c>
      <c r="F3434" s="9">
        <f t="shared" si="160"/>
        <v>5.147133744947413E-2</v>
      </c>
      <c r="G3434" s="9">
        <f t="shared" si="161"/>
        <v>1.6236099821275003E-2</v>
      </c>
    </row>
    <row r="3435" spans="1:7" x14ac:dyDescent="0.2">
      <c r="A3435" s="11">
        <v>40064</v>
      </c>
      <c r="B3435" s="10">
        <v>278.36399999999998</v>
      </c>
      <c r="C3435" s="10">
        <v>279.54129999999998</v>
      </c>
      <c r="D3435" s="10">
        <v>276.80450000000002</v>
      </c>
      <c r="E3435" s="13">
        <f t="shared" si="159"/>
        <v>5.6137937370921943E-3</v>
      </c>
      <c r="F3435" s="9">
        <f t="shared" si="160"/>
        <v>6.6101438052516517E-2</v>
      </c>
      <c r="G3435" s="9">
        <f t="shared" si="161"/>
        <v>1.6115668165759895E-2</v>
      </c>
    </row>
    <row r="3436" spans="1:7" x14ac:dyDescent="0.2">
      <c r="A3436" s="11">
        <v>40065</v>
      </c>
      <c r="B3436" s="10">
        <v>282.7362</v>
      </c>
      <c r="C3436" s="10">
        <v>282.94650000000001</v>
      </c>
      <c r="D3436" s="10">
        <v>275.94279999999998</v>
      </c>
      <c r="E3436" s="13">
        <f t="shared" si="159"/>
        <v>1.5584697684979132E-2</v>
      </c>
      <c r="F3436" s="9">
        <f t="shared" si="160"/>
        <v>5.4728794670309056E-2</v>
      </c>
      <c r="G3436" s="9">
        <f t="shared" si="161"/>
        <v>1.5624594457234433E-2</v>
      </c>
    </row>
    <row r="3437" spans="1:7" x14ac:dyDescent="0.2">
      <c r="A3437" s="11">
        <v>40066</v>
      </c>
      <c r="B3437" s="10">
        <v>282.04379999999998</v>
      </c>
      <c r="C3437" s="10">
        <v>285.78550000000001</v>
      </c>
      <c r="D3437" s="10">
        <v>278.69400000000002</v>
      </c>
      <c r="E3437" s="13">
        <f t="shared" si="159"/>
        <v>-2.4519294128331473E-3</v>
      </c>
      <c r="F3437" s="9">
        <f t="shared" si="160"/>
        <v>4.5913370596675329E-2</v>
      </c>
      <c r="G3437" s="9">
        <f t="shared" si="161"/>
        <v>1.5620149267358519E-2</v>
      </c>
    </row>
    <row r="3438" spans="1:7" x14ac:dyDescent="0.2">
      <c r="A3438" s="11">
        <v>40067</v>
      </c>
      <c r="B3438" s="10">
        <v>283.10109999999997</v>
      </c>
      <c r="C3438" s="10">
        <v>284.64190000000002</v>
      </c>
      <c r="D3438" s="10">
        <v>282.04379999999998</v>
      </c>
      <c r="E3438" s="13">
        <f t="shared" si="159"/>
        <v>3.7416996368337804E-3</v>
      </c>
      <c r="F3438" s="9">
        <f t="shared" si="160"/>
        <v>2.1513323612816732E-2</v>
      </c>
      <c r="G3438" s="9">
        <f t="shared" si="161"/>
        <v>1.4772643292574099E-2</v>
      </c>
    </row>
    <row r="3439" spans="1:7" x14ac:dyDescent="0.2">
      <c r="A3439" s="11">
        <v>40070</v>
      </c>
      <c r="B3439" s="10">
        <v>280.6925</v>
      </c>
      <c r="C3439" s="10">
        <v>283.10109999999997</v>
      </c>
      <c r="D3439" s="10">
        <v>277.07319999999999</v>
      </c>
      <c r="E3439" s="13">
        <f t="shared" si="159"/>
        <v>-8.5443135692263809E-3</v>
      </c>
      <c r="F3439" s="9">
        <f t="shared" si="160"/>
        <v>2.4197718281929115E-2</v>
      </c>
      <c r="G3439" s="9">
        <f t="shared" si="161"/>
        <v>1.4703204052692828E-2</v>
      </c>
    </row>
    <row r="3440" spans="1:7" x14ac:dyDescent="0.2">
      <c r="A3440" s="11">
        <v>40071</v>
      </c>
      <c r="B3440" s="10">
        <v>288.32190000000003</v>
      </c>
      <c r="C3440" s="10">
        <v>288.32190000000003</v>
      </c>
      <c r="D3440" s="10">
        <v>280.6925</v>
      </c>
      <c r="E3440" s="13">
        <f t="shared" si="159"/>
        <v>2.6817800204484016E-2</v>
      </c>
      <c r="F3440" s="9">
        <f t="shared" si="160"/>
        <v>5.3837200069414247E-2</v>
      </c>
      <c r="G3440" s="9">
        <f t="shared" si="161"/>
        <v>1.5451114974375719E-2</v>
      </c>
    </row>
    <row r="3441" spans="1:7" x14ac:dyDescent="0.2">
      <c r="A3441" s="11">
        <v>40072</v>
      </c>
      <c r="B3441" s="10">
        <v>293.9538</v>
      </c>
      <c r="C3441" s="10">
        <v>294.69990000000001</v>
      </c>
      <c r="D3441" s="10">
        <v>288.32190000000003</v>
      </c>
      <c r="E3441" s="13">
        <f t="shared" si="159"/>
        <v>1.934504783493551E-2</v>
      </c>
      <c r="F3441" s="9">
        <f t="shared" si="160"/>
        <v>7.578253014117671E-2</v>
      </c>
      <c r="G3441" s="9">
        <f t="shared" si="161"/>
        <v>1.5759369395420671E-2</v>
      </c>
    </row>
    <row r="3442" spans="1:7" x14ac:dyDescent="0.2">
      <c r="A3442" s="11">
        <v>40073</v>
      </c>
      <c r="B3442" s="10">
        <v>295.30029999999999</v>
      </c>
      <c r="C3442" s="10">
        <v>298.7088</v>
      </c>
      <c r="D3442" s="10">
        <v>292.80489999999998</v>
      </c>
      <c r="E3442" s="13">
        <f t="shared" si="159"/>
        <v>4.5701925320721674E-3</v>
      </c>
      <c r="F3442" s="9">
        <f t="shared" si="160"/>
        <v>7.4107320926378936E-2</v>
      </c>
      <c r="G3442" s="9">
        <f t="shared" si="161"/>
        <v>1.5748646647026653E-2</v>
      </c>
    </row>
    <row r="3443" spans="1:7" x14ac:dyDescent="0.2">
      <c r="A3443" s="11">
        <v>40074</v>
      </c>
      <c r="B3443" s="10">
        <v>295.63130000000001</v>
      </c>
      <c r="C3443" s="10">
        <v>297.17680000000001</v>
      </c>
      <c r="D3443" s="10">
        <v>292.3184</v>
      </c>
      <c r="E3443" s="13">
        <f t="shared" si="159"/>
        <v>1.1202651359884046E-3</v>
      </c>
      <c r="F3443" s="9">
        <f t="shared" si="160"/>
        <v>8.5170083465306981E-2</v>
      </c>
      <c r="G3443" s="9">
        <f t="shared" si="161"/>
        <v>1.5568050907833059E-2</v>
      </c>
    </row>
    <row r="3444" spans="1:7" x14ac:dyDescent="0.2">
      <c r="A3444" s="11">
        <v>40077</v>
      </c>
      <c r="B3444" s="10">
        <v>291.75279999999998</v>
      </c>
      <c r="C3444" s="10">
        <v>295.68880000000001</v>
      </c>
      <c r="D3444" s="10">
        <v>290.53399999999999</v>
      </c>
      <c r="E3444" s="13">
        <f t="shared" si="159"/>
        <v>-1.3206201422828729E-2</v>
      </c>
      <c r="F3444" s="9">
        <f t="shared" si="160"/>
        <v>9.0146207884039056E-2</v>
      </c>
      <c r="G3444" s="9">
        <f t="shared" si="161"/>
        <v>1.5352898780896679E-2</v>
      </c>
    </row>
    <row r="3445" spans="1:7" x14ac:dyDescent="0.2">
      <c r="A3445" s="11">
        <v>40078</v>
      </c>
      <c r="B3445" s="10">
        <v>297.03919999999999</v>
      </c>
      <c r="C3445" s="10">
        <v>297.45949999999999</v>
      </c>
      <c r="D3445" s="10">
        <v>291.75279999999998</v>
      </c>
      <c r="E3445" s="13">
        <f t="shared" si="159"/>
        <v>1.795724824669203E-2</v>
      </c>
      <c r="F3445" s="9">
        <f t="shared" si="160"/>
        <v>9.0738791370929384E-2</v>
      </c>
      <c r="G3445" s="9">
        <f t="shared" si="161"/>
        <v>1.5372931941419449E-2</v>
      </c>
    </row>
    <row r="3446" spans="1:7" x14ac:dyDescent="0.2">
      <c r="A3446" s="11">
        <v>40079</v>
      </c>
      <c r="B3446" s="10">
        <v>293.39139999999998</v>
      </c>
      <c r="C3446" s="10">
        <v>299.44369999999998</v>
      </c>
      <c r="D3446" s="10">
        <v>292.5489</v>
      </c>
      <c r="E3446" s="13">
        <f t="shared" si="159"/>
        <v>-1.2356562866048965E-2</v>
      </c>
      <c r="F3446" s="9">
        <f t="shared" si="160"/>
        <v>7.5312917470044316E-2</v>
      </c>
      <c r="G3446" s="9">
        <f t="shared" si="161"/>
        <v>1.5639634098040207E-2</v>
      </c>
    </row>
    <row r="3447" spans="1:7" x14ac:dyDescent="0.2">
      <c r="A3447" s="11">
        <v>40080</v>
      </c>
      <c r="B3447" s="10">
        <v>286.8931</v>
      </c>
      <c r="C3447" s="10">
        <v>294.70260000000002</v>
      </c>
      <c r="D3447" s="10">
        <v>286.7996</v>
      </c>
      <c r="E3447" s="13">
        <f t="shared" si="159"/>
        <v>-2.2397881252776999E-2</v>
      </c>
      <c r="F3447" s="9">
        <f t="shared" si="160"/>
        <v>5.8199700070835483E-2</v>
      </c>
      <c r="G3447" s="9">
        <f t="shared" si="161"/>
        <v>1.6258264932933114E-2</v>
      </c>
    </row>
    <row r="3448" spans="1:7" x14ac:dyDescent="0.2">
      <c r="A3448" s="11">
        <v>40081</v>
      </c>
      <c r="B3448" s="10">
        <v>289.02690000000001</v>
      </c>
      <c r="C3448" s="10">
        <v>291.70479999999998</v>
      </c>
      <c r="D3448" s="10">
        <v>286.8931</v>
      </c>
      <c r="E3448" s="13">
        <f t="shared" si="159"/>
        <v>7.4100908591674397E-3</v>
      </c>
      <c r="F3448" s="9">
        <f t="shared" si="160"/>
        <v>9.328684571349101E-2</v>
      </c>
      <c r="G3448" s="9">
        <f t="shared" si="161"/>
        <v>1.5244295509785311E-2</v>
      </c>
    </row>
    <row r="3449" spans="1:7" x14ac:dyDescent="0.2">
      <c r="A3449" s="11">
        <v>40084</v>
      </c>
      <c r="B3449" s="10">
        <v>292.29109999999997</v>
      </c>
      <c r="C3449" s="10">
        <v>292.29109999999997</v>
      </c>
      <c r="D3449" s="10">
        <v>284.05759999999998</v>
      </c>
      <c r="E3449" s="13">
        <f t="shared" si="159"/>
        <v>1.1230460118384985E-2</v>
      </c>
      <c r="F3449" s="9">
        <f t="shared" si="160"/>
        <v>9.0803857960606263E-2</v>
      </c>
      <c r="G3449" s="9">
        <f t="shared" si="161"/>
        <v>1.519011162580851E-2</v>
      </c>
    </row>
    <row r="3450" spans="1:7" x14ac:dyDescent="0.2">
      <c r="A3450" s="11">
        <v>40085</v>
      </c>
      <c r="B3450" s="10">
        <v>292.12509999999997</v>
      </c>
      <c r="C3450" s="10">
        <v>294.51679999999999</v>
      </c>
      <c r="D3450" s="10">
        <v>290.42180000000002</v>
      </c>
      <c r="E3450" s="13">
        <f t="shared" si="159"/>
        <v>-5.6808830578056516E-4</v>
      </c>
      <c r="F3450" s="9">
        <f t="shared" si="160"/>
        <v>9.001512805137582E-2</v>
      </c>
      <c r="G3450" s="9">
        <f t="shared" si="161"/>
        <v>1.5196213854968915E-2</v>
      </c>
    </row>
    <row r="3451" spans="1:7" x14ac:dyDescent="0.2">
      <c r="A3451" s="11">
        <v>40086</v>
      </c>
      <c r="B3451" s="10">
        <v>293.03370000000001</v>
      </c>
      <c r="C3451" s="10">
        <v>297.17380000000003</v>
      </c>
      <c r="D3451" s="10">
        <v>290.33980000000003</v>
      </c>
      <c r="E3451" s="13">
        <f t="shared" si="159"/>
        <v>3.1054842897823894E-3</v>
      </c>
      <c r="F3451" s="9">
        <f t="shared" si="160"/>
        <v>7.7271784051948775E-2</v>
      </c>
      <c r="G3451" s="9">
        <f t="shared" si="161"/>
        <v>1.4997459868506884E-2</v>
      </c>
    </row>
    <row r="3452" spans="1:7" x14ac:dyDescent="0.2">
      <c r="A3452" s="11">
        <v>40087</v>
      </c>
      <c r="B3452" s="10">
        <v>288.62740000000002</v>
      </c>
      <c r="C3452" s="10">
        <v>296.20729999999998</v>
      </c>
      <c r="D3452" s="10">
        <v>287.98930000000001</v>
      </c>
      <c r="E3452" s="13">
        <f t="shared" si="159"/>
        <v>-1.5151036539867154E-2</v>
      </c>
      <c r="F3452" s="9">
        <f t="shared" si="160"/>
        <v>3.6475362853668085E-2</v>
      </c>
      <c r="G3452" s="9">
        <f t="shared" si="161"/>
        <v>1.4674748787974583E-2</v>
      </c>
    </row>
    <row r="3453" spans="1:7" x14ac:dyDescent="0.2">
      <c r="A3453" s="11">
        <v>40088</v>
      </c>
      <c r="B3453" s="10">
        <v>281.6755</v>
      </c>
      <c r="C3453" s="10">
        <v>288.62740000000002</v>
      </c>
      <c r="D3453" s="10">
        <v>279.82659999999998</v>
      </c>
      <c r="E3453" s="13">
        <f t="shared" si="159"/>
        <v>-2.4380883784025701E-2</v>
      </c>
      <c r="F3453" s="9">
        <f t="shared" si="160"/>
        <v>-6.5622385310087853E-3</v>
      </c>
      <c r="G3453" s="9">
        <f t="shared" si="161"/>
        <v>1.5024382761848226E-2</v>
      </c>
    </row>
    <row r="3454" spans="1:7" x14ac:dyDescent="0.2">
      <c r="A3454" s="11">
        <v>40091</v>
      </c>
      <c r="B3454" s="10">
        <v>290.34199999999998</v>
      </c>
      <c r="C3454" s="10">
        <v>290.34199999999998</v>
      </c>
      <c r="D3454" s="10">
        <v>281.6755</v>
      </c>
      <c r="E3454" s="13">
        <f t="shared" si="159"/>
        <v>3.0303839341071576E-2</v>
      </c>
      <c r="F3454" s="9">
        <f t="shared" si="160"/>
        <v>2.1260992271859295E-2</v>
      </c>
      <c r="G3454" s="9">
        <f t="shared" si="161"/>
        <v>1.6056335112116769E-2</v>
      </c>
    </row>
    <row r="3455" spans="1:7" x14ac:dyDescent="0.2">
      <c r="A3455" s="11">
        <v>40092</v>
      </c>
      <c r="B3455" s="10">
        <v>299.32760000000002</v>
      </c>
      <c r="C3455" s="10">
        <v>299.32760000000002</v>
      </c>
      <c r="D3455" s="10">
        <v>290.34199999999998</v>
      </c>
      <c r="E3455" s="13">
        <f t="shared" si="159"/>
        <v>3.0479087290686036E-2</v>
      </c>
      <c r="F3455" s="9">
        <f t="shared" si="160"/>
        <v>7.4978866489466542E-2</v>
      </c>
      <c r="G3455" s="9">
        <f t="shared" si="161"/>
        <v>1.6288941997991763E-2</v>
      </c>
    </row>
    <row r="3456" spans="1:7" x14ac:dyDescent="0.2">
      <c r="A3456" s="11">
        <v>40093</v>
      </c>
      <c r="B3456" s="10">
        <v>296.96230000000003</v>
      </c>
      <c r="C3456" s="10">
        <v>300.8365</v>
      </c>
      <c r="D3456" s="10">
        <v>294.82940000000002</v>
      </c>
      <c r="E3456" s="13">
        <f t="shared" si="159"/>
        <v>-7.9334310571186721E-3</v>
      </c>
      <c r="F3456" s="9">
        <f t="shared" si="160"/>
        <v>8.2400835356164645E-2</v>
      </c>
      <c r="G3456" s="9">
        <f t="shared" si="161"/>
        <v>1.6053596081524811E-2</v>
      </c>
    </row>
    <row r="3457" spans="1:7" x14ac:dyDescent="0.2">
      <c r="A3457" s="11">
        <v>40094</v>
      </c>
      <c r="B3457" s="10">
        <v>304.97579999999999</v>
      </c>
      <c r="C3457" s="10">
        <v>304.97579999999999</v>
      </c>
      <c r="D3457" s="10">
        <v>296.96230000000003</v>
      </c>
      <c r="E3457" s="13">
        <f t="shared" si="159"/>
        <v>2.662723447848973E-2</v>
      </c>
      <c r="F3457" s="9">
        <f t="shared" si="160"/>
        <v>9.1047790248019497E-2</v>
      </c>
      <c r="G3457" s="9">
        <f t="shared" si="161"/>
        <v>1.642091910224535E-2</v>
      </c>
    </row>
    <row r="3458" spans="1:7" x14ac:dyDescent="0.2">
      <c r="A3458" s="11">
        <v>40095</v>
      </c>
      <c r="B3458" s="10">
        <v>306.39609999999999</v>
      </c>
      <c r="C3458" s="10">
        <v>306.50990000000002</v>
      </c>
      <c r="D3458" s="10">
        <v>302.73689999999999</v>
      </c>
      <c r="E3458" s="13">
        <f t="shared" si="159"/>
        <v>4.6462801287045592E-3</v>
      </c>
      <c r="F3458" s="9">
        <f t="shared" si="160"/>
        <v>0.12063520990568299</v>
      </c>
      <c r="G3458" s="9">
        <f t="shared" si="161"/>
        <v>1.5507672081992083E-2</v>
      </c>
    </row>
    <row r="3459" spans="1:7" x14ac:dyDescent="0.2">
      <c r="A3459" s="11">
        <v>40098</v>
      </c>
      <c r="B3459" s="10">
        <v>307.01519999999999</v>
      </c>
      <c r="C3459" s="10">
        <v>310.4051</v>
      </c>
      <c r="D3459" s="10">
        <v>306.39609999999999</v>
      </c>
      <c r="E3459" s="13">
        <f t="shared" si="159"/>
        <v>2.0185484363010099E-3</v>
      </c>
      <c r="F3459" s="9">
        <f t="shared" si="160"/>
        <v>0.12979876675394844</v>
      </c>
      <c r="G3459" s="9">
        <f t="shared" si="161"/>
        <v>1.536176968290359E-2</v>
      </c>
    </row>
    <row r="3460" spans="1:7" x14ac:dyDescent="0.2">
      <c r="A3460" s="11">
        <v>40099</v>
      </c>
      <c r="B3460" s="10">
        <v>304.0652</v>
      </c>
      <c r="C3460" s="10">
        <v>307.59460000000001</v>
      </c>
      <c r="D3460" s="10">
        <v>302.61130000000003</v>
      </c>
      <c r="E3460" s="13">
        <f t="shared" ref="E3460:E3523" si="162">LN(B3460/B3459)</f>
        <v>-9.655105667960075E-3</v>
      </c>
      <c r="F3460" s="9">
        <f t="shared" si="160"/>
        <v>0.13611594301428001</v>
      </c>
      <c r="G3460" s="9">
        <f t="shared" si="161"/>
        <v>1.5104083173124722E-2</v>
      </c>
    </row>
    <row r="3461" spans="1:7" x14ac:dyDescent="0.2">
      <c r="A3461" s="11">
        <v>40100</v>
      </c>
      <c r="B3461" s="10">
        <v>310.73169999999999</v>
      </c>
      <c r="C3461" s="10">
        <v>311.70429999999999</v>
      </c>
      <c r="D3461" s="10">
        <v>304.0652</v>
      </c>
      <c r="E3461" s="13">
        <f t="shared" si="162"/>
        <v>2.1687686779726004E-2</v>
      </c>
      <c r="F3461" s="9">
        <f t="shared" si="160"/>
        <v>0.14768281754978638</v>
      </c>
      <c r="G3461" s="9">
        <f t="shared" si="161"/>
        <v>1.5402298973111584E-2</v>
      </c>
    </row>
    <row r="3462" spans="1:7" x14ac:dyDescent="0.2">
      <c r="A3462" s="11">
        <v>40101</v>
      </c>
      <c r="B3462" s="10">
        <v>309.9787</v>
      </c>
      <c r="C3462" s="10">
        <v>313.06380000000001</v>
      </c>
      <c r="D3462" s="10">
        <v>308.4615</v>
      </c>
      <c r="E3462" s="13">
        <f t="shared" si="162"/>
        <v>-2.4262534328109756E-3</v>
      </c>
      <c r="F3462" s="9">
        <f t="shared" si="160"/>
        <v>0.13258896100813605</v>
      </c>
      <c r="G3462" s="9">
        <f t="shared" si="161"/>
        <v>1.5392201830802128E-2</v>
      </c>
    </row>
    <row r="3463" spans="1:7" x14ac:dyDescent="0.2">
      <c r="A3463" s="11">
        <v>40102</v>
      </c>
      <c r="B3463" s="10">
        <v>309.88709999999998</v>
      </c>
      <c r="C3463" s="10">
        <v>314.4196</v>
      </c>
      <c r="D3463" s="10">
        <v>308.53140000000002</v>
      </c>
      <c r="E3463" s="13">
        <f t="shared" si="162"/>
        <v>-2.9554784492640495E-4</v>
      </c>
      <c r="F3463" s="9">
        <f t="shared" si="160"/>
        <v>0.11289222157918692</v>
      </c>
      <c r="G3463" s="9">
        <f t="shared" si="161"/>
        <v>1.5147097767441617E-2</v>
      </c>
    </row>
    <row r="3464" spans="1:7" x14ac:dyDescent="0.2">
      <c r="A3464" s="11">
        <v>40105</v>
      </c>
      <c r="B3464" s="10">
        <v>316.03680000000003</v>
      </c>
      <c r="C3464" s="10">
        <v>316.03680000000003</v>
      </c>
      <c r="D3464" s="10">
        <v>309.88709999999998</v>
      </c>
      <c r="E3464" s="13">
        <f t="shared" si="162"/>
        <v>1.9650624906448411E-2</v>
      </c>
      <c r="F3464" s="9">
        <f t="shared" si="160"/>
        <v>0.1269290527485431</v>
      </c>
      <c r="G3464" s="9">
        <f t="shared" si="161"/>
        <v>1.542576692992278E-2</v>
      </c>
    </row>
    <row r="3465" spans="1:7" x14ac:dyDescent="0.2">
      <c r="A3465" s="11">
        <v>40106</v>
      </c>
      <c r="B3465" s="10">
        <v>316.83960000000002</v>
      </c>
      <c r="C3465" s="10">
        <v>319.25549999999998</v>
      </c>
      <c r="D3465" s="10">
        <v>314.14760000000001</v>
      </c>
      <c r="E3465" s="13">
        <f t="shared" si="162"/>
        <v>2.5369896257453157E-3</v>
      </c>
      <c r="F3465" s="9">
        <f t="shared" si="160"/>
        <v>0.11388134468930926</v>
      </c>
      <c r="G3465" s="9">
        <f t="shared" si="161"/>
        <v>1.5276755395954409E-2</v>
      </c>
    </row>
    <row r="3466" spans="1:7" x14ac:dyDescent="0.2">
      <c r="A3466" s="11">
        <v>40107</v>
      </c>
      <c r="B3466" s="10">
        <v>316.53449999999998</v>
      </c>
      <c r="C3466" s="10">
        <v>318.27069999999998</v>
      </c>
      <c r="D3466" s="10">
        <v>310.548</v>
      </c>
      <c r="E3466" s="13">
        <f t="shared" si="162"/>
        <v>-9.634117454393955E-4</v>
      </c>
      <c r="F3466" s="9">
        <f t="shared" si="160"/>
        <v>0.115369862356703</v>
      </c>
      <c r="G3466" s="9">
        <f t="shared" si="161"/>
        <v>1.5257045568672687E-2</v>
      </c>
    </row>
    <row r="3467" spans="1:7" x14ac:dyDescent="0.2">
      <c r="A3467" s="11">
        <v>40108</v>
      </c>
      <c r="B3467" s="10">
        <v>311.95339999999999</v>
      </c>
      <c r="C3467" s="10">
        <v>316.53449999999998</v>
      </c>
      <c r="D3467" s="10">
        <v>310.50869999999998</v>
      </c>
      <c r="E3467" s="13">
        <f t="shared" si="162"/>
        <v>-1.4578422703021428E-2</v>
      </c>
      <c r="F3467" s="9">
        <f t="shared" si="160"/>
        <v>9.7049740016847783E-2</v>
      </c>
      <c r="G3467" s="9">
        <f t="shared" si="161"/>
        <v>1.5641622454447092E-2</v>
      </c>
    </row>
    <row r="3468" spans="1:7" x14ac:dyDescent="0.2">
      <c r="A3468" s="11">
        <v>40109</v>
      </c>
      <c r="B3468" s="10">
        <v>310.13130000000001</v>
      </c>
      <c r="C3468" s="10">
        <v>316.32339999999999</v>
      </c>
      <c r="D3468" s="10">
        <v>310.13130000000001</v>
      </c>
      <c r="E3468" s="13">
        <f t="shared" si="162"/>
        <v>-5.8580614849711053E-3</v>
      </c>
      <c r="F3468" s="9">
        <f t="shared" si="160"/>
        <v>9.9735992101102983E-2</v>
      </c>
      <c r="G3468" s="9">
        <f t="shared" si="161"/>
        <v>1.557650856418828E-2</v>
      </c>
    </row>
    <row r="3469" spans="1:7" x14ac:dyDescent="0.2">
      <c r="A3469" s="11">
        <v>40112</v>
      </c>
      <c r="B3469" s="10">
        <v>305.24680000000001</v>
      </c>
      <c r="C3469" s="10">
        <v>312.7722</v>
      </c>
      <c r="D3469" s="10">
        <v>304.9255</v>
      </c>
      <c r="E3469" s="13">
        <f t="shared" si="162"/>
        <v>-1.5875126469608241E-2</v>
      </c>
      <c r="F3469" s="9">
        <f t="shared" si="160"/>
        <v>5.704306542701082E-2</v>
      </c>
      <c r="G3469" s="9">
        <f t="shared" si="161"/>
        <v>1.530313223443118E-2</v>
      </c>
    </row>
    <row r="3470" spans="1:7" x14ac:dyDescent="0.2">
      <c r="A3470" s="11">
        <v>40113</v>
      </c>
      <c r="B3470" s="10">
        <v>306.00959999999998</v>
      </c>
      <c r="C3470" s="10">
        <v>308.2081</v>
      </c>
      <c r="D3470" s="10">
        <v>303.85579999999999</v>
      </c>
      <c r="E3470" s="13">
        <f t="shared" si="162"/>
        <v>2.4958442839106373E-3</v>
      </c>
      <c r="F3470" s="9">
        <f t="shared" si="160"/>
        <v>4.0193861875985934E-2</v>
      </c>
      <c r="G3470" s="9">
        <f t="shared" si="161"/>
        <v>1.4935214467574287E-2</v>
      </c>
    </row>
    <row r="3471" spans="1:7" x14ac:dyDescent="0.2">
      <c r="A3471" s="11">
        <v>40114</v>
      </c>
      <c r="B3471" s="10">
        <v>295.12349999999998</v>
      </c>
      <c r="C3471" s="10">
        <v>306.15899999999999</v>
      </c>
      <c r="D3471" s="10">
        <v>295.12349999999998</v>
      </c>
      <c r="E3471" s="13">
        <f t="shared" si="162"/>
        <v>-3.6222561208653622E-2</v>
      </c>
      <c r="F3471" s="9">
        <f t="shared" si="160"/>
        <v>-5.9889186473998746E-4</v>
      </c>
      <c r="G3471" s="9">
        <f t="shared" si="161"/>
        <v>1.6467046191086021E-2</v>
      </c>
    </row>
    <row r="3472" spans="1:7" x14ac:dyDescent="0.2">
      <c r="A3472" s="11">
        <v>40115</v>
      </c>
      <c r="B3472" s="10">
        <v>305.7894</v>
      </c>
      <c r="C3472" s="10">
        <v>306.29930000000002</v>
      </c>
      <c r="D3472" s="10">
        <v>294.68990000000002</v>
      </c>
      <c r="E3472" s="13">
        <f t="shared" si="162"/>
        <v>3.5502716914993571E-2</v>
      </c>
      <c r="F3472" s="9">
        <f t="shared" si="160"/>
        <v>3.3783559914264967E-2</v>
      </c>
      <c r="G3472" s="9">
        <f t="shared" si="161"/>
        <v>1.7740616433104629E-2</v>
      </c>
    </row>
    <row r="3473" spans="1:7" x14ac:dyDescent="0.2">
      <c r="A3473" s="11">
        <v>40116</v>
      </c>
      <c r="B3473" s="10">
        <v>299.28660000000002</v>
      </c>
      <c r="C3473" s="10">
        <v>308.61430000000001</v>
      </c>
      <c r="D3473" s="10">
        <v>297.5693</v>
      </c>
      <c r="E3473" s="13">
        <f t="shared" si="162"/>
        <v>-2.149498699187859E-2</v>
      </c>
      <c r="F3473" s="9">
        <f t="shared" si="160"/>
        <v>2.5494774345215191E-2</v>
      </c>
      <c r="G3473" s="9">
        <f t="shared" si="161"/>
        <v>1.8044586499819902E-2</v>
      </c>
    </row>
    <row r="3474" spans="1:7" x14ac:dyDescent="0.2">
      <c r="A3474" s="11">
        <v>40119</v>
      </c>
      <c r="B3474" s="10">
        <v>300.46269999999998</v>
      </c>
      <c r="C3474" s="10">
        <v>300.94650000000001</v>
      </c>
      <c r="D3474" s="10">
        <v>294.59930000000003</v>
      </c>
      <c r="E3474" s="13">
        <f t="shared" si="162"/>
        <v>3.9219770912758767E-3</v>
      </c>
      <c r="F3474" s="9">
        <f t="shared" si="160"/>
        <v>1.1459503189799261E-2</v>
      </c>
      <c r="G3474" s="9">
        <f t="shared" si="161"/>
        <v>1.7756088428507715E-2</v>
      </c>
    </row>
    <row r="3475" spans="1:7" x14ac:dyDescent="0.2">
      <c r="A3475" s="11">
        <v>40120</v>
      </c>
      <c r="B3475" s="10">
        <v>295.47699999999998</v>
      </c>
      <c r="C3475" s="10">
        <v>300.46269999999998</v>
      </c>
      <c r="D3475" s="10">
        <v>292.60739999999998</v>
      </c>
      <c r="E3475" s="13">
        <f t="shared" si="162"/>
        <v>-1.6732620177470424E-2</v>
      </c>
      <c r="F3475" s="9">
        <f t="shared" si="160"/>
        <v>7.0834458783776613E-3</v>
      </c>
      <c r="G3475" s="9">
        <f t="shared" si="161"/>
        <v>1.7886444360112559E-2</v>
      </c>
    </row>
    <row r="3476" spans="1:7" x14ac:dyDescent="0.2">
      <c r="A3476" s="11">
        <v>40121</v>
      </c>
      <c r="B3476" s="10">
        <v>304.12150000000003</v>
      </c>
      <c r="C3476" s="10">
        <v>304.12610000000001</v>
      </c>
      <c r="D3476" s="10">
        <v>295.47699999999998</v>
      </c>
      <c r="E3476" s="13">
        <f t="shared" si="162"/>
        <v>2.8836292974093656E-2</v>
      </c>
      <c r="F3476" s="9">
        <f t="shared" si="160"/>
        <v>5.8317620105248352E-2</v>
      </c>
      <c r="G3476" s="9">
        <f t="shared" si="161"/>
        <v>1.8099151420491837E-2</v>
      </c>
    </row>
    <row r="3477" spans="1:7" x14ac:dyDescent="0.2">
      <c r="A3477" s="11">
        <v>40122</v>
      </c>
      <c r="B3477" s="10">
        <v>304.99720000000002</v>
      </c>
      <c r="C3477" s="10">
        <v>306.1259</v>
      </c>
      <c r="D3477" s="10">
        <v>298.5016</v>
      </c>
      <c r="E3477" s="13">
        <f t="shared" si="162"/>
        <v>2.8753036257508232E-3</v>
      </c>
      <c r="F3477" s="9">
        <f t="shared" si="160"/>
        <v>5.3782832871831894E-2</v>
      </c>
      <c r="G3477" s="9">
        <f t="shared" si="161"/>
        <v>1.8070405159346065E-2</v>
      </c>
    </row>
    <row r="3478" spans="1:7" x14ac:dyDescent="0.2">
      <c r="A3478" s="11">
        <v>40123</v>
      </c>
      <c r="B3478" s="10">
        <v>302.56450000000001</v>
      </c>
      <c r="C3478" s="10">
        <v>308.80939999999998</v>
      </c>
      <c r="D3478" s="10">
        <v>301.37700000000001</v>
      </c>
      <c r="E3478" s="13">
        <f t="shared" si="162"/>
        <v>-8.0081183548343354E-3</v>
      </c>
      <c r="F3478" s="9">
        <f t="shared" si="160"/>
        <v>3.4544254398612396E-2</v>
      </c>
      <c r="G3478" s="9">
        <f t="shared" si="161"/>
        <v>1.8067047789005614E-2</v>
      </c>
    </row>
    <row r="3479" spans="1:7" x14ac:dyDescent="0.2">
      <c r="A3479" s="11">
        <v>40126</v>
      </c>
      <c r="B3479" s="10">
        <v>311.81610000000001</v>
      </c>
      <c r="C3479" s="10">
        <v>312.31189999999998</v>
      </c>
      <c r="D3479" s="10">
        <v>302.56450000000001</v>
      </c>
      <c r="E3479" s="13">
        <f t="shared" si="162"/>
        <v>3.0119113071919151E-2</v>
      </c>
      <c r="F3479" s="9">
        <f t="shared" si="160"/>
        <v>6.5231455776312175E-2</v>
      </c>
      <c r="G3479" s="9">
        <f t="shared" si="161"/>
        <v>1.8842360799235378E-2</v>
      </c>
    </row>
    <row r="3480" spans="1:7" x14ac:dyDescent="0.2">
      <c r="A3480" s="11">
        <v>40127</v>
      </c>
      <c r="B3480" s="10">
        <v>310.3981</v>
      </c>
      <c r="C3480" s="10">
        <v>314.28320000000002</v>
      </c>
      <c r="D3480" s="10">
        <v>310.09249999999997</v>
      </c>
      <c r="E3480" s="13">
        <f t="shared" si="162"/>
        <v>-4.5579237981794576E-3</v>
      </c>
      <c r="F3480" s="9">
        <f t="shared" si="160"/>
        <v>5.7568047688350464E-2</v>
      </c>
      <c r="G3480" s="9">
        <f t="shared" si="161"/>
        <v>1.8883617965017266E-2</v>
      </c>
    </row>
    <row r="3481" spans="1:7" x14ac:dyDescent="0.2">
      <c r="A3481" s="11">
        <v>40128</v>
      </c>
      <c r="B3481" s="10">
        <v>314.01589999999999</v>
      </c>
      <c r="C3481" s="10">
        <v>316.7475</v>
      </c>
      <c r="D3481" s="10">
        <v>310.3981</v>
      </c>
      <c r="E3481" s="13">
        <f t="shared" si="162"/>
        <v>1.1587954412612841E-2</v>
      </c>
      <c r="F3481" s="9">
        <f t="shared" si="160"/>
        <v>8.4307038640830639E-2</v>
      </c>
      <c r="G3481" s="9">
        <f t="shared" si="161"/>
        <v>1.8668596502284893E-2</v>
      </c>
    </row>
    <row r="3482" spans="1:7" x14ac:dyDescent="0.2">
      <c r="A3482" s="11">
        <v>40129</v>
      </c>
      <c r="B3482" s="10">
        <v>313.15219999999999</v>
      </c>
      <c r="C3482" s="10">
        <v>315.80340000000001</v>
      </c>
      <c r="D3482" s="10">
        <v>312.23169999999999</v>
      </c>
      <c r="E3482" s="13">
        <f t="shared" si="162"/>
        <v>-2.7542872349832531E-3</v>
      </c>
      <c r="F3482" s="9">
        <f t="shared" si="160"/>
        <v>0.10593363518987312</v>
      </c>
      <c r="G3482" s="9">
        <f t="shared" si="161"/>
        <v>1.7958035903618955E-2</v>
      </c>
    </row>
    <row r="3483" spans="1:7" x14ac:dyDescent="0.2">
      <c r="A3483" s="11">
        <v>40130</v>
      </c>
      <c r="B3483" s="10">
        <v>314.60939999999999</v>
      </c>
      <c r="C3483" s="10">
        <v>315.4812</v>
      </c>
      <c r="D3483" s="10">
        <v>311.60329999999999</v>
      </c>
      <c r="E3483" s="13">
        <f t="shared" si="162"/>
        <v>4.6425350555615742E-3</v>
      </c>
      <c r="F3483" s="9">
        <f t="shared" si="160"/>
        <v>8.0272330904362948E-2</v>
      </c>
      <c r="G3483" s="9">
        <f t="shared" si="161"/>
        <v>1.721476577738739E-2</v>
      </c>
    </row>
    <row r="3484" spans="1:7" x14ac:dyDescent="0.2">
      <c r="A3484" s="11">
        <v>40133</v>
      </c>
      <c r="B3484" s="10">
        <v>324.77940000000001</v>
      </c>
      <c r="C3484" s="10">
        <v>324.78660000000002</v>
      </c>
      <c r="D3484" s="10">
        <v>314.60939999999999</v>
      </c>
      <c r="E3484" s="13">
        <f t="shared" si="162"/>
        <v>3.1814313241338182E-2</v>
      </c>
      <c r="F3484" s="9">
        <f t="shared" si="160"/>
        <v>8.1607556855015223E-2</v>
      </c>
      <c r="G3484" s="9">
        <f t="shared" si="161"/>
        <v>1.729313545512463E-2</v>
      </c>
    </row>
    <row r="3485" spans="1:7" x14ac:dyDescent="0.2">
      <c r="A3485" s="11">
        <v>40134</v>
      </c>
      <c r="B3485" s="10">
        <v>323.39749999999998</v>
      </c>
      <c r="C3485" s="10">
        <v>326.5034</v>
      </c>
      <c r="D3485" s="10">
        <v>322.13049999999998</v>
      </c>
      <c r="E3485" s="13">
        <f t="shared" si="162"/>
        <v>-4.2639658825844662E-3</v>
      </c>
      <c r="F3485" s="9">
        <f t="shared" si="160"/>
        <v>8.527702202954944E-2</v>
      </c>
      <c r="G3485" s="9">
        <f t="shared" si="161"/>
        <v>1.7224978303519781E-2</v>
      </c>
    </row>
    <row r="3486" spans="1:7" x14ac:dyDescent="0.2">
      <c r="A3486" s="11">
        <v>40135</v>
      </c>
      <c r="B3486" s="10">
        <v>324.93709999999999</v>
      </c>
      <c r="C3486" s="10">
        <v>329.67360000000002</v>
      </c>
      <c r="D3486" s="10">
        <v>323.39749999999998</v>
      </c>
      <c r="E3486" s="13">
        <f t="shared" si="162"/>
        <v>4.7494083889604612E-3</v>
      </c>
      <c r="F3486" s="9">
        <f t="shared" si="160"/>
        <v>6.3399195940020012E-2</v>
      </c>
      <c r="G3486" s="9">
        <f t="shared" si="161"/>
        <v>1.6618950385462936E-2</v>
      </c>
    </row>
    <row r="3487" spans="1:7" x14ac:dyDescent="0.2">
      <c r="A3487" s="11">
        <v>40136</v>
      </c>
      <c r="B3487" s="10">
        <v>316.8546</v>
      </c>
      <c r="C3487" s="10">
        <v>325.23070000000001</v>
      </c>
      <c r="D3487" s="10">
        <v>316.8546</v>
      </c>
      <c r="E3487" s="13">
        <f t="shared" si="162"/>
        <v>-2.5188631562388659E-2</v>
      </c>
      <c r="F3487" s="9">
        <f t="shared" si="160"/>
        <v>3.356428424892683E-2</v>
      </c>
      <c r="G3487" s="9">
        <f t="shared" si="161"/>
        <v>1.7367807492799762E-2</v>
      </c>
    </row>
    <row r="3488" spans="1:7" x14ac:dyDescent="0.2">
      <c r="A3488" s="11">
        <v>40137</v>
      </c>
      <c r="B3488" s="10">
        <v>318.1617</v>
      </c>
      <c r="C3488" s="10">
        <v>322.80689999999998</v>
      </c>
      <c r="D3488" s="10">
        <v>315.80619999999999</v>
      </c>
      <c r="E3488" s="13">
        <f t="shared" si="162"/>
        <v>4.1167505338701952E-3</v>
      </c>
      <c r="F3488" s="9">
        <f t="shared" ref="F3488:F3551" si="163">LN(B3488/B3459)</f>
        <v>3.5662486346495777E-2</v>
      </c>
      <c r="G3488" s="9">
        <f t="shared" si="161"/>
        <v>1.737589160605129E-2</v>
      </c>
    </row>
    <row r="3489" spans="1:7" x14ac:dyDescent="0.2">
      <c r="A3489" s="11">
        <v>40140</v>
      </c>
      <c r="B3489" s="10">
        <v>327.52260000000001</v>
      </c>
      <c r="C3489" s="10">
        <v>328.37670000000003</v>
      </c>
      <c r="D3489" s="10">
        <v>318.1617</v>
      </c>
      <c r="E3489" s="13">
        <f t="shared" si="162"/>
        <v>2.8997316219281685E-2</v>
      </c>
      <c r="F3489" s="9">
        <f t="shared" si="163"/>
        <v>7.4314908233737695E-2</v>
      </c>
      <c r="G3489" s="9">
        <f t="shared" ref="G3489:G3552" si="164">STDEV(E3461:E3489)</f>
        <v>1.7982973923884992E-2</v>
      </c>
    </row>
    <row r="3490" spans="1:7" x14ac:dyDescent="0.2">
      <c r="A3490" s="11">
        <v>40141</v>
      </c>
      <c r="B3490" s="10">
        <v>325.75810000000001</v>
      </c>
      <c r="C3490" s="10">
        <v>330.27179999999998</v>
      </c>
      <c r="D3490" s="10">
        <v>323.88650000000001</v>
      </c>
      <c r="E3490" s="13">
        <f t="shared" si="162"/>
        <v>-5.4019789376179338E-3</v>
      </c>
      <c r="F3490" s="9">
        <f t="shared" si="163"/>
        <v>4.7225242516393887E-2</v>
      </c>
      <c r="G3490" s="9">
        <f t="shared" si="164"/>
        <v>1.7654628404344858E-2</v>
      </c>
    </row>
    <row r="3491" spans="1:7" x14ac:dyDescent="0.2">
      <c r="A3491" s="11">
        <v>40142</v>
      </c>
      <c r="B3491" s="10">
        <v>327.55650000000003</v>
      </c>
      <c r="C3491" s="10">
        <v>329.41059999999999</v>
      </c>
      <c r="D3491" s="10">
        <v>325.23129999999998</v>
      </c>
      <c r="E3491" s="13">
        <f t="shared" si="162"/>
        <v>5.5054778892111031E-3</v>
      </c>
      <c r="F3491" s="9">
        <f t="shared" si="163"/>
        <v>5.5156973838415758E-2</v>
      </c>
      <c r="G3491" s="9">
        <f t="shared" si="164"/>
        <v>1.7651008209675759E-2</v>
      </c>
    </row>
    <row r="3492" spans="1:7" x14ac:dyDescent="0.2">
      <c r="A3492" s="11">
        <v>40143</v>
      </c>
      <c r="B3492" s="10">
        <v>317.3236</v>
      </c>
      <c r="C3492" s="10">
        <v>327.55650000000003</v>
      </c>
      <c r="D3492" s="10">
        <v>316.82569999999998</v>
      </c>
      <c r="E3492" s="13">
        <f t="shared" si="162"/>
        <v>-3.1738485895625966E-2</v>
      </c>
      <c r="F3492" s="9">
        <f t="shared" si="163"/>
        <v>2.3714035787716199E-2</v>
      </c>
      <c r="G3492" s="9">
        <f t="shared" si="164"/>
        <v>1.8723920648946346E-2</v>
      </c>
    </row>
    <row r="3493" spans="1:7" x14ac:dyDescent="0.2">
      <c r="A3493" s="11">
        <v>40144</v>
      </c>
      <c r="B3493" s="10">
        <v>323.46530000000001</v>
      </c>
      <c r="C3493" s="10">
        <v>323.46800000000002</v>
      </c>
      <c r="D3493" s="10">
        <v>309.10210000000001</v>
      </c>
      <c r="E3493" s="13">
        <f t="shared" si="162"/>
        <v>1.9169770507030563E-2</v>
      </c>
      <c r="F3493" s="9">
        <f t="shared" si="163"/>
        <v>2.3233181388298413E-2</v>
      </c>
      <c r="G3493" s="9">
        <f t="shared" si="164"/>
        <v>1.8706852456989755E-2</v>
      </c>
    </row>
    <row r="3494" spans="1:7" x14ac:dyDescent="0.2">
      <c r="A3494" s="11">
        <v>40147</v>
      </c>
      <c r="B3494" s="10">
        <v>317.55669999999998</v>
      </c>
      <c r="C3494" s="10">
        <v>326.11799999999999</v>
      </c>
      <c r="D3494" s="10">
        <v>317.48910000000001</v>
      </c>
      <c r="E3494" s="13">
        <f t="shared" si="162"/>
        <v>-1.8435458825051397E-2</v>
      </c>
      <c r="F3494" s="9">
        <f t="shared" si="163"/>
        <v>2.2607329375016086E-3</v>
      </c>
      <c r="G3494" s="9">
        <f t="shared" si="164"/>
        <v>1.9039774086346106E-2</v>
      </c>
    </row>
    <row r="3495" spans="1:7" x14ac:dyDescent="0.2">
      <c r="A3495" s="11">
        <v>40148</v>
      </c>
      <c r="B3495" s="10">
        <v>326.00200000000001</v>
      </c>
      <c r="C3495" s="10">
        <v>326.00299999999999</v>
      </c>
      <c r="D3495" s="10">
        <v>317.55669999999998</v>
      </c>
      <c r="E3495" s="13">
        <f t="shared" si="162"/>
        <v>2.6247131251290561E-2</v>
      </c>
      <c r="F3495" s="9">
        <f t="shared" si="163"/>
        <v>2.9471275934231499E-2</v>
      </c>
      <c r="G3495" s="9">
        <f t="shared" si="164"/>
        <v>1.9647404125023461E-2</v>
      </c>
    </row>
    <row r="3496" spans="1:7" x14ac:dyDescent="0.2">
      <c r="A3496" s="11">
        <v>40149</v>
      </c>
      <c r="B3496" s="10">
        <v>326.2242</v>
      </c>
      <c r="C3496" s="10">
        <v>327.80059999999997</v>
      </c>
      <c r="D3496" s="10">
        <v>324.56810000000002</v>
      </c>
      <c r="E3496" s="13">
        <f t="shared" si="162"/>
        <v>6.8135873289461356E-4</v>
      </c>
      <c r="F3496" s="9">
        <f t="shared" si="163"/>
        <v>4.4731057370147743E-2</v>
      </c>
      <c r="G3496" s="9">
        <f t="shared" si="164"/>
        <v>1.9417832662626852E-2</v>
      </c>
    </row>
    <row r="3497" spans="1:7" x14ac:dyDescent="0.2">
      <c r="A3497" s="11">
        <v>40150</v>
      </c>
      <c r="B3497" s="10">
        <v>326.15539999999999</v>
      </c>
      <c r="C3497" s="10">
        <v>330.78609999999998</v>
      </c>
      <c r="D3497" s="10">
        <v>323.98270000000002</v>
      </c>
      <c r="E3497" s="13">
        <f t="shared" si="162"/>
        <v>-2.1092014604710547E-4</v>
      </c>
      <c r="F3497" s="9">
        <f t="shared" si="163"/>
        <v>5.0378198709071599E-2</v>
      </c>
      <c r="G3497" s="9">
        <f t="shared" si="164"/>
        <v>1.9369222069611128E-2</v>
      </c>
    </row>
    <row r="3498" spans="1:7" x14ac:dyDescent="0.2">
      <c r="A3498" s="11">
        <v>40151</v>
      </c>
      <c r="B3498" s="10">
        <v>331.42759999999998</v>
      </c>
      <c r="C3498" s="10">
        <v>332.52510000000001</v>
      </c>
      <c r="D3498" s="10">
        <v>324.00409999999999</v>
      </c>
      <c r="E3498" s="13">
        <f t="shared" si="162"/>
        <v>1.6035429662202508E-2</v>
      </c>
      <c r="F3498" s="9">
        <f t="shared" si="163"/>
        <v>8.2288754840882467E-2</v>
      </c>
      <c r="G3498" s="9">
        <f t="shared" si="164"/>
        <v>1.923891406576771E-2</v>
      </c>
    </row>
    <row r="3499" spans="1:7" x14ac:dyDescent="0.2">
      <c r="A3499" s="11">
        <v>40154</v>
      </c>
      <c r="B3499" s="10">
        <v>331.07100000000003</v>
      </c>
      <c r="C3499" s="10">
        <v>331.69080000000002</v>
      </c>
      <c r="D3499" s="10">
        <v>328.15429999999998</v>
      </c>
      <c r="E3499" s="13">
        <f t="shared" si="162"/>
        <v>-1.0765306807867692E-3</v>
      </c>
      <c r="F3499" s="9">
        <f t="shared" si="163"/>
        <v>7.8716379876185169E-2</v>
      </c>
      <c r="G3499" s="9">
        <f t="shared" si="164"/>
        <v>1.9252612027332933E-2</v>
      </c>
    </row>
    <row r="3500" spans="1:7" x14ac:dyDescent="0.2">
      <c r="A3500" s="11">
        <v>40155</v>
      </c>
      <c r="B3500" s="10">
        <v>328.98399999999998</v>
      </c>
      <c r="C3500" s="10">
        <v>332.36399999999998</v>
      </c>
      <c r="D3500" s="10">
        <v>325.8519</v>
      </c>
      <c r="E3500" s="13">
        <f t="shared" si="162"/>
        <v>-6.323736521535131E-3</v>
      </c>
      <c r="F3500" s="9">
        <f t="shared" si="163"/>
        <v>0.10861520456330355</v>
      </c>
      <c r="G3500" s="9">
        <f t="shared" si="164"/>
        <v>1.784190885897232E-2</v>
      </c>
    </row>
    <row r="3501" spans="1:7" x14ac:dyDescent="0.2">
      <c r="A3501" s="11">
        <v>40156</v>
      </c>
      <c r="B3501" s="10">
        <v>325.55689999999998</v>
      </c>
      <c r="C3501" s="10">
        <v>329.66820000000001</v>
      </c>
      <c r="D3501" s="10">
        <v>324.4939</v>
      </c>
      <c r="E3501" s="13">
        <f t="shared" si="162"/>
        <v>-1.0471863004743037E-2</v>
      </c>
      <c r="F3501" s="9">
        <f t="shared" si="163"/>
        <v>6.2640624643567247E-2</v>
      </c>
      <c r="G3501" s="9">
        <f t="shared" si="164"/>
        <v>1.693902720814602E-2</v>
      </c>
    </row>
    <row r="3502" spans="1:7" x14ac:dyDescent="0.2">
      <c r="A3502" s="11">
        <v>40157</v>
      </c>
      <c r="B3502" s="10">
        <v>331.36270000000002</v>
      </c>
      <c r="C3502" s="10">
        <v>331.38400000000001</v>
      </c>
      <c r="D3502" s="10">
        <v>322.80360000000002</v>
      </c>
      <c r="E3502" s="13">
        <f t="shared" si="162"/>
        <v>1.7676291492444554E-2</v>
      </c>
      <c r="F3502" s="9">
        <f t="shared" si="163"/>
        <v>0.1018119031278904</v>
      </c>
      <c r="G3502" s="9">
        <f t="shared" si="164"/>
        <v>1.654252446008514E-2</v>
      </c>
    </row>
    <row r="3503" spans="1:7" x14ac:dyDescent="0.2">
      <c r="A3503" s="11">
        <v>40158</v>
      </c>
      <c r="B3503" s="10">
        <v>330.82080000000002</v>
      </c>
      <c r="C3503" s="10">
        <v>334.21870000000001</v>
      </c>
      <c r="D3503" s="10">
        <v>330.7527</v>
      </c>
      <c r="E3503" s="13">
        <f t="shared" si="162"/>
        <v>-1.6367068070121181E-3</v>
      </c>
      <c r="F3503" s="9">
        <f t="shared" si="163"/>
        <v>9.6253219229602421E-2</v>
      </c>
      <c r="G3503" s="9">
        <f t="shared" si="164"/>
        <v>1.6569771331406601E-2</v>
      </c>
    </row>
    <row r="3504" spans="1:7" x14ac:dyDescent="0.2">
      <c r="A3504" s="11">
        <v>40161</v>
      </c>
      <c r="B3504" s="10">
        <v>333.94690000000003</v>
      </c>
      <c r="C3504" s="10">
        <v>334.9975</v>
      </c>
      <c r="D3504" s="10">
        <v>330.82080000000002</v>
      </c>
      <c r="E3504" s="13">
        <f t="shared" si="162"/>
        <v>9.4051592571571634E-3</v>
      </c>
      <c r="F3504" s="9">
        <f t="shared" si="163"/>
        <v>0.12239099866422995</v>
      </c>
      <c r="G3504" s="9">
        <f t="shared" si="164"/>
        <v>1.6145562001312511E-2</v>
      </c>
    </row>
    <row r="3505" spans="1:7" x14ac:dyDescent="0.2">
      <c r="A3505" s="11">
        <v>40162</v>
      </c>
      <c r="B3505" s="10">
        <v>335.71910000000003</v>
      </c>
      <c r="C3505" s="10">
        <v>335.71910000000003</v>
      </c>
      <c r="D3505" s="10">
        <v>332.42899999999997</v>
      </c>
      <c r="E3505" s="13">
        <f t="shared" si="162"/>
        <v>5.2928001038114311E-3</v>
      </c>
      <c r="F3505" s="9">
        <f t="shared" si="163"/>
        <v>9.8847505793947854E-2</v>
      </c>
      <c r="G3505" s="9">
        <f t="shared" si="164"/>
        <v>1.5440103218378106E-2</v>
      </c>
    </row>
    <row r="3506" spans="1:7" x14ac:dyDescent="0.2">
      <c r="A3506" s="11">
        <v>40163</v>
      </c>
      <c r="B3506" s="10">
        <v>339.50319999999999</v>
      </c>
      <c r="C3506" s="10">
        <v>339.6653</v>
      </c>
      <c r="D3506" s="10">
        <v>334.41</v>
      </c>
      <c r="E3506" s="13">
        <f t="shared" si="162"/>
        <v>1.1208574174649896E-2</v>
      </c>
      <c r="F3506" s="9">
        <f t="shared" si="163"/>
        <v>0.10718077634284695</v>
      </c>
      <c r="G3506" s="9">
        <f t="shared" si="164"/>
        <v>1.5507223809547012E-2</v>
      </c>
    </row>
    <row r="3507" spans="1:7" x14ac:dyDescent="0.2">
      <c r="A3507" s="11">
        <v>40164</v>
      </c>
      <c r="B3507" s="10">
        <v>334.68419999999998</v>
      </c>
      <c r="C3507" s="10">
        <v>339.50319999999999</v>
      </c>
      <c r="D3507" s="10">
        <v>334.68419999999998</v>
      </c>
      <c r="E3507" s="13">
        <f t="shared" si="162"/>
        <v>-1.4295971930769641E-2</v>
      </c>
      <c r="F3507" s="9">
        <f t="shared" si="163"/>
        <v>0.10089292276691172</v>
      </c>
      <c r="G3507" s="9">
        <f t="shared" si="164"/>
        <v>1.5719223500710412E-2</v>
      </c>
    </row>
    <row r="3508" spans="1:7" x14ac:dyDescent="0.2">
      <c r="A3508" s="11">
        <v>40165</v>
      </c>
      <c r="B3508" s="10">
        <v>332.09249999999997</v>
      </c>
      <c r="C3508" s="10">
        <v>338.93529999999998</v>
      </c>
      <c r="D3508" s="10">
        <v>331.9221</v>
      </c>
      <c r="E3508" s="13">
        <f t="shared" si="162"/>
        <v>-7.7738560809612516E-3</v>
      </c>
      <c r="F3508" s="9">
        <f t="shared" si="163"/>
        <v>6.2999953614031212E-2</v>
      </c>
      <c r="G3508" s="9">
        <f t="shared" si="164"/>
        <v>1.498338939276897E-2</v>
      </c>
    </row>
    <row r="3509" spans="1:7" x14ac:dyDescent="0.2">
      <c r="A3509" s="11">
        <v>40168</v>
      </c>
      <c r="B3509" s="10">
        <v>338.25540000000001</v>
      </c>
      <c r="C3509" s="10">
        <v>338.2577</v>
      </c>
      <c r="D3509" s="10">
        <v>332.09249999999997</v>
      </c>
      <c r="E3509" s="13">
        <f t="shared" si="162"/>
        <v>1.8387686878228036E-2</v>
      </c>
      <c r="F3509" s="9">
        <f t="shared" si="163"/>
        <v>8.5945564290438592E-2</v>
      </c>
      <c r="G3509" s="9">
        <f t="shared" si="164"/>
        <v>1.5219275040704187E-2</v>
      </c>
    </row>
    <row r="3510" spans="1:7" x14ac:dyDescent="0.2">
      <c r="A3510" s="11">
        <v>40169</v>
      </c>
      <c r="B3510" s="10">
        <v>338.13889999999998</v>
      </c>
      <c r="C3510" s="10">
        <v>340.00779999999997</v>
      </c>
      <c r="D3510" s="10">
        <v>336.33589999999998</v>
      </c>
      <c r="E3510" s="13">
        <f t="shared" si="162"/>
        <v>-3.4447363365429183E-4</v>
      </c>
      <c r="F3510" s="9">
        <f t="shared" si="163"/>
        <v>7.4013136244171371E-2</v>
      </c>
      <c r="G3510" s="9">
        <f t="shared" si="164"/>
        <v>1.513887189677315E-2</v>
      </c>
    </row>
    <row r="3511" spans="1:7" x14ac:dyDescent="0.2">
      <c r="A3511" s="11">
        <v>40170</v>
      </c>
      <c r="B3511" s="10">
        <v>339.4074</v>
      </c>
      <c r="C3511" s="10">
        <v>340.34649999999999</v>
      </c>
      <c r="D3511" s="10">
        <v>337.63900000000001</v>
      </c>
      <c r="E3511" s="13">
        <f t="shared" si="162"/>
        <v>3.7443979314328744E-3</v>
      </c>
      <c r="F3511" s="9">
        <f t="shared" si="163"/>
        <v>8.0511821410587492E-2</v>
      </c>
      <c r="G3511" s="9">
        <f t="shared" si="164"/>
        <v>1.5105579508447063E-2</v>
      </c>
    </row>
    <row r="3512" spans="1:7" x14ac:dyDescent="0.2">
      <c r="A3512" s="11">
        <v>40175</v>
      </c>
      <c r="B3512" s="10">
        <v>340.8981</v>
      </c>
      <c r="C3512" s="10">
        <v>341.6309</v>
      </c>
      <c r="D3512" s="10">
        <v>339.4074</v>
      </c>
      <c r="E3512" s="13">
        <f t="shared" si="162"/>
        <v>4.3824499018399873E-3</v>
      </c>
      <c r="F3512" s="9">
        <f t="shared" si="163"/>
        <v>8.0251736256865866E-2</v>
      </c>
      <c r="G3512" s="9">
        <f t="shared" si="164"/>
        <v>1.5104509071220388E-2</v>
      </c>
    </row>
    <row r="3513" spans="1:7" x14ac:dyDescent="0.2">
      <c r="A3513" s="11">
        <v>40176</v>
      </c>
      <c r="B3513" s="10">
        <v>342.87450000000001</v>
      </c>
      <c r="C3513" s="10">
        <v>343.14060000000001</v>
      </c>
      <c r="D3513" s="10">
        <v>340.8981</v>
      </c>
      <c r="E3513" s="13">
        <f t="shared" si="162"/>
        <v>5.7808853529556703E-3</v>
      </c>
      <c r="F3513" s="9">
        <f t="shared" si="163"/>
        <v>5.4218308368483327E-2</v>
      </c>
      <c r="G3513" s="9">
        <f t="shared" si="164"/>
        <v>1.4053565765649017E-2</v>
      </c>
    </row>
    <row r="3514" spans="1:7" x14ac:dyDescent="0.2">
      <c r="A3514" s="11">
        <v>40177</v>
      </c>
      <c r="B3514" s="10">
        <v>339.32440000000003</v>
      </c>
      <c r="C3514" s="10">
        <v>343.01429999999999</v>
      </c>
      <c r="D3514" s="10">
        <v>339.28840000000002</v>
      </c>
      <c r="E3514" s="13">
        <f t="shared" si="162"/>
        <v>-1.0407909033167882E-2</v>
      </c>
      <c r="F3514" s="9">
        <f t="shared" si="163"/>
        <v>4.8074365217900109E-2</v>
      </c>
      <c r="G3514" s="9">
        <f t="shared" si="164"/>
        <v>1.4194932197742059E-2</v>
      </c>
    </row>
    <row r="3515" spans="1:7" x14ac:dyDescent="0.2">
      <c r="A3515" s="11">
        <v>40182</v>
      </c>
      <c r="B3515" s="10">
        <v>347.69929999999999</v>
      </c>
      <c r="C3515" s="10">
        <v>347.69929999999999</v>
      </c>
      <c r="D3515" s="10">
        <v>339.32440000000003</v>
      </c>
      <c r="E3515" s="13">
        <f t="shared" si="162"/>
        <v>2.4381443815839548E-2</v>
      </c>
      <c r="F3515" s="9">
        <f t="shared" si="163"/>
        <v>6.7706400644779244E-2</v>
      </c>
      <c r="G3515" s="9">
        <f t="shared" si="164"/>
        <v>1.4802761563989533E-2</v>
      </c>
    </row>
    <row r="3516" spans="1:7" x14ac:dyDescent="0.2">
      <c r="A3516" s="11">
        <v>40183</v>
      </c>
      <c r="B3516" s="10">
        <v>348.02190000000002</v>
      </c>
      <c r="C3516" s="10">
        <v>350.45190000000002</v>
      </c>
      <c r="D3516" s="10">
        <v>345.5985</v>
      </c>
      <c r="E3516" s="13">
        <f t="shared" si="162"/>
        <v>9.2738304688933025E-4</v>
      </c>
      <c r="F3516" s="9">
        <f t="shared" si="163"/>
        <v>9.3822415254057281E-2</v>
      </c>
      <c r="G3516" s="9">
        <f t="shared" si="164"/>
        <v>1.3831042650076109E-2</v>
      </c>
    </row>
    <row r="3517" spans="1:7" x14ac:dyDescent="0.2">
      <c r="A3517" s="11">
        <v>40184</v>
      </c>
      <c r="B3517" s="10">
        <v>346.52569999999997</v>
      </c>
      <c r="C3517" s="10">
        <v>349.81470000000002</v>
      </c>
      <c r="D3517" s="10">
        <v>346.12799999999999</v>
      </c>
      <c r="E3517" s="13">
        <f t="shared" si="162"/>
        <v>-4.3084226752332973E-3</v>
      </c>
      <c r="F3517" s="9">
        <f t="shared" si="163"/>
        <v>8.5397242044953789E-2</v>
      </c>
      <c r="G3517" s="9">
        <f t="shared" si="164"/>
        <v>1.3900178678104277E-2</v>
      </c>
    </row>
    <row r="3518" spans="1:7" x14ac:dyDescent="0.2">
      <c r="A3518" s="11">
        <v>40185</v>
      </c>
      <c r="B3518" s="10">
        <v>347.84789999999998</v>
      </c>
      <c r="C3518" s="10">
        <v>349.7149</v>
      </c>
      <c r="D3518" s="10">
        <v>346.1388</v>
      </c>
      <c r="E3518" s="13">
        <f t="shared" si="162"/>
        <v>3.8083291128272263E-3</v>
      </c>
      <c r="F3518" s="9">
        <f t="shared" si="163"/>
        <v>6.0208254938499427E-2</v>
      </c>
      <c r="G3518" s="9">
        <f t="shared" si="164"/>
        <v>1.2969950115875119E-2</v>
      </c>
    </row>
    <row r="3519" spans="1:7" x14ac:dyDescent="0.2">
      <c r="A3519" s="11">
        <v>40186</v>
      </c>
      <c r="B3519" s="10">
        <v>349.43639999999999</v>
      </c>
      <c r="C3519" s="10">
        <v>351.44310000000002</v>
      </c>
      <c r="D3519" s="10">
        <v>347.84789999999998</v>
      </c>
      <c r="E3519" s="13">
        <f t="shared" si="162"/>
        <v>4.5562555991386219E-3</v>
      </c>
      <c r="F3519" s="9">
        <f t="shared" si="163"/>
        <v>7.016648947525593E-2</v>
      </c>
      <c r="G3519" s="9">
        <f t="shared" si="164"/>
        <v>1.2896508404338314E-2</v>
      </c>
    </row>
    <row r="3520" spans="1:7" x14ac:dyDescent="0.2">
      <c r="A3520" s="11">
        <v>40189</v>
      </c>
      <c r="B3520" s="10">
        <v>350.80869999999999</v>
      </c>
      <c r="C3520" s="10">
        <v>356.286</v>
      </c>
      <c r="D3520" s="10">
        <v>349.43639999999999</v>
      </c>
      <c r="E3520" s="13">
        <f t="shared" si="162"/>
        <v>3.9194897809867041E-3</v>
      </c>
      <c r="F3520" s="9">
        <f t="shared" si="163"/>
        <v>6.8580501367031782E-2</v>
      </c>
      <c r="G3520" s="9">
        <f t="shared" si="164"/>
        <v>1.2886313467886891E-2</v>
      </c>
    </row>
    <row r="3521" spans="1:7" x14ac:dyDescent="0.2">
      <c r="A3521" s="11">
        <v>40190</v>
      </c>
      <c r="B3521" s="10">
        <v>343.7577</v>
      </c>
      <c r="C3521" s="10">
        <v>351.11630000000002</v>
      </c>
      <c r="D3521" s="10">
        <v>342.56240000000003</v>
      </c>
      <c r="E3521" s="13">
        <f t="shared" si="162"/>
        <v>-2.0304011916697236E-2</v>
      </c>
      <c r="F3521" s="9">
        <f t="shared" si="163"/>
        <v>8.0014975345960346E-2</v>
      </c>
      <c r="G3521" s="9">
        <f t="shared" si="164"/>
        <v>1.1946203026216708E-2</v>
      </c>
    </row>
    <row r="3522" spans="1:7" x14ac:dyDescent="0.2">
      <c r="A3522" s="11">
        <v>40191</v>
      </c>
      <c r="B3522" s="10">
        <v>344.12630000000001</v>
      </c>
      <c r="C3522" s="10">
        <v>345.26549999999997</v>
      </c>
      <c r="D3522" s="10">
        <v>339.67529999999999</v>
      </c>
      <c r="E3522" s="13">
        <f t="shared" si="162"/>
        <v>1.0716924227890006E-3</v>
      </c>
      <c r="F3522" s="9">
        <f t="shared" si="163"/>
        <v>6.191689726171877E-2</v>
      </c>
      <c r="G3522" s="9">
        <f t="shared" si="164"/>
        <v>1.152353732777526E-2</v>
      </c>
    </row>
    <row r="3523" spans="1:7" x14ac:dyDescent="0.2">
      <c r="A3523" s="11">
        <v>40192</v>
      </c>
      <c r="B3523" s="10">
        <v>348.09629999999999</v>
      </c>
      <c r="C3523" s="10">
        <v>348.71910000000003</v>
      </c>
      <c r="D3523" s="10">
        <v>344.12630000000001</v>
      </c>
      <c r="E3523" s="13">
        <f t="shared" si="162"/>
        <v>1.1470424478649509E-2</v>
      </c>
      <c r="F3523" s="9">
        <f t="shared" si="163"/>
        <v>9.1822780565419676E-2</v>
      </c>
      <c r="G3523" s="9">
        <f t="shared" si="164"/>
        <v>1.0940318531718113E-2</v>
      </c>
    </row>
    <row r="3524" spans="1:7" x14ac:dyDescent="0.2">
      <c r="A3524" s="11">
        <v>40193</v>
      </c>
      <c r="B3524" s="10">
        <v>345.30180000000001</v>
      </c>
      <c r="C3524" s="10">
        <v>349.84339999999997</v>
      </c>
      <c r="D3524" s="10">
        <v>343.83539999999999</v>
      </c>
      <c r="E3524" s="13">
        <f t="shared" ref="E3524:E3587" si="165">LN(B3524/B3523)</f>
        <v>-8.0603483905992805E-3</v>
      </c>
      <c r="F3524" s="9">
        <f t="shared" si="163"/>
        <v>5.75153009235298E-2</v>
      </c>
      <c r="G3524" s="9">
        <f t="shared" si="164"/>
        <v>1.018413101301679E-2</v>
      </c>
    </row>
    <row r="3525" spans="1:7" x14ac:dyDescent="0.2">
      <c r="A3525" s="11">
        <v>40196</v>
      </c>
      <c r="B3525" s="10">
        <v>345.97219999999999</v>
      </c>
      <c r="C3525" s="10">
        <v>346.56650000000002</v>
      </c>
      <c r="D3525" s="10">
        <v>342.33429999999998</v>
      </c>
      <c r="E3525" s="13">
        <f t="shared" si="165"/>
        <v>1.9396077681925103E-3</v>
      </c>
      <c r="F3525" s="9">
        <f t="shared" si="163"/>
        <v>5.8773549958827595E-2</v>
      </c>
      <c r="G3525" s="9">
        <f t="shared" si="164"/>
        <v>1.0181066084940512E-2</v>
      </c>
    </row>
    <row r="3526" spans="1:7" x14ac:dyDescent="0.2">
      <c r="A3526" s="11">
        <v>40197</v>
      </c>
      <c r="B3526" s="10">
        <v>344.67079999999999</v>
      </c>
      <c r="C3526" s="10">
        <v>346.08690000000001</v>
      </c>
      <c r="D3526" s="10">
        <v>341.45620000000002</v>
      </c>
      <c r="E3526" s="13">
        <f t="shared" si="165"/>
        <v>-3.7686664175220399E-3</v>
      </c>
      <c r="F3526" s="9">
        <f t="shared" si="163"/>
        <v>5.5215803687352738E-2</v>
      </c>
      <c r="G3526" s="9">
        <f t="shared" si="164"/>
        <v>1.0230308021396553E-2</v>
      </c>
    </row>
    <row r="3527" spans="1:7" x14ac:dyDescent="0.2">
      <c r="A3527" s="11">
        <v>40198</v>
      </c>
      <c r="B3527" s="10">
        <v>335.63029999999998</v>
      </c>
      <c r="C3527" s="10">
        <v>345.51190000000003</v>
      </c>
      <c r="D3527" s="10">
        <v>334.80799999999999</v>
      </c>
      <c r="E3527" s="13">
        <f t="shared" si="165"/>
        <v>-2.6579502019076509E-2</v>
      </c>
      <c r="F3527" s="9">
        <f t="shared" si="163"/>
        <v>1.2600872006073554E-2</v>
      </c>
      <c r="G3527" s="9">
        <f t="shared" si="164"/>
        <v>1.1147465857121942E-2</v>
      </c>
    </row>
    <row r="3528" spans="1:7" x14ac:dyDescent="0.2">
      <c r="A3528" s="11">
        <v>40199</v>
      </c>
      <c r="B3528" s="10">
        <v>330.59129999999999</v>
      </c>
      <c r="C3528" s="10">
        <v>339.83890000000002</v>
      </c>
      <c r="D3528" s="10">
        <v>330.0985</v>
      </c>
      <c r="E3528" s="13">
        <f t="shared" si="165"/>
        <v>-1.5127387321154092E-2</v>
      </c>
      <c r="F3528" s="9">
        <f t="shared" si="163"/>
        <v>-1.4499846342936025E-3</v>
      </c>
      <c r="G3528" s="9">
        <f t="shared" si="164"/>
        <v>1.1514787901901462E-2</v>
      </c>
    </row>
    <row r="3529" spans="1:7" x14ac:dyDescent="0.2">
      <c r="A3529" s="11">
        <v>40200</v>
      </c>
      <c r="B3529" s="10">
        <v>325.31760000000003</v>
      </c>
      <c r="C3529" s="10">
        <v>333.09019999999998</v>
      </c>
      <c r="D3529" s="10">
        <v>322.77280000000002</v>
      </c>
      <c r="E3529" s="13">
        <f t="shared" si="165"/>
        <v>-1.6080933331352687E-2</v>
      </c>
      <c r="F3529" s="9">
        <f t="shared" si="163"/>
        <v>-1.1207181444111213E-2</v>
      </c>
      <c r="G3529" s="9">
        <f t="shared" si="164"/>
        <v>1.1842534926412709E-2</v>
      </c>
    </row>
    <row r="3530" spans="1:7" x14ac:dyDescent="0.2">
      <c r="A3530" s="11">
        <v>40203</v>
      </c>
      <c r="B3530" s="10">
        <v>325.69650000000001</v>
      </c>
      <c r="C3530" s="10">
        <v>329.47329999999999</v>
      </c>
      <c r="D3530" s="10">
        <v>322.3827</v>
      </c>
      <c r="E3530" s="13">
        <f t="shared" si="165"/>
        <v>1.1640302192626579E-3</v>
      </c>
      <c r="F3530" s="9">
        <f t="shared" si="163"/>
        <v>4.287117798944289E-4</v>
      </c>
      <c r="G3530" s="9">
        <f t="shared" si="164"/>
        <v>1.1684693157905242E-2</v>
      </c>
    </row>
    <row r="3531" spans="1:7" x14ac:dyDescent="0.2">
      <c r="A3531" s="11">
        <v>40204</v>
      </c>
      <c r="B3531" s="10">
        <v>323.49299999999999</v>
      </c>
      <c r="C3531" s="10">
        <v>325.69650000000001</v>
      </c>
      <c r="D3531" s="10">
        <v>318.55549999999999</v>
      </c>
      <c r="E3531" s="13">
        <f t="shared" si="165"/>
        <v>-6.7884907630078335E-3</v>
      </c>
      <c r="F3531" s="9">
        <f t="shared" si="163"/>
        <v>-2.4036070475557881E-2</v>
      </c>
      <c r="G3531" s="9">
        <f t="shared" si="164"/>
        <v>1.1238667886852577E-2</v>
      </c>
    </row>
    <row r="3532" spans="1:7" x14ac:dyDescent="0.2">
      <c r="A3532" s="11">
        <v>40205</v>
      </c>
      <c r="B3532" s="10">
        <v>323.2328</v>
      </c>
      <c r="C3532" s="10">
        <v>326.36180000000002</v>
      </c>
      <c r="D3532" s="10">
        <v>320.46589999999998</v>
      </c>
      <c r="E3532" s="13">
        <f t="shared" si="165"/>
        <v>-8.0466872989999692E-4</v>
      </c>
      <c r="F3532" s="9">
        <f t="shared" si="163"/>
        <v>-2.3204032398445814E-2</v>
      </c>
      <c r="G3532" s="9">
        <f t="shared" si="164"/>
        <v>1.1237593812206799E-2</v>
      </c>
    </row>
    <row r="3533" spans="1:7" x14ac:dyDescent="0.2">
      <c r="A3533" s="11">
        <v>40206</v>
      </c>
      <c r="B3533" s="10">
        <v>323.99079999999998</v>
      </c>
      <c r="C3533" s="10">
        <v>330.87560000000002</v>
      </c>
      <c r="D3533" s="10">
        <v>323.05720000000002</v>
      </c>
      <c r="E3533" s="13">
        <f t="shared" si="165"/>
        <v>2.3423136812676954E-3</v>
      </c>
      <c r="F3533" s="9">
        <f t="shared" si="163"/>
        <v>-3.0266877974335311E-2</v>
      </c>
      <c r="G3533" s="9">
        <f t="shared" si="164"/>
        <v>1.1084005813261424E-2</v>
      </c>
    </row>
    <row r="3534" spans="1:7" x14ac:dyDescent="0.2">
      <c r="A3534" s="11">
        <v>40207</v>
      </c>
      <c r="B3534" s="10">
        <v>329.80650000000003</v>
      </c>
      <c r="C3534" s="10">
        <v>330.5068</v>
      </c>
      <c r="D3534" s="10">
        <v>323.84289999999999</v>
      </c>
      <c r="E3534" s="13">
        <f t="shared" si="165"/>
        <v>1.7790998518320594E-2</v>
      </c>
      <c r="F3534" s="9">
        <f t="shared" si="163"/>
        <v>-1.7768679559826271E-2</v>
      </c>
      <c r="G3534" s="9">
        <f t="shared" si="164"/>
        <v>1.157144433077722E-2</v>
      </c>
    </row>
    <row r="3535" spans="1:7" x14ac:dyDescent="0.2">
      <c r="A3535" s="11">
        <v>40210</v>
      </c>
      <c r="B3535" s="10">
        <v>330.76260000000002</v>
      </c>
      <c r="C3535" s="10">
        <v>331.6524</v>
      </c>
      <c r="D3535" s="10">
        <v>327.06580000000002</v>
      </c>
      <c r="E3535" s="13">
        <f t="shared" si="165"/>
        <v>2.8947786617809948E-3</v>
      </c>
      <c r="F3535" s="9">
        <f t="shared" si="163"/>
        <v>-2.6082475072695104E-2</v>
      </c>
      <c r="G3535" s="9">
        <f t="shared" si="164"/>
        <v>1.1369334247511853E-2</v>
      </c>
    </row>
    <row r="3536" spans="1:7" x14ac:dyDescent="0.2">
      <c r="A3536" s="11">
        <v>40211</v>
      </c>
      <c r="B3536" s="10">
        <v>336.11810000000003</v>
      </c>
      <c r="C3536" s="10">
        <v>336.12380000000002</v>
      </c>
      <c r="D3536" s="10">
        <v>330.76260000000002</v>
      </c>
      <c r="E3536" s="13">
        <f t="shared" si="165"/>
        <v>1.6061688793417638E-2</v>
      </c>
      <c r="F3536" s="9">
        <f t="shared" si="163"/>
        <v>4.2751856514920694E-3</v>
      </c>
      <c r="G3536" s="9">
        <f t="shared" si="164"/>
        <v>1.148875314159266E-2</v>
      </c>
    </row>
    <row r="3537" spans="1:7" x14ac:dyDescent="0.2">
      <c r="A3537" s="11">
        <v>40212</v>
      </c>
      <c r="B3537" s="10">
        <v>335.3143</v>
      </c>
      <c r="C3537" s="10">
        <v>339.57530000000003</v>
      </c>
      <c r="D3537" s="10">
        <v>334.89159999999998</v>
      </c>
      <c r="E3537" s="13">
        <f t="shared" si="165"/>
        <v>-2.3942853636160764E-3</v>
      </c>
      <c r="F3537" s="9">
        <f t="shared" si="163"/>
        <v>9.6547563688372164E-3</v>
      </c>
      <c r="G3537" s="9">
        <f t="shared" si="164"/>
        <v>1.1399367605859191E-2</v>
      </c>
    </row>
    <row r="3538" spans="1:7" x14ac:dyDescent="0.2">
      <c r="A3538" s="11">
        <v>40213</v>
      </c>
      <c r="B3538" s="10">
        <v>324.68630000000002</v>
      </c>
      <c r="C3538" s="10">
        <v>337.52850000000001</v>
      </c>
      <c r="D3538" s="10">
        <v>324.68630000000002</v>
      </c>
      <c r="E3538" s="13">
        <f t="shared" si="165"/>
        <v>-3.2208815512045019E-2</v>
      </c>
      <c r="F3538" s="9">
        <f t="shared" si="163"/>
        <v>-4.0941746021435681E-2</v>
      </c>
      <c r="G3538" s="9">
        <f t="shared" si="164"/>
        <v>1.2368148073547518E-2</v>
      </c>
    </row>
    <row r="3539" spans="1:7" x14ac:dyDescent="0.2">
      <c r="A3539" s="11">
        <v>40214</v>
      </c>
      <c r="B3539" s="10">
        <v>318.78699999999998</v>
      </c>
      <c r="C3539" s="10">
        <v>324.68630000000002</v>
      </c>
      <c r="D3539" s="10">
        <v>314.82429999999999</v>
      </c>
      <c r="E3539" s="13">
        <f t="shared" si="165"/>
        <v>-1.8336317257883074E-2</v>
      </c>
      <c r="F3539" s="9">
        <f t="shared" si="163"/>
        <v>-5.8933589645664509E-2</v>
      </c>
      <c r="G3539" s="9">
        <f t="shared" si="164"/>
        <v>1.2757811053780301E-2</v>
      </c>
    </row>
    <row r="3540" spans="1:7" x14ac:dyDescent="0.2">
      <c r="A3540" s="11">
        <v>40217</v>
      </c>
      <c r="B3540" s="10">
        <v>315.4024</v>
      </c>
      <c r="C3540" s="10">
        <v>321.5367</v>
      </c>
      <c r="D3540" s="10">
        <v>307.86619999999999</v>
      </c>
      <c r="E3540" s="13">
        <f t="shared" si="165"/>
        <v>-1.0673884282533705E-2</v>
      </c>
      <c r="F3540" s="9">
        <f t="shared" si="163"/>
        <v>-7.3351871859631143E-2</v>
      </c>
      <c r="G3540" s="9">
        <f t="shared" si="164"/>
        <v>1.2805509585741419E-2</v>
      </c>
    </row>
    <row r="3541" spans="1:7" x14ac:dyDescent="0.2">
      <c r="A3541" s="11">
        <v>40218</v>
      </c>
      <c r="B3541" s="10">
        <v>319.34589999999997</v>
      </c>
      <c r="C3541" s="10">
        <v>321.56630000000001</v>
      </c>
      <c r="D3541" s="10">
        <v>313.65089999999998</v>
      </c>
      <c r="E3541" s="13">
        <f t="shared" si="165"/>
        <v>1.2425557461925621E-2</v>
      </c>
      <c r="F3541" s="9">
        <f t="shared" si="163"/>
        <v>-6.5308764299545449E-2</v>
      </c>
      <c r="G3541" s="9">
        <f t="shared" si="164"/>
        <v>1.3045409779234879E-2</v>
      </c>
    </row>
    <row r="3542" spans="1:7" x14ac:dyDescent="0.2">
      <c r="A3542" s="11">
        <v>40219</v>
      </c>
      <c r="B3542" s="10">
        <v>312.61770000000001</v>
      </c>
      <c r="C3542" s="10">
        <v>321.9436</v>
      </c>
      <c r="D3542" s="10">
        <v>312.53129999999999</v>
      </c>
      <c r="E3542" s="13">
        <f t="shared" si="165"/>
        <v>-2.1293803081404369E-2</v>
      </c>
      <c r="F3542" s="9">
        <f t="shared" si="163"/>
        <v>-9.2383452733905524E-2</v>
      </c>
      <c r="G3542" s="9">
        <f t="shared" si="164"/>
        <v>1.3413613086023075E-2</v>
      </c>
    </row>
    <row r="3543" spans="1:7" x14ac:dyDescent="0.2">
      <c r="A3543" s="11">
        <v>40220</v>
      </c>
      <c r="B3543" s="10">
        <v>315.3904</v>
      </c>
      <c r="C3543" s="10">
        <v>319.64190000000002</v>
      </c>
      <c r="D3543" s="10">
        <v>311.65530000000001</v>
      </c>
      <c r="E3543" s="13">
        <f t="shared" si="165"/>
        <v>8.8301982606583656E-3</v>
      </c>
      <c r="F3543" s="9">
        <f t="shared" si="163"/>
        <v>-7.3145345440079321E-2</v>
      </c>
      <c r="G3543" s="9">
        <f t="shared" si="164"/>
        <v>1.3518977761279093E-2</v>
      </c>
    </row>
    <row r="3544" spans="1:7" x14ac:dyDescent="0.2">
      <c r="A3544" s="11">
        <v>40221</v>
      </c>
      <c r="B3544" s="10">
        <v>310.9452</v>
      </c>
      <c r="C3544" s="10">
        <v>319.14109999999999</v>
      </c>
      <c r="D3544" s="10">
        <v>309.24380000000002</v>
      </c>
      <c r="E3544" s="13">
        <f t="shared" si="165"/>
        <v>-1.4194545660685436E-2</v>
      </c>
      <c r="F3544" s="9">
        <f t="shared" si="163"/>
        <v>-0.11172133491660427</v>
      </c>
      <c r="G3544" s="9">
        <f t="shared" si="164"/>
        <v>1.264696000990277E-2</v>
      </c>
    </row>
    <row r="3545" spans="1:7" x14ac:dyDescent="0.2">
      <c r="A3545" s="11">
        <v>40224</v>
      </c>
      <c r="B3545" s="10">
        <v>308.2851</v>
      </c>
      <c r="C3545" s="10">
        <v>311.7758</v>
      </c>
      <c r="D3545" s="10">
        <v>307.64330000000001</v>
      </c>
      <c r="E3545" s="13">
        <f t="shared" si="165"/>
        <v>-8.5916866903351825E-3</v>
      </c>
      <c r="F3545" s="9">
        <f t="shared" si="163"/>
        <v>-0.12124040465382878</v>
      </c>
      <c r="G3545" s="9">
        <f t="shared" si="164"/>
        <v>1.2642001321719205E-2</v>
      </c>
    </row>
    <row r="3546" spans="1:7" x14ac:dyDescent="0.2">
      <c r="A3546" s="11">
        <v>40225</v>
      </c>
      <c r="B3546" s="10">
        <v>315.94209999999998</v>
      </c>
      <c r="C3546" s="10">
        <v>315.98349999999999</v>
      </c>
      <c r="D3546" s="10">
        <v>308.2851</v>
      </c>
      <c r="E3546" s="13">
        <f t="shared" si="165"/>
        <v>2.4533964775483988E-2</v>
      </c>
      <c r="F3546" s="9">
        <f t="shared" si="163"/>
        <v>-9.2398017203111471E-2</v>
      </c>
      <c r="G3546" s="9">
        <f t="shared" si="164"/>
        <v>1.3720156918691126E-2</v>
      </c>
    </row>
    <row r="3547" spans="1:7" x14ac:dyDescent="0.2">
      <c r="A3547" s="11">
        <v>40226</v>
      </c>
      <c r="B3547" s="10">
        <v>317.82589999999999</v>
      </c>
      <c r="C3547" s="10">
        <v>319.31599999999997</v>
      </c>
      <c r="D3547" s="10">
        <v>315.94209999999998</v>
      </c>
      <c r="E3547" s="13">
        <f t="shared" si="165"/>
        <v>5.9447796286694957E-3</v>
      </c>
      <c r="F3547" s="9">
        <f t="shared" si="163"/>
        <v>-9.0261566687269271E-2</v>
      </c>
      <c r="G3547" s="9">
        <f t="shared" si="164"/>
        <v>1.3764718692868473E-2</v>
      </c>
    </row>
    <row r="3548" spans="1:7" x14ac:dyDescent="0.2">
      <c r="A3548" s="11">
        <v>40227</v>
      </c>
      <c r="B3548" s="10">
        <v>320.34320000000002</v>
      </c>
      <c r="C3548" s="10">
        <v>320.36079999999998</v>
      </c>
      <c r="D3548" s="10">
        <v>315.5609</v>
      </c>
      <c r="E3548" s="13">
        <f t="shared" si="165"/>
        <v>7.8891724973259945E-3</v>
      </c>
      <c r="F3548" s="9">
        <f t="shared" si="163"/>
        <v>-8.6928649789081935E-2</v>
      </c>
      <c r="G3548" s="9">
        <f t="shared" si="164"/>
        <v>1.3844716867766765E-2</v>
      </c>
    </row>
    <row r="3549" spans="1:7" x14ac:dyDescent="0.2">
      <c r="A3549" s="11">
        <v>40228</v>
      </c>
      <c r="B3549" s="10">
        <v>324.24029999999999</v>
      </c>
      <c r="C3549" s="10">
        <v>324.25299999999999</v>
      </c>
      <c r="D3549" s="10">
        <v>316.34539999999998</v>
      </c>
      <c r="E3549" s="13">
        <f t="shared" si="165"/>
        <v>1.209198648365423E-2</v>
      </c>
      <c r="F3549" s="9">
        <f t="shared" si="163"/>
        <v>-7.875615308641444E-2</v>
      </c>
      <c r="G3549" s="9">
        <f t="shared" si="164"/>
        <v>1.4071854626639381E-2</v>
      </c>
    </row>
    <row r="3550" spans="1:7" x14ac:dyDescent="0.2">
      <c r="A3550" s="11">
        <v>40231</v>
      </c>
      <c r="B3550" s="10">
        <v>326.45159999999998</v>
      </c>
      <c r="C3550" s="10">
        <v>328.49450000000002</v>
      </c>
      <c r="D3550" s="10">
        <v>324.24029999999999</v>
      </c>
      <c r="E3550" s="13">
        <f t="shared" si="165"/>
        <v>6.7967912704301895E-3</v>
      </c>
      <c r="F3550" s="9">
        <f t="shared" si="163"/>
        <v>-5.1655349899287023E-2</v>
      </c>
      <c r="G3550" s="9">
        <f t="shared" si="164"/>
        <v>1.3758494750450708E-2</v>
      </c>
    </row>
    <row r="3551" spans="1:7" x14ac:dyDescent="0.2">
      <c r="A3551" s="11">
        <v>40232</v>
      </c>
      <c r="B3551" s="10">
        <v>318.99669999999998</v>
      </c>
      <c r="C3551" s="10">
        <v>329.00740000000002</v>
      </c>
      <c r="D3551" s="10">
        <v>318.9128</v>
      </c>
      <c r="E3551" s="13">
        <f t="shared" si="165"/>
        <v>-2.3100940926867566E-2</v>
      </c>
      <c r="F3551" s="9">
        <f t="shared" si="163"/>
        <v>-7.582798324894352E-2</v>
      </c>
      <c r="G3551" s="9">
        <f t="shared" si="164"/>
        <v>1.4301018426582315E-2</v>
      </c>
    </row>
    <row r="3552" spans="1:7" x14ac:dyDescent="0.2">
      <c r="A3552" s="11">
        <v>40233</v>
      </c>
      <c r="B3552" s="10">
        <v>319.60820000000001</v>
      </c>
      <c r="C3552" s="10">
        <v>320.69589999999999</v>
      </c>
      <c r="D3552" s="10">
        <v>315.512</v>
      </c>
      <c r="E3552" s="13">
        <f t="shared" si="165"/>
        <v>1.9151127305715662E-3</v>
      </c>
      <c r="F3552" s="9">
        <f t="shared" ref="F3552:F3615" si="166">LN(B3552/B3523)</f>
        <v>-8.5383294997021325E-2</v>
      </c>
      <c r="G3552" s="9">
        <f t="shared" si="164"/>
        <v>1.4073169170967934E-2</v>
      </c>
    </row>
    <row r="3553" spans="1:7" x14ac:dyDescent="0.2">
      <c r="A3553" s="11">
        <v>40234</v>
      </c>
      <c r="B3553" s="10">
        <v>311.7971</v>
      </c>
      <c r="C3553" s="10">
        <v>319.87759999999997</v>
      </c>
      <c r="D3553" s="10">
        <v>311.7971</v>
      </c>
      <c r="E3553" s="13">
        <f t="shared" si="165"/>
        <v>-2.4743214887766578E-2</v>
      </c>
      <c r="F3553" s="9">
        <f t="shared" si="166"/>
        <v>-0.10206616149418855</v>
      </c>
      <c r="G3553" s="9">
        <f t="shared" ref="G3553:G3616" si="167">STDEV(E3525:E3553)</f>
        <v>1.4620115443737964E-2</v>
      </c>
    </row>
    <row r="3554" spans="1:7" x14ac:dyDescent="0.2">
      <c r="A3554" s="11">
        <v>40235</v>
      </c>
      <c r="B3554" s="10">
        <v>317.56970000000001</v>
      </c>
      <c r="C3554" s="10">
        <v>317.63690000000003</v>
      </c>
      <c r="D3554" s="10">
        <v>311.7971</v>
      </c>
      <c r="E3554" s="13">
        <f t="shared" si="165"/>
        <v>1.8344666052597474E-2</v>
      </c>
      <c r="F3554" s="9">
        <f t="shared" si="166"/>
        <v>-8.5661103209783374E-2</v>
      </c>
      <c r="G3554" s="9">
        <f t="shared" si="167"/>
        <v>1.5146779666801445E-2</v>
      </c>
    </row>
    <row r="3555" spans="1:7" x14ac:dyDescent="0.2">
      <c r="A3555" s="11">
        <v>40238</v>
      </c>
      <c r="B3555" s="10">
        <v>326.62970000000001</v>
      </c>
      <c r="C3555" s="10">
        <v>326.70679999999999</v>
      </c>
      <c r="D3555" s="10">
        <v>317.56970000000001</v>
      </c>
      <c r="E3555" s="13">
        <f t="shared" si="165"/>
        <v>2.8129791528603697E-2</v>
      </c>
      <c r="F3555" s="9">
        <f t="shared" si="166"/>
        <v>-5.3762645263657816E-2</v>
      </c>
      <c r="G3555" s="9">
        <f t="shared" si="167"/>
        <v>1.6206633556014632E-2</v>
      </c>
    </row>
    <row r="3556" spans="1:7" x14ac:dyDescent="0.2">
      <c r="A3556" s="11">
        <v>40239</v>
      </c>
      <c r="B3556" s="10">
        <v>327.43400000000003</v>
      </c>
      <c r="C3556" s="10">
        <v>328.58499999999998</v>
      </c>
      <c r="D3556" s="10">
        <v>324.25</v>
      </c>
      <c r="E3556" s="13">
        <f t="shared" si="165"/>
        <v>2.4593947207553419E-3</v>
      </c>
      <c r="F3556" s="9">
        <f t="shared" si="166"/>
        <v>-2.4723748523825764E-2</v>
      </c>
      <c r="G3556" s="9">
        <f t="shared" si="167"/>
        <v>1.5506346113227249E-2</v>
      </c>
    </row>
    <row r="3557" spans="1:7" x14ac:dyDescent="0.2">
      <c r="A3557" s="11">
        <v>40240</v>
      </c>
      <c r="B3557" s="10">
        <v>329.81700000000001</v>
      </c>
      <c r="C3557" s="10">
        <v>330.28449999999998</v>
      </c>
      <c r="D3557" s="10">
        <v>326.19749999999999</v>
      </c>
      <c r="E3557" s="13">
        <f t="shared" si="165"/>
        <v>7.2514471402695402E-3</v>
      </c>
      <c r="F3557" s="9">
        <f t="shared" si="166"/>
        <v>-2.3449140624021442E-3</v>
      </c>
      <c r="G3557" s="9">
        <f t="shared" si="167"/>
        <v>1.5326382068624267E-2</v>
      </c>
    </row>
    <row r="3558" spans="1:7" x14ac:dyDescent="0.2">
      <c r="A3558" s="11">
        <v>40241</v>
      </c>
      <c r="B3558" s="10">
        <v>329.63139999999999</v>
      </c>
      <c r="C3558" s="10">
        <v>332.57839999999999</v>
      </c>
      <c r="D3558" s="10">
        <v>327.24009999999998</v>
      </c>
      <c r="E3558" s="13">
        <f t="shared" si="165"/>
        <v>-5.6289470078516848E-4</v>
      </c>
      <c r="F3558" s="9">
        <f t="shared" si="166"/>
        <v>1.3173124568165292E-2</v>
      </c>
      <c r="G3558" s="9">
        <f t="shared" si="167"/>
        <v>1.5015551285261447E-2</v>
      </c>
    </row>
    <row r="3559" spans="1:7" x14ac:dyDescent="0.2">
      <c r="A3559" s="11">
        <v>40242</v>
      </c>
      <c r="B3559" s="10">
        <v>335.71879999999999</v>
      </c>
      <c r="C3559" s="10">
        <v>335.97140000000002</v>
      </c>
      <c r="D3559" s="10">
        <v>329.63139999999999</v>
      </c>
      <c r="E3559" s="13">
        <f t="shared" si="165"/>
        <v>1.8298844312998105E-2</v>
      </c>
      <c r="F3559" s="9">
        <f t="shared" si="166"/>
        <v>3.0307938661900815E-2</v>
      </c>
      <c r="G3559" s="9">
        <f t="shared" si="167"/>
        <v>1.5377246126066913E-2</v>
      </c>
    </row>
    <row r="3560" spans="1:7" x14ac:dyDescent="0.2">
      <c r="A3560" s="11">
        <v>40245</v>
      </c>
      <c r="B3560" s="10">
        <v>334.49270000000001</v>
      </c>
      <c r="C3560" s="10">
        <v>338.21640000000002</v>
      </c>
      <c r="D3560" s="10">
        <v>334.12430000000001</v>
      </c>
      <c r="E3560" s="13">
        <f t="shared" si="165"/>
        <v>-3.6588490881891817E-3</v>
      </c>
      <c r="F3560" s="9">
        <f t="shared" si="166"/>
        <v>3.3437580336719397E-2</v>
      </c>
      <c r="G3560" s="9">
        <f t="shared" si="167"/>
        <v>1.5331219075386298E-2</v>
      </c>
    </row>
    <row r="3561" spans="1:7" x14ac:dyDescent="0.2">
      <c r="A3561" s="11">
        <v>40246</v>
      </c>
      <c r="B3561" s="10">
        <v>334.09399999999999</v>
      </c>
      <c r="C3561" s="10">
        <v>335.76920000000001</v>
      </c>
      <c r="D3561" s="10">
        <v>330.25130000000001</v>
      </c>
      <c r="E3561" s="13">
        <f t="shared" si="165"/>
        <v>-1.192665206355211E-3</v>
      </c>
      <c r="F3561" s="9">
        <f t="shared" si="166"/>
        <v>3.304958386026409E-2</v>
      </c>
      <c r="G3561" s="9">
        <f t="shared" si="167"/>
        <v>1.533315769396588E-2</v>
      </c>
    </row>
    <row r="3562" spans="1:7" x14ac:dyDescent="0.2">
      <c r="A3562" s="11">
        <v>40247</v>
      </c>
      <c r="B3562" s="10">
        <v>339.26319999999998</v>
      </c>
      <c r="C3562" s="10">
        <v>339.37240000000003</v>
      </c>
      <c r="D3562" s="10">
        <v>332.45240000000001</v>
      </c>
      <c r="E3562" s="13">
        <f t="shared" si="165"/>
        <v>1.5353816810458802E-2</v>
      </c>
      <c r="F3562" s="9">
        <f t="shared" si="166"/>
        <v>4.6061086989455387E-2</v>
      </c>
      <c r="G3562" s="9">
        <f t="shared" si="167"/>
        <v>1.5558322037451243E-2</v>
      </c>
    </row>
    <row r="3563" spans="1:7" x14ac:dyDescent="0.2">
      <c r="A3563" s="11">
        <v>40248</v>
      </c>
      <c r="B3563" s="10">
        <v>335.69990000000001</v>
      </c>
      <c r="C3563" s="10">
        <v>339.37610000000001</v>
      </c>
      <c r="D3563" s="10">
        <v>335.0616</v>
      </c>
      <c r="E3563" s="13">
        <f t="shared" si="165"/>
        <v>-1.0558601215980404E-2</v>
      </c>
      <c r="F3563" s="9">
        <f t="shared" si="166"/>
        <v>1.7711487255154472E-2</v>
      </c>
      <c r="G3563" s="9">
        <f t="shared" si="167"/>
        <v>1.5393673920410782E-2</v>
      </c>
    </row>
    <row r="3564" spans="1:7" x14ac:dyDescent="0.2">
      <c r="A3564" s="11">
        <v>40249</v>
      </c>
      <c r="B3564" s="10">
        <v>337.113</v>
      </c>
      <c r="C3564" s="10">
        <v>340.06220000000002</v>
      </c>
      <c r="D3564" s="10">
        <v>335.69990000000001</v>
      </c>
      <c r="E3564" s="13">
        <f t="shared" si="165"/>
        <v>4.2005796197717681E-3</v>
      </c>
      <c r="F3564" s="9">
        <f t="shared" si="166"/>
        <v>1.9017288213145096E-2</v>
      </c>
      <c r="G3564" s="9">
        <f t="shared" si="167"/>
        <v>1.5402500754546487E-2</v>
      </c>
    </row>
    <row r="3565" spans="1:7" x14ac:dyDescent="0.2">
      <c r="A3565" s="11">
        <v>40252</v>
      </c>
      <c r="B3565" s="10">
        <v>331.51609999999999</v>
      </c>
      <c r="C3565" s="10">
        <v>337.34140000000002</v>
      </c>
      <c r="D3565" s="10">
        <v>331.00220000000002</v>
      </c>
      <c r="E3565" s="13">
        <f t="shared" si="165"/>
        <v>-1.6741810154972114E-2</v>
      </c>
      <c r="F3565" s="9">
        <f t="shared" si="166"/>
        <v>-1.3786210735244612E-2</v>
      </c>
      <c r="G3565" s="9">
        <f t="shared" si="167"/>
        <v>1.5435192102039101E-2</v>
      </c>
    </row>
    <row r="3566" spans="1:7" x14ac:dyDescent="0.2">
      <c r="A3566" s="11">
        <v>40253</v>
      </c>
      <c r="B3566" s="10">
        <v>336.62889999999999</v>
      </c>
      <c r="C3566" s="10">
        <v>336.94650000000001</v>
      </c>
      <c r="D3566" s="10">
        <v>331.51609999999999</v>
      </c>
      <c r="E3566" s="13">
        <f t="shared" si="165"/>
        <v>1.5304761091198516E-2</v>
      </c>
      <c r="F3566" s="9">
        <f t="shared" si="166"/>
        <v>3.9128357195699548E-3</v>
      </c>
      <c r="G3566" s="9">
        <f t="shared" si="167"/>
        <v>1.5704177440976078E-2</v>
      </c>
    </row>
    <row r="3567" spans="1:7" x14ac:dyDescent="0.2">
      <c r="A3567" s="11">
        <v>40254</v>
      </c>
      <c r="B3567" s="10">
        <v>338.46929999999998</v>
      </c>
      <c r="C3567" s="10">
        <v>340.38499999999999</v>
      </c>
      <c r="D3567" s="10">
        <v>336.62889999999999</v>
      </c>
      <c r="E3567" s="13">
        <f t="shared" si="165"/>
        <v>5.4522573431407002E-3</v>
      </c>
      <c r="F3567" s="9">
        <f t="shared" si="166"/>
        <v>4.1573908574755715E-2</v>
      </c>
      <c r="G3567" s="9">
        <f t="shared" si="167"/>
        <v>1.4440321645301488E-2</v>
      </c>
    </row>
    <row r="3568" spans="1:7" x14ac:dyDescent="0.2">
      <c r="A3568" s="11">
        <v>40255</v>
      </c>
      <c r="B3568" s="10">
        <v>335.81549999999999</v>
      </c>
      <c r="C3568" s="10">
        <v>339.84429999999998</v>
      </c>
      <c r="D3568" s="10">
        <v>334.9126</v>
      </c>
      <c r="E3568" s="13">
        <f t="shared" si="165"/>
        <v>-7.8714919942589855E-3</v>
      </c>
      <c r="F3568" s="9">
        <f t="shared" si="166"/>
        <v>5.203873383837989E-2</v>
      </c>
      <c r="G3568" s="9">
        <f t="shared" si="167"/>
        <v>1.4054231780115271E-2</v>
      </c>
    </row>
    <row r="3569" spans="1:7" x14ac:dyDescent="0.2">
      <c r="A3569" s="11">
        <v>40256</v>
      </c>
      <c r="B3569" s="10">
        <v>334.93040000000002</v>
      </c>
      <c r="C3569" s="10">
        <v>338.1703</v>
      </c>
      <c r="D3569" s="10">
        <v>333.87220000000002</v>
      </c>
      <c r="E3569" s="13">
        <f t="shared" si="165"/>
        <v>-2.639152960118431E-3</v>
      </c>
      <c r="F3569" s="9">
        <f t="shared" si="166"/>
        <v>6.0073465160795099E-2</v>
      </c>
      <c r="G3569" s="9">
        <f t="shared" si="167"/>
        <v>1.3877746338730233E-2</v>
      </c>
    </row>
    <row r="3570" spans="1:7" x14ac:dyDescent="0.2">
      <c r="A3570" s="11">
        <v>40259</v>
      </c>
      <c r="B3570" s="10">
        <v>335.53899999999999</v>
      </c>
      <c r="C3570" s="10">
        <v>336.22489999999999</v>
      </c>
      <c r="D3570" s="10">
        <v>330.78739999999999</v>
      </c>
      <c r="E3570" s="13">
        <f t="shared" si="165"/>
        <v>1.8154450215147042E-3</v>
      </c>
      <c r="F3570" s="9">
        <f t="shared" si="166"/>
        <v>4.9463352720384296E-2</v>
      </c>
      <c r="G3570" s="9">
        <f t="shared" si="167"/>
        <v>1.3734145106119641E-2</v>
      </c>
    </row>
    <row r="3571" spans="1:7" x14ac:dyDescent="0.2">
      <c r="A3571" s="11">
        <v>40260</v>
      </c>
      <c r="B3571" s="10">
        <v>341.23649999999998</v>
      </c>
      <c r="C3571" s="10">
        <v>341.2405</v>
      </c>
      <c r="D3571" s="10">
        <v>335.53899999999999</v>
      </c>
      <c r="E3571" s="13">
        <f t="shared" si="165"/>
        <v>1.683759120986936E-2</v>
      </c>
      <c r="F3571" s="9">
        <f t="shared" si="166"/>
        <v>8.7594747011657925E-2</v>
      </c>
      <c r="G3571" s="9">
        <f t="shared" si="167"/>
        <v>1.3271092158615699E-2</v>
      </c>
    </row>
    <row r="3572" spans="1:7" x14ac:dyDescent="0.2">
      <c r="A3572" s="11">
        <v>40261</v>
      </c>
      <c r="B3572" s="10">
        <v>340.15350000000001</v>
      </c>
      <c r="C3572" s="10">
        <v>341.97199999999998</v>
      </c>
      <c r="D3572" s="10">
        <v>336.95620000000002</v>
      </c>
      <c r="E3572" s="13">
        <f t="shared" si="165"/>
        <v>-3.1787989608144229E-3</v>
      </c>
      <c r="F3572" s="9">
        <f t="shared" si="166"/>
        <v>7.5585749790185244E-2</v>
      </c>
      <c r="G3572" s="9">
        <f t="shared" si="167"/>
        <v>1.3270696491844635E-2</v>
      </c>
    </row>
    <row r="3573" spans="1:7" x14ac:dyDescent="0.2">
      <c r="A3573" s="11">
        <v>40262</v>
      </c>
      <c r="B3573" s="10">
        <v>342.6764</v>
      </c>
      <c r="C3573" s="10">
        <v>343.59960000000001</v>
      </c>
      <c r="D3573" s="10">
        <v>338.57229999999998</v>
      </c>
      <c r="E3573" s="13">
        <f t="shared" si="165"/>
        <v>7.3895752965967079E-3</v>
      </c>
      <c r="F3573" s="9">
        <f t="shared" si="166"/>
        <v>9.7169870747467343E-2</v>
      </c>
      <c r="G3573" s="9">
        <f t="shared" si="167"/>
        <v>1.2894712272030649E-2</v>
      </c>
    </row>
    <row r="3574" spans="1:7" x14ac:dyDescent="0.2">
      <c r="A3574" s="11">
        <v>40263</v>
      </c>
      <c r="B3574" s="10">
        <v>339.16030000000001</v>
      </c>
      <c r="C3574" s="10">
        <v>342.6764</v>
      </c>
      <c r="D3574" s="10">
        <v>338.70589999999999</v>
      </c>
      <c r="E3574" s="13">
        <f t="shared" si="165"/>
        <v>-1.0313704639174389E-2</v>
      </c>
      <c r="F3574" s="9">
        <f t="shared" si="166"/>
        <v>9.5447852798628233E-2</v>
      </c>
      <c r="G3574" s="9">
        <f t="shared" si="167"/>
        <v>1.295549246210221E-2</v>
      </c>
    </row>
    <row r="3575" spans="1:7" x14ac:dyDescent="0.2">
      <c r="A3575" s="11">
        <v>40266</v>
      </c>
      <c r="B3575" s="10">
        <v>340.00310000000002</v>
      </c>
      <c r="C3575" s="10">
        <v>340.73899999999998</v>
      </c>
      <c r="D3575" s="10">
        <v>338.74119999999999</v>
      </c>
      <c r="E3575" s="13">
        <f t="shared" si="165"/>
        <v>2.4818782420184655E-3</v>
      </c>
      <c r="F3575" s="9">
        <f t="shared" si="166"/>
        <v>7.3395766265162657E-2</v>
      </c>
      <c r="G3575" s="9">
        <f t="shared" si="167"/>
        <v>1.229443804389984E-2</v>
      </c>
    </row>
    <row r="3576" spans="1:7" x14ac:dyDescent="0.2">
      <c r="A3576" s="11">
        <v>40267</v>
      </c>
      <c r="B3576" s="10">
        <v>338.64949999999999</v>
      </c>
      <c r="C3576" s="10">
        <v>342.1361</v>
      </c>
      <c r="D3576" s="10">
        <v>338.64530000000002</v>
      </c>
      <c r="E3576" s="13">
        <f t="shared" si="165"/>
        <v>-3.9890860064905583E-3</v>
      </c>
      <c r="F3576" s="9">
        <f t="shared" si="166"/>
        <v>6.3461900630002593E-2</v>
      </c>
      <c r="G3576" s="9">
        <f t="shared" si="167"/>
        <v>1.2334247311593972E-2</v>
      </c>
    </row>
    <row r="3577" spans="1:7" x14ac:dyDescent="0.2">
      <c r="A3577" s="11">
        <v>40268</v>
      </c>
      <c r="B3577" s="10">
        <v>342.61059999999998</v>
      </c>
      <c r="C3577" s="10">
        <v>342.61059999999998</v>
      </c>
      <c r="D3577" s="10">
        <v>338.30059999999997</v>
      </c>
      <c r="E3577" s="13">
        <f t="shared" si="165"/>
        <v>1.1628876073751994E-2</v>
      </c>
      <c r="F3577" s="9">
        <f t="shared" si="166"/>
        <v>6.7201604206428511E-2</v>
      </c>
      <c r="G3577" s="9">
        <f t="shared" si="167"/>
        <v>1.2415261854953003E-2</v>
      </c>
    </row>
    <row r="3578" spans="1:7" x14ac:dyDescent="0.2">
      <c r="A3578" s="11">
        <v>40274</v>
      </c>
      <c r="B3578" s="10">
        <v>350.94409999999999</v>
      </c>
      <c r="C3578" s="10">
        <v>352.42529999999999</v>
      </c>
      <c r="D3578" s="10">
        <v>342.61059999999998</v>
      </c>
      <c r="E3578" s="13">
        <f t="shared" si="165"/>
        <v>2.4032426240542217E-2</v>
      </c>
      <c r="F3578" s="9">
        <f t="shared" si="166"/>
        <v>7.9142043963316477E-2</v>
      </c>
      <c r="G3578" s="9">
        <f t="shared" si="167"/>
        <v>1.2937998156454449E-2</v>
      </c>
    </row>
    <row r="3579" spans="1:7" x14ac:dyDescent="0.2">
      <c r="A3579" s="11">
        <v>40275</v>
      </c>
      <c r="B3579" s="10">
        <v>350.08519999999999</v>
      </c>
      <c r="C3579" s="10">
        <v>351.89339999999999</v>
      </c>
      <c r="D3579" s="10">
        <v>349.62959999999998</v>
      </c>
      <c r="E3579" s="13">
        <f t="shared" si="165"/>
        <v>-2.4503980925434476E-3</v>
      </c>
      <c r="F3579" s="9">
        <f t="shared" si="166"/>
        <v>6.9894854600342879E-2</v>
      </c>
      <c r="G3579" s="9">
        <f t="shared" si="167"/>
        <v>1.2948112883104016E-2</v>
      </c>
    </row>
    <row r="3580" spans="1:7" x14ac:dyDescent="0.2">
      <c r="A3580" s="11">
        <v>40276</v>
      </c>
      <c r="B3580" s="10">
        <v>348.41950000000003</v>
      </c>
      <c r="C3580" s="10">
        <v>350.08519999999999</v>
      </c>
      <c r="D3580" s="10">
        <v>346.56420000000003</v>
      </c>
      <c r="E3580" s="13">
        <f t="shared" si="165"/>
        <v>-4.7693398696294423E-3</v>
      </c>
      <c r="F3580" s="9">
        <f t="shared" si="166"/>
        <v>8.8226455657581027E-2</v>
      </c>
      <c r="G3580" s="9">
        <f t="shared" si="167"/>
        <v>1.2076308552176606E-2</v>
      </c>
    </row>
    <row r="3581" spans="1:7" x14ac:dyDescent="0.2">
      <c r="A3581" s="11">
        <v>40277</v>
      </c>
      <c r="B3581" s="10">
        <v>352.92509999999999</v>
      </c>
      <c r="C3581" s="10">
        <v>353.37150000000003</v>
      </c>
      <c r="D3581" s="10">
        <v>348.41950000000003</v>
      </c>
      <c r="E3581" s="13">
        <f t="shared" si="165"/>
        <v>1.2848639555212031E-2</v>
      </c>
      <c r="F3581" s="9">
        <f t="shared" si="166"/>
        <v>9.9159982482221368E-2</v>
      </c>
      <c r="G3581" s="9">
        <f t="shared" si="167"/>
        <v>1.2209794343163801E-2</v>
      </c>
    </row>
    <row r="3582" spans="1:7" x14ac:dyDescent="0.2">
      <c r="A3582" s="11">
        <v>40280</v>
      </c>
      <c r="B3582" s="10">
        <v>353.37</v>
      </c>
      <c r="C3582" s="10">
        <v>356.12</v>
      </c>
      <c r="D3582" s="10">
        <v>351.42</v>
      </c>
      <c r="E3582" s="13">
        <f t="shared" si="165"/>
        <v>1.259813522259611E-3</v>
      </c>
      <c r="F3582" s="9">
        <f t="shared" si="166"/>
        <v>0.12516301089224749</v>
      </c>
      <c r="G3582" s="9">
        <f t="shared" si="167"/>
        <v>1.0958418219300407E-2</v>
      </c>
    </row>
    <row r="3583" spans="1:7" x14ac:dyDescent="0.2">
      <c r="A3583" s="11">
        <v>40281</v>
      </c>
      <c r="B3583" s="10">
        <v>347.9</v>
      </c>
      <c r="C3583" s="10">
        <v>353.37</v>
      </c>
      <c r="D3583" s="10">
        <v>347.19</v>
      </c>
      <c r="E3583" s="13">
        <f t="shared" si="165"/>
        <v>-1.5600584480906505E-2</v>
      </c>
      <c r="F3583" s="9">
        <f t="shared" si="166"/>
        <v>9.1217760358743391E-2</v>
      </c>
      <c r="G3583" s="9">
        <f t="shared" si="167"/>
        <v>1.1216322278402458E-2</v>
      </c>
    </row>
    <row r="3584" spans="1:7" x14ac:dyDescent="0.2">
      <c r="A3584" s="11">
        <v>40282</v>
      </c>
      <c r="B3584" s="10">
        <v>353.2</v>
      </c>
      <c r="C3584" s="10">
        <v>353.39</v>
      </c>
      <c r="D3584" s="10">
        <v>347.9</v>
      </c>
      <c r="E3584" s="13">
        <f t="shared" si="165"/>
        <v>1.511938657190859E-2</v>
      </c>
      <c r="F3584" s="9">
        <f t="shared" si="166"/>
        <v>7.8207355402048498E-2</v>
      </c>
      <c r="G3584" s="9">
        <f t="shared" si="167"/>
        <v>1.0412707637589551E-2</v>
      </c>
    </row>
    <row r="3585" spans="1:7" x14ac:dyDescent="0.2">
      <c r="A3585" s="11">
        <v>40283</v>
      </c>
      <c r="B3585" s="10">
        <v>356.42</v>
      </c>
      <c r="C3585" s="10">
        <v>356.96</v>
      </c>
      <c r="D3585" s="10">
        <v>352.73</v>
      </c>
      <c r="E3585" s="13">
        <f t="shared" si="165"/>
        <v>9.0753420151484018E-3</v>
      </c>
      <c r="F3585" s="9">
        <f t="shared" si="166"/>
        <v>8.4823302696441435E-2</v>
      </c>
      <c r="G3585" s="9">
        <f t="shared" si="167"/>
        <v>1.0479581301697533E-2</v>
      </c>
    </row>
    <row r="3586" spans="1:7" x14ac:dyDescent="0.2">
      <c r="A3586" s="11">
        <v>40284</v>
      </c>
      <c r="B3586" s="10">
        <v>351.56</v>
      </c>
      <c r="C3586" s="10">
        <v>356.94</v>
      </c>
      <c r="D3586" s="10">
        <v>350.73</v>
      </c>
      <c r="E3586" s="13">
        <f t="shared" si="165"/>
        <v>-1.3729417048508811E-2</v>
      </c>
      <c r="F3586" s="9">
        <f t="shared" si="166"/>
        <v>6.3842438507663024E-2</v>
      </c>
      <c r="G3586" s="9">
        <f t="shared" si="167"/>
        <v>1.0886550172522953E-2</v>
      </c>
    </row>
    <row r="3587" spans="1:7" x14ac:dyDescent="0.2">
      <c r="A3587" s="11">
        <v>40287</v>
      </c>
      <c r="B3587" s="10">
        <v>346.94</v>
      </c>
      <c r="C3587" s="10">
        <v>351.56</v>
      </c>
      <c r="D3587" s="10">
        <v>343.88</v>
      </c>
      <c r="E3587" s="13">
        <f t="shared" si="165"/>
        <v>-1.3228539363181649E-2</v>
      </c>
      <c r="F3587" s="9">
        <f t="shared" si="166"/>
        <v>5.1176793845266612E-2</v>
      </c>
      <c r="G3587" s="9">
        <f t="shared" si="167"/>
        <v>1.1249423676712987E-2</v>
      </c>
    </row>
    <row r="3588" spans="1:7" x14ac:dyDescent="0.2">
      <c r="A3588" s="11">
        <v>40288</v>
      </c>
      <c r="B3588" s="10">
        <v>353.97</v>
      </c>
      <c r="C3588" s="10">
        <v>353.97</v>
      </c>
      <c r="D3588" s="10">
        <v>346.85</v>
      </c>
      <c r="E3588" s="13">
        <f t="shared" ref="E3588:E3651" si="168">LN(B3588/B3587)</f>
        <v>2.0060309446674748E-2</v>
      </c>
      <c r="F3588" s="9">
        <f t="shared" si="166"/>
        <v>5.2938258978943206E-2</v>
      </c>
      <c r="G3588" s="9">
        <f t="shared" si="167"/>
        <v>1.1346225411995913E-2</v>
      </c>
    </row>
    <row r="3589" spans="1:7" x14ac:dyDescent="0.2">
      <c r="A3589" s="11">
        <v>40289</v>
      </c>
      <c r="B3589" s="10">
        <v>353.33</v>
      </c>
      <c r="C3589" s="10">
        <v>357.14</v>
      </c>
      <c r="D3589" s="10">
        <v>352.38</v>
      </c>
      <c r="E3589" s="13">
        <f t="shared" si="168"/>
        <v>-1.8096993486987375E-3</v>
      </c>
      <c r="F3589" s="9">
        <f t="shared" si="166"/>
        <v>5.4787408718433558E-2</v>
      </c>
      <c r="G3589" s="9">
        <f t="shared" si="167"/>
        <v>1.1319468232175219E-2</v>
      </c>
    </row>
    <row r="3590" spans="1:7" x14ac:dyDescent="0.2">
      <c r="A3590" s="11">
        <v>40290</v>
      </c>
      <c r="B3590" s="10">
        <v>352.35</v>
      </c>
      <c r="C3590" s="10">
        <v>355.43</v>
      </c>
      <c r="D3590" s="10">
        <v>349.88</v>
      </c>
      <c r="E3590" s="13">
        <f t="shared" si="168"/>
        <v>-2.7774646582072347E-3</v>
      </c>
      <c r="F3590" s="9">
        <f t="shared" si="166"/>
        <v>5.3202609266581428E-2</v>
      </c>
      <c r="G3590" s="9">
        <f t="shared" si="167"/>
        <v>1.1338687621752944E-2</v>
      </c>
    </row>
    <row r="3591" spans="1:7" x14ac:dyDescent="0.2">
      <c r="A3591" s="11">
        <v>40291</v>
      </c>
      <c r="B3591" s="10">
        <v>356.07</v>
      </c>
      <c r="C3591" s="10">
        <v>356.64</v>
      </c>
      <c r="D3591" s="10">
        <v>352.21</v>
      </c>
      <c r="E3591" s="13">
        <f t="shared" si="168"/>
        <v>1.0502340963492045E-2</v>
      </c>
      <c r="F3591" s="9">
        <f t="shared" si="166"/>
        <v>4.835113341961457E-2</v>
      </c>
      <c r="G3591" s="9">
        <f t="shared" si="167"/>
        <v>1.1166582906806163E-2</v>
      </c>
    </row>
    <row r="3592" spans="1:7" x14ac:dyDescent="0.2">
      <c r="A3592" s="11">
        <v>40294</v>
      </c>
      <c r="B3592" s="10">
        <v>358.08</v>
      </c>
      <c r="C3592" s="10">
        <v>360.61</v>
      </c>
      <c r="D3592" s="10">
        <v>356.02</v>
      </c>
      <c r="E3592" s="13">
        <f t="shared" si="168"/>
        <v>5.629084387036922E-3</v>
      </c>
      <c r="F3592" s="9">
        <f t="shared" si="166"/>
        <v>6.4538819022631921E-2</v>
      </c>
      <c r="G3592" s="9">
        <f t="shared" si="167"/>
        <v>1.0935819049724342E-2</v>
      </c>
    </row>
    <row r="3593" spans="1:7" x14ac:dyDescent="0.2">
      <c r="A3593" s="11">
        <v>40295</v>
      </c>
      <c r="B3593" s="10">
        <v>352.99</v>
      </c>
      <c r="C3593" s="10">
        <v>360.36</v>
      </c>
      <c r="D3593" s="10">
        <v>352.99</v>
      </c>
      <c r="E3593" s="13">
        <f t="shared" si="168"/>
        <v>-1.431669720342435E-2</v>
      </c>
      <c r="F3593" s="9">
        <f t="shared" si="166"/>
        <v>4.602154219943573E-2</v>
      </c>
      <c r="G3593" s="9">
        <f t="shared" si="167"/>
        <v>1.1349163867827944E-2</v>
      </c>
    </row>
    <row r="3594" spans="1:7" x14ac:dyDescent="0.2">
      <c r="A3594" s="11">
        <v>40296</v>
      </c>
      <c r="B3594" s="10">
        <v>346.69</v>
      </c>
      <c r="C3594" s="10">
        <v>352.99</v>
      </c>
      <c r="D3594" s="10">
        <v>344.57</v>
      </c>
      <c r="E3594" s="13">
        <f t="shared" si="168"/>
        <v>-1.8008719025580808E-2</v>
      </c>
      <c r="F3594" s="9">
        <f t="shared" si="166"/>
        <v>4.4754633328827065E-2</v>
      </c>
      <c r="G3594" s="9">
        <f t="shared" si="167"/>
        <v>1.1424425622004884E-2</v>
      </c>
    </row>
    <row r="3595" spans="1:7" x14ac:dyDescent="0.2">
      <c r="A3595" s="11">
        <v>40297</v>
      </c>
      <c r="B3595" s="10">
        <v>351.98</v>
      </c>
      <c r="C3595" s="10">
        <v>353.34</v>
      </c>
      <c r="D3595" s="10">
        <v>346.37</v>
      </c>
      <c r="E3595" s="13">
        <f t="shared" si="168"/>
        <v>1.5143346907509765E-2</v>
      </c>
      <c r="F3595" s="9">
        <f t="shared" si="166"/>
        <v>4.4593219145138252E-2</v>
      </c>
      <c r="G3595" s="9">
        <f t="shared" si="167"/>
        <v>1.141751877037391E-2</v>
      </c>
    </row>
    <row r="3596" spans="1:7" x14ac:dyDescent="0.2">
      <c r="A3596" s="11">
        <v>40298</v>
      </c>
      <c r="B3596" s="10">
        <v>348.15</v>
      </c>
      <c r="C3596" s="10">
        <v>355.1</v>
      </c>
      <c r="D3596" s="10">
        <v>346.86</v>
      </c>
      <c r="E3596" s="13">
        <f t="shared" si="168"/>
        <v>-1.0940934413509197E-2</v>
      </c>
      <c r="F3596" s="9">
        <f t="shared" si="166"/>
        <v>2.8200027388488244E-2</v>
      </c>
      <c r="G3596" s="9">
        <f t="shared" si="167"/>
        <v>1.1620791494180603E-2</v>
      </c>
    </row>
    <row r="3597" spans="1:7" x14ac:dyDescent="0.2">
      <c r="A3597" s="11">
        <v>40301</v>
      </c>
      <c r="B3597" s="10">
        <v>349.93</v>
      </c>
      <c r="C3597" s="10">
        <v>350.46</v>
      </c>
      <c r="D3597" s="10">
        <v>345.36</v>
      </c>
      <c r="E3597" s="13">
        <f t="shared" si="168"/>
        <v>5.0997130922366988E-3</v>
      </c>
      <c r="F3597" s="9">
        <f t="shared" si="166"/>
        <v>4.1171232474983929E-2</v>
      </c>
      <c r="G3597" s="9">
        <f t="shared" si="167"/>
        <v>1.1517403547602922E-2</v>
      </c>
    </row>
    <row r="3598" spans="1:7" x14ac:dyDescent="0.2">
      <c r="A3598" s="11">
        <v>40302</v>
      </c>
      <c r="B3598" s="10">
        <v>340.33</v>
      </c>
      <c r="C3598" s="10">
        <v>352.98</v>
      </c>
      <c r="D3598" s="10">
        <v>339.26</v>
      </c>
      <c r="E3598" s="13">
        <f t="shared" si="168"/>
        <v>-2.7817399351495922E-2</v>
      </c>
      <c r="F3598" s="9">
        <f t="shared" si="166"/>
        <v>1.5992986083606268E-2</v>
      </c>
      <c r="G3598" s="9">
        <f t="shared" si="167"/>
        <v>1.2720469721500942E-2</v>
      </c>
    </row>
    <row r="3599" spans="1:7" x14ac:dyDescent="0.2">
      <c r="A3599" s="11">
        <v>40303</v>
      </c>
      <c r="B3599" s="10">
        <v>334.38</v>
      </c>
      <c r="C3599" s="10">
        <v>342.66</v>
      </c>
      <c r="D3599" s="10">
        <v>330.99</v>
      </c>
      <c r="E3599" s="13">
        <f t="shared" si="168"/>
        <v>-1.7637664319796412E-2</v>
      </c>
      <c r="F3599" s="9">
        <f t="shared" si="166"/>
        <v>-3.4601232577048569E-3</v>
      </c>
      <c r="G3599" s="9">
        <f t="shared" si="167"/>
        <v>1.3156866981369952E-2</v>
      </c>
    </row>
    <row r="3600" spans="1:7" x14ac:dyDescent="0.2">
      <c r="A3600" s="11">
        <v>40304</v>
      </c>
      <c r="B3600" s="10">
        <v>326.73</v>
      </c>
      <c r="C3600" s="10">
        <v>335.84</v>
      </c>
      <c r="D3600" s="10">
        <v>326.17</v>
      </c>
      <c r="E3600" s="13">
        <f t="shared" si="168"/>
        <v>-2.3143929053795122E-2</v>
      </c>
      <c r="F3600" s="9">
        <f t="shared" si="166"/>
        <v>-4.3441643521369346E-2</v>
      </c>
      <c r="G3600" s="9">
        <f t="shared" si="167"/>
        <v>1.340890287263926E-2</v>
      </c>
    </row>
    <row r="3601" spans="1:7" x14ac:dyDescent="0.2">
      <c r="A3601" s="11">
        <v>40305</v>
      </c>
      <c r="B3601" s="10">
        <v>317.82</v>
      </c>
      <c r="C3601" s="10">
        <v>326.73</v>
      </c>
      <c r="D3601" s="10">
        <v>312.24</v>
      </c>
      <c r="E3601" s="13">
        <f t="shared" si="168"/>
        <v>-2.7648956971214479E-2</v>
      </c>
      <c r="F3601" s="9">
        <f t="shared" si="166"/>
        <v>-6.7911801531769511E-2</v>
      </c>
      <c r="G3601" s="9">
        <f t="shared" si="167"/>
        <v>1.426129016153015E-2</v>
      </c>
    </row>
    <row r="3602" spans="1:7" x14ac:dyDescent="0.2">
      <c r="A3602" s="11">
        <v>40308</v>
      </c>
      <c r="B3602" s="10">
        <v>338.46</v>
      </c>
      <c r="C3602" s="10">
        <v>338.46</v>
      </c>
      <c r="D3602" s="10">
        <v>317.82</v>
      </c>
      <c r="E3602" s="13">
        <f t="shared" si="168"/>
        <v>6.2920732195449483E-2</v>
      </c>
      <c r="F3602" s="9">
        <f t="shared" si="166"/>
        <v>-1.2380644632916835E-2</v>
      </c>
      <c r="G3602" s="9">
        <f t="shared" si="167"/>
        <v>1.8663299766556021E-2</v>
      </c>
    </row>
    <row r="3603" spans="1:7" x14ac:dyDescent="0.2">
      <c r="A3603" s="11">
        <v>40309</v>
      </c>
      <c r="B3603" s="10">
        <v>335.8</v>
      </c>
      <c r="C3603" s="10">
        <v>338.46</v>
      </c>
      <c r="D3603" s="10">
        <v>330.47</v>
      </c>
      <c r="E3603" s="13">
        <f t="shared" si="168"/>
        <v>-7.8901723364992443E-3</v>
      </c>
      <c r="F3603" s="9">
        <f t="shared" si="166"/>
        <v>-9.957112330241609E-3</v>
      </c>
      <c r="G3603" s="9">
        <f t="shared" si="167"/>
        <v>1.8622829991683267E-2</v>
      </c>
    </row>
    <row r="3604" spans="1:7" x14ac:dyDescent="0.2">
      <c r="A3604" s="11">
        <v>40310</v>
      </c>
      <c r="B3604" s="10">
        <v>342.02</v>
      </c>
      <c r="C3604" s="10">
        <v>342.91</v>
      </c>
      <c r="D3604" s="10">
        <v>333.55</v>
      </c>
      <c r="E3604" s="13">
        <f t="shared" si="168"/>
        <v>1.8353470241467173E-2</v>
      </c>
      <c r="F3604" s="9">
        <f t="shared" si="166"/>
        <v>5.9144796692071379E-3</v>
      </c>
      <c r="G3604" s="9">
        <f t="shared" si="167"/>
        <v>1.8939355266285429E-2</v>
      </c>
    </row>
    <row r="3605" spans="1:7" x14ac:dyDescent="0.2">
      <c r="A3605" s="11">
        <v>40312</v>
      </c>
      <c r="B3605" s="10">
        <v>329.66</v>
      </c>
      <c r="C3605" s="10">
        <v>342.98</v>
      </c>
      <c r="D3605" s="10">
        <v>329.66</v>
      </c>
      <c r="E3605" s="13">
        <f t="shared" si="168"/>
        <v>-3.6807394581697711E-2</v>
      </c>
      <c r="F3605" s="9">
        <f t="shared" si="166"/>
        <v>-2.6903828905999991E-2</v>
      </c>
      <c r="G3605" s="9">
        <f t="shared" si="167"/>
        <v>2.0141194053331327E-2</v>
      </c>
    </row>
    <row r="3606" spans="1:7" x14ac:dyDescent="0.2">
      <c r="A3606" s="11">
        <v>40316</v>
      </c>
      <c r="B3606" s="10">
        <v>332.42</v>
      </c>
      <c r="C3606" s="10">
        <v>335.63</v>
      </c>
      <c r="D3606" s="10">
        <v>329.66</v>
      </c>
      <c r="E3606" s="13">
        <f t="shared" si="168"/>
        <v>8.3374093397541697E-3</v>
      </c>
      <c r="F3606" s="9">
        <f t="shared" si="166"/>
        <v>-3.0195295639997767E-2</v>
      </c>
      <c r="G3606" s="9">
        <f t="shared" si="167"/>
        <v>2.0077080475412352E-2</v>
      </c>
    </row>
    <row r="3607" spans="1:7" x14ac:dyDescent="0.2">
      <c r="A3607" s="11">
        <v>40317</v>
      </c>
      <c r="B3607" s="10">
        <v>318.33999999999997</v>
      </c>
      <c r="C3607" s="10">
        <v>332.42</v>
      </c>
      <c r="D3607" s="10">
        <v>317.88</v>
      </c>
      <c r="E3607" s="13">
        <f t="shared" si="168"/>
        <v>-4.3279235641255888E-2</v>
      </c>
      <c r="F3607" s="9">
        <f t="shared" si="166"/>
        <v>-9.7506957521795862E-2</v>
      </c>
      <c r="G3607" s="9">
        <f t="shared" si="167"/>
        <v>2.0946890808391769E-2</v>
      </c>
    </row>
    <row r="3608" spans="1:7" x14ac:dyDescent="0.2">
      <c r="A3608" s="11">
        <v>40318</v>
      </c>
      <c r="B3608" s="10">
        <v>308.66000000000003</v>
      </c>
      <c r="C3608" s="10">
        <v>325.39999999999998</v>
      </c>
      <c r="D3608" s="10">
        <v>303.24</v>
      </c>
      <c r="E3608" s="13">
        <f t="shared" si="168"/>
        <v>-3.0879646529022725E-2</v>
      </c>
      <c r="F3608" s="9">
        <f t="shared" si="166"/>
        <v>-0.12593620595827515</v>
      </c>
      <c r="G3608" s="9">
        <f t="shared" si="167"/>
        <v>2.1558993091383372E-2</v>
      </c>
    </row>
    <row r="3609" spans="1:7" x14ac:dyDescent="0.2">
      <c r="A3609" s="11">
        <v>40319</v>
      </c>
      <c r="B3609" s="10">
        <v>313.94</v>
      </c>
      <c r="C3609" s="10">
        <v>313.94</v>
      </c>
      <c r="D3609" s="10">
        <v>302.01</v>
      </c>
      <c r="E3609" s="13">
        <f t="shared" si="168"/>
        <v>1.6961537374375286E-2</v>
      </c>
      <c r="F3609" s="9">
        <f t="shared" si="166"/>
        <v>-0.10420532871427032</v>
      </c>
      <c r="G3609" s="9">
        <f t="shared" si="167"/>
        <v>2.1918295251871223E-2</v>
      </c>
    </row>
    <row r="3610" spans="1:7" x14ac:dyDescent="0.2">
      <c r="A3610" s="11">
        <v>40323</v>
      </c>
      <c r="B3610" s="10">
        <v>302.83999999999997</v>
      </c>
      <c r="C3610" s="10">
        <v>313.94</v>
      </c>
      <c r="D3610" s="10">
        <v>297.55</v>
      </c>
      <c r="E3610" s="13">
        <f t="shared" si="168"/>
        <v>-3.5997271611955123E-2</v>
      </c>
      <c r="F3610" s="9">
        <f t="shared" si="166"/>
        <v>-0.15305123988143732</v>
      </c>
      <c r="G3610" s="9">
        <f t="shared" si="167"/>
        <v>2.247930374444981E-2</v>
      </c>
    </row>
    <row r="3611" spans="1:7" x14ac:dyDescent="0.2">
      <c r="A3611" s="11">
        <v>40324</v>
      </c>
      <c r="B3611" s="10">
        <v>316.70999999999998</v>
      </c>
      <c r="C3611" s="10">
        <v>317.82</v>
      </c>
      <c r="D3611" s="10">
        <v>302.83999999999997</v>
      </c>
      <c r="E3611" s="13">
        <f t="shared" si="168"/>
        <v>4.4781915434607231E-2</v>
      </c>
      <c r="F3611" s="9">
        <f t="shared" si="166"/>
        <v>-0.1095291379690897</v>
      </c>
      <c r="G3611" s="9">
        <f t="shared" si="167"/>
        <v>2.4309638167751547E-2</v>
      </c>
    </row>
    <row r="3612" spans="1:7" x14ac:dyDescent="0.2">
      <c r="A3612" s="11">
        <v>40325</v>
      </c>
      <c r="B3612" s="10">
        <v>323.02999999999997</v>
      </c>
      <c r="C3612" s="10">
        <v>323.12</v>
      </c>
      <c r="D3612" s="10">
        <v>316.58999999999997</v>
      </c>
      <c r="E3612" s="13">
        <f t="shared" si="168"/>
        <v>1.9758669496898223E-2</v>
      </c>
      <c r="F3612" s="9">
        <f t="shared" si="166"/>
        <v>-7.4169883991284977E-2</v>
      </c>
      <c r="G3612" s="9">
        <f t="shared" si="167"/>
        <v>2.4580659060696227E-2</v>
      </c>
    </row>
    <row r="3613" spans="1:7" x14ac:dyDescent="0.2">
      <c r="A3613" s="11">
        <v>40326</v>
      </c>
      <c r="B3613" s="10">
        <v>318.69</v>
      </c>
      <c r="C3613" s="10">
        <v>325.02</v>
      </c>
      <c r="D3613" s="10">
        <v>318.08</v>
      </c>
      <c r="E3613" s="13">
        <f t="shared" si="168"/>
        <v>-1.352635470657948E-2</v>
      </c>
      <c r="F3613" s="9">
        <f t="shared" si="166"/>
        <v>-0.10281562526977317</v>
      </c>
      <c r="G3613" s="9">
        <f t="shared" si="167"/>
        <v>2.441997815816882E-2</v>
      </c>
    </row>
    <row r="3614" spans="1:7" x14ac:dyDescent="0.2">
      <c r="A3614" s="11">
        <v>40329</v>
      </c>
      <c r="B3614" s="10">
        <v>313.2</v>
      </c>
      <c r="C3614" s="10">
        <v>319.77999999999997</v>
      </c>
      <c r="D3614" s="10">
        <v>313.2</v>
      </c>
      <c r="E3614" s="13">
        <f t="shared" si="168"/>
        <v>-1.7376879343383778E-2</v>
      </c>
      <c r="F3614" s="9">
        <f t="shared" si="166"/>
        <v>-0.12926784662830534</v>
      </c>
      <c r="G3614" s="9">
        <f t="shared" si="167"/>
        <v>2.4425754502533627E-2</v>
      </c>
    </row>
    <row r="3615" spans="1:7" x14ac:dyDescent="0.2">
      <c r="A3615" s="11">
        <v>40330</v>
      </c>
      <c r="B3615" s="10">
        <v>314</v>
      </c>
      <c r="C3615" s="10">
        <v>316.69</v>
      </c>
      <c r="D3615" s="10">
        <v>306.12</v>
      </c>
      <c r="E3615" s="13">
        <f t="shared" si="168"/>
        <v>2.5510217916054258E-3</v>
      </c>
      <c r="F3615" s="9">
        <f t="shared" si="166"/>
        <v>-0.11298740778819114</v>
      </c>
      <c r="G3615" s="9">
        <f t="shared" si="167"/>
        <v>2.4392110183530644E-2</v>
      </c>
    </row>
    <row r="3616" spans="1:7" x14ac:dyDescent="0.2">
      <c r="A3616" s="11">
        <v>40331</v>
      </c>
      <c r="B3616" s="10">
        <v>316.24</v>
      </c>
      <c r="C3616" s="10">
        <v>316.49</v>
      </c>
      <c r="D3616" s="10">
        <v>309.95</v>
      </c>
      <c r="E3616" s="13">
        <f t="shared" si="168"/>
        <v>7.1084330801766578E-3</v>
      </c>
      <c r="F3616" s="9">
        <f t="shared" ref="F3616:F3679" si="169">LN(B3616/B3587)</f>
        <v>-9.2650435344832707E-2</v>
      </c>
      <c r="G3616" s="9">
        <f t="shared" si="167"/>
        <v>2.4406560392385247E-2</v>
      </c>
    </row>
    <row r="3617" spans="1:7" x14ac:dyDescent="0.2">
      <c r="A3617" s="11">
        <v>40332</v>
      </c>
      <c r="B3617" s="10">
        <v>323.48</v>
      </c>
      <c r="C3617" s="10">
        <v>324.97000000000003</v>
      </c>
      <c r="D3617" s="10">
        <v>316.24</v>
      </c>
      <c r="E3617" s="13">
        <f t="shared" si="168"/>
        <v>2.263586923919142E-2</v>
      </c>
      <c r="F3617" s="9">
        <f t="shared" si="169"/>
        <v>-9.0074875552316122E-2</v>
      </c>
      <c r="G3617" s="9">
        <f t="shared" ref="G3617:G3680" si="170">STDEV(E3589:E3617)</f>
        <v>2.4498717284914064E-2</v>
      </c>
    </row>
    <row r="3618" spans="1:7" x14ac:dyDescent="0.2">
      <c r="A3618" s="11">
        <v>40333</v>
      </c>
      <c r="B3618" s="10">
        <v>317.23</v>
      </c>
      <c r="C3618" s="10">
        <v>328.28</v>
      </c>
      <c r="D3618" s="10">
        <v>316.25</v>
      </c>
      <c r="E3618" s="13">
        <f t="shared" si="168"/>
        <v>-1.9510225385509374E-2</v>
      </c>
      <c r="F3618" s="9">
        <f t="shared" si="169"/>
        <v>-0.1077754015891267</v>
      </c>
      <c r="G3618" s="9">
        <f t="shared" si="170"/>
        <v>2.4685054444293978E-2</v>
      </c>
    </row>
    <row r="3619" spans="1:7" x14ac:dyDescent="0.2">
      <c r="A3619" s="11">
        <v>40336</v>
      </c>
      <c r="B3619" s="10">
        <v>314.01</v>
      </c>
      <c r="C3619" s="10">
        <v>317.23</v>
      </c>
      <c r="D3619" s="10">
        <v>309.62</v>
      </c>
      <c r="E3619" s="13">
        <f t="shared" si="168"/>
        <v>-1.0202230307209927E-2</v>
      </c>
      <c r="F3619" s="9">
        <f t="shared" si="169"/>
        <v>-0.11520016723812949</v>
      </c>
      <c r="G3619" s="9">
        <f t="shared" si="170"/>
        <v>2.4713455792962125E-2</v>
      </c>
    </row>
    <row r="3620" spans="1:7" x14ac:dyDescent="0.2">
      <c r="A3620" s="11">
        <v>40337</v>
      </c>
      <c r="B3620" s="10">
        <v>309.54000000000002</v>
      </c>
      <c r="C3620" s="10">
        <v>317.76</v>
      </c>
      <c r="D3620" s="10">
        <v>307.32</v>
      </c>
      <c r="E3620" s="13">
        <f t="shared" si="168"/>
        <v>-1.4337508050288468E-2</v>
      </c>
      <c r="F3620" s="9">
        <f t="shared" si="169"/>
        <v>-0.14004001625190984</v>
      </c>
      <c r="G3620" s="9">
        <f t="shared" si="170"/>
        <v>2.4624158436300149E-2</v>
      </c>
    </row>
    <row r="3621" spans="1:7" x14ac:dyDescent="0.2">
      <c r="A3621" s="11">
        <v>40338</v>
      </c>
      <c r="B3621" s="10">
        <v>317.52999999999997</v>
      </c>
      <c r="C3621" s="10">
        <v>317.52999999999997</v>
      </c>
      <c r="D3621" s="10">
        <v>308.66000000000003</v>
      </c>
      <c r="E3621" s="13">
        <f t="shared" si="168"/>
        <v>2.5484977573381348E-2</v>
      </c>
      <c r="F3621" s="9">
        <f t="shared" si="169"/>
        <v>-0.12018412306556549</v>
      </c>
      <c r="G3621" s="9">
        <f t="shared" si="170"/>
        <v>2.5194774339220828E-2</v>
      </c>
    </row>
    <row r="3622" spans="1:7" x14ac:dyDescent="0.2">
      <c r="A3622" s="11">
        <v>40339</v>
      </c>
      <c r="B3622" s="10">
        <v>321.61</v>
      </c>
      <c r="C3622" s="10">
        <v>321.62</v>
      </c>
      <c r="D3622" s="10">
        <v>313.08</v>
      </c>
      <c r="E3622" s="13">
        <f t="shared" si="168"/>
        <v>1.2767329290754961E-2</v>
      </c>
      <c r="F3622" s="9">
        <f t="shared" si="169"/>
        <v>-9.3100096571386279E-2</v>
      </c>
      <c r="G3622" s="9">
        <f t="shared" si="170"/>
        <v>2.5305967772488638E-2</v>
      </c>
    </row>
    <row r="3623" spans="1:7" x14ac:dyDescent="0.2">
      <c r="A3623" s="11">
        <v>40340</v>
      </c>
      <c r="B3623" s="10">
        <v>323.29000000000002</v>
      </c>
      <c r="C3623" s="10">
        <v>324.87</v>
      </c>
      <c r="D3623" s="10">
        <v>317.86</v>
      </c>
      <c r="E3623" s="13">
        <f t="shared" si="168"/>
        <v>5.2101218804469374E-3</v>
      </c>
      <c r="F3623" s="9">
        <f t="shared" si="169"/>
        <v>-6.9881255665358702E-2</v>
      </c>
      <c r="G3623" s="9">
        <f t="shared" si="170"/>
        <v>2.5188077192882592E-2</v>
      </c>
    </row>
    <row r="3624" spans="1:7" x14ac:dyDescent="0.2">
      <c r="A3624" s="11">
        <v>40343</v>
      </c>
      <c r="B3624" s="10">
        <v>332.48</v>
      </c>
      <c r="C3624" s="10">
        <v>332.48</v>
      </c>
      <c r="D3624" s="10">
        <v>323.29000000000002</v>
      </c>
      <c r="E3624" s="13">
        <f t="shared" si="168"/>
        <v>2.8029954681665976E-2</v>
      </c>
      <c r="F3624" s="9">
        <f t="shared" si="169"/>
        <v>-5.6994647891202253E-2</v>
      </c>
      <c r="G3624" s="9">
        <f t="shared" si="170"/>
        <v>2.5618795575922764E-2</v>
      </c>
    </row>
    <row r="3625" spans="1:7" x14ac:dyDescent="0.2">
      <c r="A3625" s="11">
        <v>40344</v>
      </c>
      <c r="B3625" s="10">
        <v>333.28</v>
      </c>
      <c r="C3625" s="10">
        <v>334.27</v>
      </c>
      <c r="D3625" s="10">
        <v>328.52</v>
      </c>
      <c r="E3625" s="13">
        <f t="shared" si="168"/>
        <v>2.4032696017992276E-3</v>
      </c>
      <c r="F3625" s="9">
        <f t="shared" si="169"/>
        <v>-4.3650443875893882E-2</v>
      </c>
      <c r="G3625" s="9">
        <f t="shared" si="170"/>
        <v>2.5571620863607033E-2</v>
      </c>
    </row>
    <row r="3626" spans="1:7" x14ac:dyDescent="0.2">
      <c r="A3626" s="11">
        <v>40345</v>
      </c>
      <c r="B3626" s="10">
        <v>330.1</v>
      </c>
      <c r="C3626" s="10">
        <v>336.62</v>
      </c>
      <c r="D3626" s="10">
        <v>327.17</v>
      </c>
      <c r="E3626" s="13">
        <f t="shared" si="168"/>
        <v>-9.5873386535143389E-3</v>
      </c>
      <c r="F3626" s="9">
        <f t="shared" si="169"/>
        <v>-5.8337495621644947E-2</v>
      </c>
      <c r="G3626" s="9">
        <f t="shared" si="170"/>
        <v>2.5581575688174044E-2</v>
      </c>
    </row>
    <row r="3627" spans="1:7" x14ac:dyDescent="0.2">
      <c r="A3627" s="11">
        <v>40346</v>
      </c>
      <c r="B3627" s="10">
        <v>329.45</v>
      </c>
      <c r="C3627" s="10">
        <v>333.48</v>
      </c>
      <c r="D3627" s="10">
        <v>328.35</v>
      </c>
      <c r="E3627" s="13">
        <f t="shared" si="168"/>
        <v>-1.9710414993185182E-3</v>
      </c>
      <c r="F3627" s="9">
        <f t="shared" si="169"/>
        <v>-3.2491137769467444E-2</v>
      </c>
      <c r="G3627" s="9">
        <f t="shared" si="170"/>
        <v>2.5096033456170487E-2</v>
      </c>
    </row>
    <row r="3628" spans="1:7" x14ac:dyDescent="0.2">
      <c r="A3628" s="11">
        <v>40347</v>
      </c>
      <c r="B3628" s="10">
        <v>330.05</v>
      </c>
      <c r="C3628" s="10">
        <v>331.79</v>
      </c>
      <c r="D3628" s="10">
        <v>327.39999999999998</v>
      </c>
      <c r="E3628" s="13">
        <f t="shared" si="168"/>
        <v>1.8195607749510003E-3</v>
      </c>
      <c r="F3628" s="9">
        <f t="shared" si="169"/>
        <v>-1.3033912674720125E-2</v>
      </c>
      <c r="G3628" s="9">
        <f t="shared" si="170"/>
        <v>2.4897987001129839E-2</v>
      </c>
    </row>
    <row r="3629" spans="1:7" x14ac:dyDescent="0.2">
      <c r="A3629" s="11">
        <v>40350</v>
      </c>
      <c r="B3629" s="10">
        <v>337.02</v>
      </c>
      <c r="C3629" s="10">
        <v>338.09</v>
      </c>
      <c r="D3629" s="10">
        <v>329.81</v>
      </c>
      <c r="E3629" s="13">
        <f t="shared" si="168"/>
        <v>2.0898117637616519E-2</v>
      </c>
      <c r="F3629" s="9">
        <f t="shared" si="169"/>
        <v>3.1008134016691394E-2</v>
      </c>
      <c r="G3629" s="9">
        <f t="shared" si="170"/>
        <v>2.4807304341689221E-2</v>
      </c>
    </row>
    <row r="3630" spans="1:7" x14ac:dyDescent="0.2">
      <c r="A3630" s="11">
        <v>40351</v>
      </c>
      <c r="B3630" s="10">
        <v>331.87</v>
      </c>
      <c r="C3630" s="10">
        <v>337.02</v>
      </c>
      <c r="D3630" s="10">
        <v>330.21</v>
      </c>
      <c r="E3630" s="13">
        <f t="shared" si="168"/>
        <v>-1.5398949803055988E-2</v>
      </c>
      <c r="F3630" s="9">
        <f t="shared" si="169"/>
        <v>4.3258141184850059E-2</v>
      </c>
      <c r="G3630" s="9">
        <f t="shared" si="170"/>
        <v>2.440181307645415E-2</v>
      </c>
    </row>
    <row r="3631" spans="1:7" x14ac:dyDescent="0.2">
      <c r="A3631" s="11">
        <v>40352</v>
      </c>
      <c r="B3631" s="10">
        <v>326.87</v>
      </c>
      <c r="C3631" s="10">
        <v>331.94</v>
      </c>
      <c r="D3631" s="10">
        <v>325.72000000000003</v>
      </c>
      <c r="E3631" s="13">
        <f t="shared" si="168"/>
        <v>-1.5180787634256395E-2</v>
      </c>
      <c r="F3631" s="9">
        <f t="shared" si="169"/>
        <v>-3.4843378644855788E-2</v>
      </c>
      <c r="G3631" s="9">
        <f t="shared" si="170"/>
        <v>2.1519640132336794E-2</v>
      </c>
    </row>
    <row r="3632" spans="1:7" x14ac:dyDescent="0.2">
      <c r="A3632" s="11">
        <v>40353</v>
      </c>
      <c r="B3632" s="10">
        <v>320.08999999999997</v>
      </c>
      <c r="C3632" s="10">
        <v>329.64</v>
      </c>
      <c r="D3632" s="10">
        <v>319.52</v>
      </c>
      <c r="E3632" s="13">
        <f t="shared" si="168"/>
        <v>-2.0960332084678821E-2</v>
      </c>
      <c r="F3632" s="9">
        <f t="shared" si="169"/>
        <v>-4.7913538393035332E-2</v>
      </c>
      <c r="G3632" s="9">
        <f t="shared" si="170"/>
        <v>2.1799770705899307E-2</v>
      </c>
    </row>
    <row r="3633" spans="1:7" x14ac:dyDescent="0.2">
      <c r="A3633" s="11">
        <v>40354</v>
      </c>
      <c r="B3633" s="10">
        <v>312.51</v>
      </c>
      <c r="C3633" s="10">
        <v>321.74</v>
      </c>
      <c r="D3633" s="10">
        <v>312.32</v>
      </c>
      <c r="E3633" s="13">
        <f t="shared" si="168"/>
        <v>-2.3965737585938059E-2</v>
      </c>
      <c r="F3633" s="9">
        <f t="shared" si="169"/>
        <v>-9.0232746220440516E-2</v>
      </c>
      <c r="G3633" s="9">
        <f t="shared" si="170"/>
        <v>2.1829168116778767E-2</v>
      </c>
    </row>
    <row r="3634" spans="1:7" x14ac:dyDescent="0.2">
      <c r="A3634" s="11">
        <v>40357</v>
      </c>
      <c r="B3634" s="10">
        <v>314.52</v>
      </c>
      <c r="C3634" s="10">
        <v>316.64999999999998</v>
      </c>
      <c r="D3634" s="10">
        <v>310.49</v>
      </c>
      <c r="E3634" s="13">
        <f t="shared" si="168"/>
        <v>6.4111984588482293E-3</v>
      </c>
      <c r="F3634" s="9">
        <f t="shared" si="169"/>
        <v>-4.7014153179894796E-2</v>
      </c>
      <c r="G3634" s="9">
        <f t="shared" si="170"/>
        <v>2.0902161522313702E-2</v>
      </c>
    </row>
    <row r="3635" spans="1:7" x14ac:dyDescent="0.2">
      <c r="A3635" s="11">
        <v>40358</v>
      </c>
      <c r="B3635" s="10">
        <v>298.04000000000002</v>
      </c>
      <c r="C3635" s="10">
        <v>314.52</v>
      </c>
      <c r="D3635" s="10">
        <v>297.39</v>
      </c>
      <c r="E3635" s="13">
        <f t="shared" si="168"/>
        <v>-5.3819961437788368E-2</v>
      </c>
      <c r="F3635" s="9">
        <f t="shared" si="169"/>
        <v>-0.10917152395743723</v>
      </c>
      <c r="G3635" s="9">
        <f t="shared" si="170"/>
        <v>2.2932762022195751E-2</v>
      </c>
    </row>
    <row r="3636" spans="1:7" x14ac:dyDescent="0.2">
      <c r="A3636" s="11">
        <v>40359</v>
      </c>
      <c r="B3636" s="10">
        <v>299.43</v>
      </c>
      <c r="C3636" s="10">
        <v>303.45999999999998</v>
      </c>
      <c r="D3636" s="10">
        <v>294.89</v>
      </c>
      <c r="E3636" s="13">
        <f t="shared" si="168"/>
        <v>4.6529616810779143E-3</v>
      </c>
      <c r="F3636" s="9">
        <f t="shared" si="169"/>
        <v>-6.1239326635103494E-2</v>
      </c>
      <c r="G3636" s="9">
        <f t="shared" si="170"/>
        <v>2.1675976498140081E-2</v>
      </c>
    </row>
    <row r="3637" spans="1:7" x14ac:dyDescent="0.2">
      <c r="A3637" s="11">
        <v>40360</v>
      </c>
      <c r="B3637" s="10">
        <v>290.88</v>
      </c>
      <c r="C3637" s="10">
        <v>299.45999999999998</v>
      </c>
      <c r="D3637" s="10">
        <v>290.70999999999998</v>
      </c>
      <c r="E3637" s="13">
        <f t="shared" si="168"/>
        <v>-2.8969856377490794E-2</v>
      </c>
      <c r="F3637" s="9">
        <f t="shared" si="169"/>
        <v>-5.932953648357147E-2</v>
      </c>
      <c r="G3637" s="9">
        <f t="shared" si="170"/>
        <v>2.1588177031520713E-2</v>
      </c>
    </row>
    <row r="3638" spans="1:7" x14ac:dyDescent="0.2">
      <c r="A3638" s="11">
        <v>40361</v>
      </c>
      <c r="B3638" s="10">
        <v>298.8</v>
      </c>
      <c r="C3638" s="10">
        <v>299.85000000000002</v>
      </c>
      <c r="D3638" s="10">
        <v>290.88</v>
      </c>
      <c r="E3638" s="13">
        <f t="shared" si="168"/>
        <v>2.6863642269548252E-2</v>
      </c>
      <c r="F3638" s="9">
        <f t="shared" si="169"/>
        <v>-4.9427431588398671E-2</v>
      </c>
      <c r="G3638" s="9">
        <f t="shared" si="170"/>
        <v>2.1974400406042278E-2</v>
      </c>
    </row>
    <row r="3639" spans="1:7" x14ac:dyDescent="0.2">
      <c r="A3639" s="11">
        <v>40364</v>
      </c>
      <c r="B3639" s="10">
        <v>295.92</v>
      </c>
      <c r="C3639" s="10">
        <v>301.07</v>
      </c>
      <c r="D3639" s="10">
        <v>295.85000000000002</v>
      </c>
      <c r="E3639" s="13">
        <f t="shared" si="168"/>
        <v>-9.6853057344636548E-3</v>
      </c>
      <c r="F3639" s="9">
        <f t="shared" si="169"/>
        <v>-2.3115465710907165E-2</v>
      </c>
      <c r="G3639" s="9">
        <f t="shared" si="170"/>
        <v>2.103084475344134E-2</v>
      </c>
    </row>
    <row r="3640" spans="1:7" x14ac:dyDescent="0.2">
      <c r="A3640" s="11">
        <v>40365</v>
      </c>
      <c r="B3640" s="10">
        <v>307.61</v>
      </c>
      <c r="C3640" s="10">
        <v>308.44</v>
      </c>
      <c r="D3640" s="10">
        <v>295.92</v>
      </c>
      <c r="E3640" s="13">
        <f t="shared" si="168"/>
        <v>3.8743599331785582E-2</v>
      </c>
      <c r="F3640" s="9">
        <f t="shared" si="169"/>
        <v>-2.9153781813728803E-2</v>
      </c>
      <c r="G3640" s="9">
        <f t="shared" si="170"/>
        <v>2.0588713292248408E-2</v>
      </c>
    </row>
    <row r="3641" spans="1:7" x14ac:dyDescent="0.2">
      <c r="A3641" s="11">
        <v>40366</v>
      </c>
      <c r="B3641" s="10">
        <v>314.11</v>
      </c>
      <c r="C3641" s="10">
        <v>314.11</v>
      </c>
      <c r="D3641" s="10">
        <v>303.23</v>
      </c>
      <c r="E3641" s="13">
        <f t="shared" si="168"/>
        <v>2.091049617641802E-2</v>
      </c>
      <c r="F3641" s="9">
        <f t="shared" si="169"/>
        <v>-2.8001955134209059E-2</v>
      </c>
      <c r="G3641" s="9">
        <f t="shared" si="170"/>
        <v>2.0631267161840453E-2</v>
      </c>
    </row>
    <row r="3642" spans="1:7" x14ac:dyDescent="0.2">
      <c r="A3642" s="11">
        <v>40367</v>
      </c>
      <c r="B3642" s="10">
        <v>315.69</v>
      </c>
      <c r="C3642" s="10">
        <v>319.42</v>
      </c>
      <c r="D3642" s="10">
        <v>313.97000000000003</v>
      </c>
      <c r="E3642" s="13">
        <f t="shared" si="168"/>
        <v>5.0174763884282018E-3</v>
      </c>
      <c r="F3642" s="9">
        <f t="shared" si="169"/>
        <v>-9.4581240392012378E-3</v>
      </c>
      <c r="G3642" s="9">
        <f t="shared" si="170"/>
        <v>2.0515102045473042E-2</v>
      </c>
    </row>
    <row r="3643" spans="1:7" x14ac:dyDescent="0.2">
      <c r="A3643" s="11">
        <v>40368</v>
      </c>
      <c r="B3643" s="10">
        <v>318.98</v>
      </c>
      <c r="C3643" s="10">
        <v>319.77999999999997</v>
      </c>
      <c r="D3643" s="10">
        <v>315.69</v>
      </c>
      <c r="E3643" s="13">
        <f t="shared" si="168"/>
        <v>1.0367685473777548E-2</v>
      </c>
      <c r="F3643" s="9">
        <f t="shared" si="169"/>
        <v>1.8286440777959989E-2</v>
      </c>
      <c r="G3643" s="9">
        <f t="shared" si="170"/>
        <v>2.0337711601621667E-2</v>
      </c>
    </row>
    <row r="3644" spans="1:7" x14ac:dyDescent="0.2">
      <c r="A3644" s="11">
        <v>40371</v>
      </c>
      <c r="B3644" s="10">
        <v>321.73</v>
      </c>
      <c r="C3644" s="10">
        <v>322.58999999999997</v>
      </c>
      <c r="D3644" s="10">
        <v>317.24</v>
      </c>
      <c r="E3644" s="13">
        <f t="shared" si="168"/>
        <v>8.5842795874511678E-3</v>
      </c>
      <c r="F3644" s="9">
        <f t="shared" si="169"/>
        <v>2.4319698573806038E-2</v>
      </c>
      <c r="G3644" s="9">
        <f t="shared" si="170"/>
        <v>2.0388852511224239E-2</v>
      </c>
    </row>
    <row r="3645" spans="1:7" x14ac:dyDescent="0.2">
      <c r="A3645" s="11">
        <v>40372</v>
      </c>
      <c r="B3645" s="10">
        <v>327.43</v>
      </c>
      <c r="C3645" s="10">
        <v>328.25</v>
      </c>
      <c r="D3645" s="10">
        <v>321.63</v>
      </c>
      <c r="E3645" s="13">
        <f t="shared" si="168"/>
        <v>1.7561607289484905E-2</v>
      </c>
      <c r="F3645" s="9">
        <f t="shared" si="169"/>
        <v>3.4772872783114202E-2</v>
      </c>
      <c r="G3645" s="9">
        <f t="shared" si="170"/>
        <v>2.0595013827532978E-2</v>
      </c>
    </row>
    <row r="3646" spans="1:7" x14ac:dyDescent="0.2">
      <c r="A3646" s="11">
        <v>40373</v>
      </c>
      <c r="B3646" s="10">
        <v>324.32</v>
      </c>
      <c r="C3646" s="10">
        <v>328.96</v>
      </c>
      <c r="D3646" s="10">
        <v>320.89</v>
      </c>
      <c r="E3646" s="13">
        <f t="shared" si="168"/>
        <v>-9.5436090678543244E-3</v>
      </c>
      <c r="F3646" s="9">
        <f t="shared" si="169"/>
        <v>2.5933944760683277E-3</v>
      </c>
      <c r="G3646" s="9">
        <f t="shared" si="170"/>
        <v>2.0262993666272083E-2</v>
      </c>
    </row>
    <row r="3647" spans="1:7" x14ac:dyDescent="0.2">
      <c r="A3647" s="11">
        <v>40374</v>
      </c>
      <c r="B3647" s="10">
        <v>319.44</v>
      </c>
      <c r="C3647" s="10">
        <v>325.99</v>
      </c>
      <c r="D3647" s="10">
        <v>318.45</v>
      </c>
      <c r="E3647" s="13">
        <f t="shared" si="168"/>
        <v>-1.5161219948724039E-2</v>
      </c>
      <c r="F3647" s="9">
        <f t="shared" si="169"/>
        <v>6.9423999128537008E-3</v>
      </c>
      <c r="G3647" s="9">
        <f t="shared" si="170"/>
        <v>2.0128403171493541E-2</v>
      </c>
    </row>
    <row r="3648" spans="1:7" x14ac:dyDescent="0.2">
      <c r="A3648" s="11">
        <v>40375</v>
      </c>
      <c r="B3648" s="10">
        <v>317.20999999999998</v>
      </c>
      <c r="C3648" s="10">
        <v>322.88</v>
      </c>
      <c r="D3648" s="10">
        <v>316.10000000000002</v>
      </c>
      <c r="E3648" s="13">
        <f t="shared" si="168"/>
        <v>-7.0054476400042464E-3</v>
      </c>
      <c r="F3648" s="9">
        <f t="shared" si="169"/>
        <v>1.0139182580059566E-2</v>
      </c>
      <c r="G3648" s="9">
        <f t="shared" si="170"/>
        <v>2.0077867187840197E-2</v>
      </c>
    </row>
    <row r="3649" spans="1:7" x14ac:dyDescent="0.2">
      <c r="A3649" s="11">
        <v>40378</v>
      </c>
      <c r="B3649" s="10">
        <v>317.56</v>
      </c>
      <c r="C3649" s="10">
        <v>321.19</v>
      </c>
      <c r="D3649" s="10">
        <v>314.66000000000003</v>
      </c>
      <c r="E3649" s="13">
        <f t="shared" si="168"/>
        <v>1.1027617419509187E-3</v>
      </c>
      <c r="F3649" s="9">
        <f t="shared" si="169"/>
        <v>2.5579452372299031E-2</v>
      </c>
      <c r="G3649" s="9">
        <f t="shared" si="170"/>
        <v>1.9878214513545125E-2</v>
      </c>
    </row>
    <row r="3650" spans="1:7" x14ac:dyDescent="0.2">
      <c r="A3650" s="11">
        <v>40379</v>
      </c>
      <c r="B3650" s="10">
        <v>315.43</v>
      </c>
      <c r="C3650" s="10">
        <v>320.77999999999997</v>
      </c>
      <c r="D3650" s="10">
        <v>311.64</v>
      </c>
      <c r="E3650" s="13">
        <f t="shared" si="168"/>
        <v>-6.7299895399885873E-3</v>
      </c>
      <c r="F3650" s="9">
        <f t="shared" si="169"/>
        <v>-6.6355147410708665E-3</v>
      </c>
      <c r="G3650" s="9">
        <f t="shared" si="170"/>
        <v>1.9347266603232539E-2</v>
      </c>
    </row>
    <row r="3651" spans="1:7" x14ac:dyDescent="0.2">
      <c r="A3651" s="11">
        <v>40380</v>
      </c>
      <c r="B3651" s="10">
        <v>321.62</v>
      </c>
      <c r="C3651" s="10">
        <v>324.10000000000002</v>
      </c>
      <c r="D3651" s="10">
        <v>315.43</v>
      </c>
      <c r="E3651" s="13">
        <f t="shared" si="168"/>
        <v>1.9433937108954483E-2</v>
      </c>
      <c r="F3651" s="9">
        <f t="shared" si="169"/>
        <v>3.1093077128932339E-5</v>
      </c>
      <c r="G3651" s="9">
        <f t="shared" si="170"/>
        <v>1.9545788511715196E-2</v>
      </c>
    </row>
    <row r="3652" spans="1:7" x14ac:dyDescent="0.2">
      <c r="A3652" s="11">
        <v>40381</v>
      </c>
      <c r="B3652" s="10">
        <v>330.39</v>
      </c>
      <c r="C3652" s="10">
        <v>330.39</v>
      </c>
      <c r="D3652" s="10">
        <v>319.14999999999998</v>
      </c>
      <c r="E3652" s="13">
        <f t="shared" ref="E3652:E3715" si="171">LN(B3652/B3651)</f>
        <v>2.6903050419083741E-2</v>
      </c>
      <c r="F3652" s="9">
        <f t="shared" si="169"/>
        <v>2.172402161576566E-2</v>
      </c>
      <c r="G3652" s="9">
        <f t="shared" si="170"/>
        <v>2.0157783846388472E-2</v>
      </c>
    </row>
    <row r="3653" spans="1:7" x14ac:dyDescent="0.2">
      <c r="A3653" s="11">
        <v>40382</v>
      </c>
      <c r="B3653" s="10">
        <v>331.42</v>
      </c>
      <c r="C3653" s="10">
        <v>333.14</v>
      </c>
      <c r="D3653" s="10">
        <v>328.32</v>
      </c>
      <c r="E3653" s="13">
        <f t="shared" si="171"/>
        <v>3.1126783566856006E-3</v>
      </c>
      <c r="F3653" s="9">
        <f t="shared" si="169"/>
        <v>-3.1932547092147798E-3</v>
      </c>
      <c r="G3653" s="9">
        <f t="shared" si="170"/>
        <v>1.9472826611832732E-2</v>
      </c>
    </row>
    <row r="3654" spans="1:7" x14ac:dyDescent="0.2">
      <c r="A3654" s="11">
        <v>40385</v>
      </c>
      <c r="B3654" s="10">
        <v>336.12</v>
      </c>
      <c r="C3654" s="10">
        <v>336.12</v>
      </c>
      <c r="D3654" s="10">
        <v>330.64</v>
      </c>
      <c r="E3654" s="13">
        <f t="shared" si="171"/>
        <v>1.4081785858369727E-2</v>
      </c>
      <c r="F3654" s="9">
        <f t="shared" si="169"/>
        <v>8.4852615473556096E-3</v>
      </c>
      <c r="G3654" s="9">
        <f t="shared" si="170"/>
        <v>1.9646643836153953E-2</v>
      </c>
    </row>
    <row r="3655" spans="1:7" x14ac:dyDescent="0.2">
      <c r="A3655" s="11">
        <v>40386</v>
      </c>
      <c r="B3655" s="10">
        <v>334.79</v>
      </c>
      <c r="C3655" s="10">
        <v>339.05</v>
      </c>
      <c r="D3655" s="10">
        <v>334.17</v>
      </c>
      <c r="E3655" s="13">
        <f t="shared" si="171"/>
        <v>-3.9647694690277298E-3</v>
      </c>
      <c r="F3655" s="9">
        <f t="shared" si="169"/>
        <v>1.4107830731842316E-2</v>
      </c>
      <c r="G3655" s="9">
        <f t="shared" si="170"/>
        <v>1.95732681592297E-2</v>
      </c>
    </row>
    <row r="3656" spans="1:7" x14ac:dyDescent="0.2">
      <c r="A3656" s="11">
        <v>40387</v>
      </c>
      <c r="B3656" s="10">
        <v>333.99</v>
      </c>
      <c r="C3656" s="10">
        <v>337.63</v>
      </c>
      <c r="D3656" s="10">
        <v>332.85</v>
      </c>
      <c r="E3656" s="13">
        <f t="shared" si="171"/>
        <v>-2.3924171822641352E-3</v>
      </c>
      <c r="F3656" s="9">
        <f t="shared" si="169"/>
        <v>1.36864550488968E-2</v>
      </c>
      <c r="G3656" s="9">
        <f t="shared" si="170"/>
        <v>1.9575313947426089E-2</v>
      </c>
    </row>
    <row r="3657" spans="1:7" x14ac:dyDescent="0.2">
      <c r="A3657" s="11">
        <v>40388</v>
      </c>
      <c r="B3657" s="10">
        <v>331.13</v>
      </c>
      <c r="C3657" s="10">
        <v>334.73</v>
      </c>
      <c r="D3657" s="10">
        <v>331.08</v>
      </c>
      <c r="E3657" s="13">
        <f t="shared" si="171"/>
        <v>-8.6000048927461666E-3</v>
      </c>
      <c r="F3657" s="9">
        <f t="shared" si="169"/>
        <v>3.2668893811996906E-3</v>
      </c>
      <c r="G3657" s="9">
        <f t="shared" si="170"/>
        <v>1.9645194062228307E-2</v>
      </c>
    </row>
    <row r="3658" spans="1:7" x14ac:dyDescent="0.2">
      <c r="A3658" s="11">
        <v>40389</v>
      </c>
      <c r="B3658" s="10">
        <v>327.73</v>
      </c>
      <c r="C3658" s="10">
        <v>331.42</v>
      </c>
      <c r="D3658" s="10">
        <v>324.85000000000002</v>
      </c>
      <c r="E3658" s="13">
        <f t="shared" si="171"/>
        <v>-1.0320948854614161E-2</v>
      </c>
      <c r="F3658" s="9">
        <f t="shared" si="169"/>
        <v>-2.795217711103104E-2</v>
      </c>
      <c r="G3658" s="9">
        <f t="shared" si="170"/>
        <v>1.9318161941928522E-2</v>
      </c>
    </row>
    <row r="3659" spans="1:7" x14ac:dyDescent="0.2">
      <c r="A3659" s="11">
        <v>40392</v>
      </c>
      <c r="B3659" s="10">
        <v>338.47</v>
      </c>
      <c r="C3659" s="10">
        <v>338.47</v>
      </c>
      <c r="D3659" s="10">
        <v>327.73</v>
      </c>
      <c r="E3659" s="13">
        <f t="shared" si="171"/>
        <v>3.2245363470955885E-2</v>
      </c>
      <c r="F3659" s="9">
        <f t="shared" si="169"/>
        <v>1.9692136162980881E-2</v>
      </c>
      <c r="G3659" s="9">
        <f t="shared" si="170"/>
        <v>2.0058454714698689E-2</v>
      </c>
    </row>
    <row r="3660" spans="1:7" x14ac:dyDescent="0.2">
      <c r="A3660" s="11">
        <v>40393</v>
      </c>
      <c r="B3660" s="10">
        <v>338.28</v>
      </c>
      <c r="C3660" s="10">
        <v>339.61</v>
      </c>
      <c r="D3660" s="10">
        <v>335.88</v>
      </c>
      <c r="E3660" s="13">
        <f t="shared" si="171"/>
        <v>-5.6150721829971407E-4</v>
      </c>
      <c r="F3660" s="9">
        <f t="shared" si="169"/>
        <v>3.4311416578937402E-2</v>
      </c>
      <c r="G3660" s="9">
        <f t="shared" si="170"/>
        <v>1.9828010519915441E-2</v>
      </c>
    </row>
    <row r="3661" spans="1:7" x14ac:dyDescent="0.2">
      <c r="A3661" s="11">
        <v>40394</v>
      </c>
      <c r="B3661" s="10">
        <v>342.01</v>
      </c>
      <c r="C3661" s="10">
        <v>342.61</v>
      </c>
      <c r="D3661" s="10">
        <v>335.61</v>
      </c>
      <c r="E3661" s="13">
        <f t="shared" si="171"/>
        <v>1.0966021487191873E-2</v>
      </c>
      <c r="F3661" s="9">
        <f t="shared" si="169"/>
        <v>6.623777015080827E-2</v>
      </c>
      <c r="G3661" s="9">
        <f t="shared" si="170"/>
        <v>1.943709878803157E-2</v>
      </c>
    </row>
    <row r="3662" spans="1:7" x14ac:dyDescent="0.2">
      <c r="A3662" s="11">
        <v>40395</v>
      </c>
      <c r="B3662" s="10">
        <v>343.15</v>
      </c>
      <c r="C3662" s="10">
        <v>346.19</v>
      </c>
      <c r="D3662" s="10">
        <v>341.92</v>
      </c>
      <c r="E3662" s="13">
        <f t="shared" si="171"/>
        <v>3.3276929534302971E-3</v>
      </c>
      <c r="F3662" s="9">
        <f t="shared" si="169"/>
        <v>9.353120069017655E-2</v>
      </c>
      <c r="G3662" s="9">
        <f t="shared" si="170"/>
        <v>1.8770010857000162E-2</v>
      </c>
    </row>
    <row r="3663" spans="1:7" x14ac:dyDescent="0.2">
      <c r="A3663" s="11">
        <v>40396</v>
      </c>
      <c r="B3663" s="10">
        <v>343.11</v>
      </c>
      <c r="C3663" s="10">
        <v>346.99</v>
      </c>
      <c r="D3663" s="10">
        <v>341.38</v>
      </c>
      <c r="E3663" s="13">
        <f t="shared" si="171"/>
        <v>-1.1657389340855022E-4</v>
      </c>
      <c r="F3663" s="9">
        <f t="shared" si="169"/>
        <v>8.7003428337919811E-2</v>
      </c>
      <c r="G3663" s="9">
        <f t="shared" si="170"/>
        <v>1.8769580524797332E-2</v>
      </c>
    </row>
    <row r="3664" spans="1:7" x14ac:dyDescent="0.2">
      <c r="A3664" s="11">
        <v>40399</v>
      </c>
      <c r="B3664" s="10">
        <v>341.82</v>
      </c>
      <c r="C3664" s="10">
        <v>347.25</v>
      </c>
      <c r="D3664" s="10">
        <v>341.1</v>
      </c>
      <c r="E3664" s="13">
        <f t="shared" si="171"/>
        <v>-3.7668127408759513E-3</v>
      </c>
      <c r="F3664" s="9">
        <f t="shared" si="169"/>
        <v>0.13705657703483226</v>
      </c>
      <c r="G3664" s="9">
        <f t="shared" si="170"/>
        <v>1.5347405461606074E-2</v>
      </c>
    </row>
    <row r="3665" spans="1:7" x14ac:dyDescent="0.2">
      <c r="A3665" s="11">
        <v>40400</v>
      </c>
      <c r="B3665" s="10">
        <v>336.64</v>
      </c>
      <c r="C3665" s="10">
        <v>341.86</v>
      </c>
      <c r="D3665" s="10">
        <v>334.73</v>
      </c>
      <c r="E3665" s="13">
        <f t="shared" si="171"/>
        <v>-1.527017261106888E-2</v>
      </c>
      <c r="F3665" s="9">
        <f t="shared" si="169"/>
        <v>0.1171334427426855</v>
      </c>
      <c r="G3665" s="9">
        <f t="shared" si="170"/>
        <v>1.5790320003915524E-2</v>
      </c>
    </row>
    <row r="3666" spans="1:7" x14ac:dyDescent="0.2">
      <c r="A3666" s="11">
        <v>40401</v>
      </c>
      <c r="B3666" s="10">
        <v>328.53</v>
      </c>
      <c r="C3666" s="10">
        <v>336.64</v>
      </c>
      <c r="D3666" s="10">
        <v>328.47</v>
      </c>
      <c r="E3666" s="13">
        <f t="shared" si="171"/>
        <v>-2.4385952153512892E-2</v>
      </c>
      <c r="F3666" s="9">
        <f t="shared" si="169"/>
        <v>0.12171734696666341</v>
      </c>
      <c r="G3666" s="9">
        <f t="shared" si="170"/>
        <v>1.546773801292539E-2</v>
      </c>
    </row>
    <row r="3667" spans="1:7" x14ac:dyDescent="0.2">
      <c r="A3667" s="11">
        <v>40402</v>
      </c>
      <c r="B3667" s="10">
        <v>326.60000000000002</v>
      </c>
      <c r="C3667" s="10">
        <v>331.36</v>
      </c>
      <c r="D3667" s="10">
        <v>322.89</v>
      </c>
      <c r="E3667" s="13">
        <f t="shared" si="171"/>
        <v>-5.8919774194125781E-3</v>
      </c>
      <c r="F3667" s="9">
        <f t="shared" si="169"/>
        <v>8.8961727277702546E-2</v>
      </c>
      <c r="G3667" s="9">
        <f t="shared" si="170"/>
        <v>1.4940415877293304E-2</v>
      </c>
    </row>
    <row r="3668" spans="1:7" x14ac:dyDescent="0.2">
      <c r="A3668" s="11">
        <v>40403</v>
      </c>
      <c r="B3668" s="10">
        <v>326.33999999999997</v>
      </c>
      <c r="C3668" s="10">
        <v>330.88</v>
      </c>
      <c r="D3668" s="10">
        <v>322.01</v>
      </c>
      <c r="E3668" s="13">
        <f t="shared" si="171"/>
        <v>-7.9639787344045431E-4</v>
      </c>
      <c r="F3668" s="9">
        <f t="shared" si="169"/>
        <v>9.7850635138725744E-2</v>
      </c>
      <c r="G3668" s="9">
        <f t="shared" si="170"/>
        <v>1.4759521418855242E-2</v>
      </c>
    </row>
    <row r="3669" spans="1:7" x14ac:dyDescent="0.2">
      <c r="A3669" s="11">
        <v>40406</v>
      </c>
      <c r="B3669" s="10">
        <v>325.91000000000003</v>
      </c>
      <c r="C3669" s="10">
        <v>329.3</v>
      </c>
      <c r="D3669" s="10">
        <v>323.25</v>
      </c>
      <c r="E3669" s="13">
        <f t="shared" si="171"/>
        <v>-1.3185130311854458E-3</v>
      </c>
      <c r="F3669" s="9">
        <f t="shared" si="169"/>
        <v>5.778852277575465E-2</v>
      </c>
      <c r="G3669" s="9">
        <f t="shared" si="170"/>
        <v>1.311392017667859E-2</v>
      </c>
    </row>
    <row r="3670" spans="1:7" x14ac:dyDescent="0.2">
      <c r="A3670" s="11">
        <v>40407</v>
      </c>
      <c r="B3670" s="10">
        <v>335.47</v>
      </c>
      <c r="C3670" s="10">
        <v>335.47</v>
      </c>
      <c r="D3670" s="10">
        <v>325.91000000000003</v>
      </c>
      <c r="E3670" s="13">
        <f t="shared" si="171"/>
        <v>2.8911264003957E-2</v>
      </c>
      <c r="F3670" s="9">
        <f t="shared" si="169"/>
        <v>6.5789290603293735E-2</v>
      </c>
      <c r="G3670" s="9">
        <f t="shared" si="170"/>
        <v>1.3601228804711747E-2</v>
      </c>
    </row>
    <row r="3671" spans="1:7" x14ac:dyDescent="0.2">
      <c r="A3671" s="11">
        <v>40408</v>
      </c>
      <c r="B3671" s="10">
        <v>334.71</v>
      </c>
      <c r="C3671" s="10">
        <v>335.56</v>
      </c>
      <c r="D3671" s="10">
        <v>331.34</v>
      </c>
      <c r="E3671" s="13">
        <f t="shared" si="171"/>
        <v>-2.2680483624979353E-3</v>
      </c>
      <c r="F3671" s="9">
        <f t="shared" si="169"/>
        <v>5.8503765852367433E-2</v>
      </c>
      <c r="G3671" s="9">
        <f t="shared" si="170"/>
        <v>1.3615918200051891E-2</v>
      </c>
    </row>
    <row r="3672" spans="1:7" x14ac:dyDescent="0.2">
      <c r="A3672" s="11">
        <v>40409</v>
      </c>
      <c r="B3672" s="10">
        <v>327.23</v>
      </c>
      <c r="C3672" s="10">
        <v>336.73</v>
      </c>
      <c r="D3672" s="10">
        <v>327.23</v>
      </c>
      <c r="E3672" s="13">
        <f t="shared" si="171"/>
        <v>-2.2601197706041028E-2</v>
      </c>
      <c r="F3672" s="9">
        <f t="shared" si="169"/>
        <v>2.5534882672548928E-2</v>
      </c>
      <c r="G3672" s="9">
        <f t="shared" si="170"/>
        <v>1.4255169043721615E-2</v>
      </c>
    </row>
    <row r="3673" spans="1:7" x14ac:dyDescent="0.2">
      <c r="A3673" s="11">
        <v>40410</v>
      </c>
      <c r="B3673" s="10">
        <v>323.77</v>
      </c>
      <c r="C3673" s="10">
        <v>328.29</v>
      </c>
      <c r="D3673" s="10">
        <v>321.17</v>
      </c>
      <c r="E3673" s="13">
        <f t="shared" si="171"/>
        <v>-1.062990039969576E-2</v>
      </c>
      <c r="F3673" s="9">
        <f t="shared" si="169"/>
        <v>6.320702685401784E-3</v>
      </c>
      <c r="G3673" s="9">
        <f t="shared" si="170"/>
        <v>1.4330644913968047E-2</v>
      </c>
    </row>
    <row r="3674" spans="1:7" x14ac:dyDescent="0.2">
      <c r="A3674" s="11">
        <v>40413</v>
      </c>
      <c r="B3674" s="10">
        <v>325.23</v>
      </c>
      <c r="C3674" s="10">
        <v>328.01</v>
      </c>
      <c r="D3674" s="10">
        <v>322.87</v>
      </c>
      <c r="E3674" s="13">
        <f t="shared" si="171"/>
        <v>4.499237173848843E-3</v>
      </c>
      <c r="F3674" s="9">
        <f t="shared" si="169"/>
        <v>-6.7416674302341432E-3</v>
      </c>
      <c r="G3674" s="9">
        <f t="shared" si="170"/>
        <v>1.3966708136881169E-2</v>
      </c>
    </row>
    <row r="3675" spans="1:7" x14ac:dyDescent="0.2">
      <c r="A3675" s="11">
        <v>40414</v>
      </c>
      <c r="B3675" s="10">
        <v>316.5</v>
      </c>
      <c r="C3675" s="10">
        <v>325.23</v>
      </c>
      <c r="D3675" s="10">
        <v>314.94</v>
      </c>
      <c r="E3675" s="13">
        <f t="shared" si="171"/>
        <v>-2.7209382757079206E-2</v>
      </c>
      <c r="F3675" s="9">
        <f t="shared" si="169"/>
        <v>-2.4407441119458952E-2</v>
      </c>
      <c r="G3675" s="9">
        <f t="shared" si="170"/>
        <v>1.4750575430038985E-2</v>
      </c>
    </row>
    <row r="3676" spans="1:7" x14ac:dyDescent="0.2">
      <c r="A3676" s="11">
        <v>40415</v>
      </c>
      <c r="B3676" s="10">
        <v>313.66000000000003</v>
      </c>
      <c r="C3676" s="10">
        <v>319.77999999999997</v>
      </c>
      <c r="D3676" s="10">
        <v>310.25</v>
      </c>
      <c r="E3676" s="13">
        <f t="shared" si="171"/>
        <v>-9.0136448779522382E-3</v>
      </c>
      <c r="F3676" s="9">
        <f t="shared" si="169"/>
        <v>-1.8259866048687179E-2</v>
      </c>
      <c r="G3676" s="9">
        <f t="shared" si="170"/>
        <v>1.4580629716538836E-2</v>
      </c>
    </row>
    <row r="3677" spans="1:7" x14ac:dyDescent="0.2">
      <c r="A3677" s="11">
        <v>40416</v>
      </c>
      <c r="B3677" s="10">
        <v>317.49</v>
      </c>
      <c r="C3677" s="10">
        <v>319.89</v>
      </c>
      <c r="D3677" s="10">
        <v>313.66000000000003</v>
      </c>
      <c r="E3677" s="13">
        <f t="shared" si="171"/>
        <v>1.2136725067464132E-2</v>
      </c>
      <c r="F3677" s="9">
        <f t="shared" si="169"/>
        <v>8.8230665878113069E-4</v>
      </c>
      <c r="G3677" s="9">
        <f t="shared" si="170"/>
        <v>1.4714360881137454E-2</v>
      </c>
    </row>
    <row r="3678" spans="1:7" x14ac:dyDescent="0.2">
      <c r="A3678" s="11">
        <v>40417</v>
      </c>
      <c r="B3678" s="10">
        <v>320.41000000000003</v>
      </c>
      <c r="C3678" s="10">
        <v>320.64</v>
      </c>
      <c r="D3678" s="10">
        <v>314.29000000000002</v>
      </c>
      <c r="E3678" s="13">
        <f t="shared" si="171"/>
        <v>9.1551039196759183E-3</v>
      </c>
      <c r="F3678" s="9">
        <f t="shared" si="169"/>
        <v>8.9346488365059651E-3</v>
      </c>
      <c r="G3678" s="9">
        <f t="shared" si="170"/>
        <v>1.4810977651664739E-2</v>
      </c>
    </row>
    <row r="3679" spans="1:7" x14ac:dyDescent="0.2">
      <c r="A3679" s="11">
        <v>40420</v>
      </c>
      <c r="B3679" s="10">
        <v>322.23</v>
      </c>
      <c r="C3679" s="10">
        <v>324.75</v>
      </c>
      <c r="D3679" s="10">
        <v>320.41000000000003</v>
      </c>
      <c r="E3679" s="13">
        <f t="shared" si="171"/>
        <v>5.6641505846467821E-3</v>
      </c>
      <c r="F3679" s="9">
        <f t="shared" si="169"/>
        <v>2.1328788961141414E-2</v>
      </c>
      <c r="G3679" s="9">
        <f t="shared" si="170"/>
        <v>1.4779422689745147E-2</v>
      </c>
    </row>
    <row r="3680" spans="1:7" x14ac:dyDescent="0.2">
      <c r="A3680" s="11">
        <v>40421</v>
      </c>
      <c r="B3680" s="10">
        <v>322.08999999999997</v>
      </c>
      <c r="C3680" s="10">
        <v>322.5</v>
      </c>
      <c r="D3680" s="10">
        <v>315.88</v>
      </c>
      <c r="E3680" s="13">
        <f t="shared" si="171"/>
        <v>-4.3456668178315326E-4</v>
      </c>
      <c r="F3680" s="9">
        <f t="shared" ref="F3680:F3743" si="172">LN(B3680/B3651)</f>
        <v>1.4602851704035469E-3</v>
      </c>
      <c r="G3680" s="9">
        <f t="shared" si="170"/>
        <v>1.4335522297265261E-2</v>
      </c>
    </row>
    <row r="3681" spans="1:7" x14ac:dyDescent="0.2">
      <c r="A3681" s="11">
        <v>40422</v>
      </c>
      <c r="B3681" s="10">
        <v>333.6</v>
      </c>
      <c r="C3681" s="10">
        <v>333.76</v>
      </c>
      <c r="D3681" s="10">
        <v>321.98</v>
      </c>
      <c r="E3681" s="13">
        <f t="shared" si="171"/>
        <v>3.5111660888309665E-2</v>
      </c>
      <c r="F3681" s="9">
        <f t="shared" si="172"/>
        <v>9.6688956396294105E-3</v>
      </c>
      <c r="G3681" s="9">
        <f t="shared" ref="G3681:G3744" si="173">STDEV(E3653:E3681)</f>
        <v>1.4952431741148887E-2</v>
      </c>
    </row>
    <row r="3682" spans="1:7" x14ac:dyDescent="0.2">
      <c r="A3682" s="11">
        <v>40423</v>
      </c>
      <c r="B3682" s="10">
        <v>332.41</v>
      </c>
      <c r="C3682" s="10">
        <v>334.56</v>
      </c>
      <c r="D3682" s="10">
        <v>331.33</v>
      </c>
      <c r="E3682" s="13">
        <f t="shared" si="171"/>
        <v>-3.5735237199596942E-3</v>
      </c>
      <c r="F3682" s="9">
        <f t="shared" si="172"/>
        <v>2.982693562984209E-3</v>
      </c>
      <c r="G3682" s="9">
        <f t="shared" si="173"/>
        <v>1.4959593503777163E-2</v>
      </c>
    </row>
    <row r="3683" spans="1:7" x14ac:dyDescent="0.2">
      <c r="A3683" s="11">
        <v>40424</v>
      </c>
      <c r="B3683" s="10">
        <v>338.06</v>
      </c>
      <c r="C3683" s="10">
        <v>341.35</v>
      </c>
      <c r="D3683" s="10">
        <v>332.41</v>
      </c>
      <c r="E3683" s="13">
        <f t="shared" si="171"/>
        <v>1.6854247757399701E-2</v>
      </c>
      <c r="F3683" s="9">
        <f t="shared" si="172"/>
        <v>5.755155462014259E-3</v>
      </c>
      <c r="G3683" s="9">
        <f t="shared" si="173"/>
        <v>1.5060636815222036E-2</v>
      </c>
    </row>
    <row r="3684" spans="1:7" x14ac:dyDescent="0.2">
      <c r="A3684" s="11">
        <v>40427</v>
      </c>
      <c r="B3684" s="10">
        <v>338.91</v>
      </c>
      <c r="C3684" s="10">
        <v>341.23</v>
      </c>
      <c r="D3684" s="10">
        <v>338.06</v>
      </c>
      <c r="E3684" s="13">
        <f t="shared" si="171"/>
        <v>2.511190884915511E-3</v>
      </c>
      <c r="F3684" s="9">
        <f t="shared" si="172"/>
        <v>1.2231115815957387E-2</v>
      </c>
      <c r="G3684" s="9">
        <f t="shared" si="173"/>
        <v>1.5044704885661869E-2</v>
      </c>
    </row>
    <row r="3685" spans="1:7" x14ac:dyDescent="0.2">
      <c r="A3685" s="11">
        <v>40428</v>
      </c>
      <c r="B3685" s="10">
        <v>335.55</v>
      </c>
      <c r="C3685" s="10">
        <v>338.91</v>
      </c>
      <c r="D3685" s="10">
        <v>333.97</v>
      </c>
      <c r="E3685" s="13">
        <f t="shared" si="171"/>
        <v>-9.9636088026988524E-3</v>
      </c>
      <c r="F3685" s="9">
        <f t="shared" si="172"/>
        <v>4.6599241955228056E-3</v>
      </c>
      <c r="G3685" s="9">
        <f t="shared" si="173"/>
        <v>1.5160531159486389E-2</v>
      </c>
    </row>
    <row r="3686" spans="1:7" x14ac:dyDescent="0.2">
      <c r="A3686" s="11">
        <v>40429</v>
      </c>
      <c r="B3686" s="10">
        <v>337.75</v>
      </c>
      <c r="C3686" s="10">
        <v>338.56</v>
      </c>
      <c r="D3686" s="10">
        <v>331.66</v>
      </c>
      <c r="E3686" s="13">
        <f t="shared" si="171"/>
        <v>6.5350002360599303E-3</v>
      </c>
      <c r="F3686" s="9">
        <f t="shared" si="172"/>
        <v>1.9794929324328851E-2</v>
      </c>
      <c r="G3686" s="9">
        <f t="shared" si="173"/>
        <v>1.5108596154102566E-2</v>
      </c>
    </row>
    <row r="3687" spans="1:7" x14ac:dyDescent="0.2">
      <c r="A3687" s="11">
        <v>40430</v>
      </c>
      <c r="B3687" s="10">
        <v>340.74</v>
      </c>
      <c r="C3687" s="10">
        <v>341.67</v>
      </c>
      <c r="D3687" s="10">
        <v>336.74</v>
      </c>
      <c r="E3687" s="13">
        <f t="shared" si="171"/>
        <v>8.8137462770879766E-3</v>
      </c>
      <c r="F3687" s="9">
        <f t="shared" si="172"/>
        <v>3.8929624456031015E-2</v>
      </c>
      <c r="G3687" s="9">
        <f t="shared" si="173"/>
        <v>1.5028501079967451E-2</v>
      </c>
    </row>
    <row r="3688" spans="1:7" x14ac:dyDescent="0.2">
      <c r="A3688" s="11">
        <v>40431</v>
      </c>
      <c r="B3688" s="10">
        <v>341.63</v>
      </c>
      <c r="C3688" s="10">
        <v>343.29</v>
      </c>
      <c r="D3688" s="10">
        <v>339.51</v>
      </c>
      <c r="E3688" s="13">
        <f t="shared" si="171"/>
        <v>2.6085569549428957E-3</v>
      </c>
      <c r="F3688" s="9">
        <f t="shared" si="172"/>
        <v>9.2928179400178432E-3</v>
      </c>
      <c r="G3688" s="9">
        <f t="shared" si="173"/>
        <v>1.3810304263046674E-2</v>
      </c>
    </row>
    <row r="3689" spans="1:7" x14ac:dyDescent="0.2">
      <c r="A3689" s="11">
        <v>40434</v>
      </c>
      <c r="B3689" s="10">
        <v>346.37</v>
      </c>
      <c r="C3689" s="10">
        <v>346.79</v>
      </c>
      <c r="D3689" s="10">
        <v>341.63</v>
      </c>
      <c r="E3689" s="13">
        <f t="shared" si="171"/>
        <v>1.3779287784673251E-2</v>
      </c>
      <c r="F3689" s="9">
        <f t="shared" si="172"/>
        <v>2.3633612942990705E-2</v>
      </c>
      <c r="G3689" s="9">
        <f t="shared" si="173"/>
        <v>1.4032560521289459E-2</v>
      </c>
    </row>
    <row r="3690" spans="1:7" x14ac:dyDescent="0.2">
      <c r="A3690" s="11">
        <v>40435</v>
      </c>
      <c r="B3690" s="10">
        <v>344.91</v>
      </c>
      <c r="C3690" s="10">
        <v>347.7</v>
      </c>
      <c r="D3690" s="10">
        <v>342.17</v>
      </c>
      <c r="E3690" s="13">
        <f t="shared" si="171"/>
        <v>-4.224054423253569E-3</v>
      </c>
      <c r="F3690" s="9">
        <f t="shared" si="172"/>
        <v>8.4435370325453007E-3</v>
      </c>
      <c r="G3690" s="9">
        <f t="shared" si="173"/>
        <v>1.392319238890374E-2</v>
      </c>
    </row>
    <row r="3691" spans="1:7" x14ac:dyDescent="0.2">
      <c r="A3691" s="11">
        <v>40436</v>
      </c>
      <c r="B3691" s="10">
        <v>343.38</v>
      </c>
      <c r="C3691" s="10">
        <v>345.52</v>
      </c>
      <c r="D3691" s="10">
        <v>341.92</v>
      </c>
      <c r="E3691" s="13">
        <f t="shared" si="171"/>
        <v>-4.4458077846926793E-3</v>
      </c>
      <c r="F3691" s="9">
        <f t="shared" si="172"/>
        <v>6.7003629442236002E-4</v>
      </c>
      <c r="G3691" s="9">
        <f t="shared" si="173"/>
        <v>1.3937465684899968E-2</v>
      </c>
    </row>
    <row r="3692" spans="1:7" x14ac:dyDescent="0.2">
      <c r="A3692" s="11">
        <v>40437</v>
      </c>
      <c r="B3692" s="10">
        <v>343.69</v>
      </c>
      <c r="C3692" s="10">
        <v>344.87</v>
      </c>
      <c r="D3692" s="10">
        <v>341.7</v>
      </c>
      <c r="E3692" s="13">
        <f t="shared" si="171"/>
        <v>9.0238264233908109E-4</v>
      </c>
      <c r="F3692" s="9">
        <f t="shared" si="172"/>
        <v>1.6889928301697592E-3</v>
      </c>
      <c r="G3692" s="9">
        <f t="shared" si="173"/>
        <v>1.3938385345603436E-2</v>
      </c>
    </row>
    <row r="3693" spans="1:7" x14ac:dyDescent="0.2">
      <c r="A3693" s="11">
        <v>40438</v>
      </c>
      <c r="B3693" s="10">
        <v>344.82</v>
      </c>
      <c r="C3693" s="10">
        <v>346.78</v>
      </c>
      <c r="D3693" s="10">
        <v>342.4</v>
      </c>
      <c r="E3693" s="13">
        <f t="shared" si="171"/>
        <v>3.2824534563001212E-3</v>
      </c>
      <c r="F3693" s="9">
        <f t="shared" si="172"/>
        <v>8.7382590273460056E-3</v>
      </c>
      <c r="G3693" s="9">
        <f t="shared" si="173"/>
        <v>1.3930761689029254E-2</v>
      </c>
    </row>
    <row r="3694" spans="1:7" x14ac:dyDescent="0.2">
      <c r="A3694" s="11">
        <v>40441</v>
      </c>
      <c r="B3694" s="10">
        <v>347.16</v>
      </c>
      <c r="C3694" s="10">
        <v>347.23</v>
      </c>
      <c r="D3694" s="10">
        <v>343.77</v>
      </c>
      <c r="E3694" s="13">
        <f t="shared" si="171"/>
        <v>6.763227028338919E-3</v>
      </c>
      <c r="F3694" s="9">
        <f t="shared" si="172"/>
        <v>3.0771658666753902E-2</v>
      </c>
      <c r="G3694" s="9">
        <f t="shared" si="173"/>
        <v>1.3649170458628851E-2</v>
      </c>
    </row>
    <row r="3695" spans="1:7" x14ac:dyDescent="0.2">
      <c r="A3695" s="11">
        <v>40442</v>
      </c>
      <c r="B3695" s="10">
        <v>350.19</v>
      </c>
      <c r="C3695" s="10">
        <v>351.68</v>
      </c>
      <c r="D3695" s="10">
        <v>347.02</v>
      </c>
      <c r="E3695" s="13">
        <f t="shared" si="171"/>
        <v>8.6900955566375278E-3</v>
      </c>
      <c r="F3695" s="9">
        <f t="shared" si="172"/>
        <v>6.384770637690422E-2</v>
      </c>
      <c r="G3695" s="9">
        <f t="shared" si="173"/>
        <v>1.2802511724254419E-2</v>
      </c>
    </row>
    <row r="3696" spans="1:7" x14ac:dyDescent="0.2">
      <c r="A3696" s="11">
        <v>40443</v>
      </c>
      <c r="B3696" s="10">
        <v>345.34</v>
      </c>
      <c r="C3696" s="10">
        <v>351.12</v>
      </c>
      <c r="D3696" s="10">
        <v>345.34</v>
      </c>
      <c r="E3696" s="13">
        <f t="shared" si="171"/>
        <v>-1.394642534839741E-2</v>
      </c>
      <c r="F3696" s="9">
        <f t="shared" si="172"/>
        <v>5.5793258447919242E-2</v>
      </c>
      <c r="G3696" s="9">
        <f t="shared" si="173"/>
        <v>1.3068961313040844E-2</v>
      </c>
    </row>
    <row r="3697" spans="1:7" x14ac:dyDescent="0.2">
      <c r="A3697" s="11">
        <v>40444</v>
      </c>
      <c r="B3697" s="10">
        <v>346.19</v>
      </c>
      <c r="C3697" s="10">
        <v>348.68</v>
      </c>
      <c r="D3697" s="10">
        <v>342.17</v>
      </c>
      <c r="E3697" s="13">
        <f t="shared" si="171"/>
        <v>2.4583183030933717E-3</v>
      </c>
      <c r="F3697" s="9">
        <f t="shared" si="172"/>
        <v>5.9047974624453214E-2</v>
      </c>
      <c r="G3697" s="9">
        <f t="shared" si="173"/>
        <v>1.305873716726931E-2</v>
      </c>
    </row>
    <row r="3698" spans="1:7" x14ac:dyDescent="0.2">
      <c r="A3698" s="11">
        <v>40445</v>
      </c>
      <c r="B3698" s="10">
        <v>348.13</v>
      </c>
      <c r="C3698" s="10">
        <v>349.16</v>
      </c>
      <c r="D3698" s="10">
        <v>342.82</v>
      </c>
      <c r="E3698" s="13">
        <f t="shared" si="171"/>
        <v>5.5882159481204525E-3</v>
      </c>
      <c r="F3698" s="9">
        <f t="shared" si="172"/>
        <v>6.5954703603759116E-2</v>
      </c>
      <c r="G3698" s="9">
        <f t="shared" si="173"/>
        <v>1.3058352443099761E-2</v>
      </c>
    </row>
    <row r="3699" spans="1:7" x14ac:dyDescent="0.2">
      <c r="A3699" s="11">
        <v>40448</v>
      </c>
      <c r="B3699" s="10">
        <v>349.18</v>
      </c>
      <c r="C3699" s="10">
        <v>352.02</v>
      </c>
      <c r="D3699" s="10">
        <v>348.13</v>
      </c>
      <c r="E3699" s="13">
        <f t="shared" si="171"/>
        <v>3.011575321130272E-3</v>
      </c>
      <c r="F3699" s="9">
        <f t="shared" si="172"/>
        <v>4.0055014920932316E-2</v>
      </c>
      <c r="G3699" s="9">
        <f t="shared" si="173"/>
        <v>1.2015556620988552E-2</v>
      </c>
    </row>
    <row r="3700" spans="1:7" x14ac:dyDescent="0.2">
      <c r="A3700" s="11">
        <v>40449</v>
      </c>
      <c r="B3700" s="10">
        <v>347.68</v>
      </c>
      <c r="C3700" s="10">
        <v>349.99</v>
      </c>
      <c r="D3700" s="10">
        <v>345.4</v>
      </c>
      <c r="E3700" s="13">
        <f t="shared" si="171"/>
        <v>-4.3050320485087572E-3</v>
      </c>
      <c r="F3700" s="9">
        <f t="shared" si="172"/>
        <v>3.8018031234921472E-2</v>
      </c>
      <c r="G3700" s="9">
        <f t="shared" si="173"/>
        <v>1.2043572674777315E-2</v>
      </c>
    </row>
    <row r="3701" spans="1:7" x14ac:dyDescent="0.2">
      <c r="A3701" s="11">
        <v>40450</v>
      </c>
      <c r="B3701" s="10">
        <v>349.48</v>
      </c>
      <c r="C3701" s="10">
        <v>350.85</v>
      </c>
      <c r="D3701" s="10">
        <v>347.59</v>
      </c>
      <c r="E3701" s="13">
        <f t="shared" si="171"/>
        <v>5.1638189217743822E-3</v>
      </c>
      <c r="F3701" s="9">
        <f t="shared" si="172"/>
        <v>6.578304786273706E-2</v>
      </c>
      <c r="G3701" s="9">
        <f t="shared" si="173"/>
        <v>1.114483262926217E-2</v>
      </c>
    </row>
    <row r="3702" spans="1:7" x14ac:dyDescent="0.2">
      <c r="A3702" s="11">
        <v>40451</v>
      </c>
      <c r="B3702" s="10">
        <v>349.95</v>
      </c>
      <c r="C3702" s="10">
        <v>354.4</v>
      </c>
      <c r="D3702" s="10">
        <v>348.22</v>
      </c>
      <c r="E3702" s="13">
        <f t="shared" si="171"/>
        <v>1.3439517056546564E-3</v>
      </c>
      <c r="F3702" s="9">
        <f t="shared" si="172"/>
        <v>7.7756899968087489E-2</v>
      </c>
      <c r="G3702" s="9">
        <f t="shared" si="173"/>
        <v>1.0868284868585668E-2</v>
      </c>
    </row>
    <row r="3703" spans="1:7" x14ac:dyDescent="0.2">
      <c r="A3703" s="11">
        <v>40452</v>
      </c>
      <c r="B3703" s="10">
        <v>351.66</v>
      </c>
      <c r="C3703" s="10">
        <v>353.96</v>
      </c>
      <c r="D3703" s="10">
        <v>349.95</v>
      </c>
      <c r="E3703" s="13">
        <f t="shared" si="171"/>
        <v>4.8745125808443718E-3</v>
      </c>
      <c r="F3703" s="9">
        <f t="shared" si="172"/>
        <v>7.8132175375082782E-2</v>
      </c>
      <c r="G3703" s="9">
        <f t="shared" si="173"/>
        <v>1.0870749904924482E-2</v>
      </c>
    </row>
    <row r="3704" spans="1:7" x14ac:dyDescent="0.2">
      <c r="A3704" s="11">
        <v>40455</v>
      </c>
      <c r="B3704" s="10">
        <v>349.52</v>
      </c>
      <c r="C3704" s="10">
        <v>352.38</v>
      </c>
      <c r="D3704" s="10">
        <v>348.14</v>
      </c>
      <c r="E3704" s="13">
        <f t="shared" si="171"/>
        <v>-6.104015073212567E-3</v>
      </c>
      <c r="F3704" s="9">
        <f t="shared" si="172"/>
        <v>9.9237543058949482E-2</v>
      </c>
      <c r="G3704" s="9">
        <f t="shared" si="173"/>
        <v>9.404925756139151E-3</v>
      </c>
    </row>
    <row r="3705" spans="1:7" x14ac:dyDescent="0.2">
      <c r="A3705" s="11">
        <v>40456</v>
      </c>
      <c r="B3705" s="10">
        <v>353.67</v>
      </c>
      <c r="C3705" s="10">
        <v>353.92</v>
      </c>
      <c r="D3705" s="10">
        <v>347.78</v>
      </c>
      <c r="E3705" s="13">
        <f t="shared" si="171"/>
        <v>1.1803490328965513E-2</v>
      </c>
      <c r="F3705" s="9">
        <f t="shared" si="172"/>
        <v>0.12005467826586715</v>
      </c>
      <c r="G3705" s="9">
        <f t="shared" si="173"/>
        <v>9.2143815369596163E-3</v>
      </c>
    </row>
    <row r="3706" spans="1:7" x14ac:dyDescent="0.2">
      <c r="A3706" s="11">
        <v>40457</v>
      </c>
      <c r="B3706" s="10">
        <v>356.84</v>
      </c>
      <c r="C3706" s="10">
        <v>357.88</v>
      </c>
      <c r="D3706" s="10">
        <v>353.63</v>
      </c>
      <c r="E3706" s="13">
        <f t="shared" si="171"/>
        <v>8.9232270734368718E-3</v>
      </c>
      <c r="F3706" s="9">
        <f t="shared" si="172"/>
        <v>0.11684118027183976</v>
      </c>
      <c r="G3706" s="9">
        <f t="shared" si="173"/>
        <v>9.133747354238806E-3</v>
      </c>
    </row>
    <row r="3707" spans="1:7" x14ac:dyDescent="0.2">
      <c r="A3707" s="11">
        <v>40458</v>
      </c>
      <c r="B3707" s="10">
        <v>354.84</v>
      </c>
      <c r="C3707" s="10">
        <v>357.23</v>
      </c>
      <c r="D3707" s="10">
        <v>353.35</v>
      </c>
      <c r="E3707" s="13">
        <f t="shared" si="171"/>
        <v>-5.6205183931965609E-3</v>
      </c>
      <c r="F3707" s="9">
        <f t="shared" si="172"/>
        <v>0.10206555795896738</v>
      </c>
      <c r="G3707" s="9">
        <f t="shared" si="173"/>
        <v>9.2489724257545768E-3</v>
      </c>
    </row>
    <row r="3708" spans="1:7" x14ac:dyDescent="0.2">
      <c r="A3708" s="11">
        <v>40459</v>
      </c>
      <c r="B3708" s="10">
        <v>357.17</v>
      </c>
      <c r="C3708" s="10">
        <v>357.31</v>
      </c>
      <c r="D3708" s="10">
        <v>351.07</v>
      </c>
      <c r="E3708" s="13">
        <f t="shared" si="171"/>
        <v>6.5448752607389837E-3</v>
      </c>
      <c r="F3708" s="9">
        <f t="shared" si="172"/>
        <v>0.10294628263505975</v>
      </c>
      <c r="G3708" s="9">
        <f t="shared" si="173"/>
        <v>9.2577079168759437E-3</v>
      </c>
    </row>
    <row r="3709" spans="1:7" x14ac:dyDescent="0.2">
      <c r="A3709" s="11">
        <v>40462</v>
      </c>
      <c r="B3709" s="10">
        <v>357.06</v>
      </c>
      <c r="C3709" s="10">
        <v>358.83</v>
      </c>
      <c r="D3709" s="10">
        <v>356.31</v>
      </c>
      <c r="E3709" s="13">
        <f t="shared" si="171"/>
        <v>-3.0802402830946047E-4</v>
      </c>
      <c r="F3709" s="9">
        <f t="shared" si="172"/>
        <v>0.10307282528853361</v>
      </c>
      <c r="G3709" s="9">
        <f t="shared" si="173"/>
        <v>9.2557924383030177E-3</v>
      </c>
    </row>
    <row r="3710" spans="1:7" x14ac:dyDescent="0.2">
      <c r="A3710" s="11">
        <v>40463</v>
      </c>
      <c r="B3710" s="10">
        <v>355.06</v>
      </c>
      <c r="C3710" s="10">
        <v>357.11</v>
      </c>
      <c r="D3710" s="10">
        <v>351.99</v>
      </c>
      <c r="E3710" s="13">
        <f t="shared" si="171"/>
        <v>-5.61704560616412E-3</v>
      </c>
      <c r="F3710" s="9">
        <f t="shared" si="172"/>
        <v>6.2344118794059877E-2</v>
      </c>
      <c r="G3710" s="9">
        <f t="shared" si="173"/>
        <v>7.1459073233332386E-3</v>
      </c>
    </row>
    <row r="3711" spans="1:7" x14ac:dyDescent="0.2">
      <c r="A3711" s="11">
        <v>40464</v>
      </c>
      <c r="B3711" s="10">
        <v>362.2</v>
      </c>
      <c r="C3711" s="10">
        <v>363.1</v>
      </c>
      <c r="D3711" s="10">
        <v>355.06</v>
      </c>
      <c r="E3711" s="13">
        <f t="shared" si="171"/>
        <v>1.9909756170661486E-2</v>
      </c>
      <c r="F3711" s="9">
        <f t="shared" si="172"/>
        <v>8.582739868468095E-2</v>
      </c>
      <c r="G3711" s="9">
        <f t="shared" si="173"/>
        <v>7.7768784744518728E-3</v>
      </c>
    </row>
    <row r="3712" spans="1:7" x14ac:dyDescent="0.2">
      <c r="A3712" s="11">
        <v>40465</v>
      </c>
      <c r="B3712" s="10">
        <v>363.54</v>
      </c>
      <c r="C3712" s="10">
        <v>364.8</v>
      </c>
      <c r="D3712" s="10">
        <v>362.07</v>
      </c>
      <c r="E3712" s="13">
        <f t="shared" si="171"/>
        <v>3.6927867356396941E-3</v>
      </c>
      <c r="F3712" s="9">
        <f t="shared" si="172"/>
        <v>7.2665937662921079E-2</v>
      </c>
      <c r="G3712" s="9">
        <f t="shared" si="173"/>
        <v>7.3068892659771505E-3</v>
      </c>
    </row>
    <row r="3713" spans="1:7" x14ac:dyDescent="0.2">
      <c r="A3713" s="11">
        <v>40466</v>
      </c>
      <c r="B3713" s="10">
        <v>362.98</v>
      </c>
      <c r="C3713" s="10">
        <v>365.49</v>
      </c>
      <c r="D3713" s="10">
        <v>361.83</v>
      </c>
      <c r="E3713" s="13">
        <f t="shared" si="171"/>
        <v>-1.5415958566980901E-3</v>
      </c>
      <c r="F3713" s="9">
        <f t="shared" si="172"/>
        <v>6.8613150921307431E-2</v>
      </c>
      <c r="G3713" s="9">
        <f t="shared" si="173"/>
        <v>7.3454359751370726E-3</v>
      </c>
    </row>
    <row r="3714" spans="1:7" x14ac:dyDescent="0.2">
      <c r="A3714" s="11">
        <v>40469</v>
      </c>
      <c r="B3714" s="10">
        <v>363.98</v>
      </c>
      <c r="C3714" s="10">
        <v>364.93</v>
      </c>
      <c r="D3714" s="10">
        <v>360.21</v>
      </c>
      <c r="E3714" s="13">
        <f t="shared" si="171"/>
        <v>2.7511847440062757E-3</v>
      </c>
      <c r="F3714" s="9">
        <f t="shared" si="172"/>
        <v>8.1327944468012406E-2</v>
      </c>
      <c r="G3714" s="9">
        <f t="shared" si="173"/>
        <v>6.9521507474462852E-3</v>
      </c>
    </row>
    <row r="3715" spans="1:7" x14ac:dyDescent="0.2">
      <c r="A3715" s="11">
        <v>40470</v>
      </c>
      <c r="B3715" s="10">
        <v>359.5</v>
      </c>
      <c r="C3715" s="10">
        <v>365.18</v>
      </c>
      <c r="D3715" s="10">
        <v>358.6</v>
      </c>
      <c r="E3715" s="13">
        <f t="shared" si="171"/>
        <v>-1.238474391115948E-2</v>
      </c>
      <c r="F3715" s="9">
        <f t="shared" si="172"/>
        <v>6.2408200320793056E-2</v>
      </c>
      <c r="G3715" s="9">
        <f t="shared" si="173"/>
        <v>7.4588323229195013E-3</v>
      </c>
    </row>
    <row r="3716" spans="1:7" x14ac:dyDescent="0.2">
      <c r="A3716" s="11">
        <v>40471</v>
      </c>
      <c r="B3716" s="10">
        <v>362.34</v>
      </c>
      <c r="C3716" s="10">
        <v>362.34</v>
      </c>
      <c r="D3716" s="10">
        <v>358.4</v>
      </c>
      <c r="E3716" s="13">
        <f t="shared" ref="E3716:E3779" si="174">LN(B3716/B3715)</f>
        <v>7.8688203867633266E-3</v>
      </c>
      <c r="F3716" s="9">
        <f t="shared" si="172"/>
        <v>6.146327443046861E-2</v>
      </c>
      <c r="G3716" s="9">
        <f t="shared" si="173"/>
        <v>7.4307022961512944E-3</v>
      </c>
    </row>
    <row r="3717" spans="1:7" x14ac:dyDescent="0.2">
      <c r="A3717" s="11">
        <v>40472</v>
      </c>
      <c r="B3717" s="10">
        <v>366.39</v>
      </c>
      <c r="C3717" s="10">
        <v>367.09</v>
      </c>
      <c r="D3717" s="10">
        <v>360.96</v>
      </c>
      <c r="E3717" s="13">
        <f t="shared" si="174"/>
        <v>1.1115342303242102E-2</v>
      </c>
      <c r="F3717" s="9">
        <f t="shared" si="172"/>
        <v>6.9970059778767801E-2</v>
      </c>
      <c r="G3717" s="9">
        <f t="shared" si="173"/>
        <v>7.6162921575165608E-3</v>
      </c>
    </row>
    <row r="3718" spans="1:7" x14ac:dyDescent="0.2">
      <c r="A3718" s="11">
        <v>40473</v>
      </c>
      <c r="B3718" s="10">
        <v>364.6</v>
      </c>
      <c r="C3718" s="10">
        <v>366.74</v>
      </c>
      <c r="D3718" s="10">
        <v>364.57</v>
      </c>
      <c r="E3718" s="13">
        <f t="shared" si="174"/>
        <v>-4.8974776065441195E-3</v>
      </c>
      <c r="F3718" s="9">
        <f t="shared" si="172"/>
        <v>5.1293294387550481E-2</v>
      </c>
      <c r="G3718" s="9">
        <f t="shared" si="173"/>
        <v>7.4076087572618361E-3</v>
      </c>
    </row>
    <row r="3719" spans="1:7" x14ac:dyDescent="0.2">
      <c r="A3719" s="11">
        <v>40476</v>
      </c>
      <c r="B3719" s="10">
        <v>368.53</v>
      </c>
      <c r="C3719" s="10">
        <v>368.97</v>
      </c>
      <c r="D3719" s="10">
        <v>364.6</v>
      </c>
      <c r="E3719" s="13">
        <f t="shared" si="174"/>
        <v>1.0721257197309913E-2</v>
      </c>
      <c r="F3719" s="9">
        <f t="shared" si="172"/>
        <v>6.623860600811407E-2</v>
      </c>
      <c r="G3719" s="9">
        <f t="shared" si="173"/>
        <v>7.4951572228105483E-3</v>
      </c>
    </row>
    <row r="3720" spans="1:7" x14ac:dyDescent="0.2">
      <c r="A3720" s="11">
        <v>40477</v>
      </c>
      <c r="B3720" s="10">
        <v>370.55</v>
      </c>
      <c r="C3720" s="10">
        <v>370.55</v>
      </c>
      <c r="D3720" s="10">
        <v>366.61</v>
      </c>
      <c r="E3720" s="13">
        <f t="shared" si="174"/>
        <v>5.4662689554952175E-3</v>
      </c>
      <c r="F3720" s="9">
        <f t="shared" si="172"/>
        <v>7.6150682748302015E-2</v>
      </c>
      <c r="G3720" s="9">
        <f t="shared" si="173"/>
        <v>7.4027348372825395E-3</v>
      </c>
    </row>
    <row r="3721" spans="1:7" x14ac:dyDescent="0.2">
      <c r="A3721" s="11">
        <v>40478</v>
      </c>
      <c r="B3721" s="10">
        <v>366.37</v>
      </c>
      <c r="C3721" s="10">
        <v>371.43</v>
      </c>
      <c r="D3721" s="10">
        <v>366.1</v>
      </c>
      <c r="E3721" s="13">
        <f t="shared" si="174"/>
        <v>-1.1344636678814581E-2</v>
      </c>
      <c r="F3721" s="9">
        <f t="shared" si="172"/>
        <v>6.3903663427148469E-2</v>
      </c>
      <c r="G3721" s="9">
        <f t="shared" si="173"/>
        <v>7.8409331293062701E-3</v>
      </c>
    </row>
    <row r="3722" spans="1:7" x14ac:dyDescent="0.2">
      <c r="A3722" s="11">
        <v>40479</v>
      </c>
      <c r="B3722" s="10">
        <v>369.3</v>
      </c>
      <c r="C3722" s="10">
        <v>370.73</v>
      </c>
      <c r="D3722" s="10">
        <v>366.37</v>
      </c>
      <c r="E3722" s="13">
        <f t="shared" si="174"/>
        <v>7.9655701399642467E-3</v>
      </c>
      <c r="F3722" s="9">
        <f t="shared" si="172"/>
        <v>6.8586780110812498E-2</v>
      </c>
      <c r="G3722" s="9">
        <f t="shared" si="173"/>
        <v>7.9118510951122541E-3</v>
      </c>
    </row>
    <row r="3723" spans="1:7" x14ac:dyDescent="0.2">
      <c r="A3723" s="11">
        <v>40480</v>
      </c>
      <c r="B3723" s="10">
        <v>371.22</v>
      </c>
      <c r="C3723" s="10">
        <v>371.99</v>
      </c>
      <c r="D3723" s="10">
        <v>367.01</v>
      </c>
      <c r="E3723" s="13">
        <f t="shared" si="174"/>
        <v>5.1855569124349436E-3</v>
      </c>
      <c r="F3723" s="9">
        <f t="shared" si="172"/>
        <v>6.7009109994908458E-2</v>
      </c>
      <c r="G3723" s="9">
        <f t="shared" si="173"/>
        <v>7.8859104962896807E-3</v>
      </c>
    </row>
    <row r="3724" spans="1:7" x14ac:dyDescent="0.2">
      <c r="A3724" s="11">
        <v>40483</v>
      </c>
      <c r="B3724" s="10">
        <v>375.22</v>
      </c>
      <c r="C3724" s="10">
        <v>376.99</v>
      </c>
      <c r="D3724" s="10">
        <v>371.22</v>
      </c>
      <c r="E3724" s="13">
        <f t="shared" si="174"/>
        <v>1.0717641844512382E-2</v>
      </c>
      <c r="F3724" s="9">
        <f t="shared" si="172"/>
        <v>6.903665628278341E-2</v>
      </c>
      <c r="G3724" s="9">
        <f t="shared" si="173"/>
        <v>7.9531906337155043E-3</v>
      </c>
    </row>
    <row r="3725" spans="1:7" x14ac:dyDescent="0.2">
      <c r="A3725" s="11">
        <v>40484</v>
      </c>
      <c r="B3725" s="10">
        <v>378.64</v>
      </c>
      <c r="C3725" s="10">
        <v>378.71</v>
      </c>
      <c r="D3725" s="10">
        <v>375.22</v>
      </c>
      <c r="E3725" s="13">
        <f t="shared" si="174"/>
        <v>9.0733649825276656E-3</v>
      </c>
      <c r="F3725" s="9">
        <f t="shared" si="172"/>
        <v>9.2056446613708418E-2</v>
      </c>
      <c r="G3725" s="9">
        <f t="shared" si="173"/>
        <v>7.3945938212791043E-3</v>
      </c>
    </row>
    <row r="3726" spans="1:7" x14ac:dyDescent="0.2">
      <c r="A3726" s="11">
        <v>40485</v>
      </c>
      <c r="B3726" s="10">
        <v>370.2</v>
      </c>
      <c r="C3726" s="10">
        <v>379.16</v>
      </c>
      <c r="D3726" s="10">
        <v>369.32</v>
      </c>
      <c r="E3726" s="13">
        <f t="shared" si="174"/>
        <v>-2.254248545859543E-2</v>
      </c>
      <c r="F3726" s="9">
        <f t="shared" si="172"/>
        <v>6.7055642852019481E-2</v>
      </c>
      <c r="G3726" s="9">
        <f t="shared" si="173"/>
        <v>8.8040794602036523E-3</v>
      </c>
    </row>
    <row r="3727" spans="1:7" x14ac:dyDescent="0.2">
      <c r="A3727" s="11">
        <v>40486</v>
      </c>
      <c r="B3727" s="10">
        <v>378.22</v>
      </c>
      <c r="C3727" s="10">
        <v>378.22</v>
      </c>
      <c r="D3727" s="10">
        <v>370.2</v>
      </c>
      <c r="E3727" s="13">
        <f t="shared" si="174"/>
        <v>2.1432636759729739E-2</v>
      </c>
      <c r="F3727" s="9">
        <f t="shared" si="172"/>
        <v>8.290006366362887E-2</v>
      </c>
      <c r="G3727" s="9">
        <f t="shared" si="173"/>
        <v>9.4803007870550501E-3</v>
      </c>
    </row>
    <row r="3728" spans="1:7" x14ac:dyDescent="0.2">
      <c r="A3728" s="11">
        <v>40487</v>
      </c>
      <c r="B3728" s="10">
        <v>377.57</v>
      </c>
      <c r="C3728" s="10">
        <v>380.32</v>
      </c>
      <c r="D3728" s="10">
        <v>373.82</v>
      </c>
      <c r="E3728" s="13">
        <f t="shared" si="174"/>
        <v>-1.7200549365748038E-3</v>
      </c>
      <c r="F3728" s="9">
        <f t="shared" si="172"/>
        <v>7.8168433405923915E-2</v>
      </c>
      <c r="G3728" s="9">
        <f t="shared" si="173"/>
        <v>9.5182151862838824E-3</v>
      </c>
    </row>
    <row r="3729" spans="1:7" x14ac:dyDescent="0.2">
      <c r="A3729" s="11">
        <v>40490</v>
      </c>
      <c r="B3729" s="10">
        <v>376.51</v>
      </c>
      <c r="C3729" s="10">
        <v>378.65</v>
      </c>
      <c r="D3729" s="10">
        <v>375.35</v>
      </c>
      <c r="E3729" s="13">
        <f t="shared" si="174"/>
        <v>-2.8113746503589123E-3</v>
      </c>
      <c r="F3729" s="9">
        <f t="shared" si="172"/>
        <v>7.966209080407366E-2</v>
      </c>
      <c r="G3729" s="9">
        <f t="shared" si="173"/>
        <v>9.482956830862057E-3</v>
      </c>
    </row>
    <row r="3730" spans="1:7" x14ac:dyDescent="0.2">
      <c r="A3730" s="11">
        <v>40491</v>
      </c>
      <c r="B3730" s="10">
        <v>380.59</v>
      </c>
      <c r="C3730" s="10">
        <v>381.39</v>
      </c>
      <c r="D3730" s="10">
        <v>375.53</v>
      </c>
      <c r="E3730" s="13">
        <f t="shared" si="174"/>
        <v>1.0778072900949285E-2</v>
      </c>
      <c r="F3730" s="9">
        <f t="shared" si="172"/>
        <v>8.5276344783248706E-2</v>
      </c>
      <c r="G3730" s="9">
        <f t="shared" si="173"/>
        <v>9.590754003833895E-3</v>
      </c>
    </row>
    <row r="3731" spans="1:7" x14ac:dyDescent="0.2">
      <c r="A3731" s="11">
        <v>40492</v>
      </c>
      <c r="B3731" s="10">
        <v>377.75</v>
      </c>
      <c r="C3731" s="10">
        <v>381.26</v>
      </c>
      <c r="D3731" s="10">
        <v>376.86</v>
      </c>
      <c r="E3731" s="13">
        <f t="shared" si="174"/>
        <v>-7.4900790602936158E-3</v>
      </c>
      <c r="F3731" s="9">
        <f t="shared" si="172"/>
        <v>7.6442314017300297E-2</v>
      </c>
      <c r="G3731" s="9">
        <f t="shared" si="173"/>
        <v>9.7816698932608002E-3</v>
      </c>
    </row>
    <row r="3732" spans="1:7" x14ac:dyDescent="0.2">
      <c r="A3732" s="11">
        <v>40493</v>
      </c>
      <c r="B3732" s="10">
        <v>381.18</v>
      </c>
      <c r="C3732" s="10">
        <v>381.3</v>
      </c>
      <c r="D3732" s="10">
        <v>377.75</v>
      </c>
      <c r="E3732" s="13">
        <f t="shared" si="174"/>
        <v>9.0391033536479422E-3</v>
      </c>
      <c r="F3732" s="9">
        <f t="shared" si="172"/>
        <v>8.0606904790104059E-2</v>
      </c>
      <c r="G3732" s="9">
        <f t="shared" si="173"/>
        <v>9.8460671278442092E-3</v>
      </c>
    </row>
    <row r="3733" spans="1:7" x14ac:dyDescent="0.2">
      <c r="A3733" s="11">
        <v>40494</v>
      </c>
      <c r="B3733" s="10">
        <v>378.03</v>
      </c>
      <c r="C3733" s="10">
        <v>381.2</v>
      </c>
      <c r="D3733" s="10">
        <v>373.26</v>
      </c>
      <c r="E3733" s="13">
        <f t="shared" si="174"/>
        <v>-8.2981469567854488E-3</v>
      </c>
      <c r="F3733" s="9">
        <f t="shared" si="172"/>
        <v>7.8412772906530981E-2</v>
      </c>
      <c r="G3733" s="9">
        <f t="shared" si="173"/>
        <v>9.9248833890584112E-3</v>
      </c>
    </row>
    <row r="3734" spans="1:7" x14ac:dyDescent="0.2">
      <c r="A3734" s="11">
        <v>40497</v>
      </c>
      <c r="B3734" s="10">
        <v>379.82</v>
      </c>
      <c r="C3734" s="10">
        <v>381.06</v>
      </c>
      <c r="D3734" s="10">
        <v>375.42</v>
      </c>
      <c r="E3734" s="13">
        <f t="shared" si="174"/>
        <v>4.7238987363875861E-3</v>
      </c>
      <c r="F3734" s="9">
        <f t="shared" si="172"/>
        <v>7.1333181313953206E-2</v>
      </c>
      <c r="G3734" s="9">
        <f t="shared" si="173"/>
        <v>9.7790630611577414E-3</v>
      </c>
    </row>
    <row r="3735" spans="1:7" x14ac:dyDescent="0.2">
      <c r="A3735" s="11">
        <v>40498</v>
      </c>
      <c r="B3735" s="10">
        <v>367.42</v>
      </c>
      <c r="C3735" s="10">
        <v>379.82</v>
      </c>
      <c r="D3735" s="10">
        <v>367.18</v>
      </c>
      <c r="E3735" s="13">
        <f t="shared" si="174"/>
        <v>-3.3191848405307929E-2</v>
      </c>
      <c r="F3735" s="9">
        <f t="shared" si="172"/>
        <v>2.9218105835208504E-2</v>
      </c>
      <c r="G3735" s="9">
        <f t="shared" si="173"/>
        <v>1.1719553109957074E-2</v>
      </c>
    </row>
    <row r="3736" spans="1:7" x14ac:dyDescent="0.2">
      <c r="A3736" s="11">
        <v>40499</v>
      </c>
      <c r="B3736" s="10">
        <v>369.74</v>
      </c>
      <c r="C3736" s="10">
        <v>369.74</v>
      </c>
      <c r="D3736" s="10">
        <v>365.88</v>
      </c>
      <c r="E3736" s="13">
        <f t="shared" si="174"/>
        <v>6.2944480435083716E-3</v>
      </c>
      <c r="F3736" s="9">
        <f t="shared" si="172"/>
        <v>4.1133072271913311E-2</v>
      </c>
      <c r="G3736" s="9">
        <f t="shared" si="173"/>
        <v>1.1687702943559841E-2</v>
      </c>
    </row>
    <row r="3737" spans="1:7" x14ac:dyDescent="0.2">
      <c r="A3737" s="11">
        <v>40500</v>
      </c>
      <c r="B3737" s="10">
        <v>375.28</v>
      </c>
      <c r="C3737" s="10">
        <v>375.82</v>
      </c>
      <c r="D3737" s="10">
        <v>369.74</v>
      </c>
      <c r="E3737" s="13">
        <f t="shared" si="174"/>
        <v>1.4872358095903036E-2</v>
      </c>
      <c r="F3737" s="9">
        <f t="shared" si="172"/>
        <v>4.9460555107077302E-2</v>
      </c>
      <c r="G3737" s="9">
        <f t="shared" si="173"/>
        <v>1.1918180096569159E-2</v>
      </c>
    </row>
    <row r="3738" spans="1:7" x14ac:dyDescent="0.2">
      <c r="A3738" s="11">
        <v>40501</v>
      </c>
      <c r="B3738" s="10">
        <v>374.42</v>
      </c>
      <c r="C3738" s="10">
        <v>376.15</v>
      </c>
      <c r="D3738" s="10">
        <v>371.7</v>
      </c>
      <c r="E3738" s="13">
        <f t="shared" si="174"/>
        <v>-2.2942520400801116E-3</v>
      </c>
      <c r="F3738" s="9">
        <f t="shared" si="172"/>
        <v>4.7474327095306655E-2</v>
      </c>
      <c r="G3738" s="9">
        <f t="shared" si="173"/>
        <v>1.1935858809708761E-2</v>
      </c>
    </row>
    <row r="3739" spans="1:7" x14ac:dyDescent="0.2">
      <c r="A3739" s="11">
        <v>40504</v>
      </c>
      <c r="B3739" s="10">
        <v>373.59</v>
      </c>
      <c r="C3739" s="10">
        <v>377.95</v>
      </c>
      <c r="D3739" s="10">
        <v>372.19</v>
      </c>
      <c r="E3739" s="13">
        <f t="shared" si="174"/>
        <v>-2.2192225789557044E-3</v>
      </c>
      <c r="F3739" s="9">
        <f t="shared" si="172"/>
        <v>5.0872150122515197E-2</v>
      </c>
      <c r="G3739" s="9">
        <f t="shared" si="173"/>
        <v>1.1878647061396685E-2</v>
      </c>
    </row>
    <row r="3740" spans="1:7" x14ac:dyDescent="0.2">
      <c r="A3740" s="11">
        <v>40505</v>
      </c>
      <c r="B3740" s="10">
        <v>365.01</v>
      </c>
      <c r="C3740" s="10">
        <v>373.59</v>
      </c>
      <c r="D3740" s="10">
        <v>364.54</v>
      </c>
      <c r="E3740" s="13">
        <f t="shared" si="174"/>
        <v>-2.3234188933699305E-2</v>
      </c>
      <c r="F3740" s="9">
        <f t="shared" si="172"/>
        <v>7.7282050181544564E-3</v>
      </c>
      <c r="G3740" s="9">
        <f t="shared" si="173"/>
        <v>1.2220406476750875E-2</v>
      </c>
    </row>
    <row r="3741" spans="1:7" x14ac:dyDescent="0.2">
      <c r="A3741" s="11">
        <v>40506</v>
      </c>
      <c r="B3741" s="10">
        <v>368.92</v>
      </c>
      <c r="C3741" s="10">
        <v>369.43</v>
      </c>
      <c r="D3741" s="10">
        <v>363.06</v>
      </c>
      <c r="E3741" s="13">
        <f t="shared" si="174"/>
        <v>1.065506790005076E-2</v>
      </c>
      <c r="F3741" s="9">
        <f t="shared" si="172"/>
        <v>1.4690486182565507E-2</v>
      </c>
      <c r="G3741" s="9">
        <f t="shared" si="173"/>
        <v>1.2357740364291775E-2</v>
      </c>
    </row>
    <row r="3742" spans="1:7" x14ac:dyDescent="0.2">
      <c r="A3742" s="11">
        <v>40507</v>
      </c>
      <c r="B3742" s="10">
        <v>369.11</v>
      </c>
      <c r="C3742" s="10">
        <v>370.22</v>
      </c>
      <c r="D3742" s="10">
        <v>366.89</v>
      </c>
      <c r="E3742" s="13">
        <f t="shared" si="174"/>
        <v>5.1488423017348624E-4</v>
      </c>
      <c r="F3742" s="9">
        <f t="shared" si="172"/>
        <v>1.6746966269437044E-2</v>
      </c>
      <c r="G3742" s="9">
        <f t="shared" si="173"/>
        <v>1.2351466330081644E-2</v>
      </c>
    </row>
    <row r="3743" spans="1:7" x14ac:dyDescent="0.2">
      <c r="A3743" s="11">
        <v>40508</v>
      </c>
      <c r="B3743" s="10">
        <v>366.8</v>
      </c>
      <c r="C3743" s="10">
        <v>369.14</v>
      </c>
      <c r="D3743" s="10">
        <v>364.34</v>
      </c>
      <c r="E3743" s="13">
        <f t="shared" si="174"/>
        <v>-6.2779622153819655E-3</v>
      </c>
      <c r="F3743" s="9">
        <f t="shared" si="172"/>
        <v>7.7178193100490497E-3</v>
      </c>
      <c r="G3743" s="9">
        <f t="shared" si="173"/>
        <v>1.2408385808734232E-2</v>
      </c>
    </row>
    <row r="3744" spans="1:7" x14ac:dyDescent="0.2">
      <c r="A3744" s="11">
        <v>40511</v>
      </c>
      <c r="B3744" s="10">
        <v>362.4</v>
      </c>
      <c r="C3744" s="10">
        <v>370.62</v>
      </c>
      <c r="D3744" s="10">
        <v>361.58</v>
      </c>
      <c r="E3744" s="13">
        <f t="shared" si="174"/>
        <v>-1.2068166213485589E-2</v>
      </c>
      <c r="F3744" s="9">
        <f t="shared" ref="F3744:F3807" si="175">LN(B3744/B3715)</f>
        <v>8.0343970077227465E-3</v>
      </c>
      <c r="G3744" s="9">
        <f t="shared" si="173"/>
        <v>1.2396992535595083E-2</v>
      </c>
    </row>
    <row r="3745" spans="1:7" x14ac:dyDescent="0.2">
      <c r="A3745" s="11">
        <v>40512</v>
      </c>
      <c r="B3745" s="10">
        <v>361.25</v>
      </c>
      <c r="C3745" s="10">
        <v>364.39</v>
      </c>
      <c r="D3745" s="10">
        <v>360.15</v>
      </c>
      <c r="E3745" s="13">
        <f t="shared" si="174"/>
        <v>-3.1783347421822949E-3</v>
      </c>
      <c r="F3745" s="9">
        <f t="shared" si="175"/>
        <v>-3.0127581212228776E-3</v>
      </c>
      <c r="G3745" s="9">
        <f t="shared" ref="G3745:G3808" si="176">STDEV(E3717:E3745)</f>
        <v>1.2324899698787733E-2</v>
      </c>
    </row>
    <row r="3746" spans="1:7" x14ac:dyDescent="0.2">
      <c r="A3746" s="11">
        <v>40513</v>
      </c>
      <c r="B3746" s="10">
        <v>373.61</v>
      </c>
      <c r="C3746" s="10">
        <v>373.61</v>
      </c>
      <c r="D3746" s="10">
        <v>361.25</v>
      </c>
      <c r="E3746" s="13">
        <f t="shared" si="174"/>
        <v>3.3642233165115776E-2</v>
      </c>
      <c r="F3746" s="9">
        <f t="shared" si="175"/>
        <v>1.9514132740651013E-2</v>
      </c>
      <c r="G3746" s="9">
        <f t="shared" si="176"/>
        <v>1.3691393540549964E-2</v>
      </c>
    </row>
    <row r="3747" spans="1:7" x14ac:dyDescent="0.2">
      <c r="A3747" s="11">
        <v>40514</v>
      </c>
      <c r="B3747" s="10">
        <v>382.22</v>
      </c>
      <c r="C3747" s="10">
        <v>382.22</v>
      </c>
      <c r="D3747" s="10">
        <v>373.16</v>
      </c>
      <c r="E3747" s="13">
        <f t="shared" si="174"/>
        <v>2.278388646907761E-2</v>
      </c>
      <c r="F3747" s="9">
        <f t="shared" si="175"/>
        <v>4.7195496816272491E-2</v>
      </c>
      <c r="G3747" s="9">
        <f t="shared" si="176"/>
        <v>1.4242997107549097E-2</v>
      </c>
    </row>
    <row r="3748" spans="1:7" x14ac:dyDescent="0.2">
      <c r="A3748" s="11">
        <v>40515</v>
      </c>
      <c r="B3748" s="10">
        <v>382.25</v>
      </c>
      <c r="C3748" s="10">
        <v>384.21</v>
      </c>
      <c r="D3748" s="10">
        <v>378.27</v>
      </c>
      <c r="E3748" s="13">
        <f t="shared" si="174"/>
        <v>7.8485748336391204E-5</v>
      </c>
      <c r="F3748" s="9">
        <f t="shared" si="175"/>
        <v>3.6552725367299158E-2</v>
      </c>
      <c r="G3748" s="9">
        <f t="shared" si="176"/>
        <v>1.4137031925554166E-2</v>
      </c>
    </row>
    <row r="3749" spans="1:7" x14ac:dyDescent="0.2">
      <c r="A3749" s="11">
        <v>40518</v>
      </c>
      <c r="B3749" s="10">
        <v>385.5</v>
      </c>
      <c r="C3749" s="10">
        <v>385.58</v>
      </c>
      <c r="D3749" s="10">
        <v>381.83</v>
      </c>
      <c r="E3749" s="13">
        <f t="shared" si="174"/>
        <v>8.4663481942124259E-3</v>
      </c>
      <c r="F3749" s="9">
        <f t="shared" si="175"/>
        <v>3.9552804606016304E-2</v>
      </c>
      <c r="G3749" s="9">
        <f t="shared" si="176"/>
        <v>1.4179820379982588E-2</v>
      </c>
    </row>
    <row r="3750" spans="1:7" x14ac:dyDescent="0.2">
      <c r="A3750" s="11">
        <v>40519</v>
      </c>
      <c r="B3750" s="10">
        <v>385.22</v>
      </c>
      <c r="C3750" s="10">
        <v>389.91</v>
      </c>
      <c r="D3750" s="10">
        <v>384.35</v>
      </c>
      <c r="E3750" s="13">
        <f t="shared" si="174"/>
        <v>-7.2659334730777465E-4</v>
      </c>
      <c r="F3750" s="9">
        <f t="shared" si="175"/>
        <v>5.0170847937523126E-2</v>
      </c>
      <c r="G3750" s="9">
        <f t="shared" si="176"/>
        <v>1.3975565869180745E-2</v>
      </c>
    </row>
    <row r="3751" spans="1:7" x14ac:dyDescent="0.2">
      <c r="A3751" s="11">
        <v>40520</v>
      </c>
      <c r="B3751" s="10">
        <v>387.47</v>
      </c>
      <c r="C3751" s="10">
        <v>389.35</v>
      </c>
      <c r="D3751" s="10">
        <v>383.35</v>
      </c>
      <c r="E3751" s="13">
        <f t="shared" si="174"/>
        <v>5.8238267854537461E-3</v>
      </c>
      <c r="F3751" s="9">
        <f t="shared" si="175"/>
        <v>4.802910458301253E-2</v>
      </c>
      <c r="G3751" s="9">
        <f t="shared" si="176"/>
        <v>1.3947067525328609E-2</v>
      </c>
    </row>
    <row r="3752" spans="1:7" x14ac:dyDescent="0.2">
      <c r="A3752" s="11">
        <v>40521</v>
      </c>
      <c r="B3752" s="10">
        <v>386.27</v>
      </c>
      <c r="C3752" s="10">
        <v>391.41</v>
      </c>
      <c r="D3752" s="10">
        <v>385.23</v>
      </c>
      <c r="E3752" s="13">
        <f t="shared" si="174"/>
        <v>-3.101819634834419E-3</v>
      </c>
      <c r="F3752" s="9">
        <f t="shared" si="175"/>
        <v>3.9741728035743086E-2</v>
      </c>
      <c r="G3752" s="9">
        <f t="shared" si="176"/>
        <v>1.395706821424899E-2</v>
      </c>
    </row>
    <row r="3753" spans="1:7" x14ac:dyDescent="0.2">
      <c r="A3753" s="11">
        <v>40522</v>
      </c>
      <c r="B3753" s="10">
        <v>383.17</v>
      </c>
      <c r="C3753" s="10">
        <v>387.34</v>
      </c>
      <c r="D3753" s="10">
        <v>381.86</v>
      </c>
      <c r="E3753" s="13">
        <f t="shared" si="174"/>
        <v>-8.0578518748721569E-3</v>
      </c>
      <c r="F3753" s="9">
        <f t="shared" si="175"/>
        <v>2.0966234316358592E-2</v>
      </c>
      <c r="G3753" s="9">
        <f t="shared" si="176"/>
        <v>1.3943455228287188E-2</v>
      </c>
    </row>
    <row r="3754" spans="1:7" x14ac:dyDescent="0.2">
      <c r="A3754" s="11">
        <v>40525</v>
      </c>
      <c r="B3754" s="10">
        <v>385.79</v>
      </c>
      <c r="C3754" s="10">
        <v>386.44</v>
      </c>
      <c r="D3754" s="10">
        <v>383.04</v>
      </c>
      <c r="E3754" s="13">
        <f t="shared" si="174"/>
        <v>6.814425037982832E-3</v>
      </c>
      <c r="F3754" s="9">
        <f t="shared" si="175"/>
        <v>1.870729437181385E-2</v>
      </c>
      <c r="G3754" s="9">
        <f t="shared" si="176"/>
        <v>1.3901386376267373E-2</v>
      </c>
    </row>
    <row r="3755" spans="1:7" x14ac:dyDescent="0.2">
      <c r="A3755" s="11">
        <v>40526</v>
      </c>
      <c r="B3755" s="10">
        <v>382.43</v>
      </c>
      <c r="C3755" s="10">
        <v>385.79</v>
      </c>
      <c r="D3755" s="10">
        <v>381.93</v>
      </c>
      <c r="E3755" s="13">
        <f t="shared" si="174"/>
        <v>-8.7475499869030127E-3</v>
      </c>
      <c r="F3755" s="9">
        <f t="shared" si="175"/>
        <v>3.2502229843506356E-2</v>
      </c>
      <c r="G3755" s="9">
        <f t="shared" si="176"/>
        <v>1.330273261704621E-2</v>
      </c>
    </row>
    <row r="3756" spans="1:7" x14ac:dyDescent="0.2">
      <c r="A3756" s="11">
        <v>40527</v>
      </c>
      <c r="B3756" s="10">
        <v>383.42</v>
      </c>
      <c r="C3756" s="10">
        <v>383.91</v>
      </c>
      <c r="D3756" s="10">
        <v>380.62</v>
      </c>
      <c r="E3756" s="13">
        <f t="shared" si="174"/>
        <v>2.585364108999929E-3</v>
      </c>
      <c r="F3756" s="9">
        <f t="shared" si="175"/>
        <v>1.3654957192776464E-2</v>
      </c>
      <c r="G3756" s="9">
        <f t="shared" si="176"/>
        <v>1.2722701142347257E-2</v>
      </c>
    </row>
    <row r="3757" spans="1:7" x14ac:dyDescent="0.2">
      <c r="A3757" s="11">
        <v>40528</v>
      </c>
      <c r="B3757" s="10">
        <v>384.34</v>
      </c>
      <c r="C3757" s="10">
        <v>385.89</v>
      </c>
      <c r="D3757" s="10">
        <v>382.47</v>
      </c>
      <c r="E3757" s="13">
        <f t="shared" si="174"/>
        <v>2.3965834123775326E-3</v>
      </c>
      <c r="F3757" s="9">
        <f t="shared" si="175"/>
        <v>1.7771595541728837E-2</v>
      </c>
      <c r="G3757" s="9">
        <f t="shared" si="176"/>
        <v>1.2720348448415603E-2</v>
      </c>
    </row>
    <row r="3758" spans="1:7" x14ac:dyDescent="0.2">
      <c r="A3758" s="11">
        <v>40529</v>
      </c>
      <c r="B3758" s="10">
        <v>388.68</v>
      </c>
      <c r="C3758" s="10">
        <v>388.79</v>
      </c>
      <c r="D3758" s="10">
        <v>384.34</v>
      </c>
      <c r="E3758" s="13">
        <f t="shared" si="174"/>
        <v>1.1228805466957203E-2</v>
      </c>
      <c r="F3758" s="9">
        <f t="shared" si="175"/>
        <v>3.1811775659045069E-2</v>
      </c>
      <c r="G3758" s="9">
        <f t="shared" si="176"/>
        <v>1.2851876122433933E-2</v>
      </c>
    </row>
    <row r="3759" spans="1:7" x14ac:dyDescent="0.2">
      <c r="A3759" s="11">
        <v>40532</v>
      </c>
      <c r="B3759" s="10">
        <v>391.81</v>
      </c>
      <c r="C3759" s="10">
        <v>392.66</v>
      </c>
      <c r="D3759" s="10">
        <v>388.46</v>
      </c>
      <c r="E3759" s="13">
        <f t="shared" si="174"/>
        <v>8.0206454396259258E-3</v>
      </c>
      <c r="F3759" s="9">
        <f t="shared" si="175"/>
        <v>2.9054348197721708E-2</v>
      </c>
      <c r="G3759" s="9">
        <f t="shared" si="176"/>
        <v>1.2787733283262985E-2</v>
      </c>
    </row>
    <row r="3760" spans="1:7" x14ac:dyDescent="0.2">
      <c r="A3760" s="11">
        <v>40533</v>
      </c>
      <c r="B3760" s="10">
        <v>398.43</v>
      </c>
      <c r="C3760" s="10">
        <v>398.43</v>
      </c>
      <c r="D3760" s="10">
        <v>391.57</v>
      </c>
      <c r="E3760" s="13">
        <f t="shared" si="174"/>
        <v>1.6754795669404802E-2</v>
      </c>
      <c r="F3760" s="9">
        <f t="shared" si="175"/>
        <v>5.3299222927420065E-2</v>
      </c>
      <c r="G3760" s="9">
        <f t="shared" si="176"/>
        <v>1.3003438082131842E-2</v>
      </c>
    </row>
    <row r="3761" spans="1:7" x14ac:dyDescent="0.2">
      <c r="A3761" s="11">
        <v>40534</v>
      </c>
      <c r="B3761" s="10">
        <v>400.28</v>
      </c>
      <c r="C3761" s="10">
        <v>401.17</v>
      </c>
      <c r="D3761" s="10">
        <v>397.91</v>
      </c>
      <c r="E3761" s="13">
        <f t="shared" si="174"/>
        <v>4.6324781419862359E-3</v>
      </c>
      <c r="F3761" s="9">
        <f t="shared" si="175"/>
        <v>4.8892597715758455E-2</v>
      </c>
      <c r="G3761" s="9">
        <f t="shared" si="176"/>
        <v>1.294188387595438E-2</v>
      </c>
    </row>
    <row r="3762" spans="1:7" x14ac:dyDescent="0.2">
      <c r="A3762" s="11">
        <v>40535</v>
      </c>
      <c r="B3762" s="10">
        <v>400.37</v>
      </c>
      <c r="C3762" s="10">
        <v>401.1</v>
      </c>
      <c r="D3762" s="10">
        <v>399.19</v>
      </c>
      <c r="E3762" s="13">
        <f t="shared" si="174"/>
        <v>2.2481733686156977E-4</v>
      </c>
      <c r="F3762" s="9">
        <f t="shared" si="175"/>
        <v>5.7415562009405369E-2</v>
      </c>
      <c r="G3762" s="9">
        <f t="shared" si="176"/>
        <v>1.2803088160521977E-2</v>
      </c>
    </row>
    <row r="3763" spans="1:7" x14ac:dyDescent="0.2">
      <c r="A3763" s="11">
        <v>40539</v>
      </c>
      <c r="B3763" s="10">
        <v>399.35</v>
      </c>
      <c r="C3763" s="10">
        <v>400.44</v>
      </c>
      <c r="D3763" s="10">
        <v>397.94</v>
      </c>
      <c r="E3763" s="13">
        <f t="shared" si="174"/>
        <v>-2.5508941957188306E-3</v>
      </c>
      <c r="F3763" s="9">
        <f t="shared" si="175"/>
        <v>5.0140769077298988E-2</v>
      </c>
      <c r="G3763" s="9">
        <f t="shared" si="176"/>
        <v>1.2818662090570086E-2</v>
      </c>
    </row>
    <row r="3764" spans="1:7" x14ac:dyDescent="0.2">
      <c r="A3764" s="11">
        <v>40540</v>
      </c>
      <c r="B3764" s="10">
        <v>402.2</v>
      </c>
      <c r="C3764" s="10">
        <v>402.2</v>
      </c>
      <c r="D3764" s="10">
        <v>398.82</v>
      </c>
      <c r="E3764" s="13">
        <f t="shared" si="174"/>
        <v>7.11125197515364E-3</v>
      </c>
      <c r="F3764" s="9">
        <f t="shared" si="175"/>
        <v>9.0443869457760645E-2</v>
      </c>
      <c r="G3764" s="9">
        <f t="shared" si="176"/>
        <v>1.0945316418965421E-2</v>
      </c>
    </row>
    <row r="3765" spans="1:7" x14ac:dyDescent="0.2">
      <c r="A3765" s="11">
        <v>40541</v>
      </c>
      <c r="B3765" s="10">
        <v>402.22</v>
      </c>
      <c r="C3765" s="10">
        <v>402.65</v>
      </c>
      <c r="D3765" s="10">
        <v>400.73</v>
      </c>
      <c r="E3765" s="13">
        <f t="shared" si="174"/>
        <v>4.9725267905117452E-5</v>
      </c>
      <c r="F3765" s="9">
        <f t="shared" si="175"/>
        <v>8.4199146682157333E-2</v>
      </c>
      <c r="G3765" s="9">
        <f t="shared" si="176"/>
        <v>1.0942035328186746E-2</v>
      </c>
    </row>
    <row r="3766" spans="1:7" x14ac:dyDescent="0.2">
      <c r="A3766" s="11">
        <v>40542</v>
      </c>
      <c r="B3766" s="10">
        <v>400.4</v>
      </c>
      <c r="C3766" s="10">
        <v>403.1</v>
      </c>
      <c r="D3766" s="10">
        <v>400.25</v>
      </c>
      <c r="E3766" s="13">
        <f t="shared" si="174"/>
        <v>-4.5351551653913741E-3</v>
      </c>
      <c r="F3766" s="9">
        <f t="shared" si="175"/>
        <v>6.4791633420862915E-2</v>
      </c>
      <c r="G3766" s="9">
        <f t="shared" si="176"/>
        <v>1.0776092471960708E-2</v>
      </c>
    </row>
    <row r="3767" spans="1:7" x14ac:dyDescent="0.2">
      <c r="A3767" s="11">
        <v>40546</v>
      </c>
      <c r="B3767" s="10">
        <v>403.99</v>
      </c>
      <c r="C3767" s="10">
        <v>404.91</v>
      </c>
      <c r="D3767" s="10">
        <v>400.4</v>
      </c>
      <c r="E3767" s="13">
        <f t="shared" si="174"/>
        <v>8.9260777384895032E-3</v>
      </c>
      <c r="F3767" s="9">
        <f t="shared" si="175"/>
        <v>7.6011963199432667E-2</v>
      </c>
      <c r="G3767" s="9">
        <f t="shared" si="176"/>
        <v>1.080907352841259E-2</v>
      </c>
    </row>
    <row r="3768" spans="1:7" x14ac:dyDescent="0.2">
      <c r="A3768" s="11">
        <v>40547</v>
      </c>
      <c r="B3768" s="10">
        <v>399.89</v>
      </c>
      <c r="C3768" s="10">
        <v>406.08</v>
      </c>
      <c r="D3768" s="10">
        <v>399.87</v>
      </c>
      <c r="E3768" s="13">
        <f t="shared" si="174"/>
        <v>-1.0200615891006754E-2</v>
      </c>
      <c r="F3768" s="9">
        <f t="shared" si="175"/>
        <v>6.8030569887381584E-2</v>
      </c>
      <c r="G3768" s="9">
        <f t="shared" si="176"/>
        <v>1.103594944289448E-2</v>
      </c>
    </row>
    <row r="3769" spans="1:7" x14ac:dyDescent="0.2">
      <c r="A3769" s="11">
        <v>40548</v>
      </c>
      <c r="B3769" s="10">
        <v>401.97</v>
      </c>
      <c r="C3769" s="10">
        <v>402.56</v>
      </c>
      <c r="D3769" s="10">
        <v>397.74</v>
      </c>
      <c r="E3769" s="13">
        <f t="shared" si="174"/>
        <v>5.1879496800781924E-3</v>
      </c>
      <c r="F3769" s="9">
        <f t="shared" si="175"/>
        <v>9.6452708501159112E-2</v>
      </c>
      <c r="G3769" s="9">
        <f t="shared" si="176"/>
        <v>9.8851667135983392E-3</v>
      </c>
    </row>
    <row r="3770" spans="1:7" x14ac:dyDescent="0.2">
      <c r="A3770" s="11">
        <v>40549</v>
      </c>
      <c r="B3770" s="10">
        <v>401.8</v>
      </c>
      <c r="C3770" s="10">
        <v>405.94</v>
      </c>
      <c r="D3770" s="10">
        <v>401.47</v>
      </c>
      <c r="E3770" s="13">
        <f t="shared" si="174"/>
        <v>-4.2300658779227944E-4</v>
      </c>
      <c r="F3770" s="9">
        <f t="shared" si="175"/>
        <v>8.5374634013315964E-2</v>
      </c>
      <c r="G3770" s="9">
        <f t="shared" si="176"/>
        <v>9.8055552061952836E-3</v>
      </c>
    </row>
    <row r="3771" spans="1:7" x14ac:dyDescent="0.2">
      <c r="A3771" s="11">
        <v>40550</v>
      </c>
      <c r="B3771" s="10">
        <v>400.59</v>
      </c>
      <c r="C3771" s="10">
        <v>403.81</v>
      </c>
      <c r="D3771" s="10">
        <v>399.9</v>
      </c>
      <c r="E3771" s="13">
        <f t="shared" si="174"/>
        <v>-3.0159920168518254E-3</v>
      </c>
      <c r="F3771" s="9">
        <f t="shared" si="175"/>
        <v>8.1843757766290437E-2</v>
      </c>
      <c r="G3771" s="9">
        <f t="shared" si="176"/>
        <v>9.8585717425473413E-3</v>
      </c>
    </row>
    <row r="3772" spans="1:7" x14ac:dyDescent="0.2">
      <c r="A3772" s="11">
        <v>40553</v>
      </c>
      <c r="B3772" s="10">
        <v>399.22</v>
      </c>
      <c r="C3772" s="10">
        <v>401.72</v>
      </c>
      <c r="D3772" s="10">
        <v>398.32</v>
      </c>
      <c r="E3772" s="13">
        <f t="shared" si="174"/>
        <v>-3.4258169812455665E-3</v>
      </c>
      <c r="F3772" s="9">
        <f t="shared" si="175"/>
        <v>8.4695903000426842E-2</v>
      </c>
      <c r="G3772" s="9">
        <f t="shared" si="176"/>
        <v>9.7784465875330913E-3</v>
      </c>
    </row>
    <row r="3773" spans="1:7" x14ac:dyDescent="0.2">
      <c r="A3773" s="11">
        <v>40554</v>
      </c>
      <c r="B3773" s="10">
        <v>404.54</v>
      </c>
      <c r="C3773" s="10">
        <v>404.83</v>
      </c>
      <c r="D3773" s="10">
        <v>399.72</v>
      </c>
      <c r="E3773" s="13">
        <f t="shared" si="174"/>
        <v>1.3237975742212849E-2</v>
      </c>
      <c r="F3773" s="9">
        <f t="shared" si="175"/>
        <v>0.11000204495612537</v>
      </c>
      <c r="G3773" s="9">
        <f t="shared" si="176"/>
        <v>9.518796161036772E-3</v>
      </c>
    </row>
    <row r="3774" spans="1:7" x14ac:dyDescent="0.2">
      <c r="A3774" s="11">
        <v>40555</v>
      </c>
      <c r="B3774" s="10">
        <v>408.11</v>
      </c>
      <c r="C3774" s="10">
        <v>408.11</v>
      </c>
      <c r="D3774" s="10">
        <v>404.54</v>
      </c>
      <c r="E3774" s="13">
        <f t="shared" si="174"/>
        <v>8.7861267846860002E-3</v>
      </c>
      <c r="F3774" s="9">
        <f t="shared" si="175"/>
        <v>0.12196650648299372</v>
      </c>
      <c r="G3774" s="9">
        <f t="shared" si="176"/>
        <v>9.4649748028815071E-3</v>
      </c>
    </row>
    <row r="3775" spans="1:7" x14ac:dyDescent="0.2">
      <c r="A3775" s="11">
        <v>40556</v>
      </c>
      <c r="B3775" s="10">
        <v>405.83</v>
      </c>
      <c r="C3775" s="10">
        <v>409.11</v>
      </c>
      <c r="D3775" s="10">
        <v>403.34</v>
      </c>
      <c r="E3775" s="13">
        <f t="shared" si="174"/>
        <v>-5.6023932070932954E-3</v>
      </c>
      <c r="F3775" s="9">
        <f t="shared" si="175"/>
        <v>8.2721880110784504E-2</v>
      </c>
      <c r="G3775" s="9">
        <f t="shared" si="176"/>
        <v>7.7574506064536988E-3</v>
      </c>
    </row>
    <row r="3776" spans="1:7" x14ac:dyDescent="0.2">
      <c r="A3776" s="11">
        <v>40557</v>
      </c>
      <c r="B3776" s="10">
        <v>404.01</v>
      </c>
      <c r="C3776" s="10">
        <v>406.27</v>
      </c>
      <c r="D3776" s="10">
        <v>402.04</v>
      </c>
      <c r="E3776" s="13">
        <f t="shared" si="174"/>
        <v>-4.4947225724822036E-3</v>
      </c>
      <c r="F3776" s="9">
        <f t="shared" si="175"/>
        <v>5.5443271069224864E-2</v>
      </c>
      <c r="G3776" s="9">
        <f t="shared" si="176"/>
        <v>6.8557745924437445E-3</v>
      </c>
    </row>
    <row r="3777" spans="1:7" x14ac:dyDescent="0.2">
      <c r="A3777" s="11">
        <v>40560</v>
      </c>
      <c r="B3777" s="10">
        <v>400.93</v>
      </c>
      <c r="C3777" s="10">
        <v>404.38</v>
      </c>
      <c r="D3777" s="10">
        <v>400.76</v>
      </c>
      <c r="E3777" s="13">
        <f t="shared" si="174"/>
        <v>-7.6527816525104146E-3</v>
      </c>
      <c r="F3777" s="9">
        <f t="shared" si="175"/>
        <v>4.7712003668377995E-2</v>
      </c>
      <c r="G3777" s="9">
        <f t="shared" si="176"/>
        <v>7.0763835066641754E-3</v>
      </c>
    </row>
    <row r="3778" spans="1:7" x14ac:dyDescent="0.2">
      <c r="A3778" s="11">
        <v>40561</v>
      </c>
      <c r="B3778" s="10">
        <v>405.22</v>
      </c>
      <c r="C3778" s="10">
        <v>405.44</v>
      </c>
      <c r="D3778" s="10">
        <v>400.93</v>
      </c>
      <c r="E3778" s="13">
        <f t="shared" si="174"/>
        <v>1.064328102045556E-2</v>
      </c>
      <c r="F3778" s="9">
        <f t="shared" si="175"/>
        <v>4.9888936494620999E-2</v>
      </c>
      <c r="G3778" s="9">
        <f t="shared" si="176"/>
        <v>7.1623507277756111E-3</v>
      </c>
    </row>
    <row r="3779" spans="1:7" x14ac:dyDescent="0.2">
      <c r="A3779" s="11">
        <v>40562</v>
      </c>
      <c r="B3779" s="10">
        <v>397.94</v>
      </c>
      <c r="C3779" s="10">
        <v>406.34</v>
      </c>
      <c r="D3779" s="10">
        <v>397.6</v>
      </c>
      <c r="E3779" s="13">
        <f t="shared" si="174"/>
        <v>-1.8128889346903387E-2</v>
      </c>
      <c r="F3779" s="9">
        <f t="shared" si="175"/>
        <v>3.2486640495025434E-2</v>
      </c>
      <c r="G3779" s="9">
        <f t="shared" si="176"/>
        <v>8.0488243632677748E-3</v>
      </c>
    </row>
    <row r="3780" spans="1:7" x14ac:dyDescent="0.2">
      <c r="A3780" s="11">
        <v>40563</v>
      </c>
      <c r="B3780" s="10">
        <v>387.56</v>
      </c>
      <c r="C3780" s="10">
        <v>397.94</v>
      </c>
      <c r="D3780" s="10">
        <v>387.56</v>
      </c>
      <c r="E3780" s="13">
        <f t="shared" ref="E3780:E3843" si="177">LN(B3780/B3779)</f>
        <v>-2.6430564634298527E-2</v>
      </c>
      <c r="F3780" s="9">
        <f t="shared" si="175"/>
        <v>2.3224907527328407E-4</v>
      </c>
      <c r="G3780" s="9">
        <f t="shared" si="176"/>
        <v>9.4773950353373836E-3</v>
      </c>
    </row>
    <row r="3781" spans="1:7" x14ac:dyDescent="0.2">
      <c r="A3781" s="11">
        <v>40564</v>
      </c>
      <c r="B3781" s="10">
        <v>393.17</v>
      </c>
      <c r="C3781" s="10">
        <v>395.06</v>
      </c>
      <c r="D3781" s="10">
        <v>387.56</v>
      </c>
      <c r="E3781" s="13">
        <f t="shared" si="177"/>
        <v>1.4371412795592823E-2</v>
      </c>
      <c r="F3781" s="9">
        <f t="shared" si="175"/>
        <v>1.7705481505700418E-2</v>
      </c>
      <c r="G3781" s="9">
        <f t="shared" si="176"/>
        <v>9.8217992811606217E-3</v>
      </c>
    </row>
    <row r="3782" spans="1:7" x14ac:dyDescent="0.2">
      <c r="A3782" s="11">
        <v>40567</v>
      </c>
      <c r="B3782" s="10">
        <v>392.03</v>
      </c>
      <c r="C3782" s="10">
        <v>396.24</v>
      </c>
      <c r="D3782" s="10">
        <v>388.94</v>
      </c>
      <c r="E3782" s="13">
        <f t="shared" si="177"/>
        <v>-2.9037208380066903E-3</v>
      </c>
      <c r="F3782" s="9">
        <f t="shared" si="175"/>
        <v>2.2859612542565903E-2</v>
      </c>
      <c r="G3782" s="9">
        <f t="shared" si="176"/>
        <v>9.705281679778046E-3</v>
      </c>
    </row>
    <row r="3783" spans="1:7" x14ac:dyDescent="0.2">
      <c r="A3783" s="11">
        <v>40568</v>
      </c>
      <c r="B3783" s="10">
        <v>386.38</v>
      </c>
      <c r="C3783" s="10">
        <v>394.24</v>
      </c>
      <c r="D3783" s="10">
        <v>386.38</v>
      </c>
      <c r="E3783" s="13">
        <f t="shared" si="177"/>
        <v>-1.4517026309981512E-2</v>
      </c>
      <c r="F3783" s="9">
        <f t="shared" si="175"/>
        <v>1.5281611946015526E-3</v>
      </c>
      <c r="G3783" s="9">
        <f t="shared" si="176"/>
        <v>1.0035003563275418E-2</v>
      </c>
    </row>
    <row r="3784" spans="1:7" x14ac:dyDescent="0.2">
      <c r="A3784" s="11">
        <v>40569</v>
      </c>
      <c r="B3784" s="10">
        <v>390.38</v>
      </c>
      <c r="C3784" s="10">
        <v>391.86</v>
      </c>
      <c r="D3784" s="10">
        <v>386.37</v>
      </c>
      <c r="E3784" s="13">
        <f t="shared" si="177"/>
        <v>1.0299282554056677E-2</v>
      </c>
      <c r="F3784" s="9">
        <f t="shared" si="175"/>
        <v>2.0574993735561303E-2</v>
      </c>
      <c r="G3784" s="9">
        <f t="shared" si="176"/>
        <v>1.0061728800410914E-2</v>
      </c>
    </row>
    <row r="3785" spans="1:7" x14ac:dyDescent="0.2">
      <c r="A3785" s="11">
        <v>40570</v>
      </c>
      <c r="B3785" s="10">
        <v>394.23</v>
      </c>
      <c r="C3785" s="10">
        <v>395.11</v>
      </c>
      <c r="D3785" s="10">
        <v>390.38</v>
      </c>
      <c r="E3785" s="13">
        <f t="shared" si="177"/>
        <v>9.8138716051917128E-3</v>
      </c>
      <c r="F3785" s="9">
        <f t="shared" si="175"/>
        <v>2.7803501231753069E-2</v>
      </c>
      <c r="G3785" s="9">
        <f t="shared" si="176"/>
        <v>1.019846630549291E-2</v>
      </c>
    </row>
    <row r="3786" spans="1:7" x14ac:dyDescent="0.2">
      <c r="A3786" s="11">
        <v>40571</v>
      </c>
      <c r="B3786" s="10">
        <v>392.63</v>
      </c>
      <c r="C3786" s="10">
        <v>395.07</v>
      </c>
      <c r="D3786" s="10">
        <v>392.24</v>
      </c>
      <c r="E3786" s="13">
        <f t="shared" si="177"/>
        <v>-4.0668027480976103E-3</v>
      </c>
      <c r="F3786" s="9">
        <f t="shared" si="175"/>
        <v>2.1340115071277942E-2</v>
      </c>
      <c r="G3786" s="9">
        <f t="shared" si="176"/>
        <v>1.0236475737170923E-2</v>
      </c>
    </row>
    <row r="3787" spans="1:7" x14ac:dyDescent="0.2">
      <c r="A3787" s="11">
        <v>40574</v>
      </c>
      <c r="B3787" s="10">
        <v>393.25</v>
      </c>
      <c r="C3787" s="10">
        <v>393.78</v>
      </c>
      <c r="D3787" s="10">
        <v>389.17</v>
      </c>
      <c r="E3787" s="13">
        <f t="shared" si="177"/>
        <v>1.5778493628282734E-3</v>
      </c>
      <c r="F3787" s="9">
        <f t="shared" si="175"/>
        <v>1.1689158967148972E-2</v>
      </c>
      <c r="G3787" s="9">
        <f t="shared" si="176"/>
        <v>1.0038119480100074E-2</v>
      </c>
    </row>
    <row r="3788" spans="1:7" x14ac:dyDescent="0.2">
      <c r="A3788" s="11">
        <v>40575</v>
      </c>
      <c r="B3788" s="10">
        <v>404.96</v>
      </c>
      <c r="C3788" s="10">
        <v>405.25</v>
      </c>
      <c r="D3788" s="10">
        <v>393.22</v>
      </c>
      <c r="E3788" s="13">
        <f t="shared" si="177"/>
        <v>2.9342754858426683E-2</v>
      </c>
      <c r="F3788" s="9">
        <f t="shared" si="175"/>
        <v>3.3011268385949796E-2</v>
      </c>
      <c r="G3788" s="9">
        <f t="shared" si="176"/>
        <v>1.1315583963850469E-2</v>
      </c>
    </row>
    <row r="3789" spans="1:7" x14ac:dyDescent="0.2">
      <c r="A3789" s="11">
        <v>40576</v>
      </c>
      <c r="B3789" s="10">
        <v>407.24</v>
      </c>
      <c r="C3789" s="10">
        <v>408.53</v>
      </c>
      <c r="D3789" s="10">
        <v>404.77</v>
      </c>
      <c r="E3789" s="13">
        <f t="shared" si="177"/>
        <v>5.6143954421810855E-3</v>
      </c>
      <c r="F3789" s="9">
        <f t="shared" si="175"/>
        <v>2.1870868158725958E-2</v>
      </c>
      <c r="G3789" s="9">
        <f t="shared" si="176"/>
        <v>1.0949673280299122E-2</v>
      </c>
    </row>
    <row r="3790" spans="1:7" x14ac:dyDescent="0.2">
      <c r="A3790" s="11">
        <v>40577</v>
      </c>
      <c r="B3790" s="10">
        <v>404.4</v>
      </c>
      <c r="C3790" s="10">
        <v>407.55</v>
      </c>
      <c r="D3790" s="10">
        <v>402.12</v>
      </c>
      <c r="E3790" s="13">
        <f t="shared" si="177"/>
        <v>-6.9982050926787644E-3</v>
      </c>
      <c r="F3790" s="9">
        <f t="shared" si="175"/>
        <v>1.0240184924061143E-2</v>
      </c>
      <c r="G3790" s="9">
        <f t="shared" si="176"/>
        <v>1.1015351423202062E-2</v>
      </c>
    </row>
    <row r="3791" spans="1:7" x14ac:dyDescent="0.2">
      <c r="A3791" s="11">
        <v>40578</v>
      </c>
      <c r="B3791" s="10">
        <v>403.32</v>
      </c>
      <c r="C3791" s="10">
        <v>404.72</v>
      </c>
      <c r="D3791" s="10">
        <v>402.24</v>
      </c>
      <c r="E3791" s="13">
        <f t="shared" si="177"/>
        <v>-2.6741956213017161E-3</v>
      </c>
      <c r="F3791" s="9">
        <f t="shared" si="175"/>
        <v>7.3411719658976757E-3</v>
      </c>
      <c r="G3791" s="9">
        <f t="shared" si="176"/>
        <v>1.102970241798933E-2</v>
      </c>
    </row>
    <row r="3792" spans="1:7" x14ac:dyDescent="0.2">
      <c r="A3792" s="11">
        <v>40581</v>
      </c>
      <c r="B3792" s="10">
        <v>405.03</v>
      </c>
      <c r="C3792" s="10">
        <v>405.76</v>
      </c>
      <c r="D3792" s="10">
        <v>402.53</v>
      </c>
      <c r="E3792" s="13">
        <f t="shared" si="177"/>
        <v>4.2308469122497271E-3</v>
      </c>
      <c r="F3792" s="9">
        <f t="shared" si="175"/>
        <v>1.4122913073866341E-2</v>
      </c>
      <c r="G3792" s="9">
        <f t="shared" si="176"/>
        <v>1.1040016421929189E-2</v>
      </c>
    </row>
    <row r="3793" spans="1:7" x14ac:dyDescent="0.2">
      <c r="A3793" s="11">
        <v>40582</v>
      </c>
      <c r="B3793" s="10">
        <v>403.17</v>
      </c>
      <c r="C3793" s="10">
        <v>406.67</v>
      </c>
      <c r="D3793" s="10">
        <v>400.71</v>
      </c>
      <c r="E3793" s="13">
        <f t="shared" si="177"/>
        <v>-4.6028292101818547E-3</v>
      </c>
      <c r="F3793" s="9">
        <f t="shared" si="175"/>
        <v>2.4088318885308146E-3</v>
      </c>
      <c r="G3793" s="9">
        <f t="shared" si="176"/>
        <v>1.1003228123584625E-2</v>
      </c>
    </row>
    <row r="3794" spans="1:7" x14ac:dyDescent="0.2">
      <c r="A3794" s="11">
        <v>40583</v>
      </c>
      <c r="B3794" s="10">
        <v>400.3</v>
      </c>
      <c r="C3794" s="10">
        <v>403.82</v>
      </c>
      <c r="D3794" s="10">
        <v>399.12</v>
      </c>
      <c r="E3794" s="13">
        <f t="shared" si="177"/>
        <v>-7.1440432285545192E-3</v>
      </c>
      <c r="F3794" s="9">
        <f t="shared" si="175"/>
        <v>-4.7849366079288662E-3</v>
      </c>
      <c r="G3794" s="9">
        <f t="shared" si="176"/>
        <v>1.1084793763929271E-2</v>
      </c>
    </row>
    <row r="3795" spans="1:7" x14ac:dyDescent="0.2">
      <c r="A3795" s="11">
        <v>40584</v>
      </c>
      <c r="B3795" s="10">
        <v>398.25</v>
      </c>
      <c r="C3795" s="10">
        <v>401.54</v>
      </c>
      <c r="D3795" s="10">
        <v>395.36</v>
      </c>
      <c r="E3795" s="13">
        <f t="shared" si="177"/>
        <v>-5.1343172083700471E-3</v>
      </c>
      <c r="F3795" s="9">
        <f t="shared" si="175"/>
        <v>-5.3840986509075851E-3</v>
      </c>
      <c r="G3795" s="9">
        <f t="shared" si="176"/>
        <v>1.1093784873444902E-2</v>
      </c>
    </row>
    <row r="3796" spans="1:7" x14ac:dyDescent="0.2">
      <c r="A3796" s="11">
        <v>40585</v>
      </c>
      <c r="B3796" s="10">
        <v>404.08</v>
      </c>
      <c r="C3796" s="10">
        <v>404.52</v>
      </c>
      <c r="D3796" s="10">
        <v>397.73</v>
      </c>
      <c r="E3796" s="13">
        <f t="shared" si="177"/>
        <v>1.4532929369639092E-2</v>
      </c>
      <c r="F3796" s="9">
        <f t="shared" si="175"/>
        <v>2.2275298024201752E-4</v>
      </c>
      <c r="G3796" s="9">
        <f t="shared" si="176"/>
        <v>1.1305098129768643E-2</v>
      </c>
    </row>
    <row r="3797" spans="1:7" x14ac:dyDescent="0.2">
      <c r="A3797" s="11">
        <v>40588</v>
      </c>
      <c r="B3797" s="10">
        <v>408.23</v>
      </c>
      <c r="C3797" s="10">
        <v>409.43</v>
      </c>
      <c r="D3797" s="10">
        <v>404.08</v>
      </c>
      <c r="E3797" s="13">
        <f t="shared" si="177"/>
        <v>1.0217862901036089E-2</v>
      </c>
      <c r="F3797" s="9">
        <f t="shared" si="175"/>
        <v>2.0641231772284878E-2</v>
      </c>
      <c r="G3797" s="9">
        <f t="shared" si="176"/>
        <v>1.128242779304065E-2</v>
      </c>
    </row>
    <row r="3798" spans="1:7" x14ac:dyDescent="0.2">
      <c r="A3798" s="11">
        <v>40589</v>
      </c>
      <c r="B3798" s="10">
        <v>405.63</v>
      </c>
      <c r="C3798" s="10">
        <v>409.44</v>
      </c>
      <c r="D3798" s="10">
        <v>404.32</v>
      </c>
      <c r="E3798" s="13">
        <f t="shared" si="177"/>
        <v>-6.3893270220569441E-3</v>
      </c>
      <c r="F3798" s="9">
        <f t="shared" si="175"/>
        <v>9.0639550701498706E-3</v>
      </c>
      <c r="G3798" s="9">
        <f t="shared" si="176"/>
        <v>1.1323137548113904E-2</v>
      </c>
    </row>
    <row r="3799" spans="1:7" x14ac:dyDescent="0.2">
      <c r="A3799" s="11">
        <v>40590</v>
      </c>
      <c r="B3799" s="10">
        <v>407</v>
      </c>
      <c r="C3799" s="10">
        <v>407.01</v>
      </c>
      <c r="D3799" s="10">
        <v>404.01</v>
      </c>
      <c r="E3799" s="13">
        <f t="shared" si="177"/>
        <v>3.3717714038187757E-3</v>
      </c>
      <c r="F3799" s="9">
        <f t="shared" si="175"/>
        <v>1.2858733061761E-2</v>
      </c>
      <c r="G3799" s="9">
        <f t="shared" si="176"/>
        <v>1.1336252935772284E-2</v>
      </c>
    </row>
    <row r="3800" spans="1:7" x14ac:dyDescent="0.2">
      <c r="A3800" s="11">
        <v>40591</v>
      </c>
      <c r="B3800" s="10">
        <v>403.21</v>
      </c>
      <c r="C3800" s="10">
        <v>408.25</v>
      </c>
      <c r="D3800" s="10">
        <v>402.39</v>
      </c>
      <c r="E3800" s="13">
        <f t="shared" si="177"/>
        <v>-9.3556674056888989E-3</v>
      </c>
      <c r="F3800" s="9">
        <f t="shared" si="175"/>
        <v>6.5190576729238911E-3</v>
      </c>
      <c r="G3800" s="9">
        <f t="shared" si="176"/>
        <v>1.1465734870374254E-2</v>
      </c>
    </row>
    <row r="3801" spans="1:7" x14ac:dyDescent="0.2">
      <c r="A3801" s="11">
        <v>40592</v>
      </c>
      <c r="B3801" s="10">
        <v>402.79</v>
      </c>
      <c r="C3801" s="10">
        <v>404.44</v>
      </c>
      <c r="D3801" s="10">
        <v>400.48</v>
      </c>
      <c r="E3801" s="13">
        <f t="shared" si="177"/>
        <v>-1.0421837171590319E-3</v>
      </c>
      <c r="F3801" s="9">
        <f t="shared" si="175"/>
        <v>8.9026909370104445E-3</v>
      </c>
      <c r="G3801" s="9">
        <f t="shared" si="176"/>
        <v>1.1447158844539297E-2</v>
      </c>
    </row>
    <row r="3802" spans="1:7" x14ac:dyDescent="0.2">
      <c r="A3802" s="11">
        <v>40595</v>
      </c>
      <c r="B3802" s="10">
        <v>399.19</v>
      </c>
      <c r="C3802" s="10">
        <v>403.87</v>
      </c>
      <c r="D3802" s="10">
        <v>398.98</v>
      </c>
      <c r="E3802" s="13">
        <f t="shared" si="177"/>
        <v>-8.9778402963975063E-3</v>
      </c>
      <c r="F3802" s="9">
        <f t="shared" si="175"/>
        <v>-1.3313125101600019E-2</v>
      </c>
      <c r="G3802" s="9">
        <f t="shared" si="176"/>
        <v>1.1293214497170767E-2</v>
      </c>
    </row>
    <row r="3803" spans="1:7" x14ac:dyDescent="0.2">
      <c r="A3803" s="11">
        <v>40596</v>
      </c>
      <c r="B3803" s="10">
        <v>398.14</v>
      </c>
      <c r="C3803" s="10">
        <v>400.18</v>
      </c>
      <c r="D3803" s="10">
        <v>395.4</v>
      </c>
      <c r="E3803" s="13">
        <f t="shared" si="177"/>
        <v>-2.6337917975621707E-3</v>
      </c>
      <c r="F3803" s="9">
        <f t="shared" si="175"/>
        <v>-2.473304368384829E-2</v>
      </c>
      <c r="G3803" s="9">
        <f t="shared" si="176"/>
        <v>1.1157614386446663E-2</v>
      </c>
    </row>
    <row r="3804" spans="1:7" x14ac:dyDescent="0.2">
      <c r="A3804" s="11">
        <v>40597</v>
      </c>
      <c r="B3804" s="10">
        <v>396.94</v>
      </c>
      <c r="C3804" s="10">
        <v>398.14</v>
      </c>
      <c r="D3804" s="10">
        <v>394.24</v>
      </c>
      <c r="E3804" s="13">
        <f t="shared" si="177"/>
        <v>-3.018566461674805E-3</v>
      </c>
      <c r="F3804" s="9">
        <f t="shared" si="175"/>
        <v>-2.2149216938429788E-2</v>
      </c>
      <c r="G3804" s="9">
        <f t="shared" si="176"/>
        <v>1.112861188741265E-2</v>
      </c>
    </row>
    <row r="3805" spans="1:7" x14ac:dyDescent="0.2">
      <c r="A3805" s="11">
        <v>40598</v>
      </c>
      <c r="B3805" s="10">
        <v>400.05</v>
      </c>
      <c r="C3805" s="10">
        <v>400.79</v>
      </c>
      <c r="D3805" s="10">
        <v>396.22</v>
      </c>
      <c r="E3805" s="13">
        <f t="shared" si="177"/>
        <v>7.8044035320205644E-3</v>
      </c>
      <c r="F3805" s="9">
        <f t="shared" si="175"/>
        <v>-9.8500908339270807E-3</v>
      </c>
      <c r="G3805" s="9">
        <f t="shared" si="176"/>
        <v>1.1215367980940033E-2</v>
      </c>
    </row>
    <row r="3806" spans="1:7" x14ac:dyDescent="0.2">
      <c r="A3806" s="11">
        <v>40599</v>
      </c>
      <c r="B3806" s="10">
        <v>405.36</v>
      </c>
      <c r="C3806" s="10">
        <v>405.5</v>
      </c>
      <c r="D3806" s="10">
        <v>399.8</v>
      </c>
      <c r="E3806" s="13">
        <f t="shared" si="177"/>
        <v>1.3186021871521359E-2</v>
      </c>
      <c r="F3806" s="9">
        <f t="shared" si="175"/>
        <v>1.0988712690104693E-2</v>
      </c>
      <c r="G3806" s="9">
        <f t="shared" si="176"/>
        <v>1.1396198185093163E-2</v>
      </c>
    </row>
    <row r="3807" spans="1:7" x14ac:dyDescent="0.2">
      <c r="A3807" s="11">
        <v>40602</v>
      </c>
      <c r="B3807" s="10">
        <v>408.31</v>
      </c>
      <c r="C3807" s="10">
        <v>409.52</v>
      </c>
      <c r="D3807" s="10">
        <v>405.36</v>
      </c>
      <c r="E3807" s="13">
        <f t="shared" si="177"/>
        <v>7.2511286532051123E-3</v>
      </c>
      <c r="F3807" s="9">
        <f t="shared" si="175"/>
        <v>7.5965603228542429E-3</v>
      </c>
      <c r="G3807" s="9">
        <f t="shared" si="176"/>
        <v>1.1304118553577814E-2</v>
      </c>
    </row>
    <row r="3808" spans="1:7" x14ac:dyDescent="0.2">
      <c r="A3808" s="11">
        <v>40603</v>
      </c>
      <c r="B3808" s="10">
        <v>406.71</v>
      </c>
      <c r="C3808" s="10">
        <v>411.63</v>
      </c>
      <c r="D3808" s="10">
        <v>405.73</v>
      </c>
      <c r="E3808" s="13">
        <f t="shared" si="177"/>
        <v>-3.9262890614519238E-3</v>
      </c>
      <c r="F3808" s="9">
        <f t="shared" ref="F3808:F3871" si="178">LN(B3808/B3779)</f>
        <v>2.1799160608305723E-2</v>
      </c>
      <c r="G3808" s="9">
        <f t="shared" si="176"/>
        <v>1.0774124773745862E-2</v>
      </c>
    </row>
    <row r="3809" spans="1:7" x14ac:dyDescent="0.2">
      <c r="A3809" s="11">
        <v>40604</v>
      </c>
      <c r="B3809" s="10">
        <v>404.88</v>
      </c>
      <c r="C3809" s="10">
        <v>407.11</v>
      </c>
      <c r="D3809" s="10">
        <v>401.34</v>
      </c>
      <c r="E3809" s="13">
        <f t="shared" si="177"/>
        <v>-4.5096738535851076E-3</v>
      </c>
      <c r="F3809" s="9">
        <f t="shared" si="178"/>
        <v>4.3720051389019104E-2</v>
      </c>
      <c r="G3809" s="9">
        <f t="shared" ref="G3809:G3872" si="179">STDEV(E3781:E3809)</f>
        <v>9.4915871050584907E-3</v>
      </c>
    </row>
    <row r="3810" spans="1:7" x14ac:dyDescent="0.2">
      <c r="A3810" s="11">
        <v>40605</v>
      </c>
      <c r="B3810" s="10">
        <v>407.98</v>
      </c>
      <c r="C3810" s="10">
        <v>409.89</v>
      </c>
      <c r="D3810" s="10">
        <v>404.88</v>
      </c>
      <c r="E3810" s="13">
        <f t="shared" si="177"/>
        <v>7.6274266889957421E-3</v>
      </c>
      <c r="F3810" s="9">
        <f t="shared" si="178"/>
        <v>3.6976065282422234E-2</v>
      </c>
      <c r="G3810" s="9">
        <f t="shared" si="179"/>
        <v>9.2445590874526262E-3</v>
      </c>
    </row>
    <row r="3811" spans="1:7" x14ac:dyDescent="0.2">
      <c r="A3811" s="11">
        <v>40606</v>
      </c>
      <c r="B3811" s="10">
        <v>410.69</v>
      </c>
      <c r="C3811" s="10">
        <v>412.45</v>
      </c>
      <c r="D3811" s="10">
        <v>407.98</v>
      </c>
      <c r="E3811" s="13">
        <f t="shared" si="177"/>
        <v>6.6205183982633456E-3</v>
      </c>
      <c r="F3811" s="9">
        <f t="shared" si="178"/>
        <v>4.6500304518692401E-2</v>
      </c>
      <c r="G3811" s="9">
        <f t="shared" si="179"/>
        <v>9.2599688087150796E-3</v>
      </c>
    </row>
    <row r="3812" spans="1:7" x14ac:dyDescent="0.2">
      <c r="A3812" s="11">
        <v>40609</v>
      </c>
      <c r="B3812" s="10">
        <v>408.94</v>
      </c>
      <c r="C3812" s="10">
        <v>414.36</v>
      </c>
      <c r="D3812" s="10">
        <v>408.2</v>
      </c>
      <c r="E3812" s="13">
        <f t="shared" si="177"/>
        <v>-4.2702259781735993E-3</v>
      </c>
      <c r="F3812" s="9">
        <f t="shared" si="178"/>
        <v>5.6747104850500357E-2</v>
      </c>
      <c r="G3812" s="9">
        <f t="shared" si="179"/>
        <v>8.8073146858206209E-3</v>
      </c>
    </row>
    <row r="3813" spans="1:7" x14ac:dyDescent="0.2">
      <c r="A3813" s="11">
        <v>40610</v>
      </c>
      <c r="B3813" s="10">
        <v>409.3</v>
      </c>
      <c r="C3813" s="10">
        <v>409.6</v>
      </c>
      <c r="D3813" s="10">
        <v>405.99</v>
      </c>
      <c r="E3813" s="13">
        <f t="shared" si="177"/>
        <v>8.7993748344910065E-4</v>
      </c>
      <c r="F3813" s="9">
        <f t="shared" si="178"/>
        <v>4.7327759779892641E-2</v>
      </c>
      <c r="G3813" s="9">
        <f t="shared" si="179"/>
        <v>8.6611391547205957E-3</v>
      </c>
    </row>
    <row r="3814" spans="1:7" x14ac:dyDescent="0.2">
      <c r="A3814" s="11">
        <v>40611</v>
      </c>
      <c r="B3814" s="10">
        <v>406.9</v>
      </c>
      <c r="C3814" s="10">
        <v>409.72</v>
      </c>
      <c r="D3814" s="10">
        <v>405.88</v>
      </c>
      <c r="E3814" s="13">
        <f t="shared" si="177"/>
        <v>-5.8809284907131391E-3</v>
      </c>
      <c r="F3814" s="9">
        <f t="shared" si="178"/>
        <v>3.1632959683987778E-2</v>
      </c>
      <c r="G3814" s="9">
        <f t="shared" si="179"/>
        <v>8.6218908815891213E-3</v>
      </c>
    </row>
    <row r="3815" spans="1:7" x14ac:dyDescent="0.2">
      <c r="A3815" s="11">
        <v>40612</v>
      </c>
      <c r="B3815" s="10">
        <v>398.79</v>
      </c>
      <c r="C3815" s="10">
        <v>406.9</v>
      </c>
      <c r="D3815" s="10">
        <v>398.12</v>
      </c>
      <c r="E3815" s="13">
        <f t="shared" si="177"/>
        <v>-2.0132492460026647E-2</v>
      </c>
      <c r="F3815" s="9">
        <f t="shared" si="178"/>
        <v>1.5567269972058814E-2</v>
      </c>
      <c r="G3815" s="9">
        <f t="shared" si="179"/>
        <v>9.4422357687231444E-3</v>
      </c>
    </row>
    <row r="3816" spans="1:7" x14ac:dyDescent="0.2">
      <c r="A3816" s="11">
        <v>40613</v>
      </c>
      <c r="B3816" s="10">
        <v>396.3</v>
      </c>
      <c r="C3816" s="10">
        <v>398.83</v>
      </c>
      <c r="D3816" s="10">
        <v>392.87</v>
      </c>
      <c r="E3816" s="13">
        <f t="shared" si="177"/>
        <v>-6.2634623512282063E-3</v>
      </c>
      <c r="F3816" s="9">
        <f t="shared" si="178"/>
        <v>7.7259582580021429E-3</v>
      </c>
      <c r="G3816" s="9">
        <f t="shared" si="179"/>
        <v>9.523284371385464E-3</v>
      </c>
    </row>
    <row r="3817" spans="1:7" x14ac:dyDescent="0.2">
      <c r="A3817" s="11">
        <v>40616</v>
      </c>
      <c r="B3817" s="10">
        <v>392.58</v>
      </c>
      <c r="C3817" s="10">
        <v>397.01</v>
      </c>
      <c r="D3817" s="10">
        <v>390.88</v>
      </c>
      <c r="E3817" s="13">
        <f t="shared" si="177"/>
        <v>-9.4311620866869925E-3</v>
      </c>
      <c r="F3817" s="9">
        <f t="shared" si="178"/>
        <v>-3.1047958687111514E-2</v>
      </c>
      <c r="G3817" s="9">
        <f t="shared" si="179"/>
        <v>7.8743928785199781E-3</v>
      </c>
    </row>
    <row r="3818" spans="1:7" x14ac:dyDescent="0.2">
      <c r="A3818" s="11">
        <v>40617</v>
      </c>
      <c r="B3818" s="10">
        <v>385.74</v>
      </c>
      <c r="C3818" s="10">
        <v>392.62</v>
      </c>
      <c r="D3818" s="10">
        <v>375.76</v>
      </c>
      <c r="E3818" s="13">
        <f t="shared" si="177"/>
        <v>-1.7576770728051933E-2</v>
      </c>
      <c r="F3818" s="9">
        <f t="shared" si="178"/>
        <v>-5.4239124857344626E-2</v>
      </c>
      <c r="G3818" s="9">
        <f t="shared" si="179"/>
        <v>8.335353955264739E-3</v>
      </c>
    </row>
    <row r="3819" spans="1:7" x14ac:dyDescent="0.2">
      <c r="A3819" s="11">
        <v>40618</v>
      </c>
      <c r="B3819" s="10">
        <v>386.24</v>
      </c>
      <c r="C3819" s="10">
        <v>393.15</v>
      </c>
      <c r="D3819" s="10">
        <v>384.61</v>
      </c>
      <c r="E3819" s="13">
        <f t="shared" si="177"/>
        <v>1.2953705275163627E-3</v>
      </c>
      <c r="F3819" s="9">
        <f t="shared" si="178"/>
        <v>-4.5945549237149601E-2</v>
      </c>
      <c r="G3819" s="9">
        <f t="shared" si="179"/>
        <v>8.295312739867014E-3</v>
      </c>
    </row>
    <row r="3820" spans="1:7" x14ac:dyDescent="0.2">
      <c r="A3820" s="11">
        <v>40619</v>
      </c>
      <c r="B3820" s="10">
        <v>396.3</v>
      </c>
      <c r="C3820" s="10">
        <v>396.53</v>
      </c>
      <c r="D3820" s="10">
        <v>386.24</v>
      </c>
      <c r="E3820" s="13">
        <f t="shared" si="177"/>
        <v>2.5712562287222757E-2</v>
      </c>
      <c r="F3820" s="9">
        <f t="shared" si="178"/>
        <v>-1.7558791328625267E-2</v>
      </c>
      <c r="G3820" s="9">
        <f t="shared" si="179"/>
        <v>9.7153927460432218E-3</v>
      </c>
    </row>
    <row r="3821" spans="1:7" x14ac:dyDescent="0.2">
      <c r="A3821" s="11">
        <v>40620</v>
      </c>
      <c r="B3821" s="10">
        <v>399.13</v>
      </c>
      <c r="C3821" s="10">
        <v>401.56</v>
      </c>
      <c r="D3821" s="10">
        <v>396.3</v>
      </c>
      <c r="E3821" s="13">
        <f t="shared" si="177"/>
        <v>7.1156781637850995E-3</v>
      </c>
      <c r="F3821" s="9">
        <f t="shared" si="178"/>
        <v>-1.4673960077089994E-2</v>
      </c>
      <c r="G3821" s="9">
        <f t="shared" si="179"/>
        <v>9.781226915956745E-3</v>
      </c>
    </row>
    <row r="3822" spans="1:7" x14ac:dyDescent="0.2">
      <c r="A3822" s="11">
        <v>40623</v>
      </c>
      <c r="B3822" s="10">
        <v>404.13</v>
      </c>
      <c r="C3822" s="10">
        <v>405.3</v>
      </c>
      <c r="D3822" s="10">
        <v>399.13</v>
      </c>
      <c r="E3822" s="13">
        <f t="shared" si="177"/>
        <v>1.2449430018411964E-2</v>
      </c>
      <c r="F3822" s="9">
        <f t="shared" si="178"/>
        <v>2.3782991515036672E-3</v>
      </c>
      <c r="G3822" s="9">
        <f t="shared" si="179"/>
        <v>1.0035400606032481E-2</v>
      </c>
    </row>
    <row r="3823" spans="1:7" x14ac:dyDescent="0.2">
      <c r="A3823" s="11">
        <v>40624</v>
      </c>
      <c r="B3823" s="10">
        <v>401.56</v>
      </c>
      <c r="C3823" s="10">
        <v>405.3</v>
      </c>
      <c r="D3823" s="10">
        <v>399.93</v>
      </c>
      <c r="E3823" s="13">
        <f t="shared" si="177"/>
        <v>-6.379646555260435E-3</v>
      </c>
      <c r="F3823" s="9">
        <f t="shared" si="178"/>
        <v>3.1426958247979787E-3</v>
      </c>
      <c r="G3823" s="9">
        <f t="shared" si="179"/>
        <v>1.0016729649511207E-2</v>
      </c>
    </row>
    <row r="3824" spans="1:7" x14ac:dyDescent="0.2">
      <c r="A3824" s="11">
        <v>40625</v>
      </c>
      <c r="B3824" s="10">
        <v>402.68</v>
      </c>
      <c r="C3824" s="10">
        <v>402.68</v>
      </c>
      <c r="D3824" s="10">
        <v>399.38</v>
      </c>
      <c r="E3824" s="13">
        <f t="shared" si="177"/>
        <v>2.7852400378967084E-3</v>
      </c>
      <c r="F3824" s="9">
        <f t="shared" si="178"/>
        <v>1.1062253071064607E-2</v>
      </c>
      <c r="G3824" s="9">
        <f t="shared" si="179"/>
        <v>9.9765682362255755E-3</v>
      </c>
    </row>
    <row r="3825" spans="1:7" x14ac:dyDescent="0.2">
      <c r="A3825" s="11">
        <v>40626</v>
      </c>
      <c r="B3825" s="10">
        <v>406.13</v>
      </c>
      <c r="C3825" s="10">
        <v>406.35</v>
      </c>
      <c r="D3825" s="10">
        <v>402.1</v>
      </c>
      <c r="E3825" s="13">
        <f t="shared" si="177"/>
        <v>8.531103532711564E-3</v>
      </c>
      <c r="F3825" s="9">
        <f t="shared" si="178"/>
        <v>5.0604272341372072E-3</v>
      </c>
      <c r="G3825" s="9">
        <f t="shared" si="179"/>
        <v>9.7317668691666824E-3</v>
      </c>
    </row>
    <row r="3826" spans="1:7" x14ac:dyDescent="0.2">
      <c r="A3826" s="11">
        <v>40627</v>
      </c>
      <c r="B3826" s="10">
        <v>408.96</v>
      </c>
      <c r="C3826" s="10">
        <v>409.08</v>
      </c>
      <c r="D3826" s="10">
        <v>406.13</v>
      </c>
      <c r="E3826" s="13">
        <f t="shared" si="177"/>
        <v>6.9440463551809677E-3</v>
      </c>
      <c r="F3826" s="9">
        <f t="shared" si="178"/>
        <v>1.7866106882819667E-3</v>
      </c>
      <c r="G3826" s="9">
        <f t="shared" si="179"/>
        <v>9.6295528012501162E-3</v>
      </c>
    </row>
    <row r="3827" spans="1:7" x14ac:dyDescent="0.2">
      <c r="A3827" s="11">
        <v>40630</v>
      </c>
      <c r="B3827" s="10">
        <v>408.08</v>
      </c>
      <c r="C3827" s="10">
        <v>409.13</v>
      </c>
      <c r="D3827" s="10">
        <v>407.23</v>
      </c>
      <c r="E3827" s="13">
        <f t="shared" si="177"/>
        <v>-2.1541181344441815E-3</v>
      </c>
      <c r="F3827" s="9">
        <f t="shared" si="178"/>
        <v>6.0218195758947549E-3</v>
      </c>
      <c r="G3827" s="9">
        <f t="shared" si="179"/>
        <v>9.5600889286828247E-3</v>
      </c>
    </row>
    <row r="3828" spans="1:7" x14ac:dyDescent="0.2">
      <c r="A3828" s="11">
        <v>40631</v>
      </c>
      <c r="B3828" s="10">
        <v>407.68</v>
      </c>
      <c r="C3828" s="10">
        <v>408.23</v>
      </c>
      <c r="D3828" s="10">
        <v>403.81</v>
      </c>
      <c r="E3828" s="13">
        <f t="shared" si="177"/>
        <v>-9.8068067092718322E-4</v>
      </c>
      <c r="F3828" s="9">
        <f t="shared" si="178"/>
        <v>1.669367501148809E-3</v>
      </c>
      <c r="G3828" s="9">
        <f t="shared" si="179"/>
        <v>9.5427901536116692E-3</v>
      </c>
    </row>
    <row r="3829" spans="1:7" x14ac:dyDescent="0.2">
      <c r="A3829" s="11">
        <v>40632</v>
      </c>
      <c r="B3829" s="10">
        <v>409.01</v>
      </c>
      <c r="C3829" s="10">
        <v>410.59</v>
      </c>
      <c r="D3829" s="10">
        <v>407.68</v>
      </c>
      <c r="E3829" s="13">
        <f t="shared" si="177"/>
        <v>3.257052677915177E-3</v>
      </c>
      <c r="F3829" s="9">
        <f t="shared" si="178"/>
        <v>1.4282087584752738E-2</v>
      </c>
      <c r="G3829" s="9">
        <f t="shared" si="179"/>
        <v>9.384557757087646E-3</v>
      </c>
    </row>
    <row r="3830" spans="1:7" x14ac:dyDescent="0.2">
      <c r="A3830" s="11">
        <v>40633</v>
      </c>
      <c r="B3830" s="10">
        <v>408.49</v>
      </c>
      <c r="C3830" s="10">
        <v>411.19</v>
      </c>
      <c r="D3830" s="10">
        <v>407.79</v>
      </c>
      <c r="E3830" s="13">
        <f t="shared" si="177"/>
        <v>-1.2721714253981688E-3</v>
      </c>
      <c r="F3830" s="9">
        <f t="shared" si="178"/>
        <v>1.4052099876513569E-2</v>
      </c>
      <c r="G3830" s="9">
        <f t="shared" si="179"/>
        <v>9.3859980459776969E-3</v>
      </c>
    </row>
    <row r="3831" spans="1:7" x14ac:dyDescent="0.2">
      <c r="A3831" s="11">
        <v>40634</v>
      </c>
      <c r="B3831" s="10">
        <v>414.51</v>
      </c>
      <c r="C3831" s="10">
        <v>415.09</v>
      </c>
      <c r="D3831" s="10">
        <v>408.49</v>
      </c>
      <c r="E3831" s="13">
        <f t="shared" si="177"/>
        <v>1.4629665540427151E-2</v>
      </c>
      <c r="F3831" s="9">
        <f t="shared" si="178"/>
        <v>3.7659605713338283E-2</v>
      </c>
      <c r="G3831" s="9">
        <f t="shared" si="179"/>
        <v>9.5581759035137884E-3</v>
      </c>
    </row>
    <row r="3832" spans="1:7" x14ac:dyDescent="0.2">
      <c r="A3832" s="11">
        <v>40637</v>
      </c>
      <c r="B3832" s="10">
        <v>417.5</v>
      </c>
      <c r="C3832" s="10">
        <v>418.07</v>
      </c>
      <c r="D3832" s="10">
        <v>414.43</v>
      </c>
      <c r="E3832" s="13">
        <f t="shared" si="177"/>
        <v>7.1874445542223159E-3</v>
      </c>
      <c r="F3832" s="9">
        <f t="shared" si="178"/>
        <v>4.7480842065122812E-2</v>
      </c>
      <c r="G3832" s="9">
        <f t="shared" si="179"/>
        <v>9.5878138762846617E-3</v>
      </c>
    </row>
    <row r="3833" spans="1:7" x14ac:dyDescent="0.2">
      <c r="A3833" s="11">
        <v>40638</v>
      </c>
      <c r="B3833" s="10">
        <v>418.28</v>
      </c>
      <c r="C3833" s="10">
        <v>418.48</v>
      </c>
      <c r="D3833" s="10">
        <v>414.88</v>
      </c>
      <c r="E3833" s="13">
        <f t="shared" si="177"/>
        <v>1.8665204394777428E-3</v>
      </c>
      <c r="F3833" s="9">
        <f t="shared" si="178"/>
        <v>5.2365928966275413E-2</v>
      </c>
      <c r="G3833" s="9">
        <f t="shared" si="179"/>
        <v>9.545914865556315E-3</v>
      </c>
    </row>
    <row r="3834" spans="1:7" x14ac:dyDescent="0.2">
      <c r="A3834" s="11">
        <v>40639</v>
      </c>
      <c r="B3834" s="10">
        <v>418.9</v>
      </c>
      <c r="C3834" s="10">
        <v>420.43</v>
      </c>
      <c r="D3834" s="10">
        <v>418.07</v>
      </c>
      <c r="E3834" s="13">
        <f t="shared" si="177"/>
        <v>1.4811632226011621E-3</v>
      </c>
      <c r="F3834" s="9">
        <f t="shared" si="178"/>
        <v>4.6042688656856165E-2</v>
      </c>
      <c r="G3834" s="9">
        <f t="shared" si="179"/>
        <v>9.4759623613845084E-3</v>
      </c>
    </row>
    <row r="3835" spans="1:7" x14ac:dyDescent="0.2">
      <c r="A3835" s="11">
        <v>40640</v>
      </c>
      <c r="B3835" s="10">
        <v>414.42</v>
      </c>
      <c r="C3835" s="10">
        <v>419.57</v>
      </c>
      <c r="D3835" s="10">
        <v>413.94</v>
      </c>
      <c r="E3835" s="13">
        <f t="shared" si="177"/>
        <v>-1.075227562405257E-2</v>
      </c>
      <c r="F3835" s="9">
        <f t="shared" si="178"/>
        <v>2.2104391161282176E-2</v>
      </c>
      <c r="G3835" s="9">
        <f t="shared" si="179"/>
        <v>9.472179191504981E-3</v>
      </c>
    </row>
    <row r="3836" spans="1:7" x14ac:dyDescent="0.2">
      <c r="A3836" s="11">
        <v>40641</v>
      </c>
      <c r="B3836" s="10">
        <v>417.9</v>
      </c>
      <c r="C3836" s="10">
        <v>418.38</v>
      </c>
      <c r="D3836" s="10">
        <v>414.42</v>
      </c>
      <c r="E3836" s="13">
        <f t="shared" si="177"/>
        <v>8.3622171249330361E-3</v>
      </c>
      <c r="F3836" s="9">
        <f t="shared" si="178"/>
        <v>2.3215479633010135E-2</v>
      </c>
      <c r="G3836" s="9">
        <f t="shared" si="179"/>
        <v>9.5015646308711371E-3</v>
      </c>
    </row>
    <row r="3837" spans="1:7" x14ac:dyDescent="0.2">
      <c r="A3837" s="11">
        <v>40644</v>
      </c>
      <c r="B3837" s="10">
        <v>417.31</v>
      </c>
      <c r="C3837" s="10">
        <v>418.16</v>
      </c>
      <c r="D3837" s="10">
        <v>416.41</v>
      </c>
      <c r="E3837" s="13">
        <f t="shared" si="177"/>
        <v>-1.4128185681191263E-3</v>
      </c>
      <c r="F3837" s="9">
        <f t="shared" si="178"/>
        <v>2.5728950126342739E-2</v>
      </c>
      <c r="G3837" s="9">
        <f t="shared" si="179"/>
        <v>9.4683130957426403E-3</v>
      </c>
    </row>
    <row r="3838" spans="1:7" x14ac:dyDescent="0.2">
      <c r="A3838" s="11">
        <v>40645</v>
      </c>
      <c r="B3838" s="10">
        <v>408.51</v>
      </c>
      <c r="C3838" s="10">
        <v>417.31</v>
      </c>
      <c r="D3838" s="10">
        <v>407.29</v>
      </c>
      <c r="E3838" s="13">
        <f t="shared" si="177"/>
        <v>-2.1312957081156832E-2</v>
      </c>
      <c r="F3838" s="9">
        <f t="shared" si="178"/>
        <v>8.9256668987710407E-3</v>
      </c>
      <c r="G3838" s="9">
        <f t="shared" si="179"/>
        <v>1.0288959692384088E-2</v>
      </c>
    </row>
    <row r="3839" spans="1:7" x14ac:dyDescent="0.2">
      <c r="A3839" s="11">
        <v>40646</v>
      </c>
      <c r="B3839" s="10">
        <v>410.49</v>
      </c>
      <c r="C3839" s="10">
        <v>412.55</v>
      </c>
      <c r="D3839" s="10">
        <v>408.51</v>
      </c>
      <c r="E3839" s="13">
        <f t="shared" si="177"/>
        <v>4.8351742552349645E-3</v>
      </c>
      <c r="F3839" s="9">
        <f t="shared" si="178"/>
        <v>6.1334144650100116E-3</v>
      </c>
      <c r="G3839" s="9">
        <f t="shared" si="179"/>
        <v>1.0230917066750486E-2</v>
      </c>
    </row>
    <row r="3840" spans="1:7" x14ac:dyDescent="0.2">
      <c r="A3840" s="11">
        <v>40647</v>
      </c>
      <c r="B3840" s="10">
        <v>404.29</v>
      </c>
      <c r="C3840" s="10">
        <v>410.89</v>
      </c>
      <c r="D3840" s="10">
        <v>402.54</v>
      </c>
      <c r="E3840" s="13">
        <f t="shared" si="177"/>
        <v>-1.5219125827331776E-2</v>
      </c>
      <c r="F3840" s="9">
        <f t="shared" si="178"/>
        <v>-1.5706229760585128E-2</v>
      </c>
      <c r="G3840" s="9">
        <f t="shared" si="179"/>
        <v>1.0541394454154196E-2</v>
      </c>
    </row>
    <row r="3841" spans="1:7" x14ac:dyDescent="0.2">
      <c r="A3841" s="11">
        <v>40648</v>
      </c>
      <c r="B3841" s="10">
        <v>403.08</v>
      </c>
      <c r="C3841" s="10">
        <v>406.47</v>
      </c>
      <c r="D3841" s="10">
        <v>401.52</v>
      </c>
      <c r="E3841" s="13">
        <f t="shared" si="177"/>
        <v>-2.9973888202950378E-3</v>
      </c>
      <c r="F3841" s="9">
        <f t="shared" si="178"/>
        <v>-1.4433392602706607E-2</v>
      </c>
      <c r="G3841" s="9">
        <f t="shared" si="179"/>
        <v>1.0527956461509036E-2</v>
      </c>
    </row>
    <row r="3842" spans="1:7" x14ac:dyDescent="0.2">
      <c r="A3842" s="11">
        <v>40651</v>
      </c>
      <c r="B3842" s="10">
        <v>393.55</v>
      </c>
      <c r="C3842" s="10">
        <v>403.08</v>
      </c>
      <c r="D3842" s="10">
        <v>392.81</v>
      </c>
      <c r="E3842" s="13">
        <f t="shared" si="177"/>
        <v>-2.3926928823742494E-2</v>
      </c>
      <c r="F3842" s="9">
        <f t="shared" si="178"/>
        <v>-3.9240258909898185E-2</v>
      </c>
      <c r="G3842" s="9">
        <f t="shared" si="179"/>
        <v>1.1384938329910643E-2</v>
      </c>
    </row>
    <row r="3843" spans="1:7" x14ac:dyDescent="0.2">
      <c r="A3843" s="11">
        <v>40652</v>
      </c>
      <c r="B3843" s="10">
        <v>398.22</v>
      </c>
      <c r="C3843" s="10">
        <v>399.39</v>
      </c>
      <c r="D3843" s="10">
        <v>393.51</v>
      </c>
      <c r="E3843" s="13">
        <f t="shared" si="177"/>
        <v>1.1796491797429398E-2</v>
      </c>
      <c r="F3843" s="9">
        <f t="shared" si="178"/>
        <v>-2.1562838621755582E-2</v>
      </c>
      <c r="G3843" s="9">
        <f t="shared" si="179"/>
        <v>1.1604965677724101E-2</v>
      </c>
    </row>
    <row r="3844" spans="1:7" x14ac:dyDescent="0.2">
      <c r="A3844" s="11">
        <v>40653</v>
      </c>
      <c r="B3844" s="10">
        <v>407.49</v>
      </c>
      <c r="C3844" s="10">
        <v>407.49</v>
      </c>
      <c r="D3844" s="10">
        <v>398.22</v>
      </c>
      <c r="E3844" s="13">
        <f t="shared" ref="E3844:E3907" si="180">LN(B3844/B3843)</f>
        <v>2.301177611662034E-2</v>
      </c>
      <c r="F3844" s="9">
        <f t="shared" si="178"/>
        <v>2.1581429954891561E-2</v>
      </c>
      <c r="G3844" s="9">
        <f t="shared" si="179"/>
        <v>1.1794525550794303E-2</v>
      </c>
    </row>
    <row r="3845" spans="1:7" x14ac:dyDescent="0.2">
      <c r="A3845" s="11">
        <v>40659</v>
      </c>
      <c r="B3845" s="10">
        <v>409.15</v>
      </c>
      <c r="C3845" s="10">
        <v>409.15</v>
      </c>
      <c r="D3845" s="10">
        <v>405.73</v>
      </c>
      <c r="E3845" s="13">
        <f t="shared" si="180"/>
        <v>4.0654444708816337E-3</v>
      </c>
      <c r="F3845" s="9">
        <f t="shared" si="178"/>
        <v>3.1910336777001259E-2</v>
      </c>
      <c r="G3845" s="9">
        <f t="shared" si="179"/>
        <v>1.1731136958401729E-2</v>
      </c>
    </row>
    <row r="3846" spans="1:7" x14ac:dyDescent="0.2">
      <c r="A3846" s="11">
        <v>40660</v>
      </c>
      <c r="B3846" s="10">
        <v>408.68</v>
      </c>
      <c r="C3846" s="10">
        <v>410.13</v>
      </c>
      <c r="D3846" s="10">
        <v>406.46</v>
      </c>
      <c r="E3846" s="13">
        <f t="shared" si="180"/>
        <v>-1.1493832501676944E-3</v>
      </c>
      <c r="F3846" s="9">
        <f t="shared" si="178"/>
        <v>4.0192115613520672E-2</v>
      </c>
      <c r="G3846" s="9">
        <f t="shared" si="179"/>
        <v>1.1565236439079803E-2</v>
      </c>
    </row>
    <row r="3847" spans="1:7" x14ac:dyDescent="0.2">
      <c r="A3847" s="11">
        <v>40661</v>
      </c>
      <c r="B3847" s="10">
        <v>409.91</v>
      </c>
      <c r="C3847" s="10">
        <v>412.33</v>
      </c>
      <c r="D3847" s="10">
        <v>408.14</v>
      </c>
      <c r="E3847" s="13">
        <f t="shared" si="180"/>
        <v>3.0051696836803374E-3</v>
      </c>
      <c r="F3847" s="9">
        <f t="shared" si="178"/>
        <v>6.0774056025252932E-2</v>
      </c>
      <c r="G3847" s="9">
        <f t="shared" si="179"/>
        <v>1.0976536148445508E-2</v>
      </c>
    </row>
    <row r="3848" spans="1:7" x14ac:dyDescent="0.2">
      <c r="A3848" s="11">
        <v>40662</v>
      </c>
      <c r="B3848" s="10">
        <v>413.39</v>
      </c>
      <c r="C3848" s="10">
        <v>413.39</v>
      </c>
      <c r="D3848" s="10">
        <v>409.23</v>
      </c>
      <c r="E3848" s="13">
        <f t="shared" si="180"/>
        <v>8.4538339013590438E-3</v>
      </c>
      <c r="F3848" s="9">
        <f t="shared" si="178"/>
        <v>6.7932519399095864E-2</v>
      </c>
      <c r="G3848" s="9">
        <f t="shared" si="179"/>
        <v>1.1038213843392135E-2</v>
      </c>
    </row>
    <row r="3849" spans="1:7" x14ac:dyDescent="0.2">
      <c r="A3849" s="11">
        <v>40665</v>
      </c>
      <c r="B3849" s="10">
        <v>412.72</v>
      </c>
      <c r="C3849" s="10">
        <v>415.16</v>
      </c>
      <c r="D3849" s="10">
        <v>412.72</v>
      </c>
      <c r="E3849" s="13">
        <f t="shared" si="180"/>
        <v>-1.6220603718679438E-3</v>
      </c>
      <c r="F3849" s="9">
        <f t="shared" si="178"/>
        <v>4.0597896740005142E-2</v>
      </c>
      <c r="G3849" s="9">
        <f t="shared" si="179"/>
        <v>1.0098397499205013E-2</v>
      </c>
    </row>
    <row r="3850" spans="1:7" x14ac:dyDescent="0.2">
      <c r="A3850" s="11">
        <v>40666</v>
      </c>
      <c r="B3850" s="10">
        <v>405.57</v>
      </c>
      <c r="C3850" s="10">
        <v>412.74</v>
      </c>
      <c r="D3850" s="10">
        <v>404.76</v>
      </c>
      <c r="E3850" s="13">
        <f t="shared" si="180"/>
        <v>-1.74759118919709E-2</v>
      </c>
      <c r="F3850" s="9">
        <f t="shared" si="178"/>
        <v>1.6006306684249332E-2</v>
      </c>
      <c r="G3850" s="9">
        <f t="shared" si="179"/>
        <v>1.0620310532395387E-2</v>
      </c>
    </row>
    <row r="3851" spans="1:7" x14ac:dyDescent="0.2">
      <c r="A3851" s="11">
        <v>40667</v>
      </c>
      <c r="B3851" s="10">
        <v>396</v>
      </c>
      <c r="C3851" s="10">
        <v>406.44</v>
      </c>
      <c r="D3851" s="10">
        <v>395.45</v>
      </c>
      <c r="E3851" s="13">
        <f t="shared" si="180"/>
        <v>-2.3879273789943121E-2</v>
      </c>
      <c r="F3851" s="9">
        <f t="shared" si="178"/>
        <v>-2.0322397124105687E-2</v>
      </c>
      <c r="G3851" s="9">
        <f t="shared" si="179"/>
        <v>1.1288382879385451E-2</v>
      </c>
    </row>
    <row r="3852" spans="1:7" x14ac:dyDescent="0.2">
      <c r="A3852" s="11">
        <v>40668</v>
      </c>
      <c r="B3852" s="10">
        <v>395.82</v>
      </c>
      <c r="C3852" s="10">
        <v>400.56</v>
      </c>
      <c r="D3852" s="10">
        <v>391.85</v>
      </c>
      <c r="E3852" s="13">
        <f t="shared" si="180"/>
        <v>-4.5464879164606857E-4</v>
      </c>
      <c r="F3852" s="9">
        <f t="shared" si="178"/>
        <v>-1.4397399360491323E-2</v>
      </c>
      <c r="G3852" s="9">
        <f t="shared" si="179"/>
        <v>1.1235423717537957E-2</v>
      </c>
    </row>
    <row r="3853" spans="1:7" x14ac:dyDescent="0.2">
      <c r="A3853" s="11">
        <v>40669</v>
      </c>
      <c r="B3853" s="10">
        <v>399.27</v>
      </c>
      <c r="C3853" s="10">
        <v>399.27</v>
      </c>
      <c r="D3853" s="10">
        <v>388.49</v>
      </c>
      <c r="E3853" s="13">
        <f t="shared" si="180"/>
        <v>8.6783173037399738E-3</v>
      </c>
      <c r="F3853" s="9">
        <f t="shared" si="178"/>
        <v>-8.5043220946481504E-3</v>
      </c>
      <c r="G3853" s="9">
        <f t="shared" si="179"/>
        <v>1.1349610391471351E-2</v>
      </c>
    </row>
    <row r="3854" spans="1:7" x14ac:dyDescent="0.2">
      <c r="A3854" s="11">
        <v>40672</v>
      </c>
      <c r="B3854" s="10">
        <v>399.09</v>
      </c>
      <c r="C3854" s="10">
        <v>401.58</v>
      </c>
      <c r="D3854" s="10">
        <v>397.15</v>
      </c>
      <c r="E3854" s="13">
        <f t="shared" si="180"/>
        <v>-4.5092440265041622E-4</v>
      </c>
      <c r="F3854" s="9">
        <f t="shared" si="178"/>
        <v>-1.7486350030010204E-2</v>
      </c>
      <c r="G3854" s="9">
        <f t="shared" si="179"/>
        <v>1.1222038283863488E-2</v>
      </c>
    </row>
    <row r="3855" spans="1:7" x14ac:dyDescent="0.2">
      <c r="A3855" s="11">
        <v>40673</v>
      </c>
      <c r="B3855" s="10">
        <v>401.61</v>
      </c>
      <c r="C3855" s="10">
        <v>403.03</v>
      </c>
      <c r="D3855" s="10">
        <v>398.42</v>
      </c>
      <c r="E3855" s="13">
        <f t="shared" si="180"/>
        <v>6.2945131019921368E-3</v>
      </c>
      <c r="F3855" s="9">
        <f t="shared" si="178"/>
        <v>-1.8135883283199174E-2</v>
      </c>
      <c r="G3855" s="9">
        <f t="shared" si="179"/>
        <v>1.120707568301735E-2</v>
      </c>
    </row>
    <row r="3856" spans="1:7" x14ac:dyDescent="0.2">
      <c r="A3856" s="11">
        <v>40674</v>
      </c>
      <c r="B3856" s="10">
        <v>401.16</v>
      </c>
      <c r="C3856" s="10">
        <v>405.91</v>
      </c>
      <c r="D3856" s="10">
        <v>400.9</v>
      </c>
      <c r="E3856" s="13">
        <f t="shared" si="180"/>
        <v>-1.1211182459084329E-3</v>
      </c>
      <c r="F3856" s="9">
        <f t="shared" si="178"/>
        <v>-1.7102883394663496E-2</v>
      </c>
      <c r="G3856" s="9">
        <f t="shared" si="179"/>
        <v>1.1203684311799581E-2</v>
      </c>
    </row>
    <row r="3857" spans="1:7" x14ac:dyDescent="0.2">
      <c r="A3857" s="11">
        <v>40675</v>
      </c>
      <c r="B3857" s="10">
        <v>396.69</v>
      </c>
      <c r="C3857" s="10">
        <v>401.16</v>
      </c>
      <c r="D3857" s="10">
        <v>393.64</v>
      </c>
      <c r="E3857" s="13">
        <f t="shared" si="180"/>
        <v>-1.1205230983166494E-2</v>
      </c>
      <c r="F3857" s="9">
        <f t="shared" si="178"/>
        <v>-2.7327433706902726E-2</v>
      </c>
      <c r="G3857" s="9">
        <f t="shared" si="179"/>
        <v>1.1375980050754035E-2</v>
      </c>
    </row>
    <row r="3858" spans="1:7" x14ac:dyDescent="0.2">
      <c r="A3858" s="11">
        <v>40676</v>
      </c>
      <c r="B3858" s="10">
        <v>398.33</v>
      </c>
      <c r="C3858" s="10">
        <v>401.07</v>
      </c>
      <c r="D3858" s="10">
        <v>396.53</v>
      </c>
      <c r="E3858" s="13">
        <f t="shared" si="180"/>
        <v>4.1256882248098337E-3</v>
      </c>
      <c r="F3858" s="9">
        <f t="shared" si="178"/>
        <v>-2.6458798160008051E-2</v>
      </c>
      <c r="G3858" s="9">
        <f t="shared" si="179"/>
        <v>1.1388568495761071E-2</v>
      </c>
    </row>
    <row r="3859" spans="1:7" x14ac:dyDescent="0.2">
      <c r="A3859" s="11">
        <v>40679</v>
      </c>
      <c r="B3859" s="10">
        <v>400.2</v>
      </c>
      <c r="C3859" s="10">
        <v>400.2</v>
      </c>
      <c r="D3859" s="10">
        <v>393.8</v>
      </c>
      <c r="E3859" s="13">
        <f t="shared" si="180"/>
        <v>4.6836146879821175E-3</v>
      </c>
      <c r="F3859" s="9">
        <f t="shared" si="178"/>
        <v>-2.0503012046627671E-2</v>
      </c>
      <c r="G3859" s="9">
        <f t="shared" si="179"/>
        <v>1.1435452784705589E-2</v>
      </c>
    </row>
    <row r="3860" spans="1:7" x14ac:dyDescent="0.2">
      <c r="A3860" s="11">
        <v>40681</v>
      </c>
      <c r="B3860" s="10">
        <v>399.34</v>
      </c>
      <c r="C3860" s="10">
        <v>402.78</v>
      </c>
      <c r="D3860" s="10">
        <v>397.44</v>
      </c>
      <c r="E3860" s="13">
        <f t="shared" si="180"/>
        <v>-2.1512377908815645E-3</v>
      </c>
      <c r="F3860" s="9">
        <f t="shared" si="178"/>
        <v>-3.7283915377936322E-2</v>
      </c>
      <c r="G3860" s="9">
        <f t="shared" si="179"/>
        <v>1.1049742158170834E-2</v>
      </c>
    </row>
    <row r="3861" spans="1:7" x14ac:dyDescent="0.2">
      <c r="A3861" s="11">
        <v>40682</v>
      </c>
      <c r="B3861" s="10">
        <v>402.36</v>
      </c>
      <c r="C3861" s="10">
        <v>404.07</v>
      </c>
      <c r="D3861" s="10">
        <v>398.97</v>
      </c>
      <c r="E3861" s="13">
        <f t="shared" si="180"/>
        <v>7.5340259073861503E-3</v>
      </c>
      <c r="F3861" s="9">
        <f t="shared" si="178"/>
        <v>-3.6937334024772686E-2</v>
      </c>
      <c r="G3861" s="9">
        <f t="shared" si="179"/>
        <v>1.1059416899936702E-2</v>
      </c>
    </row>
    <row r="3862" spans="1:7" x14ac:dyDescent="0.2">
      <c r="A3862" s="11">
        <v>40683</v>
      </c>
      <c r="B3862" s="10">
        <v>399.42</v>
      </c>
      <c r="C3862" s="10">
        <v>405.88</v>
      </c>
      <c r="D3862" s="10">
        <v>398.78</v>
      </c>
      <c r="E3862" s="13">
        <f t="shared" si="180"/>
        <v>-7.3337154254701801E-3</v>
      </c>
      <c r="F3862" s="9">
        <f t="shared" si="178"/>
        <v>-4.6137569889720689E-2</v>
      </c>
      <c r="G3862" s="9">
        <f t="shared" si="179"/>
        <v>1.1098010875958289E-2</v>
      </c>
    </row>
    <row r="3863" spans="1:7" x14ac:dyDescent="0.2">
      <c r="A3863" s="11">
        <v>40686</v>
      </c>
      <c r="B3863" s="10">
        <v>392.4</v>
      </c>
      <c r="C3863" s="10">
        <v>399.42</v>
      </c>
      <c r="D3863" s="10">
        <v>391</v>
      </c>
      <c r="E3863" s="13">
        <f t="shared" si="180"/>
        <v>-1.7731767149459326E-2</v>
      </c>
      <c r="F3863" s="9">
        <f t="shared" si="178"/>
        <v>-6.5350500261781144E-2</v>
      </c>
      <c r="G3863" s="9">
        <f t="shared" si="179"/>
        <v>1.1475132884426404E-2</v>
      </c>
    </row>
    <row r="3864" spans="1:7" x14ac:dyDescent="0.2">
      <c r="A3864" s="11">
        <v>40687</v>
      </c>
      <c r="B3864" s="10">
        <v>394.44</v>
      </c>
      <c r="C3864" s="10">
        <v>398.96</v>
      </c>
      <c r="D3864" s="10">
        <v>392.28</v>
      </c>
      <c r="E3864" s="13">
        <f t="shared" si="180"/>
        <v>5.185309772920396E-3</v>
      </c>
      <c r="F3864" s="9">
        <f t="shared" si="178"/>
        <v>-4.9412914864808213E-2</v>
      </c>
      <c r="G3864" s="9">
        <f t="shared" si="179"/>
        <v>1.1435142649571265E-2</v>
      </c>
    </row>
    <row r="3865" spans="1:7" x14ac:dyDescent="0.2">
      <c r="A3865" s="11">
        <v>40688</v>
      </c>
      <c r="B3865" s="10">
        <v>396.76</v>
      </c>
      <c r="C3865" s="10">
        <v>396.79</v>
      </c>
      <c r="D3865" s="10">
        <v>390.85</v>
      </c>
      <c r="E3865" s="13">
        <f t="shared" si="180"/>
        <v>5.8645264136645342E-3</v>
      </c>
      <c r="F3865" s="9">
        <f t="shared" si="178"/>
        <v>-5.191060557607672E-2</v>
      </c>
      <c r="G3865" s="9">
        <f t="shared" si="179"/>
        <v>1.1365814854632141E-2</v>
      </c>
    </row>
    <row r="3866" spans="1:7" x14ac:dyDescent="0.2">
      <c r="A3866" s="11">
        <v>40689</v>
      </c>
      <c r="B3866" s="10">
        <v>394.93</v>
      </c>
      <c r="C3866" s="10">
        <v>399.88</v>
      </c>
      <c r="D3866" s="10">
        <v>394.32</v>
      </c>
      <c r="E3866" s="13">
        <f t="shared" si="180"/>
        <v>-4.6230298710116481E-3</v>
      </c>
      <c r="F3866" s="9">
        <f t="shared" si="178"/>
        <v>-5.5120816878969144E-2</v>
      </c>
      <c r="G3866" s="9">
        <f t="shared" si="179"/>
        <v>1.1377636621347007E-2</v>
      </c>
    </row>
    <row r="3867" spans="1:7" x14ac:dyDescent="0.2">
      <c r="A3867" s="11">
        <v>40690</v>
      </c>
      <c r="B3867" s="10">
        <v>399.82</v>
      </c>
      <c r="C3867" s="10">
        <v>400.16</v>
      </c>
      <c r="D3867" s="10">
        <v>394.76</v>
      </c>
      <c r="E3867" s="13">
        <f t="shared" si="180"/>
        <v>1.2305911820815427E-2</v>
      </c>
      <c r="F3867" s="9">
        <f t="shared" si="178"/>
        <v>-2.1501947976996862E-2</v>
      </c>
      <c r="G3867" s="9">
        <f t="shared" si="179"/>
        <v>1.1036687397762606E-2</v>
      </c>
    </row>
    <row r="3868" spans="1:7" x14ac:dyDescent="0.2">
      <c r="A3868" s="11">
        <v>40693</v>
      </c>
      <c r="B3868" s="10">
        <v>401.25</v>
      </c>
      <c r="C3868" s="10">
        <v>401.26</v>
      </c>
      <c r="D3868" s="10">
        <v>399.43</v>
      </c>
      <c r="E3868" s="13">
        <f t="shared" si="180"/>
        <v>3.5702286166289956E-3</v>
      </c>
      <c r="F3868" s="9">
        <f t="shared" si="178"/>
        <v>-2.2766893615602846E-2</v>
      </c>
      <c r="G3868" s="9">
        <f t="shared" si="179"/>
        <v>1.1016341420047322E-2</v>
      </c>
    </row>
    <row r="3869" spans="1:7" x14ac:dyDescent="0.2">
      <c r="A3869" s="11">
        <v>40694</v>
      </c>
      <c r="B3869" s="10">
        <v>405.99</v>
      </c>
      <c r="C3869" s="10">
        <v>407.17</v>
      </c>
      <c r="D3869" s="10">
        <v>401.25</v>
      </c>
      <c r="E3869" s="13">
        <f t="shared" si="180"/>
        <v>1.1743854312298331E-2</v>
      </c>
      <c r="F3869" s="9">
        <f t="shared" si="178"/>
        <v>4.1960865240273076E-3</v>
      </c>
      <c r="G3869" s="9">
        <f t="shared" si="179"/>
        <v>1.0891734202652187E-2</v>
      </c>
    </row>
    <row r="3870" spans="1:7" x14ac:dyDescent="0.2">
      <c r="A3870" s="11">
        <v>40695</v>
      </c>
      <c r="B3870" s="10">
        <v>401.95</v>
      </c>
      <c r="C3870" s="10">
        <v>406.37</v>
      </c>
      <c r="D3870" s="10">
        <v>401.13</v>
      </c>
      <c r="E3870" s="13">
        <f t="shared" si="180"/>
        <v>-1.0000825982554173E-2</v>
      </c>
      <c r="F3870" s="9">
        <f t="shared" si="178"/>
        <v>-2.807350638231797E-3</v>
      </c>
      <c r="G3870" s="9">
        <f t="shared" si="179"/>
        <v>1.1040516337004933E-2</v>
      </c>
    </row>
    <row r="3871" spans="1:7" x14ac:dyDescent="0.2">
      <c r="A3871" s="11">
        <v>40697</v>
      </c>
      <c r="B3871" s="10">
        <v>397.15</v>
      </c>
      <c r="C3871" s="10">
        <v>402</v>
      </c>
      <c r="D3871" s="10">
        <v>393.45</v>
      </c>
      <c r="E3871" s="13">
        <f t="shared" si="180"/>
        <v>-1.2013659694828774E-2</v>
      </c>
      <c r="F3871" s="9">
        <f t="shared" si="178"/>
        <v>9.1059184906817376E-3</v>
      </c>
      <c r="G3871" s="9">
        <f t="shared" si="179"/>
        <v>1.0320310518053917E-2</v>
      </c>
    </row>
    <row r="3872" spans="1:7" x14ac:dyDescent="0.2">
      <c r="A3872" s="11">
        <v>40700</v>
      </c>
      <c r="B3872" s="10">
        <v>395.65</v>
      </c>
      <c r="C3872" s="10">
        <v>398.47</v>
      </c>
      <c r="D3872" s="10">
        <v>394.22</v>
      </c>
      <c r="E3872" s="13">
        <f t="shared" si="180"/>
        <v>-3.7840610239387581E-3</v>
      </c>
      <c r="F3872" s="9">
        <f t="shared" ref="F3872:F3935" si="181">LN(B3872/B3843)</f>
        <v>-6.4746343306864105E-3</v>
      </c>
      <c r="G3872" s="9">
        <f t="shared" si="179"/>
        <v>1.0104493769200496E-2</v>
      </c>
    </row>
    <row r="3873" spans="1:7" x14ac:dyDescent="0.2">
      <c r="A3873" s="11">
        <v>40701</v>
      </c>
      <c r="B3873" s="10">
        <v>394.37</v>
      </c>
      <c r="C3873" s="10">
        <v>397.22</v>
      </c>
      <c r="D3873" s="10">
        <v>393.6</v>
      </c>
      <c r="E3873" s="13">
        <f t="shared" si="180"/>
        <v>-3.2404271285259266E-3</v>
      </c>
      <c r="F3873" s="9">
        <f t="shared" si="181"/>
        <v>-3.2726837575832689E-2</v>
      </c>
      <c r="G3873" s="9">
        <f t="shared" ref="G3873:G3936" si="182">STDEV(E3845:E3873)</f>
        <v>9.071725501294068E-3</v>
      </c>
    </row>
    <row r="3874" spans="1:7" x14ac:dyDescent="0.2">
      <c r="A3874" s="11">
        <v>40702</v>
      </c>
      <c r="B3874" s="10">
        <v>388.37</v>
      </c>
      <c r="C3874" s="10">
        <v>394.68</v>
      </c>
      <c r="D3874" s="10">
        <v>386.51</v>
      </c>
      <c r="E3874" s="13">
        <f t="shared" si="180"/>
        <v>-1.5331061451471072E-2</v>
      </c>
      <c r="F3874" s="9">
        <f t="shared" si="181"/>
        <v>-5.2123343498185412E-2</v>
      </c>
      <c r="G3874" s="9">
        <f t="shared" si="182"/>
        <v>9.3847438590646398E-3</v>
      </c>
    </row>
    <row r="3875" spans="1:7" x14ac:dyDescent="0.2">
      <c r="A3875" s="11">
        <v>40703</v>
      </c>
      <c r="B3875" s="10">
        <v>391.61</v>
      </c>
      <c r="C3875" s="10">
        <v>392.39</v>
      </c>
      <c r="D3875" s="10">
        <v>388.27</v>
      </c>
      <c r="E3875" s="13">
        <f t="shared" si="180"/>
        <v>8.3079531165967061E-3</v>
      </c>
      <c r="F3875" s="9">
        <f t="shared" si="181"/>
        <v>-4.2666007131421081E-2</v>
      </c>
      <c r="G3875" s="9">
        <f t="shared" si="182"/>
        <v>9.5705443215233915E-3</v>
      </c>
    </row>
    <row r="3876" spans="1:7" x14ac:dyDescent="0.2">
      <c r="A3876" s="11">
        <v>40704</v>
      </c>
      <c r="B3876" s="10">
        <v>386.57</v>
      </c>
      <c r="C3876" s="10">
        <v>392.55</v>
      </c>
      <c r="D3876" s="10">
        <v>384.91</v>
      </c>
      <c r="E3876" s="13">
        <f t="shared" si="180"/>
        <v>-1.2953482414710534E-2</v>
      </c>
      <c r="F3876" s="9">
        <f t="shared" si="181"/>
        <v>-5.8624659229811985E-2</v>
      </c>
      <c r="G3876" s="9">
        <f t="shared" si="182"/>
        <v>9.7608739665392789E-3</v>
      </c>
    </row>
    <row r="3877" spans="1:7" x14ac:dyDescent="0.2">
      <c r="A3877" s="11">
        <v>40708</v>
      </c>
      <c r="B3877" s="10">
        <v>389.85</v>
      </c>
      <c r="C3877" s="10">
        <v>390.71</v>
      </c>
      <c r="D3877" s="10">
        <v>386.57</v>
      </c>
      <c r="E3877" s="13">
        <f t="shared" si="180"/>
        <v>8.4490855785176386E-3</v>
      </c>
      <c r="F3877" s="9">
        <f t="shared" si="181"/>
        <v>-5.8629407552653404E-2</v>
      </c>
      <c r="G3877" s="9">
        <f t="shared" si="182"/>
        <v>9.7606920081694734E-3</v>
      </c>
    </row>
    <row r="3878" spans="1:7" x14ac:dyDescent="0.2">
      <c r="A3878" s="11">
        <v>40709</v>
      </c>
      <c r="B3878" s="10">
        <v>380.45</v>
      </c>
      <c r="C3878" s="10">
        <v>390.01</v>
      </c>
      <c r="D3878" s="10">
        <v>379.46</v>
      </c>
      <c r="E3878" s="13">
        <f t="shared" si="180"/>
        <v>-2.4407287133077268E-2</v>
      </c>
      <c r="F3878" s="9">
        <f t="shared" si="181"/>
        <v>-8.1414634313862769E-2</v>
      </c>
      <c r="G3878" s="9">
        <f t="shared" si="182"/>
        <v>1.0607684836818258E-2</v>
      </c>
    </row>
    <row r="3879" spans="1:7" x14ac:dyDescent="0.2">
      <c r="A3879" s="11">
        <v>40710</v>
      </c>
      <c r="B3879" s="10">
        <v>375.34</v>
      </c>
      <c r="C3879" s="10">
        <v>380.45</v>
      </c>
      <c r="D3879" s="10">
        <v>371.64</v>
      </c>
      <c r="E3879" s="13">
        <f t="shared" si="180"/>
        <v>-1.3522480759405304E-2</v>
      </c>
      <c r="F3879" s="9">
        <f t="shared" si="181"/>
        <v>-7.7461203181297206E-2</v>
      </c>
      <c r="G3879" s="9">
        <f t="shared" si="182"/>
        <v>1.0436461059155603E-2</v>
      </c>
    </row>
    <row r="3880" spans="1:7" x14ac:dyDescent="0.2">
      <c r="A3880" s="11">
        <v>40711</v>
      </c>
      <c r="B3880" s="10">
        <v>375.88</v>
      </c>
      <c r="C3880" s="10">
        <v>378.23</v>
      </c>
      <c r="D3880" s="10">
        <v>367.83</v>
      </c>
      <c r="E3880" s="13">
        <f t="shared" si="180"/>
        <v>1.4376616517377109E-3</v>
      </c>
      <c r="F3880" s="9">
        <f t="shared" si="181"/>
        <v>-5.2144267739616369E-2</v>
      </c>
      <c r="G3880" s="9">
        <f t="shared" si="182"/>
        <v>9.6264972605049938E-3</v>
      </c>
    </row>
    <row r="3881" spans="1:7" x14ac:dyDescent="0.2">
      <c r="A3881" s="11">
        <v>40714</v>
      </c>
      <c r="B3881" s="10">
        <v>373.04</v>
      </c>
      <c r="C3881" s="10">
        <v>375.88</v>
      </c>
      <c r="D3881" s="10">
        <v>370.9</v>
      </c>
      <c r="E3881" s="13">
        <f t="shared" si="180"/>
        <v>-7.5842910147987611E-3</v>
      </c>
      <c r="F3881" s="9">
        <f t="shared" si="181"/>
        <v>-5.9273909962768982E-2</v>
      </c>
      <c r="G3881" s="9">
        <f t="shared" si="182"/>
        <v>9.6818446105257465E-3</v>
      </c>
    </row>
    <row r="3882" spans="1:7" x14ac:dyDescent="0.2">
      <c r="A3882" s="11">
        <v>40715</v>
      </c>
      <c r="B3882" s="10">
        <v>383.74</v>
      </c>
      <c r="C3882" s="10">
        <v>383.76</v>
      </c>
      <c r="D3882" s="10">
        <v>373.04</v>
      </c>
      <c r="E3882" s="13">
        <f t="shared" si="180"/>
        <v>2.8279587429887544E-2</v>
      </c>
      <c r="F3882" s="9">
        <f t="shared" si="181"/>
        <v>-3.9672639836621372E-2</v>
      </c>
      <c r="G3882" s="9">
        <f t="shared" si="182"/>
        <v>1.1045308715206129E-2</v>
      </c>
    </row>
    <row r="3883" spans="1:7" x14ac:dyDescent="0.2">
      <c r="A3883" s="11">
        <v>40716</v>
      </c>
      <c r="B3883" s="10">
        <v>379.89</v>
      </c>
      <c r="C3883" s="10">
        <v>384.97</v>
      </c>
      <c r="D3883" s="10">
        <v>379.89</v>
      </c>
      <c r="E3883" s="13">
        <f t="shared" si="180"/>
        <v>-1.0083502799326381E-2</v>
      </c>
      <c r="F3883" s="9">
        <f t="shared" si="181"/>
        <v>-4.9305218233297282E-2</v>
      </c>
      <c r="G3883" s="9">
        <f t="shared" si="182"/>
        <v>1.1160975777809631E-2</v>
      </c>
    </row>
    <row r="3884" spans="1:7" x14ac:dyDescent="0.2">
      <c r="A3884" s="11">
        <v>40717</v>
      </c>
      <c r="B3884" s="10">
        <v>369.91</v>
      </c>
      <c r="C3884" s="10">
        <v>379.89</v>
      </c>
      <c r="D3884" s="10">
        <v>368.89</v>
      </c>
      <c r="E3884" s="13">
        <f t="shared" si="180"/>
        <v>-2.6622004324035733E-2</v>
      </c>
      <c r="F3884" s="9">
        <f t="shared" si="181"/>
        <v>-8.2221735659324988E-2</v>
      </c>
      <c r="G3884" s="9">
        <f t="shared" si="182"/>
        <v>1.1963794926146774E-2</v>
      </c>
    </row>
    <row r="3885" spans="1:7" x14ac:dyDescent="0.2">
      <c r="A3885" s="11">
        <v>40718</v>
      </c>
      <c r="B3885" s="10">
        <v>367.56</v>
      </c>
      <c r="C3885" s="10">
        <v>376.55</v>
      </c>
      <c r="D3885" s="10">
        <v>366.88</v>
      </c>
      <c r="E3885" s="13">
        <f t="shared" si="180"/>
        <v>-6.3731621739068984E-3</v>
      </c>
      <c r="F3885" s="9">
        <f t="shared" si="181"/>
        <v>-8.7473779587323428E-2</v>
      </c>
      <c r="G3885" s="9">
        <f t="shared" si="182"/>
        <v>1.1976665531260039E-2</v>
      </c>
    </row>
    <row r="3886" spans="1:7" x14ac:dyDescent="0.2">
      <c r="A3886" s="11">
        <v>40721</v>
      </c>
      <c r="B3886" s="10">
        <v>368.47</v>
      </c>
      <c r="C3886" s="10">
        <v>369.19</v>
      </c>
      <c r="D3886" s="10">
        <v>366.12</v>
      </c>
      <c r="E3886" s="13">
        <f t="shared" si="180"/>
        <v>2.4727265564543637E-3</v>
      </c>
      <c r="F3886" s="9">
        <f t="shared" si="181"/>
        <v>-7.3795822047702714E-2</v>
      </c>
      <c r="G3886" s="9">
        <f t="shared" si="182"/>
        <v>1.1911811460858216E-2</v>
      </c>
    </row>
    <row r="3887" spans="1:7" x14ac:dyDescent="0.2">
      <c r="A3887" s="11">
        <v>40722</v>
      </c>
      <c r="B3887" s="10">
        <v>372.23</v>
      </c>
      <c r="C3887" s="10">
        <v>373.15</v>
      </c>
      <c r="D3887" s="10">
        <v>368.47</v>
      </c>
      <c r="E3887" s="13">
        <f t="shared" si="180"/>
        <v>1.0152645597833913E-2</v>
      </c>
      <c r="F3887" s="9">
        <f t="shared" si="181"/>
        <v>-6.7768864674678436E-2</v>
      </c>
      <c r="G3887" s="9">
        <f t="shared" si="182"/>
        <v>1.208368264019135E-2</v>
      </c>
    </row>
    <row r="3888" spans="1:7" x14ac:dyDescent="0.2">
      <c r="A3888" s="11">
        <v>40723</v>
      </c>
      <c r="B3888" s="10">
        <v>382.58</v>
      </c>
      <c r="C3888" s="10">
        <v>382.6</v>
      </c>
      <c r="D3888" s="10">
        <v>372.23</v>
      </c>
      <c r="E3888" s="13">
        <f t="shared" si="180"/>
        <v>2.7425838937534981E-2</v>
      </c>
      <c r="F3888" s="9">
        <f t="shared" si="181"/>
        <v>-4.5026640425125553E-2</v>
      </c>
      <c r="G3888" s="9">
        <f t="shared" si="182"/>
        <v>1.3238373729789466E-2</v>
      </c>
    </row>
    <row r="3889" spans="1:7" x14ac:dyDescent="0.2">
      <c r="A3889" s="11">
        <v>40724</v>
      </c>
      <c r="B3889" s="10">
        <v>386.66</v>
      </c>
      <c r="C3889" s="10">
        <v>386.66</v>
      </c>
      <c r="D3889" s="10">
        <v>381.27</v>
      </c>
      <c r="E3889" s="13">
        <f t="shared" si="180"/>
        <v>1.0607972179848664E-2</v>
      </c>
      <c r="F3889" s="9">
        <f t="shared" si="181"/>
        <v>-3.226743045439541E-2</v>
      </c>
      <c r="G3889" s="9">
        <f t="shared" si="182"/>
        <v>1.3428428835224961E-2</v>
      </c>
    </row>
    <row r="3890" spans="1:7" x14ac:dyDescent="0.2">
      <c r="A3890" s="11">
        <v>40725</v>
      </c>
      <c r="B3890" s="10">
        <v>391.21</v>
      </c>
      <c r="C3890" s="10">
        <v>392.4</v>
      </c>
      <c r="D3890" s="10">
        <v>383.49</v>
      </c>
      <c r="E3890" s="13">
        <f t="shared" si="180"/>
        <v>1.1698746301782376E-2</v>
      </c>
      <c r="F3890" s="9">
        <f t="shared" si="181"/>
        <v>-2.810271005999903E-2</v>
      </c>
      <c r="G3890" s="9">
        <f t="shared" si="182"/>
        <v>1.3545959552216645E-2</v>
      </c>
    </row>
    <row r="3891" spans="1:7" x14ac:dyDescent="0.2">
      <c r="A3891" s="11">
        <v>40728</v>
      </c>
      <c r="B3891" s="10">
        <v>392.17</v>
      </c>
      <c r="C3891" s="10">
        <v>393.29</v>
      </c>
      <c r="D3891" s="10">
        <v>389.35</v>
      </c>
      <c r="E3891" s="13">
        <f t="shared" si="180"/>
        <v>2.4509190445514586E-3</v>
      </c>
      <c r="F3891" s="9">
        <f t="shared" si="181"/>
        <v>-1.8318075589977442E-2</v>
      </c>
      <c r="G3891" s="9">
        <f t="shared" si="182"/>
        <v>1.3503558546604764E-2</v>
      </c>
    </row>
    <row r="3892" spans="1:7" x14ac:dyDescent="0.2">
      <c r="A3892" s="11">
        <v>40729</v>
      </c>
      <c r="B3892" s="10">
        <v>392.04</v>
      </c>
      <c r="C3892" s="10">
        <v>392.54</v>
      </c>
      <c r="D3892" s="10">
        <v>389.83</v>
      </c>
      <c r="E3892" s="13">
        <f t="shared" si="180"/>
        <v>-3.3154384971071038E-4</v>
      </c>
      <c r="F3892" s="9">
        <f t="shared" si="181"/>
        <v>-9.1785229022877464E-4</v>
      </c>
      <c r="G3892" s="9">
        <f t="shared" si="182"/>
        <v>1.309706438717491E-2</v>
      </c>
    </row>
    <row r="3893" spans="1:7" x14ac:dyDescent="0.2">
      <c r="A3893" s="11">
        <v>40730</v>
      </c>
      <c r="B3893" s="10">
        <v>388.7</v>
      </c>
      <c r="C3893" s="10">
        <v>392.33</v>
      </c>
      <c r="D3893" s="10">
        <v>386.88</v>
      </c>
      <c r="E3893" s="13">
        <f t="shared" si="180"/>
        <v>-8.5560375428016724E-3</v>
      </c>
      <c r="F3893" s="9">
        <f t="shared" si="181"/>
        <v>-1.4659199605950839E-2</v>
      </c>
      <c r="G3893" s="9">
        <f t="shared" si="182"/>
        <v>1.3150046161333943E-2</v>
      </c>
    </row>
    <row r="3894" spans="1:7" x14ac:dyDescent="0.2">
      <c r="A3894" s="11">
        <v>40731</v>
      </c>
      <c r="B3894" s="10">
        <v>393.25</v>
      </c>
      <c r="C3894" s="10">
        <v>394.2</v>
      </c>
      <c r="D3894" s="10">
        <v>388.7</v>
      </c>
      <c r="E3894" s="13">
        <f t="shared" si="180"/>
        <v>1.1637704080209829E-2</v>
      </c>
      <c r="F3894" s="9">
        <f t="shared" si="181"/>
        <v>-8.886021939405726E-3</v>
      </c>
      <c r="G3894" s="9">
        <f t="shared" si="182"/>
        <v>1.3292848166551904E-2</v>
      </c>
    </row>
    <row r="3895" spans="1:7" x14ac:dyDescent="0.2">
      <c r="A3895" s="11">
        <v>40732</v>
      </c>
      <c r="B3895" s="10">
        <v>385.4</v>
      </c>
      <c r="C3895" s="10">
        <v>396.33</v>
      </c>
      <c r="D3895" s="10">
        <v>385.11</v>
      </c>
      <c r="E3895" s="13">
        <f t="shared" si="180"/>
        <v>-2.0163785958121246E-2</v>
      </c>
      <c r="F3895" s="9">
        <f t="shared" si="181"/>
        <v>-2.4426778026515314E-2</v>
      </c>
      <c r="G3895" s="9">
        <f t="shared" si="182"/>
        <v>1.377750323527667E-2</v>
      </c>
    </row>
    <row r="3896" spans="1:7" x14ac:dyDescent="0.2">
      <c r="A3896" s="11">
        <v>40735</v>
      </c>
      <c r="B3896" s="10">
        <v>380.6</v>
      </c>
      <c r="C3896" s="10">
        <v>385.45</v>
      </c>
      <c r="D3896" s="10">
        <v>379.04</v>
      </c>
      <c r="E3896" s="13">
        <f t="shared" si="180"/>
        <v>-1.253280111821675E-2</v>
      </c>
      <c r="F3896" s="9">
        <f t="shared" si="181"/>
        <v>-4.9265490965547588E-2</v>
      </c>
      <c r="G3896" s="9">
        <f t="shared" si="182"/>
        <v>1.3702797341860737E-2</v>
      </c>
    </row>
    <row r="3897" spans="1:7" x14ac:dyDescent="0.2">
      <c r="A3897" s="11">
        <v>40736</v>
      </c>
      <c r="B3897" s="10">
        <v>378.7</v>
      </c>
      <c r="C3897" s="10">
        <v>380.6</v>
      </c>
      <c r="D3897" s="10">
        <v>370.24</v>
      </c>
      <c r="E3897" s="13">
        <f t="shared" si="180"/>
        <v>-5.0046199543000089E-3</v>
      </c>
      <c r="F3897" s="9">
        <f t="shared" si="181"/>
        <v>-5.7840339536476562E-2</v>
      </c>
      <c r="G3897" s="9">
        <f t="shared" si="182"/>
        <v>1.367753176025311E-2</v>
      </c>
    </row>
    <row r="3898" spans="1:7" x14ac:dyDescent="0.2">
      <c r="A3898" s="11">
        <v>40737</v>
      </c>
      <c r="B3898" s="10">
        <v>384.98</v>
      </c>
      <c r="C3898" s="10">
        <v>385</v>
      </c>
      <c r="D3898" s="10">
        <v>376.89</v>
      </c>
      <c r="E3898" s="13">
        <f t="shared" si="180"/>
        <v>1.6447049978740223E-2</v>
      </c>
      <c r="F3898" s="9">
        <f t="shared" si="181"/>
        <v>-5.3137143870034514E-2</v>
      </c>
      <c r="G3898" s="9">
        <f t="shared" si="182"/>
        <v>1.3872740582459561E-2</v>
      </c>
    </row>
    <row r="3899" spans="1:7" x14ac:dyDescent="0.2">
      <c r="A3899" s="11">
        <v>40738</v>
      </c>
      <c r="B3899" s="10">
        <v>380.74</v>
      </c>
      <c r="C3899" s="10">
        <v>384.99</v>
      </c>
      <c r="D3899" s="10">
        <v>380.58</v>
      </c>
      <c r="E3899" s="13">
        <f t="shared" si="180"/>
        <v>-1.107465740884679E-2</v>
      </c>
      <c r="F3899" s="9">
        <f t="shared" si="181"/>
        <v>-5.4210975296327131E-2</v>
      </c>
      <c r="G3899" s="9">
        <f t="shared" si="182"/>
        <v>1.3896734757584191E-2</v>
      </c>
    </row>
    <row r="3900" spans="1:7" x14ac:dyDescent="0.2">
      <c r="A3900" s="11">
        <v>40739</v>
      </c>
      <c r="B3900" s="10">
        <v>383.57</v>
      </c>
      <c r="C3900" s="10">
        <v>383.58</v>
      </c>
      <c r="D3900" s="10">
        <v>377.88</v>
      </c>
      <c r="E3900" s="13">
        <f t="shared" si="180"/>
        <v>7.4054060082876152E-3</v>
      </c>
      <c r="F3900" s="9">
        <f t="shared" si="181"/>
        <v>-3.4791909593210671E-2</v>
      </c>
      <c r="G3900" s="9">
        <f t="shared" si="182"/>
        <v>1.3858273737486149E-2</v>
      </c>
    </row>
    <row r="3901" spans="1:7" x14ac:dyDescent="0.2">
      <c r="A3901" s="11">
        <v>40742</v>
      </c>
      <c r="B3901" s="10">
        <v>377.59</v>
      </c>
      <c r="C3901" s="10">
        <v>383.58</v>
      </c>
      <c r="D3901" s="10">
        <v>377.05</v>
      </c>
      <c r="E3901" s="13">
        <f t="shared" si="180"/>
        <v>-1.5713182616114388E-2</v>
      </c>
      <c r="F3901" s="9">
        <f t="shared" si="181"/>
        <v>-4.672103118538639E-2</v>
      </c>
      <c r="G3901" s="9">
        <f t="shared" si="182"/>
        <v>1.4112435940991402E-2</v>
      </c>
    </row>
    <row r="3902" spans="1:7" x14ac:dyDescent="0.2">
      <c r="A3902" s="11">
        <v>40743</v>
      </c>
      <c r="B3902" s="10">
        <v>381.84</v>
      </c>
      <c r="C3902" s="10">
        <v>382.25</v>
      </c>
      <c r="D3902" s="10">
        <v>376.59</v>
      </c>
      <c r="E3902" s="13">
        <f t="shared" si="180"/>
        <v>1.1192721827825105E-2</v>
      </c>
      <c r="F3902" s="9">
        <f t="shared" si="181"/>
        <v>-3.2287882229035329E-2</v>
      </c>
      <c r="G3902" s="9">
        <f t="shared" si="182"/>
        <v>1.4306096013234045E-2</v>
      </c>
    </row>
    <row r="3903" spans="1:7" x14ac:dyDescent="0.2">
      <c r="A3903" s="11">
        <v>40744</v>
      </c>
      <c r="B3903" s="10">
        <v>388.57</v>
      </c>
      <c r="C3903" s="10">
        <v>388.87</v>
      </c>
      <c r="D3903" s="10">
        <v>381.84</v>
      </c>
      <c r="E3903" s="13">
        <f t="shared" si="180"/>
        <v>1.7471661059742152E-2</v>
      </c>
      <c r="F3903" s="9">
        <f t="shared" si="181"/>
        <v>5.1484028217800473E-4</v>
      </c>
      <c r="G3903" s="9">
        <f t="shared" si="182"/>
        <v>1.4437995027730651E-2</v>
      </c>
    </row>
    <row r="3904" spans="1:7" x14ac:dyDescent="0.2">
      <c r="A3904" s="11">
        <v>40745</v>
      </c>
      <c r="B3904" s="10">
        <v>391.81</v>
      </c>
      <c r="C3904" s="10">
        <v>392.95</v>
      </c>
      <c r="D3904" s="10">
        <v>385.97</v>
      </c>
      <c r="E3904" s="13">
        <f t="shared" si="180"/>
        <v>8.3036946534810353E-3</v>
      </c>
      <c r="F3904" s="9">
        <f t="shared" si="181"/>
        <v>5.1058181906218274E-4</v>
      </c>
      <c r="G3904" s="9">
        <f t="shared" si="182"/>
        <v>1.4437907721229912E-2</v>
      </c>
    </row>
    <row r="3905" spans="1:7" x14ac:dyDescent="0.2">
      <c r="A3905" s="11">
        <v>40746</v>
      </c>
      <c r="B3905" s="10">
        <v>392.43</v>
      </c>
      <c r="C3905" s="10">
        <v>395.65</v>
      </c>
      <c r="D3905" s="10">
        <v>390.39</v>
      </c>
      <c r="E3905" s="13">
        <f t="shared" si="180"/>
        <v>1.5811489573811378E-3</v>
      </c>
      <c r="F3905" s="9">
        <f t="shared" si="181"/>
        <v>1.5045213191154119E-2</v>
      </c>
      <c r="G3905" s="9">
        <f t="shared" si="182"/>
        <v>1.4222215863144037E-2</v>
      </c>
    </row>
    <row r="3906" spans="1:7" x14ac:dyDescent="0.2">
      <c r="A3906" s="11">
        <v>40749</v>
      </c>
      <c r="B3906" s="10">
        <v>392.33</v>
      </c>
      <c r="C3906" s="10">
        <v>394.18</v>
      </c>
      <c r="D3906" s="10">
        <v>388.54</v>
      </c>
      <c r="E3906" s="13">
        <f t="shared" si="180"/>
        <v>-2.5485498889164326E-4</v>
      </c>
      <c r="F3906" s="9">
        <f t="shared" si="181"/>
        <v>6.3412726237447106E-3</v>
      </c>
      <c r="G3906" s="9">
        <f t="shared" si="182"/>
        <v>1.4140489773983404E-2</v>
      </c>
    </row>
    <row r="3907" spans="1:7" x14ac:dyDescent="0.2">
      <c r="A3907" s="11">
        <v>40750</v>
      </c>
      <c r="B3907" s="10">
        <v>392.8</v>
      </c>
      <c r="C3907" s="10">
        <v>394.8</v>
      </c>
      <c r="D3907" s="10">
        <v>390.5</v>
      </c>
      <c r="E3907" s="13">
        <f t="shared" si="180"/>
        <v>1.1972541009570173E-3</v>
      </c>
      <c r="F3907" s="9">
        <f t="shared" si="181"/>
        <v>3.1945813857779073E-2</v>
      </c>
      <c r="G3907" s="9">
        <f t="shared" si="182"/>
        <v>1.3323730347367484E-2</v>
      </c>
    </row>
    <row r="3908" spans="1:7" x14ac:dyDescent="0.2">
      <c r="A3908" s="11">
        <v>40751</v>
      </c>
      <c r="B3908" s="10">
        <v>386.59</v>
      </c>
      <c r="C3908" s="10">
        <v>392.8</v>
      </c>
      <c r="D3908" s="10">
        <v>385.29</v>
      </c>
      <c r="E3908" s="13">
        <f t="shared" ref="E3908:E3971" si="183">LN(B3908/B3907)</f>
        <v>-1.5935876569336677E-2</v>
      </c>
      <c r="F3908" s="9">
        <f t="shared" si="181"/>
        <v>2.9532418047847817E-2</v>
      </c>
      <c r="G3908" s="9">
        <f t="shared" si="182"/>
        <v>1.3425483575305102E-2</v>
      </c>
    </row>
    <row r="3909" spans="1:7" x14ac:dyDescent="0.2">
      <c r="A3909" s="11">
        <v>40752</v>
      </c>
      <c r="B3909" s="10">
        <v>387.75</v>
      </c>
      <c r="C3909" s="10">
        <v>388.23</v>
      </c>
      <c r="D3909" s="10">
        <v>383.38</v>
      </c>
      <c r="E3909" s="13">
        <f t="shared" si="183"/>
        <v>2.9961021456740076E-3</v>
      </c>
      <c r="F3909" s="9">
        <f t="shared" si="181"/>
        <v>3.1090858541784051E-2</v>
      </c>
      <c r="G3909" s="9">
        <f t="shared" si="182"/>
        <v>1.3430340067757498E-2</v>
      </c>
    </row>
    <row r="3910" spans="1:7" x14ac:dyDescent="0.2">
      <c r="A3910" s="11">
        <v>40753</v>
      </c>
      <c r="B3910" s="10">
        <v>383.59</v>
      </c>
      <c r="C3910" s="10">
        <v>387.78</v>
      </c>
      <c r="D3910" s="10">
        <v>379.61</v>
      </c>
      <c r="E3910" s="13">
        <f t="shared" si="183"/>
        <v>-1.0786528208851979E-2</v>
      </c>
      <c r="F3910" s="9">
        <f t="shared" si="181"/>
        <v>2.7888621347730815E-2</v>
      </c>
      <c r="G3910" s="9">
        <f t="shared" si="182"/>
        <v>1.3516938200021479E-2</v>
      </c>
    </row>
    <row r="3911" spans="1:7" x14ac:dyDescent="0.2">
      <c r="A3911" s="11">
        <v>40756</v>
      </c>
      <c r="B3911" s="10">
        <v>377.77</v>
      </c>
      <c r="C3911" s="10">
        <v>389.64</v>
      </c>
      <c r="D3911" s="10">
        <v>377.77</v>
      </c>
      <c r="E3911" s="13">
        <f t="shared" si="183"/>
        <v>-1.5288729026997629E-2</v>
      </c>
      <c r="F3911" s="9">
        <f t="shared" si="181"/>
        <v>-1.5679695109154512E-2</v>
      </c>
      <c r="G3911" s="9">
        <f t="shared" si="182"/>
        <v>1.2772970390854883E-2</v>
      </c>
    </row>
    <row r="3912" spans="1:7" x14ac:dyDescent="0.2">
      <c r="A3912" s="11">
        <v>40757</v>
      </c>
      <c r="B3912" s="10">
        <v>369.38</v>
      </c>
      <c r="C3912" s="10">
        <v>378.16</v>
      </c>
      <c r="D3912" s="10">
        <v>368.87</v>
      </c>
      <c r="E3912" s="13">
        <f t="shared" si="183"/>
        <v>-2.2459620373033333E-2</v>
      </c>
      <c r="F3912" s="9">
        <f t="shared" si="181"/>
        <v>-2.8055812682861458E-2</v>
      </c>
      <c r="G3912" s="9">
        <f t="shared" si="182"/>
        <v>1.3299111771171643E-2</v>
      </c>
    </row>
    <row r="3913" spans="1:7" x14ac:dyDescent="0.2">
      <c r="A3913" s="11">
        <v>40758</v>
      </c>
      <c r="B3913" s="10">
        <v>362.48</v>
      </c>
      <c r="C3913" s="10">
        <v>369.81</v>
      </c>
      <c r="D3913" s="10">
        <v>360.68</v>
      </c>
      <c r="E3913" s="13">
        <f t="shared" si="183"/>
        <v>-1.8856624088882511E-2</v>
      </c>
      <c r="F3913" s="9">
        <f t="shared" si="181"/>
        <v>-2.029043244770818E-2</v>
      </c>
      <c r="G3913" s="9">
        <f t="shared" si="182"/>
        <v>1.283416949406368E-2</v>
      </c>
    </row>
    <row r="3914" spans="1:7" x14ac:dyDescent="0.2">
      <c r="A3914" s="11">
        <v>40759</v>
      </c>
      <c r="B3914" s="10">
        <v>344.93</v>
      </c>
      <c r="C3914" s="10">
        <v>367.08</v>
      </c>
      <c r="D3914" s="10">
        <v>344.93</v>
      </c>
      <c r="E3914" s="13">
        <f t="shared" si="183"/>
        <v>-4.9627802464943284E-2</v>
      </c>
      <c r="F3914" s="9">
        <f t="shared" si="181"/>
        <v>-6.3545072738744671E-2</v>
      </c>
      <c r="G3914" s="9">
        <f t="shared" si="182"/>
        <v>1.5708622534229048E-2</v>
      </c>
    </row>
    <row r="3915" spans="1:7" x14ac:dyDescent="0.2">
      <c r="A3915" s="11">
        <v>40760</v>
      </c>
      <c r="B3915" s="10">
        <v>335.83</v>
      </c>
      <c r="C3915" s="10">
        <v>348.83</v>
      </c>
      <c r="D3915" s="10">
        <v>332.11</v>
      </c>
      <c r="E3915" s="13">
        <f t="shared" si="183"/>
        <v>-2.6736418348782452E-2</v>
      </c>
      <c r="F3915" s="9">
        <f t="shared" si="181"/>
        <v>-9.2754217643981549E-2</v>
      </c>
      <c r="G3915" s="9">
        <f t="shared" si="182"/>
        <v>1.6323294265682384E-2</v>
      </c>
    </row>
    <row r="3916" spans="1:7" x14ac:dyDescent="0.2">
      <c r="A3916" s="11">
        <v>40763</v>
      </c>
      <c r="B3916" s="10">
        <v>317.37</v>
      </c>
      <c r="C3916" s="10">
        <v>338.02</v>
      </c>
      <c r="D3916" s="10">
        <v>314.86</v>
      </c>
      <c r="E3916" s="13">
        <f t="shared" si="183"/>
        <v>-5.6536793878364092E-2</v>
      </c>
      <c r="F3916" s="9">
        <f t="shared" si="181"/>
        <v>-0.15944365712017963</v>
      </c>
      <c r="G3916" s="9">
        <f t="shared" si="182"/>
        <v>1.887360948139441E-2</v>
      </c>
    </row>
    <row r="3917" spans="1:7" x14ac:dyDescent="0.2">
      <c r="A3917" s="11">
        <v>40764</v>
      </c>
      <c r="B3917" s="10">
        <v>320.95999999999998</v>
      </c>
      <c r="C3917" s="10">
        <v>321.49</v>
      </c>
      <c r="D3917" s="10">
        <v>299.04000000000002</v>
      </c>
      <c r="E3917" s="13">
        <f t="shared" si="183"/>
        <v>1.1248219106777677E-2</v>
      </c>
      <c r="F3917" s="9">
        <f t="shared" si="181"/>
        <v>-0.17562127695093688</v>
      </c>
      <c r="G3917" s="9">
        <f t="shared" si="182"/>
        <v>1.8088471015225496E-2</v>
      </c>
    </row>
    <row r="3918" spans="1:7" x14ac:dyDescent="0.2">
      <c r="A3918" s="11">
        <v>40765</v>
      </c>
      <c r="B3918" s="10">
        <v>316.48</v>
      </c>
      <c r="C3918" s="10">
        <v>332.21</v>
      </c>
      <c r="D3918" s="10">
        <v>313.5</v>
      </c>
      <c r="E3918" s="13">
        <f t="shared" si="183"/>
        <v>-1.4056456339223287E-2</v>
      </c>
      <c r="F3918" s="9">
        <f t="shared" si="181"/>
        <v>-0.20028570547000868</v>
      </c>
      <c r="G3918" s="9">
        <f t="shared" si="182"/>
        <v>1.7855316206924442E-2</v>
      </c>
    </row>
    <row r="3919" spans="1:7" x14ac:dyDescent="0.2">
      <c r="A3919" s="11">
        <v>40766</v>
      </c>
      <c r="B3919" s="10">
        <v>327.97</v>
      </c>
      <c r="C3919" s="10">
        <v>327.97</v>
      </c>
      <c r="D3919" s="10">
        <v>310.68</v>
      </c>
      <c r="E3919" s="13">
        <f t="shared" si="183"/>
        <v>3.5662092352129159E-2</v>
      </c>
      <c r="F3919" s="9">
        <f t="shared" si="181"/>
        <v>-0.17632235941966196</v>
      </c>
      <c r="G3919" s="9">
        <f t="shared" si="182"/>
        <v>1.9247326968048463E-2</v>
      </c>
    </row>
    <row r="3920" spans="1:7" x14ac:dyDescent="0.2">
      <c r="A3920" s="11">
        <v>40767</v>
      </c>
      <c r="B3920" s="10">
        <v>336.91</v>
      </c>
      <c r="C3920" s="10">
        <v>337.01</v>
      </c>
      <c r="D3920" s="10">
        <v>322.17</v>
      </c>
      <c r="E3920" s="13">
        <f t="shared" si="183"/>
        <v>2.6893691583854816E-2</v>
      </c>
      <c r="F3920" s="9">
        <f t="shared" si="181"/>
        <v>-0.15187958688035849</v>
      </c>
      <c r="G3920" s="9">
        <f t="shared" si="182"/>
        <v>2.0148341576309226E-2</v>
      </c>
    </row>
    <row r="3921" spans="1:7" x14ac:dyDescent="0.2">
      <c r="A3921" s="11">
        <v>40770</v>
      </c>
      <c r="B3921" s="10">
        <v>341.6</v>
      </c>
      <c r="C3921" s="10">
        <v>344.07</v>
      </c>
      <c r="D3921" s="10">
        <v>336.91</v>
      </c>
      <c r="E3921" s="13">
        <f t="shared" si="183"/>
        <v>1.3824629544083471E-2</v>
      </c>
      <c r="F3921" s="9">
        <f t="shared" si="181"/>
        <v>-0.13772341348656425</v>
      </c>
      <c r="G3921" s="9">
        <f t="shared" si="182"/>
        <v>2.0440800509737924E-2</v>
      </c>
    </row>
    <row r="3922" spans="1:7" x14ac:dyDescent="0.2">
      <c r="A3922" s="11">
        <v>40771</v>
      </c>
      <c r="B3922" s="10">
        <v>341.47</v>
      </c>
      <c r="C3922" s="10">
        <v>342.35</v>
      </c>
      <c r="D3922" s="10">
        <v>335.44</v>
      </c>
      <c r="E3922" s="13">
        <f t="shared" si="183"/>
        <v>-3.8063449300816552E-4</v>
      </c>
      <c r="F3922" s="9">
        <f t="shared" si="181"/>
        <v>-0.12954801043677083</v>
      </c>
      <c r="G3922" s="9">
        <f t="shared" si="182"/>
        <v>2.0442797216502478E-2</v>
      </c>
    </row>
    <row r="3923" spans="1:7" x14ac:dyDescent="0.2">
      <c r="A3923" s="11">
        <v>40772</v>
      </c>
      <c r="B3923" s="10">
        <v>345.64</v>
      </c>
      <c r="C3923" s="10">
        <v>348.83</v>
      </c>
      <c r="D3923" s="10">
        <v>338.53</v>
      </c>
      <c r="E3923" s="13">
        <f t="shared" si="183"/>
        <v>1.2137943551791765E-2</v>
      </c>
      <c r="F3923" s="9">
        <f t="shared" si="181"/>
        <v>-0.12904777096518874</v>
      </c>
      <c r="G3923" s="9">
        <f t="shared" si="182"/>
        <v>2.045707791043009E-2</v>
      </c>
    </row>
    <row r="3924" spans="1:7" x14ac:dyDescent="0.2">
      <c r="A3924" s="11">
        <v>40773</v>
      </c>
      <c r="B3924" s="10">
        <v>325.02999999999997</v>
      </c>
      <c r="C3924" s="10">
        <v>345.64</v>
      </c>
      <c r="D3924" s="10">
        <v>324.42</v>
      </c>
      <c r="E3924" s="13">
        <f t="shared" si="183"/>
        <v>-6.1480285211246231E-2</v>
      </c>
      <c r="F3924" s="9">
        <f t="shared" si="181"/>
        <v>-0.17036427021831377</v>
      </c>
      <c r="G3924" s="9">
        <f t="shared" si="182"/>
        <v>2.2885155699517962E-2</v>
      </c>
    </row>
    <row r="3925" spans="1:7" x14ac:dyDescent="0.2">
      <c r="A3925" s="11">
        <v>40774</v>
      </c>
      <c r="B3925" s="10">
        <v>323.82</v>
      </c>
      <c r="C3925" s="10">
        <v>329.28</v>
      </c>
      <c r="D3925" s="10">
        <v>312.47000000000003</v>
      </c>
      <c r="E3925" s="13">
        <f t="shared" si="183"/>
        <v>-3.7296799033458075E-3</v>
      </c>
      <c r="F3925" s="9">
        <f t="shared" si="181"/>
        <v>-0.16156114900344273</v>
      </c>
      <c r="G3925" s="9">
        <f t="shared" si="182"/>
        <v>2.2852045210084736E-2</v>
      </c>
    </row>
    <row r="3926" spans="1:7" x14ac:dyDescent="0.2">
      <c r="A3926" s="11">
        <v>40777</v>
      </c>
      <c r="B3926" s="10">
        <v>323.17</v>
      </c>
      <c r="C3926" s="10">
        <v>330.33</v>
      </c>
      <c r="D3926" s="10">
        <v>318</v>
      </c>
      <c r="E3926" s="13">
        <f t="shared" si="183"/>
        <v>-2.0093053020524354E-3</v>
      </c>
      <c r="F3926" s="9">
        <f t="shared" si="181"/>
        <v>-0.15856583435119515</v>
      </c>
      <c r="G3926" s="9">
        <f t="shared" si="182"/>
        <v>2.2861464081377465E-2</v>
      </c>
    </row>
    <row r="3927" spans="1:7" x14ac:dyDescent="0.2">
      <c r="A3927" s="11">
        <v>40778</v>
      </c>
      <c r="B3927" s="10">
        <v>323.77</v>
      </c>
      <c r="C3927" s="10">
        <v>330.92</v>
      </c>
      <c r="D3927" s="10">
        <v>320.77999999999997</v>
      </c>
      <c r="E3927" s="13">
        <f t="shared" si="183"/>
        <v>1.8548866109072946E-3</v>
      </c>
      <c r="F3927" s="9">
        <f t="shared" si="181"/>
        <v>-0.17315799771902823</v>
      </c>
      <c r="G3927" s="9">
        <f t="shared" si="182"/>
        <v>2.2519929364066736E-2</v>
      </c>
    </row>
    <row r="3928" spans="1:7" x14ac:dyDescent="0.2">
      <c r="A3928" s="11">
        <v>40779</v>
      </c>
      <c r="B3928" s="10">
        <v>334.63</v>
      </c>
      <c r="C3928" s="10">
        <v>335.86</v>
      </c>
      <c r="D3928" s="10">
        <v>323.77</v>
      </c>
      <c r="E3928" s="13">
        <f t="shared" si="183"/>
        <v>3.2992056660788333E-2</v>
      </c>
      <c r="F3928" s="9">
        <f t="shared" si="181"/>
        <v>-0.12909128364939318</v>
      </c>
      <c r="G3928" s="9">
        <f t="shared" si="182"/>
        <v>2.3622953669715147E-2</v>
      </c>
    </row>
    <row r="3929" spans="1:7" x14ac:dyDescent="0.2">
      <c r="A3929" s="11">
        <v>40780</v>
      </c>
      <c r="B3929" s="10">
        <v>329.89</v>
      </c>
      <c r="C3929" s="10">
        <v>339.4</v>
      </c>
      <c r="D3929" s="10">
        <v>328.65</v>
      </c>
      <c r="E3929" s="13">
        <f t="shared" si="183"/>
        <v>-1.4266178268961252E-2</v>
      </c>
      <c r="F3929" s="9">
        <f t="shared" si="181"/>
        <v>-0.15076286792664212</v>
      </c>
      <c r="G3929" s="9">
        <f t="shared" si="182"/>
        <v>2.3577213754419731E-2</v>
      </c>
    </row>
    <row r="3930" spans="1:7" x14ac:dyDescent="0.2">
      <c r="A3930" s="11">
        <v>40781</v>
      </c>
      <c r="B3930" s="10">
        <v>332.89</v>
      </c>
      <c r="C3930" s="10">
        <v>332.89</v>
      </c>
      <c r="D3930" s="10">
        <v>322.48</v>
      </c>
      <c r="E3930" s="13">
        <f t="shared" si="183"/>
        <v>9.0528395197437377E-3</v>
      </c>
      <c r="F3930" s="9">
        <f t="shared" si="181"/>
        <v>-0.12599684579078399</v>
      </c>
      <c r="G3930" s="9">
        <f t="shared" si="182"/>
        <v>2.3631231633169672E-2</v>
      </c>
    </row>
    <row r="3931" spans="1:7" x14ac:dyDescent="0.2">
      <c r="A3931" s="11">
        <v>40784</v>
      </c>
      <c r="B3931" s="10">
        <v>341.37</v>
      </c>
      <c r="C3931" s="10">
        <v>342.79</v>
      </c>
      <c r="D3931" s="10">
        <v>332.89</v>
      </c>
      <c r="E3931" s="13">
        <f t="shared" si="183"/>
        <v>2.5154827957995032E-2</v>
      </c>
      <c r="F3931" s="9">
        <f t="shared" si="181"/>
        <v>-0.11203473966061403</v>
      </c>
      <c r="G3931" s="9">
        <f t="shared" si="182"/>
        <v>2.4096733739263586E-2</v>
      </c>
    </row>
    <row r="3932" spans="1:7" x14ac:dyDescent="0.2">
      <c r="A3932" s="11">
        <v>40785</v>
      </c>
      <c r="B3932" s="10">
        <v>342.18</v>
      </c>
      <c r="C3932" s="10">
        <v>345.38</v>
      </c>
      <c r="D3932" s="10">
        <v>339.2</v>
      </c>
      <c r="E3932" s="13">
        <f t="shared" si="183"/>
        <v>2.3699813594754509E-3</v>
      </c>
      <c r="F3932" s="9">
        <f t="shared" si="181"/>
        <v>-0.12713641936088071</v>
      </c>
      <c r="G3932" s="9">
        <f t="shared" si="182"/>
        <v>2.3780305644591989E-2</v>
      </c>
    </row>
    <row r="3933" spans="1:7" x14ac:dyDescent="0.2">
      <c r="A3933" s="11">
        <v>40786</v>
      </c>
      <c r="B3933" s="10">
        <v>349.68</v>
      </c>
      <c r="C3933" s="10">
        <v>351.09</v>
      </c>
      <c r="D3933" s="10">
        <v>342.17</v>
      </c>
      <c r="E3933" s="13">
        <f t="shared" si="183"/>
        <v>2.16815361585567E-2</v>
      </c>
      <c r="F3933" s="9">
        <f t="shared" si="181"/>
        <v>-0.11375857785580501</v>
      </c>
      <c r="G3933" s="9">
        <f t="shared" si="182"/>
        <v>2.4161913599685149E-2</v>
      </c>
    </row>
    <row r="3934" spans="1:7" x14ac:dyDescent="0.2">
      <c r="A3934" s="11">
        <v>40787</v>
      </c>
      <c r="B3934" s="10">
        <v>351.48</v>
      </c>
      <c r="C3934" s="10">
        <v>353.89</v>
      </c>
      <c r="D3934" s="10">
        <v>343.8</v>
      </c>
      <c r="E3934" s="13">
        <f t="shared" si="183"/>
        <v>5.1343600725832703E-3</v>
      </c>
      <c r="F3934" s="9">
        <f t="shared" si="181"/>
        <v>-0.11020536674060288</v>
      </c>
      <c r="G3934" s="9">
        <f t="shared" si="182"/>
        <v>2.4199799750331877E-2</v>
      </c>
    </row>
    <row r="3935" spans="1:7" x14ac:dyDescent="0.2">
      <c r="A3935" s="11">
        <v>40788</v>
      </c>
      <c r="B3935" s="10">
        <v>341.33</v>
      </c>
      <c r="C3935" s="10">
        <v>351.48</v>
      </c>
      <c r="D3935" s="10">
        <v>339.19</v>
      </c>
      <c r="E3935" s="13">
        <f t="shared" si="183"/>
        <v>-2.9303059368983145E-2</v>
      </c>
      <c r="F3935" s="9">
        <f t="shared" si="181"/>
        <v>-0.1392535711206945</v>
      </c>
      <c r="G3935" s="9">
        <f t="shared" si="182"/>
        <v>2.4644891796556639E-2</v>
      </c>
    </row>
    <row r="3936" spans="1:7" x14ac:dyDescent="0.2">
      <c r="A3936" s="11">
        <v>40791</v>
      </c>
      <c r="B3936" s="10">
        <v>325.95</v>
      </c>
      <c r="C3936" s="10">
        <v>341.64</v>
      </c>
      <c r="D3936" s="10">
        <v>325.95</v>
      </c>
      <c r="E3936" s="13">
        <f t="shared" si="183"/>
        <v>-4.6105755888111007E-2</v>
      </c>
      <c r="F3936" s="9">
        <f t="shared" ref="F3936:F3999" si="184">LN(B3936/B3907)</f>
        <v>-0.1865565811097625</v>
      </c>
      <c r="G3936" s="9">
        <f t="shared" si="182"/>
        <v>2.5773217872004452E-2</v>
      </c>
    </row>
    <row r="3937" spans="1:7" x14ac:dyDescent="0.2">
      <c r="A3937" s="11">
        <v>40792</v>
      </c>
      <c r="B3937" s="10">
        <v>324.04000000000002</v>
      </c>
      <c r="C3937" s="10">
        <v>330.24</v>
      </c>
      <c r="D3937" s="10">
        <v>320.97000000000003</v>
      </c>
      <c r="E3937" s="13">
        <f t="shared" si="183"/>
        <v>-5.8770304082577879E-3</v>
      </c>
      <c r="F3937" s="9">
        <f t="shared" si="184"/>
        <v>-0.17649773494868368</v>
      </c>
      <c r="G3937" s="9">
        <f t="shared" ref="G3937:G4000" si="185">STDEV(E3909:E3937)</f>
        <v>2.5708364699793838E-2</v>
      </c>
    </row>
    <row r="3938" spans="1:7" x14ac:dyDescent="0.2">
      <c r="A3938" s="11">
        <v>40793</v>
      </c>
      <c r="B3938" s="10">
        <v>337</v>
      </c>
      <c r="C3938" s="10">
        <v>337</v>
      </c>
      <c r="D3938" s="10">
        <v>324.04000000000002</v>
      </c>
      <c r="E3938" s="13">
        <f t="shared" si="183"/>
        <v>3.9215965390071265E-2</v>
      </c>
      <c r="F3938" s="9">
        <f t="shared" si="184"/>
        <v>-0.14027787170428649</v>
      </c>
      <c r="G3938" s="9">
        <f t="shared" si="185"/>
        <v>2.7012111082710705E-2</v>
      </c>
    </row>
    <row r="3939" spans="1:7" x14ac:dyDescent="0.2">
      <c r="A3939" s="11">
        <v>40794</v>
      </c>
      <c r="B3939" s="10">
        <v>340.14</v>
      </c>
      <c r="C3939" s="10">
        <v>340.65</v>
      </c>
      <c r="D3939" s="10">
        <v>333.43</v>
      </c>
      <c r="E3939" s="13">
        <f t="shared" si="183"/>
        <v>9.2743672119055213E-3</v>
      </c>
      <c r="F3939" s="9">
        <f t="shared" si="184"/>
        <v>-0.12021697628352895</v>
      </c>
      <c r="G3939" s="9">
        <f t="shared" si="185"/>
        <v>2.7111001574072341E-2</v>
      </c>
    </row>
    <row r="3940" spans="1:7" x14ac:dyDescent="0.2">
      <c r="A3940" s="11">
        <v>40795</v>
      </c>
      <c r="B3940" s="10">
        <v>331.47</v>
      </c>
      <c r="C3940" s="10">
        <v>340.67</v>
      </c>
      <c r="D3940" s="10">
        <v>331.47</v>
      </c>
      <c r="E3940" s="13">
        <f t="shared" si="183"/>
        <v>-2.5819989771073935E-2</v>
      </c>
      <c r="F3940" s="9">
        <f t="shared" si="184"/>
        <v>-0.13074823702760524</v>
      </c>
      <c r="G3940" s="9">
        <f t="shared" si="185"/>
        <v>2.7335200206682543E-2</v>
      </c>
    </row>
    <row r="3941" spans="1:7" x14ac:dyDescent="0.2">
      <c r="A3941" s="11">
        <v>40798</v>
      </c>
      <c r="B3941" s="10">
        <v>324.41000000000003</v>
      </c>
      <c r="C3941" s="10">
        <v>331.57</v>
      </c>
      <c r="D3941" s="10">
        <v>320.99</v>
      </c>
      <c r="E3941" s="13">
        <f t="shared" si="183"/>
        <v>-2.1529159886484014E-2</v>
      </c>
      <c r="F3941" s="9">
        <f t="shared" si="184"/>
        <v>-0.12981777654105581</v>
      </c>
      <c r="G3941" s="9">
        <f t="shared" si="185"/>
        <v>2.7313915322997477E-2</v>
      </c>
    </row>
    <row r="3942" spans="1:7" x14ac:dyDescent="0.2">
      <c r="A3942" s="11">
        <v>40799</v>
      </c>
      <c r="B3942" s="10">
        <v>323.95999999999998</v>
      </c>
      <c r="C3942" s="10">
        <v>329.87</v>
      </c>
      <c r="D3942" s="10">
        <v>319.77999999999997</v>
      </c>
      <c r="E3942" s="13">
        <f t="shared" si="183"/>
        <v>-1.388096525920322E-3</v>
      </c>
      <c r="F3942" s="9">
        <f t="shared" si="184"/>
        <v>-0.11234924897809373</v>
      </c>
      <c r="G3942" s="9">
        <f t="shared" si="185"/>
        <v>2.7177739162937219E-2</v>
      </c>
    </row>
    <row r="3943" spans="1:7" x14ac:dyDescent="0.2">
      <c r="A3943" s="11">
        <v>40800</v>
      </c>
      <c r="B3943" s="10">
        <v>331.87</v>
      </c>
      <c r="C3943" s="10">
        <v>331.9</v>
      </c>
      <c r="D3943" s="10">
        <v>322.08999999999997</v>
      </c>
      <c r="E3943" s="13">
        <f t="shared" si="183"/>
        <v>2.4123274588551135E-2</v>
      </c>
      <c r="F3943" s="9">
        <f t="shared" si="184"/>
        <v>-3.859817192459921E-2</v>
      </c>
      <c r="G3943" s="9">
        <f t="shared" si="185"/>
        <v>2.617558860054316E-2</v>
      </c>
    </row>
    <row r="3944" spans="1:7" x14ac:dyDescent="0.2">
      <c r="A3944" s="11">
        <v>40801</v>
      </c>
      <c r="B3944" s="10">
        <v>339.63</v>
      </c>
      <c r="C3944" s="10">
        <v>341.21</v>
      </c>
      <c r="D3944" s="10">
        <v>331.87</v>
      </c>
      <c r="E3944" s="13">
        <f t="shared" si="183"/>
        <v>2.3113463788787467E-2</v>
      </c>
      <c r="F3944" s="9">
        <f t="shared" si="184"/>
        <v>1.1251710212970677E-2</v>
      </c>
      <c r="G3944" s="9">
        <f t="shared" si="185"/>
        <v>2.6084289152209467E-2</v>
      </c>
    </row>
    <row r="3945" spans="1:7" x14ac:dyDescent="0.2">
      <c r="A3945" s="11">
        <v>40802</v>
      </c>
      <c r="B3945" s="10">
        <v>340.67</v>
      </c>
      <c r="C3945" s="10">
        <v>344.46</v>
      </c>
      <c r="D3945" s="10">
        <v>337.67</v>
      </c>
      <c r="E3945" s="13">
        <f t="shared" si="183"/>
        <v>3.0574770253543682E-3</v>
      </c>
      <c r="F3945" s="9">
        <f t="shared" si="184"/>
        <v>7.0845981116689119E-2</v>
      </c>
      <c r="G3945" s="9">
        <f t="shared" si="185"/>
        <v>2.367575187235892E-2</v>
      </c>
    </row>
    <row r="3946" spans="1:7" x14ac:dyDescent="0.2">
      <c r="A3946" s="11">
        <v>40805</v>
      </c>
      <c r="B3946" s="10">
        <v>332.9</v>
      </c>
      <c r="C3946" s="10">
        <v>340.68</v>
      </c>
      <c r="D3946" s="10">
        <v>332.48</v>
      </c>
      <c r="E3946" s="13">
        <f t="shared" si="183"/>
        <v>-2.3072122202502845E-2</v>
      </c>
      <c r="F3946" s="9">
        <f t="shared" si="184"/>
        <v>3.6525639807408521E-2</v>
      </c>
      <c r="G3946" s="9">
        <f t="shared" si="185"/>
        <v>2.4074308150125623E-2</v>
      </c>
    </row>
    <row r="3947" spans="1:7" x14ac:dyDescent="0.2">
      <c r="A3947" s="11">
        <v>40806</v>
      </c>
      <c r="B3947" s="10">
        <v>340.46</v>
      </c>
      <c r="C3947" s="10">
        <v>340.46</v>
      </c>
      <c r="D3947" s="10">
        <v>331.01</v>
      </c>
      <c r="E3947" s="13">
        <f t="shared" si="183"/>
        <v>2.2455499805445079E-2</v>
      </c>
      <c r="F3947" s="9">
        <f t="shared" si="184"/>
        <v>7.3037595952076984E-2</v>
      </c>
      <c r="G3947" s="9">
        <f t="shared" si="185"/>
        <v>2.419913409159296E-2</v>
      </c>
    </row>
    <row r="3948" spans="1:7" x14ac:dyDescent="0.2">
      <c r="A3948" s="11">
        <v>40807</v>
      </c>
      <c r="B3948" s="10">
        <v>336.92</v>
      </c>
      <c r="C3948" s="10">
        <v>340.46</v>
      </c>
      <c r="D3948" s="10">
        <v>335.17</v>
      </c>
      <c r="E3948" s="13">
        <f t="shared" si="183"/>
        <v>-1.0452130939261412E-2</v>
      </c>
      <c r="F3948" s="9">
        <f t="shared" si="184"/>
        <v>2.6923372660686503E-2</v>
      </c>
      <c r="G3948" s="9">
        <f t="shared" si="185"/>
        <v>2.3446870983478391E-2</v>
      </c>
    </row>
    <row r="3949" spans="1:7" x14ac:dyDescent="0.2">
      <c r="A3949" s="11">
        <v>40808</v>
      </c>
      <c r="B3949" s="10">
        <v>320.81</v>
      </c>
      <c r="C3949" s="10">
        <v>336.92</v>
      </c>
      <c r="D3949" s="10">
        <v>320.81</v>
      </c>
      <c r="E3949" s="13">
        <f t="shared" si="183"/>
        <v>-4.8996465870817019E-2</v>
      </c>
      <c r="F3949" s="9">
        <f t="shared" si="184"/>
        <v>-4.8966784793985363E-2</v>
      </c>
      <c r="G3949" s="9">
        <f t="shared" si="185"/>
        <v>2.4649586219059216E-2</v>
      </c>
    </row>
    <row r="3950" spans="1:7" x14ac:dyDescent="0.2">
      <c r="A3950" s="11">
        <v>40809</v>
      </c>
      <c r="B3950" s="10">
        <v>316.82</v>
      </c>
      <c r="C3950" s="10">
        <v>324.23</v>
      </c>
      <c r="D3950" s="10">
        <v>310.23</v>
      </c>
      <c r="E3950" s="13">
        <f t="shared" si="183"/>
        <v>-1.2515258315641415E-2</v>
      </c>
      <c r="F3950" s="9">
        <f t="shared" si="184"/>
        <v>-7.5306672653710285E-2</v>
      </c>
      <c r="G3950" s="9">
        <f t="shared" si="185"/>
        <v>2.4542598556327691E-2</v>
      </c>
    </row>
    <row r="3951" spans="1:7" x14ac:dyDescent="0.2">
      <c r="A3951" s="11">
        <v>40812</v>
      </c>
      <c r="B3951" s="10">
        <v>315.33</v>
      </c>
      <c r="C3951" s="10">
        <v>321.41000000000003</v>
      </c>
      <c r="D3951" s="10">
        <v>307.92</v>
      </c>
      <c r="E3951" s="13">
        <f t="shared" si="183"/>
        <v>-4.7140797573318851E-3</v>
      </c>
      <c r="F3951" s="9">
        <f t="shared" si="184"/>
        <v>-7.9640117918033979E-2</v>
      </c>
      <c r="G3951" s="9">
        <f t="shared" si="185"/>
        <v>2.4541815720248814E-2</v>
      </c>
    </row>
    <row r="3952" spans="1:7" x14ac:dyDescent="0.2">
      <c r="A3952" s="11">
        <v>40813</v>
      </c>
      <c r="B3952" s="10">
        <v>326.66000000000003</v>
      </c>
      <c r="C3952" s="10">
        <v>326.87</v>
      </c>
      <c r="D3952" s="10">
        <v>315.33</v>
      </c>
      <c r="E3952" s="13">
        <f t="shared" si="183"/>
        <v>3.5300165121620639E-2</v>
      </c>
      <c r="F3952" s="9">
        <f t="shared" si="184"/>
        <v>-5.6477896348205249E-2</v>
      </c>
      <c r="G3952" s="9">
        <f t="shared" si="185"/>
        <v>2.5405222467548921E-2</v>
      </c>
    </row>
    <row r="3953" spans="1:7" x14ac:dyDescent="0.2">
      <c r="A3953" s="11">
        <v>40814</v>
      </c>
      <c r="B3953" s="10">
        <v>322.77999999999997</v>
      </c>
      <c r="C3953" s="10">
        <v>327.43</v>
      </c>
      <c r="D3953" s="10">
        <v>320.98</v>
      </c>
      <c r="E3953" s="13">
        <f t="shared" si="183"/>
        <v>-1.1948898017317024E-2</v>
      </c>
      <c r="F3953" s="9">
        <f t="shared" si="184"/>
        <v>-6.9465091542758829E-3</v>
      </c>
      <c r="G3953" s="9">
        <f t="shared" si="185"/>
        <v>2.2790338993319698E-2</v>
      </c>
    </row>
    <row r="3954" spans="1:7" x14ac:dyDescent="0.2">
      <c r="A3954" s="11">
        <v>40815</v>
      </c>
      <c r="B3954" s="10">
        <v>324.18</v>
      </c>
      <c r="C3954" s="10">
        <v>327.08999999999997</v>
      </c>
      <c r="D3954" s="10">
        <v>319.43</v>
      </c>
      <c r="E3954" s="13">
        <f t="shared" si="183"/>
        <v>4.3279404763531962E-3</v>
      </c>
      <c r="F3954" s="9">
        <f t="shared" si="184"/>
        <v>1.111111225422971E-3</v>
      </c>
      <c r="G3954" s="9">
        <f t="shared" si="185"/>
        <v>2.2795385933492066E-2</v>
      </c>
    </row>
    <row r="3955" spans="1:7" x14ac:dyDescent="0.2">
      <c r="A3955" s="11">
        <v>40816</v>
      </c>
      <c r="B3955" s="10">
        <v>322.92</v>
      </c>
      <c r="C3955" s="10">
        <v>327.92</v>
      </c>
      <c r="D3955" s="10">
        <v>319.97000000000003</v>
      </c>
      <c r="E3955" s="13">
        <f t="shared" si="183"/>
        <v>-3.8943025572146473E-3</v>
      </c>
      <c r="F3955" s="9">
        <f t="shared" si="184"/>
        <v>-7.7388602973909009E-4</v>
      </c>
      <c r="G3955" s="9">
        <f t="shared" si="185"/>
        <v>2.280411895767941E-2</v>
      </c>
    </row>
    <row r="3956" spans="1:7" x14ac:dyDescent="0.2">
      <c r="A3956" s="11">
        <v>40819</v>
      </c>
      <c r="B3956" s="10">
        <v>310.44</v>
      </c>
      <c r="C3956" s="10">
        <v>322.92</v>
      </c>
      <c r="D3956" s="10">
        <v>310.44</v>
      </c>
      <c r="E3956" s="13">
        <f t="shared" si="183"/>
        <v>-3.941396854087674E-2</v>
      </c>
      <c r="F3956" s="9">
        <f t="shared" si="184"/>
        <v>-4.2042741181523145E-2</v>
      </c>
      <c r="G3956" s="9">
        <f t="shared" si="185"/>
        <v>2.3941796292912019E-2</v>
      </c>
    </row>
    <row r="3957" spans="1:7" x14ac:dyDescent="0.2">
      <c r="A3957" s="11">
        <v>40820</v>
      </c>
      <c r="B3957" s="10">
        <v>301.02999999999997</v>
      </c>
      <c r="C3957" s="10">
        <v>310.57</v>
      </c>
      <c r="D3957" s="10">
        <v>298.74</v>
      </c>
      <c r="E3957" s="13">
        <f t="shared" si="183"/>
        <v>-3.0780718429478698E-2</v>
      </c>
      <c r="F3957" s="9">
        <f t="shared" si="184"/>
        <v>-0.10581551627179007</v>
      </c>
      <c r="G3957" s="9">
        <f t="shared" si="185"/>
        <v>2.3591536419912278E-2</v>
      </c>
    </row>
    <row r="3958" spans="1:7" x14ac:dyDescent="0.2">
      <c r="A3958" s="11">
        <v>40821</v>
      </c>
      <c r="B3958" s="10">
        <v>313.72000000000003</v>
      </c>
      <c r="C3958" s="10">
        <v>313.72000000000003</v>
      </c>
      <c r="D3958" s="10">
        <v>300.95999999999998</v>
      </c>
      <c r="E3958" s="13">
        <f t="shared" si="183"/>
        <v>4.1290940788006367E-2</v>
      </c>
      <c r="F3958" s="9">
        <f t="shared" si="184"/>
        <v>-5.0258397214822434E-2</v>
      </c>
      <c r="G3958" s="9">
        <f t="shared" si="185"/>
        <v>2.4917087562689618E-2</v>
      </c>
    </row>
    <row r="3959" spans="1:7" x14ac:dyDescent="0.2">
      <c r="A3959" s="11">
        <v>40822</v>
      </c>
      <c r="B3959" s="10">
        <v>321.25</v>
      </c>
      <c r="C3959" s="10">
        <v>321.27</v>
      </c>
      <c r="D3959" s="10">
        <v>313.72000000000003</v>
      </c>
      <c r="E3959" s="13">
        <f t="shared" si="183"/>
        <v>2.3718767864963668E-2</v>
      </c>
      <c r="F3959" s="9">
        <f t="shared" si="184"/>
        <v>-3.559246886960233E-2</v>
      </c>
      <c r="G3959" s="9">
        <f t="shared" si="185"/>
        <v>2.5289860871903606E-2</v>
      </c>
    </row>
    <row r="3960" spans="1:7" x14ac:dyDescent="0.2">
      <c r="A3960" s="11">
        <v>40823</v>
      </c>
      <c r="B3960" s="10">
        <v>320.82</v>
      </c>
      <c r="C3960" s="10">
        <v>326.83999999999997</v>
      </c>
      <c r="D3960" s="10">
        <v>319.99</v>
      </c>
      <c r="E3960" s="13">
        <f t="shared" si="183"/>
        <v>-1.3394180207344274E-3</v>
      </c>
      <c r="F3960" s="9">
        <f t="shared" si="184"/>
        <v>-6.208671484833183E-2</v>
      </c>
      <c r="G3960" s="9">
        <f t="shared" si="185"/>
        <v>2.4776102576980576E-2</v>
      </c>
    </row>
    <row r="3961" spans="1:7" x14ac:dyDescent="0.2">
      <c r="A3961" s="11">
        <v>40826</v>
      </c>
      <c r="B3961" s="10">
        <v>335.48</v>
      </c>
      <c r="C3961" s="10">
        <v>335.48</v>
      </c>
      <c r="D3961" s="10">
        <v>320.79000000000002</v>
      </c>
      <c r="E3961" s="13">
        <f t="shared" si="183"/>
        <v>4.4682123927515638E-2</v>
      </c>
      <c r="F3961" s="9">
        <f t="shared" si="184"/>
        <v>-1.9774572280291697E-2</v>
      </c>
      <c r="G3961" s="9">
        <f t="shared" si="185"/>
        <v>2.6253068854310387E-2</v>
      </c>
    </row>
    <row r="3962" spans="1:7" x14ac:dyDescent="0.2">
      <c r="A3962" s="11">
        <v>40827</v>
      </c>
      <c r="B3962" s="10">
        <v>330.99</v>
      </c>
      <c r="C3962" s="10">
        <v>335.69</v>
      </c>
      <c r="D3962" s="10">
        <v>328.69</v>
      </c>
      <c r="E3962" s="13">
        <f t="shared" si="183"/>
        <v>-1.3474178675886368E-2</v>
      </c>
      <c r="F3962" s="9">
        <f t="shared" si="184"/>
        <v>-5.4930287114734695E-2</v>
      </c>
      <c r="G3962" s="9">
        <f t="shared" si="185"/>
        <v>2.5993930470882817E-2</v>
      </c>
    </row>
    <row r="3963" spans="1:7" x14ac:dyDescent="0.2">
      <c r="A3963" s="11">
        <v>40828</v>
      </c>
      <c r="B3963" s="10">
        <v>340.66</v>
      </c>
      <c r="C3963" s="10">
        <v>340.66</v>
      </c>
      <c r="D3963" s="10">
        <v>329.78</v>
      </c>
      <c r="E3963" s="13">
        <f t="shared" si="183"/>
        <v>2.879674899210688E-2</v>
      </c>
      <c r="F3963" s="9">
        <f t="shared" si="184"/>
        <v>-3.1267898195211252E-2</v>
      </c>
      <c r="G3963" s="9">
        <f t="shared" si="185"/>
        <v>2.6587045601448391E-2</v>
      </c>
    </row>
    <row r="3964" spans="1:7" x14ac:dyDescent="0.2">
      <c r="A3964" s="11">
        <v>40829</v>
      </c>
      <c r="B3964" s="10">
        <v>335.25</v>
      </c>
      <c r="C3964" s="10">
        <v>342.89</v>
      </c>
      <c r="D3964" s="10">
        <v>334.47</v>
      </c>
      <c r="E3964" s="13">
        <f t="shared" si="183"/>
        <v>-1.6008390270643325E-2</v>
      </c>
      <c r="F3964" s="9">
        <f t="shared" si="184"/>
        <v>-1.7973229096871417E-2</v>
      </c>
      <c r="G3964" s="9">
        <f t="shared" si="185"/>
        <v>2.6194711192951903E-2</v>
      </c>
    </row>
    <row r="3965" spans="1:7" x14ac:dyDescent="0.2">
      <c r="A3965" s="11">
        <v>40830</v>
      </c>
      <c r="B3965" s="10">
        <v>345.07</v>
      </c>
      <c r="C3965" s="10">
        <v>345.38</v>
      </c>
      <c r="D3965" s="10">
        <v>335.25</v>
      </c>
      <c r="E3965" s="13">
        <f t="shared" si="183"/>
        <v>2.8870772839169462E-2</v>
      </c>
      <c r="F3965" s="9">
        <f t="shared" si="184"/>
        <v>5.7003299630408989E-2</v>
      </c>
      <c r="G3965" s="9">
        <f t="shared" si="185"/>
        <v>2.5227135047251437E-2</v>
      </c>
    </row>
    <row r="3966" spans="1:7" x14ac:dyDescent="0.2">
      <c r="A3966" s="11">
        <v>40833</v>
      </c>
      <c r="B3966" s="10">
        <v>341.84</v>
      </c>
      <c r="C3966" s="10">
        <v>351.48</v>
      </c>
      <c r="D3966" s="10">
        <v>339.21</v>
      </c>
      <c r="E3966" s="13">
        <f t="shared" si="183"/>
        <v>-9.4045036651878612E-3</v>
      </c>
      <c r="F3966" s="9">
        <f t="shared" si="184"/>
        <v>5.3475826373478849E-2</v>
      </c>
      <c r="G3966" s="9">
        <f t="shared" si="185"/>
        <v>2.5274759535793254E-2</v>
      </c>
    </row>
    <row r="3967" spans="1:7" x14ac:dyDescent="0.2">
      <c r="A3967" s="11">
        <v>40834</v>
      </c>
      <c r="B3967" s="10">
        <v>344.21</v>
      </c>
      <c r="C3967" s="10">
        <v>345.68</v>
      </c>
      <c r="D3967" s="10">
        <v>337.41</v>
      </c>
      <c r="E3967" s="13">
        <f t="shared" si="183"/>
        <v>6.909144895877694E-3</v>
      </c>
      <c r="F3967" s="9">
        <f t="shared" si="184"/>
        <v>2.1169005879285288E-2</v>
      </c>
      <c r="G3967" s="9">
        <f t="shared" si="185"/>
        <v>2.4260327657475798E-2</v>
      </c>
    </row>
    <row r="3968" spans="1:7" x14ac:dyDescent="0.2">
      <c r="A3968" s="11">
        <v>40835</v>
      </c>
      <c r="B3968" s="10">
        <v>343.11</v>
      </c>
      <c r="C3968" s="10">
        <v>347.63</v>
      </c>
      <c r="D3968" s="10">
        <v>342.48</v>
      </c>
      <c r="E3968" s="13">
        <f t="shared" si="183"/>
        <v>-3.2008407704120358E-3</v>
      </c>
      <c r="F3968" s="9">
        <f t="shared" si="184"/>
        <v>8.6937978969677428E-3</v>
      </c>
      <c r="G3968" s="9">
        <f t="shared" si="185"/>
        <v>2.4213968672438912E-2</v>
      </c>
    </row>
    <row r="3969" spans="1:7" x14ac:dyDescent="0.2">
      <c r="A3969" s="11">
        <v>40836</v>
      </c>
      <c r="B3969" s="10">
        <v>340.82</v>
      </c>
      <c r="C3969" s="10">
        <v>343.29</v>
      </c>
      <c r="D3969" s="10">
        <v>338.35</v>
      </c>
      <c r="E3969" s="13">
        <f t="shared" si="183"/>
        <v>-6.6966167819884565E-3</v>
      </c>
      <c r="F3969" s="9">
        <f t="shared" si="184"/>
        <v>2.7817170886053316E-2</v>
      </c>
      <c r="G3969" s="9">
        <f t="shared" si="185"/>
        <v>2.3732852687251893E-2</v>
      </c>
    </row>
    <row r="3970" spans="1:7" x14ac:dyDescent="0.2">
      <c r="A3970" s="11">
        <v>40837</v>
      </c>
      <c r="B3970" s="10">
        <v>352.23</v>
      </c>
      <c r="C3970" s="10">
        <v>352.23</v>
      </c>
      <c r="D3970" s="10">
        <v>340.5</v>
      </c>
      <c r="E3970" s="13">
        <f t="shared" si="183"/>
        <v>3.2929892630983601E-2</v>
      </c>
      <c r="F3970" s="9">
        <f t="shared" si="184"/>
        <v>8.2276223403520879E-2</v>
      </c>
      <c r="G3970" s="9">
        <f t="shared" si="185"/>
        <v>2.404243362213046E-2</v>
      </c>
    </row>
    <row r="3971" spans="1:7" x14ac:dyDescent="0.2">
      <c r="A3971" s="11">
        <v>40840</v>
      </c>
      <c r="B3971" s="10">
        <v>359.56</v>
      </c>
      <c r="C3971" s="10">
        <v>359.56</v>
      </c>
      <c r="D3971" s="10">
        <v>350.63</v>
      </c>
      <c r="E3971" s="13">
        <f t="shared" si="183"/>
        <v>2.0596690394968333E-2</v>
      </c>
      <c r="F3971" s="9">
        <f t="shared" si="184"/>
        <v>0.10426101032440946</v>
      </c>
      <c r="G3971" s="9">
        <f t="shared" si="185"/>
        <v>2.4250158246184695E-2</v>
      </c>
    </row>
    <row r="3972" spans="1:7" x14ac:dyDescent="0.2">
      <c r="A3972" s="11">
        <v>40841</v>
      </c>
      <c r="B3972" s="10">
        <v>355.91</v>
      </c>
      <c r="C3972" s="10">
        <v>361.78</v>
      </c>
      <c r="D3972" s="10">
        <v>353.34</v>
      </c>
      <c r="E3972" s="13">
        <f t="shared" ref="E3972:E4035" si="186">LN(B3972/B3971)</f>
        <v>-1.0203171803511367E-2</v>
      </c>
      <c r="F3972" s="9">
        <f t="shared" si="184"/>
        <v>6.9934563932346969E-2</v>
      </c>
      <c r="G3972" s="9">
        <f t="shared" si="185"/>
        <v>2.4049300116665662E-2</v>
      </c>
    </row>
    <row r="3973" spans="1:7" x14ac:dyDescent="0.2">
      <c r="A3973" s="11">
        <v>40842</v>
      </c>
      <c r="B3973" s="10">
        <v>357.43</v>
      </c>
      <c r="C3973" s="10">
        <v>362.87</v>
      </c>
      <c r="D3973" s="10">
        <v>354.4</v>
      </c>
      <c r="E3973" s="13">
        <f t="shared" si="186"/>
        <v>4.2616488644267791E-3</v>
      </c>
      <c r="F3973" s="9">
        <f t="shared" si="184"/>
        <v>5.1082749007986275E-2</v>
      </c>
      <c r="G3973" s="9">
        <f t="shared" si="185"/>
        <v>2.3722296384172739E-2</v>
      </c>
    </row>
    <row r="3974" spans="1:7" x14ac:dyDescent="0.2">
      <c r="A3974" s="11">
        <v>40843</v>
      </c>
      <c r="B3974" s="10">
        <v>368.38</v>
      </c>
      <c r="C3974" s="10">
        <v>368.43</v>
      </c>
      <c r="D3974" s="10">
        <v>357.38</v>
      </c>
      <c r="E3974" s="13">
        <f t="shared" si="186"/>
        <v>3.0175475324843017E-2</v>
      </c>
      <c r="F3974" s="9">
        <f t="shared" si="184"/>
        <v>7.8200747307474755E-2</v>
      </c>
      <c r="G3974" s="9">
        <f t="shared" si="185"/>
        <v>2.4302589067223917E-2</v>
      </c>
    </row>
    <row r="3975" spans="1:7" x14ac:dyDescent="0.2">
      <c r="A3975" s="11">
        <v>40844</v>
      </c>
      <c r="B3975" s="10">
        <v>363.07</v>
      </c>
      <c r="C3975" s="10">
        <v>369.72</v>
      </c>
      <c r="D3975" s="10">
        <v>361.44</v>
      </c>
      <c r="E3975" s="13">
        <f t="shared" si="186"/>
        <v>-1.4519360951295423E-2</v>
      </c>
      <c r="F3975" s="9">
        <f t="shared" si="184"/>
        <v>8.6753508558682288E-2</v>
      </c>
      <c r="G3975" s="9">
        <f t="shared" si="185"/>
        <v>2.4029062491798626E-2</v>
      </c>
    </row>
    <row r="3976" spans="1:7" x14ac:dyDescent="0.2">
      <c r="A3976" s="11">
        <v>40847</v>
      </c>
      <c r="B3976" s="10">
        <v>356.93</v>
      </c>
      <c r="C3976" s="10">
        <v>363.1</v>
      </c>
      <c r="D3976" s="10">
        <v>356.93</v>
      </c>
      <c r="E3976" s="13">
        <f t="shared" si="186"/>
        <v>-1.7055969017283661E-2</v>
      </c>
      <c r="F3976" s="9">
        <f t="shared" si="184"/>
        <v>4.7242039735953402E-2</v>
      </c>
      <c r="G3976" s="9">
        <f t="shared" si="185"/>
        <v>2.4006178085873735E-2</v>
      </c>
    </row>
    <row r="3977" spans="1:7" x14ac:dyDescent="0.2">
      <c r="A3977" s="11">
        <v>40848</v>
      </c>
      <c r="B3977" s="10">
        <v>341.35</v>
      </c>
      <c r="C3977" s="10">
        <v>356.93</v>
      </c>
      <c r="D3977" s="10">
        <v>339.85</v>
      </c>
      <c r="E3977" s="13">
        <f t="shared" si="186"/>
        <v>-4.4631340258088271E-2</v>
      </c>
      <c r="F3977" s="9">
        <f t="shared" si="184"/>
        <v>1.3062830417126437E-2</v>
      </c>
      <c r="G3977" s="9">
        <f t="shared" si="185"/>
        <v>2.5417997583016147E-2</v>
      </c>
    </row>
    <row r="3978" spans="1:7" x14ac:dyDescent="0.2">
      <c r="A3978" s="11">
        <v>40849</v>
      </c>
      <c r="B3978" s="10">
        <v>348.5</v>
      </c>
      <c r="C3978" s="10">
        <v>349.86</v>
      </c>
      <c r="D3978" s="10">
        <v>338.2</v>
      </c>
      <c r="E3978" s="13">
        <f t="shared" si="186"/>
        <v>2.0729886336289173E-2</v>
      </c>
      <c r="F3978" s="9">
        <f t="shared" si="184"/>
        <v>8.2789182624232641E-2</v>
      </c>
      <c r="G3978" s="9">
        <f t="shared" si="185"/>
        <v>2.3821284671660434E-2</v>
      </c>
    </row>
    <row r="3979" spans="1:7" x14ac:dyDescent="0.2">
      <c r="A3979" s="11">
        <v>40850</v>
      </c>
      <c r="B3979" s="10">
        <v>357.89</v>
      </c>
      <c r="C3979" s="10">
        <v>357.89</v>
      </c>
      <c r="D3979" s="10">
        <v>341.09</v>
      </c>
      <c r="E3979" s="13">
        <f t="shared" si="186"/>
        <v>2.6587446415474027E-2</v>
      </c>
      <c r="F3979" s="9">
        <f t="shared" si="184"/>
        <v>0.12189188735534814</v>
      </c>
      <c r="G3979" s="9">
        <f t="shared" si="185"/>
        <v>2.4026009623232904E-2</v>
      </c>
    </row>
    <row r="3980" spans="1:7" x14ac:dyDescent="0.2">
      <c r="A3980" s="11">
        <v>40851</v>
      </c>
      <c r="B3980" s="10">
        <v>355.53</v>
      </c>
      <c r="C3980" s="10">
        <v>361.77</v>
      </c>
      <c r="D3980" s="10">
        <v>353.34</v>
      </c>
      <c r="E3980" s="13">
        <f t="shared" si="186"/>
        <v>-6.616042747585823E-3</v>
      </c>
      <c r="F3980" s="9">
        <f t="shared" si="184"/>
        <v>0.11998992436509416</v>
      </c>
      <c r="G3980" s="9">
        <f t="shared" si="185"/>
        <v>2.405380067323586E-2</v>
      </c>
    </row>
    <row r="3981" spans="1:7" x14ac:dyDescent="0.2">
      <c r="A3981" s="11">
        <v>40854</v>
      </c>
      <c r="B3981" s="10">
        <v>359.99</v>
      </c>
      <c r="C3981" s="10">
        <v>363.69</v>
      </c>
      <c r="D3981" s="10">
        <v>351.63</v>
      </c>
      <c r="E3981" s="13">
        <f t="shared" si="186"/>
        <v>1.24666194181015E-2</v>
      </c>
      <c r="F3981" s="9">
        <f t="shared" si="184"/>
        <v>9.7156378661574949E-2</v>
      </c>
      <c r="G3981" s="9">
        <f t="shared" si="185"/>
        <v>2.3361046024401467E-2</v>
      </c>
    </row>
    <row r="3982" spans="1:7" x14ac:dyDescent="0.2">
      <c r="A3982" s="11">
        <v>40855</v>
      </c>
      <c r="B3982" s="10">
        <v>360.85</v>
      </c>
      <c r="C3982" s="10">
        <v>366.34</v>
      </c>
      <c r="D3982" s="10">
        <v>359.59</v>
      </c>
      <c r="E3982" s="13">
        <f t="shared" si="186"/>
        <v>2.3861062317140735E-3</v>
      </c>
      <c r="F3982" s="9">
        <f t="shared" si="184"/>
        <v>0.11149138291060594</v>
      </c>
      <c r="G3982" s="9">
        <f t="shared" si="185"/>
        <v>2.3176695314395878E-2</v>
      </c>
    </row>
    <row r="3983" spans="1:7" x14ac:dyDescent="0.2">
      <c r="A3983" s="11">
        <v>40856</v>
      </c>
      <c r="B3983" s="10">
        <v>354.71</v>
      </c>
      <c r="C3983" s="10">
        <v>366.62</v>
      </c>
      <c r="D3983" s="10">
        <v>350.79</v>
      </c>
      <c r="E3983" s="13">
        <f t="shared" si="186"/>
        <v>-1.716180529709797E-2</v>
      </c>
      <c r="F3983" s="9">
        <f t="shared" si="184"/>
        <v>9.0001637137154866E-2</v>
      </c>
      <c r="G3983" s="9">
        <f t="shared" si="185"/>
        <v>2.3501949585772758E-2</v>
      </c>
    </row>
    <row r="3984" spans="1:7" x14ac:dyDescent="0.2">
      <c r="A3984" s="11">
        <v>40857</v>
      </c>
      <c r="B3984" s="10">
        <v>351.91</v>
      </c>
      <c r="C3984" s="10">
        <v>356.69</v>
      </c>
      <c r="D3984" s="10">
        <v>347.26</v>
      </c>
      <c r="E3984" s="13">
        <f t="shared" si="186"/>
        <v>-7.9250931334377168E-3</v>
      </c>
      <c r="F3984" s="9">
        <f t="shared" si="184"/>
        <v>8.5970846560931763E-2</v>
      </c>
      <c r="G3984" s="9">
        <f t="shared" si="185"/>
        <v>2.3556668887808236E-2</v>
      </c>
    </row>
    <row r="3985" spans="1:7" x14ac:dyDescent="0.2">
      <c r="A3985" s="11">
        <v>40858</v>
      </c>
      <c r="B3985" s="10">
        <v>361.51</v>
      </c>
      <c r="C3985" s="10">
        <v>361.53</v>
      </c>
      <c r="D3985" s="10">
        <v>351.91</v>
      </c>
      <c r="E3985" s="13">
        <f t="shared" si="186"/>
        <v>2.6914242645761439E-2</v>
      </c>
      <c r="F3985" s="9">
        <f t="shared" si="184"/>
        <v>0.15229905774756994</v>
      </c>
      <c r="G3985" s="9">
        <f t="shared" si="185"/>
        <v>2.2490962969478806E-2</v>
      </c>
    </row>
    <row r="3986" spans="1:7" x14ac:dyDescent="0.2">
      <c r="A3986" s="11">
        <v>40861</v>
      </c>
      <c r="B3986" s="10">
        <v>359.59</v>
      </c>
      <c r="C3986" s="10">
        <v>365.29</v>
      </c>
      <c r="D3986" s="10">
        <v>357.04</v>
      </c>
      <c r="E3986" s="13">
        <f t="shared" si="186"/>
        <v>-5.3252101990183126E-3</v>
      </c>
      <c r="F3986" s="9">
        <f t="shared" si="184"/>
        <v>0.1777545659780303</v>
      </c>
      <c r="G3986" s="9">
        <f t="shared" si="185"/>
        <v>2.1509804796805577E-2</v>
      </c>
    </row>
    <row r="3987" spans="1:7" x14ac:dyDescent="0.2">
      <c r="A3987" s="11">
        <v>40862</v>
      </c>
      <c r="B3987" s="10">
        <v>358.57</v>
      </c>
      <c r="C3987" s="10">
        <v>360.55</v>
      </c>
      <c r="D3987" s="10">
        <v>353.85</v>
      </c>
      <c r="E3987" s="13">
        <f t="shared" si="186"/>
        <v>-2.8405945356549476E-3</v>
      </c>
      <c r="F3987" s="9">
        <f t="shared" si="184"/>
        <v>0.13362303065436901</v>
      </c>
      <c r="G3987" s="9">
        <f t="shared" si="185"/>
        <v>2.0469299435883739E-2</v>
      </c>
    </row>
    <row r="3988" spans="1:7" x14ac:dyDescent="0.2">
      <c r="A3988" s="11">
        <v>40863</v>
      </c>
      <c r="B3988" s="10">
        <v>360.36</v>
      </c>
      <c r="C3988" s="10">
        <v>364.31</v>
      </c>
      <c r="D3988" s="10">
        <v>356.79</v>
      </c>
      <c r="E3988" s="13">
        <f t="shared" si="186"/>
        <v>4.9796327844043344E-3</v>
      </c>
      <c r="F3988" s="9">
        <f t="shared" si="184"/>
        <v>0.11488389557380961</v>
      </c>
      <c r="G3988" s="9">
        <f t="shared" si="185"/>
        <v>2.0137543486357178E-2</v>
      </c>
    </row>
    <row r="3989" spans="1:7" x14ac:dyDescent="0.2">
      <c r="A3989" s="11">
        <v>40864</v>
      </c>
      <c r="B3989" s="10">
        <v>352.67</v>
      </c>
      <c r="C3989" s="10">
        <v>360.66</v>
      </c>
      <c r="D3989" s="10">
        <v>352.67</v>
      </c>
      <c r="E3989" s="13">
        <f t="shared" si="186"/>
        <v>-2.1570756281930996E-2</v>
      </c>
      <c r="F3989" s="9">
        <f t="shared" si="184"/>
        <v>9.4652557312613184E-2</v>
      </c>
      <c r="G3989" s="9">
        <f t="shared" si="185"/>
        <v>2.0671116243789645E-2</v>
      </c>
    </row>
    <row r="3990" spans="1:7" x14ac:dyDescent="0.2">
      <c r="A3990" s="11">
        <v>40865</v>
      </c>
      <c r="B3990" s="10">
        <v>350.4</v>
      </c>
      <c r="C3990" s="10">
        <v>353.87</v>
      </c>
      <c r="D3990" s="10">
        <v>348.81</v>
      </c>
      <c r="E3990" s="13">
        <f t="shared" si="186"/>
        <v>-6.4574164390719729E-3</v>
      </c>
      <c r="F3990" s="9">
        <f t="shared" si="184"/>
        <v>4.3513016946025461E-2</v>
      </c>
      <c r="G3990" s="9">
        <f t="shared" si="185"/>
        <v>1.9135898380920547E-2</v>
      </c>
    </row>
    <row r="3991" spans="1:7" x14ac:dyDescent="0.2">
      <c r="A3991" s="11">
        <v>40868</v>
      </c>
      <c r="B3991" s="10">
        <v>339.29</v>
      </c>
      <c r="C3991" s="10">
        <v>350.94</v>
      </c>
      <c r="D3991" s="10">
        <v>339.29</v>
      </c>
      <c r="E3991" s="13">
        <f t="shared" si="186"/>
        <v>-3.2220160149638348E-2</v>
      </c>
      <c r="F3991" s="9">
        <f t="shared" si="184"/>
        <v>2.4767035472273539E-2</v>
      </c>
      <c r="G3991" s="9">
        <f t="shared" si="185"/>
        <v>1.9958738996090315E-2</v>
      </c>
    </row>
    <row r="3992" spans="1:7" x14ac:dyDescent="0.2">
      <c r="A3992" s="11">
        <v>40869</v>
      </c>
      <c r="B3992" s="10">
        <v>335.25</v>
      </c>
      <c r="C3992" s="10">
        <v>344.07</v>
      </c>
      <c r="D3992" s="10">
        <v>335.25</v>
      </c>
      <c r="E3992" s="13">
        <f t="shared" si="186"/>
        <v>-1.1978676750810118E-2</v>
      </c>
      <c r="F3992" s="9">
        <f t="shared" si="184"/>
        <v>-1.6008390270643325E-2</v>
      </c>
      <c r="G3992" s="9">
        <f t="shared" si="185"/>
        <v>1.9346821790246081E-2</v>
      </c>
    </row>
    <row r="3993" spans="1:7" x14ac:dyDescent="0.2">
      <c r="A3993" s="11">
        <v>40870</v>
      </c>
      <c r="B3993" s="10">
        <v>324.82</v>
      </c>
      <c r="C3993" s="10">
        <v>335.81</v>
      </c>
      <c r="D3993" s="10">
        <v>324.82</v>
      </c>
      <c r="E3993" s="13">
        <f t="shared" si="186"/>
        <v>-3.1605339415331099E-2</v>
      </c>
      <c r="F3993" s="9">
        <f t="shared" si="184"/>
        <v>-3.1605339415331099E-2</v>
      </c>
      <c r="G3993" s="9">
        <f t="shared" si="185"/>
        <v>1.999768504587273E-2</v>
      </c>
    </row>
    <row r="3994" spans="1:7" x14ac:dyDescent="0.2">
      <c r="A3994" s="11">
        <v>40871</v>
      </c>
      <c r="B3994" s="10">
        <v>323.39</v>
      </c>
      <c r="C3994" s="10">
        <v>332.13</v>
      </c>
      <c r="D3994" s="10">
        <v>322.33999999999997</v>
      </c>
      <c r="E3994" s="13">
        <f t="shared" si="186"/>
        <v>-4.4121575410214515E-3</v>
      </c>
      <c r="F3994" s="9">
        <f t="shared" si="184"/>
        <v>-6.4888269795521925E-2</v>
      </c>
      <c r="G3994" s="9">
        <f t="shared" si="185"/>
        <v>1.9154082487100973E-2</v>
      </c>
    </row>
    <row r="3995" spans="1:7" x14ac:dyDescent="0.2">
      <c r="A3995" s="11">
        <v>40872</v>
      </c>
      <c r="B3995" s="10">
        <v>328.32</v>
      </c>
      <c r="C3995" s="10">
        <v>328.95</v>
      </c>
      <c r="D3995" s="10">
        <v>320.22000000000003</v>
      </c>
      <c r="E3995" s="13">
        <f t="shared" si="186"/>
        <v>1.5129717336914577E-2</v>
      </c>
      <c r="F3995" s="9">
        <f t="shared" si="184"/>
        <v>-4.0354048793419466E-2</v>
      </c>
      <c r="G3995" s="9">
        <f t="shared" si="185"/>
        <v>1.9366860490183106E-2</v>
      </c>
    </row>
    <row r="3996" spans="1:7" x14ac:dyDescent="0.2">
      <c r="A3996" s="11">
        <v>40875</v>
      </c>
      <c r="B3996" s="10">
        <v>341.22</v>
      </c>
      <c r="C3996" s="10">
        <v>341.22</v>
      </c>
      <c r="D3996" s="10">
        <v>327.91</v>
      </c>
      <c r="E3996" s="13">
        <f t="shared" si="186"/>
        <v>3.8538688004413291E-2</v>
      </c>
      <c r="F3996" s="9">
        <f t="shared" si="184"/>
        <v>-8.7245056848837144E-3</v>
      </c>
      <c r="G3996" s="9">
        <f t="shared" si="185"/>
        <v>2.0696040749066821E-2</v>
      </c>
    </row>
    <row r="3997" spans="1:7" x14ac:dyDescent="0.2">
      <c r="A3997" s="11">
        <v>40876</v>
      </c>
      <c r="B3997" s="10">
        <v>340.47</v>
      </c>
      <c r="C3997" s="10">
        <v>343.17</v>
      </c>
      <c r="D3997" s="10">
        <v>336.58</v>
      </c>
      <c r="E3997" s="13">
        <f t="shared" si="186"/>
        <v>-2.2004145656060975E-3</v>
      </c>
      <c r="F3997" s="9">
        <f t="shared" si="184"/>
        <v>-7.7240794800776955E-3</v>
      </c>
      <c r="G3997" s="9">
        <f t="shared" si="185"/>
        <v>2.0691867581416126E-2</v>
      </c>
    </row>
    <row r="3998" spans="1:7" x14ac:dyDescent="0.2">
      <c r="A3998" s="11">
        <v>40877</v>
      </c>
      <c r="B3998" s="10">
        <v>354.02</v>
      </c>
      <c r="C3998" s="10">
        <v>354.02</v>
      </c>
      <c r="D3998" s="10">
        <v>334.78</v>
      </c>
      <c r="E3998" s="13">
        <f t="shared" si="186"/>
        <v>3.9026392731852932E-2</v>
      </c>
      <c r="F3998" s="9">
        <f t="shared" si="184"/>
        <v>3.7998930033763749E-2</v>
      </c>
      <c r="G3998" s="9">
        <f t="shared" si="185"/>
        <v>2.1891596884157309E-2</v>
      </c>
    </row>
    <row r="3999" spans="1:7" x14ac:dyDescent="0.2">
      <c r="A3999" s="11">
        <v>40878</v>
      </c>
      <c r="B3999" s="10">
        <v>352.04</v>
      </c>
      <c r="C3999" s="10">
        <v>355.54</v>
      </c>
      <c r="D3999" s="10">
        <v>349.58</v>
      </c>
      <c r="E3999" s="13">
        <f t="shared" si="186"/>
        <v>-5.6086032073993496E-3</v>
      </c>
      <c r="F3999" s="9">
        <f t="shared" si="184"/>
        <v>-5.3956580461916588E-4</v>
      </c>
      <c r="G3999" s="9">
        <f t="shared" si="185"/>
        <v>2.1057434433299538E-2</v>
      </c>
    </row>
    <row r="4000" spans="1:7" x14ac:dyDescent="0.2">
      <c r="A4000" s="11">
        <v>40879</v>
      </c>
      <c r="B4000" s="10">
        <v>352.03</v>
      </c>
      <c r="C4000" s="10">
        <v>356.43</v>
      </c>
      <c r="D4000" s="10">
        <v>350.67</v>
      </c>
      <c r="E4000" s="13">
        <f t="shared" si="186"/>
        <v>-2.84062664244258E-5</v>
      </c>
      <c r="F4000" s="9">
        <f t="shared" ref="F4000:F4063" si="187">LN(B4000/B3971)</f>
        <v>-2.1164662466011959E-2</v>
      </c>
      <c r="G4000" s="9">
        <f t="shared" si="185"/>
        <v>2.0681233850377286E-2</v>
      </c>
    </row>
    <row r="4001" spans="1:7" x14ac:dyDescent="0.2">
      <c r="A4001" s="11">
        <v>40882</v>
      </c>
      <c r="B4001" s="10">
        <v>354.74</v>
      </c>
      <c r="C4001" s="10">
        <v>356.26</v>
      </c>
      <c r="D4001" s="10">
        <v>352.03</v>
      </c>
      <c r="E4001" s="13">
        <f t="shared" si="186"/>
        <v>7.6687275382537621E-3</v>
      </c>
      <c r="F4001" s="9">
        <f t="shared" si="187"/>
        <v>-3.2927631242468127E-3</v>
      </c>
      <c r="G4001" s="9">
        <f t="shared" ref="G4001:G4064" si="188">STDEV(E3973:E4001)</f>
        <v>2.0655121505525231E-2</v>
      </c>
    </row>
    <row r="4002" spans="1:7" x14ac:dyDescent="0.2">
      <c r="A4002" s="11">
        <v>40883</v>
      </c>
      <c r="B4002" s="10">
        <v>357.16</v>
      </c>
      <c r="C4002" s="10">
        <v>357.91</v>
      </c>
      <c r="D4002" s="10">
        <v>351.42</v>
      </c>
      <c r="E4002" s="13">
        <f t="shared" si="186"/>
        <v>6.7987338715754615E-3</v>
      </c>
      <c r="F4002" s="9">
        <f t="shared" si="187"/>
        <v>-7.5567811709812934E-4</v>
      </c>
      <c r="G4002" s="9">
        <f t="shared" si="188"/>
        <v>2.0679673038407415E-2</v>
      </c>
    </row>
    <row r="4003" spans="1:7" x14ac:dyDescent="0.2">
      <c r="A4003" s="11">
        <v>40884</v>
      </c>
      <c r="B4003" s="10">
        <v>352.68</v>
      </c>
      <c r="C4003" s="10">
        <v>360.36</v>
      </c>
      <c r="D4003" s="10">
        <v>351.4</v>
      </c>
      <c r="E4003" s="13">
        <f t="shared" si="186"/>
        <v>-1.2622730430189459E-2</v>
      </c>
      <c r="F4003" s="9">
        <f t="shared" si="187"/>
        <v>-4.3553883872130494E-2</v>
      </c>
      <c r="G4003" s="9">
        <f t="shared" si="188"/>
        <v>1.9962062686298836E-2</v>
      </c>
    </row>
    <row r="4004" spans="1:7" x14ac:dyDescent="0.2">
      <c r="A4004" s="11">
        <v>40885</v>
      </c>
      <c r="B4004" s="10">
        <v>346.38</v>
      </c>
      <c r="C4004" s="10">
        <v>356.97</v>
      </c>
      <c r="D4004" s="10">
        <v>346.21</v>
      </c>
      <c r="E4004" s="13">
        <f t="shared" si="186"/>
        <v>-1.8024691917929152E-2</v>
      </c>
      <c r="F4004" s="9">
        <f t="shared" si="187"/>
        <v>-4.7059214838764185E-2</v>
      </c>
      <c r="G4004" s="9">
        <f t="shared" si="188"/>
        <v>2.0054101346598529E-2</v>
      </c>
    </row>
    <row r="4005" spans="1:7" x14ac:dyDescent="0.2">
      <c r="A4005" s="11">
        <v>40886</v>
      </c>
      <c r="B4005" s="10">
        <v>351.41</v>
      </c>
      <c r="C4005" s="10">
        <v>353.32</v>
      </c>
      <c r="D4005" s="10">
        <v>342.92</v>
      </c>
      <c r="E4005" s="13">
        <f t="shared" si="186"/>
        <v>1.44171946453686E-2</v>
      </c>
      <c r="F4005" s="9">
        <f t="shared" si="187"/>
        <v>-1.5586051176111861E-2</v>
      </c>
      <c r="G4005" s="9">
        <f t="shared" si="188"/>
        <v>2.0040684185902088E-2</v>
      </c>
    </row>
    <row r="4006" spans="1:7" x14ac:dyDescent="0.2">
      <c r="A4006" s="11">
        <v>40889</v>
      </c>
      <c r="B4006" s="10">
        <v>341.65</v>
      </c>
      <c r="C4006" s="10">
        <v>351.45</v>
      </c>
      <c r="D4006" s="10">
        <v>341.02</v>
      </c>
      <c r="E4006" s="13">
        <f t="shared" si="186"/>
        <v>-2.8166811719478647E-2</v>
      </c>
      <c r="F4006" s="9">
        <f t="shared" si="187"/>
        <v>8.7847736249776185E-4</v>
      </c>
      <c r="G4006" s="9">
        <f t="shared" si="188"/>
        <v>1.8950476337603515E-2</v>
      </c>
    </row>
    <row r="4007" spans="1:7" x14ac:dyDescent="0.2">
      <c r="A4007" s="11">
        <v>40890</v>
      </c>
      <c r="B4007" s="10">
        <v>343.68</v>
      </c>
      <c r="C4007" s="10">
        <v>346.8</v>
      </c>
      <c r="D4007" s="10">
        <v>338.23</v>
      </c>
      <c r="E4007" s="13">
        <f t="shared" si="186"/>
        <v>5.9241706536579319E-3</v>
      </c>
      <c r="F4007" s="9">
        <f t="shared" si="187"/>
        <v>-1.3927238320133364E-2</v>
      </c>
      <c r="G4007" s="9">
        <f t="shared" si="188"/>
        <v>1.8568484404997761E-2</v>
      </c>
    </row>
    <row r="4008" spans="1:7" x14ac:dyDescent="0.2">
      <c r="A4008" s="11">
        <v>40891</v>
      </c>
      <c r="B4008" s="10">
        <v>332.91</v>
      </c>
      <c r="C4008" s="10">
        <v>344.6</v>
      </c>
      <c r="D4008" s="10">
        <v>332.91</v>
      </c>
      <c r="E4008" s="13">
        <f t="shared" si="186"/>
        <v>-3.1838808699863087E-2</v>
      </c>
      <c r="F4008" s="9">
        <f t="shared" si="187"/>
        <v>-7.2353493435470539E-2</v>
      </c>
      <c r="G4008" s="9">
        <f t="shared" si="188"/>
        <v>1.8695940107953883E-2</v>
      </c>
    </row>
    <row r="4009" spans="1:7" x14ac:dyDescent="0.2">
      <c r="A4009" s="11">
        <v>40892</v>
      </c>
      <c r="B4009" s="10">
        <v>338.6</v>
      </c>
      <c r="C4009" s="10">
        <v>341.04</v>
      </c>
      <c r="D4009" s="10">
        <v>332.91</v>
      </c>
      <c r="E4009" s="13">
        <f t="shared" si="186"/>
        <v>1.6947286518452939E-2</v>
      </c>
      <c r="F4009" s="9">
        <f t="shared" si="187"/>
        <v>-4.8790164169431827E-2</v>
      </c>
      <c r="G4009" s="9">
        <f t="shared" si="188"/>
        <v>1.9019670388479397E-2</v>
      </c>
    </row>
    <row r="4010" spans="1:7" x14ac:dyDescent="0.2">
      <c r="A4010" s="11">
        <v>40893</v>
      </c>
      <c r="B4010" s="10">
        <v>340.63</v>
      </c>
      <c r="C4010" s="10">
        <v>342.08</v>
      </c>
      <c r="D4010" s="10">
        <v>337.94</v>
      </c>
      <c r="E4010" s="13">
        <f t="shared" si="186"/>
        <v>5.9773745098221512E-3</v>
      </c>
      <c r="F4010" s="9">
        <f t="shared" si="187"/>
        <v>-5.527940907771127E-2</v>
      </c>
      <c r="G4010" s="9">
        <f t="shared" si="188"/>
        <v>1.8884957345624162E-2</v>
      </c>
    </row>
    <row r="4011" spans="1:7" x14ac:dyDescent="0.2">
      <c r="A4011" s="11">
        <v>40896</v>
      </c>
      <c r="B4011" s="10">
        <v>337.58</v>
      </c>
      <c r="C4011" s="10">
        <v>343.11</v>
      </c>
      <c r="D4011" s="10">
        <v>337.09</v>
      </c>
      <c r="E4011" s="13">
        <f t="shared" si="186"/>
        <v>-8.9943249480753853E-3</v>
      </c>
      <c r="F4011" s="9">
        <f t="shared" si="187"/>
        <v>-6.6659840257500561E-2</v>
      </c>
      <c r="G4011" s="9">
        <f t="shared" si="188"/>
        <v>1.8910802952305981E-2</v>
      </c>
    </row>
    <row r="4012" spans="1:7" x14ac:dyDescent="0.2">
      <c r="A4012" s="11">
        <v>40897</v>
      </c>
      <c r="B4012" s="10">
        <v>348.4</v>
      </c>
      <c r="C4012" s="10">
        <v>348.4</v>
      </c>
      <c r="D4012" s="10">
        <v>337.08</v>
      </c>
      <c r="E4012" s="13">
        <f t="shared" si="186"/>
        <v>3.1548725717565958E-2</v>
      </c>
      <c r="F4012" s="9">
        <f t="shared" si="187"/>
        <v>-1.7949309242836709E-2</v>
      </c>
      <c r="G4012" s="9">
        <f t="shared" si="188"/>
        <v>1.9690668013255141E-2</v>
      </c>
    </row>
    <row r="4013" spans="1:7" x14ac:dyDescent="0.2">
      <c r="A4013" s="11">
        <v>40898</v>
      </c>
      <c r="B4013" s="10">
        <v>345.97</v>
      </c>
      <c r="C4013" s="10">
        <v>351.19</v>
      </c>
      <c r="D4013" s="10">
        <v>345.11</v>
      </c>
      <c r="E4013" s="13">
        <f t="shared" si="186"/>
        <v>-6.999178882048763E-3</v>
      </c>
      <c r="F4013" s="9">
        <f t="shared" si="187"/>
        <v>-1.70233949914478E-2</v>
      </c>
      <c r="G4013" s="9">
        <f t="shared" si="188"/>
        <v>1.9679145420701746E-2</v>
      </c>
    </row>
    <row r="4014" spans="1:7" x14ac:dyDescent="0.2">
      <c r="A4014" s="11">
        <v>40899</v>
      </c>
      <c r="B4014" s="10">
        <v>351.98</v>
      </c>
      <c r="C4014" s="10">
        <v>352</v>
      </c>
      <c r="D4014" s="10">
        <v>345.9</v>
      </c>
      <c r="E4014" s="13">
        <f t="shared" si="186"/>
        <v>1.7222289705766152E-2</v>
      </c>
      <c r="F4014" s="9">
        <f t="shared" si="187"/>
        <v>-2.6715347931443156E-2</v>
      </c>
      <c r="G4014" s="9">
        <f t="shared" si="188"/>
        <v>1.9273537087949717E-2</v>
      </c>
    </row>
    <row r="4015" spans="1:7" x14ac:dyDescent="0.2">
      <c r="A4015" s="11">
        <v>40900</v>
      </c>
      <c r="B4015" s="10">
        <v>355.84</v>
      </c>
      <c r="C4015" s="10">
        <v>355.85</v>
      </c>
      <c r="D4015" s="10">
        <v>351.77</v>
      </c>
      <c r="E4015" s="13">
        <f t="shared" si="186"/>
        <v>1.0906835820097913E-2</v>
      </c>
      <c r="F4015" s="9">
        <f t="shared" si="187"/>
        <v>-1.0483301912326973E-2</v>
      </c>
      <c r="G4015" s="9">
        <f t="shared" si="188"/>
        <v>1.9376496013989445E-2</v>
      </c>
    </row>
    <row r="4016" spans="1:7" x14ac:dyDescent="0.2">
      <c r="A4016" s="11">
        <v>40904</v>
      </c>
      <c r="B4016" s="10">
        <v>356.6</v>
      </c>
      <c r="C4016" s="10">
        <v>358.35</v>
      </c>
      <c r="D4016" s="10">
        <v>354.71</v>
      </c>
      <c r="E4016" s="13">
        <f t="shared" si="186"/>
        <v>2.1335138068773636E-3</v>
      </c>
      <c r="F4016" s="9">
        <f t="shared" si="187"/>
        <v>-5.5091935697947295E-3</v>
      </c>
      <c r="G4016" s="9">
        <f t="shared" si="188"/>
        <v>1.9375782647922835E-2</v>
      </c>
    </row>
    <row r="4017" spans="1:7" x14ac:dyDescent="0.2">
      <c r="A4017" s="11">
        <v>40905</v>
      </c>
      <c r="B4017" s="10">
        <v>352.74</v>
      </c>
      <c r="C4017" s="10">
        <v>357.74</v>
      </c>
      <c r="D4017" s="10">
        <v>352.58</v>
      </c>
      <c r="E4017" s="13">
        <f t="shared" si="186"/>
        <v>-1.0883463786821502E-2</v>
      </c>
      <c r="F4017" s="9">
        <f t="shared" si="187"/>
        <v>-2.1372290141020656E-2</v>
      </c>
      <c r="G4017" s="9">
        <f t="shared" si="188"/>
        <v>1.9448407454424294E-2</v>
      </c>
    </row>
    <row r="4018" spans="1:7" x14ac:dyDescent="0.2">
      <c r="A4018" s="11">
        <v>40906</v>
      </c>
      <c r="B4018" s="10">
        <v>356.14</v>
      </c>
      <c r="C4018" s="10">
        <v>356.49</v>
      </c>
      <c r="D4018" s="10">
        <v>351.82</v>
      </c>
      <c r="E4018" s="13">
        <f t="shared" si="186"/>
        <v>9.5926703309497357E-3</v>
      </c>
      <c r="F4018" s="9">
        <f t="shared" si="187"/>
        <v>9.7911364718599719E-3</v>
      </c>
      <c r="G4018" s="9">
        <f t="shared" si="188"/>
        <v>1.9114226551219023E-2</v>
      </c>
    </row>
    <row r="4019" spans="1:7" x14ac:dyDescent="0.2">
      <c r="A4019" s="11">
        <v>40907</v>
      </c>
      <c r="B4019" s="10">
        <v>357.6</v>
      </c>
      <c r="C4019" s="10">
        <v>358.22</v>
      </c>
      <c r="D4019" s="10">
        <v>355.3</v>
      </c>
      <c r="E4019" s="13">
        <f t="shared" si="186"/>
        <v>4.0911313261908326E-3</v>
      </c>
      <c r="F4019" s="9">
        <f t="shared" si="187"/>
        <v>2.0339684237122783E-2</v>
      </c>
      <c r="G4019" s="9">
        <f t="shared" si="188"/>
        <v>1.9080638689880518E-2</v>
      </c>
    </row>
    <row r="4020" spans="1:7" x14ac:dyDescent="0.2">
      <c r="A4020" s="11">
        <v>40910</v>
      </c>
      <c r="B4020" s="10">
        <v>361.82</v>
      </c>
      <c r="C4020" s="10">
        <v>361.85</v>
      </c>
      <c r="D4020" s="10">
        <v>356.25</v>
      </c>
      <c r="E4020" s="13">
        <f t="shared" si="186"/>
        <v>1.1731807293755898E-2</v>
      </c>
      <c r="F4020" s="9">
        <f t="shared" si="187"/>
        <v>6.4291651680517009E-2</v>
      </c>
      <c r="G4020" s="9">
        <f t="shared" si="188"/>
        <v>1.8092236131554133E-2</v>
      </c>
    </row>
    <row r="4021" spans="1:7" x14ac:dyDescent="0.2">
      <c r="A4021" s="11">
        <v>40911</v>
      </c>
      <c r="B4021" s="10">
        <v>366</v>
      </c>
      <c r="C4021" s="10">
        <v>366.34</v>
      </c>
      <c r="D4021" s="10">
        <v>361.15</v>
      </c>
      <c r="E4021" s="13">
        <f t="shared" si="186"/>
        <v>1.1486482808251269E-2</v>
      </c>
      <c r="F4021" s="9">
        <f t="shared" si="187"/>
        <v>8.7756811239578389E-2</v>
      </c>
      <c r="G4021" s="9">
        <f t="shared" si="188"/>
        <v>1.7958915221416859E-2</v>
      </c>
    </row>
    <row r="4022" spans="1:7" x14ac:dyDescent="0.2">
      <c r="A4022" s="11">
        <v>40912</v>
      </c>
      <c r="B4022" s="10">
        <v>362.78</v>
      </c>
      <c r="C4022" s="10">
        <v>366</v>
      </c>
      <c r="D4022" s="10">
        <v>361.86</v>
      </c>
      <c r="E4022" s="13">
        <f t="shared" si="186"/>
        <v>-8.8367434715429464E-3</v>
      </c>
      <c r="F4022" s="9">
        <f t="shared" si="187"/>
        <v>0.11052540718336648</v>
      </c>
      <c r="G4022" s="9">
        <f t="shared" si="188"/>
        <v>1.6854575717836436E-2</v>
      </c>
    </row>
    <row r="4023" spans="1:7" x14ac:dyDescent="0.2">
      <c r="A4023" s="11">
        <v>40913</v>
      </c>
      <c r="B4023" s="10">
        <v>364.98</v>
      </c>
      <c r="C4023" s="10">
        <v>366.44</v>
      </c>
      <c r="D4023" s="10">
        <v>362.66</v>
      </c>
      <c r="E4023" s="13">
        <f t="shared" si="186"/>
        <v>6.0459676308457872E-3</v>
      </c>
      <c r="F4023" s="9">
        <f t="shared" si="187"/>
        <v>0.12098353235523376</v>
      </c>
      <c r="G4023" s="9">
        <f t="shared" si="188"/>
        <v>1.678407718145512E-2</v>
      </c>
    </row>
    <row r="4024" spans="1:7" x14ac:dyDescent="0.2">
      <c r="A4024" s="11">
        <v>40914</v>
      </c>
      <c r="B4024" s="10">
        <v>363.88</v>
      </c>
      <c r="C4024" s="10">
        <v>366.1</v>
      </c>
      <c r="D4024" s="10">
        <v>362.92</v>
      </c>
      <c r="E4024" s="13">
        <f t="shared" si="186"/>
        <v>-3.0184146068079729E-3</v>
      </c>
      <c r="F4024" s="9">
        <f t="shared" si="187"/>
        <v>0.10283540041151105</v>
      </c>
      <c r="G4024" s="9">
        <f t="shared" si="188"/>
        <v>1.6699032001717865E-2</v>
      </c>
    </row>
    <row r="4025" spans="1:7" x14ac:dyDescent="0.2">
      <c r="A4025" s="11">
        <v>40917</v>
      </c>
      <c r="B4025" s="10">
        <v>360.62</v>
      </c>
      <c r="C4025" s="10">
        <v>366.32</v>
      </c>
      <c r="D4025" s="10">
        <v>360.55</v>
      </c>
      <c r="E4025" s="13">
        <f t="shared" si="186"/>
        <v>-8.9993706056388078E-3</v>
      </c>
      <c r="F4025" s="9">
        <f t="shared" si="187"/>
        <v>5.5297341801458857E-2</v>
      </c>
      <c r="G4025" s="9">
        <f t="shared" si="188"/>
        <v>1.5426080659633563E-2</v>
      </c>
    </row>
    <row r="4026" spans="1:7" x14ac:dyDescent="0.2">
      <c r="A4026" s="11">
        <v>40918</v>
      </c>
      <c r="B4026" s="10">
        <v>367.39</v>
      </c>
      <c r="C4026" s="10">
        <v>367.55</v>
      </c>
      <c r="D4026" s="10">
        <v>360.62</v>
      </c>
      <c r="E4026" s="13">
        <f t="shared" si="186"/>
        <v>1.85991817716872E-2</v>
      </c>
      <c r="F4026" s="9">
        <f t="shared" si="187"/>
        <v>7.6096938138752082E-2</v>
      </c>
      <c r="G4026" s="9">
        <f t="shared" si="188"/>
        <v>1.5709231998094219E-2</v>
      </c>
    </row>
    <row r="4027" spans="1:7" x14ac:dyDescent="0.2">
      <c r="A4027" s="11">
        <v>40919</v>
      </c>
      <c r="B4027" s="10">
        <v>365.36</v>
      </c>
      <c r="C4027" s="10">
        <v>368.64</v>
      </c>
      <c r="D4027" s="10">
        <v>363.87</v>
      </c>
      <c r="E4027" s="13">
        <f t="shared" si="186"/>
        <v>-5.5407852431659799E-3</v>
      </c>
      <c r="F4027" s="9">
        <f t="shared" si="187"/>
        <v>3.152976016373317E-2</v>
      </c>
      <c r="G4027" s="9">
        <f t="shared" si="188"/>
        <v>1.4120502771830067E-2</v>
      </c>
    </row>
    <row r="4028" spans="1:7" x14ac:dyDescent="0.2">
      <c r="A4028" s="11">
        <v>40920</v>
      </c>
      <c r="B4028" s="10">
        <v>369.46</v>
      </c>
      <c r="C4028" s="10">
        <v>371.37</v>
      </c>
      <c r="D4028" s="10">
        <v>365.27</v>
      </c>
      <c r="E4028" s="13">
        <f t="shared" si="186"/>
        <v>1.1159311253747702E-2</v>
      </c>
      <c r="F4028" s="9">
        <f t="shared" si="187"/>
        <v>4.8297674624880139E-2</v>
      </c>
      <c r="G4028" s="9">
        <f t="shared" si="188"/>
        <v>1.4179711384669476E-2</v>
      </c>
    </row>
    <row r="4029" spans="1:7" x14ac:dyDescent="0.2">
      <c r="A4029" s="11">
        <v>40921</v>
      </c>
      <c r="B4029" s="10">
        <v>365.06</v>
      </c>
      <c r="C4029" s="10">
        <v>371.8</v>
      </c>
      <c r="D4029" s="10">
        <v>362.54</v>
      </c>
      <c r="E4029" s="13">
        <f t="shared" si="186"/>
        <v>-1.1980756495853142E-2</v>
      </c>
      <c r="F4029" s="9">
        <f t="shared" si="187"/>
        <v>3.6345324395451614E-2</v>
      </c>
      <c r="G4029" s="9">
        <f t="shared" si="188"/>
        <v>1.4402655200001354E-2</v>
      </c>
    </row>
    <row r="4030" spans="1:7" x14ac:dyDescent="0.2">
      <c r="A4030" s="11">
        <v>40924</v>
      </c>
      <c r="B4030" s="10">
        <v>366.09</v>
      </c>
      <c r="C4030" s="10">
        <v>366.13</v>
      </c>
      <c r="D4030" s="10">
        <v>360.12</v>
      </c>
      <c r="E4030" s="13">
        <f t="shared" si="186"/>
        <v>2.8174811772196983E-3</v>
      </c>
      <c r="F4030" s="9">
        <f t="shared" si="187"/>
        <v>3.1494078034417401E-2</v>
      </c>
      <c r="G4030" s="9">
        <f t="shared" si="188"/>
        <v>1.4353569291848486E-2</v>
      </c>
    </row>
    <row r="4031" spans="1:7" x14ac:dyDescent="0.2">
      <c r="A4031" s="11">
        <v>40925</v>
      </c>
      <c r="B4031" s="10">
        <v>367.74</v>
      </c>
      <c r="C4031" s="10">
        <v>370.85</v>
      </c>
      <c r="D4031" s="10">
        <v>365.95</v>
      </c>
      <c r="E4031" s="13">
        <f t="shared" si="186"/>
        <v>4.4969619138376382E-3</v>
      </c>
      <c r="F4031" s="9">
        <f t="shared" si="187"/>
        <v>2.9192306076679751E-2</v>
      </c>
      <c r="G4031" s="9">
        <f t="shared" si="188"/>
        <v>1.4327191044045492E-2</v>
      </c>
    </row>
    <row r="4032" spans="1:7" x14ac:dyDescent="0.2">
      <c r="A4032" s="11">
        <v>40926</v>
      </c>
      <c r="B4032" s="10">
        <v>366.49</v>
      </c>
      <c r="C4032" s="10">
        <v>369.55</v>
      </c>
      <c r="D4032" s="10">
        <v>364.4</v>
      </c>
      <c r="E4032" s="13">
        <f t="shared" si="186"/>
        <v>-3.4049309008395401E-3</v>
      </c>
      <c r="F4032" s="9">
        <f t="shared" si="187"/>
        <v>3.8410105606029622E-2</v>
      </c>
      <c r="G4032" s="9">
        <f t="shared" si="188"/>
        <v>1.4114693136883195E-2</v>
      </c>
    </row>
    <row r="4033" spans="1:7" x14ac:dyDescent="0.2">
      <c r="A4033" s="11">
        <v>40927</v>
      </c>
      <c r="B4033" s="10">
        <v>367.93</v>
      </c>
      <c r="C4033" s="10">
        <v>368.99</v>
      </c>
      <c r="D4033" s="10">
        <v>364.37</v>
      </c>
      <c r="E4033" s="13">
        <f t="shared" si="186"/>
        <v>3.9214668591482154E-3</v>
      </c>
      <c r="F4033" s="9">
        <f t="shared" si="187"/>
        <v>6.0356264383106949E-2</v>
      </c>
      <c r="G4033" s="9">
        <f t="shared" si="188"/>
        <v>1.3619882114380295E-2</v>
      </c>
    </row>
    <row r="4034" spans="1:7" x14ac:dyDescent="0.2">
      <c r="A4034" s="11">
        <v>40928</v>
      </c>
      <c r="B4034" s="10">
        <v>365.18</v>
      </c>
      <c r="C4034" s="10">
        <v>369.24</v>
      </c>
      <c r="D4034" s="10">
        <v>363.84</v>
      </c>
      <c r="E4034" s="13">
        <f t="shared" si="186"/>
        <v>-7.502319975417223E-3</v>
      </c>
      <c r="F4034" s="9">
        <f t="shared" si="187"/>
        <v>3.8436749762321032E-2</v>
      </c>
      <c r="G4034" s="9">
        <f t="shared" si="188"/>
        <v>1.3518683934244236E-2</v>
      </c>
    </row>
    <row r="4035" spans="1:7" x14ac:dyDescent="0.2">
      <c r="A4035" s="11">
        <v>40931</v>
      </c>
      <c r="B4035" s="10">
        <v>367.22</v>
      </c>
      <c r="C4035" s="10">
        <v>369.31</v>
      </c>
      <c r="D4035" s="10">
        <v>364.41</v>
      </c>
      <c r="E4035" s="13">
        <f t="shared" si="186"/>
        <v>5.5707407854541065E-3</v>
      </c>
      <c r="F4035" s="9">
        <f t="shared" si="187"/>
        <v>7.2174302267253854E-2</v>
      </c>
      <c r="G4035" s="9">
        <f t="shared" si="188"/>
        <v>1.2285470216955233E-2</v>
      </c>
    </row>
    <row r="4036" spans="1:7" x14ac:dyDescent="0.2">
      <c r="A4036" s="11">
        <v>40932</v>
      </c>
      <c r="B4036" s="10">
        <v>363.54</v>
      </c>
      <c r="C4036" s="10">
        <v>367.23</v>
      </c>
      <c r="D4036" s="10">
        <v>361.14</v>
      </c>
      <c r="E4036" s="13">
        <f t="shared" ref="E4036:E4099" si="189">LN(B4036/B4035)</f>
        <v>-1.0071791309088295E-2</v>
      </c>
      <c r="F4036" s="9">
        <f t="shared" si="187"/>
        <v>5.6178340304507524E-2</v>
      </c>
      <c r="G4036" s="9">
        <f t="shared" si="188"/>
        <v>1.2483217816901503E-2</v>
      </c>
    </row>
    <row r="4037" spans="1:7" x14ac:dyDescent="0.2">
      <c r="A4037" s="11">
        <v>40933</v>
      </c>
      <c r="B4037" s="10">
        <v>364.25</v>
      </c>
      <c r="C4037" s="10">
        <v>366.38</v>
      </c>
      <c r="D4037" s="10">
        <v>362.62</v>
      </c>
      <c r="E4037" s="13">
        <f t="shared" si="189"/>
        <v>1.9511128903613646E-3</v>
      </c>
      <c r="F4037" s="9">
        <f t="shared" si="187"/>
        <v>8.9968261894732088E-2</v>
      </c>
      <c r="G4037" s="9">
        <f t="shared" si="188"/>
        <v>1.06621357177416E-2</v>
      </c>
    </row>
    <row r="4038" spans="1:7" x14ac:dyDescent="0.2">
      <c r="A4038" s="11">
        <v>40934</v>
      </c>
      <c r="B4038" s="10">
        <v>368.7</v>
      </c>
      <c r="C4038" s="10">
        <v>369.17</v>
      </c>
      <c r="D4038" s="10">
        <v>364.25</v>
      </c>
      <c r="E4038" s="13">
        <f t="shared" si="189"/>
        <v>1.2142860164784684E-2</v>
      </c>
      <c r="F4038" s="9">
        <f t="shared" si="187"/>
        <v>8.5163835541063854E-2</v>
      </c>
      <c r="G4038" s="9">
        <f t="shared" si="188"/>
        <v>1.0475011951892231E-2</v>
      </c>
    </row>
    <row r="4039" spans="1:7" x14ac:dyDescent="0.2">
      <c r="A4039" s="11">
        <v>40935</v>
      </c>
      <c r="B4039" s="10">
        <v>368.03</v>
      </c>
      <c r="C4039" s="10">
        <v>370.41</v>
      </c>
      <c r="D4039" s="10">
        <v>366.6</v>
      </c>
      <c r="E4039" s="13">
        <f t="shared" si="189"/>
        <v>-1.8188486547538792E-3</v>
      </c>
      <c r="F4039" s="9">
        <f t="shared" si="187"/>
        <v>7.7367612376487843E-2</v>
      </c>
      <c r="G4039" s="9">
        <f t="shared" si="188"/>
        <v>1.0494212525655952E-2</v>
      </c>
    </row>
    <row r="4040" spans="1:7" x14ac:dyDescent="0.2">
      <c r="A4040" s="11">
        <v>40938</v>
      </c>
      <c r="B4040" s="10">
        <v>363.44</v>
      </c>
      <c r="C4040" s="10">
        <v>368.05</v>
      </c>
      <c r="D4040" s="10">
        <v>362.72</v>
      </c>
      <c r="E4040" s="13">
        <f t="shared" si="189"/>
        <v>-1.2550235134196994E-2</v>
      </c>
      <c r="F4040" s="9">
        <f t="shared" si="187"/>
        <v>7.3811702190366243E-2</v>
      </c>
      <c r="G4040" s="9">
        <f t="shared" si="188"/>
        <v>1.0654887656444491E-2</v>
      </c>
    </row>
    <row r="4041" spans="1:7" x14ac:dyDescent="0.2">
      <c r="A4041" s="11">
        <v>40939</v>
      </c>
      <c r="B4041" s="10">
        <v>365.95</v>
      </c>
      <c r="C4041" s="10">
        <v>367.31</v>
      </c>
      <c r="D4041" s="10">
        <v>363.44</v>
      </c>
      <c r="E4041" s="13">
        <f t="shared" si="189"/>
        <v>6.8824905960882133E-3</v>
      </c>
      <c r="F4041" s="9">
        <f t="shared" si="187"/>
        <v>4.91454670688884E-2</v>
      </c>
      <c r="G4041" s="9">
        <f t="shared" si="188"/>
        <v>9.1327016007712192E-3</v>
      </c>
    </row>
    <row r="4042" spans="1:7" x14ac:dyDescent="0.2">
      <c r="A4042" s="11">
        <v>40940</v>
      </c>
      <c r="B4042" s="10">
        <v>372.79</v>
      </c>
      <c r="C4042" s="10">
        <v>372.85</v>
      </c>
      <c r="D4042" s="10">
        <v>365.83</v>
      </c>
      <c r="E4042" s="13">
        <f t="shared" si="189"/>
        <v>1.8518546370094431E-2</v>
      </c>
      <c r="F4042" s="9">
        <f t="shared" si="187"/>
        <v>7.4663192321031663E-2</v>
      </c>
      <c r="G4042" s="9">
        <f t="shared" si="188"/>
        <v>9.4875497828151977E-3</v>
      </c>
    </row>
    <row r="4043" spans="1:7" x14ac:dyDescent="0.2">
      <c r="A4043" s="11">
        <v>40941</v>
      </c>
      <c r="B4043" s="10">
        <v>373.08</v>
      </c>
      <c r="C4043" s="10">
        <v>373.73</v>
      </c>
      <c r="D4043" s="10">
        <v>369.53</v>
      </c>
      <c r="E4043" s="13">
        <f t="shared" si="189"/>
        <v>7.7761544133213626E-4</v>
      </c>
      <c r="F4043" s="9">
        <f t="shared" si="187"/>
        <v>5.8218518056597696E-2</v>
      </c>
      <c r="G4043" s="9">
        <f t="shared" si="188"/>
        <v>9.0627373845211679E-3</v>
      </c>
    </row>
    <row r="4044" spans="1:7" x14ac:dyDescent="0.2">
      <c r="A4044" s="11">
        <v>40942</v>
      </c>
      <c r="B4044" s="10">
        <v>377.58</v>
      </c>
      <c r="C4044" s="10">
        <v>377.58</v>
      </c>
      <c r="D4044" s="10">
        <v>369.75</v>
      </c>
      <c r="E4044" s="13">
        <f t="shared" si="189"/>
        <v>1.1989592908234523E-2</v>
      </c>
      <c r="F4044" s="9">
        <f t="shared" si="187"/>
        <v>5.9301275144734482E-2</v>
      </c>
      <c r="G4044" s="9">
        <f t="shared" si="188"/>
        <v>9.1028514913960822E-3</v>
      </c>
    </row>
    <row r="4045" spans="1:7" x14ac:dyDescent="0.2">
      <c r="A4045" s="11">
        <v>40945</v>
      </c>
      <c r="B4045" s="10">
        <v>378.04</v>
      </c>
      <c r="C4045" s="10">
        <v>378.41</v>
      </c>
      <c r="D4045" s="10">
        <v>373.87</v>
      </c>
      <c r="E4045" s="13">
        <f t="shared" si="189"/>
        <v>1.2175433599581581E-3</v>
      </c>
      <c r="F4045" s="9">
        <f t="shared" si="187"/>
        <v>5.8385304697815263E-2</v>
      </c>
      <c r="G4045" s="9">
        <f t="shared" si="188"/>
        <v>9.1041219688853797E-3</v>
      </c>
    </row>
    <row r="4046" spans="1:7" x14ac:dyDescent="0.2">
      <c r="A4046" s="11">
        <v>40946</v>
      </c>
      <c r="B4046" s="10">
        <v>375.97</v>
      </c>
      <c r="C4046" s="10">
        <v>380.91</v>
      </c>
      <c r="D4046" s="10">
        <v>372.99</v>
      </c>
      <c r="E4046" s="13">
        <f t="shared" si="189"/>
        <v>-5.4906571541740697E-3</v>
      </c>
      <c r="F4046" s="9">
        <f t="shared" si="187"/>
        <v>6.3778111330462822E-2</v>
      </c>
      <c r="G4046" s="9">
        <f t="shared" si="188"/>
        <v>8.8836953274435675E-3</v>
      </c>
    </row>
    <row r="4047" spans="1:7" x14ac:dyDescent="0.2">
      <c r="A4047" s="11">
        <v>40947</v>
      </c>
      <c r="B4047" s="10">
        <v>378.68</v>
      </c>
      <c r="C4047" s="10">
        <v>381.54</v>
      </c>
      <c r="D4047" s="10">
        <v>375.64</v>
      </c>
      <c r="E4047" s="13">
        <f t="shared" si="189"/>
        <v>7.1821682880090602E-3</v>
      </c>
      <c r="F4047" s="9">
        <f t="shared" si="187"/>
        <v>6.1367609287522273E-2</v>
      </c>
      <c r="G4047" s="9">
        <f t="shared" si="188"/>
        <v>8.82311821184187E-3</v>
      </c>
    </row>
    <row r="4048" spans="1:7" x14ac:dyDescent="0.2">
      <c r="A4048" s="11">
        <v>40948</v>
      </c>
      <c r="B4048" s="10">
        <v>383.3</v>
      </c>
      <c r="C4048" s="10">
        <v>384.57</v>
      </c>
      <c r="D4048" s="10">
        <v>378.68</v>
      </c>
      <c r="E4048" s="13">
        <f t="shared" si="189"/>
        <v>1.2126451125819015E-2</v>
      </c>
      <c r="F4048" s="9">
        <f t="shared" si="187"/>
        <v>6.9402929087150206E-2</v>
      </c>
      <c r="G4048" s="9">
        <f t="shared" si="188"/>
        <v>9.0115148182621351E-3</v>
      </c>
    </row>
    <row r="4049" spans="1:7" x14ac:dyDescent="0.2">
      <c r="A4049" s="11">
        <v>40949</v>
      </c>
      <c r="B4049" s="10">
        <v>384.3</v>
      </c>
      <c r="C4049" s="10">
        <v>384.32</v>
      </c>
      <c r="D4049" s="10">
        <v>380.69</v>
      </c>
      <c r="E4049" s="13">
        <f t="shared" si="189"/>
        <v>2.6055251842887657E-3</v>
      </c>
      <c r="F4049" s="9">
        <f t="shared" si="187"/>
        <v>6.0276646977683146E-2</v>
      </c>
      <c r="G4049" s="9">
        <f t="shared" si="188"/>
        <v>8.8312972729453609E-3</v>
      </c>
    </row>
    <row r="4050" spans="1:7" x14ac:dyDescent="0.2">
      <c r="A4050" s="11">
        <v>40952</v>
      </c>
      <c r="B4050" s="10">
        <v>383.12</v>
      </c>
      <c r="C4050" s="10">
        <v>387.17</v>
      </c>
      <c r="D4050" s="10">
        <v>382.86</v>
      </c>
      <c r="E4050" s="13">
        <f t="shared" si="189"/>
        <v>-3.0752415364443467E-3</v>
      </c>
      <c r="F4050" s="9">
        <f t="shared" si="187"/>
        <v>4.5714922632987653E-2</v>
      </c>
      <c r="G4050" s="9">
        <f t="shared" si="188"/>
        <v>8.6901214972494381E-3</v>
      </c>
    </row>
    <row r="4051" spans="1:7" x14ac:dyDescent="0.2">
      <c r="A4051" s="11">
        <v>40953</v>
      </c>
      <c r="B4051" s="10">
        <v>381.86</v>
      </c>
      <c r="C4051" s="10">
        <v>384.56</v>
      </c>
      <c r="D4051" s="10">
        <v>381.07</v>
      </c>
      <c r="E4051" s="13">
        <f t="shared" si="189"/>
        <v>-3.2942067490355172E-3</v>
      </c>
      <c r="F4051" s="9">
        <f t="shared" si="187"/>
        <v>5.1257459355495111E-2</v>
      </c>
      <c r="G4051" s="9">
        <f t="shared" si="188"/>
        <v>8.5120505701364712E-3</v>
      </c>
    </row>
    <row r="4052" spans="1:7" x14ac:dyDescent="0.2">
      <c r="A4052" s="11">
        <v>40954</v>
      </c>
      <c r="B4052" s="10">
        <v>387.05</v>
      </c>
      <c r="C4052" s="10">
        <v>388.75</v>
      </c>
      <c r="D4052" s="10">
        <v>381.86</v>
      </c>
      <c r="E4052" s="13">
        <f t="shared" si="189"/>
        <v>1.3499834365404044E-2</v>
      </c>
      <c r="F4052" s="9">
        <f t="shared" si="187"/>
        <v>5.8711326090053376E-2</v>
      </c>
      <c r="G4052" s="9">
        <f t="shared" si="188"/>
        <v>8.7549306030524077E-3</v>
      </c>
    </row>
    <row r="4053" spans="1:7" x14ac:dyDescent="0.2">
      <c r="A4053" s="11">
        <v>40955</v>
      </c>
      <c r="B4053" s="10">
        <v>388.42</v>
      </c>
      <c r="C4053" s="10">
        <v>388.57</v>
      </c>
      <c r="D4053" s="10">
        <v>384.75</v>
      </c>
      <c r="E4053" s="13">
        <f t="shared" si="189"/>
        <v>3.5333447465829685E-3</v>
      </c>
      <c r="F4053" s="9">
        <f t="shared" si="187"/>
        <v>6.5263085443444321E-2</v>
      </c>
      <c r="G4053" s="9">
        <f t="shared" si="188"/>
        <v>8.704538504775235E-3</v>
      </c>
    </row>
    <row r="4054" spans="1:7" x14ac:dyDescent="0.2">
      <c r="A4054" s="11">
        <v>40956</v>
      </c>
      <c r="B4054" s="10">
        <v>387.57</v>
      </c>
      <c r="C4054" s="10">
        <v>392.27</v>
      </c>
      <c r="D4054" s="10">
        <v>387.07</v>
      </c>
      <c r="E4054" s="13">
        <f t="shared" si="189"/>
        <v>-2.1907507569858269E-3</v>
      </c>
      <c r="F4054" s="9">
        <f t="shared" si="187"/>
        <v>7.2071705292097374E-2</v>
      </c>
      <c r="G4054" s="9">
        <f t="shared" si="188"/>
        <v>8.479174050916605E-3</v>
      </c>
    </row>
    <row r="4055" spans="1:7" x14ac:dyDescent="0.2">
      <c r="A4055" s="11">
        <v>40959</v>
      </c>
      <c r="B4055" s="10">
        <v>393.1</v>
      </c>
      <c r="C4055" s="10">
        <v>393.44</v>
      </c>
      <c r="D4055" s="10">
        <v>387.57</v>
      </c>
      <c r="E4055" s="13">
        <f t="shared" si="189"/>
        <v>1.4167554787495044E-2</v>
      </c>
      <c r="F4055" s="9">
        <f t="shared" si="187"/>
        <v>6.7640078307905208E-2</v>
      </c>
      <c r="G4055" s="9">
        <f t="shared" si="188"/>
        <v>8.2141842827656488E-3</v>
      </c>
    </row>
    <row r="4056" spans="1:7" x14ac:dyDescent="0.2">
      <c r="A4056" s="11">
        <v>40960</v>
      </c>
      <c r="B4056" s="10">
        <v>392.15</v>
      </c>
      <c r="C4056" s="10">
        <v>393.59</v>
      </c>
      <c r="D4056" s="10">
        <v>390.73</v>
      </c>
      <c r="E4056" s="13">
        <f t="shared" si="189"/>
        <v>-2.4196127691392842E-3</v>
      </c>
      <c r="F4056" s="9">
        <f t="shared" si="187"/>
        <v>7.0761250781931836E-2</v>
      </c>
      <c r="G4056" s="9">
        <f t="shared" si="188"/>
        <v>8.1273295809902238E-3</v>
      </c>
    </row>
    <row r="4057" spans="1:7" x14ac:dyDescent="0.2">
      <c r="A4057" s="11">
        <v>40961</v>
      </c>
      <c r="B4057" s="10">
        <v>393.21</v>
      </c>
      <c r="C4057" s="10">
        <v>393.71</v>
      </c>
      <c r="D4057" s="10">
        <v>389.77</v>
      </c>
      <c r="E4057" s="13">
        <f t="shared" si="189"/>
        <v>2.699400640888419E-3</v>
      </c>
      <c r="F4057" s="9">
        <f t="shared" si="187"/>
        <v>6.2301340169072648E-2</v>
      </c>
      <c r="G4057" s="9">
        <f t="shared" si="188"/>
        <v>7.9531469669071857E-3</v>
      </c>
    </row>
    <row r="4058" spans="1:7" x14ac:dyDescent="0.2">
      <c r="A4058" s="11">
        <v>40962</v>
      </c>
      <c r="B4058" s="10">
        <v>390.91</v>
      </c>
      <c r="C4058" s="10">
        <v>394.84</v>
      </c>
      <c r="D4058" s="10">
        <v>389.28</v>
      </c>
      <c r="E4058" s="13">
        <f t="shared" si="189"/>
        <v>-5.8664658375893247E-3</v>
      </c>
      <c r="F4058" s="9">
        <f t="shared" si="187"/>
        <v>6.8415630827336371E-2</v>
      </c>
      <c r="G4058" s="9">
        <f t="shared" si="188"/>
        <v>7.6400919697266886E-3</v>
      </c>
    </row>
    <row r="4059" spans="1:7" x14ac:dyDescent="0.2">
      <c r="A4059" s="11">
        <v>40963</v>
      </c>
      <c r="B4059" s="10">
        <v>394.92</v>
      </c>
      <c r="C4059" s="10">
        <v>395.64</v>
      </c>
      <c r="D4059" s="10">
        <v>390.91</v>
      </c>
      <c r="E4059" s="13">
        <f t="shared" si="189"/>
        <v>1.0205858281274337E-2</v>
      </c>
      <c r="F4059" s="9">
        <f t="shared" si="187"/>
        <v>7.5804007931391082E-2</v>
      </c>
      <c r="G4059" s="9">
        <f t="shared" si="188"/>
        <v>7.7778679139201045E-3</v>
      </c>
    </row>
    <row r="4060" spans="1:7" x14ac:dyDescent="0.2">
      <c r="A4060" s="11">
        <v>40966</v>
      </c>
      <c r="B4060" s="10">
        <v>396.2</v>
      </c>
      <c r="C4060" s="10">
        <v>396.2</v>
      </c>
      <c r="D4060" s="10">
        <v>392.81</v>
      </c>
      <c r="E4060" s="13">
        <f t="shared" si="189"/>
        <v>3.2359215212016657E-3</v>
      </c>
      <c r="F4060" s="9">
        <f t="shared" si="187"/>
        <v>7.4542967538755195E-2</v>
      </c>
      <c r="G4060" s="9">
        <f t="shared" si="188"/>
        <v>7.7704859480099472E-3</v>
      </c>
    </row>
    <row r="4061" spans="1:7" x14ac:dyDescent="0.2">
      <c r="A4061" s="11">
        <v>40967</v>
      </c>
      <c r="B4061" s="10">
        <v>398.2</v>
      </c>
      <c r="C4061" s="10">
        <v>398.25</v>
      </c>
      <c r="D4061" s="10">
        <v>394.82</v>
      </c>
      <c r="E4061" s="13">
        <f t="shared" si="189"/>
        <v>5.0352573656454284E-3</v>
      </c>
      <c r="F4061" s="9">
        <f t="shared" si="187"/>
        <v>8.2983155805239975E-2</v>
      </c>
      <c r="G4061" s="9">
        <f t="shared" si="188"/>
        <v>7.6963960910499309E-3</v>
      </c>
    </row>
    <row r="4062" spans="1:7" x14ac:dyDescent="0.2">
      <c r="A4062" s="11">
        <v>40968</v>
      </c>
      <c r="B4062" s="10">
        <v>397.4</v>
      </c>
      <c r="C4062" s="10">
        <v>399.89</v>
      </c>
      <c r="D4062" s="10">
        <v>396.21</v>
      </c>
      <c r="E4062" s="13">
        <f t="shared" si="189"/>
        <v>-2.0110615123794476E-3</v>
      </c>
      <c r="F4062" s="9">
        <f t="shared" si="187"/>
        <v>7.7050627433712215E-2</v>
      </c>
      <c r="G4062" s="9">
        <f t="shared" si="188"/>
        <v>7.7458996670565711E-3</v>
      </c>
    </row>
    <row r="4063" spans="1:7" x14ac:dyDescent="0.2">
      <c r="A4063" s="11">
        <v>40969</v>
      </c>
      <c r="B4063" s="10">
        <v>396.19</v>
      </c>
      <c r="C4063" s="10">
        <v>397.76</v>
      </c>
      <c r="D4063" s="10">
        <v>394.17</v>
      </c>
      <c r="E4063" s="13">
        <f t="shared" si="189"/>
        <v>-3.0494359496843881E-3</v>
      </c>
      <c r="F4063" s="9">
        <f t="shared" si="187"/>
        <v>8.1503511459445219E-2</v>
      </c>
      <c r="G4063" s="9">
        <f t="shared" si="188"/>
        <v>7.5796710104262663E-3</v>
      </c>
    </row>
    <row r="4064" spans="1:7" x14ac:dyDescent="0.2">
      <c r="A4064" s="11">
        <v>40970</v>
      </c>
      <c r="B4064" s="10">
        <v>396.65</v>
      </c>
      <c r="C4064" s="10">
        <v>397.52</v>
      </c>
      <c r="D4064" s="10">
        <v>395.43</v>
      </c>
      <c r="E4064" s="13">
        <f t="shared" si="189"/>
        <v>1.1603855799797666E-3</v>
      </c>
      <c r="F4064" s="9">
        <f t="shared" ref="F4064:F4127" si="190">LN(B4064/B4035)</f>
        <v>7.7093156253970854E-2</v>
      </c>
      <c r="G4064" s="9">
        <f t="shared" si="188"/>
        <v>7.5665440051470197E-3</v>
      </c>
    </row>
    <row r="4065" spans="1:7" x14ac:dyDescent="0.2">
      <c r="A4065" s="11">
        <v>40973</v>
      </c>
      <c r="B4065" s="10">
        <v>391.11</v>
      </c>
      <c r="C4065" s="10">
        <v>396.65</v>
      </c>
      <c r="D4065" s="10">
        <v>390.85</v>
      </c>
      <c r="E4065" s="13">
        <f t="shared" si="189"/>
        <v>-1.4065429405214784E-2</v>
      </c>
      <c r="F4065" s="9">
        <f t="shared" si="190"/>
        <v>7.309951815784442E-2</v>
      </c>
      <c r="G4065" s="9">
        <f t="shared" ref="G4065:G4128" si="191">STDEV(E4037:E4065)</f>
        <v>7.837982328645049E-3</v>
      </c>
    </row>
    <row r="4066" spans="1:7" x14ac:dyDescent="0.2">
      <c r="A4066" s="11">
        <v>40974</v>
      </c>
      <c r="B4066" s="10">
        <v>379.48</v>
      </c>
      <c r="C4066" s="10">
        <v>391.11</v>
      </c>
      <c r="D4066" s="10">
        <v>379.48</v>
      </c>
      <c r="E4066" s="13">
        <f t="shared" si="189"/>
        <v>-3.0186955818121017E-2</v>
      </c>
      <c r="F4066" s="9">
        <f t="shared" si="190"/>
        <v>4.0961449449361829E-2</v>
      </c>
      <c r="G4066" s="9">
        <f t="shared" si="191"/>
        <v>9.917516892527737E-3</v>
      </c>
    </row>
    <row r="4067" spans="1:7" x14ac:dyDescent="0.2">
      <c r="A4067" s="11">
        <v>40975</v>
      </c>
      <c r="B4067" s="10">
        <v>384.28</v>
      </c>
      <c r="C4067" s="10">
        <v>384.28</v>
      </c>
      <c r="D4067" s="10">
        <v>379.08</v>
      </c>
      <c r="E4067" s="13">
        <f t="shared" si="189"/>
        <v>1.256955901686165E-2</v>
      </c>
      <c r="F4067" s="9">
        <f t="shared" si="190"/>
        <v>4.1388148301438804E-2</v>
      </c>
      <c r="G4067" s="9">
        <f t="shared" si="191"/>
        <v>9.9343075213286017E-3</v>
      </c>
    </row>
    <row r="4068" spans="1:7" x14ac:dyDescent="0.2">
      <c r="A4068" s="11">
        <v>40976</v>
      </c>
      <c r="B4068" s="10">
        <v>391.65</v>
      </c>
      <c r="C4068" s="10">
        <v>392.21</v>
      </c>
      <c r="D4068" s="10">
        <v>384.28</v>
      </c>
      <c r="E4068" s="13">
        <f t="shared" si="189"/>
        <v>1.8997130271709798E-2</v>
      </c>
      <c r="F4068" s="9">
        <f t="shared" si="190"/>
        <v>6.2204127227902535E-2</v>
      </c>
      <c r="G4068" s="9">
        <f t="shared" si="191"/>
        <v>1.0430994419888475E-2</v>
      </c>
    </row>
    <row r="4069" spans="1:7" x14ac:dyDescent="0.2">
      <c r="A4069" s="11">
        <v>40977</v>
      </c>
      <c r="B4069" s="10">
        <v>393.63</v>
      </c>
      <c r="C4069" s="10">
        <v>394.44</v>
      </c>
      <c r="D4069" s="10">
        <v>390.59</v>
      </c>
      <c r="E4069" s="13">
        <f t="shared" si="189"/>
        <v>5.0427979724866154E-3</v>
      </c>
      <c r="F4069" s="9">
        <f t="shared" si="190"/>
        <v>7.9797160334586184E-2</v>
      </c>
      <c r="G4069" s="9">
        <f t="shared" si="191"/>
        <v>1.00504681487006E-2</v>
      </c>
    </row>
    <row r="4070" spans="1:7" x14ac:dyDescent="0.2">
      <c r="A4070" s="11">
        <v>40980</v>
      </c>
      <c r="B4070" s="10">
        <v>390.8</v>
      </c>
      <c r="C4070" s="10">
        <v>393.77</v>
      </c>
      <c r="D4070" s="10">
        <v>390.53</v>
      </c>
      <c r="E4070" s="13">
        <f t="shared" si="189"/>
        <v>-7.2154616171063385E-3</v>
      </c>
      <c r="F4070" s="9">
        <f t="shared" si="190"/>
        <v>6.5699208121391683E-2</v>
      </c>
      <c r="G4070" s="9">
        <f t="shared" si="191"/>
        <v>1.0183598075810481E-2</v>
      </c>
    </row>
    <row r="4071" spans="1:7" x14ac:dyDescent="0.2">
      <c r="A4071" s="11">
        <v>40981</v>
      </c>
      <c r="B4071" s="10">
        <v>395.41</v>
      </c>
      <c r="C4071" s="10">
        <v>395.83</v>
      </c>
      <c r="D4071" s="10">
        <v>390.8</v>
      </c>
      <c r="E4071" s="13">
        <f t="shared" si="189"/>
        <v>1.1727281092795028E-2</v>
      </c>
      <c r="F4071" s="9">
        <f t="shared" si="190"/>
        <v>5.8907942844092231E-2</v>
      </c>
      <c r="G4071" s="9">
        <f t="shared" si="191"/>
        <v>9.8697445561076007E-3</v>
      </c>
    </row>
    <row r="4072" spans="1:7" x14ac:dyDescent="0.2">
      <c r="A4072" s="11">
        <v>40982</v>
      </c>
      <c r="B4072" s="10">
        <v>399.75</v>
      </c>
      <c r="C4072" s="10">
        <v>400.52</v>
      </c>
      <c r="D4072" s="10">
        <v>395.41</v>
      </c>
      <c r="E4072" s="13">
        <f t="shared" si="189"/>
        <v>1.0916150452640737E-2</v>
      </c>
      <c r="F4072" s="9">
        <f t="shared" si="190"/>
        <v>6.904647785540094E-2</v>
      </c>
      <c r="G4072" s="9">
        <f t="shared" si="191"/>
        <v>1.000242150437404E-2</v>
      </c>
    </row>
    <row r="4073" spans="1:7" x14ac:dyDescent="0.2">
      <c r="A4073" s="11">
        <v>40983</v>
      </c>
      <c r="B4073" s="10">
        <v>399.58</v>
      </c>
      <c r="C4073" s="10">
        <v>401.59</v>
      </c>
      <c r="D4073" s="10">
        <v>398.78</v>
      </c>
      <c r="E4073" s="13">
        <f t="shared" si="189"/>
        <v>-4.2535624226076375E-4</v>
      </c>
      <c r="F4073" s="9">
        <f t="shared" si="190"/>
        <v>5.6631528704905613E-2</v>
      </c>
      <c r="G4073" s="9">
        <f t="shared" si="191"/>
        <v>9.8408582742589221E-3</v>
      </c>
    </row>
    <row r="4074" spans="1:7" x14ac:dyDescent="0.2">
      <c r="A4074" s="11">
        <v>40984</v>
      </c>
      <c r="B4074" s="10">
        <v>401.64</v>
      </c>
      <c r="C4074" s="10">
        <v>402.4</v>
      </c>
      <c r="D4074" s="10">
        <v>399.5</v>
      </c>
      <c r="E4074" s="13">
        <f t="shared" si="189"/>
        <v>5.1421695394326013E-3</v>
      </c>
      <c r="F4074" s="9">
        <f t="shared" si="190"/>
        <v>6.0556154884380022E-2</v>
      </c>
      <c r="G4074" s="9">
        <f t="shared" si="191"/>
        <v>9.8573577008196807E-3</v>
      </c>
    </row>
    <row r="4075" spans="1:7" x14ac:dyDescent="0.2">
      <c r="A4075" s="11">
        <v>40987</v>
      </c>
      <c r="B4075" s="10">
        <v>403.51</v>
      </c>
      <c r="C4075" s="10">
        <v>403.51</v>
      </c>
      <c r="D4075" s="10">
        <v>400.7</v>
      </c>
      <c r="E4075" s="13">
        <f t="shared" si="189"/>
        <v>4.6451055391304808E-3</v>
      </c>
      <c r="F4075" s="9">
        <f t="shared" si="190"/>
        <v>7.0691917577684643E-2</v>
      </c>
      <c r="G4075" s="9">
        <f t="shared" si="191"/>
        <v>9.7582333786777539E-3</v>
      </c>
    </row>
    <row r="4076" spans="1:7" x14ac:dyDescent="0.2">
      <c r="A4076" s="11">
        <v>40988</v>
      </c>
      <c r="B4076" s="10">
        <v>396.52</v>
      </c>
      <c r="C4076" s="10">
        <v>403.51</v>
      </c>
      <c r="D4076" s="10">
        <v>396.11</v>
      </c>
      <c r="E4076" s="13">
        <f t="shared" si="189"/>
        <v>-1.7474789385669369E-2</v>
      </c>
      <c r="F4076" s="9">
        <f t="shared" si="190"/>
        <v>4.6034959904006266E-2</v>
      </c>
      <c r="G4076" s="9">
        <f t="shared" si="191"/>
        <v>1.0384187664320959E-2</v>
      </c>
    </row>
    <row r="4077" spans="1:7" x14ac:dyDescent="0.2">
      <c r="A4077" s="11">
        <v>40989</v>
      </c>
      <c r="B4077" s="10">
        <v>395.6</v>
      </c>
      <c r="C4077" s="10">
        <v>399.56</v>
      </c>
      <c r="D4077" s="10">
        <v>393.38</v>
      </c>
      <c r="E4077" s="13">
        <f t="shared" si="189"/>
        <v>-2.3228814161395271E-3</v>
      </c>
      <c r="F4077" s="9">
        <f t="shared" si="190"/>
        <v>3.1585627362047647E-2</v>
      </c>
      <c r="G4077" s="9">
        <f t="shared" si="191"/>
        <v>1.0205561397452387E-2</v>
      </c>
    </row>
    <row r="4078" spans="1:7" x14ac:dyDescent="0.2">
      <c r="A4078" s="11">
        <v>40990</v>
      </c>
      <c r="B4078" s="10">
        <v>391.72</v>
      </c>
      <c r="C4078" s="10">
        <v>396.07</v>
      </c>
      <c r="D4078" s="10">
        <v>390.33</v>
      </c>
      <c r="E4078" s="13">
        <f t="shared" si="189"/>
        <v>-9.8563008959632707E-3</v>
      </c>
      <c r="F4078" s="9">
        <f t="shared" si="190"/>
        <v>1.9123801281795558E-2</v>
      </c>
      <c r="G4078" s="9">
        <f t="shared" si="191"/>
        <v>1.0399941970132196E-2</v>
      </c>
    </row>
    <row r="4079" spans="1:7" x14ac:dyDescent="0.2">
      <c r="A4079" s="11">
        <v>40991</v>
      </c>
      <c r="B4079" s="10">
        <v>396.2</v>
      </c>
      <c r="C4079" s="10">
        <v>396.67</v>
      </c>
      <c r="D4079" s="10">
        <v>391.68</v>
      </c>
      <c r="E4079" s="13">
        <f t="shared" si="189"/>
        <v>1.1371835411856629E-2</v>
      </c>
      <c r="F4079" s="9">
        <f t="shared" si="190"/>
        <v>3.3570878230096496E-2</v>
      </c>
      <c r="G4079" s="9">
        <f t="shared" si="191"/>
        <v>1.0559451687131419E-2</v>
      </c>
    </row>
    <row r="4080" spans="1:7" x14ac:dyDescent="0.2">
      <c r="A4080" s="11">
        <v>40994</v>
      </c>
      <c r="B4080" s="10">
        <v>401.92</v>
      </c>
      <c r="C4080" s="10">
        <v>401.92</v>
      </c>
      <c r="D4080" s="10">
        <v>395.76</v>
      </c>
      <c r="E4080" s="13">
        <f t="shared" si="189"/>
        <v>1.4333929575328629E-2</v>
      </c>
      <c r="F4080" s="9">
        <f t="shared" si="190"/>
        <v>5.1199014554460846E-2</v>
      </c>
      <c r="G4080" s="9">
        <f t="shared" si="191"/>
        <v>1.0798706100040611E-2</v>
      </c>
    </row>
    <row r="4081" spans="1:7" x14ac:dyDescent="0.2">
      <c r="A4081" s="11">
        <v>40995</v>
      </c>
      <c r="B4081" s="10">
        <v>396.75</v>
      </c>
      <c r="C4081" s="10">
        <v>403.73</v>
      </c>
      <c r="D4081" s="10">
        <v>396.74</v>
      </c>
      <c r="E4081" s="13">
        <f t="shared" si="189"/>
        <v>-1.2946704433260715E-2</v>
      </c>
      <c r="F4081" s="9">
        <f t="shared" si="190"/>
        <v>2.475247575579596E-2</v>
      </c>
      <c r="G4081" s="9">
        <f t="shared" si="191"/>
        <v>1.0888678681847131E-2</v>
      </c>
    </row>
    <row r="4082" spans="1:7" x14ac:dyDescent="0.2">
      <c r="A4082" s="11">
        <v>40996</v>
      </c>
      <c r="B4082" s="10">
        <v>394.34</v>
      </c>
      <c r="C4082" s="10">
        <v>397.55</v>
      </c>
      <c r="D4082" s="10">
        <v>393.66</v>
      </c>
      <c r="E4082" s="13">
        <f t="shared" si="189"/>
        <v>-6.0928780683968528E-3</v>
      </c>
      <c r="F4082" s="9">
        <f t="shared" si="190"/>
        <v>1.5126252940816196E-2</v>
      </c>
      <c r="G4082" s="9">
        <f t="shared" si="191"/>
        <v>1.0950618032705238E-2</v>
      </c>
    </row>
    <row r="4083" spans="1:7" x14ac:dyDescent="0.2">
      <c r="A4083" s="11">
        <v>40997</v>
      </c>
      <c r="B4083" s="10">
        <v>388.5</v>
      </c>
      <c r="C4083" s="10">
        <v>394.62</v>
      </c>
      <c r="D4083" s="10">
        <v>388.1</v>
      </c>
      <c r="E4083" s="13">
        <f t="shared" si="189"/>
        <v>-1.4920311530419542E-2</v>
      </c>
      <c r="F4083" s="9">
        <f t="shared" si="190"/>
        <v>2.3966921673826244E-3</v>
      </c>
      <c r="G4083" s="9">
        <f t="shared" si="191"/>
        <v>1.1312377858694005E-2</v>
      </c>
    </row>
    <row r="4084" spans="1:7" x14ac:dyDescent="0.2">
      <c r="A4084" s="11">
        <v>40998</v>
      </c>
      <c r="B4084" s="10">
        <v>394.39</v>
      </c>
      <c r="C4084" s="10">
        <v>394.39</v>
      </c>
      <c r="D4084" s="10">
        <v>388.49</v>
      </c>
      <c r="E4084" s="13">
        <f t="shared" si="189"/>
        <v>1.5047097629761513E-2</v>
      </c>
      <c r="F4084" s="9">
        <f t="shared" si="190"/>
        <v>3.2762350096488583E-3</v>
      </c>
      <c r="G4084" s="9">
        <f t="shared" si="191"/>
        <v>1.1352596434854102E-2</v>
      </c>
    </row>
    <row r="4085" spans="1:7" x14ac:dyDescent="0.2">
      <c r="A4085" s="11">
        <v>41001</v>
      </c>
      <c r="B4085" s="10">
        <v>398.67</v>
      </c>
      <c r="C4085" s="10">
        <v>398.67</v>
      </c>
      <c r="D4085" s="10">
        <v>392.9</v>
      </c>
      <c r="E4085" s="13">
        <f t="shared" si="189"/>
        <v>1.0793739574062496E-2</v>
      </c>
      <c r="F4085" s="9">
        <f t="shared" si="190"/>
        <v>1.6489587352850599E-2</v>
      </c>
      <c r="G4085" s="9">
        <f t="shared" si="191"/>
        <v>1.1511368314205321E-2</v>
      </c>
    </row>
    <row r="4086" spans="1:7" x14ac:dyDescent="0.2">
      <c r="A4086" s="11">
        <v>41002</v>
      </c>
      <c r="B4086" s="10">
        <v>394.62</v>
      </c>
      <c r="C4086" s="10">
        <v>399.01</v>
      </c>
      <c r="D4086" s="10">
        <v>394.55</v>
      </c>
      <c r="E4086" s="13">
        <f t="shared" si="189"/>
        <v>-1.0210730470211414E-2</v>
      </c>
      <c r="F4086" s="9">
        <f t="shared" si="190"/>
        <v>3.5794562417507444E-3</v>
      </c>
      <c r="G4086" s="9">
        <f t="shared" si="191"/>
        <v>1.1674501123107892E-2</v>
      </c>
    </row>
    <row r="4087" spans="1:7" x14ac:dyDescent="0.2">
      <c r="A4087" s="11">
        <v>41003</v>
      </c>
      <c r="B4087" s="10">
        <v>389.61</v>
      </c>
      <c r="C4087" s="10">
        <v>394.62</v>
      </c>
      <c r="D4087" s="10">
        <v>389.08</v>
      </c>
      <c r="E4087" s="13">
        <f t="shared" si="189"/>
        <v>-1.2777037751206059E-2</v>
      </c>
      <c r="F4087" s="9">
        <f t="shared" si="190"/>
        <v>-3.3311156718658389E-3</v>
      </c>
      <c r="G4087" s="9">
        <f t="shared" si="191"/>
        <v>1.1870021952064205E-2</v>
      </c>
    </row>
    <row r="4088" spans="1:7" x14ac:dyDescent="0.2">
      <c r="A4088" s="11">
        <v>41009</v>
      </c>
      <c r="B4088" s="10">
        <v>377.6</v>
      </c>
      <c r="C4088" s="10">
        <v>389.65</v>
      </c>
      <c r="D4088" s="10">
        <v>377.6</v>
      </c>
      <c r="E4088" s="13">
        <f t="shared" si="189"/>
        <v>-3.1310804518762871E-2</v>
      </c>
      <c r="F4088" s="9">
        <f t="shared" si="190"/>
        <v>-4.4847778471903237E-2</v>
      </c>
      <c r="G4088" s="9">
        <f t="shared" si="191"/>
        <v>1.3027938915609123E-2</v>
      </c>
    </row>
    <row r="4089" spans="1:7" x14ac:dyDescent="0.2">
      <c r="A4089" s="11">
        <v>41010</v>
      </c>
      <c r="B4089" s="10">
        <v>380.14</v>
      </c>
      <c r="C4089" s="10">
        <v>381.68</v>
      </c>
      <c r="D4089" s="10">
        <v>376.07</v>
      </c>
      <c r="E4089" s="13">
        <f t="shared" si="189"/>
        <v>6.7041716513458914E-3</v>
      </c>
      <c r="F4089" s="9">
        <f t="shared" si="190"/>
        <v>-4.1379528341759099E-2</v>
      </c>
      <c r="G4089" s="9">
        <f t="shared" si="191"/>
        <v>1.3089183725238688E-2</v>
      </c>
    </row>
    <row r="4090" spans="1:7" x14ac:dyDescent="0.2">
      <c r="A4090" s="11">
        <v>41011</v>
      </c>
      <c r="B4090" s="10">
        <v>386.21</v>
      </c>
      <c r="C4090" s="10">
        <v>386.22</v>
      </c>
      <c r="D4090" s="10">
        <v>378.93</v>
      </c>
      <c r="E4090" s="13">
        <f t="shared" si="189"/>
        <v>1.5841657056019923E-2</v>
      </c>
      <c r="F4090" s="9">
        <f t="shared" si="190"/>
        <v>-3.0573128651384528E-2</v>
      </c>
      <c r="G4090" s="9">
        <f t="shared" si="191"/>
        <v>1.3429132482487043E-2</v>
      </c>
    </row>
    <row r="4091" spans="1:7" x14ac:dyDescent="0.2">
      <c r="A4091" s="11">
        <v>41012</v>
      </c>
      <c r="B4091" s="10">
        <v>382.32</v>
      </c>
      <c r="C4091" s="10">
        <v>386.63</v>
      </c>
      <c r="D4091" s="10">
        <v>381.12</v>
      </c>
      <c r="E4091" s="13">
        <f t="shared" si="189"/>
        <v>-1.0123308708808605E-2</v>
      </c>
      <c r="F4091" s="9">
        <f t="shared" si="190"/>
        <v>-3.8685375847813626E-2</v>
      </c>
      <c r="G4091" s="9">
        <f t="shared" si="191"/>
        <v>1.3533856914476427E-2</v>
      </c>
    </row>
    <row r="4092" spans="1:7" x14ac:dyDescent="0.2">
      <c r="A4092" s="11">
        <v>41015</v>
      </c>
      <c r="B4092" s="10">
        <v>382.2</v>
      </c>
      <c r="C4092" s="10">
        <v>384.93</v>
      </c>
      <c r="D4092" s="10">
        <v>379.29</v>
      </c>
      <c r="E4092" s="13">
        <f t="shared" si="189"/>
        <v>-3.1392246373011665E-4</v>
      </c>
      <c r="F4092" s="9">
        <f t="shared" si="190"/>
        <v>-3.5949862361859354E-2</v>
      </c>
      <c r="G4092" s="9">
        <f t="shared" si="191"/>
        <v>1.3531006202368195E-2</v>
      </c>
    </row>
    <row r="4093" spans="1:7" x14ac:dyDescent="0.2">
      <c r="A4093" s="11">
        <v>41016</v>
      </c>
      <c r="B4093" s="10">
        <v>391.04</v>
      </c>
      <c r="C4093" s="10">
        <v>391.05</v>
      </c>
      <c r="D4093" s="10">
        <v>380.16</v>
      </c>
      <c r="E4093" s="13">
        <f t="shared" si="189"/>
        <v>2.2865824737003129E-2</v>
      </c>
      <c r="F4093" s="9">
        <f t="shared" si="190"/>
        <v>-1.4244423204835975E-2</v>
      </c>
      <c r="G4093" s="9">
        <f t="shared" si="191"/>
        <v>1.4249731376625765E-2</v>
      </c>
    </row>
    <row r="4094" spans="1:7" x14ac:dyDescent="0.2">
      <c r="A4094" s="11">
        <v>41017</v>
      </c>
      <c r="B4094" s="10">
        <v>389.79</v>
      </c>
      <c r="C4094" s="10">
        <v>393</v>
      </c>
      <c r="D4094" s="10">
        <v>387.87</v>
      </c>
      <c r="E4094" s="13">
        <f t="shared" si="189"/>
        <v>-3.2017239804211493E-3</v>
      </c>
      <c r="F4094" s="9">
        <f t="shared" si="190"/>
        <v>-3.3807177800424335E-3</v>
      </c>
      <c r="G4094" s="9">
        <f t="shared" si="191"/>
        <v>1.4021097542250512E-2</v>
      </c>
    </row>
    <row r="4095" spans="1:7" x14ac:dyDescent="0.2">
      <c r="A4095" s="11">
        <v>41018</v>
      </c>
      <c r="B4095" s="10">
        <v>388.93</v>
      </c>
      <c r="C4095" s="10">
        <v>392.55</v>
      </c>
      <c r="D4095" s="10">
        <v>388.39</v>
      </c>
      <c r="E4095" s="13">
        <f t="shared" si="189"/>
        <v>-2.2087537231160717E-3</v>
      </c>
      <c r="F4095" s="9">
        <f t="shared" si="190"/>
        <v>2.4597484314962524E-2</v>
      </c>
      <c r="G4095" s="9">
        <f t="shared" si="191"/>
        <v>1.2786306879503807E-2</v>
      </c>
    </row>
    <row r="4096" spans="1:7" x14ac:dyDescent="0.2">
      <c r="A4096" s="11">
        <v>41019</v>
      </c>
      <c r="B4096" s="10">
        <v>389.83</v>
      </c>
      <c r="C4096" s="10">
        <v>390.43</v>
      </c>
      <c r="D4096" s="10">
        <v>387.27</v>
      </c>
      <c r="E4096" s="13">
        <f t="shared" si="189"/>
        <v>2.3113678172518373E-3</v>
      </c>
      <c r="F4096" s="9">
        <f t="shared" si="190"/>
        <v>1.4339293115352919E-2</v>
      </c>
      <c r="G4096" s="9">
        <f t="shared" si="191"/>
        <v>1.2590858026083829E-2</v>
      </c>
    </row>
    <row r="4097" spans="1:7" x14ac:dyDescent="0.2">
      <c r="A4097" s="11">
        <v>41022</v>
      </c>
      <c r="B4097" s="10">
        <v>378.56</v>
      </c>
      <c r="C4097" s="10">
        <v>389.83</v>
      </c>
      <c r="D4097" s="10">
        <v>376.9</v>
      </c>
      <c r="E4097" s="13">
        <f t="shared" si="189"/>
        <v>-2.9336165866868533E-2</v>
      </c>
      <c r="F4097" s="9">
        <f t="shared" si="190"/>
        <v>-3.3994003023225479E-2</v>
      </c>
      <c r="G4097" s="9">
        <f t="shared" si="191"/>
        <v>1.323657488052158E-2</v>
      </c>
    </row>
    <row r="4098" spans="1:7" x14ac:dyDescent="0.2">
      <c r="A4098" s="11">
        <v>41023</v>
      </c>
      <c r="B4098" s="10">
        <v>385.02</v>
      </c>
      <c r="C4098" s="10">
        <v>385.02</v>
      </c>
      <c r="D4098" s="10">
        <v>378.56</v>
      </c>
      <c r="E4098" s="13">
        <f t="shared" si="189"/>
        <v>1.692070020045687E-2</v>
      </c>
      <c r="F4098" s="9">
        <f t="shared" si="190"/>
        <v>-2.2116100795255184E-2</v>
      </c>
      <c r="G4098" s="9">
        <f t="shared" si="191"/>
        <v>1.3614141318071723E-2</v>
      </c>
    </row>
    <row r="4099" spans="1:7" x14ac:dyDescent="0.2">
      <c r="A4099" s="11">
        <v>41024</v>
      </c>
      <c r="B4099" s="10">
        <v>388.95</v>
      </c>
      <c r="C4099" s="10">
        <v>390.18</v>
      </c>
      <c r="D4099" s="10">
        <v>384.68</v>
      </c>
      <c r="E4099" s="13">
        <f t="shared" si="189"/>
        <v>1.0155519662304147E-2</v>
      </c>
      <c r="F4099" s="9">
        <f t="shared" si="190"/>
        <v>-4.7451195158446473E-3</v>
      </c>
      <c r="G4099" s="9">
        <f t="shared" si="191"/>
        <v>1.3701951339246107E-2</v>
      </c>
    </row>
    <row r="4100" spans="1:7" x14ac:dyDescent="0.2">
      <c r="A4100" s="11">
        <v>41025</v>
      </c>
      <c r="B4100" s="10">
        <v>390.81</v>
      </c>
      <c r="C4100" s="10">
        <v>392.53</v>
      </c>
      <c r="D4100" s="10">
        <v>387.66</v>
      </c>
      <c r="E4100" s="13">
        <f t="shared" ref="E4100:E4163" si="192">LN(B4100/B4099)</f>
        <v>4.7707077247992457E-3</v>
      </c>
      <c r="F4100" s="9">
        <f t="shared" si="190"/>
        <v>-1.1701692883840344E-2</v>
      </c>
      <c r="G4100" s="9">
        <f t="shared" si="191"/>
        <v>1.3546352187986194E-2</v>
      </c>
    </row>
    <row r="4101" spans="1:7" x14ac:dyDescent="0.2">
      <c r="A4101" s="11">
        <v>41026</v>
      </c>
      <c r="B4101" s="10">
        <v>387.83</v>
      </c>
      <c r="C4101" s="10">
        <v>390.81</v>
      </c>
      <c r="D4101" s="10">
        <v>385.16</v>
      </c>
      <c r="E4101" s="13">
        <f t="shared" si="192"/>
        <v>-7.6544090974789269E-3</v>
      </c>
      <c r="F4101" s="9">
        <f t="shared" si="190"/>
        <v>-3.0272252433960149E-2</v>
      </c>
      <c r="G4101" s="9">
        <f t="shared" si="191"/>
        <v>1.3430577375760163E-2</v>
      </c>
    </row>
    <row r="4102" spans="1:7" x14ac:dyDescent="0.2">
      <c r="A4102" s="11">
        <v>41029</v>
      </c>
      <c r="B4102" s="10">
        <v>389.21</v>
      </c>
      <c r="C4102" s="10">
        <v>390.8</v>
      </c>
      <c r="D4102" s="10">
        <v>387.45</v>
      </c>
      <c r="E4102" s="13">
        <f t="shared" si="192"/>
        <v>3.5519444323979504E-3</v>
      </c>
      <c r="F4102" s="9">
        <f t="shared" si="190"/>
        <v>-2.6294951759301376E-2</v>
      </c>
      <c r="G4102" s="9">
        <f t="shared" si="191"/>
        <v>1.3457399609847289E-2</v>
      </c>
    </row>
    <row r="4103" spans="1:7" x14ac:dyDescent="0.2">
      <c r="A4103" s="11">
        <v>41031</v>
      </c>
      <c r="B4103" s="10">
        <v>387.46</v>
      </c>
      <c r="C4103" s="10">
        <v>393.85</v>
      </c>
      <c r="D4103" s="10">
        <v>386.43</v>
      </c>
      <c r="E4103" s="13">
        <f t="shared" si="192"/>
        <v>-4.5064260537016222E-3</v>
      </c>
      <c r="F4103" s="9">
        <f t="shared" si="190"/>
        <v>-3.5943547352435698E-2</v>
      </c>
      <c r="G4103" s="9">
        <f t="shared" si="191"/>
        <v>1.3421735442952911E-2</v>
      </c>
    </row>
    <row r="4104" spans="1:7" x14ac:dyDescent="0.2">
      <c r="A4104" s="11">
        <v>41032</v>
      </c>
      <c r="B4104" s="10">
        <v>390.24</v>
      </c>
      <c r="C4104" s="10">
        <v>392.23</v>
      </c>
      <c r="D4104" s="10">
        <v>387.46</v>
      </c>
      <c r="E4104" s="13">
        <f t="shared" si="192"/>
        <v>7.1493168088104034E-3</v>
      </c>
      <c r="F4104" s="9">
        <f t="shared" si="190"/>
        <v>-3.3439336082755851E-2</v>
      </c>
      <c r="G4104" s="9">
        <f t="shared" si="191"/>
        <v>1.3468920028232113E-2</v>
      </c>
    </row>
    <row r="4105" spans="1:7" x14ac:dyDescent="0.2">
      <c r="A4105" s="11">
        <v>41033</v>
      </c>
      <c r="B4105" s="10">
        <v>381.08</v>
      </c>
      <c r="C4105" s="10">
        <v>390.45</v>
      </c>
      <c r="D4105" s="10">
        <v>381.02</v>
      </c>
      <c r="E4105" s="13">
        <f t="shared" si="192"/>
        <v>-2.3752607629031596E-2</v>
      </c>
      <c r="F4105" s="9">
        <f t="shared" si="190"/>
        <v>-3.9717154326118144E-2</v>
      </c>
      <c r="G4105" s="9">
        <f t="shared" si="191"/>
        <v>1.3787302690092089E-2</v>
      </c>
    </row>
    <row r="4106" spans="1:7" x14ac:dyDescent="0.2">
      <c r="A4106" s="11">
        <v>41036</v>
      </c>
      <c r="B4106" s="10">
        <v>381.73</v>
      </c>
      <c r="C4106" s="10">
        <v>381.74</v>
      </c>
      <c r="D4106" s="10">
        <v>375.28</v>
      </c>
      <c r="E4106" s="13">
        <f t="shared" si="192"/>
        <v>1.7042255799501406E-3</v>
      </c>
      <c r="F4106" s="9">
        <f t="shared" si="190"/>
        <v>-3.5690047330028368E-2</v>
      </c>
      <c r="G4106" s="9">
        <f t="shared" si="191"/>
        <v>1.379763452567836E-2</v>
      </c>
    </row>
    <row r="4107" spans="1:7" x14ac:dyDescent="0.2">
      <c r="A4107" s="11">
        <v>41037</v>
      </c>
      <c r="B4107" s="10">
        <v>370.71</v>
      </c>
      <c r="C4107" s="10">
        <v>384.97</v>
      </c>
      <c r="D4107" s="10">
        <v>370.49</v>
      </c>
      <c r="E4107" s="13">
        <f t="shared" si="192"/>
        <v>-2.9293466634319993E-2</v>
      </c>
      <c r="F4107" s="9">
        <f t="shared" si="190"/>
        <v>-5.5127213068385063E-2</v>
      </c>
      <c r="G4107" s="9">
        <f t="shared" si="191"/>
        <v>1.4675760668185189E-2</v>
      </c>
    </row>
    <row r="4108" spans="1:7" x14ac:dyDescent="0.2">
      <c r="A4108" s="11">
        <v>41038</v>
      </c>
      <c r="B4108" s="10">
        <v>371.35</v>
      </c>
      <c r="C4108" s="10">
        <v>375.13</v>
      </c>
      <c r="D4108" s="10">
        <v>367.16</v>
      </c>
      <c r="E4108" s="13">
        <f t="shared" si="192"/>
        <v>1.7249283310968981E-3</v>
      </c>
      <c r="F4108" s="9">
        <f t="shared" si="190"/>
        <v>-6.4774120149144992E-2</v>
      </c>
      <c r="G4108" s="9">
        <f t="shared" si="191"/>
        <v>1.4472083910476021E-2</v>
      </c>
    </row>
    <row r="4109" spans="1:7" x14ac:dyDescent="0.2">
      <c r="A4109" s="11">
        <v>41039</v>
      </c>
      <c r="B4109" s="10">
        <v>377.54</v>
      </c>
      <c r="C4109" s="10">
        <v>377.96</v>
      </c>
      <c r="D4109" s="10">
        <v>369.38</v>
      </c>
      <c r="E4109" s="13">
        <f t="shared" si="192"/>
        <v>1.6531509225282275E-2</v>
      </c>
      <c r="F4109" s="9">
        <f t="shared" si="190"/>
        <v>-6.2576540499191494E-2</v>
      </c>
      <c r="G4109" s="9">
        <f t="shared" si="191"/>
        <v>1.4567372632993687E-2</v>
      </c>
    </row>
    <row r="4110" spans="1:7" x14ac:dyDescent="0.2">
      <c r="A4110" s="11">
        <v>41040</v>
      </c>
      <c r="B4110" s="10">
        <v>377.38</v>
      </c>
      <c r="C4110" s="10">
        <v>377.71</v>
      </c>
      <c r="D4110" s="10">
        <v>371.8</v>
      </c>
      <c r="E4110" s="13">
        <f t="shared" si="192"/>
        <v>-4.2388598101984445E-4</v>
      </c>
      <c r="F4110" s="9">
        <f t="shared" si="190"/>
        <v>-5.0053722046950563E-2</v>
      </c>
      <c r="G4110" s="9">
        <f t="shared" si="191"/>
        <v>1.4421006930558528E-2</v>
      </c>
    </row>
    <row r="4111" spans="1:7" x14ac:dyDescent="0.2">
      <c r="A4111" s="11">
        <v>41043</v>
      </c>
      <c r="B4111" s="10">
        <v>370.08</v>
      </c>
      <c r="C4111" s="10">
        <v>377.44</v>
      </c>
      <c r="D4111" s="10">
        <v>368.29</v>
      </c>
      <c r="E4111" s="13">
        <f t="shared" si="192"/>
        <v>-1.9533438876438932E-2</v>
      </c>
      <c r="F4111" s="9">
        <f t="shared" si="190"/>
        <v>-6.3494282854992659E-2</v>
      </c>
      <c r="G4111" s="9">
        <f t="shared" si="191"/>
        <v>1.4777925856327237E-2</v>
      </c>
    </row>
    <row r="4112" spans="1:7" x14ac:dyDescent="0.2">
      <c r="A4112" s="11">
        <v>41044</v>
      </c>
      <c r="B4112" s="10">
        <v>371.83</v>
      </c>
      <c r="C4112" s="10">
        <v>374.06</v>
      </c>
      <c r="D4112" s="10">
        <v>369.67</v>
      </c>
      <c r="E4112" s="13">
        <f t="shared" si="192"/>
        <v>4.7175620912962551E-3</v>
      </c>
      <c r="F4112" s="9">
        <f t="shared" si="190"/>
        <v>-4.3856409233276862E-2</v>
      </c>
      <c r="G4112" s="9">
        <f t="shared" si="191"/>
        <v>1.4622845077635276E-2</v>
      </c>
    </row>
    <row r="4113" spans="1:7" x14ac:dyDescent="0.2">
      <c r="A4113" s="11">
        <v>41045</v>
      </c>
      <c r="B4113" s="10">
        <v>370.32</v>
      </c>
      <c r="C4113" s="10">
        <v>372.99</v>
      </c>
      <c r="D4113" s="10">
        <v>365.91</v>
      </c>
      <c r="E4113" s="13">
        <f t="shared" si="192"/>
        <v>-4.0692638514102401E-3</v>
      </c>
      <c r="F4113" s="9">
        <f t="shared" si="190"/>
        <v>-6.2972770714448539E-2</v>
      </c>
      <c r="G4113" s="9">
        <f t="shared" si="191"/>
        <v>1.4276474567070792E-2</v>
      </c>
    </row>
    <row r="4114" spans="1:7" x14ac:dyDescent="0.2">
      <c r="A4114" s="11">
        <v>41047</v>
      </c>
      <c r="B4114" s="10">
        <v>358.45</v>
      </c>
      <c r="C4114" s="10">
        <v>370.32</v>
      </c>
      <c r="D4114" s="10">
        <v>358.45</v>
      </c>
      <c r="E4114" s="13">
        <f t="shared" si="192"/>
        <v>-3.2578316424133842E-2</v>
      </c>
      <c r="F4114" s="9">
        <f t="shared" si="190"/>
        <v>-0.1063448267126449</v>
      </c>
      <c r="G4114" s="9">
        <f t="shared" si="191"/>
        <v>1.5116817534728889E-2</v>
      </c>
    </row>
    <row r="4115" spans="1:7" x14ac:dyDescent="0.2">
      <c r="A4115" s="11">
        <v>41050</v>
      </c>
      <c r="B4115" s="10">
        <v>364.95</v>
      </c>
      <c r="C4115" s="10">
        <v>365.22</v>
      </c>
      <c r="D4115" s="10">
        <v>356.87</v>
      </c>
      <c r="E4115" s="13">
        <f t="shared" si="192"/>
        <v>1.7971177598760015E-2</v>
      </c>
      <c r="F4115" s="9">
        <f t="shared" si="190"/>
        <v>-7.8162918643673418E-2</v>
      </c>
      <c r="G4115" s="9">
        <f t="shared" si="191"/>
        <v>1.5579881491064118E-2</v>
      </c>
    </row>
    <row r="4116" spans="1:7" x14ac:dyDescent="0.2">
      <c r="A4116" s="11">
        <v>41051</v>
      </c>
      <c r="B4116" s="10">
        <v>371.59</v>
      </c>
      <c r="C4116" s="10">
        <v>371.59</v>
      </c>
      <c r="D4116" s="10">
        <v>364.95</v>
      </c>
      <c r="E4116" s="13">
        <f t="shared" si="192"/>
        <v>1.8030738023323899E-2</v>
      </c>
      <c r="F4116" s="9">
        <f t="shared" si="190"/>
        <v>-4.7355142869143489E-2</v>
      </c>
      <c r="G4116" s="9">
        <f t="shared" si="191"/>
        <v>1.5914630641341302E-2</v>
      </c>
    </row>
    <row r="4117" spans="1:7" x14ac:dyDescent="0.2">
      <c r="A4117" s="11">
        <v>41052</v>
      </c>
      <c r="B4117" s="10">
        <v>358.09</v>
      </c>
      <c r="C4117" s="10">
        <v>371.59</v>
      </c>
      <c r="D4117" s="10">
        <v>358.01</v>
      </c>
      <c r="E4117" s="13">
        <f t="shared" si="192"/>
        <v>-3.7006744467062452E-2</v>
      </c>
      <c r="F4117" s="9">
        <f t="shared" si="190"/>
        <v>-5.3051082817442911E-2</v>
      </c>
      <c r="G4117" s="9">
        <f t="shared" si="191"/>
        <v>1.6323870353964265E-2</v>
      </c>
    </row>
    <row r="4118" spans="1:7" x14ac:dyDescent="0.2">
      <c r="A4118" s="11">
        <v>41053</v>
      </c>
      <c r="B4118" s="10">
        <v>361.37</v>
      </c>
      <c r="C4118" s="10">
        <v>362.55</v>
      </c>
      <c r="D4118" s="10">
        <v>357.14</v>
      </c>
      <c r="E4118" s="13">
        <f t="shared" si="192"/>
        <v>9.1180127439967826E-3</v>
      </c>
      <c r="F4118" s="9">
        <f t="shared" si="190"/>
        <v>-5.0637241724792018E-2</v>
      </c>
      <c r="G4118" s="9">
        <f t="shared" si="191"/>
        <v>1.6375011061261695E-2</v>
      </c>
    </row>
    <row r="4119" spans="1:7" x14ac:dyDescent="0.2">
      <c r="A4119" s="11">
        <v>41054</v>
      </c>
      <c r="B4119" s="10">
        <v>361.73</v>
      </c>
      <c r="C4119" s="10">
        <v>364.16</v>
      </c>
      <c r="D4119" s="10">
        <v>359.24</v>
      </c>
      <c r="E4119" s="13">
        <f t="shared" si="192"/>
        <v>9.9571298504581894E-4</v>
      </c>
      <c r="F4119" s="9">
        <f t="shared" si="190"/>
        <v>-6.5483185795765925E-2</v>
      </c>
      <c r="G4119" s="9">
        <f t="shared" si="191"/>
        <v>1.6034043651167913E-2</v>
      </c>
    </row>
    <row r="4120" spans="1:7" x14ac:dyDescent="0.2">
      <c r="A4120" s="11">
        <v>41058</v>
      </c>
      <c r="B4120" s="10">
        <v>364.01</v>
      </c>
      <c r="C4120" s="10">
        <v>365.28</v>
      </c>
      <c r="D4120" s="10">
        <v>360.49</v>
      </c>
      <c r="E4120" s="13">
        <f t="shared" si="192"/>
        <v>6.283262603904903E-3</v>
      </c>
      <c r="F4120" s="9">
        <f t="shared" si="190"/>
        <v>-4.9076614483052568E-2</v>
      </c>
      <c r="G4120" s="9">
        <f t="shared" si="191"/>
        <v>1.6036058780003082E-2</v>
      </c>
    </row>
    <row r="4121" spans="1:7" x14ac:dyDescent="0.2">
      <c r="A4121" s="11">
        <v>41059</v>
      </c>
      <c r="B4121" s="10">
        <v>357.3</v>
      </c>
      <c r="C4121" s="10">
        <v>364.01</v>
      </c>
      <c r="D4121" s="10">
        <v>356.59</v>
      </c>
      <c r="E4121" s="13">
        <f t="shared" si="192"/>
        <v>-1.8605574757486053E-2</v>
      </c>
      <c r="F4121" s="9">
        <f t="shared" si="190"/>
        <v>-6.7368266776808475E-2</v>
      </c>
      <c r="G4121" s="9">
        <f t="shared" si="191"/>
        <v>1.6336819416026795E-2</v>
      </c>
    </row>
    <row r="4122" spans="1:7" x14ac:dyDescent="0.2">
      <c r="A4122" s="11">
        <v>41060</v>
      </c>
      <c r="B4122" s="10">
        <v>353.19</v>
      </c>
      <c r="C4122" s="10">
        <v>361.53</v>
      </c>
      <c r="D4122" s="10">
        <v>351.13</v>
      </c>
      <c r="E4122" s="13">
        <f t="shared" si="192"/>
        <v>-1.1569609271149001E-2</v>
      </c>
      <c r="F4122" s="9">
        <f t="shared" si="190"/>
        <v>-0.10180370078496079</v>
      </c>
      <c r="G4122" s="9">
        <f t="shared" si="191"/>
        <v>1.5678803913009923E-2</v>
      </c>
    </row>
    <row r="4123" spans="1:7" x14ac:dyDescent="0.2">
      <c r="A4123" s="11">
        <v>41061</v>
      </c>
      <c r="B4123" s="10">
        <v>346.99</v>
      </c>
      <c r="C4123" s="10">
        <v>355.76</v>
      </c>
      <c r="D4123" s="10">
        <v>343.9</v>
      </c>
      <c r="E4123" s="13">
        <f t="shared" si="192"/>
        <v>-1.7710194670419309E-2</v>
      </c>
      <c r="F4123" s="9">
        <f t="shared" si="190"/>
        <v>-0.11631217147495891</v>
      </c>
      <c r="G4123" s="9">
        <f t="shared" si="191"/>
        <v>1.5898534627683005E-2</v>
      </c>
    </row>
    <row r="4124" spans="1:7" x14ac:dyDescent="0.2">
      <c r="A4124" s="11">
        <v>41064</v>
      </c>
      <c r="B4124" s="10">
        <v>342.22</v>
      </c>
      <c r="C4124" s="10">
        <v>346.99</v>
      </c>
      <c r="D4124" s="10">
        <v>339.77</v>
      </c>
      <c r="E4124" s="13">
        <f t="shared" si="192"/>
        <v>-1.3842155983971389E-2</v>
      </c>
      <c r="F4124" s="9">
        <f t="shared" si="190"/>
        <v>-0.12794557373581419</v>
      </c>
      <c r="G4124" s="9">
        <f t="shared" si="191"/>
        <v>1.5997898910282391E-2</v>
      </c>
    </row>
    <row r="4125" spans="1:7" x14ac:dyDescent="0.2">
      <c r="A4125" s="11">
        <v>41065</v>
      </c>
      <c r="B4125" s="10">
        <v>344.73</v>
      </c>
      <c r="C4125" s="10">
        <v>347.89</v>
      </c>
      <c r="D4125" s="10">
        <v>341.87</v>
      </c>
      <c r="E4125" s="13">
        <f t="shared" si="192"/>
        <v>7.3076968338277272E-3</v>
      </c>
      <c r="F4125" s="9">
        <f t="shared" si="190"/>
        <v>-0.12294924471923838</v>
      </c>
      <c r="G4125" s="9">
        <f t="shared" si="191"/>
        <v>1.6099471516048462E-2</v>
      </c>
    </row>
    <row r="4126" spans="1:7" x14ac:dyDescent="0.2">
      <c r="A4126" s="11">
        <v>41066</v>
      </c>
      <c r="B4126" s="10">
        <v>354.98</v>
      </c>
      <c r="C4126" s="10">
        <v>354.98</v>
      </c>
      <c r="D4126" s="10">
        <v>344.73</v>
      </c>
      <c r="E4126" s="13">
        <f t="shared" si="192"/>
        <v>2.9299947922548485E-2</v>
      </c>
      <c r="F4126" s="9">
        <f t="shared" si="190"/>
        <v>-6.4313130929821466E-2</v>
      </c>
      <c r="G4126" s="9">
        <f t="shared" si="191"/>
        <v>1.6511805507052099E-2</v>
      </c>
    </row>
    <row r="4127" spans="1:7" x14ac:dyDescent="0.2">
      <c r="A4127" s="11">
        <v>41067</v>
      </c>
      <c r="B4127" s="10">
        <v>358.03</v>
      </c>
      <c r="C4127" s="10">
        <v>360.72</v>
      </c>
      <c r="D4127" s="10">
        <v>353.93</v>
      </c>
      <c r="E4127" s="13">
        <f t="shared" si="192"/>
        <v>8.5553319122511247E-3</v>
      </c>
      <c r="F4127" s="9">
        <f t="shared" si="190"/>
        <v>-7.267849921802734E-2</v>
      </c>
      <c r="G4127" s="9">
        <f t="shared" si="191"/>
        <v>1.6236289887239609E-2</v>
      </c>
    </row>
    <row r="4128" spans="1:7" x14ac:dyDescent="0.2">
      <c r="A4128" s="11">
        <v>41068</v>
      </c>
      <c r="B4128" s="10">
        <v>356.47</v>
      </c>
      <c r="C4128" s="10">
        <v>358.03</v>
      </c>
      <c r="D4128" s="10">
        <v>351.56</v>
      </c>
      <c r="E4128" s="13">
        <f t="shared" si="192"/>
        <v>-4.3666969316854161E-3</v>
      </c>
      <c r="F4128" s="9">
        <f t="shared" ref="F4128:F4191" si="193">LN(B4128/B4099)</f>
        <v>-8.7200715812016993E-2</v>
      </c>
      <c r="G4128" s="9">
        <f t="shared" si="191"/>
        <v>1.6054761680903012E-2</v>
      </c>
    </row>
    <row r="4129" spans="1:7" x14ac:dyDescent="0.2">
      <c r="A4129" s="11">
        <v>41071</v>
      </c>
      <c r="B4129" s="10">
        <v>354.3</v>
      </c>
      <c r="C4129" s="10">
        <v>364.37</v>
      </c>
      <c r="D4129" s="10">
        <v>354.3</v>
      </c>
      <c r="E4129" s="13">
        <f t="shared" si="192"/>
        <v>-6.1060729693397913E-3</v>
      </c>
      <c r="F4129" s="9">
        <f t="shared" si="193"/>
        <v>-9.8077496506156103E-2</v>
      </c>
      <c r="G4129" s="9">
        <f t="shared" ref="G4129:G4192" si="194">STDEV(E4101:E4129)</f>
        <v>1.5993507837183066E-2</v>
      </c>
    </row>
    <row r="4130" spans="1:7" x14ac:dyDescent="0.2">
      <c r="A4130" s="11">
        <v>41072</v>
      </c>
      <c r="B4130" s="10">
        <v>356.35</v>
      </c>
      <c r="C4130" s="10">
        <v>356.35</v>
      </c>
      <c r="D4130" s="10">
        <v>351.53</v>
      </c>
      <c r="E4130" s="13">
        <f t="shared" si="192"/>
        <v>5.7693820764534963E-3</v>
      </c>
      <c r="F4130" s="9">
        <f t="shared" si="193"/>
        <v>-8.4653705332223633E-2</v>
      </c>
      <c r="G4130" s="9">
        <f t="shared" si="194"/>
        <v>1.6059559147760867E-2</v>
      </c>
    </row>
    <row r="4131" spans="1:7" x14ac:dyDescent="0.2">
      <c r="A4131" s="11">
        <v>41073</v>
      </c>
      <c r="B4131" s="10">
        <v>351.24</v>
      </c>
      <c r="C4131" s="10">
        <v>357.4</v>
      </c>
      <c r="D4131" s="10">
        <v>350.6</v>
      </c>
      <c r="E4131" s="13">
        <f t="shared" si="192"/>
        <v>-1.4443643456084941E-2</v>
      </c>
      <c r="F4131" s="9">
        <f t="shared" si="193"/>
        <v>-0.10264929322070654</v>
      </c>
      <c r="G4131" s="9">
        <f t="shared" si="194"/>
        <v>1.6148018797799108E-2</v>
      </c>
    </row>
    <row r="4132" spans="1:7" x14ac:dyDescent="0.2">
      <c r="A4132" s="11">
        <v>41074</v>
      </c>
      <c r="B4132" s="10">
        <v>351.96</v>
      </c>
      <c r="C4132" s="10">
        <v>352.58</v>
      </c>
      <c r="D4132" s="10">
        <v>348.79</v>
      </c>
      <c r="E4132" s="13">
        <f t="shared" si="192"/>
        <v>2.0477822855651914E-3</v>
      </c>
      <c r="F4132" s="9">
        <f t="shared" si="193"/>
        <v>-9.6095084881439891E-2</v>
      </c>
      <c r="G4132" s="9">
        <f t="shared" si="194"/>
        <v>1.6179839201477531E-2</v>
      </c>
    </row>
    <row r="4133" spans="1:7" x14ac:dyDescent="0.2">
      <c r="A4133" s="11">
        <v>41075</v>
      </c>
      <c r="B4133" s="10">
        <v>360.93</v>
      </c>
      <c r="C4133" s="10">
        <v>361.12</v>
      </c>
      <c r="D4133" s="10">
        <v>351.79</v>
      </c>
      <c r="E4133" s="13">
        <f t="shared" si="192"/>
        <v>2.5166500936182893E-2</v>
      </c>
      <c r="F4133" s="9">
        <f t="shared" si="193"/>
        <v>-7.8077900754067314E-2</v>
      </c>
      <c r="G4133" s="9">
        <f t="shared" si="194"/>
        <v>1.6924720002536517E-2</v>
      </c>
    </row>
    <row r="4134" spans="1:7" x14ac:dyDescent="0.2">
      <c r="A4134" s="11">
        <v>41078</v>
      </c>
      <c r="B4134" s="10">
        <v>359.09</v>
      </c>
      <c r="C4134" s="10">
        <v>366.54</v>
      </c>
      <c r="D4134" s="10">
        <v>358.22</v>
      </c>
      <c r="E4134" s="13">
        <f t="shared" si="192"/>
        <v>-5.1109802655201313E-3</v>
      </c>
      <c r="F4134" s="9">
        <f t="shared" si="193"/>
        <v>-5.9436273390555849E-2</v>
      </c>
      <c r="G4134" s="9">
        <f t="shared" si="194"/>
        <v>1.644343552078787E-2</v>
      </c>
    </row>
    <row r="4135" spans="1:7" x14ac:dyDescent="0.2">
      <c r="A4135" s="11">
        <v>41079</v>
      </c>
      <c r="B4135" s="10">
        <v>365.14</v>
      </c>
      <c r="C4135" s="10">
        <v>365.41</v>
      </c>
      <c r="D4135" s="10">
        <v>359.05</v>
      </c>
      <c r="E4135" s="13">
        <f t="shared" si="192"/>
        <v>1.6707788237341484E-2</v>
      </c>
      <c r="F4135" s="9">
        <f t="shared" si="193"/>
        <v>-4.4432710733164481E-2</v>
      </c>
      <c r="G4135" s="9">
        <f t="shared" si="194"/>
        <v>1.6797967466588685E-2</v>
      </c>
    </row>
    <row r="4136" spans="1:7" x14ac:dyDescent="0.2">
      <c r="A4136" s="11">
        <v>41080</v>
      </c>
      <c r="B4136" s="10">
        <v>368.51</v>
      </c>
      <c r="C4136" s="10">
        <v>368.83</v>
      </c>
      <c r="D4136" s="10">
        <v>364.35</v>
      </c>
      <c r="E4136" s="13">
        <f t="shared" si="192"/>
        <v>9.187006617886637E-3</v>
      </c>
      <c r="F4136" s="9">
        <f t="shared" si="193"/>
        <v>-5.9522374809578733E-3</v>
      </c>
      <c r="G4136" s="9">
        <f t="shared" si="194"/>
        <v>1.6028945076752409E-2</v>
      </c>
    </row>
    <row r="4137" spans="1:7" x14ac:dyDescent="0.2">
      <c r="A4137" s="11">
        <v>41081</v>
      </c>
      <c r="B4137" s="10">
        <v>361.51</v>
      </c>
      <c r="C4137" s="10">
        <v>368.51</v>
      </c>
      <c r="D4137" s="10">
        <v>361.51</v>
      </c>
      <c r="E4137" s="13">
        <f t="shared" si="192"/>
        <v>-1.9178144569742775E-2</v>
      </c>
      <c r="F4137" s="9">
        <f t="shared" si="193"/>
        <v>-2.6855310381797427E-2</v>
      </c>
      <c r="G4137" s="9">
        <f t="shared" si="194"/>
        <v>1.6404634103919E-2</v>
      </c>
    </row>
    <row r="4138" spans="1:7" x14ac:dyDescent="0.2">
      <c r="A4138" s="11">
        <v>41082</v>
      </c>
      <c r="B4138" s="10">
        <v>354.77</v>
      </c>
      <c r="C4138" s="10">
        <v>361.51</v>
      </c>
      <c r="D4138" s="10">
        <v>354.55</v>
      </c>
      <c r="E4138" s="13">
        <f t="shared" si="192"/>
        <v>-1.8820011551724216E-2</v>
      </c>
      <c r="F4138" s="9">
        <f t="shared" si="193"/>
        <v>-6.2206831158803995E-2</v>
      </c>
      <c r="G4138" s="9">
        <f t="shared" si="194"/>
        <v>1.6374490450063072E-2</v>
      </c>
    </row>
    <row r="4139" spans="1:7" x14ac:dyDescent="0.2">
      <c r="A4139" s="11">
        <v>41085</v>
      </c>
      <c r="B4139" s="10">
        <v>351.24</v>
      </c>
      <c r="C4139" s="10">
        <v>355.53</v>
      </c>
      <c r="D4139" s="10">
        <v>350.11</v>
      </c>
      <c r="E4139" s="13">
        <f t="shared" si="192"/>
        <v>-9.9999416899889566E-3</v>
      </c>
      <c r="F4139" s="9">
        <f t="shared" si="193"/>
        <v>-7.1782886867773094E-2</v>
      </c>
      <c r="G4139" s="9">
        <f t="shared" si="194"/>
        <v>1.6434985351489149E-2</v>
      </c>
    </row>
    <row r="4140" spans="1:7" x14ac:dyDescent="0.2">
      <c r="A4140" s="11">
        <v>41086</v>
      </c>
      <c r="B4140" s="10">
        <v>352.19</v>
      </c>
      <c r="C4140" s="10">
        <v>354.69</v>
      </c>
      <c r="D4140" s="10">
        <v>350.04</v>
      </c>
      <c r="E4140" s="13">
        <f t="shared" si="192"/>
        <v>2.7010522086769848E-3</v>
      </c>
      <c r="F4140" s="9">
        <f t="shared" si="193"/>
        <v>-4.9548395782657177E-2</v>
      </c>
      <c r="G4140" s="9">
        <f t="shared" si="194"/>
        <v>1.6126520704233611E-2</v>
      </c>
    </row>
    <row r="4141" spans="1:7" x14ac:dyDescent="0.2">
      <c r="A4141" s="11">
        <v>41087</v>
      </c>
      <c r="B4141" s="10">
        <v>361.48</v>
      </c>
      <c r="C4141" s="10">
        <v>361.48</v>
      </c>
      <c r="D4141" s="10">
        <v>352.19</v>
      </c>
      <c r="E4141" s="13">
        <f t="shared" si="192"/>
        <v>2.6035912333283361E-2</v>
      </c>
      <c r="F4141" s="9">
        <f t="shared" si="193"/>
        <v>-2.8230045540670219E-2</v>
      </c>
      <c r="G4141" s="9">
        <f t="shared" si="194"/>
        <v>1.6897379593327409E-2</v>
      </c>
    </row>
    <row r="4142" spans="1:7" x14ac:dyDescent="0.2">
      <c r="A4142" s="11">
        <v>41088</v>
      </c>
      <c r="B4142" s="10">
        <v>362.86</v>
      </c>
      <c r="C4142" s="10">
        <v>363.58</v>
      </c>
      <c r="D4142" s="10">
        <v>358.66</v>
      </c>
      <c r="E4142" s="13">
        <f t="shared" si="192"/>
        <v>3.8103699082621002E-3</v>
      </c>
      <c r="F4142" s="9">
        <f t="shared" si="193"/>
        <v>-2.035041178099796E-2</v>
      </c>
      <c r="G4142" s="9">
        <f t="shared" si="194"/>
        <v>1.6909169236264641E-2</v>
      </c>
    </row>
    <row r="4143" spans="1:7" x14ac:dyDescent="0.2">
      <c r="A4143" s="11">
        <v>41089</v>
      </c>
      <c r="B4143" s="10">
        <v>375.55</v>
      </c>
      <c r="C4143" s="10">
        <v>375.88</v>
      </c>
      <c r="D4143" s="10">
        <v>362.86</v>
      </c>
      <c r="E4143" s="13">
        <f t="shared" si="192"/>
        <v>3.437453319000363E-2</v>
      </c>
      <c r="F4143" s="9">
        <f t="shared" si="193"/>
        <v>4.660243783313954E-2</v>
      </c>
      <c r="G4143" s="9">
        <f t="shared" si="194"/>
        <v>1.6972049922716441E-2</v>
      </c>
    </row>
    <row r="4144" spans="1:7" x14ac:dyDescent="0.2">
      <c r="A4144" s="11">
        <v>41092</v>
      </c>
      <c r="B4144" s="10">
        <v>378.65</v>
      </c>
      <c r="C4144" s="10">
        <v>380.53</v>
      </c>
      <c r="D4144" s="10">
        <v>374.18</v>
      </c>
      <c r="E4144" s="13">
        <f t="shared" si="192"/>
        <v>8.2206774278108328E-3</v>
      </c>
      <c r="F4144" s="9">
        <f t="shared" si="193"/>
        <v>3.6851937662190346E-2</v>
      </c>
      <c r="G4144" s="9">
        <f t="shared" si="194"/>
        <v>1.6731161142837212E-2</v>
      </c>
    </row>
    <row r="4145" spans="1:7" x14ac:dyDescent="0.2">
      <c r="A4145" s="11">
        <v>41093</v>
      </c>
      <c r="B4145" s="10">
        <v>387.15</v>
      </c>
      <c r="C4145" s="10">
        <v>387.15</v>
      </c>
      <c r="D4145" s="10">
        <v>378.65</v>
      </c>
      <c r="E4145" s="13">
        <f t="shared" si="192"/>
        <v>2.2199919272900975E-2</v>
      </c>
      <c r="F4145" s="9">
        <f t="shared" si="193"/>
        <v>4.1021118911767435E-2</v>
      </c>
      <c r="G4145" s="9">
        <f t="shared" si="194"/>
        <v>1.6897403204341525E-2</v>
      </c>
    </row>
    <row r="4146" spans="1:7" x14ac:dyDescent="0.2">
      <c r="A4146" s="11">
        <v>41094</v>
      </c>
      <c r="B4146" s="10">
        <v>383.81</v>
      </c>
      <c r="C4146" s="10">
        <v>387.15</v>
      </c>
      <c r="D4146" s="10">
        <v>381.9</v>
      </c>
      <c r="E4146" s="13">
        <f t="shared" si="192"/>
        <v>-8.664576361462133E-3</v>
      </c>
      <c r="F4146" s="9">
        <f t="shared" si="193"/>
        <v>6.9363287017367631E-2</v>
      </c>
      <c r="G4146" s="9">
        <f t="shared" si="194"/>
        <v>1.534405174091818E-2</v>
      </c>
    </row>
    <row r="4147" spans="1:7" x14ac:dyDescent="0.2">
      <c r="A4147" s="11">
        <v>41095</v>
      </c>
      <c r="B4147" s="10">
        <v>380.58</v>
      </c>
      <c r="C4147" s="10">
        <v>384.22</v>
      </c>
      <c r="D4147" s="10">
        <v>377.49</v>
      </c>
      <c r="E4147" s="13">
        <f t="shared" si="192"/>
        <v>-8.4512335974097092E-3</v>
      </c>
      <c r="F4147" s="9">
        <f t="shared" si="193"/>
        <v>5.1794040675961189E-2</v>
      </c>
      <c r="G4147" s="9">
        <f t="shared" si="194"/>
        <v>1.5415674468197265E-2</v>
      </c>
    </row>
    <row r="4148" spans="1:7" x14ac:dyDescent="0.2">
      <c r="A4148" s="11">
        <v>41096</v>
      </c>
      <c r="B4148" s="10">
        <v>374.99</v>
      </c>
      <c r="C4148" s="10">
        <v>380.89</v>
      </c>
      <c r="D4148" s="10">
        <v>374.99</v>
      </c>
      <c r="E4148" s="13">
        <f t="shared" si="192"/>
        <v>-1.4797045925678423E-2</v>
      </c>
      <c r="F4148" s="9">
        <f t="shared" si="193"/>
        <v>3.600128176523687E-2</v>
      </c>
      <c r="G4148" s="9">
        <f t="shared" si="194"/>
        <v>1.5720524637049097E-2</v>
      </c>
    </row>
    <row r="4149" spans="1:7" x14ac:dyDescent="0.2">
      <c r="A4149" s="11">
        <v>41099</v>
      </c>
      <c r="B4149" s="10">
        <v>372.88</v>
      </c>
      <c r="C4149" s="10">
        <v>376.55</v>
      </c>
      <c r="D4149" s="10">
        <v>372.25</v>
      </c>
      <c r="E4149" s="13">
        <f t="shared" si="192"/>
        <v>-5.6427068836968127E-3</v>
      </c>
      <c r="F4149" s="9">
        <f t="shared" si="193"/>
        <v>2.4075312277635409E-2</v>
      </c>
      <c r="G4149" s="9">
        <f t="shared" si="194"/>
        <v>1.5739898945047209E-2</v>
      </c>
    </row>
    <row r="4150" spans="1:7" x14ac:dyDescent="0.2">
      <c r="A4150" s="11">
        <v>41100</v>
      </c>
      <c r="B4150" s="10">
        <v>381.99</v>
      </c>
      <c r="C4150" s="10">
        <v>382.39</v>
      </c>
      <c r="D4150" s="10">
        <v>372.88</v>
      </c>
      <c r="E4150" s="13">
        <f t="shared" si="192"/>
        <v>2.4137778188968517E-2</v>
      </c>
      <c r="F4150" s="9">
        <f t="shared" si="193"/>
        <v>6.6818665224089829E-2</v>
      </c>
      <c r="G4150" s="9">
        <f t="shared" si="194"/>
        <v>1.5855755178672763E-2</v>
      </c>
    </row>
    <row r="4151" spans="1:7" x14ac:dyDescent="0.2">
      <c r="A4151" s="11">
        <v>41101</v>
      </c>
      <c r="B4151" s="10">
        <v>380.55</v>
      </c>
      <c r="C4151" s="10">
        <v>381.99</v>
      </c>
      <c r="D4151" s="10">
        <v>378.62</v>
      </c>
      <c r="E4151" s="13">
        <f t="shared" si="192"/>
        <v>-3.7768555400533228E-3</v>
      </c>
      <c r="F4151" s="9">
        <f t="shared" si="193"/>
        <v>7.4611418955185443E-2</v>
      </c>
      <c r="G4151" s="9">
        <f t="shared" si="194"/>
        <v>1.5677262341492831E-2</v>
      </c>
    </row>
    <row r="4152" spans="1:7" x14ac:dyDescent="0.2">
      <c r="A4152" s="11">
        <v>41102</v>
      </c>
      <c r="B4152" s="10">
        <v>376.26</v>
      </c>
      <c r="C4152" s="10">
        <v>381.26</v>
      </c>
      <c r="D4152" s="10">
        <v>374.88</v>
      </c>
      <c r="E4152" s="13">
        <f t="shared" si="192"/>
        <v>-1.1337180930416168E-2</v>
      </c>
      <c r="F4152" s="9">
        <f t="shared" si="193"/>
        <v>8.0984432695188638E-2</v>
      </c>
      <c r="G4152" s="9">
        <f t="shared" si="194"/>
        <v>1.542543192193677E-2</v>
      </c>
    </row>
    <row r="4153" spans="1:7" x14ac:dyDescent="0.2">
      <c r="A4153" s="11">
        <v>41103</v>
      </c>
      <c r="B4153" s="10">
        <v>384.93</v>
      </c>
      <c r="C4153" s="10">
        <v>385.44</v>
      </c>
      <c r="D4153" s="10">
        <v>376.26</v>
      </c>
      <c r="E4153" s="13">
        <f t="shared" si="192"/>
        <v>2.2781105792052146E-2</v>
      </c>
      <c r="F4153" s="9">
        <f t="shared" si="193"/>
        <v>0.11760769447121219</v>
      </c>
      <c r="G4153" s="9">
        <f t="shared" si="194"/>
        <v>1.5513827750222036E-2</v>
      </c>
    </row>
    <row r="4154" spans="1:7" x14ac:dyDescent="0.2">
      <c r="A4154" s="11">
        <v>41106</v>
      </c>
      <c r="B4154" s="10">
        <v>385.36</v>
      </c>
      <c r="C4154" s="10">
        <v>385.36</v>
      </c>
      <c r="D4154" s="10">
        <v>382.52</v>
      </c>
      <c r="E4154" s="13">
        <f t="shared" si="192"/>
        <v>1.1164627469287937E-3</v>
      </c>
      <c r="F4154" s="9">
        <f t="shared" si="193"/>
        <v>0.11141646038431323</v>
      </c>
      <c r="G4154" s="9">
        <f t="shared" si="194"/>
        <v>1.5510073286730947E-2</v>
      </c>
    </row>
    <row r="4155" spans="1:7" x14ac:dyDescent="0.2">
      <c r="A4155" s="11">
        <v>41107</v>
      </c>
      <c r="B4155" s="10">
        <v>387.98</v>
      </c>
      <c r="C4155" s="10">
        <v>389.31</v>
      </c>
      <c r="D4155" s="10">
        <v>385.32</v>
      </c>
      <c r="E4155" s="13">
        <f t="shared" si="192"/>
        <v>6.7758295809946904E-3</v>
      </c>
      <c r="F4155" s="9">
        <f t="shared" si="193"/>
        <v>8.8892342042759503E-2</v>
      </c>
      <c r="G4155" s="9">
        <f t="shared" si="194"/>
        <v>1.4734253052489049E-2</v>
      </c>
    </row>
    <row r="4156" spans="1:7" x14ac:dyDescent="0.2">
      <c r="A4156" s="11">
        <v>41108</v>
      </c>
      <c r="B4156" s="10">
        <v>393.01</v>
      </c>
      <c r="C4156" s="10">
        <v>393.01</v>
      </c>
      <c r="D4156" s="10">
        <v>387.98</v>
      </c>
      <c r="E4156" s="13">
        <f t="shared" si="192"/>
        <v>1.2881264935196021E-2</v>
      </c>
      <c r="F4156" s="9">
        <f t="shared" si="193"/>
        <v>9.3218275065704528E-2</v>
      </c>
      <c r="G4156" s="9">
        <f t="shared" si="194"/>
        <v>1.4813504681875665E-2</v>
      </c>
    </row>
    <row r="4157" spans="1:7" x14ac:dyDescent="0.2">
      <c r="A4157" s="11">
        <v>41109</v>
      </c>
      <c r="B4157" s="10">
        <v>395.73</v>
      </c>
      <c r="C4157" s="10">
        <v>396.07</v>
      </c>
      <c r="D4157" s="10">
        <v>392.88</v>
      </c>
      <c r="E4157" s="13">
        <f t="shared" si="192"/>
        <v>6.8971036907820313E-3</v>
      </c>
      <c r="F4157" s="9">
        <f t="shared" si="193"/>
        <v>0.10448207568817201</v>
      </c>
      <c r="G4157" s="9">
        <f t="shared" si="194"/>
        <v>1.4755182624831775E-2</v>
      </c>
    </row>
    <row r="4158" spans="1:7" x14ac:dyDescent="0.2">
      <c r="A4158" s="11">
        <v>41110</v>
      </c>
      <c r="B4158" s="10">
        <v>393.19</v>
      </c>
      <c r="C4158" s="10">
        <v>395.89</v>
      </c>
      <c r="D4158" s="10">
        <v>391.85</v>
      </c>
      <c r="E4158" s="13">
        <f t="shared" si="192"/>
        <v>-6.4392049292835056E-3</v>
      </c>
      <c r="F4158" s="9">
        <f t="shared" si="193"/>
        <v>0.10414894372822826</v>
      </c>
      <c r="G4158" s="9">
        <f t="shared" si="194"/>
        <v>1.4763138751360334E-2</v>
      </c>
    </row>
    <row r="4159" spans="1:7" x14ac:dyDescent="0.2">
      <c r="A4159" s="11">
        <v>41113</v>
      </c>
      <c r="B4159" s="10">
        <v>382.72</v>
      </c>
      <c r="C4159" s="10">
        <v>393.19</v>
      </c>
      <c r="D4159" s="10">
        <v>380.76</v>
      </c>
      <c r="E4159" s="13">
        <f t="shared" si="192"/>
        <v>-2.6989304277442342E-2</v>
      </c>
      <c r="F4159" s="9">
        <f t="shared" si="193"/>
        <v>7.1390257374332605E-2</v>
      </c>
      <c r="G4159" s="9">
        <f t="shared" si="194"/>
        <v>1.5806909692664319E-2</v>
      </c>
    </row>
    <row r="4160" spans="1:7" x14ac:dyDescent="0.2">
      <c r="A4160" s="11">
        <v>41114</v>
      </c>
      <c r="B4160" s="10">
        <v>381.09</v>
      </c>
      <c r="C4160" s="10">
        <v>385.5</v>
      </c>
      <c r="D4160" s="10">
        <v>379.8</v>
      </c>
      <c r="E4160" s="13">
        <f t="shared" si="192"/>
        <v>-4.268083618733284E-3</v>
      </c>
      <c r="F4160" s="9">
        <f t="shared" si="193"/>
        <v>8.1565817211684113E-2</v>
      </c>
      <c r="G4160" s="9">
        <f t="shared" si="194"/>
        <v>1.5528732926900936E-2</v>
      </c>
    </row>
    <row r="4161" spans="1:7" x14ac:dyDescent="0.2">
      <c r="A4161" s="11">
        <v>41115</v>
      </c>
      <c r="B4161" s="10">
        <v>382.44</v>
      </c>
      <c r="C4161" s="10">
        <v>385.25</v>
      </c>
      <c r="D4161" s="10">
        <v>378.71</v>
      </c>
      <c r="E4161" s="13">
        <f t="shared" si="192"/>
        <v>3.5362105137664713E-3</v>
      </c>
      <c r="F4161" s="9">
        <f t="shared" si="193"/>
        <v>8.305424543988546E-2</v>
      </c>
      <c r="G4161" s="9">
        <f t="shared" si="194"/>
        <v>1.5528574497965759E-2</v>
      </c>
    </row>
    <row r="4162" spans="1:7" x14ac:dyDescent="0.2">
      <c r="A4162" s="11">
        <v>41116</v>
      </c>
      <c r="B4162" s="10">
        <v>389.34</v>
      </c>
      <c r="C4162" s="10">
        <v>389.89</v>
      </c>
      <c r="D4162" s="10">
        <v>382.29</v>
      </c>
      <c r="E4162" s="13">
        <f t="shared" si="192"/>
        <v>1.788121964388658E-2</v>
      </c>
      <c r="F4162" s="9">
        <f t="shared" si="193"/>
        <v>7.5768964147589143E-2</v>
      </c>
      <c r="G4162" s="9">
        <f t="shared" si="194"/>
        <v>1.5210557657423168E-2</v>
      </c>
    </row>
    <row r="4163" spans="1:7" x14ac:dyDescent="0.2">
      <c r="A4163" s="11">
        <v>41117</v>
      </c>
      <c r="B4163" s="10">
        <v>394.47</v>
      </c>
      <c r="C4163" s="10">
        <v>394.47</v>
      </c>
      <c r="D4163" s="10">
        <v>388.38</v>
      </c>
      <c r="E4163" s="13">
        <f t="shared" si="192"/>
        <v>1.309009390580531E-2</v>
      </c>
      <c r="F4163" s="9">
        <f t="shared" si="193"/>
        <v>9.3970038318914581E-2</v>
      </c>
      <c r="G4163" s="9">
        <f t="shared" si="194"/>
        <v>1.5255919336281076E-2</v>
      </c>
    </row>
    <row r="4164" spans="1:7" x14ac:dyDescent="0.2">
      <c r="A4164" s="11">
        <v>41120</v>
      </c>
      <c r="B4164" s="10">
        <v>395.06</v>
      </c>
      <c r="C4164" s="10">
        <v>397.13</v>
      </c>
      <c r="D4164" s="10">
        <v>393.43</v>
      </c>
      <c r="E4164" s="13">
        <f t="shared" ref="E4164:E4227" si="195">LN(B4164/B4163)</f>
        <v>1.4945603329172045E-3</v>
      </c>
      <c r="F4164" s="9">
        <f t="shared" si="193"/>
        <v>7.8756810414490369E-2</v>
      </c>
      <c r="G4164" s="9">
        <f t="shared" si="194"/>
        <v>1.5036266986493841E-2</v>
      </c>
    </row>
    <row r="4165" spans="1:7" x14ac:dyDescent="0.2">
      <c r="A4165" s="11">
        <v>41121</v>
      </c>
      <c r="B4165" s="10">
        <v>392.54</v>
      </c>
      <c r="C4165" s="10">
        <v>396.39</v>
      </c>
      <c r="D4165" s="10">
        <v>392.02</v>
      </c>
      <c r="E4165" s="13">
        <f t="shared" si="195"/>
        <v>-6.3992092419214441E-3</v>
      </c>
      <c r="F4165" s="9">
        <f t="shared" si="193"/>
        <v>6.3170594554682241E-2</v>
      </c>
      <c r="G4165" s="9">
        <f t="shared" si="194"/>
        <v>1.5075203837459743E-2</v>
      </c>
    </row>
    <row r="4166" spans="1:7" x14ac:dyDescent="0.2">
      <c r="A4166" s="11">
        <v>41122</v>
      </c>
      <c r="B4166" s="10">
        <v>392.36</v>
      </c>
      <c r="C4166" s="10">
        <v>393.08</v>
      </c>
      <c r="D4166" s="10">
        <v>390.86</v>
      </c>
      <c r="E4166" s="13">
        <f t="shared" si="195"/>
        <v>-4.5865716181811811E-4</v>
      </c>
      <c r="F4166" s="9">
        <f t="shared" si="193"/>
        <v>8.1890081962606845E-2</v>
      </c>
      <c r="G4166" s="9">
        <f t="shared" si="194"/>
        <v>1.4518586750260916E-2</v>
      </c>
    </row>
    <row r="4167" spans="1:7" x14ac:dyDescent="0.2">
      <c r="A4167" s="11">
        <v>41123</v>
      </c>
      <c r="B4167" s="10">
        <v>387.16</v>
      </c>
      <c r="C4167" s="10">
        <v>393.88</v>
      </c>
      <c r="D4167" s="10">
        <v>385.68</v>
      </c>
      <c r="E4167" s="13">
        <f t="shared" si="195"/>
        <v>-1.3341741415226999E-2</v>
      </c>
      <c r="F4167" s="9">
        <f t="shared" si="193"/>
        <v>8.7368352099104055E-2</v>
      </c>
      <c r="G4167" s="9">
        <f t="shared" si="194"/>
        <v>1.4260256249305603E-2</v>
      </c>
    </row>
    <row r="4168" spans="1:7" x14ac:dyDescent="0.2">
      <c r="A4168" s="11">
        <v>41124</v>
      </c>
      <c r="B4168" s="10">
        <v>396.48</v>
      </c>
      <c r="C4168" s="10">
        <v>396.62</v>
      </c>
      <c r="D4168" s="10">
        <v>387.15</v>
      </c>
      <c r="E4168" s="13">
        <f t="shared" si="195"/>
        <v>2.378755415988967E-2</v>
      </c>
      <c r="F4168" s="9">
        <f t="shared" si="193"/>
        <v>0.12115584794898289</v>
      </c>
      <c r="G4168" s="9">
        <f t="shared" si="194"/>
        <v>1.4536699482875122E-2</v>
      </c>
    </row>
    <row r="4169" spans="1:7" x14ac:dyDescent="0.2">
      <c r="A4169" s="11">
        <v>41127</v>
      </c>
      <c r="B4169" s="10">
        <v>397.94</v>
      </c>
      <c r="C4169" s="10">
        <v>398.62</v>
      </c>
      <c r="D4169" s="10">
        <v>395.56</v>
      </c>
      <c r="E4169" s="13">
        <f t="shared" si="195"/>
        <v>3.6756417103242975E-3</v>
      </c>
      <c r="F4169" s="9">
        <f t="shared" si="193"/>
        <v>0.12213043745063012</v>
      </c>
      <c r="G4169" s="9">
        <f t="shared" si="194"/>
        <v>1.4534289925585345E-2</v>
      </c>
    </row>
    <row r="4170" spans="1:7" x14ac:dyDescent="0.2">
      <c r="A4170" s="11">
        <v>41128</v>
      </c>
      <c r="B4170" s="10">
        <v>401.97</v>
      </c>
      <c r="C4170" s="10">
        <v>401.97</v>
      </c>
      <c r="D4170" s="10">
        <v>396.45</v>
      </c>
      <c r="E4170" s="13">
        <f t="shared" si="195"/>
        <v>1.0076218817524617E-2</v>
      </c>
      <c r="F4170" s="9">
        <f t="shared" si="193"/>
        <v>0.10617074393487121</v>
      </c>
      <c r="G4170" s="9">
        <f t="shared" si="194"/>
        <v>1.3969583997926536E-2</v>
      </c>
    </row>
    <row r="4171" spans="1:7" x14ac:dyDescent="0.2">
      <c r="A4171" s="11">
        <v>41129</v>
      </c>
      <c r="B4171" s="10">
        <v>397.36</v>
      </c>
      <c r="C4171" s="10">
        <v>402.1</v>
      </c>
      <c r="D4171" s="10">
        <v>396.5</v>
      </c>
      <c r="E4171" s="13">
        <f t="shared" si="195"/>
        <v>-1.1534788169531284E-2</v>
      </c>
      <c r="F4171" s="9">
        <f t="shared" si="193"/>
        <v>9.0825585857077909E-2</v>
      </c>
      <c r="G4171" s="9">
        <f t="shared" si="194"/>
        <v>1.4251505536468733E-2</v>
      </c>
    </row>
    <row r="4172" spans="1:7" x14ac:dyDescent="0.2">
      <c r="A4172" s="11">
        <v>41130</v>
      </c>
      <c r="B4172" s="10">
        <v>401.99</v>
      </c>
      <c r="C4172" s="10">
        <v>401.99</v>
      </c>
      <c r="D4172" s="10">
        <v>397.36</v>
      </c>
      <c r="E4172" s="13">
        <f t="shared" si="195"/>
        <v>1.158454188863197E-2</v>
      </c>
      <c r="F4172" s="9">
        <f t="shared" si="193"/>
        <v>6.8035594555706416E-2</v>
      </c>
      <c r="G4172" s="9">
        <f t="shared" si="194"/>
        <v>1.3044412444433046E-2</v>
      </c>
    </row>
    <row r="4173" spans="1:7" x14ac:dyDescent="0.2">
      <c r="A4173" s="11">
        <v>41131</v>
      </c>
      <c r="B4173" s="10">
        <v>399.46</v>
      </c>
      <c r="C4173" s="10">
        <v>401.99</v>
      </c>
      <c r="D4173" s="10">
        <v>398.94</v>
      </c>
      <c r="E4173" s="13">
        <f t="shared" si="195"/>
        <v>-6.3135776507014648E-3</v>
      </c>
      <c r="F4173" s="9">
        <f t="shared" si="193"/>
        <v>5.3501339477193981E-2</v>
      </c>
      <c r="G4173" s="9">
        <f t="shared" si="194"/>
        <v>1.3089774146205706E-2</v>
      </c>
    </row>
    <row r="4174" spans="1:7" x14ac:dyDescent="0.2">
      <c r="A4174" s="11">
        <v>41134</v>
      </c>
      <c r="B4174" s="10">
        <v>398.74</v>
      </c>
      <c r="C4174" s="10">
        <v>400.6</v>
      </c>
      <c r="D4174" s="10">
        <v>396.13</v>
      </c>
      <c r="E4174" s="13">
        <f t="shared" si="195"/>
        <v>-1.8040596223448239E-3</v>
      </c>
      <c r="F4174" s="9">
        <f t="shared" si="193"/>
        <v>2.9497360581948275E-2</v>
      </c>
      <c r="G4174" s="9">
        <f t="shared" si="194"/>
        <v>1.2502427512878814E-2</v>
      </c>
    </row>
    <row r="4175" spans="1:7" x14ac:dyDescent="0.2">
      <c r="A4175" s="11">
        <v>41135</v>
      </c>
      <c r="B4175" s="10">
        <v>402.14</v>
      </c>
      <c r="C4175" s="10">
        <v>402.86</v>
      </c>
      <c r="D4175" s="10">
        <v>398.74</v>
      </c>
      <c r="E4175" s="13">
        <f t="shared" si="195"/>
        <v>8.4907112828202323E-3</v>
      </c>
      <c r="F4175" s="9">
        <f t="shared" si="193"/>
        <v>4.6652648226230643E-2</v>
      </c>
      <c r="G4175" s="9">
        <f t="shared" si="194"/>
        <v>1.2433637116221698E-2</v>
      </c>
    </row>
    <row r="4176" spans="1:7" x14ac:dyDescent="0.2">
      <c r="A4176" s="11">
        <v>41136</v>
      </c>
      <c r="B4176" s="10">
        <v>404.45</v>
      </c>
      <c r="C4176" s="10">
        <v>404.46</v>
      </c>
      <c r="D4176" s="10">
        <v>400.64</v>
      </c>
      <c r="E4176" s="13">
        <f t="shared" si="195"/>
        <v>5.7278327664603895E-3</v>
      </c>
      <c r="F4176" s="9">
        <f t="shared" si="193"/>
        <v>6.083171459010079E-2</v>
      </c>
      <c r="G4176" s="9">
        <f t="shared" si="194"/>
        <v>1.2302005246637968E-2</v>
      </c>
    </row>
    <row r="4177" spans="1:7" x14ac:dyDescent="0.2">
      <c r="A4177" s="11">
        <v>41137</v>
      </c>
      <c r="B4177" s="10">
        <v>405.39</v>
      </c>
      <c r="C4177" s="10">
        <v>406.84</v>
      </c>
      <c r="D4177" s="10">
        <v>404.19</v>
      </c>
      <c r="E4177" s="13">
        <f t="shared" si="195"/>
        <v>2.321447254142666E-3</v>
      </c>
      <c r="F4177" s="9">
        <f t="shared" si="193"/>
        <v>7.7950207769922022E-2</v>
      </c>
      <c r="G4177" s="9">
        <f t="shared" si="194"/>
        <v>1.1865339524198016E-2</v>
      </c>
    </row>
    <row r="4178" spans="1:7" x14ac:dyDescent="0.2">
      <c r="A4178" s="11">
        <v>41138</v>
      </c>
      <c r="B4178" s="10">
        <v>408.39</v>
      </c>
      <c r="C4178" s="10">
        <v>408.59</v>
      </c>
      <c r="D4178" s="10">
        <v>405.05</v>
      </c>
      <c r="E4178" s="13">
        <f t="shared" si="195"/>
        <v>7.3730334743869501E-3</v>
      </c>
      <c r="F4178" s="9">
        <f t="shared" si="193"/>
        <v>9.0965948128005972E-2</v>
      </c>
      <c r="G4178" s="9">
        <f t="shared" si="194"/>
        <v>1.1784864173011065E-2</v>
      </c>
    </row>
    <row r="4179" spans="1:7" x14ac:dyDescent="0.2">
      <c r="A4179" s="11">
        <v>41141</v>
      </c>
      <c r="B4179" s="10">
        <v>404.31</v>
      </c>
      <c r="C4179" s="10">
        <v>408.47</v>
      </c>
      <c r="D4179" s="10">
        <v>404.29</v>
      </c>
      <c r="E4179" s="13">
        <f t="shared" si="195"/>
        <v>-1.0040689743313765E-2</v>
      </c>
      <c r="F4179" s="9">
        <f t="shared" si="193"/>
        <v>5.6787480195723605E-2</v>
      </c>
      <c r="G4179" s="9">
        <f t="shared" si="194"/>
        <v>1.1309043815438843E-2</v>
      </c>
    </row>
    <row r="4180" spans="1:7" x14ac:dyDescent="0.2">
      <c r="A4180" s="11">
        <v>41142</v>
      </c>
      <c r="B4180" s="10">
        <v>408.82</v>
      </c>
      <c r="C4180" s="10">
        <v>409.61</v>
      </c>
      <c r="D4180" s="10">
        <v>404.31</v>
      </c>
      <c r="E4180" s="13">
        <f t="shared" si="195"/>
        <v>1.1093050922653492E-2</v>
      </c>
      <c r="F4180" s="9">
        <f t="shared" si="193"/>
        <v>7.1657386658430522E-2</v>
      </c>
      <c r="G4180" s="9">
        <f t="shared" si="194"/>
        <v>1.1376629489369437E-2</v>
      </c>
    </row>
    <row r="4181" spans="1:7" x14ac:dyDescent="0.2">
      <c r="A4181" s="11">
        <v>41143</v>
      </c>
      <c r="B4181" s="10">
        <v>405.26</v>
      </c>
      <c r="C4181" s="10">
        <v>408.82</v>
      </c>
      <c r="D4181" s="10">
        <v>403.23</v>
      </c>
      <c r="E4181" s="13">
        <f t="shared" si="195"/>
        <v>-8.7461249346481012E-3</v>
      </c>
      <c r="F4181" s="9">
        <f t="shared" si="193"/>
        <v>7.4248442654198693E-2</v>
      </c>
      <c r="G4181" s="9">
        <f t="shared" si="194"/>
        <v>1.127402573571335E-2</v>
      </c>
    </row>
    <row r="4182" spans="1:7" x14ac:dyDescent="0.2">
      <c r="A4182" s="11">
        <v>41144</v>
      </c>
      <c r="B4182" s="10">
        <v>401.26</v>
      </c>
      <c r="C4182" s="10">
        <v>407.99</v>
      </c>
      <c r="D4182" s="10">
        <v>401.26</v>
      </c>
      <c r="E4182" s="13">
        <f t="shared" si="195"/>
        <v>-9.9192401851282905E-3</v>
      </c>
      <c r="F4182" s="9">
        <f t="shared" si="193"/>
        <v>4.1548096677018108E-2</v>
      </c>
      <c r="G4182" s="9">
        <f t="shared" si="194"/>
        <v>1.0804904446734835E-2</v>
      </c>
    </row>
    <row r="4183" spans="1:7" x14ac:dyDescent="0.2">
      <c r="A4183" s="11">
        <v>41145</v>
      </c>
      <c r="B4183" s="10">
        <v>400.83</v>
      </c>
      <c r="C4183" s="10">
        <v>402.51</v>
      </c>
      <c r="D4183" s="10">
        <v>398.76</v>
      </c>
      <c r="E4183" s="13">
        <f t="shared" si="195"/>
        <v>-1.0721989831425215E-3</v>
      </c>
      <c r="F4183" s="9">
        <f t="shared" si="193"/>
        <v>3.9359434946946964E-2</v>
      </c>
      <c r="G4183" s="9">
        <f t="shared" si="194"/>
        <v>1.0814831390958301E-2</v>
      </c>
    </row>
    <row r="4184" spans="1:7" x14ac:dyDescent="0.2">
      <c r="A4184" s="11">
        <v>41148</v>
      </c>
      <c r="B4184" s="10">
        <v>404.19</v>
      </c>
      <c r="C4184" s="10">
        <v>405.86</v>
      </c>
      <c r="D4184" s="10">
        <v>400.83</v>
      </c>
      <c r="E4184" s="13">
        <f t="shared" si="195"/>
        <v>8.3476671669537629E-3</v>
      </c>
      <c r="F4184" s="9">
        <f t="shared" si="193"/>
        <v>4.093127253290603E-2</v>
      </c>
      <c r="G4184" s="9">
        <f t="shared" si="194"/>
        <v>1.0846849451450282E-2</v>
      </c>
    </row>
    <row r="4185" spans="1:7" x14ac:dyDescent="0.2">
      <c r="A4185" s="11">
        <v>41149</v>
      </c>
      <c r="B4185" s="10">
        <v>402.4</v>
      </c>
      <c r="C4185" s="10">
        <v>404.39</v>
      </c>
      <c r="D4185" s="10">
        <v>401.5</v>
      </c>
      <c r="E4185" s="13">
        <f t="shared" si="195"/>
        <v>-4.4384456503366899E-3</v>
      </c>
      <c r="F4185" s="9">
        <f t="shared" si="193"/>
        <v>2.361156194737318E-2</v>
      </c>
      <c r="G4185" s="9">
        <f t="shared" si="194"/>
        <v>1.0668103033697952E-2</v>
      </c>
    </row>
    <row r="4186" spans="1:7" x14ac:dyDescent="0.2">
      <c r="A4186" s="11">
        <v>41150</v>
      </c>
      <c r="B4186" s="10">
        <v>404.88</v>
      </c>
      <c r="C4186" s="10">
        <v>404.9</v>
      </c>
      <c r="D4186" s="10">
        <v>401.85</v>
      </c>
      <c r="E4186" s="13">
        <f t="shared" si="195"/>
        <v>6.1441081202931909E-3</v>
      </c>
      <c r="F4186" s="9">
        <f t="shared" si="193"/>
        <v>2.2858566376884319E-2</v>
      </c>
      <c r="G4186" s="9">
        <f t="shared" si="194"/>
        <v>1.0653675530313151E-2</v>
      </c>
    </row>
    <row r="4187" spans="1:7" x14ac:dyDescent="0.2">
      <c r="A4187" s="11">
        <v>41151</v>
      </c>
      <c r="B4187" s="10">
        <v>399.32</v>
      </c>
      <c r="C4187" s="10">
        <v>404.88</v>
      </c>
      <c r="D4187" s="10">
        <v>399.26</v>
      </c>
      <c r="E4187" s="13">
        <f t="shared" si="195"/>
        <v>-1.3827626437598051E-2</v>
      </c>
      <c r="F4187" s="9">
        <f t="shared" si="193"/>
        <v>1.5470144868569811E-2</v>
      </c>
      <c r="G4187" s="9">
        <f t="shared" si="194"/>
        <v>1.0917756644290443E-2</v>
      </c>
    </row>
    <row r="4188" spans="1:7" x14ac:dyDescent="0.2">
      <c r="A4188" s="11">
        <v>41152</v>
      </c>
      <c r="B4188" s="10">
        <v>404.35</v>
      </c>
      <c r="C4188" s="10">
        <v>404.42</v>
      </c>
      <c r="D4188" s="10">
        <v>399.32</v>
      </c>
      <c r="E4188" s="13">
        <f t="shared" si="195"/>
        <v>1.251773907360682E-2</v>
      </c>
      <c r="F4188" s="9">
        <f t="shared" si="193"/>
        <v>5.497718821961891E-2</v>
      </c>
      <c r="G4188" s="9">
        <f t="shared" si="194"/>
        <v>9.7647827388316413E-3</v>
      </c>
    </row>
    <row r="4189" spans="1:7" x14ac:dyDescent="0.2">
      <c r="A4189" s="11">
        <v>41155</v>
      </c>
      <c r="B4189" s="10">
        <v>408.19</v>
      </c>
      <c r="C4189" s="10">
        <v>408.19</v>
      </c>
      <c r="D4189" s="10">
        <v>403.44</v>
      </c>
      <c r="E4189" s="13">
        <f t="shared" si="195"/>
        <v>9.4519127386389432E-3</v>
      </c>
      <c r="F4189" s="9">
        <f t="shared" si="193"/>
        <v>6.8697184576991144E-2</v>
      </c>
      <c r="G4189" s="9">
        <f t="shared" si="194"/>
        <v>9.7878183293749494E-3</v>
      </c>
    </row>
    <row r="4190" spans="1:7" x14ac:dyDescent="0.2">
      <c r="A4190" s="11">
        <v>41156</v>
      </c>
      <c r="B4190" s="10">
        <v>402.3</v>
      </c>
      <c r="C4190" s="10">
        <v>409</v>
      </c>
      <c r="D4190" s="10">
        <v>402.29</v>
      </c>
      <c r="E4190" s="13">
        <f t="shared" si="195"/>
        <v>-1.4534673324727484E-2</v>
      </c>
      <c r="F4190" s="9">
        <f t="shared" si="193"/>
        <v>5.0626300738497207E-2</v>
      </c>
      <c r="G4190" s="9">
        <f t="shared" si="194"/>
        <v>1.0274005530309882E-2</v>
      </c>
    </row>
    <row r="4191" spans="1:7" x14ac:dyDescent="0.2">
      <c r="A4191" s="11">
        <v>41157</v>
      </c>
      <c r="B4191" s="10">
        <v>403.79</v>
      </c>
      <c r="C4191" s="10">
        <v>403.79</v>
      </c>
      <c r="D4191" s="10">
        <v>399.92</v>
      </c>
      <c r="E4191" s="13">
        <f t="shared" si="195"/>
        <v>3.6968618813262026E-3</v>
      </c>
      <c r="F4191" s="9">
        <f t="shared" si="193"/>
        <v>3.6441942975936788E-2</v>
      </c>
      <c r="G4191" s="9">
        <f t="shared" si="194"/>
        <v>9.8053566519490185E-3</v>
      </c>
    </row>
    <row r="4192" spans="1:7" x14ac:dyDescent="0.2">
      <c r="A4192" s="11">
        <v>41158</v>
      </c>
      <c r="B4192" s="10">
        <v>411.68</v>
      </c>
      <c r="C4192" s="10">
        <v>412.32</v>
      </c>
      <c r="D4192" s="10">
        <v>403.47</v>
      </c>
      <c r="E4192" s="13">
        <f t="shared" si="195"/>
        <v>1.9351407696365331E-2</v>
      </c>
      <c r="F4192" s="9">
        <f t="shared" ref="F4192:F4255" si="196">LN(B4192/B4163)</f>
        <v>4.2703256766496875E-2</v>
      </c>
      <c r="G4192" s="9">
        <f t="shared" si="194"/>
        <v>1.013850320611645E-2</v>
      </c>
    </row>
    <row r="4193" spans="1:7" x14ac:dyDescent="0.2">
      <c r="A4193" s="11">
        <v>41159</v>
      </c>
      <c r="B4193" s="10">
        <v>413.57</v>
      </c>
      <c r="C4193" s="10">
        <v>415.45</v>
      </c>
      <c r="D4193" s="10">
        <v>411.68</v>
      </c>
      <c r="E4193" s="13">
        <f t="shared" si="195"/>
        <v>4.5804381809488783E-3</v>
      </c>
      <c r="F4193" s="9">
        <f t="shared" si="196"/>
        <v>4.57891346145285E-2</v>
      </c>
      <c r="G4193" s="9">
        <f t="shared" ref="G4193:G4256" si="197">STDEV(E4165:E4193)</f>
        <v>1.0154923486289996E-2</v>
      </c>
    </row>
    <row r="4194" spans="1:7" x14ac:dyDescent="0.2">
      <c r="A4194" s="11">
        <v>41162</v>
      </c>
      <c r="B4194" s="10">
        <v>414.69</v>
      </c>
      <c r="C4194" s="10">
        <v>414.69</v>
      </c>
      <c r="D4194" s="10">
        <v>412.54</v>
      </c>
      <c r="E4194" s="13">
        <f t="shared" si="195"/>
        <v>2.7044664299927233E-3</v>
      </c>
      <c r="F4194" s="9">
        <f t="shared" si="196"/>
        <v>5.4892810286442585E-2</v>
      </c>
      <c r="G4194" s="9">
        <f t="shared" si="197"/>
        <v>1.0039542154791291E-2</v>
      </c>
    </row>
    <row r="4195" spans="1:7" x14ac:dyDescent="0.2">
      <c r="A4195" s="11">
        <v>41163</v>
      </c>
      <c r="B4195" s="10">
        <v>415.18</v>
      </c>
      <c r="C4195" s="10">
        <v>415.48</v>
      </c>
      <c r="D4195" s="10">
        <v>412.47</v>
      </c>
      <c r="E4195" s="13">
        <f t="shared" si="195"/>
        <v>1.1809079902729276E-3</v>
      </c>
      <c r="F4195" s="9">
        <f t="shared" si="196"/>
        <v>5.6532375438533448E-2</v>
      </c>
      <c r="G4195" s="9">
        <f t="shared" si="197"/>
        <v>1.0030439295138714E-2</v>
      </c>
    </row>
    <row r="4196" spans="1:7" x14ac:dyDescent="0.2">
      <c r="A4196" s="11">
        <v>41164</v>
      </c>
      <c r="B4196" s="10">
        <v>416.46</v>
      </c>
      <c r="C4196" s="10">
        <v>419.48</v>
      </c>
      <c r="D4196" s="10">
        <v>415.18</v>
      </c>
      <c r="E4196" s="13">
        <f t="shared" si="195"/>
        <v>3.0782574448987156E-3</v>
      </c>
      <c r="F4196" s="9">
        <f t="shared" si="196"/>
        <v>7.2952374298659348E-2</v>
      </c>
      <c r="G4196" s="9">
        <f t="shared" si="197"/>
        <v>9.5902301484250604E-3</v>
      </c>
    </row>
    <row r="4197" spans="1:7" x14ac:dyDescent="0.2">
      <c r="A4197" s="11">
        <v>41165</v>
      </c>
      <c r="B4197" s="10">
        <v>417.32</v>
      </c>
      <c r="C4197" s="10">
        <v>418.3</v>
      </c>
      <c r="D4197" s="10">
        <v>415.41</v>
      </c>
      <c r="E4197" s="13">
        <f t="shared" si="195"/>
        <v>2.0628950202213068E-3</v>
      </c>
      <c r="F4197" s="9">
        <f t="shared" si="196"/>
        <v>5.1227715158990848E-2</v>
      </c>
      <c r="G4197" s="9">
        <f t="shared" si="197"/>
        <v>8.6739856530308034E-3</v>
      </c>
    </row>
    <row r="4198" spans="1:7" x14ac:dyDescent="0.2">
      <c r="A4198" s="11">
        <v>41166</v>
      </c>
      <c r="B4198" s="10">
        <v>430.38</v>
      </c>
      <c r="C4198" s="10">
        <v>430.5</v>
      </c>
      <c r="D4198" s="10">
        <v>417.32</v>
      </c>
      <c r="E4198" s="13">
        <f t="shared" si="195"/>
        <v>3.0815225766629546E-2</v>
      </c>
      <c r="F4198" s="9">
        <f t="shared" si="196"/>
        <v>7.8367299215296116E-2</v>
      </c>
      <c r="G4198" s="9">
        <f t="shared" si="197"/>
        <v>1.0214575294653042E-2</v>
      </c>
    </row>
    <row r="4199" spans="1:7" x14ac:dyDescent="0.2">
      <c r="A4199" s="11">
        <v>41169</v>
      </c>
      <c r="B4199" s="10">
        <v>429.36</v>
      </c>
      <c r="C4199" s="10">
        <v>430.38</v>
      </c>
      <c r="D4199" s="10">
        <v>426.54</v>
      </c>
      <c r="E4199" s="13">
        <f t="shared" si="195"/>
        <v>-2.3728114978246316E-3</v>
      </c>
      <c r="F4199" s="9">
        <f t="shared" si="196"/>
        <v>6.5918268899947119E-2</v>
      </c>
      <c r="G4199" s="9">
        <f t="shared" si="197"/>
        <v>1.0155030188841811E-2</v>
      </c>
    </row>
    <row r="4200" spans="1:7" x14ac:dyDescent="0.2">
      <c r="A4200" s="11">
        <v>41170</v>
      </c>
      <c r="B4200" s="10">
        <v>425.53</v>
      </c>
      <c r="C4200" s="10">
        <v>429.36</v>
      </c>
      <c r="D4200" s="10">
        <v>422.9</v>
      </c>
      <c r="E4200" s="13">
        <f t="shared" si="195"/>
        <v>-8.9602770526290999E-3</v>
      </c>
      <c r="F4200" s="9">
        <f t="shared" si="196"/>
        <v>6.849278001684922E-2</v>
      </c>
      <c r="G4200" s="9">
        <f t="shared" si="197"/>
        <v>1.0040618553611345E-2</v>
      </c>
    </row>
    <row r="4201" spans="1:7" x14ac:dyDescent="0.2">
      <c r="A4201" s="11">
        <v>41171</v>
      </c>
      <c r="B4201" s="10">
        <v>423</v>
      </c>
      <c r="C4201" s="10">
        <v>428.66</v>
      </c>
      <c r="D4201" s="10">
        <v>423</v>
      </c>
      <c r="E4201" s="13">
        <f t="shared" si="195"/>
        <v>-5.9632717696664287E-3</v>
      </c>
      <c r="F4201" s="9">
        <f t="shared" si="196"/>
        <v>5.0944966358550843E-2</v>
      </c>
      <c r="G4201" s="9">
        <f t="shared" si="197"/>
        <v>9.9936104773690627E-3</v>
      </c>
    </row>
    <row r="4202" spans="1:7" x14ac:dyDescent="0.2">
      <c r="A4202" s="11">
        <v>41172</v>
      </c>
      <c r="B4202" s="10">
        <v>420.07</v>
      </c>
      <c r="C4202" s="10">
        <v>423.01</v>
      </c>
      <c r="D4202" s="10">
        <v>418.74</v>
      </c>
      <c r="E4202" s="13">
        <f t="shared" si="195"/>
        <v>-6.9508149895432456E-3</v>
      </c>
      <c r="F4202" s="9">
        <f t="shared" si="196"/>
        <v>5.0307729019709119E-2</v>
      </c>
      <c r="G4202" s="9">
        <f t="shared" si="197"/>
        <v>1.0012671388242661E-2</v>
      </c>
    </row>
    <row r="4203" spans="1:7" x14ac:dyDescent="0.2">
      <c r="A4203" s="11">
        <v>41173</v>
      </c>
      <c r="B4203" s="10">
        <v>426.1</v>
      </c>
      <c r="C4203" s="10">
        <v>426.35</v>
      </c>
      <c r="D4203" s="10">
        <v>420</v>
      </c>
      <c r="E4203" s="13">
        <f t="shared" si="195"/>
        <v>1.4252696449131618E-2</v>
      </c>
      <c r="F4203" s="9">
        <f t="shared" si="196"/>
        <v>6.6364485091185657E-2</v>
      </c>
      <c r="G4203" s="9">
        <f t="shared" si="197"/>
        <v>1.0251107921880737E-2</v>
      </c>
    </row>
    <row r="4204" spans="1:7" x14ac:dyDescent="0.2">
      <c r="A4204" s="11">
        <v>41176</v>
      </c>
      <c r="B4204" s="10">
        <v>422.51</v>
      </c>
      <c r="C4204" s="10">
        <v>428.63</v>
      </c>
      <c r="D4204" s="10">
        <v>422.25</v>
      </c>
      <c r="E4204" s="13">
        <f t="shared" si="195"/>
        <v>-8.460945349682468E-3</v>
      </c>
      <c r="F4204" s="9">
        <f t="shared" si="196"/>
        <v>4.9412828458682813E-2</v>
      </c>
      <c r="G4204" s="9">
        <f t="shared" si="197"/>
        <v>1.0367459147788369E-2</v>
      </c>
    </row>
    <row r="4205" spans="1:7" x14ac:dyDescent="0.2">
      <c r="A4205" s="11">
        <v>41177</v>
      </c>
      <c r="B4205" s="10">
        <v>425.32</v>
      </c>
      <c r="C4205" s="10">
        <v>425.88</v>
      </c>
      <c r="D4205" s="10">
        <v>421.9</v>
      </c>
      <c r="E4205" s="13">
        <f t="shared" si="195"/>
        <v>6.6287116267015308E-3</v>
      </c>
      <c r="F4205" s="9">
        <f t="shared" si="196"/>
        <v>5.0313707318923748E-2</v>
      </c>
      <c r="G4205" s="9">
        <f t="shared" si="197"/>
        <v>1.0381287463128216E-2</v>
      </c>
    </row>
    <row r="4206" spans="1:7" x14ac:dyDescent="0.2">
      <c r="A4206" s="11">
        <v>41178</v>
      </c>
      <c r="B4206" s="10">
        <v>415.43</v>
      </c>
      <c r="C4206" s="10">
        <v>425.32</v>
      </c>
      <c r="D4206" s="10">
        <v>415.01</v>
      </c>
      <c r="E4206" s="13">
        <f t="shared" si="195"/>
        <v>-2.3527698401155258E-2</v>
      </c>
      <c r="F4206" s="9">
        <f t="shared" si="196"/>
        <v>2.4464561663625747E-2</v>
      </c>
      <c r="G4206" s="9">
        <f t="shared" si="197"/>
        <v>1.1389858735696416E-2</v>
      </c>
    </row>
    <row r="4207" spans="1:7" x14ac:dyDescent="0.2">
      <c r="A4207" s="11">
        <v>41179</v>
      </c>
      <c r="B4207" s="10">
        <v>417.07</v>
      </c>
      <c r="C4207" s="10">
        <v>418.46</v>
      </c>
      <c r="D4207" s="10">
        <v>415.24</v>
      </c>
      <c r="E4207" s="13">
        <f t="shared" si="195"/>
        <v>3.9399450366340459E-3</v>
      </c>
      <c r="F4207" s="9">
        <f t="shared" si="196"/>
        <v>2.1031473225872777E-2</v>
      </c>
      <c r="G4207" s="9">
        <f t="shared" si="197"/>
        <v>1.1337290191459147E-2</v>
      </c>
    </row>
    <row r="4208" spans="1:7" x14ac:dyDescent="0.2">
      <c r="A4208" s="11">
        <v>41180</v>
      </c>
      <c r="B4208" s="10">
        <v>415.42</v>
      </c>
      <c r="C4208" s="10">
        <v>419.85</v>
      </c>
      <c r="D4208" s="10">
        <v>415.42</v>
      </c>
      <c r="E4208" s="13">
        <f t="shared" si="195"/>
        <v>-3.9640167704017674E-3</v>
      </c>
      <c r="F4208" s="9">
        <f t="shared" si="196"/>
        <v>2.7108146198784766E-2</v>
      </c>
      <c r="G4208" s="9">
        <f t="shared" si="197"/>
        <v>1.1186354809440505E-2</v>
      </c>
    </row>
    <row r="4209" spans="1:7" x14ac:dyDescent="0.2">
      <c r="A4209" s="11">
        <v>41183</v>
      </c>
      <c r="B4209" s="10">
        <v>421.69</v>
      </c>
      <c r="C4209" s="10">
        <v>421.69</v>
      </c>
      <c r="D4209" s="10">
        <v>414.51</v>
      </c>
      <c r="E4209" s="13">
        <f t="shared" si="195"/>
        <v>1.4980390282949748E-2</v>
      </c>
      <c r="F4209" s="9">
        <f t="shared" si="196"/>
        <v>3.0995485559080924E-2</v>
      </c>
      <c r="G4209" s="9">
        <f t="shared" si="197"/>
        <v>1.133473595056041E-2</v>
      </c>
    </row>
    <row r="4210" spans="1:7" x14ac:dyDescent="0.2">
      <c r="A4210" s="11">
        <v>41184</v>
      </c>
      <c r="B4210" s="10">
        <v>420.25</v>
      </c>
      <c r="C4210" s="10">
        <v>422.62</v>
      </c>
      <c r="D4210" s="10">
        <v>418.7</v>
      </c>
      <c r="E4210" s="13">
        <f t="shared" si="195"/>
        <v>-3.4206746421871696E-3</v>
      </c>
      <c r="F4210" s="9">
        <f t="shared" si="196"/>
        <v>3.6320935851541808E-2</v>
      </c>
      <c r="G4210" s="9">
        <f t="shared" si="197"/>
        <v>1.1212523729225729E-2</v>
      </c>
    </row>
    <row r="4211" spans="1:7" x14ac:dyDescent="0.2">
      <c r="A4211" s="11">
        <v>41185</v>
      </c>
      <c r="B4211" s="10">
        <v>418.58</v>
      </c>
      <c r="C4211" s="10">
        <v>420.25</v>
      </c>
      <c r="D4211" s="10">
        <v>417.3</v>
      </c>
      <c r="E4211" s="13">
        <f t="shared" si="195"/>
        <v>-3.9817417268932622E-3</v>
      </c>
      <c r="F4211" s="9">
        <f t="shared" si="196"/>
        <v>4.2258434309776931E-2</v>
      </c>
      <c r="G4211" s="9">
        <f t="shared" si="197"/>
        <v>1.1054336207168841E-2</v>
      </c>
    </row>
    <row r="4212" spans="1:7" x14ac:dyDescent="0.2">
      <c r="A4212" s="11">
        <v>41186</v>
      </c>
      <c r="B4212" s="10">
        <v>416.16</v>
      </c>
      <c r="C4212" s="10">
        <v>419.4</v>
      </c>
      <c r="D4212" s="10">
        <v>414.76</v>
      </c>
      <c r="E4212" s="13">
        <f t="shared" si="195"/>
        <v>-5.7982288614902115E-3</v>
      </c>
      <c r="F4212" s="9">
        <f t="shared" si="196"/>
        <v>3.7532404431429162E-2</v>
      </c>
      <c r="G4212" s="9">
        <f t="shared" si="197"/>
        <v>1.1127550841197769E-2</v>
      </c>
    </row>
    <row r="4213" spans="1:7" x14ac:dyDescent="0.2">
      <c r="A4213" s="11">
        <v>41187</v>
      </c>
      <c r="B4213" s="10">
        <v>422.57</v>
      </c>
      <c r="C4213" s="10">
        <v>422.57</v>
      </c>
      <c r="D4213" s="10">
        <v>416.16</v>
      </c>
      <c r="E4213" s="13">
        <f t="shared" si="195"/>
        <v>1.5285311846765999E-2</v>
      </c>
      <c r="F4213" s="9">
        <f t="shared" si="196"/>
        <v>4.4470049111241437E-2</v>
      </c>
      <c r="G4213" s="9">
        <f t="shared" si="197"/>
        <v>1.1356820939756146E-2</v>
      </c>
    </row>
    <row r="4214" spans="1:7" x14ac:dyDescent="0.2">
      <c r="A4214" s="11">
        <v>41190</v>
      </c>
      <c r="B4214" s="10">
        <v>418.61</v>
      </c>
      <c r="C4214" s="10">
        <v>422.57</v>
      </c>
      <c r="D4214" s="10">
        <v>418.28</v>
      </c>
      <c r="E4214" s="13">
        <f t="shared" si="195"/>
        <v>-9.4154146662254138E-3</v>
      </c>
      <c r="F4214" s="9">
        <f t="shared" si="196"/>
        <v>3.9493080095352594E-2</v>
      </c>
      <c r="G4214" s="9">
        <f t="shared" si="197"/>
        <v>1.1487145993291616E-2</v>
      </c>
    </row>
    <row r="4215" spans="1:7" x14ac:dyDescent="0.2">
      <c r="A4215" s="11">
        <v>41191</v>
      </c>
      <c r="B4215" s="10">
        <v>419.19</v>
      </c>
      <c r="C4215" s="10">
        <v>421.01</v>
      </c>
      <c r="D4215" s="10">
        <v>417.78</v>
      </c>
      <c r="E4215" s="13">
        <f t="shared" si="195"/>
        <v>1.3845788795841128E-3</v>
      </c>
      <c r="F4215" s="9">
        <f t="shared" si="196"/>
        <v>3.473355085464376E-2</v>
      </c>
      <c r="G4215" s="9">
        <f t="shared" si="197"/>
        <v>1.1450321019795602E-2</v>
      </c>
    </row>
    <row r="4216" spans="1:7" x14ac:dyDescent="0.2">
      <c r="A4216" s="11">
        <v>41192</v>
      </c>
      <c r="B4216" s="10">
        <v>416.82</v>
      </c>
      <c r="C4216" s="10">
        <v>419.19</v>
      </c>
      <c r="D4216" s="10">
        <v>415.85</v>
      </c>
      <c r="E4216" s="13">
        <f t="shared" si="195"/>
        <v>-5.6698038276216571E-3</v>
      </c>
      <c r="F4216" s="9">
        <f t="shared" si="196"/>
        <v>4.2891373464620138E-2</v>
      </c>
      <c r="G4216" s="9">
        <f t="shared" si="197"/>
        <v>1.1164649319424977E-2</v>
      </c>
    </row>
    <row r="4217" spans="1:7" x14ac:dyDescent="0.2">
      <c r="A4217" s="11">
        <v>41193</v>
      </c>
      <c r="B4217" s="10">
        <v>419.92</v>
      </c>
      <c r="C4217" s="10">
        <v>420.35</v>
      </c>
      <c r="D4217" s="10">
        <v>415.16</v>
      </c>
      <c r="E4217" s="13">
        <f t="shared" si="195"/>
        <v>7.4097430111998283E-3</v>
      </c>
      <c r="F4217" s="9">
        <f t="shared" si="196"/>
        <v>3.7783377402213124E-2</v>
      </c>
      <c r="G4217" s="9">
        <f t="shared" si="197"/>
        <v>1.1023681354002342E-2</v>
      </c>
    </row>
    <row r="4218" spans="1:7" x14ac:dyDescent="0.2">
      <c r="A4218" s="11">
        <v>41194</v>
      </c>
      <c r="B4218" s="10">
        <v>417.86</v>
      </c>
      <c r="C4218" s="10">
        <v>420.03</v>
      </c>
      <c r="D4218" s="10">
        <v>416.69</v>
      </c>
      <c r="E4218" s="13">
        <f t="shared" si="195"/>
        <v>-4.9177687499395491E-3</v>
      </c>
      <c r="F4218" s="9">
        <f t="shared" si="196"/>
        <v>2.3413695913634826E-2</v>
      </c>
      <c r="G4218" s="9">
        <f t="shared" si="197"/>
        <v>1.0967114388871227E-2</v>
      </c>
    </row>
    <row r="4219" spans="1:7" x14ac:dyDescent="0.2">
      <c r="A4219" s="11">
        <v>41197</v>
      </c>
      <c r="B4219" s="10">
        <v>417.76</v>
      </c>
      <c r="C4219" s="10">
        <v>420.76</v>
      </c>
      <c r="D4219" s="10">
        <v>417.09</v>
      </c>
      <c r="E4219" s="13">
        <f t="shared" si="195"/>
        <v>-2.3934324328615613E-4</v>
      </c>
      <c r="F4219" s="9">
        <f t="shared" si="196"/>
        <v>3.7709025995076167E-2</v>
      </c>
      <c r="G4219" s="9">
        <f t="shared" si="197"/>
        <v>1.0566867556533627E-2</v>
      </c>
    </row>
    <row r="4220" spans="1:7" x14ac:dyDescent="0.2">
      <c r="A4220" s="11">
        <v>41198</v>
      </c>
      <c r="B4220" s="10">
        <v>421.59</v>
      </c>
      <c r="C4220" s="10">
        <v>421.69</v>
      </c>
      <c r="D4220" s="10">
        <v>417.75</v>
      </c>
      <c r="E4220" s="13">
        <f t="shared" si="195"/>
        <v>9.1261728299446097E-3</v>
      </c>
      <c r="F4220" s="9">
        <f t="shared" si="196"/>
        <v>4.3138336943694476E-2</v>
      </c>
      <c r="G4220" s="9">
        <f t="shared" si="197"/>
        <v>1.0658543707099604E-2</v>
      </c>
    </row>
    <row r="4221" spans="1:7" x14ac:dyDescent="0.2">
      <c r="A4221" s="11">
        <v>41199</v>
      </c>
      <c r="B4221" s="10">
        <v>420.83</v>
      </c>
      <c r="C4221" s="10">
        <v>423.32</v>
      </c>
      <c r="D4221" s="10">
        <v>418.81</v>
      </c>
      <c r="E4221" s="13">
        <f t="shared" si="195"/>
        <v>-1.8043261228069853E-3</v>
      </c>
      <c r="F4221" s="9">
        <f t="shared" si="196"/>
        <v>2.1982603124522299E-2</v>
      </c>
      <c r="G4221" s="9">
        <f t="shared" si="197"/>
        <v>1.0101648335316184E-2</v>
      </c>
    </row>
    <row r="4222" spans="1:7" x14ac:dyDescent="0.2">
      <c r="A4222" s="11">
        <v>41200</v>
      </c>
      <c r="B4222" s="10">
        <v>419.62</v>
      </c>
      <c r="C4222" s="10">
        <v>422.85</v>
      </c>
      <c r="D4222" s="10">
        <v>419.16</v>
      </c>
      <c r="E4222" s="13">
        <f t="shared" si="195"/>
        <v>-2.8794118294016408E-3</v>
      </c>
      <c r="F4222" s="9">
        <f t="shared" si="196"/>
        <v>1.4522753114171873E-2</v>
      </c>
      <c r="G4222" s="9">
        <f t="shared" si="197"/>
        <v>1.00958150319614E-2</v>
      </c>
    </row>
    <row r="4223" spans="1:7" x14ac:dyDescent="0.2">
      <c r="A4223" s="11">
        <v>41201</v>
      </c>
      <c r="B4223" s="10">
        <v>417.35</v>
      </c>
      <c r="C4223" s="10">
        <v>421.3</v>
      </c>
      <c r="D4223" s="10">
        <v>417.32</v>
      </c>
      <c r="E4223" s="13">
        <f t="shared" si="195"/>
        <v>-5.4243415318090057E-3</v>
      </c>
      <c r="F4223" s="9">
        <f t="shared" si="196"/>
        <v>6.3939451523701051E-3</v>
      </c>
      <c r="G4223" s="9">
        <f t="shared" si="197"/>
        <v>1.0145170989272536E-2</v>
      </c>
    </row>
    <row r="4224" spans="1:7" x14ac:dyDescent="0.2">
      <c r="A4224" s="11">
        <v>41204</v>
      </c>
      <c r="B4224" s="10">
        <v>415.08</v>
      </c>
      <c r="C4224" s="10">
        <v>417.71</v>
      </c>
      <c r="D4224" s="10">
        <v>414.59</v>
      </c>
      <c r="E4224" s="13">
        <f t="shared" si="195"/>
        <v>-5.4539255596681123E-3</v>
      </c>
      <c r="F4224" s="9">
        <f t="shared" si="196"/>
        <v>-2.4088839757087249E-4</v>
      </c>
      <c r="G4224" s="9">
        <f t="shared" si="197"/>
        <v>1.0197416243496011E-2</v>
      </c>
    </row>
    <row r="4225" spans="1:7" x14ac:dyDescent="0.2">
      <c r="A4225" s="11">
        <v>41205</v>
      </c>
      <c r="B4225" s="10">
        <v>402.97</v>
      </c>
      <c r="C4225" s="10">
        <v>415.09</v>
      </c>
      <c r="D4225" s="10">
        <v>402.97</v>
      </c>
      <c r="E4225" s="13">
        <f t="shared" si="195"/>
        <v>-2.9609155248659411E-2</v>
      </c>
      <c r="F4225" s="9">
        <f t="shared" si="196"/>
        <v>-3.292830109112907E-2</v>
      </c>
      <c r="G4225" s="9">
        <f t="shared" si="197"/>
        <v>1.1559603347140946E-2</v>
      </c>
    </row>
    <row r="4226" spans="1:7" x14ac:dyDescent="0.2">
      <c r="A4226" s="11">
        <v>41206</v>
      </c>
      <c r="B4226" s="10">
        <v>408.85</v>
      </c>
      <c r="C4226" s="10">
        <v>410.67</v>
      </c>
      <c r="D4226" s="10">
        <v>402.97</v>
      </c>
      <c r="E4226" s="13">
        <f t="shared" si="195"/>
        <v>1.448622311956819E-2</v>
      </c>
      <c r="F4226" s="9">
        <f t="shared" si="196"/>
        <v>-2.0504972991782326E-2</v>
      </c>
      <c r="G4226" s="9">
        <f t="shared" si="197"/>
        <v>1.1907334872207471E-2</v>
      </c>
    </row>
    <row r="4227" spans="1:7" x14ac:dyDescent="0.2">
      <c r="A4227" s="11">
        <v>41207</v>
      </c>
      <c r="B4227" s="10">
        <v>413.58</v>
      </c>
      <c r="C4227" s="10">
        <v>413.86</v>
      </c>
      <c r="D4227" s="10">
        <v>408.75</v>
      </c>
      <c r="E4227" s="13">
        <f t="shared" si="195"/>
        <v>1.1502625517629077E-2</v>
      </c>
      <c r="F4227" s="9">
        <f t="shared" si="196"/>
        <v>-3.9817573240782674E-2</v>
      </c>
      <c r="G4227" s="9">
        <f t="shared" si="197"/>
        <v>1.0543328655419671E-2</v>
      </c>
    </row>
    <row r="4228" spans="1:7" x14ac:dyDescent="0.2">
      <c r="A4228" s="11">
        <v>41208</v>
      </c>
      <c r="B4228" s="10">
        <v>410.04</v>
      </c>
      <c r="C4228" s="10">
        <v>413.86</v>
      </c>
      <c r="D4228" s="10">
        <v>408.21</v>
      </c>
      <c r="E4228" s="13">
        <f t="shared" ref="E4228:E4291" si="198">LN(B4228/B4227)</f>
        <v>-8.5962502104146386E-3</v>
      </c>
      <c r="F4228" s="9">
        <f t="shared" si="196"/>
        <v>-4.6041011953372596E-2</v>
      </c>
      <c r="G4228" s="9">
        <f t="shared" si="197"/>
        <v>1.0627406840154447E-2</v>
      </c>
    </row>
    <row r="4229" spans="1:7" x14ac:dyDescent="0.2">
      <c r="A4229" s="11">
        <v>41211</v>
      </c>
      <c r="B4229" s="10">
        <v>410.64</v>
      </c>
      <c r="C4229" s="10">
        <v>410.96</v>
      </c>
      <c r="D4229" s="10">
        <v>408.73</v>
      </c>
      <c r="E4229" s="13">
        <f t="shared" si="198"/>
        <v>1.4622023368468515E-3</v>
      </c>
      <c r="F4229" s="9">
        <f t="shared" si="196"/>
        <v>-3.5618532563896702E-2</v>
      </c>
      <c r="G4229" s="9">
        <f t="shared" si="197"/>
        <v>1.0545089079731673E-2</v>
      </c>
    </row>
    <row r="4230" spans="1:7" x14ac:dyDescent="0.2">
      <c r="A4230" s="11">
        <v>41212</v>
      </c>
      <c r="B4230" s="10">
        <v>411.7</v>
      </c>
      <c r="C4230" s="10">
        <v>413.8</v>
      </c>
      <c r="D4230" s="10">
        <v>410.46</v>
      </c>
      <c r="E4230" s="13">
        <f t="shared" si="198"/>
        <v>2.5780105238112183E-3</v>
      </c>
      <c r="F4230" s="9">
        <f t="shared" si="196"/>
        <v>-2.7077250270418948E-2</v>
      </c>
      <c r="G4230" s="9">
        <f t="shared" si="197"/>
        <v>1.0527380000589464E-2</v>
      </c>
    </row>
    <row r="4231" spans="1:7" x14ac:dyDescent="0.2">
      <c r="A4231" s="11">
        <v>41213</v>
      </c>
      <c r="B4231" s="10">
        <v>410.64</v>
      </c>
      <c r="C4231" s="10">
        <v>414.97</v>
      </c>
      <c r="D4231" s="10">
        <v>410.16</v>
      </c>
      <c r="E4231" s="13">
        <f t="shared" si="198"/>
        <v>-2.5780105238112395E-3</v>
      </c>
      <c r="F4231" s="9">
        <f t="shared" si="196"/>
        <v>-2.2704445804687078E-2</v>
      </c>
      <c r="G4231" s="9">
        <f t="shared" si="197"/>
        <v>1.0469273308426178E-2</v>
      </c>
    </row>
    <row r="4232" spans="1:7" x14ac:dyDescent="0.2">
      <c r="A4232" s="11">
        <v>41214</v>
      </c>
      <c r="B4232" s="10">
        <v>414.41</v>
      </c>
      <c r="C4232" s="10">
        <v>414.48</v>
      </c>
      <c r="D4232" s="10">
        <v>409.12</v>
      </c>
      <c r="E4232" s="13">
        <f t="shared" si="198"/>
        <v>9.1389036762023479E-3</v>
      </c>
      <c r="F4232" s="9">
        <f t="shared" si="196"/>
        <v>-2.7818238577616228E-2</v>
      </c>
      <c r="G4232" s="9">
        <f t="shared" si="197"/>
        <v>1.0247700599700668E-2</v>
      </c>
    </row>
    <row r="4233" spans="1:7" x14ac:dyDescent="0.2">
      <c r="A4233" s="11">
        <v>41215</v>
      </c>
      <c r="B4233" s="10">
        <v>411.9</v>
      </c>
      <c r="C4233" s="10">
        <v>415.78</v>
      </c>
      <c r="D4233" s="10">
        <v>411.76</v>
      </c>
      <c r="E4233" s="13">
        <f t="shared" si="198"/>
        <v>-6.0752204862151655E-3</v>
      </c>
      <c r="F4233" s="9">
        <f t="shared" si="196"/>
        <v>-2.5432513714148994E-2</v>
      </c>
      <c r="G4233" s="9">
        <f t="shared" si="197"/>
        <v>1.019476712119762E-2</v>
      </c>
    </row>
    <row r="4234" spans="1:7" x14ac:dyDescent="0.2">
      <c r="A4234" s="11">
        <v>41218</v>
      </c>
      <c r="B4234" s="10">
        <v>409.57</v>
      </c>
      <c r="C4234" s="10">
        <v>411.9</v>
      </c>
      <c r="D4234" s="10">
        <v>407.92</v>
      </c>
      <c r="E4234" s="13">
        <f t="shared" si="198"/>
        <v>-5.6727725865769766E-3</v>
      </c>
      <c r="F4234" s="9">
        <f t="shared" si="196"/>
        <v>-3.7733997927427348E-2</v>
      </c>
      <c r="G4234" s="9">
        <f t="shared" si="197"/>
        <v>1.0127010789637141E-2</v>
      </c>
    </row>
    <row r="4235" spans="1:7" x14ac:dyDescent="0.2">
      <c r="A4235" s="11">
        <v>41219</v>
      </c>
      <c r="B4235" s="10">
        <v>411.19</v>
      </c>
      <c r="C4235" s="10">
        <v>411.92</v>
      </c>
      <c r="D4235" s="10">
        <v>409.57</v>
      </c>
      <c r="E4235" s="13">
        <f t="shared" si="198"/>
        <v>3.9475659236362032E-3</v>
      </c>
      <c r="F4235" s="9">
        <f t="shared" si="196"/>
        <v>-1.0258733602635971E-2</v>
      </c>
      <c r="G4235" s="9">
        <f t="shared" si="197"/>
        <v>9.2177581502438533E-3</v>
      </c>
    </row>
    <row r="4236" spans="1:7" x14ac:dyDescent="0.2">
      <c r="A4236" s="11">
        <v>41220</v>
      </c>
      <c r="B4236" s="10">
        <v>408.27</v>
      </c>
      <c r="C4236" s="10">
        <v>414.06</v>
      </c>
      <c r="D4236" s="10">
        <v>408</v>
      </c>
      <c r="E4236" s="13">
        <f t="shared" si="198"/>
        <v>-7.1266745387583482E-3</v>
      </c>
      <c r="F4236" s="9">
        <f t="shared" si="196"/>
        <v>-2.1325353178028313E-2</v>
      </c>
      <c r="G4236" s="9">
        <f t="shared" si="197"/>
        <v>9.2626196257785988E-3</v>
      </c>
    </row>
    <row r="4237" spans="1:7" x14ac:dyDescent="0.2">
      <c r="A4237" s="11">
        <v>41221</v>
      </c>
      <c r="B4237" s="10">
        <v>405.9</v>
      </c>
      <c r="C4237" s="10">
        <v>409.79</v>
      </c>
      <c r="D4237" s="10">
        <v>405.6</v>
      </c>
      <c r="E4237" s="13">
        <f t="shared" si="198"/>
        <v>-5.8218963954838341E-3</v>
      </c>
      <c r="F4237" s="9">
        <f t="shared" si="196"/>
        <v>-2.3183232803110444E-2</v>
      </c>
      <c r="G4237" s="9">
        <f t="shared" si="197"/>
        <v>9.2921261592509418E-3</v>
      </c>
    </row>
    <row r="4238" spans="1:7" x14ac:dyDescent="0.2">
      <c r="A4238" s="11">
        <v>41222</v>
      </c>
      <c r="B4238" s="10">
        <v>404.98</v>
      </c>
      <c r="C4238" s="10">
        <v>406.93</v>
      </c>
      <c r="D4238" s="10">
        <v>400.84</v>
      </c>
      <c r="E4238" s="13">
        <f t="shared" si="198"/>
        <v>-2.2691406737286178E-3</v>
      </c>
      <c r="F4238" s="9">
        <f t="shared" si="196"/>
        <v>-4.0432763759788777E-2</v>
      </c>
      <c r="G4238" s="9">
        <f t="shared" si="197"/>
        <v>8.7841546167587419E-3</v>
      </c>
    </row>
    <row r="4239" spans="1:7" x14ac:dyDescent="0.2">
      <c r="A4239" s="11">
        <v>41225</v>
      </c>
      <c r="B4239" s="10">
        <v>405.16430000000003</v>
      </c>
      <c r="C4239" s="10">
        <v>407.03640000000001</v>
      </c>
      <c r="D4239" s="10">
        <v>404.31020000000001</v>
      </c>
      <c r="E4239" s="13">
        <f t="shared" si="198"/>
        <v>4.5498068227924326E-4</v>
      </c>
      <c r="F4239" s="9">
        <f t="shared" si="196"/>
        <v>-3.6557108435322477E-2</v>
      </c>
      <c r="G4239" s="9">
        <f t="shared" si="197"/>
        <v>8.7817050030055844E-3</v>
      </c>
    </row>
    <row r="4240" spans="1:7" x14ac:dyDescent="0.2">
      <c r="A4240" s="11">
        <v>41226</v>
      </c>
      <c r="B4240" s="10">
        <v>402.22359999999998</v>
      </c>
      <c r="C4240" s="10">
        <v>405.07589999999999</v>
      </c>
      <c r="D4240" s="10">
        <v>399.51049999999998</v>
      </c>
      <c r="E4240" s="13">
        <f t="shared" si="198"/>
        <v>-7.2845109613072822E-3</v>
      </c>
      <c r="F4240" s="9">
        <f t="shared" si="196"/>
        <v>-3.9859877669736532E-2</v>
      </c>
      <c r="G4240" s="9">
        <f t="shared" si="197"/>
        <v>8.8394820608471928E-3</v>
      </c>
    </row>
    <row r="4241" spans="1:7" x14ac:dyDescent="0.2">
      <c r="A4241" s="11">
        <v>41227</v>
      </c>
      <c r="B4241" s="10">
        <v>403.31369999999998</v>
      </c>
      <c r="C4241" s="10">
        <v>404.33940000000001</v>
      </c>
      <c r="D4241" s="10">
        <v>401.55360000000002</v>
      </c>
      <c r="E4241" s="13">
        <f t="shared" si="198"/>
        <v>2.7065181598344874E-3</v>
      </c>
      <c r="F4241" s="9">
        <f t="shared" si="196"/>
        <v>-3.1355130648411882E-2</v>
      </c>
      <c r="G4241" s="9">
        <f t="shared" si="197"/>
        <v>8.8285478729354418E-3</v>
      </c>
    </row>
    <row r="4242" spans="1:7" x14ac:dyDescent="0.2">
      <c r="A4242" s="11">
        <v>41228</v>
      </c>
      <c r="B4242" s="10">
        <v>401.20310000000001</v>
      </c>
      <c r="C4242" s="10">
        <v>403.26240000000001</v>
      </c>
      <c r="D4242" s="10">
        <v>400.64179999999999</v>
      </c>
      <c r="E4242" s="13">
        <f t="shared" si="198"/>
        <v>-5.2468881744594997E-3</v>
      </c>
      <c r="F4242" s="9">
        <f t="shared" si="196"/>
        <v>-5.188733066963732E-2</v>
      </c>
      <c r="G4242" s="9">
        <f t="shared" si="197"/>
        <v>8.2751004563481941E-3</v>
      </c>
    </row>
    <row r="4243" spans="1:7" x14ac:dyDescent="0.2">
      <c r="A4243" s="11">
        <v>41229</v>
      </c>
      <c r="B4243" s="10">
        <v>400.05410000000001</v>
      </c>
      <c r="C4243" s="10">
        <v>401.84440000000001</v>
      </c>
      <c r="D4243" s="10">
        <v>398.44009999999997</v>
      </c>
      <c r="E4243" s="13">
        <f t="shared" si="198"/>
        <v>-2.8679949149448083E-3</v>
      </c>
      <c r="F4243" s="9">
        <f t="shared" si="196"/>
        <v>-4.5339910918356624E-2</v>
      </c>
      <c r="G4243" s="9">
        <f t="shared" si="197"/>
        <v>8.1479416955814576E-3</v>
      </c>
    </row>
    <row r="4244" spans="1:7" x14ac:dyDescent="0.2">
      <c r="A4244" s="11">
        <v>41232</v>
      </c>
      <c r="B4244" s="10">
        <v>409.55090000000001</v>
      </c>
      <c r="C4244" s="10">
        <v>409.70569999999998</v>
      </c>
      <c r="D4244" s="10">
        <v>400.46159999999998</v>
      </c>
      <c r="E4244" s="13">
        <f t="shared" si="198"/>
        <v>2.3461405530549782E-2</v>
      </c>
      <c r="F4244" s="9">
        <f t="shared" si="196"/>
        <v>-2.3263084267391071E-2</v>
      </c>
      <c r="G4244" s="9">
        <f t="shared" si="197"/>
        <v>9.3725217553119588E-3</v>
      </c>
    </row>
    <row r="4245" spans="1:7" x14ac:dyDescent="0.2">
      <c r="A4245" s="11">
        <v>41233</v>
      </c>
      <c r="B4245" s="10">
        <v>410.07569999999998</v>
      </c>
      <c r="C4245" s="10">
        <v>410.07569999999998</v>
      </c>
      <c r="D4245" s="10">
        <v>407.43259999999998</v>
      </c>
      <c r="E4245" s="13">
        <f t="shared" si="198"/>
        <v>1.2805833088335508E-3</v>
      </c>
      <c r="F4245" s="9">
        <f t="shared" si="196"/>
        <v>-1.6312697130935892E-2</v>
      </c>
      <c r="G4245" s="9">
        <f t="shared" si="197"/>
        <v>9.3323838646213551E-3</v>
      </c>
    </row>
    <row r="4246" spans="1:7" x14ac:dyDescent="0.2">
      <c r="A4246" s="11">
        <v>41234</v>
      </c>
      <c r="B4246" s="10">
        <v>409.20400000000001</v>
      </c>
      <c r="C4246" s="10">
        <v>410.32490000000001</v>
      </c>
      <c r="D4246" s="10">
        <v>407.97219999999999</v>
      </c>
      <c r="E4246" s="13">
        <f t="shared" si="198"/>
        <v>-2.1279676011484549E-3</v>
      </c>
      <c r="F4246" s="9">
        <f t="shared" si="196"/>
        <v>-2.5850407743284114E-2</v>
      </c>
      <c r="G4246" s="9">
        <f t="shared" si="197"/>
        <v>9.2086371650734484E-3</v>
      </c>
    </row>
    <row r="4247" spans="1:7" x14ac:dyDescent="0.2">
      <c r="A4247" s="11">
        <v>41235</v>
      </c>
      <c r="B4247" s="10">
        <v>413.77769999999998</v>
      </c>
      <c r="C4247" s="10">
        <v>413.78750000000002</v>
      </c>
      <c r="D4247" s="10">
        <v>409.21899999999999</v>
      </c>
      <c r="E4247" s="13">
        <f t="shared" si="198"/>
        <v>1.1115063890035425E-2</v>
      </c>
      <c r="F4247" s="9">
        <f t="shared" si="196"/>
        <v>-9.8175751033090387E-3</v>
      </c>
      <c r="G4247" s="9">
        <f t="shared" si="197"/>
        <v>9.4367280592830994E-3</v>
      </c>
    </row>
    <row r="4248" spans="1:7" x14ac:dyDescent="0.2">
      <c r="A4248" s="11">
        <v>41236</v>
      </c>
      <c r="B4248" s="10">
        <v>413.42399999999998</v>
      </c>
      <c r="C4248" s="10">
        <v>413.98899999999998</v>
      </c>
      <c r="D4248" s="10">
        <v>411.53120000000001</v>
      </c>
      <c r="E4248" s="13">
        <f t="shared" si="198"/>
        <v>-8.5517237586833067E-4</v>
      </c>
      <c r="F4248" s="9">
        <f t="shared" si="196"/>
        <v>-1.0433404235891239E-2</v>
      </c>
      <c r="G4248" s="9">
        <f t="shared" si="197"/>
        <v>9.4371897606628299E-3</v>
      </c>
    </row>
    <row r="4249" spans="1:7" x14ac:dyDescent="0.2">
      <c r="A4249" s="11">
        <v>41239</v>
      </c>
      <c r="B4249" s="10">
        <v>410.01220000000001</v>
      </c>
      <c r="C4249" s="10">
        <v>413.3888</v>
      </c>
      <c r="D4249" s="10">
        <v>409.30990000000003</v>
      </c>
      <c r="E4249" s="13">
        <f t="shared" si="198"/>
        <v>-8.2867853617168245E-3</v>
      </c>
      <c r="F4249" s="9">
        <f t="shared" si="196"/>
        <v>-2.7846362427552663E-2</v>
      </c>
      <c r="G4249" s="9">
        <f t="shared" si="197"/>
        <v>9.3657701853375377E-3</v>
      </c>
    </row>
    <row r="4250" spans="1:7" x14ac:dyDescent="0.2">
      <c r="A4250" s="11">
        <v>41240</v>
      </c>
      <c r="B4250" s="10">
        <v>410.33280000000002</v>
      </c>
      <c r="C4250" s="10">
        <v>412.9366</v>
      </c>
      <c r="D4250" s="10">
        <v>409.73509999999999</v>
      </c>
      <c r="E4250" s="13">
        <f t="shared" si="198"/>
        <v>7.8162240599284757E-4</v>
      </c>
      <c r="F4250" s="9">
        <f t="shared" si="196"/>
        <v>-2.5260413898752773E-2</v>
      </c>
      <c r="G4250" s="9">
        <f t="shared" si="197"/>
        <v>9.3697559402045084E-3</v>
      </c>
    </row>
    <row r="4251" spans="1:7" x14ac:dyDescent="0.2">
      <c r="A4251" s="11">
        <v>41241</v>
      </c>
      <c r="B4251" s="10">
        <v>403.27690000000001</v>
      </c>
      <c r="C4251" s="10">
        <v>410.3254</v>
      </c>
      <c r="D4251" s="10">
        <v>402.07960000000003</v>
      </c>
      <c r="E4251" s="13">
        <f t="shared" si="198"/>
        <v>-1.7345114981244542E-2</v>
      </c>
      <c r="F4251" s="9">
        <f t="shared" si="196"/>
        <v>-3.9726117050595811E-2</v>
      </c>
      <c r="G4251" s="9">
        <f t="shared" si="197"/>
        <v>9.8530827856841193E-3</v>
      </c>
    </row>
    <row r="4252" spans="1:7" x14ac:dyDescent="0.2">
      <c r="A4252" s="11">
        <v>41242</v>
      </c>
      <c r="B4252" s="10">
        <v>410.75200000000001</v>
      </c>
      <c r="C4252" s="10">
        <v>410.92790000000002</v>
      </c>
      <c r="D4252" s="10">
        <v>403.29450000000003</v>
      </c>
      <c r="E4252" s="13">
        <f t="shared" si="198"/>
        <v>1.8366203269378038E-2</v>
      </c>
      <c r="F4252" s="9">
        <f t="shared" si="196"/>
        <v>-1.5935572249408701E-2</v>
      </c>
      <c r="G4252" s="9">
        <f t="shared" si="197"/>
        <v>1.0474266930959751E-2</v>
      </c>
    </row>
    <row r="4253" spans="1:7" x14ac:dyDescent="0.2">
      <c r="A4253" s="11">
        <v>41243</v>
      </c>
      <c r="B4253" s="10">
        <v>411.1223</v>
      </c>
      <c r="C4253" s="10">
        <v>411.97539999999998</v>
      </c>
      <c r="D4253" s="10">
        <v>409.5206</v>
      </c>
      <c r="E4253" s="13">
        <f t="shared" si="198"/>
        <v>9.0111109462110144E-4</v>
      </c>
      <c r="F4253" s="9">
        <f t="shared" si="196"/>
        <v>-9.5805355951195156E-3</v>
      </c>
      <c r="G4253" s="9">
        <f t="shared" si="197"/>
        <v>1.0434396712785904E-2</v>
      </c>
    </row>
    <row r="4254" spans="1:7" x14ac:dyDescent="0.2">
      <c r="A4254" s="11">
        <v>41246</v>
      </c>
      <c r="B4254" s="10">
        <v>411.24459999999999</v>
      </c>
      <c r="C4254" s="10">
        <v>413.74939999999998</v>
      </c>
      <c r="D4254" s="10">
        <v>410.38440000000003</v>
      </c>
      <c r="E4254" s="13">
        <f t="shared" si="198"/>
        <v>2.9743415232696128E-4</v>
      </c>
      <c r="F4254" s="9">
        <f t="shared" si="196"/>
        <v>2.0326053805866953E-2</v>
      </c>
      <c r="G4254" s="9">
        <f t="shared" si="197"/>
        <v>8.7848301154304451E-3</v>
      </c>
    </row>
    <row r="4255" spans="1:7" x14ac:dyDescent="0.2">
      <c r="A4255" s="11">
        <v>41247</v>
      </c>
      <c r="B4255" s="10">
        <v>406.25290000000001</v>
      </c>
      <c r="C4255" s="10">
        <v>411.24459999999999</v>
      </c>
      <c r="D4255" s="10">
        <v>405.2629</v>
      </c>
      <c r="E4255" s="13">
        <f t="shared" si="198"/>
        <v>-1.2212299214278006E-2</v>
      </c>
      <c r="F4255" s="9">
        <f t="shared" si="196"/>
        <v>-6.3724685279792498E-3</v>
      </c>
      <c r="G4255" s="9">
        <f t="shared" si="197"/>
        <v>8.6869905335738851E-3</v>
      </c>
    </row>
    <row r="4256" spans="1:7" x14ac:dyDescent="0.2">
      <c r="A4256" s="11">
        <v>41248</v>
      </c>
      <c r="B4256" s="10">
        <v>406.02699999999999</v>
      </c>
      <c r="C4256" s="10">
        <v>409.30970000000002</v>
      </c>
      <c r="D4256" s="10">
        <v>405.99849999999998</v>
      </c>
      <c r="E4256" s="13">
        <f t="shared" si="198"/>
        <v>-5.5621222641104426E-4</v>
      </c>
      <c r="F4256" s="9">
        <f t="shared" ref="F4256:F4319" si="199">LN(B4256/B4227)</f>
        <v>-1.8431306272019388E-2</v>
      </c>
      <c r="G4256" s="9">
        <f t="shared" si="197"/>
        <v>8.3893460286316637E-3</v>
      </c>
    </row>
    <row r="4257" spans="1:7" x14ac:dyDescent="0.2">
      <c r="A4257" s="11">
        <v>41249</v>
      </c>
      <c r="B4257" s="10">
        <v>410.73860000000002</v>
      </c>
      <c r="C4257" s="10">
        <v>410.73860000000002</v>
      </c>
      <c r="D4257" s="10">
        <v>405.202</v>
      </c>
      <c r="E4257" s="13">
        <f t="shared" si="198"/>
        <v>1.1537342570290734E-2</v>
      </c>
      <c r="F4257" s="9">
        <f t="shared" si="199"/>
        <v>1.7022865086859004E-3</v>
      </c>
      <c r="G4257" s="9">
        <f t="shared" ref="G4257:G4320" si="200">STDEV(E4229:E4257)</f>
        <v>8.538778403929595E-3</v>
      </c>
    </row>
    <row r="4258" spans="1:7" x14ac:dyDescent="0.2">
      <c r="A4258" s="11">
        <v>41250</v>
      </c>
      <c r="B4258" s="10">
        <v>410.24189999999999</v>
      </c>
      <c r="C4258" s="10">
        <v>411.61619999999999</v>
      </c>
      <c r="D4258" s="10">
        <v>408.27350000000001</v>
      </c>
      <c r="E4258" s="13">
        <f t="shared" si="198"/>
        <v>-1.2100167071039238E-3</v>
      </c>
      <c r="F4258" s="9">
        <f t="shared" si="199"/>
        <v>-9.6993253526489302E-4</v>
      </c>
      <c r="G4258" s="9">
        <f t="shared" si="200"/>
        <v>8.5375101203636634E-3</v>
      </c>
    </row>
    <row r="4259" spans="1:7" x14ac:dyDescent="0.2">
      <c r="A4259" s="11">
        <v>41253</v>
      </c>
      <c r="B4259" s="10">
        <v>410.12049999999999</v>
      </c>
      <c r="C4259" s="10">
        <v>410.92739999999998</v>
      </c>
      <c r="D4259" s="10">
        <v>408.70460000000003</v>
      </c>
      <c r="E4259" s="13">
        <f t="shared" si="198"/>
        <v>-2.9596676026642137E-4</v>
      </c>
      <c r="F4259" s="9">
        <f t="shared" si="199"/>
        <v>-3.8439098193424974E-3</v>
      </c>
      <c r="G4259" s="9">
        <f t="shared" si="200"/>
        <v>8.5227816699147124E-3</v>
      </c>
    </row>
    <row r="4260" spans="1:7" x14ac:dyDescent="0.2">
      <c r="A4260" s="11">
        <v>41254</v>
      </c>
      <c r="B4260" s="10">
        <v>413.6662</v>
      </c>
      <c r="C4260" s="10">
        <v>413.74329999999998</v>
      </c>
      <c r="D4260" s="10">
        <v>409.08300000000003</v>
      </c>
      <c r="E4260" s="13">
        <f t="shared" si="198"/>
        <v>8.608349456862863E-3</v>
      </c>
      <c r="F4260" s="9">
        <f t="shared" si="199"/>
        <v>7.3424501613316377E-3</v>
      </c>
      <c r="G4260" s="9">
        <f t="shared" si="200"/>
        <v>8.6601852385135274E-3</v>
      </c>
    </row>
    <row r="4261" spans="1:7" x14ac:dyDescent="0.2">
      <c r="A4261" s="11">
        <v>41255</v>
      </c>
      <c r="B4261" s="10">
        <v>415.64299999999997</v>
      </c>
      <c r="C4261" s="10">
        <v>416.67090000000002</v>
      </c>
      <c r="D4261" s="10">
        <v>412.52730000000003</v>
      </c>
      <c r="E4261" s="13">
        <f t="shared" si="198"/>
        <v>4.7673503296397071E-3</v>
      </c>
      <c r="F4261" s="9">
        <f t="shared" si="199"/>
        <v>2.9708968147689222E-3</v>
      </c>
      <c r="G4261" s="9">
        <f t="shared" si="200"/>
        <v>8.5371653251975835E-3</v>
      </c>
    </row>
    <row r="4262" spans="1:7" x14ac:dyDescent="0.2">
      <c r="A4262" s="11">
        <v>41256</v>
      </c>
      <c r="B4262" s="10">
        <v>413.95659999999998</v>
      </c>
      <c r="C4262" s="10">
        <v>415.83749999999998</v>
      </c>
      <c r="D4262" s="10">
        <v>413.36239999999998</v>
      </c>
      <c r="E4262" s="13">
        <f t="shared" si="198"/>
        <v>-4.0655813307238758E-3</v>
      </c>
      <c r="F4262" s="9">
        <f t="shared" si="199"/>
        <v>4.9805359702601451E-3</v>
      </c>
      <c r="G4262" s="9">
        <f t="shared" si="200"/>
        <v>8.4932725480325235E-3</v>
      </c>
    </row>
    <row r="4263" spans="1:7" x14ac:dyDescent="0.2">
      <c r="A4263" s="11">
        <v>41257</v>
      </c>
      <c r="B4263" s="10">
        <v>413.26589999999999</v>
      </c>
      <c r="C4263" s="10">
        <v>415.75560000000002</v>
      </c>
      <c r="D4263" s="10">
        <v>412.17169999999999</v>
      </c>
      <c r="E4263" s="13">
        <f t="shared" si="198"/>
        <v>-1.6699259522321389E-3</v>
      </c>
      <c r="F4263" s="9">
        <f t="shared" si="199"/>
        <v>8.9833826046051158E-3</v>
      </c>
      <c r="G4263" s="9">
        <f t="shared" si="200"/>
        <v>8.4271666894749457E-3</v>
      </c>
    </row>
    <row r="4264" spans="1:7" x14ac:dyDescent="0.2">
      <c r="A4264" s="11">
        <v>41260</v>
      </c>
      <c r="B4264" s="10">
        <v>411.38229999999999</v>
      </c>
      <c r="C4264" s="10">
        <v>413.4375</v>
      </c>
      <c r="D4264" s="10">
        <v>409.24</v>
      </c>
      <c r="E4264" s="13">
        <f t="shared" si="198"/>
        <v>-4.5682589878560925E-3</v>
      </c>
      <c r="F4264" s="9">
        <f t="shared" si="199"/>
        <v>4.6755769311269735E-4</v>
      </c>
      <c r="G4264" s="9">
        <f t="shared" si="200"/>
        <v>8.4442305947450298E-3</v>
      </c>
    </row>
    <row r="4265" spans="1:7" x14ac:dyDescent="0.2">
      <c r="A4265" s="11">
        <v>41261</v>
      </c>
      <c r="B4265" s="10">
        <v>413.04349999999999</v>
      </c>
      <c r="C4265" s="10">
        <v>414.17309999999998</v>
      </c>
      <c r="D4265" s="10">
        <v>411.60590000000002</v>
      </c>
      <c r="E4265" s="13">
        <f t="shared" si="198"/>
        <v>4.0299618188531479E-3</v>
      </c>
      <c r="F4265" s="9">
        <f t="shared" si="199"/>
        <v>1.162419405072419E-2</v>
      </c>
      <c r="G4265" s="9">
        <f t="shared" si="200"/>
        <v>8.3609212466174854E-3</v>
      </c>
    </row>
    <row r="4266" spans="1:7" x14ac:dyDescent="0.2">
      <c r="A4266" s="11">
        <v>41262</v>
      </c>
      <c r="B4266" s="10">
        <v>416.35489999999999</v>
      </c>
      <c r="C4266" s="10">
        <v>418.01960000000003</v>
      </c>
      <c r="D4266" s="10">
        <v>413.10090000000002</v>
      </c>
      <c r="E4266" s="13">
        <f t="shared" si="198"/>
        <v>7.9851072659125211E-3</v>
      </c>
      <c r="F4266" s="9">
        <f t="shared" si="199"/>
        <v>2.543119771212049E-2</v>
      </c>
      <c r="G4266" s="9">
        <f t="shared" si="200"/>
        <v>8.3869911395871178E-3</v>
      </c>
    </row>
    <row r="4267" spans="1:7" x14ac:dyDescent="0.2">
      <c r="A4267" s="11">
        <v>41263</v>
      </c>
      <c r="B4267" s="10">
        <v>413.06299999999999</v>
      </c>
      <c r="C4267" s="10">
        <v>416.2955</v>
      </c>
      <c r="D4267" s="10">
        <v>413.04020000000003</v>
      </c>
      <c r="E4267" s="13">
        <f t="shared" si="198"/>
        <v>-7.937897856463148E-3</v>
      </c>
      <c r="F4267" s="9">
        <f t="shared" si="199"/>
        <v>1.9762440529386017E-2</v>
      </c>
      <c r="G4267" s="9">
        <f t="shared" si="200"/>
        <v>8.5278133023771949E-3</v>
      </c>
    </row>
    <row r="4268" spans="1:7" x14ac:dyDescent="0.2">
      <c r="A4268" s="11">
        <v>41264</v>
      </c>
      <c r="B4268" s="10">
        <v>414.80869999999999</v>
      </c>
      <c r="C4268" s="10">
        <v>414.97649999999999</v>
      </c>
      <c r="D4268" s="10">
        <v>410.02319999999997</v>
      </c>
      <c r="E4268" s="13">
        <f t="shared" si="198"/>
        <v>4.2173263982681272E-3</v>
      </c>
      <c r="F4268" s="9">
        <f t="shared" si="199"/>
        <v>2.3524786245375098E-2</v>
      </c>
      <c r="G4268" s="9">
        <f t="shared" si="200"/>
        <v>8.5528268352793313E-3</v>
      </c>
    </row>
    <row r="4269" spans="1:7" x14ac:dyDescent="0.2">
      <c r="A4269" s="11">
        <v>41270</v>
      </c>
      <c r="B4269" s="10">
        <v>413.9502</v>
      </c>
      <c r="C4269" s="10">
        <v>415.66219999999998</v>
      </c>
      <c r="D4269" s="10">
        <v>413.86840000000001</v>
      </c>
      <c r="E4269" s="13">
        <f t="shared" si="198"/>
        <v>-2.0717733639405529E-3</v>
      </c>
      <c r="F4269" s="9">
        <f t="shared" si="199"/>
        <v>2.8737523842741742E-2</v>
      </c>
      <c r="G4269" s="9">
        <f t="shared" si="200"/>
        <v>8.4305094946841228E-3</v>
      </c>
    </row>
    <row r="4270" spans="1:7" x14ac:dyDescent="0.2">
      <c r="A4270" s="11">
        <v>41271</v>
      </c>
      <c r="B4270" s="10">
        <v>410.30200000000002</v>
      </c>
      <c r="C4270" s="10">
        <v>415.63279999999997</v>
      </c>
      <c r="D4270" s="10">
        <v>409.48399999999998</v>
      </c>
      <c r="E4270" s="13">
        <f t="shared" si="198"/>
        <v>-8.852202816490521E-3</v>
      </c>
      <c r="F4270" s="9">
        <f t="shared" si="199"/>
        <v>1.7178802866416848E-2</v>
      </c>
      <c r="G4270" s="9">
        <f t="shared" si="200"/>
        <v>8.6176628344411584E-3</v>
      </c>
    </row>
    <row r="4271" spans="1:7" x14ac:dyDescent="0.2">
      <c r="A4271" s="11">
        <v>41276</v>
      </c>
      <c r="B4271" s="10">
        <v>419.99419999999998</v>
      </c>
      <c r="C4271" s="10">
        <v>420.0138</v>
      </c>
      <c r="D4271" s="10">
        <v>410.58150000000001</v>
      </c>
      <c r="E4271" s="13">
        <f t="shared" si="198"/>
        <v>2.3347427739905592E-2</v>
      </c>
      <c r="F4271" s="9">
        <f t="shared" si="199"/>
        <v>4.5773118780781982E-2</v>
      </c>
      <c r="G4271" s="9">
        <f t="shared" si="200"/>
        <v>9.5148313220255396E-3</v>
      </c>
    </row>
    <row r="4272" spans="1:7" x14ac:dyDescent="0.2">
      <c r="A4272" s="11">
        <v>41277</v>
      </c>
      <c r="B4272" s="10">
        <v>420.97449999999998</v>
      </c>
      <c r="C4272" s="10">
        <v>420.97449999999998</v>
      </c>
      <c r="D4272" s="10">
        <v>419.12029999999999</v>
      </c>
      <c r="E4272" s="13">
        <f t="shared" si="198"/>
        <v>2.3313601184296144E-3</v>
      </c>
      <c r="F4272" s="9">
        <f t="shared" si="199"/>
        <v>5.0972473814156254E-2</v>
      </c>
      <c r="G4272" s="9">
        <f t="shared" si="200"/>
        <v>9.4769663124971096E-3</v>
      </c>
    </row>
    <row r="4273" spans="1:7" x14ac:dyDescent="0.2">
      <c r="A4273" s="11">
        <v>41278</v>
      </c>
      <c r="B4273" s="10">
        <v>422.4973</v>
      </c>
      <c r="C4273" s="10">
        <v>422.53699999999998</v>
      </c>
      <c r="D4273" s="10">
        <v>419.65559999999999</v>
      </c>
      <c r="E4273" s="13">
        <f t="shared" si="198"/>
        <v>3.6107944675830826E-3</v>
      </c>
      <c r="F4273" s="9">
        <f t="shared" si="199"/>
        <v>3.1121862751189357E-2</v>
      </c>
      <c r="G4273" s="9">
        <f t="shared" si="200"/>
        <v>8.5221457489722801E-3</v>
      </c>
    </row>
    <row r="4274" spans="1:7" x14ac:dyDescent="0.2">
      <c r="A4274" s="11">
        <v>41281</v>
      </c>
      <c r="B4274" s="10">
        <v>419.49290000000002</v>
      </c>
      <c r="C4274" s="10">
        <v>424.0899</v>
      </c>
      <c r="D4274" s="10">
        <v>418.71019999999999</v>
      </c>
      <c r="E4274" s="13">
        <f t="shared" si="198"/>
        <v>-7.136455390839516E-3</v>
      </c>
      <c r="F4274" s="9">
        <f t="shared" si="199"/>
        <v>2.2704824051516442E-2</v>
      </c>
      <c r="G4274" s="9">
        <f t="shared" si="200"/>
        <v>8.6570924974315906E-3</v>
      </c>
    </row>
    <row r="4275" spans="1:7" x14ac:dyDescent="0.2">
      <c r="A4275" s="11">
        <v>41282</v>
      </c>
      <c r="B4275" s="10">
        <v>421.4599</v>
      </c>
      <c r="C4275" s="10">
        <v>422.96800000000002</v>
      </c>
      <c r="D4275" s="10">
        <v>419.38490000000002</v>
      </c>
      <c r="E4275" s="13">
        <f t="shared" si="198"/>
        <v>4.678035645172593E-3</v>
      </c>
      <c r="F4275" s="9">
        <f t="shared" si="199"/>
        <v>2.9510827297837588E-2</v>
      </c>
      <c r="G4275" s="9">
        <f t="shared" si="200"/>
        <v>8.667608639117811E-3</v>
      </c>
    </row>
    <row r="4276" spans="1:7" x14ac:dyDescent="0.2">
      <c r="A4276" s="11">
        <v>41283</v>
      </c>
      <c r="B4276" s="10">
        <v>423.44720000000001</v>
      </c>
      <c r="C4276" s="10">
        <v>424.21499999999997</v>
      </c>
      <c r="D4276" s="10">
        <v>421.32060000000001</v>
      </c>
      <c r="E4276" s="13">
        <f t="shared" si="198"/>
        <v>4.7041944962216134E-3</v>
      </c>
      <c r="F4276" s="9">
        <f t="shared" si="199"/>
        <v>2.3099957904023596E-2</v>
      </c>
      <c r="G4276" s="9">
        <f t="shared" si="200"/>
        <v>8.4806154638568821E-3</v>
      </c>
    </row>
    <row r="4277" spans="1:7" x14ac:dyDescent="0.2">
      <c r="A4277" s="11">
        <v>41284</v>
      </c>
      <c r="B4277" s="10">
        <v>424.05099999999999</v>
      </c>
      <c r="C4277" s="10">
        <v>425.28629999999998</v>
      </c>
      <c r="D4277" s="10">
        <v>422.9957</v>
      </c>
      <c r="E4277" s="13">
        <f t="shared" si="198"/>
        <v>1.4249000225838239E-3</v>
      </c>
      <c r="F4277" s="9">
        <f t="shared" si="199"/>
        <v>2.5380030302475844E-2</v>
      </c>
      <c r="G4277" s="9">
        <f t="shared" si="200"/>
        <v>8.475323110627592E-3</v>
      </c>
    </row>
    <row r="4278" spans="1:7" x14ac:dyDescent="0.2">
      <c r="A4278" s="11">
        <v>41285</v>
      </c>
      <c r="B4278" s="10">
        <v>423.15089999999998</v>
      </c>
      <c r="C4278" s="10">
        <v>425.71510000000001</v>
      </c>
      <c r="D4278" s="10">
        <v>422.38139999999999</v>
      </c>
      <c r="E4278" s="13">
        <f t="shared" si="198"/>
        <v>-2.12487799819758E-3</v>
      </c>
      <c r="F4278" s="9">
        <f t="shared" si="199"/>
        <v>3.1541937665995189E-2</v>
      </c>
      <c r="G4278" s="9">
        <f t="shared" si="200"/>
        <v>8.3131144051183329E-3</v>
      </c>
    </row>
    <row r="4279" spans="1:7" x14ac:dyDescent="0.2">
      <c r="A4279" s="11">
        <v>41288</v>
      </c>
      <c r="B4279" s="10">
        <v>425.10449999999997</v>
      </c>
      <c r="C4279" s="10">
        <v>426.35550000000001</v>
      </c>
      <c r="D4279" s="10">
        <v>423.17610000000002</v>
      </c>
      <c r="E4279" s="13">
        <f t="shared" si="198"/>
        <v>4.6061680340405914E-3</v>
      </c>
      <c r="F4279" s="9">
        <f t="shared" si="199"/>
        <v>3.5366483294043002E-2</v>
      </c>
      <c r="G4279" s="9">
        <f t="shared" si="200"/>
        <v>8.3383843498429575E-3</v>
      </c>
    </row>
    <row r="4280" spans="1:7" x14ac:dyDescent="0.2">
      <c r="A4280" s="11">
        <v>41289</v>
      </c>
      <c r="B4280" s="10">
        <v>424.17529999999999</v>
      </c>
      <c r="C4280" s="10">
        <v>425.73880000000003</v>
      </c>
      <c r="D4280" s="10">
        <v>422.45159999999998</v>
      </c>
      <c r="E4280" s="13">
        <f t="shared" si="198"/>
        <v>-2.1882078692332116E-3</v>
      </c>
      <c r="F4280" s="9">
        <f t="shared" si="199"/>
        <v>5.0523390406054379E-2</v>
      </c>
      <c r="G4280" s="9">
        <f t="shared" si="200"/>
        <v>7.5730891700410809E-3</v>
      </c>
    </row>
    <row r="4281" spans="1:7" x14ac:dyDescent="0.2">
      <c r="A4281" s="11">
        <v>41290</v>
      </c>
      <c r="B4281" s="10">
        <v>426.58210000000003</v>
      </c>
      <c r="C4281" s="10">
        <v>426.79289999999997</v>
      </c>
      <c r="D4281" s="10">
        <v>422.58929999999998</v>
      </c>
      <c r="E4281" s="13">
        <f t="shared" si="198"/>
        <v>5.6580322917047466E-3</v>
      </c>
      <c r="F4281" s="9">
        <f t="shared" si="199"/>
        <v>3.7815219428380925E-2</v>
      </c>
      <c r="G4281" s="9">
        <f t="shared" si="200"/>
        <v>6.9159599166795033E-3</v>
      </c>
    </row>
    <row r="4282" spans="1:7" x14ac:dyDescent="0.2">
      <c r="A4282" s="11">
        <v>41291</v>
      </c>
      <c r="B4282" s="10">
        <v>431.0102</v>
      </c>
      <c r="C4282" s="10">
        <v>431.13389999999998</v>
      </c>
      <c r="D4282" s="10">
        <v>426.17009999999999</v>
      </c>
      <c r="E4282" s="13">
        <f t="shared" si="198"/>
        <v>1.0326910241268427E-2</v>
      </c>
      <c r="F4282" s="9">
        <f t="shared" si="199"/>
        <v>4.7241018575028285E-2</v>
      </c>
      <c r="G4282" s="9">
        <f t="shared" si="200"/>
        <v>7.1149779053828978E-3</v>
      </c>
    </row>
    <row r="4283" spans="1:7" x14ac:dyDescent="0.2">
      <c r="A4283" s="11">
        <v>41292</v>
      </c>
      <c r="B4283" s="10">
        <v>432.06060000000002</v>
      </c>
      <c r="C4283" s="10">
        <v>433.54669999999999</v>
      </c>
      <c r="D4283" s="10">
        <v>429.7296</v>
      </c>
      <c r="E4283" s="13">
        <f t="shared" si="198"/>
        <v>2.4341004668942861E-3</v>
      </c>
      <c r="F4283" s="9">
        <f t="shared" si="199"/>
        <v>4.9377684889595555E-2</v>
      </c>
      <c r="G4283" s="9">
        <f t="shared" si="200"/>
        <v>7.1117588427139812E-3</v>
      </c>
    </row>
    <row r="4284" spans="1:7" x14ac:dyDescent="0.2">
      <c r="A4284" s="11">
        <v>41295</v>
      </c>
      <c r="B4284" s="10">
        <v>432.0428</v>
      </c>
      <c r="C4284" s="10">
        <v>432.51769999999999</v>
      </c>
      <c r="D4284" s="10">
        <v>430.99360000000001</v>
      </c>
      <c r="E4284" s="13">
        <f t="shared" si="198"/>
        <v>-4.1198773208286881E-5</v>
      </c>
      <c r="F4284" s="9">
        <f t="shared" si="199"/>
        <v>6.1548785330665358E-2</v>
      </c>
      <c r="G4284" s="9">
        <f t="shared" si="200"/>
        <v>6.6021250811635719E-3</v>
      </c>
    </row>
    <row r="4285" spans="1:7" x14ac:dyDescent="0.2">
      <c r="A4285" s="11">
        <v>41296</v>
      </c>
      <c r="B4285" s="10">
        <v>429.26420000000002</v>
      </c>
      <c r="C4285" s="10">
        <v>432.37200000000001</v>
      </c>
      <c r="D4285" s="10">
        <v>428.47770000000003</v>
      </c>
      <c r="E4285" s="13">
        <f t="shared" si="198"/>
        <v>-6.4520772250959294E-3</v>
      </c>
      <c r="F4285" s="9">
        <f t="shared" si="199"/>
        <v>5.5652920331980438E-2</v>
      </c>
      <c r="G4285" s="9">
        <f t="shared" si="200"/>
        <v>6.7760430365163262E-3</v>
      </c>
    </row>
    <row r="4286" spans="1:7" x14ac:dyDescent="0.2">
      <c r="A4286" s="11">
        <v>41297</v>
      </c>
      <c r="B4286" s="10">
        <v>432.65620000000001</v>
      </c>
      <c r="C4286" s="10">
        <v>432.68729999999999</v>
      </c>
      <c r="D4286" s="10">
        <v>427.60090000000002</v>
      </c>
      <c r="E4286" s="13">
        <f t="shared" si="198"/>
        <v>7.870837054566383E-3</v>
      </c>
      <c r="F4286" s="9">
        <f t="shared" si="199"/>
        <v>5.1986414816256425E-2</v>
      </c>
      <c r="G4286" s="9">
        <f t="shared" si="200"/>
        <v>6.6226398325258916E-3</v>
      </c>
    </row>
    <row r="4287" spans="1:7" x14ac:dyDescent="0.2">
      <c r="A4287" s="11">
        <v>41298</v>
      </c>
      <c r="B4287" s="10">
        <v>433.0727</v>
      </c>
      <c r="C4287" s="10">
        <v>434.0761</v>
      </c>
      <c r="D4287" s="10">
        <v>431.25659999999999</v>
      </c>
      <c r="E4287" s="13">
        <f t="shared" si="198"/>
        <v>9.6219505236262541E-4</v>
      </c>
      <c r="F4287" s="9">
        <f t="shared" si="199"/>
        <v>5.4158626575722658E-2</v>
      </c>
      <c r="G4287" s="9">
        <f t="shared" si="200"/>
        <v>6.599710599894365E-3</v>
      </c>
    </row>
    <row r="4288" spans="1:7" x14ac:dyDescent="0.2">
      <c r="A4288" s="11">
        <v>41299</v>
      </c>
      <c r="B4288" s="10">
        <v>435.12369999999999</v>
      </c>
      <c r="C4288" s="10">
        <v>436.37709999999998</v>
      </c>
      <c r="D4288" s="10">
        <v>432.02969999999999</v>
      </c>
      <c r="E4288" s="13">
        <f t="shared" si="198"/>
        <v>4.724746187406554E-3</v>
      </c>
      <c r="F4288" s="9">
        <f t="shared" si="199"/>
        <v>5.9179339523395706E-2</v>
      </c>
      <c r="G4288" s="9">
        <f t="shared" si="200"/>
        <v>6.6067786919943774E-3</v>
      </c>
    </row>
    <row r="4289" spans="1:7" x14ac:dyDescent="0.2">
      <c r="A4289" s="11">
        <v>41302</v>
      </c>
      <c r="B4289" s="10">
        <v>431.09960000000001</v>
      </c>
      <c r="C4289" s="10">
        <v>435.58870000000002</v>
      </c>
      <c r="D4289" s="10">
        <v>431.09960000000001</v>
      </c>
      <c r="E4289" s="13">
        <f t="shared" si="198"/>
        <v>-9.291204586219055E-3</v>
      </c>
      <c r="F4289" s="9">
        <f t="shared" si="199"/>
        <v>4.1279785480313719E-2</v>
      </c>
      <c r="G4289" s="9">
        <f t="shared" si="200"/>
        <v>6.8044509527378809E-3</v>
      </c>
    </row>
    <row r="4290" spans="1:7" x14ac:dyDescent="0.2">
      <c r="A4290" s="11">
        <v>41303</v>
      </c>
      <c r="B4290" s="10">
        <v>432.14429999999999</v>
      </c>
      <c r="C4290" s="10">
        <v>432.73399999999998</v>
      </c>
      <c r="D4290" s="10">
        <v>431.14159999999998</v>
      </c>
      <c r="E4290" s="13">
        <f t="shared" si="198"/>
        <v>2.4204063533366381E-3</v>
      </c>
      <c r="F4290" s="9">
        <f t="shared" si="199"/>
        <v>3.8932841504010551E-2</v>
      </c>
      <c r="G4290" s="9">
        <f t="shared" si="200"/>
        <v>6.7771616245333151E-3</v>
      </c>
    </row>
    <row r="4291" spans="1:7" x14ac:dyDescent="0.2">
      <c r="A4291" s="11">
        <v>41304</v>
      </c>
      <c r="B4291" s="10">
        <v>431.53519999999997</v>
      </c>
      <c r="C4291" s="10">
        <v>432.58359999999999</v>
      </c>
      <c r="D4291" s="10">
        <v>429.7165</v>
      </c>
      <c r="E4291" s="13">
        <f t="shared" si="198"/>
        <v>-1.4104771526496902E-3</v>
      </c>
      <c r="F4291" s="9">
        <f t="shared" si="199"/>
        <v>4.158794568208482E-2</v>
      </c>
      <c r="G4291" s="9">
        <f t="shared" si="200"/>
        <v>6.7191786787317766E-3</v>
      </c>
    </row>
    <row r="4292" spans="1:7" x14ac:dyDescent="0.2">
      <c r="A4292" s="11">
        <v>41305</v>
      </c>
      <c r="B4292" s="10">
        <v>429.84660000000002</v>
      </c>
      <c r="C4292" s="10">
        <v>432.28879999999998</v>
      </c>
      <c r="D4292" s="10">
        <v>429.84660000000002</v>
      </c>
      <c r="E4292" s="13">
        <f t="shared" ref="E4292:E4355" si="201">LN(B4292/B4291)</f>
        <v>-3.9206822411635188E-3</v>
      </c>
      <c r="F4292" s="9">
        <f t="shared" si="199"/>
        <v>3.9337189393153518E-2</v>
      </c>
      <c r="G4292" s="9">
        <f t="shared" si="200"/>
        <v>6.7691263957671503E-3</v>
      </c>
    </row>
    <row r="4293" spans="1:7" x14ac:dyDescent="0.2">
      <c r="A4293" s="11">
        <v>41306</v>
      </c>
      <c r="B4293" s="10">
        <v>434.54950000000002</v>
      </c>
      <c r="C4293" s="10">
        <v>434.54950000000002</v>
      </c>
      <c r="D4293" s="10">
        <v>428.24439999999998</v>
      </c>
      <c r="E4293" s="13">
        <f t="shared" si="201"/>
        <v>1.0881461414011258E-2</v>
      </c>
      <c r="F4293" s="9">
        <f t="shared" si="199"/>
        <v>5.4786909795021016E-2</v>
      </c>
      <c r="G4293" s="9">
        <f t="shared" si="200"/>
        <v>6.8930159143663723E-3</v>
      </c>
    </row>
    <row r="4294" spans="1:7" x14ac:dyDescent="0.2">
      <c r="A4294" s="11">
        <v>41309</v>
      </c>
      <c r="B4294" s="10">
        <v>432.49650000000003</v>
      </c>
      <c r="C4294" s="10">
        <v>436.37580000000003</v>
      </c>
      <c r="D4294" s="10">
        <v>431.94240000000002</v>
      </c>
      <c r="E4294" s="13">
        <f t="shared" si="201"/>
        <v>-4.7356284135872083E-3</v>
      </c>
      <c r="F4294" s="9">
        <f t="shared" si="199"/>
        <v>4.602131956258064E-2</v>
      </c>
      <c r="G4294" s="9">
        <f t="shared" si="200"/>
        <v>6.9873323371423459E-3</v>
      </c>
    </row>
    <row r="4295" spans="1:7" x14ac:dyDescent="0.2">
      <c r="A4295" s="11">
        <v>41310</v>
      </c>
      <c r="B4295" s="10">
        <v>431.09809999999999</v>
      </c>
      <c r="C4295" s="10">
        <v>432.19549999999998</v>
      </c>
      <c r="D4295" s="10">
        <v>427.74900000000002</v>
      </c>
      <c r="E4295" s="13">
        <f t="shared" si="201"/>
        <v>-3.2385594403498076E-3</v>
      </c>
      <c r="F4295" s="9">
        <f t="shared" si="199"/>
        <v>3.4797652856318265E-2</v>
      </c>
      <c r="G4295" s="9">
        <f t="shared" si="200"/>
        <v>6.9308933119747217E-3</v>
      </c>
    </row>
    <row r="4296" spans="1:7" x14ac:dyDescent="0.2">
      <c r="A4296" s="11">
        <v>41311</v>
      </c>
      <c r="B4296" s="10">
        <v>427.63459999999998</v>
      </c>
      <c r="C4296" s="10">
        <v>433.63049999999998</v>
      </c>
      <c r="D4296" s="10">
        <v>427.63440000000003</v>
      </c>
      <c r="E4296" s="13">
        <f t="shared" si="201"/>
        <v>-8.0665817913627424E-3</v>
      </c>
      <c r="F4296" s="9">
        <f t="shared" si="199"/>
        <v>3.4668968921418727E-2</v>
      </c>
      <c r="G4296" s="9">
        <f t="shared" si="200"/>
        <v>6.936991082663606E-3</v>
      </c>
    </row>
    <row r="4297" spans="1:7" x14ac:dyDescent="0.2">
      <c r="A4297" s="11">
        <v>41312</v>
      </c>
      <c r="B4297" s="10">
        <v>432.73829999999998</v>
      </c>
      <c r="C4297" s="10">
        <v>435.2432</v>
      </c>
      <c r="D4297" s="10">
        <v>427.59179999999998</v>
      </c>
      <c r="E4297" s="13">
        <f t="shared" si="201"/>
        <v>1.1864064673753283E-2</v>
      </c>
      <c r="F4297" s="9">
        <f t="shared" si="199"/>
        <v>4.2315707196903696E-2</v>
      </c>
      <c r="G4297" s="9">
        <f t="shared" si="200"/>
        <v>7.1964338603684426E-3</v>
      </c>
    </row>
    <row r="4298" spans="1:7" x14ac:dyDescent="0.2">
      <c r="A4298" s="11">
        <v>41313</v>
      </c>
      <c r="B4298" s="10">
        <v>435.82960000000003</v>
      </c>
      <c r="C4298" s="10">
        <v>435.91070000000002</v>
      </c>
      <c r="D4298" s="10">
        <v>432.63920000000002</v>
      </c>
      <c r="E4298" s="13">
        <f t="shared" si="201"/>
        <v>7.1181839730157584E-3</v>
      </c>
      <c r="F4298" s="9">
        <f t="shared" si="199"/>
        <v>5.1505664533859949E-2</v>
      </c>
      <c r="G4298" s="9">
        <f t="shared" si="200"/>
        <v>7.2376181353136435E-3</v>
      </c>
    </row>
    <row r="4299" spans="1:7" x14ac:dyDescent="0.2">
      <c r="A4299" s="11">
        <v>41316</v>
      </c>
      <c r="B4299" s="10">
        <v>431.88600000000002</v>
      </c>
      <c r="C4299" s="10">
        <v>435.71859999999998</v>
      </c>
      <c r="D4299" s="10">
        <v>431.88600000000002</v>
      </c>
      <c r="E4299" s="13">
        <f t="shared" si="201"/>
        <v>-9.0896767382751438E-3</v>
      </c>
      <c r="F4299" s="9">
        <f t="shared" si="199"/>
        <v>5.1268190612075382E-2</v>
      </c>
      <c r="G4299" s="9">
        <f t="shared" si="200"/>
        <v>7.250195992795549E-3</v>
      </c>
    </row>
    <row r="4300" spans="1:7" x14ac:dyDescent="0.2">
      <c r="A4300" s="11">
        <v>41317</v>
      </c>
      <c r="B4300" s="10">
        <v>434.79</v>
      </c>
      <c r="C4300" s="10">
        <v>435.39179999999999</v>
      </c>
      <c r="D4300" s="10">
        <v>431.61020000000002</v>
      </c>
      <c r="E4300" s="13">
        <f t="shared" si="201"/>
        <v>6.7014913721128435E-3</v>
      </c>
      <c r="F4300" s="9">
        <f t="shared" si="199"/>
        <v>3.4622254244282731E-2</v>
      </c>
      <c r="G4300" s="9">
        <f t="shared" si="200"/>
        <v>6.0383834922237267E-3</v>
      </c>
    </row>
    <row r="4301" spans="1:7" x14ac:dyDescent="0.2">
      <c r="A4301" s="11">
        <v>41318</v>
      </c>
      <c r="B4301" s="10">
        <v>435.76769999999999</v>
      </c>
      <c r="C4301" s="10">
        <v>435.94990000000001</v>
      </c>
      <c r="D4301" s="10">
        <v>433.30169999999998</v>
      </c>
      <c r="E4301" s="13">
        <f t="shared" si="201"/>
        <v>2.2461472939835987E-3</v>
      </c>
      <c r="F4301" s="9">
        <f t="shared" si="199"/>
        <v>3.4537041419836753E-2</v>
      </c>
      <c r="G4301" s="9">
        <f t="shared" si="200"/>
        <v>6.0378309109722673E-3</v>
      </c>
    </row>
    <row r="4302" spans="1:7" x14ac:dyDescent="0.2">
      <c r="A4302" s="11">
        <v>41319</v>
      </c>
      <c r="B4302" s="10">
        <v>433.84059999999999</v>
      </c>
      <c r="C4302" s="10">
        <v>436.71129999999999</v>
      </c>
      <c r="D4302" s="10">
        <v>433.58069999999998</v>
      </c>
      <c r="E4302" s="13">
        <f t="shared" si="201"/>
        <v>-4.4321176663290208E-3</v>
      </c>
      <c r="F4302" s="9">
        <f t="shared" si="199"/>
        <v>2.6494129285924591E-2</v>
      </c>
      <c r="G4302" s="9">
        <f t="shared" si="200"/>
        <v>6.107032199461882E-3</v>
      </c>
    </row>
    <row r="4303" spans="1:7" x14ac:dyDescent="0.2">
      <c r="A4303" s="11">
        <v>41320</v>
      </c>
      <c r="B4303" s="10">
        <v>434.74540000000002</v>
      </c>
      <c r="C4303" s="10">
        <v>435.16800000000001</v>
      </c>
      <c r="D4303" s="10">
        <v>432.74340000000001</v>
      </c>
      <c r="E4303" s="13">
        <f t="shared" si="201"/>
        <v>2.0833868546667211E-3</v>
      </c>
      <c r="F4303" s="9">
        <f t="shared" si="199"/>
        <v>3.571397153143091E-2</v>
      </c>
      <c r="G4303" s="9">
        <f t="shared" si="200"/>
        <v>5.909790731677942E-3</v>
      </c>
    </row>
    <row r="4304" spans="1:7" x14ac:dyDescent="0.2">
      <c r="A4304" s="11">
        <v>41323</v>
      </c>
      <c r="B4304" s="10">
        <v>434.50459999999998</v>
      </c>
      <c r="C4304" s="10">
        <v>435.05939999999998</v>
      </c>
      <c r="D4304" s="10">
        <v>432.91789999999997</v>
      </c>
      <c r="E4304" s="13">
        <f t="shared" si="201"/>
        <v>-5.5404085397695523E-4</v>
      </c>
      <c r="F4304" s="9">
        <f t="shared" si="199"/>
        <v>3.0481895032281298E-2</v>
      </c>
      <c r="G4304" s="9">
        <f t="shared" si="200"/>
        <v>5.8806076810182708E-3</v>
      </c>
    </row>
    <row r="4305" spans="1:7" x14ac:dyDescent="0.2">
      <c r="A4305" s="11">
        <v>41324</v>
      </c>
      <c r="B4305" s="10">
        <v>438.3981</v>
      </c>
      <c r="C4305" s="10">
        <v>438.5412</v>
      </c>
      <c r="D4305" s="10">
        <v>434.4622</v>
      </c>
      <c r="E4305" s="13">
        <f t="shared" si="201"/>
        <v>8.9208701519294525E-3</v>
      </c>
      <c r="F4305" s="9">
        <f t="shared" si="199"/>
        <v>3.4698570687989018E-2</v>
      </c>
      <c r="G4305" s="9">
        <f t="shared" si="200"/>
        <v>6.0245283638610814E-3</v>
      </c>
    </row>
    <row r="4306" spans="1:7" x14ac:dyDescent="0.2">
      <c r="A4306" s="11">
        <v>41325</v>
      </c>
      <c r="B4306" s="10">
        <v>439.5204</v>
      </c>
      <c r="C4306" s="10">
        <v>439.90960000000001</v>
      </c>
      <c r="D4306" s="10">
        <v>437.22250000000003</v>
      </c>
      <c r="E4306" s="13">
        <f t="shared" si="201"/>
        <v>2.5567307474688721E-3</v>
      </c>
      <c r="F4306" s="9">
        <f t="shared" si="199"/>
        <v>3.5830401412873955E-2</v>
      </c>
      <c r="G4306" s="9">
        <f t="shared" si="200"/>
        <v>6.0297247567277067E-3</v>
      </c>
    </row>
    <row r="4307" spans="1:7" x14ac:dyDescent="0.2">
      <c r="A4307" s="11">
        <v>41326</v>
      </c>
      <c r="B4307" s="10">
        <v>433.3494</v>
      </c>
      <c r="C4307" s="10">
        <v>439.23770000000002</v>
      </c>
      <c r="D4307" s="10">
        <v>432.24259999999998</v>
      </c>
      <c r="E4307" s="13">
        <f t="shared" si="201"/>
        <v>-1.4139801413014077E-2</v>
      </c>
      <c r="F4307" s="9">
        <f t="shared" si="199"/>
        <v>2.3815477998057413E-2</v>
      </c>
      <c r="G4307" s="9">
        <f t="shared" si="200"/>
        <v>6.6497660614455358E-3</v>
      </c>
    </row>
    <row r="4308" spans="1:7" x14ac:dyDescent="0.2">
      <c r="A4308" s="11">
        <v>41327</v>
      </c>
      <c r="B4308" s="10">
        <v>434.61989999999997</v>
      </c>
      <c r="C4308" s="10">
        <v>436.34370000000001</v>
      </c>
      <c r="D4308" s="10">
        <v>432.43020000000001</v>
      </c>
      <c r="E4308" s="13">
        <f t="shared" si="201"/>
        <v>2.9275249882482935E-3</v>
      </c>
      <c r="F4308" s="9">
        <f t="shared" si="199"/>
        <v>2.2136834952265077E-2</v>
      </c>
      <c r="G4308" s="9">
        <f t="shared" si="200"/>
        <v>6.6228943183610015E-3</v>
      </c>
    </row>
    <row r="4309" spans="1:7" x14ac:dyDescent="0.2">
      <c r="A4309" s="11">
        <v>41330</v>
      </c>
      <c r="B4309" s="10">
        <v>437.9289</v>
      </c>
      <c r="C4309" s="10">
        <v>438.7672</v>
      </c>
      <c r="D4309" s="10">
        <v>434.64699999999999</v>
      </c>
      <c r="E4309" s="13">
        <f t="shared" si="201"/>
        <v>7.5847124270709406E-3</v>
      </c>
      <c r="F4309" s="9">
        <f t="shared" si="199"/>
        <v>3.1909755248569226E-2</v>
      </c>
      <c r="G4309" s="9">
        <f t="shared" si="200"/>
        <v>6.7153408402688911E-3</v>
      </c>
    </row>
    <row r="4310" spans="1:7" x14ac:dyDescent="0.2">
      <c r="A4310" s="11">
        <v>41331</v>
      </c>
      <c r="B4310" s="10">
        <v>435.01740000000001</v>
      </c>
      <c r="C4310" s="10">
        <v>437.57990000000001</v>
      </c>
      <c r="D4310" s="10">
        <v>430.41849999999999</v>
      </c>
      <c r="E4310" s="13">
        <f t="shared" si="201"/>
        <v>-6.6705381438770727E-3</v>
      </c>
      <c r="F4310" s="9">
        <f t="shared" si="199"/>
        <v>1.9581184812987373E-2</v>
      </c>
      <c r="G4310" s="9">
        <f t="shared" si="200"/>
        <v>6.8061296206180224E-3</v>
      </c>
    </row>
    <row r="4311" spans="1:7" x14ac:dyDescent="0.2">
      <c r="A4311" s="11">
        <v>41332</v>
      </c>
      <c r="B4311" s="10">
        <v>435.51620000000003</v>
      </c>
      <c r="C4311" s="10">
        <v>437.86610000000002</v>
      </c>
      <c r="D4311" s="10">
        <v>433.70490000000001</v>
      </c>
      <c r="E4311" s="13">
        <f t="shared" si="201"/>
        <v>1.1459639342738207E-3</v>
      </c>
      <c r="F4311" s="9">
        <f t="shared" si="199"/>
        <v>1.040023850599271E-2</v>
      </c>
      <c r="G4311" s="9">
        <f t="shared" si="200"/>
        <v>6.5498501055301596E-3</v>
      </c>
    </row>
    <row r="4312" spans="1:7" x14ac:dyDescent="0.2">
      <c r="A4312" s="11">
        <v>41333</v>
      </c>
      <c r="B4312" s="10">
        <v>435.58280000000002</v>
      </c>
      <c r="C4312" s="10">
        <v>438.64710000000002</v>
      </c>
      <c r="D4312" s="10">
        <v>435.50150000000002</v>
      </c>
      <c r="E4312" s="13">
        <f t="shared" si="201"/>
        <v>1.5291028948426013E-4</v>
      </c>
      <c r="F4312" s="9">
        <f t="shared" si="199"/>
        <v>8.1190483285827602E-3</v>
      </c>
      <c r="G4312" s="9">
        <f t="shared" si="200"/>
        <v>6.5377210832783354E-3</v>
      </c>
    </row>
    <row r="4313" spans="1:7" x14ac:dyDescent="0.2">
      <c r="A4313" s="11">
        <v>41334</v>
      </c>
      <c r="B4313" s="10">
        <v>434.3818</v>
      </c>
      <c r="C4313" s="10">
        <v>437.89870000000002</v>
      </c>
      <c r="D4313" s="10">
        <v>433.94009999999997</v>
      </c>
      <c r="E4313" s="13">
        <f t="shared" si="201"/>
        <v>-2.7610336396811422E-3</v>
      </c>
      <c r="F4313" s="9">
        <f t="shared" si="199"/>
        <v>5.3992134621099128E-3</v>
      </c>
      <c r="G4313" s="9">
        <f t="shared" si="200"/>
        <v>6.561956826847239E-3</v>
      </c>
    </row>
    <row r="4314" spans="1:7" x14ac:dyDescent="0.2">
      <c r="A4314" s="11">
        <v>41337</v>
      </c>
      <c r="B4314" s="10">
        <v>434.90609999999998</v>
      </c>
      <c r="C4314" s="10">
        <v>435.96420000000001</v>
      </c>
      <c r="D4314" s="10">
        <v>431.95370000000003</v>
      </c>
      <c r="E4314" s="13">
        <f t="shared" si="201"/>
        <v>1.2062748453664372E-3</v>
      </c>
      <c r="F4314" s="9">
        <f t="shared" si="199"/>
        <v>1.3057565532572127E-2</v>
      </c>
      <c r="G4314" s="9">
        <f t="shared" si="200"/>
        <v>6.4381992796441667E-3</v>
      </c>
    </row>
    <row r="4315" spans="1:7" x14ac:dyDescent="0.2">
      <c r="A4315" s="11">
        <v>41338</v>
      </c>
      <c r="B4315" s="10">
        <v>441.80560000000003</v>
      </c>
      <c r="C4315" s="10">
        <v>441.98110000000003</v>
      </c>
      <c r="D4315" s="10">
        <v>435.70890000000003</v>
      </c>
      <c r="E4315" s="13">
        <f t="shared" si="201"/>
        <v>1.5739820606277082E-2</v>
      </c>
      <c r="F4315" s="9">
        <f t="shared" si="199"/>
        <v>2.0926549084282955E-2</v>
      </c>
      <c r="G4315" s="9">
        <f t="shared" si="200"/>
        <v>6.9106076881217263E-3</v>
      </c>
    </row>
    <row r="4316" spans="1:7" x14ac:dyDescent="0.2">
      <c r="A4316" s="11">
        <v>41339</v>
      </c>
      <c r="B4316" s="10">
        <v>440.3297</v>
      </c>
      <c r="C4316" s="10">
        <v>443.04050000000001</v>
      </c>
      <c r="D4316" s="10">
        <v>440.31420000000003</v>
      </c>
      <c r="E4316" s="13">
        <f t="shared" si="201"/>
        <v>-3.3462018290065982E-3</v>
      </c>
      <c r="F4316" s="9">
        <f t="shared" si="199"/>
        <v>1.6618152202913739E-2</v>
      </c>
      <c r="G4316" s="9">
        <f t="shared" si="200"/>
        <v>6.9514414040391173E-3</v>
      </c>
    </row>
    <row r="4317" spans="1:7" x14ac:dyDescent="0.2">
      <c r="A4317" s="11">
        <v>41340</v>
      </c>
      <c r="B4317" s="10">
        <v>438.83080000000001</v>
      </c>
      <c r="C4317" s="10">
        <v>442.50099999999998</v>
      </c>
      <c r="D4317" s="10">
        <v>438.83080000000001</v>
      </c>
      <c r="E4317" s="13">
        <f t="shared" si="201"/>
        <v>-3.4098471264714077E-3</v>
      </c>
      <c r="F4317" s="9">
        <f t="shared" si="199"/>
        <v>8.4835588890358592E-3</v>
      </c>
      <c r="G4317" s="9">
        <f t="shared" si="200"/>
        <v>6.9420457931777717E-3</v>
      </c>
    </row>
    <row r="4318" spans="1:7" x14ac:dyDescent="0.2">
      <c r="A4318" s="11">
        <v>41341</v>
      </c>
      <c r="B4318" s="10">
        <v>441.67520000000002</v>
      </c>
      <c r="C4318" s="10">
        <v>443.5401</v>
      </c>
      <c r="D4318" s="10">
        <v>438.8467</v>
      </c>
      <c r="E4318" s="13">
        <f t="shared" si="201"/>
        <v>6.4608529513385778E-3</v>
      </c>
      <c r="F4318" s="9">
        <f t="shared" si="199"/>
        <v>2.4235616426593408E-2</v>
      </c>
      <c r="G4318" s="9">
        <f t="shared" si="200"/>
        <v>6.7797490316327154E-3</v>
      </c>
    </row>
    <row r="4319" spans="1:7" x14ac:dyDescent="0.2">
      <c r="A4319" s="11">
        <v>41344</v>
      </c>
      <c r="B4319" s="10">
        <v>441.93189999999998</v>
      </c>
      <c r="C4319" s="10">
        <v>442.18430000000001</v>
      </c>
      <c r="D4319" s="10">
        <v>439.47640000000001</v>
      </c>
      <c r="E4319" s="13">
        <f t="shared" si="201"/>
        <v>5.8102748885028319E-4</v>
      </c>
      <c r="F4319" s="9">
        <f t="shared" si="199"/>
        <v>2.2396237562107131E-2</v>
      </c>
      <c r="G4319" s="9">
        <f t="shared" si="200"/>
        <v>6.7729948326172426E-3</v>
      </c>
    </row>
    <row r="4320" spans="1:7" x14ac:dyDescent="0.2">
      <c r="A4320" s="11">
        <v>41345</v>
      </c>
      <c r="B4320" s="10">
        <v>443.57549999999998</v>
      </c>
      <c r="C4320" s="10">
        <v>445.04719999999998</v>
      </c>
      <c r="D4320" s="10">
        <v>440.55889999999999</v>
      </c>
      <c r="E4320" s="13">
        <f t="shared" si="201"/>
        <v>3.7122262049657895E-3</v>
      </c>
      <c r="F4320" s="9">
        <f t="shared" ref="F4320:F4383" si="202">LN(B4320/B4291)</f>
        <v>2.7518940919722751E-2</v>
      </c>
      <c r="G4320" s="9">
        <f t="shared" si="200"/>
        <v>6.7808310852756487E-3</v>
      </c>
    </row>
    <row r="4321" spans="1:7" x14ac:dyDescent="0.2">
      <c r="A4321" s="11">
        <v>41346</v>
      </c>
      <c r="B4321" s="10">
        <v>441.65589999999997</v>
      </c>
      <c r="C4321" s="10">
        <v>444.34750000000003</v>
      </c>
      <c r="D4321" s="10">
        <v>441.37380000000002</v>
      </c>
      <c r="E4321" s="13">
        <f t="shared" si="201"/>
        <v>-4.3369519175130954E-3</v>
      </c>
      <c r="F4321" s="9">
        <f t="shared" si="202"/>
        <v>2.7102671243372956E-2</v>
      </c>
      <c r="G4321" s="9">
        <f t="shared" ref="G4321:G4384" si="203">STDEV(E4293:E4321)</f>
        <v>6.7919390615461738E-3</v>
      </c>
    </row>
    <row r="4322" spans="1:7" x14ac:dyDescent="0.2">
      <c r="A4322" s="11">
        <v>41347</v>
      </c>
      <c r="B4322" s="10">
        <v>445.0831</v>
      </c>
      <c r="C4322" s="10">
        <v>445.0831</v>
      </c>
      <c r="D4322" s="10">
        <v>441.07979999999998</v>
      </c>
      <c r="E4322" s="13">
        <f t="shared" si="201"/>
        <v>7.7299342086471412E-3</v>
      </c>
      <c r="F4322" s="9">
        <f t="shared" si="202"/>
        <v>2.3951144038008815E-2</v>
      </c>
      <c r="G4322" s="9">
        <f t="shared" si="203"/>
        <v>6.6508487203862116E-3</v>
      </c>
    </row>
    <row r="4323" spans="1:7" x14ac:dyDescent="0.2">
      <c r="A4323" s="11">
        <v>41348</v>
      </c>
      <c r="B4323" s="10">
        <v>443.69080000000002</v>
      </c>
      <c r="C4323" s="10">
        <v>446.82839999999999</v>
      </c>
      <c r="D4323" s="10">
        <v>442.33080000000001</v>
      </c>
      <c r="E4323" s="13">
        <f t="shared" si="201"/>
        <v>-3.133082866014247E-3</v>
      </c>
      <c r="F4323" s="9">
        <f t="shared" si="202"/>
        <v>2.5553689585581841E-2</v>
      </c>
      <c r="G4323" s="9">
        <f t="shared" si="203"/>
        <v>6.6095182146620989E-3</v>
      </c>
    </row>
    <row r="4324" spans="1:7" x14ac:dyDescent="0.2">
      <c r="A4324" s="11">
        <v>41351</v>
      </c>
      <c r="B4324" s="10">
        <v>442.74930000000001</v>
      </c>
      <c r="C4324" s="10">
        <v>443.55520000000001</v>
      </c>
      <c r="D4324" s="10">
        <v>437.49810000000002</v>
      </c>
      <c r="E4324" s="13">
        <f t="shared" si="201"/>
        <v>-2.1242278051973752E-3</v>
      </c>
      <c r="F4324" s="9">
        <f t="shared" si="202"/>
        <v>2.6668021220734261E-2</v>
      </c>
      <c r="G4324" s="9">
        <f t="shared" si="203"/>
        <v>6.5879161949639765E-3</v>
      </c>
    </row>
    <row r="4325" spans="1:7" x14ac:dyDescent="0.2">
      <c r="A4325" s="11">
        <v>41352</v>
      </c>
      <c r="B4325" s="10">
        <v>441.3725</v>
      </c>
      <c r="C4325" s="10">
        <v>444.52629999999999</v>
      </c>
      <c r="D4325" s="10">
        <v>441.35059999999999</v>
      </c>
      <c r="E4325" s="13">
        <f t="shared" si="201"/>
        <v>-3.1145055193294844E-3</v>
      </c>
      <c r="F4325" s="9">
        <f t="shared" si="202"/>
        <v>3.1620097492767694E-2</v>
      </c>
      <c r="G4325" s="9">
        <f t="shared" si="203"/>
        <v>6.4084067692077038E-3</v>
      </c>
    </row>
    <row r="4326" spans="1:7" x14ac:dyDescent="0.2">
      <c r="A4326" s="11">
        <v>41353</v>
      </c>
      <c r="B4326" s="10">
        <v>439.50170000000003</v>
      </c>
      <c r="C4326" s="10">
        <v>443.80529999999999</v>
      </c>
      <c r="D4326" s="10">
        <v>438.89080000000001</v>
      </c>
      <c r="E4326" s="13">
        <f t="shared" si="201"/>
        <v>-4.2476049650902875E-3</v>
      </c>
      <c r="F4326" s="9">
        <f t="shared" si="202"/>
        <v>1.550842785392398E-2</v>
      </c>
      <c r="G4326" s="9">
        <f t="shared" si="203"/>
        <v>6.1335276032143194E-3</v>
      </c>
    </row>
    <row r="4327" spans="1:7" x14ac:dyDescent="0.2">
      <c r="A4327" s="11">
        <v>41354</v>
      </c>
      <c r="B4327" s="10">
        <v>437.74220000000003</v>
      </c>
      <c r="C4327" s="10">
        <v>441.8886</v>
      </c>
      <c r="D4327" s="10">
        <v>436.17410000000001</v>
      </c>
      <c r="E4327" s="13">
        <f t="shared" si="201"/>
        <v>-4.0114325318850808E-3</v>
      </c>
      <c r="F4327" s="9">
        <f t="shared" si="202"/>
        <v>4.3788113490231878E-3</v>
      </c>
      <c r="G4327" s="9">
        <f t="shared" si="203"/>
        <v>6.0545728710137154E-3</v>
      </c>
    </row>
    <row r="4328" spans="1:7" x14ac:dyDescent="0.2">
      <c r="A4328" s="11">
        <v>41355</v>
      </c>
      <c r="B4328" s="10">
        <v>438.20370000000003</v>
      </c>
      <c r="C4328" s="10">
        <v>439.44529999999997</v>
      </c>
      <c r="D4328" s="10">
        <v>436.0856</v>
      </c>
      <c r="E4328" s="13">
        <f t="shared" si="201"/>
        <v>1.0537181410429672E-3</v>
      </c>
      <c r="F4328" s="9">
        <f t="shared" si="202"/>
        <v>1.4522206228341198E-2</v>
      </c>
      <c r="G4328" s="9">
        <f t="shared" si="203"/>
        <v>5.7888344549853693E-3</v>
      </c>
    </row>
    <row r="4329" spans="1:7" x14ac:dyDescent="0.2">
      <c r="A4329" s="11">
        <v>41358</v>
      </c>
      <c r="B4329" s="10">
        <v>434.70670000000001</v>
      </c>
      <c r="C4329" s="10">
        <v>441.5086</v>
      </c>
      <c r="D4329" s="10">
        <v>434.70479999999998</v>
      </c>
      <c r="E4329" s="13">
        <f t="shared" si="201"/>
        <v>-8.0123199543383657E-3</v>
      </c>
      <c r="F4329" s="9">
        <f t="shared" si="202"/>
        <v>-1.916050981099232E-4</v>
      </c>
      <c r="G4329" s="9">
        <f t="shared" si="203"/>
        <v>5.8701884961403633E-3</v>
      </c>
    </row>
    <row r="4330" spans="1:7" x14ac:dyDescent="0.2">
      <c r="A4330" s="11">
        <v>41359</v>
      </c>
      <c r="B4330" s="10">
        <v>435.54719999999998</v>
      </c>
      <c r="C4330" s="10">
        <v>437.19499999999999</v>
      </c>
      <c r="D4330" s="10">
        <v>433.8347</v>
      </c>
      <c r="E4330" s="13">
        <f t="shared" si="201"/>
        <v>1.9316207863854381E-3</v>
      </c>
      <c r="F4330" s="9">
        <f t="shared" si="202"/>
        <v>-5.0613160570790099E-4</v>
      </c>
      <c r="G4330" s="9">
        <f t="shared" si="203"/>
        <v>5.8661668464479602E-3</v>
      </c>
    </row>
    <row r="4331" spans="1:7" x14ac:dyDescent="0.2">
      <c r="A4331" s="11">
        <v>41360</v>
      </c>
      <c r="B4331" s="10">
        <v>434.21440000000001</v>
      </c>
      <c r="C4331" s="10">
        <v>437.39420000000001</v>
      </c>
      <c r="D4331" s="10">
        <v>433.27519999999998</v>
      </c>
      <c r="E4331" s="13">
        <f t="shared" si="201"/>
        <v>-3.0647502561966656E-3</v>
      </c>
      <c r="F4331" s="9">
        <f t="shared" si="202"/>
        <v>8.6123580442445144E-4</v>
      </c>
      <c r="G4331" s="9">
        <f t="shared" si="203"/>
        <v>5.834827274095308E-3</v>
      </c>
    </row>
    <row r="4332" spans="1:7" x14ac:dyDescent="0.2">
      <c r="A4332" s="11">
        <v>41366</v>
      </c>
      <c r="B4332" s="10">
        <v>437.851</v>
      </c>
      <c r="C4332" s="10">
        <v>438.78739999999999</v>
      </c>
      <c r="D4332" s="10">
        <v>433.11779999999999</v>
      </c>
      <c r="E4332" s="13">
        <f t="shared" si="201"/>
        <v>8.3402485181876575E-3</v>
      </c>
      <c r="F4332" s="9">
        <f t="shared" si="202"/>
        <v>7.1180974679453954E-3</v>
      </c>
      <c r="G4332" s="9">
        <f t="shared" si="203"/>
        <v>6.0260255013447643E-3</v>
      </c>
    </row>
    <row r="4333" spans="1:7" x14ac:dyDescent="0.2">
      <c r="A4333" s="11">
        <v>41367</v>
      </c>
      <c r="B4333" s="10">
        <v>438.9828</v>
      </c>
      <c r="C4333" s="10">
        <v>441.10739999999998</v>
      </c>
      <c r="D4333" s="10">
        <v>436.41890000000001</v>
      </c>
      <c r="E4333" s="13">
        <f t="shared" si="201"/>
        <v>2.5815625003735867E-3</v>
      </c>
      <c r="F4333" s="9">
        <f t="shared" si="202"/>
        <v>1.025370082229592E-2</v>
      </c>
      <c r="G4333" s="9">
        <f t="shared" si="203"/>
        <v>6.0392842662251051E-3</v>
      </c>
    </row>
    <row r="4334" spans="1:7" x14ac:dyDescent="0.2">
      <c r="A4334" s="11">
        <v>41368</v>
      </c>
      <c r="B4334" s="10">
        <v>433.983</v>
      </c>
      <c r="C4334" s="10">
        <v>438.99189999999999</v>
      </c>
      <c r="D4334" s="10">
        <v>433.6105</v>
      </c>
      <c r="E4334" s="13">
        <f t="shared" si="201"/>
        <v>-1.1454869526866926E-2</v>
      </c>
      <c r="F4334" s="9">
        <f t="shared" si="202"/>
        <v>-1.0122038856500317E-2</v>
      </c>
      <c r="G4334" s="9">
        <f t="shared" si="203"/>
        <v>6.1903361996195495E-3</v>
      </c>
    </row>
    <row r="4335" spans="1:7" x14ac:dyDescent="0.2">
      <c r="A4335" s="11">
        <v>41369</v>
      </c>
      <c r="B4335" s="10">
        <v>426.3578</v>
      </c>
      <c r="C4335" s="10">
        <v>435.57799999999997</v>
      </c>
      <c r="D4335" s="10">
        <v>425.08080000000001</v>
      </c>
      <c r="E4335" s="13">
        <f t="shared" si="201"/>
        <v>-1.772646297740502E-2</v>
      </c>
      <c r="F4335" s="9">
        <f t="shared" si="202"/>
        <v>-3.0405232581374231E-2</v>
      </c>
      <c r="G4335" s="9">
        <f t="shared" si="203"/>
        <v>6.9495949460735328E-3</v>
      </c>
    </row>
    <row r="4336" spans="1:7" x14ac:dyDescent="0.2">
      <c r="A4336" s="11">
        <v>41372</v>
      </c>
      <c r="B4336" s="10">
        <v>429.68790000000001</v>
      </c>
      <c r="C4336" s="10">
        <v>430.54750000000001</v>
      </c>
      <c r="D4336" s="10">
        <v>426.41419999999999</v>
      </c>
      <c r="E4336" s="13">
        <f t="shared" si="201"/>
        <v>7.7802313547454217E-3</v>
      </c>
      <c r="F4336" s="9">
        <f t="shared" si="202"/>
        <v>-8.4851998136148115E-3</v>
      </c>
      <c r="G4336" s="9">
        <f t="shared" si="203"/>
        <v>6.6609368178954251E-3</v>
      </c>
    </row>
    <row r="4337" spans="1:7" x14ac:dyDescent="0.2">
      <c r="A4337" s="11">
        <v>41373</v>
      </c>
      <c r="B4337" s="10">
        <v>431.197</v>
      </c>
      <c r="C4337" s="10">
        <v>433.32470000000001</v>
      </c>
      <c r="D4337" s="10">
        <v>429.87959999999998</v>
      </c>
      <c r="E4337" s="13">
        <f t="shared" si="201"/>
        <v>3.5059310385506916E-3</v>
      </c>
      <c r="F4337" s="9">
        <f t="shared" si="202"/>
        <v>-7.906793763312327E-3</v>
      </c>
      <c r="G4337" s="9">
        <f t="shared" si="203"/>
        <v>6.6717804139409132E-3</v>
      </c>
    </row>
    <row r="4338" spans="1:7" x14ac:dyDescent="0.2">
      <c r="A4338" s="11">
        <v>41374</v>
      </c>
      <c r="B4338" s="10">
        <v>435.39699999999999</v>
      </c>
      <c r="C4338" s="10">
        <v>435.40359999999998</v>
      </c>
      <c r="D4338" s="10">
        <v>431.19900000000001</v>
      </c>
      <c r="E4338" s="13">
        <f t="shared" si="201"/>
        <v>9.6931963186167973E-3</v>
      </c>
      <c r="F4338" s="9">
        <f t="shared" si="202"/>
        <v>-5.7983098717666005E-3</v>
      </c>
      <c r="G4338" s="9">
        <f t="shared" si="203"/>
        <v>6.7712125659744639E-3</v>
      </c>
    </row>
    <row r="4339" spans="1:7" x14ac:dyDescent="0.2">
      <c r="A4339" s="11">
        <v>41375</v>
      </c>
      <c r="B4339" s="10">
        <v>436.40219999999999</v>
      </c>
      <c r="C4339" s="10">
        <v>438.62</v>
      </c>
      <c r="D4339" s="10">
        <v>435.41820000000001</v>
      </c>
      <c r="E4339" s="13">
        <f t="shared" si="201"/>
        <v>2.3060366319554368E-3</v>
      </c>
      <c r="F4339" s="9">
        <f t="shared" si="202"/>
        <v>3.17826490406604E-3</v>
      </c>
      <c r="G4339" s="9">
        <f t="shared" si="203"/>
        <v>6.66926231736663E-3</v>
      </c>
    </row>
    <row r="4340" spans="1:7" x14ac:dyDescent="0.2">
      <c r="A4340" s="11">
        <v>41376</v>
      </c>
      <c r="B4340" s="10">
        <v>433.37400000000002</v>
      </c>
      <c r="C4340" s="10">
        <v>436.5324</v>
      </c>
      <c r="D4340" s="10">
        <v>432.76949999999999</v>
      </c>
      <c r="E4340" s="13">
        <f t="shared" si="201"/>
        <v>-6.9631986606817058E-3</v>
      </c>
      <c r="F4340" s="9">
        <f t="shared" si="202"/>
        <v>-4.9308976908894395E-3</v>
      </c>
      <c r="G4340" s="9">
        <f t="shared" si="203"/>
        <v>6.7931070527780359E-3</v>
      </c>
    </row>
    <row r="4341" spans="1:7" x14ac:dyDescent="0.2">
      <c r="A4341" s="11">
        <v>41379</v>
      </c>
      <c r="B4341" s="10">
        <v>426.9753</v>
      </c>
      <c r="C4341" s="10">
        <v>434.10210000000001</v>
      </c>
      <c r="D4341" s="10">
        <v>426.60230000000001</v>
      </c>
      <c r="E4341" s="13">
        <f t="shared" si="201"/>
        <v>-1.487493040983206E-2</v>
      </c>
      <c r="F4341" s="9">
        <f t="shared" si="202"/>
        <v>-1.9958738390205885E-2</v>
      </c>
      <c r="G4341" s="9">
        <f t="shared" si="203"/>
        <v>7.3203210918228907E-3</v>
      </c>
    </row>
    <row r="4342" spans="1:7" x14ac:dyDescent="0.2">
      <c r="A4342" s="11">
        <v>41380</v>
      </c>
      <c r="B4342" s="10">
        <v>426.67180000000002</v>
      </c>
      <c r="C4342" s="10">
        <v>427.31990000000002</v>
      </c>
      <c r="D4342" s="10">
        <v>422.47699999999998</v>
      </c>
      <c r="E4342" s="13">
        <f t="shared" si="201"/>
        <v>-7.1106669907935853E-4</v>
      </c>
      <c r="F4342" s="9">
        <f t="shared" si="202"/>
        <v>-1.7908771449604087E-2</v>
      </c>
      <c r="G4342" s="9">
        <f t="shared" si="203"/>
        <v>7.3094799795064705E-3</v>
      </c>
    </row>
    <row r="4343" spans="1:7" x14ac:dyDescent="0.2">
      <c r="A4343" s="11">
        <v>41381</v>
      </c>
      <c r="B4343" s="10">
        <v>420.96749999999997</v>
      </c>
      <c r="C4343" s="10">
        <v>429.23689999999999</v>
      </c>
      <c r="D4343" s="10">
        <v>420.96749999999997</v>
      </c>
      <c r="E4343" s="13">
        <f t="shared" si="201"/>
        <v>-1.3459465870293929E-2</v>
      </c>
      <c r="F4343" s="9">
        <f t="shared" si="202"/>
        <v>-3.2574512165264434E-2</v>
      </c>
      <c r="G4343" s="9">
        <f t="shared" si="203"/>
        <v>7.6768899273135655E-3</v>
      </c>
    </row>
    <row r="4344" spans="1:7" x14ac:dyDescent="0.2">
      <c r="A4344" s="11">
        <v>41382</v>
      </c>
      <c r="B4344" s="10">
        <v>424.7432</v>
      </c>
      <c r="C4344" s="10">
        <v>426.9307</v>
      </c>
      <c r="D4344" s="10">
        <v>420.78719999999998</v>
      </c>
      <c r="E4344" s="13">
        <f t="shared" si="201"/>
        <v>8.9291174537005826E-3</v>
      </c>
      <c r="F4344" s="9">
        <f t="shared" si="202"/>
        <v>-3.9385215317840956E-2</v>
      </c>
      <c r="G4344" s="9">
        <f t="shared" si="203"/>
        <v>7.2339902115540174E-3</v>
      </c>
    </row>
    <row r="4345" spans="1:7" x14ac:dyDescent="0.2">
      <c r="A4345" s="11">
        <v>41383</v>
      </c>
      <c r="B4345" s="10">
        <v>429.59789999999998</v>
      </c>
      <c r="C4345" s="10">
        <v>430.74959999999999</v>
      </c>
      <c r="D4345" s="10">
        <v>424.77539999999999</v>
      </c>
      <c r="E4345" s="13">
        <f t="shared" si="201"/>
        <v>1.1364903907965841E-2</v>
      </c>
      <c r="F4345" s="9">
        <f t="shared" si="202"/>
        <v>-2.4674109580868447E-2</v>
      </c>
      <c r="G4345" s="9">
        <f t="shared" si="203"/>
        <v>7.5963270251609228E-3</v>
      </c>
    </row>
    <row r="4346" spans="1:7" x14ac:dyDescent="0.2">
      <c r="A4346" s="11">
        <v>41386</v>
      </c>
      <c r="B4346" s="10">
        <v>428.47430000000003</v>
      </c>
      <c r="C4346" s="10">
        <v>431.39929999999998</v>
      </c>
      <c r="D4346" s="10">
        <v>428.41919999999999</v>
      </c>
      <c r="E4346" s="13">
        <f t="shared" si="201"/>
        <v>-2.6188953381653772E-3</v>
      </c>
      <c r="F4346" s="9">
        <f t="shared" si="202"/>
        <v>-2.3883157792562389E-2</v>
      </c>
      <c r="G4346" s="9">
        <f t="shared" si="203"/>
        <v>7.5882264905620658E-3</v>
      </c>
    </row>
    <row r="4347" spans="1:7" x14ac:dyDescent="0.2">
      <c r="A4347" s="11">
        <v>41387</v>
      </c>
      <c r="B4347" s="10">
        <v>435.279</v>
      </c>
      <c r="C4347" s="10">
        <v>435.41739999999999</v>
      </c>
      <c r="D4347" s="10">
        <v>428.608</v>
      </c>
      <c r="E4347" s="13">
        <f t="shared" si="201"/>
        <v>1.5756445226838823E-2</v>
      </c>
      <c r="F4347" s="9">
        <f t="shared" si="202"/>
        <v>-1.4587565517062223E-2</v>
      </c>
      <c r="G4347" s="9">
        <f t="shared" si="203"/>
        <v>8.0868661967445233E-3</v>
      </c>
    </row>
    <row r="4348" spans="1:7" x14ac:dyDescent="0.2">
      <c r="A4348" s="11">
        <v>41388</v>
      </c>
      <c r="B4348" s="10">
        <v>438.79109999999997</v>
      </c>
      <c r="C4348" s="10">
        <v>439.37130000000002</v>
      </c>
      <c r="D4348" s="10">
        <v>435.10410000000002</v>
      </c>
      <c r="E4348" s="13">
        <f t="shared" si="201"/>
        <v>8.0362408032776927E-3</v>
      </c>
      <c r="F4348" s="9">
        <f t="shared" si="202"/>
        <v>-7.132352202634965E-3</v>
      </c>
      <c r="G4348" s="9">
        <f t="shared" si="203"/>
        <v>8.2396137795294234E-3</v>
      </c>
    </row>
    <row r="4349" spans="1:7" x14ac:dyDescent="0.2">
      <c r="A4349" s="11">
        <v>41389</v>
      </c>
      <c r="B4349" s="10">
        <v>444.53750000000002</v>
      </c>
      <c r="C4349" s="10">
        <v>444.56049999999999</v>
      </c>
      <c r="D4349" s="10">
        <v>438.1474</v>
      </c>
      <c r="E4349" s="13">
        <f t="shared" si="201"/>
        <v>1.301097024342027E-2</v>
      </c>
      <c r="F4349" s="9">
        <f t="shared" si="202"/>
        <v>2.1663918358192768E-3</v>
      </c>
      <c r="G4349" s="9">
        <f t="shared" si="203"/>
        <v>8.5733216327658138E-3</v>
      </c>
    </row>
    <row r="4350" spans="1:7" x14ac:dyDescent="0.2">
      <c r="A4350" s="11">
        <v>41390</v>
      </c>
      <c r="B4350" s="10">
        <v>444.82049999999998</v>
      </c>
      <c r="C4350" s="10">
        <v>445.00540000000001</v>
      </c>
      <c r="D4350" s="10">
        <v>441.54559999999998</v>
      </c>
      <c r="E4350" s="13">
        <f t="shared" si="201"/>
        <v>6.3641415392178501E-4</v>
      </c>
      <c r="F4350" s="9">
        <f t="shared" si="202"/>
        <v>7.1397579072541616E-3</v>
      </c>
      <c r="G4350" s="9">
        <f t="shared" si="203"/>
        <v>8.5315622758447198E-3</v>
      </c>
    </row>
    <row r="4351" spans="1:7" x14ac:dyDescent="0.2">
      <c r="A4351" s="11">
        <v>41393</v>
      </c>
      <c r="B4351" s="10">
        <v>442.13740000000001</v>
      </c>
      <c r="C4351" s="10">
        <v>445.46230000000003</v>
      </c>
      <c r="D4351" s="10">
        <v>440.74029999999999</v>
      </c>
      <c r="E4351" s="13">
        <f t="shared" si="201"/>
        <v>-6.0501365045134252E-3</v>
      </c>
      <c r="F4351" s="9">
        <f t="shared" si="202"/>
        <v>-6.6403128059064013E-3</v>
      </c>
      <c r="G4351" s="9">
        <f t="shared" si="203"/>
        <v>8.4834737007370171E-3</v>
      </c>
    </row>
    <row r="4352" spans="1:7" x14ac:dyDescent="0.2">
      <c r="A4352" s="11">
        <v>41394</v>
      </c>
      <c r="B4352" s="10">
        <v>444.24430000000001</v>
      </c>
      <c r="C4352" s="10">
        <v>444.55020000000002</v>
      </c>
      <c r="D4352" s="10">
        <v>441.71789999999999</v>
      </c>
      <c r="E4352" s="13">
        <f t="shared" si="201"/>
        <v>4.7539428397240001E-3</v>
      </c>
      <c r="F4352" s="9">
        <f t="shared" si="202"/>
        <v>1.2467128998317691E-3</v>
      </c>
      <c r="G4352" s="9">
        <f t="shared" si="203"/>
        <v>8.5134175006236837E-3</v>
      </c>
    </row>
    <row r="4353" spans="1:7" x14ac:dyDescent="0.2">
      <c r="A4353" s="11">
        <v>41396</v>
      </c>
      <c r="B4353" s="10">
        <v>439.7287</v>
      </c>
      <c r="C4353" s="10">
        <v>444.13159999999999</v>
      </c>
      <c r="D4353" s="10">
        <v>437.63440000000003</v>
      </c>
      <c r="E4353" s="13">
        <f t="shared" si="201"/>
        <v>-1.0216690506188538E-2</v>
      </c>
      <c r="F4353" s="9">
        <f t="shared" si="202"/>
        <v>-6.8457498011592873E-3</v>
      </c>
      <c r="G4353" s="9">
        <f t="shared" si="203"/>
        <v>8.7171788083508003E-3</v>
      </c>
    </row>
    <row r="4354" spans="1:7" x14ac:dyDescent="0.2">
      <c r="A4354" s="11">
        <v>41397</v>
      </c>
      <c r="B4354" s="10">
        <v>446.37580000000003</v>
      </c>
      <c r="C4354" s="10">
        <v>446.61799999999999</v>
      </c>
      <c r="D4354" s="10">
        <v>439.7287</v>
      </c>
      <c r="E4354" s="13">
        <f t="shared" si="201"/>
        <v>1.5003252295206458E-2</v>
      </c>
      <c r="F4354" s="9">
        <f t="shared" si="202"/>
        <v>1.1272008013376774E-2</v>
      </c>
      <c r="G4354" s="9">
        <f t="shared" si="203"/>
        <v>9.1423854095364909E-3</v>
      </c>
    </row>
    <row r="4355" spans="1:7" x14ac:dyDescent="0.2">
      <c r="A4355" s="11">
        <v>41400</v>
      </c>
      <c r="B4355" s="10">
        <v>447.78649999999999</v>
      </c>
      <c r="C4355" s="10">
        <v>448.40859999999998</v>
      </c>
      <c r="D4355" s="10">
        <v>445.41340000000002</v>
      </c>
      <c r="E4355" s="13">
        <f t="shared" si="201"/>
        <v>3.1553581949139804E-3</v>
      </c>
      <c r="F4355" s="9">
        <f t="shared" si="202"/>
        <v>1.8674971173381096E-2</v>
      </c>
      <c r="G4355" s="9">
        <f t="shared" si="203"/>
        <v>9.1116082590436635E-3</v>
      </c>
    </row>
    <row r="4356" spans="1:7" x14ac:dyDescent="0.2">
      <c r="A4356" s="11">
        <v>41401</v>
      </c>
      <c r="B4356" s="10">
        <v>448.62740000000002</v>
      </c>
      <c r="C4356" s="10">
        <v>449.26549999999997</v>
      </c>
      <c r="D4356" s="10">
        <v>446.0849</v>
      </c>
      <c r="E4356" s="13">
        <f t="shared" ref="E4356:E4419" si="204">LN(B4356/B4355)</f>
        <v>1.8761428100520956E-3</v>
      </c>
      <c r="F4356" s="9">
        <f t="shared" si="202"/>
        <v>2.4562546515318265E-2</v>
      </c>
      <c r="G4356" s="9">
        <f t="shared" si="203"/>
        <v>9.0696699988108993E-3</v>
      </c>
    </row>
    <row r="4357" spans="1:7" x14ac:dyDescent="0.2">
      <c r="A4357" s="11">
        <v>41402</v>
      </c>
      <c r="B4357" s="10">
        <v>450.42500000000001</v>
      </c>
      <c r="C4357" s="10">
        <v>451.8956</v>
      </c>
      <c r="D4357" s="10">
        <v>448.56920000000002</v>
      </c>
      <c r="E4357" s="13">
        <f t="shared" si="204"/>
        <v>3.9988823687255827E-3</v>
      </c>
      <c r="F4357" s="9">
        <f t="shared" si="202"/>
        <v>2.7507710743000582E-2</v>
      </c>
      <c r="G4357" s="9">
        <f t="shared" si="203"/>
        <v>9.0885371442890606E-3</v>
      </c>
    </row>
    <row r="4358" spans="1:7" x14ac:dyDescent="0.2">
      <c r="A4358" s="11">
        <v>41404</v>
      </c>
      <c r="B4358" s="10">
        <v>450.62900000000002</v>
      </c>
      <c r="C4358" s="10">
        <v>453.54739999999998</v>
      </c>
      <c r="D4358" s="10">
        <v>450.053</v>
      </c>
      <c r="E4358" s="13">
        <f t="shared" si="204"/>
        <v>4.5280305838610037E-4</v>
      </c>
      <c r="F4358" s="9">
        <f t="shared" si="202"/>
        <v>3.597283375572511E-2</v>
      </c>
      <c r="G4358" s="9">
        <f t="shared" si="203"/>
        <v>8.9249248618140428E-3</v>
      </c>
    </row>
    <row r="4359" spans="1:7" x14ac:dyDescent="0.2">
      <c r="A4359" s="11">
        <v>41407</v>
      </c>
      <c r="B4359" s="10">
        <v>451.82589999999999</v>
      </c>
      <c r="C4359" s="10">
        <v>452.44760000000002</v>
      </c>
      <c r="D4359" s="10">
        <v>450.3415</v>
      </c>
      <c r="E4359" s="13">
        <f t="shared" si="204"/>
        <v>2.6525440812194194E-3</v>
      </c>
      <c r="F4359" s="9">
        <f t="shared" si="202"/>
        <v>3.6693757050559175E-2</v>
      </c>
      <c r="G4359" s="9">
        <f t="shared" si="203"/>
        <v>8.9279223461816472E-3</v>
      </c>
    </row>
    <row r="4360" spans="1:7" x14ac:dyDescent="0.2">
      <c r="A4360" s="11">
        <v>41408</v>
      </c>
      <c r="B4360" s="10">
        <v>451.03469999999999</v>
      </c>
      <c r="C4360" s="10">
        <v>453.29730000000001</v>
      </c>
      <c r="D4360" s="10">
        <v>448.49040000000002</v>
      </c>
      <c r="E4360" s="13">
        <f t="shared" si="204"/>
        <v>-1.7526519653936934E-3</v>
      </c>
      <c r="F4360" s="9">
        <f t="shared" si="202"/>
        <v>3.8005855341362194E-2</v>
      </c>
      <c r="G4360" s="9">
        <f t="shared" si="203"/>
        <v>8.908498462228423E-3</v>
      </c>
    </row>
    <row r="4361" spans="1:7" x14ac:dyDescent="0.2">
      <c r="A4361" s="11">
        <v>41409</v>
      </c>
      <c r="B4361" s="10">
        <v>450.89949999999999</v>
      </c>
      <c r="C4361" s="10">
        <v>451.87619999999998</v>
      </c>
      <c r="D4361" s="10">
        <v>448.87349999999998</v>
      </c>
      <c r="E4361" s="13">
        <f t="shared" si="204"/>
        <v>-2.998001428765671E-4</v>
      </c>
      <c r="F4361" s="9">
        <f t="shared" si="202"/>
        <v>2.9365806680297819E-2</v>
      </c>
      <c r="G4361" s="9">
        <f t="shared" si="203"/>
        <v>8.8089240721142756E-3</v>
      </c>
    </row>
    <row r="4362" spans="1:7" x14ac:dyDescent="0.2">
      <c r="A4362" s="11">
        <v>41410</v>
      </c>
      <c r="B4362" s="10">
        <v>451.18529999999998</v>
      </c>
      <c r="C4362" s="10">
        <v>452.89600000000002</v>
      </c>
      <c r="D4362" s="10">
        <v>450.3877</v>
      </c>
      <c r="E4362" s="13">
        <f t="shared" si="204"/>
        <v>6.3364333278306372E-4</v>
      </c>
      <c r="F4362" s="9">
        <f t="shared" si="202"/>
        <v>2.7417887512707264E-2</v>
      </c>
      <c r="G4362" s="9">
        <f t="shared" si="203"/>
        <v>8.8039585071756632E-3</v>
      </c>
    </row>
    <row r="4363" spans="1:7" x14ac:dyDescent="0.2">
      <c r="A4363" s="11">
        <v>41415</v>
      </c>
      <c r="B4363" s="10">
        <v>455.95760000000001</v>
      </c>
      <c r="C4363" s="10">
        <v>456.0086</v>
      </c>
      <c r="D4363" s="10">
        <v>451.22469999999998</v>
      </c>
      <c r="E4363" s="13">
        <f t="shared" si="204"/>
        <v>1.052170286922694E-2</v>
      </c>
      <c r="F4363" s="9">
        <f t="shared" si="202"/>
        <v>4.9394459908801168E-2</v>
      </c>
      <c r="G4363" s="9">
        <f t="shared" si="203"/>
        <v>8.642821140028319E-3</v>
      </c>
    </row>
    <row r="4364" spans="1:7" x14ac:dyDescent="0.2">
      <c r="A4364" s="11">
        <v>41416</v>
      </c>
      <c r="B4364" s="10">
        <v>456.22230000000002</v>
      </c>
      <c r="C4364" s="10">
        <v>457.07220000000001</v>
      </c>
      <c r="D4364" s="10">
        <v>454.3974</v>
      </c>
      <c r="E4364" s="13">
        <f t="shared" si="204"/>
        <v>5.8036798975689562E-4</v>
      </c>
      <c r="F4364" s="9">
        <f t="shared" si="202"/>
        <v>6.7701290875963022E-2</v>
      </c>
      <c r="G4364" s="9">
        <f t="shared" si="203"/>
        <v>7.8005134951161714E-3</v>
      </c>
    </row>
    <row r="4365" spans="1:7" x14ac:dyDescent="0.2">
      <c r="A4365" s="11">
        <v>41417</v>
      </c>
      <c r="B4365" s="10">
        <v>448.54939999999999</v>
      </c>
      <c r="C4365" s="10">
        <v>455.97789999999998</v>
      </c>
      <c r="D4365" s="10">
        <v>445.85219999999998</v>
      </c>
      <c r="E4365" s="13">
        <f t="shared" si="204"/>
        <v>-1.6961370363986233E-2</v>
      </c>
      <c r="F4365" s="9">
        <f t="shared" si="202"/>
        <v>4.2959689157231494E-2</v>
      </c>
      <c r="G4365" s="9">
        <f t="shared" si="203"/>
        <v>8.5048552569955173E-3</v>
      </c>
    </row>
    <row r="4366" spans="1:7" x14ac:dyDescent="0.2">
      <c r="A4366" s="11">
        <v>41418</v>
      </c>
      <c r="B4366" s="10">
        <v>449.86959999999999</v>
      </c>
      <c r="C4366" s="10">
        <v>452.58519999999999</v>
      </c>
      <c r="D4366" s="10">
        <v>448.58890000000002</v>
      </c>
      <c r="E4366" s="13">
        <f t="shared" si="204"/>
        <v>2.9389426320147061E-3</v>
      </c>
      <c r="F4366" s="9">
        <f t="shared" si="202"/>
        <v>4.239270075069547E-2</v>
      </c>
      <c r="G4366" s="9">
        <f t="shared" si="203"/>
        <v>8.5006855731840688E-3</v>
      </c>
    </row>
    <row r="4367" spans="1:7" x14ac:dyDescent="0.2">
      <c r="A4367" s="11">
        <v>41421</v>
      </c>
      <c r="B4367" s="10">
        <v>454.0025</v>
      </c>
      <c r="C4367" s="10">
        <v>454.0025</v>
      </c>
      <c r="D4367" s="10">
        <v>449.86959999999999</v>
      </c>
      <c r="E4367" s="13">
        <f t="shared" si="204"/>
        <v>9.1449416412214338E-3</v>
      </c>
      <c r="F4367" s="9">
        <f t="shared" si="202"/>
        <v>4.1844446073300325E-2</v>
      </c>
      <c r="G4367" s="9">
        <f t="shared" si="203"/>
        <v>8.4823151744356871E-3</v>
      </c>
    </row>
    <row r="4368" spans="1:7" x14ac:dyDescent="0.2">
      <c r="A4368" s="11">
        <v>41422</v>
      </c>
      <c r="B4368" s="10">
        <v>458.79489999999998</v>
      </c>
      <c r="C4368" s="10">
        <v>459.2122</v>
      </c>
      <c r="D4368" s="10">
        <v>453.97390000000001</v>
      </c>
      <c r="E4368" s="13">
        <f t="shared" si="204"/>
        <v>1.0500564604652384E-2</v>
      </c>
      <c r="F4368" s="9">
        <f t="shared" si="202"/>
        <v>5.0038974045997157E-2</v>
      </c>
      <c r="G4368" s="9">
        <f t="shared" si="203"/>
        <v>8.6469882052028386E-3</v>
      </c>
    </row>
    <row r="4369" spans="1:7" x14ac:dyDescent="0.2">
      <c r="A4369" s="11">
        <v>41423</v>
      </c>
      <c r="B4369" s="10">
        <v>454.25580000000002</v>
      </c>
      <c r="C4369" s="10">
        <v>458.64780000000002</v>
      </c>
      <c r="D4369" s="10">
        <v>454.11090000000002</v>
      </c>
      <c r="E4369" s="13">
        <f t="shared" si="204"/>
        <v>-9.9427937446073464E-3</v>
      </c>
      <c r="F4369" s="9">
        <f t="shared" si="202"/>
        <v>4.705937896207131E-2</v>
      </c>
      <c r="G4369" s="9">
        <f t="shared" si="203"/>
        <v>8.770731948450532E-3</v>
      </c>
    </row>
    <row r="4370" spans="1:7" x14ac:dyDescent="0.2">
      <c r="A4370" s="11">
        <v>41424</v>
      </c>
      <c r="B4370" s="10">
        <v>453.97750000000002</v>
      </c>
      <c r="C4370" s="10">
        <v>456.87369999999999</v>
      </c>
      <c r="D4370" s="10">
        <v>453.03899999999999</v>
      </c>
      <c r="E4370" s="13">
        <f t="shared" si="204"/>
        <v>-6.1283815228996806E-4</v>
      </c>
      <c r="F4370" s="9">
        <f t="shared" si="202"/>
        <v>6.1321471219613614E-2</v>
      </c>
      <c r="G4370" s="9">
        <f t="shared" si="203"/>
        <v>8.1934891529165613E-3</v>
      </c>
    </row>
    <row r="4371" spans="1:7" x14ac:dyDescent="0.2">
      <c r="A4371" s="11">
        <v>41425</v>
      </c>
      <c r="B4371" s="10">
        <v>453.81580000000002</v>
      </c>
      <c r="C4371" s="10">
        <v>455.85079999999999</v>
      </c>
      <c r="D4371" s="10">
        <v>451.01179999999999</v>
      </c>
      <c r="E4371" s="13">
        <f t="shared" si="204"/>
        <v>-3.5624850218688852E-4</v>
      </c>
      <c r="F4371" s="9">
        <f t="shared" si="202"/>
        <v>6.1676289416506075E-2</v>
      </c>
      <c r="G4371" s="9">
        <f t="shared" si="203"/>
        <v>8.1893829611344067E-3</v>
      </c>
    </row>
    <row r="4372" spans="1:7" x14ac:dyDescent="0.2">
      <c r="A4372" s="11">
        <v>41428</v>
      </c>
      <c r="B4372" s="10">
        <v>450.51929999999999</v>
      </c>
      <c r="C4372" s="10">
        <v>453.84980000000002</v>
      </c>
      <c r="D4372" s="10">
        <v>448.76130000000001</v>
      </c>
      <c r="E4372" s="13">
        <f t="shared" si="204"/>
        <v>-7.2904714214951346E-3</v>
      </c>
      <c r="F4372" s="9">
        <f t="shared" si="202"/>
        <v>6.7845283865304862E-2</v>
      </c>
      <c r="G4372" s="9">
        <f t="shared" si="203"/>
        <v>7.8428521227990478E-3</v>
      </c>
    </row>
    <row r="4373" spans="1:7" x14ac:dyDescent="0.2">
      <c r="A4373" s="11">
        <v>41429</v>
      </c>
      <c r="B4373" s="10">
        <v>448.6986</v>
      </c>
      <c r="C4373" s="10">
        <v>453.82010000000002</v>
      </c>
      <c r="D4373" s="10">
        <v>448.2713</v>
      </c>
      <c r="E4373" s="13">
        <f t="shared" si="204"/>
        <v>-4.049524565924105E-3</v>
      </c>
      <c r="F4373" s="9">
        <f t="shared" si="202"/>
        <v>5.4866641845680082E-2</v>
      </c>
      <c r="G4373" s="9">
        <f t="shared" si="203"/>
        <v>7.8236755009129036E-3</v>
      </c>
    </row>
    <row r="4374" spans="1:7" x14ac:dyDescent="0.2">
      <c r="A4374" s="11">
        <v>41430</v>
      </c>
      <c r="B4374" s="10">
        <v>445.1619</v>
      </c>
      <c r="C4374" s="10">
        <v>449.54840000000002</v>
      </c>
      <c r="D4374" s="10">
        <v>445.14</v>
      </c>
      <c r="E4374" s="13">
        <f t="shared" si="204"/>
        <v>-7.9133566278357468E-3</v>
      </c>
      <c r="F4374" s="9">
        <f t="shared" si="202"/>
        <v>3.5588381309878556E-2</v>
      </c>
      <c r="G4374" s="9">
        <f t="shared" si="203"/>
        <v>7.8090352773864235E-3</v>
      </c>
    </row>
    <row r="4375" spans="1:7" x14ac:dyDescent="0.2">
      <c r="A4375" s="11">
        <v>41431</v>
      </c>
      <c r="B4375" s="10">
        <v>442.32889999999998</v>
      </c>
      <c r="C4375" s="10">
        <v>446.52550000000002</v>
      </c>
      <c r="D4375" s="10">
        <v>441.98450000000003</v>
      </c>
      <c r="E4375" s="13">
        <f t="shared" si="204"/>
        <v>-6.3843132179432919E-3</v>
      </c>
      <c r="F4375" s="9">
        <f t="shared" si="202"/>
        <v>3.1822963430100507E-2</v>
      </c>
      <c r="G4375" s="9">
        <f t="shared" si="203"/>
        <v>7.9059709826403823E-3</v>
      </c>
    </row>
    <row r="4376" spans="1:7" x14ac:dyDescent="0.2">
      <c r="A4376" s="11">
        <v>41432</v>
      </c>
      <c r="B4376" s="10">
        <v>443.33190000000002</v>
      </c>
      <c r="C4376" s="10">
        <v>444.15969999999999</v>
      </c>
      <c r="D4376" s="10">
        <v>436.71339999999998</v>
      </c>
      <c r="E4376" s="13">
        <f t="shared" si="204"/>
        <v>2.2649764532706876E-3</v>
      </c>
      <c r="F4376" s="9">
        <f t="shared" si="202"/>
        <v>1.8331494656532284E-2</v>
      </c>
      <c r="G4376" s="9">
        <f t="shared" si="203"/>
        <v>7.3928539909040034E-3</v>
      </c>
    </row>
    <row r="4377" spans="1:7" x14ac:dyDescent="0.2">
      <c r="A4377" s="11">
        <v>41435</v>
      </c>
      <c r="B4377" s="10">
        <v>440.73430000000002</v>
      </c>
      <c r="C4377" s="10">
        <v>445.23419999999999</v>
      </c>
      <c r="D4377" s="10">
        <v>440.46260000000001</v>
      </c>
      <c r="E4377" s="13">
        <f t="shared" si="204"/>
        <v>-5.8764999166205064E-3</v>
      </c>
      <c r="F4377" s="9">
        <f t="shared" si="202"/>
        <v>4.4187539366343674E-3</v>
      </c>
      <c r="G4377" s="9">
        <f t="shared" si="203"/>
        <v>7.3464924409235082E-3</v>
      </c>
    </row>
    <row r="4378" spans="1:7" x14ac:dyDescent="0.2">
      <c r="A4378" s="11">
        <v>41436</v>
      </c>
      <c r="B4378" s="10">
        <v>433.02910000000003</v>
      </c>
      <c r="C4378" s="10">
        <v>440.84780000000001</v>
      </c>
      <c r="D4378" s="10">
        <v>433.02910000000003</v>
      </c>
      <c r="E4378" s="13">
        <f t="shared" si="204"/>
        <v>-1.7637268256112344E-2</v>
      </c>
      <c r="F4378" s="9">
        <f t="shared" si="202"/>
        <v>-2.6229484562898316E-2</v>
      </c>
      <c r="G4378" s="9">
        <f t="shared" si="203"/>
        <v>7.629651173581469E-3</v>
      </c>
    </row>
    <row r="4379" spans="1:7" x14ac:dyDescent="0.2">
      <c r="A4379" s="11">
        <v>41437</v>
      </c>
      <c r="B4379" s="10">
        <v>436.71089999999998</v>
      </c>
      <c r="C4379" s="10">
        <v>439.50650000000002</v>
      </c>
      <c r="D4379" s="10">
        <v>433.05040000000002</v>
      </c>
      <c r="E4379" s="13">
        <f t="shared" si="204"/>
        <v>8.4664888197207699E-3</v>
      </c>
      <c r="F4379" s="9">
        <f t="shared" si="202"/>
        <v>-1.8399409897099161E-2</v>
      </c>
      <c r="G4379" s="9">
        <f t="shared" si="203"/>
        <v>7.8222450267159647E-3</v>
      </c>
    </row>
    <row r="4380" spans="1:7" x14ac:dyDescent="0.2">
      <c r="A4380" s="11">
        <v>41438</v>
      </c>
      <c r="B4380" s="10">
        <v>435.73320000000001</v>
      </c>
      <c r="C4380" s="10">
        <v>437.10719999999998</v>
      </c>
      <c r="D4380" s="10">
        <v>429.5308</v>
      </c>
      <c r="E4380" s="13">
        <f t="shared" si="204"/>
        <v>-2.24129066671465E-3</v>
      </c>
      <c r="F4380" s="9">
        <f t="shared" si="202"/>
        <v>-1.4590564059300462E-2</v>
      </c>
      <c r="G4380" s="9">
        <f t="shared" si="203"/>
        <v>7.7597924365228723E-3</v>
      </c>
    </row>
    <row r="4381" spans="1:7" x14ac:dyDescent="0.2">
      <c r="A4381" s="11">
        <v>41439</v>
      </c>
      <c r="B4381" s="10">
        <v>436.28870000000001</v>
      </c>
      <c r="C4381" s="10">
        <v>440.63170000000002</v>
      </c>
      <c r="D4381" s="10">
        <v>435.7638</v>
      </c>
      <c r="E4381" s="13">
        <f t="shared" si="204"/>
        <v>1.2740507437734832E-3</v>
      </c>
      <c r="F4381" s="9">
        <f t="shared" si="202"/>
        <v>-1.8070456155250984E-2</v>
      </c>
      <c r="G4381" s="9">
        <f t="shared" si="203"/>
        <v>7.7022877730682183E-3</v>
      </c>
    </row>
    <row r="4382" spans="1:7" x14ac:dyDescent="0.2">
      <c r="A4382" s="11">
        <v>41442</v>
      </c>
      <c r="B4382" s="10">
        <v>439.98599999999999</v>
      </c>
      <c r="C4382" s="10">
        <v>440.48570000000001</v>
      </c>
      <c r="D4382" s="10">
        <v>436.25619999999998</v>
      </c>
      <c r="E4382" s="13">
        <f t="shared" si="204"/>
        <v>8.438728040476207E-3</v>
      </c>
      <c r="F4382" s="9">
        <f t="shared" si="202"/>
        <v>5.8496239141382438E-4</v>
      </c>
      <c r="G4382" s="9">
        <f t="shared" si="203"/>
        <v>7.6512983230083778E-3</v>
      </c>
    </row>
    <row r="4383" spans="1:7" x14ac:dyDescent="0.2">
      <c r="A4383" s="11">
        <v>41443</v>
      </c>
      <c r="B4383" s="10">
        <v>443.09780000000001</v>
      </c>
      <c r="C4383" s="10">
        <v>443.11669999999998</v>
      </c>
      <c r="D4383" s="10">
        <v>438.33479999999997</v>
      </c>
      <c r="E4383" s="13">
        <f t="shared" si="204"/>
        <v>7.0476049496554193E-3</v>
      </c>
      <c r="F4383" s="9">
        <f t="shared" si="202"/>
        <v>-7.370684954137373E-3</v>
      </c>
      <c r="G4383" s="9">
        <f t="shared" si="203"/>
        <v>7.2256879541447256E-3</v>
      </c>
    </row>
    <row r="4384" spans="1:7" x14ac:dyDescent="0.2">
      <c r="A4384" s="11">
        <v>41444</v>
      </c>
      <c r="B4384" s="10">
        <v>438.9855</v>
      </c>
      <c r="C4384" s="10">
        <v>443.4864</v>
      </c>
      <c r="D4384" s="10">
        <v>438.47199999999998</v>
      </c>
      <c r="E4384" s="13">
        <f t="shared" si="204"/>
        <v>-9.3241302570096739E-3</v>
      </c>
      <c r="F4384" s="9">
        <f t="shared" ref="F4384:F4447" si="205">LN(B4384/B4355)</f>
        <v>-1.9850173406060968E-2</v>
      </c>
      <c r="G4384" s="9">
        <f t="shared" si="203"/>
        <v>7.3852292347081827E-3</v>
      </c>
    </row>
    <row r="4385" spans="1:7" x14ac:dyDescent="0.2">
      <c r="A4385" s="11">
        <v>41445</v>
      </c>
      <c r="B4385" s="10">
        <v>433.84460000000001</v>
      </c>
      <c r="C4385" s="10">
        <v>438.86399999999998</v>
      </c>
      <c r="D4385" s="10">
        <v>432.61110000000002</v>
      </c>
      <c r="E4385" s="13">
        <f t="shared" si="204"/>
        <v>-1.1779977453055056E-2</v>
      </c>
      <c r="F4385" s="9">
        <f t="shared" si="205"/>
        <v>-3.3506293669168005E-2</v>
      </c>
      <c r="G4385" s="9">
        <f t="shared" ref="G4385:G4448" si="206">STDEV(E4357:E4385)</f>
        <v>7.6468655182104252E-3</v>
      </c>
    </row>
    <row r="4386" spans="1:7" x14ac:dyDescent="0.2">
      <c r="A4386" s="11">
        <v>41446</v>
      </c>
      <c r="B4386" s="10">
        <v>434.1352</v>
      </c>
      <c r="C4386" s="10">
        <v>437.4246</v>
      </c>
      <c r="D4386" s="10">
        <v>433.53030000000001</v>
      </c>
      <c r="E4386" s="13">
        <f t="shared" si="204"/>
        <v>6.6960086135167142E-4</v>
      </c>
      <c r="F4386" s="9">
        <f t="shared" si="205"/>
        <v>-3.6835575176541881E-2</v>
      </c>
      <c r="G4386" s="9">
        <f t="shared" si="206"/>
        <v>7.5915115283194867E-3</v>
      </c>
    </row>
    <row r="4387" spans="1:7" x14ac:dyDescent="0.2">
      <c r="A4387" s="11">
        <v>41449</v>
      </c>
      <c r="B4387" s="10">
        <v>421.40039999999999</v>
      </c>
      <c r="C4387" s="10">
        <v>434.25749999999999</v>
      </c>
      <c r="D4387" s="10">
        <v>421.40039999999999</v>
      </c>
      <c r="E4387" s="13">
        <f t="shared" si="204"/>
        <v>-2.977255573868785E-2</v>
      </c>
      <c r="F4387" s="9">
        <f t="shared" si="205"/>
        <v>-6.7060933973615802E-2</v>
      </c>
      <c r="G4387" s="9">
        <f t="shared" si="206"/>
        <v>9.2419517924096969E-3</v>
      </c>
    </row>
    <row r="4388" spans="1:7" x14ac:dyDescent="0.2">
      <c r="A4388" s="11">
        <v>41450</v>
      </c>
      <c r="B4388" s="10">
        <v>428.97739999999999</v>
      </c>
      <c r="C4388" s="10">
        <v>430.94850000000002</v>
      </c>
      <c r="D4388" s="10">
        <v>421.42079999999999</v>
      </c>
      <c r="E4388" s="13">
        <f t="shared" si="204"/>
        <v>1.7820786301127836E-2</v>
      </c>
      <c r="F4388" s="9">
        <f t="shared" si="205"/>
        <v>-5.1892691753707573E-2</v>
      </c>
      <c r="G4388" s="9">
        <f t="shared" si="206"/>
        <v>9.9361265772792643E-3</v>
      </c>
    </row>
    <row r="4389" spans="1:7" x14ac:dyDescent="0.2">
      <c r="A4389" s="11">
        <v>41451</v>
      </c>
      <c r="B4389" s="10">
        <v>433.59089999999998</v>
      </c>
      <c r="C4389" s="10">
        <v>435.98360000000002</v>
      </c>
      <c r="D4389" s="10">
        <v>428.72269999999997</v>
      </c>
      <c r="E4389" s="13">
        <f t="shared" si="204"/>
        <v>1.0697225932671547E-2</v>
      </c>
      <c r="F4389" s="9">
        <f t="shared" si="205"/>
        <v>-3.9442813855642203E-2</v>
      </c>
      <c r="G4389" s="9">
        <f t="shared" si="206"/>
        <v>1.0203141786204415E-2</v>
      </c>
    </row>
    <row r="4390" spans="1:7" x14ac:dyDescent="0.2">
      <c r="A4390" s="11">
        <v>41452</v>
      </c>
      <c r="B4390" s="10">
        <v>432.98020000000002</v>
      </c>
      <c r="C4390" s="10">
        <v>436.59710000000001</v>
      </c>
      <c r="D4390" s="10">
        <v>428.90100000000001</v>
      </c>
      <c r="E4390" s="13">
        <f t="shared" si="204"/>
        <v>-1.4094633460558458E-3</v>
      </c>
      <c r="F4390" s="9">
        <f t="shared" si="205"/>
        <v>-4.0552477058821534E-2</v>
      </c>
      <c r="G4390" s="9">
        <f t="shared" si="206"/>
        <v>1.0201103952479014E-2</v>
      </c>
    </row>
    <row r="4391" spans="1:7" x14ac:dyDescent="0.2">
      <c r="A4391" s="11">
        <v>41453</v>
      </c>
      <c r="B4391" s="10">
        <v>431.03089999999997</v>
      </c>
      <c r="C4391" s="10">
        <v>436.27749999999997</v>
      </c>
      <c r="D4391" s="10">
        <v>430.22289999999998</v>
      </c>
      <c r="E4391" s="13">
        <f t="shared" si="204"/>
        <v>-4.5122182049041606E-3</v>
      </c>
      <c r="F4391" s="9">
        <f t="shared" si="205"/>
        <v>-4.5698338596508681E-2</v>
      </c>
      <c r="G4391" s="9">
        <f t="shared" si="206"/>
        <v>1.0209247513748758E-2</v>
      </c>
    </row>
    <row r="4392" spans="1:7" x14ac:dyDescent="0.2">
      <c r="A4392" s="11">
        <v>41456</v>
      </c>
      <c r="B4392" s="10">
        <v>436.11810000000003</v>
      </c>
      <c r="C4392" s="10">
        <v>436.12099999999998</v>
      </c>
      <c r="D4392" s="10">
        <v>430.23849999999999</v>
      </c>
      <c r="E4392" s="13">
        <f t="shared" si="204"/>
        <v>1.173329696021632E-2</v>
      </c>
      <c r="F4392" s="9">
        <f t="shared" si="205"/>
        <v>-4.4486744505519253E-2</v>
      </c>
      <c r="G4392" s="9">
        <f t="shared" si="206"/>
        <v>1.0262860316979447E-2</v>
      </c>
    </row>
    <row r="4393" spans="1:7" x14ac:dyDescent="0.2">
      <c r="A4393" s="11">
        <v>41457</v>
      </c>
      <c r="B4393" s="10">
        <v>438.9153</v>
      </c>
      <c r="C4393" s="10">
        <v>439.02480000000003</v>
      </c>
      <c r="D4393" s="10">
        <v>434.87909999999999</v>
      </c>
      <c r="E4393" s="13">
        <f t="shared" si="204"/>
        <v>6.3933777339720841E-3</v>
      </c>
      <c r="F4393" s="9">
        <f t="shared" si="205"/>
        <v>-3.8673734761304063E-2</v>
      </c>
      <c r="G4393" s="9">
        <f t="shared" si="206"/>
        <v>1.0361922579605089E-2</v>
      </c>
    </row>
    <row r="4394" spans="1:7" x14ac:dyDescent="0.2">
      <c r="A4394" s="11">
        <v>41458</v>
      </c>
      <c r="B4394" s="10">
        <v>433.3503</v>
      </c>
      <c r="C4394" s="10">
        <v>438.97789999999998</v>
      </c>
      <c r="D4394" s="10">
        <v>433.04790000000003</v>
      </c>
      <c r="E4394" s="13">
        <f t="shared" si="204"/>
        <v>-1.2760048102381596E-2</v>
      </c>
      <c r="F4394" s="9">
        <f t="shared" si="205"/>
        <v>-3.4472412499699401E-2</v>
      </c>
      <c r="G4394" s="9">
        <f t="shared" si="206"/>
        <v>1.0163084397701678E-2</v>
      </c>
    </row>
    <row r="4395" spans="1:7" x14ac:dyDescent="0.2">
      <c r="A4395" s="11">
        <v>41459</v>
      </c>
      <c r="B4395" s="10">
        <v>440.85930000000002</v>
      </c>
      <c r="C4395" s="10">
        <v>440.85930000000002</v>
      </c>
      <c r="D4395" s="10">
        <v>433.75229999999999</v>
      </c>
      <c r="E4395" s="13">
        <f t="shared" si="204"/>
        <v>1.7179369060098346E-2</v>
      </c>
      <c r="F4395" s="9">
        <f t="shared" si="205"/>
        <v>-2.0231986071615891E-2</v>
      </c>
      <c r="G4395" s="9">
        <f t="shared" si="206"/>
        <v>1.0699512427570761E-2</v>
      </c>
    </row>
    <row r="4396" spans="1:7" x14ac:dyDescent="0.2">
      <c r="A4396" s="11">
        <v>41460</v>
      </c>
      <c r="B4396" s="10">
        <v>441.74889999999999</v>
      </c>
      <c r="C4396" s="10">
        <v>445.6139</v>
      </c>
      <c r="D4396" s="10">
        <v>440.74700000000001</v>
      </c>
      <c r="E4396" s="13">
        <f t="shared" si="204"/>
        <v>2.0158441792184037E-3</v>
      </c>
      <c r="F4396" s="9">
        <f t="shared" si="205"/>
        <v>-2.7361083533619015E-2</v>
      </c>
      <c r="G4396" s="9">
        <f t="shared" si="206"/>
        <v>1.0546092157118537E-2</v>
      </c>
    </row>
    <row r="4397" spans="1:7" x14ac:dyDescent="0.2">
      <c r="A4397" s="11">
        <v>41463</v>
      </c>
      <c r="B4397" s="10">
        <v>444.72820000000002</v>
      </c>
      <c r="C4397" s="10">
        <v>445.7158</v>
      </c>
      <c r="D4397" s="10">
        <v>441.81849999999997</v>
      </c>
      <c r="E4397" s="13">
        <f t="shared" si="204"/>
        <v>6.7216879428163697E-3</v>
      </c>
      <c r="F4397" s="9">
        <f t="shared" si="205"/>
        <v>-3.1139960195455053E-2</v>
      </c>
      <c r="G4397" s="9">
        <f t="shared" si="206"/>
        <v>1.0422259597732122E-2</v>
      </c>
    </row>
    <row r="4398" spans="1:7" x14ac:dyDescent="0.2">
      <c r="A4398" s="11">
        <v>41464</v>
      </c>
      <c r="B4398" s="10">
        <v>445.22359999999998</v>
      </c>
      <c r="C4398" s="10">
        <v>448.4248</v>
      </c>
      <c r="D4398" s="10">
        <v>444.82400000000001</v>
      </c>
      <c r="E4398" s="13">
        <f t="shared" si="204"/>
        <v>1.1133188363004196E-3</v>
      </c>
      <c r="F4398" s="9">
        <f t="shared" si="205"/>
        <v>-2.0083847614547127E-2</v>
      </c>
      <c r="G4398" s="9">
        <f t="shared" si="206"/>
        <v>1.0287591396596213E-2</v>
      </c>
    </row>
    <row r="4399" spans="1:7" x14ac:dyDescent="0.2">
      <c r="A4399" s="11">
        <v>41465</v>
      </c>
      <c r="B4399" s="10">
        <v>448.40129999999999</v>
      </c>
      <c r="C4399" s="10">
        <v>448.40129999999999</v>
      </c>
      <c r="D4399" s="10">
        <v>444.59129999999999</v>
      </c>
      <c r="E4399" s="13">
        <f t="shared" si="204"/>
        <v>7.11196251133341E-3</v>
      </c>
      <c r="F4399" s="9">
        <f t="shared" si="205"/>
        <v>-1.2359046950923639E-2</v>
      </c>
      <c r="G4399" s="9">
        <f t="shared" si="206"/>
        <v>1.0389234403686708E-2</v>
      </c>
    </row>
    <row r="4400" spans="1:7" x14ac:dyDescent="0.2">
      <c r="A4400" s="11">
        <v>41466</v>
      </c>
      <c r="B4400" s="10">
        <v>455.62290000000002</v>
      </c>
      <c r="C4400" s="10">
        <v>455.62290000000002</v>
      </c>
      <c r="D4400" s="10">
        <v>448.40190000000001</v>
      </c>
      <c r="E4400" s="13">
        <f t="shared" si="204"/>
        <v>1.5976903307855391E-2</v>
      </c>
      <c r="F4400" s="9">
        <f t="shared" si="205"/>
        <v>3.9741048591187475E-3</v>
      </c>
      <c r="G4400" s="9">
        <f t="shared" si="206"/>
        <v>1.0826670754063798E-2</v>
      </c>
    </row>
    <row r="4401" spans="1:7" x14ac:dyDescent="0.2">
      <c r="A4401" s="11">
        <v>41467</v>
      </c>
      <c r="B4401" s="10">
        <v>454.00170000000003</v>
      </c>
      <c r="C4401" s="10">
        <v>456.29739999999998</v>
      </c>
      <c r="D4401" s="10">
        <v>453.5634</v>
      </c>
      <c r="E4401" s="13">
        <f t="shared" si="204"/>
        <v>-3.564551171073431E-3</v>
      </c>
      <c r="F4401" s="9">
        <f t="shared" si="205"/>
        <v>7.7000251095403292E-3</v>
      </c>
      <c r="G4401" s="9">
        <f t="shared" si="206"/>
        <v>1.0757265897418876E-2</v>
      </c>
    </row>
    <row r="4402" spans="1:7" x14ac:dyDescent="0.2">
      <c r="A4402" s="11">
        <v>41470</v>
      </c>
      <c r="B4402" s="10">
        <v>456.47770000000003</v>
      </c>
      <c r="C4402" s="10">
        <v>456.76280000000003</v>
      </c>
      <c r="D4402" s="10">
        <v>453.2901</v>
      </c>
      <c r="E4402" s="13">
        <f t="shared" si="204"/>
        <v>5.4389063688607808E-3</v>
      </c>
      <c r="F4402" s="9">
        <f t="shared" si="205"/>
        <v>1.7188456044325239E-2</v>
      </c>
      <c r="G4402" s="9">
        <f t="shared" si="206"/>
        <v>1.0765628850724908E-2</v>
      </c>
    </row>
    <row r="4403" spans="1:7" x14ac:dyDescent="0.2">
      <c r="A4403" s="11">
        <v>41471</v>
      </c>
      <c r="B4403" s="10">
        <v>455.5795</v>
      </c>
      <c r="C4403" s="10">
        <v>456.71460000000002</v>
      </c>
      <c r="D4403" s="10">
        <v>454.27690000000001</v>
      </c>
      <c r="E4403" s="13">
        <f t="shared" si="204"/>
        <v>-1.9696139460804031E-3</v>
      </c>
      <c r="F4403" s="9">
        <f t="shared" si="205"/>
        <v>2.3132198726080473E-2</v>
      </c>
      <c r="G4403" s="9">
        <f t="shared" si="206"/>
        <v>1.0653905365986942E-2</v>
      </c>
    </row>
    <row r="4404" spans="1:7" x14ac:dyDescent="0.2">
      <c r="A4404" s="11">
        <v>41472</v>
      </c>
      <c r="B4404" s="10">
        <v>457.1071</v>
      </c>
      <c r="C4404" s="10">
        <v>457.47680000000003</v>
      </c>
      <c r="D4404" s="10">
        <v>452.66079999999999</v>
      </c>
      <c r="E4404" s="13">
        <f t="shared" si="204"/>
        <v>3.3474829727488794E-3</v>
      </c>
      <c r="F4404" s="9">
        <f t="shared" si="205"/>
        <v>3.2863994916772596E-2</v>
      </c>
      <c r="G4404" s="9">
        <f t="shared" si="206"/>
        <v>1.0572563241080642E-2</v>
      </c>
    </row>
    <row r="4405" spans="1:7" x14ac:dyDescent="0.2">
      <c r="A4405" s="11">
        <v>41473</v>
      </c>
      <c r="B4405" s="10">
        <v>453.71690000000001</v>
      </c>
      <c r="C4405" s="10">
        <v>457.16039999999998</v>
      </c>
      <c r="D4405" s="10">
        <v>451.59269999999998</v>
      </c>
      <c r="E4405" s="13">
        <f t="shared" si="204"/>
        <v>-7.444282663410187E-3</v>
      </c>
      <c r="F4405" s="9">
        <f t="shared" si="205"/>
        <v>2.3154735800091975E-2</v>
      </c>
      <c r="G4405" s="9">
        <f t="shared" si="206"/>
        <v>1.0688540306768484E-2</v>
      </c>
    </row>
    <row r="4406" spans="1:7" x14ac:dyDescent="0.2">
      <c r="A4406" s="11">
        <v>41474</v>
      </c>
      <c r="B4406" s="10">
        <v>457.863</v>
      </c>
      <c r="C4406" s="10">
        <v>458.61529999999999</v>
      </c>
      <c r="D4406" s="10">
        <v>453.6551</v>
      </c>
      <c r="E4406" s="13">
        <f t="shared" si="204"/>
        <v>9.0965774694856012E-3</v>
      </c>
      <c r="F4406" s="9">
        <f t="shared" si="205"/>
        <v>3.8127813186197887E-2</v>
      </c>
      <c r="G4406" s="9">
        <f t="shared" si="206"/>
        <v>1.071619355688464E-2</v>
      </c>
    </row>
    <row r="4407" spans="1:7" x14ac:dyDescent="0.2">
      <c r="A4407" s="11">
        <v>41477</v>
      </c>
      <c r="B4407" s="10">
        <v>458.245</v>
      </c>
      <c r="C4407" s="10">
        <v>459.02670000000001</v>
      </c>
      <c r="D4407" s="10">
        <v>457.17919999999998</v>
      </c>
      <c r="E4407" s="13">
        <f t="shared" si="204"/>
        <v>8.3396285621327026E-4</v>
      </c>
      <c r="F4407" s="9">
        <f t="shared" si="205"/>
        <v>5.6599044298523471E-2</v>
      </c>
      <c r="G4407" s="9">
        <f t="shared" si="206"/>
        <v>1.0079536472516895E-2</v>
      </c>
    </row>
    <row r="4408" spans="1:7" x14ac:dyDescent="0.2">
      <c r="A4408" s="11">
        <v>41478</v>
      </c>
      <c r="B4408" s="10">
        <v>459.16879999999998</v>
      </c>
      <c r="C4408" s="10">
        <v>459.9966</v>
      </c>
      <c r="D4408" s="10">
        <v>458.09899999999999</v>
      </c>
      <c r="E4408" s="13">
        <f t="shared" si="204"/>
        <v>2.0139228606229184E-3</v>
      </c>
      <c r="F4408" s="9">
        <f t="shared" si="205"/>
        <v>5.0146478339425864E-2</v>
      </c>
      <c r="G4408" s="9">
        <f t="shared" si="206"/>
        <v>1.0001505472304283E-2</v>
      </c>
    </row>
    <row r="4409" spans="1:7" x14ac:dyDescent="0.2">
      <c r="A4409" s="11">
        <v>41479</v>
      </c>
      <c r="B4409" s="10">
        <v>459.60250000000002</v>
      </c>
      <c r="C4409" s="10">
        <v>460.9522</v>
      </c>
      <c r="D4409" s="10">
        <v>457.17169999999999</v>
      </c>
      <c r="E4409" s="13">
        <f t="shared" si="204"/>
        <v>9.4408702625585754E-4</v>
      </c>
      <c r="F4409" s="9">
        <f t="shared" si="205"/>
        <v>5.3331856032396208E-2</v>
      </c>
      <c r="G4409" s="9">
        <f t="shared" si="206"/>
        <v>9.9737958833413087E-3</v>
      </c>
    </row>
    <row r="4410" spans="1:7" x14ac:dyDescent="0.2">
      <c r="A4410" s="11">
        <v>41480</v>
      </c>
      <c r="B4410" s="10">
        <v>457.7722</v>
      </c>
      <c r="C4410" s="10">
        <v>460.46960000000001</v>
      </c>
      <c r="D4410" s="10">
        <v>456.25439999999998</v>
      </c>
      <c r="E4410" s="13">
        <f t="shared" si="204"/>
        <v>-3.9903050053241625E-3</v>
      </c>
      <c r="F4410" s="9">
        <f t="shared" si="205"/>
        <v>4.8067500283298696E-2</v>
      </c>
      <c r="G4410" s="9">
        <f t="shared" si="206"/>
        <v>1.0032182544713398E-2</v>
      </c>
    </row>
    <row r="4411" spans="1:7" x14ac:dyDescent="0.2">
      <c r="A4411" s="11">
        <v>41481</v>
      </c>
      <c r="B4411" s="10">
        <v>455.99990000000003</v>
      </c>
      <c r="C4411" s="10">
        <v>458.91070000000002</v>
      </c>
      <c r="D4411" s="10">
        <v>455.47340000000003</v>
      </c>
      <c r="E4411" s="13">
        <f t="shared" si="204"/>
        <v>-3.8790902509855392E-3</v>
      </c>
      <c r="F4411" s="9">
        <f t="shared" si="205"/>
        <v>3.5749681991837014E-2</v>
      </c>
      <c r="G4411" s="9">
        <f t="shared" si="206"/>
        <v>9.995513245018333E-3</v>
      </c>
    </row>
    <row r="4412" spans="1:7" x14ac:dyDescent="0.2">
      <c r="A4412" s="11">
        <v>41484</v>
      </c>
      <c r="B4412" s="10">
        <v>455.94850000000002</v>
      </c>
      <c r="C4412" s="10">
        <v>456.83839999999998</v>
      </c>
      <c r="D4412" s="10">
        <v>453.52460000000002</v>
      </c>
      <c r="E4412" s="13">
        <f t="shared" si="204"/>
        <v>-1.1272567626506518E-4</v>
      </c>
      <c r="F4412" s="9">
        <f t="shared" si="205"/>
        <v>2.8589351365916411E-2</v>
      </c>
      <c r="G4412" s="9">
        <f t="shared" si="206"/>
        <v>9.9349990499476449E-3</v>
      </c>
    </row>
    <row r="4413" spans="1:7" x14ac:dyDescent="0.2">
      <c r="A4413" s="11">
        <v>41485</v>
      </c>
      <c r="B4413" s="10">
        <v>454.90609999999998</v>
      </c>
      <c r="C4413" s="10">
        <v>457.61759999999998</v>
      </c>
      <c r="D4413" s="10">
        <v>453.46129999999999</v>
      </c>
      <c r="E4413" s="13">
        <f t="shared" si="204"/>
        <v>-2.2888405132418009E-3</v>
      </c>
      <c r="F4413" s="9">
        <f t="shared" si="205"/>
        <v>3.5624641109684295E-2</v>
      </c>
      <c r="G4413" s="9">
        <f t="shared" si="206"/>
        <v>9.7585842921526847E-3</v>
      </c>
    </row>
    <row r="4414" spans="1:7" x14ac:dyDescent="0.2">
      <c r="A4414" s="11">
        <v>41486</v>
      </c>
      <c r="B4414" s="10">
        <v>456.98590000000002</v>
      </c>
      <c r="C4414" s="10">
        <v>457.99799999999999</v>
      </c>
      <c r="D4414" s="10">
        <v>454.90730000000002</v>
      </c>
      <c r="E4414" s="13">
        <f t="shared" si="204"/>
        <v>4.561512999934552E-3</v>
      </c>
      <c r="F4414" s="9">
        <f t="shared" si="205"/>
        <v>5.1966131562673663E-2</v>
      </c>
      <c r="G4414" s="9">
        <f t="shared" si="206"/>
        <v>9.4474509928152914E-3</v>
      </c>
    </row>
    <row r="4415" spans="1:7" x14ac:dyDescent="0.2">
      <c r="A4415" s="11">
        <v>41487</v>
      </c>
      <c r="B4415" s="10">
        <v>458.98430000000002</v>
      </c>
      <c r="C4415" s="10">
        <v>459.19850000000002</v>
      </c>
      <c r="D4415" s="10">
        <v>455.1343</v>
      </c>
      <c r="E4415" s="13">
        <f t="shared" si="204"/>
        <v>4.3634676559754747E-3</v>
      </c>
      <c r="F4415" s="9">
        <f t="shared" si="205"/>
        <v>5.5659998357297603E-2</v>
      </c>
      <c r="G4415" s="9">
        <f t="shared" si="206"/>
        <v>9.4566754278788603E-3</v>
      </c>
    </row>
    <row r="4416" spans="1:7" x14ac:dyDescent="0.2">
      <c r="A4416" s="11">
        <v>41488</v>
      </c>
      <c r="B4416" s="10">
        <v>458.69740000000002</v>
      </c>
      <c r="C4416" s="10">
        <v>460.87950000000001</v>
      </c>
      <c r="D4416" s="10">
        <v>457.01089999999999</v>
      </c>
      <c r="E4416" s="13">
        <f t="shared" si="204"/>
        <v>-6.2527128817608526E-4</v>
      </c>
      <c r="F4416" s="9">
        <f t="shared" si="205"/>
        <v>8.4807282807809414E-2</v>
      </c>
      <c r="G4416" s="9">
        <f t="shared" si="206"/>
        <v>7.2624501236524088E-3</v>
      </c>
    </row>
    <row r="4417" spans="1:7" x14ac:dyDescent="0.2">
      <c r="A4417" s="11">
        <v>41491</v>
      </c>
      <c r="B4417" s="10">
        <v>458.51740000000001</v>
      </c>
      <c r="C4417" s="10">
        <v>461.35669999999999</v>
      </c>
      <c r="D4417" s="10">
        <v>457.8272</v>
      </c>
      <c r="E4417" s="13">
        <f t="shared" si="204"/>
        <v>-3.9249258147770272E-4</v>
      </c>
      <c r="F4417" s="9">
        <f t="shared" si="205"/>
        <v>6.6594003925203815E-2</v>
      </c>
      <c r="G4417" s="9">
        <f t="shared" si="206"/>
        <v>6.6934653665491513E-3</v>
      </c>
    </row>
    <row r="4418" spans="1:7" x14ac:dyDescent="0.2">
      <c r="A4418" s="11">
        <v>41492</v>
      </c>
      <c r="B4418" s="10">
        <v>455.2996</v>
      </c>
      <c r="C4418" s="10">
        <v>458.51799999999997</v>
      </c>
      <c r="D4418" s="10">
        <v>454.75119999999998</v>
      </c>
      <c r="E4418" s="13">
        <f t="shared" si="204"/>
        <v>-7.0425770141362559E-3</v>
      </c>
      <c r="F4418" s="9">
        <f t="shared" si="205"/>
        <v>4.8854200978395955E-2</v>
      </c>
      <c r="G4418" s="9">
        <f t="shared" si="206"/>
        <v>6.7088915378660172E-3</v>
      </c>
    </row>
    <row r="4419" spans="1:7" x14ac:dyDescent="0.2">
      <c r="A4419" s="11">
        <v>41493</v>
      </c>
      <c r="B4419" s="10">
        <v>455.64819999999997</v>
      </c>
      <c r="C4419" s="10">
        <v>456.54300000000001</v>
      </c>
      <c r="D4419" s="10">
        <v>452.61880000000002</v>
      </c>
      <c r="E4419" s="13">
        <f t="shared" si="204"/>
        <v>7.653567350765976E-4</v>
      </c>
      <c r="F4419" s="9">
        <f t="shared" si="205"/>
        <v>5.1029021059528397E-2</v>
      </c>
      <c r="G4419" s="9">
        <f t="shared" si="206"/>
        <v>6.6851831920417236E-3</v>
      </c>
    </row>
    <row r="4420" spans="1:7" x14ac:dyDescent="0.2">
      <c r="A4420" s="11">
        <v>41494</v>
      </c>
      <c r="B4420" s="10">
        <v>460.5652</v>
      </c>
      <c r="C4420" s="10">
        <v>460.62200000000001</v>
      </c>
      <c r="D4420" s="10">
        <v>455.53120000000001</v>
      </c>
      <c r="E4420" s="13">
        <f t="shared" ref="E4420:E4483" si="207">LN(B4420/B4419)</f>
        <v>1.0733410372754134E-2</v>
      </c>
      <c r="F4420" s="9">
        <f t="shared" si="205"/>
        <v>6.6274649637186683E-2</v>
      </c>
      <c r="G4420" s="9">
        <f t="shared" si="206"/>
        <v>6.7732272246978E-3</v>
      </c>
    </row>
    <row r="4421" spans="1:7" x14ac:dyDescent="0.2">
      <c r="A4421" s="11">
        <v>41495</v>
      </c>
      <c r="B4421" s="10">
        <v>461.24459999999999</v>
      </c>
      <c r="C4421" s="10">
        <v>463.03620000000001</v>
      </c>
      <c r="D4421" s="10">
        <v>460.61070000000001</v>
      </c>
      <c r="E4421" s="13">
        <f t="shared" si="207"/>
        <v>1.4740570625723843E-3</v>
      </c>
      <c r="F4421" s="9">
        <f t="shared" si="205"/>
        <v>5.6015409739542617E-2</v>
      </c>
      <c r="G4421" s="9">
        <f t="shared" si="206"/>
        <v>6.5255261366070098E-3</v>
      </c>
    </row>
    <row r="4422" spans="1:7" x14ac:dyDescent="0.2">
      <c r="A4422" s="11">
        <v>41498</v>
      </c>
      <c r="B4422" s="10">
        <v>460.64780000000002</v>
      </c>
      <c r="C4422" s="10">
        <v>462.78519999999997</v>
      </c>
      <c r="D4422" s="10">
        <v>458.86430000000001</v>
      </c>
      <c r="E4422" s="13">
        <f t="shared" si="207"/>
        <v>-1.2947282857935216E-3</v>
      </c>
      <c r="F4422" s="9">
        <f t="shared" si="205"/>
        <v>4.8327303719776983E-2</v>
      </c>
      <c r="G4422" s="9">
        <f t="shared" si="206"/>
        <v>6.4938784227757474E-3</v>
      </c>
    </row>
    <row r="4423" spans="1:7" x14ac:dyDescent="0.2">
      <c r="A4423" s="11">
        <v>41499</v>
      </c>
      <c r="B4423" s="10">
        <v>460.94470000000001</v>
      </c>
      <c r="C4423" s="10">
        <v>462.04930000000002</v>
      </c>
      <c r="D4423" s="10">
        <v>460.06450000000001</v>
      </c>
      <c r="E4423" s="13">
        <f t="shared" si="207"/>
        <v>6.4431950188700892E-4</v>
      </c>
      <c r="F4423" s="9">
        <f t="shared" si="205"/>
        <v>6.1731671324045743E-2</v>
      </c>
      <c r="G4423" s="9">
        <f t="shared" si="206"/>
        <v>5.8782216176030177E-3</v>
      </c>
    </row>
    <row r="4424" spans="1:7" x14ac:dyDescent="0.2">
      <c r="A4424" s="11">
        <v>41500</v>
      </c>
      <c r="B4424" s="10">
        <v>464.3809</v>
      </c>
      <c r="C4424" s="10">
        <v>464.4581</v>
      </c>
      <c r="D4424" s="10">
        <v>461.43819999999999</v>
      </c>
      <c r="E4424" s="13">
        <f t="shared" si="207"/>
        <v>7.4270414550769576E-3</v>
      </c>
      <c r="F4424" s="9">
        <f t="shared" si="205"/>
        <v>5.1979343719024448E-2</v>
      </c>
      <c r="G4424" s="9">
        <f t="shared" si="206"/>
        <v>5.2296117052085421E-3</v>
      </c>
    </row>
    <row r="4425" spans="1:7" x14ac:dyDescent="0.2">
      <c r="A4425" s="11">
        <v>41501</v>
      </c>
      <c r="B4425" s="10">
        <v>460.94560000000001</v>
      </c>
      <c r="C4425" s="10">
        <v>464.7534</v>
      </c>
      <c r="D4425" s="10">
        <v>459.43639999999999</v>
      </c>
      <c r="E4425" s="13">
        <f t="shared" si="207"/>
        <v>-7.4250889451091626E-3</v>
      </c>
      <c r="F4425" s="9">
        <f t="shared" si="205"/>
        <v>4.2538410594696825E-2</v>
      </c>
      <c r="G4425" s="9">
        <f t="shared" si="206"/>
        <v>5.5019671756242131E-3</v>
      </c>
    </row>
    <row r="4426" spans="1:7" x14ac:dyDescent="0.2">
      <c r="A4426" s="11">
        <v>41502</v>
      </c>
      <c r="B4426" s="10">
        <v>462.20650000000001</v>
      </c>
      <c r="C4426" s="10">
        <v>462.48669999999998</v>
      </c>
      <c r="D4426" s="10">
        <v>460.55099999999999</v>
      </c>
      <c r="E4426" s="13">
        <f t="shared" si="207"/>
        <v>2.7317292223151186E-3</v>
      </c>
      <c r="F4426" s="9">
        <f t="shared" si="205"/>
        <v>3.8548451874195505E-2</v>
      </c>
      <c r="G4426" s="9">
        <f t="shared" si="206"/>
        <v>5.4150701505950288E-3</v>
      </c>
    </row>
    <row r="4427" spans="1:7" x14ac:dyDescent="0.2">
      <c r="A4427" s="11">
        <v>41505</v>
      </c>
      <c r="B4427" s="10">
        <v>463.5136</v>
      </c>
      <c r="C4427" s="10">
        <v>463.59429999999998</v>
      </c>
      <c r="D4427" s="10">
        <v>461.35950000000003</v>
      </c>
      <c r="E4427" s="13">
        <f t="shared" si="207"/>
        <v>2.8239656212563067E-3</v>
      </c>
      <c r="F4427" s="9">
        <f t="shared" si="205"/>
        <v>4.0259098659151317E-2</v>
      </c>
      <c r="G4427" s="9">
        <f t="shared" si="206"/>
        <v>5.4219467707774553E-3</v>
      </c>
    </row>
    <row r="4428" spans="1:7" x14ac:dyDescent="0.2">
      <c r="A4428" s="11">
        <v>41506</v>
      </c>
      <c r="B4428" s="10">
        <v>458.64850000000001</v>
      </c>
      <c r="C4428" s="10">
        <v>463.3818</v>
      </c>
      <c r="D4428" s="10">
        <v>457.49340000000001</v>
      </c>
      <c r="E4428" s="13">
        <f t="shared" si="207"/>
        <v>-1.0551605056125651E-2</v>
      </c>
      <c r="F4428" s="9">
        <f t="shared" si="205"/>
        <v>2.2595531091692184E-2</v>
      </c>
      <c r="G4428" s="9">
        <f t="shared" si="206"/>
        <v>5.7388730319403039E-3</v>
      </c>
    </row>
    <row r="4429" spans="1:7" x14ac:dyDescent="0.2">
      <c r="A4429" s="11">
        <v>41507</v>
      </c>
      <c r="B4429" s="10">
        <v>458.60930000000002</v>
      </c>
      <c r="C4429" s="10">
        <v>460.0693</v>
      </c>
      <c r="D4429" s="10">
        <v>457.673</v>
      </c>
      <c r="E4429" s="13">
        <f t="shared" si="207"/>
        <v>-8.5472154118223376E-5</v>
      </c>
      <c r="F4429" s="9">
        <f t="shared" si="205"/>
        <v>6.5331556297186458E-3</v>
      </c>
      <c r="G4429" s="9">
        <f t="shared" si="206"/>
        <v>4.9390936883736266E-3</v>
      </c>
    </row>
    <row r="4430" spans="1:7" x14ac:dyDescent="0.2">
      <c r="A4430" s="11">
        <v>41508</v>
      </c>
      <c r="B4430" s="10">
        <v>462.26830000000001</v>
      </c>
      <c r="C4430" s="10">
        <v>462.79059999999998</v>
      </c>
      <c r="D4430" s="10">
        <v>457.59429999999998</v>
      </c>
      <c r="E4430" s="13">
        <f t="shared" si="207"/>
        <v>7.9468091220994685E-3</v>
      </c>
      <c r="F4430" s="9">
        <f t="shared" si="205"/>
        <v>1.8044515922891528E-2</v>
      </c>
      <c r="G4430" s="9">
        <f t="shared" si="206"/>
        <v>5.0840784569422268E-3</v>
      </c>
    </row>
    <row r="4431" spans="1:7" x14ac:dyDescent="0.2">
      <c r="A4431" s="11">
        <v>41509</v>
      </c>
      <c r="B4431" s="10">
        <v>461.15030000000002</v>
      </c>
      <c r="C4431" s="10">
        <v>462.53910000000002</v>
      </c>
      <c r="D4431" s="10">
        <v>460.5104</v>
      </c>
      <c r="E4431" s="13">
        <f t="shared" si="207"/>
        <v>-2.4214382215604251E-3</v>
      </c>
      <c r="F4431" s="9">
        <f t="shared" si="205"/>
        <v>1.0184171332470182E-2</v>
      </c>
      <c r="G4431" s="9">
        <f t="shared" si="206"/>
        <v>5.0273283476550065E-3</v>
      </c>
    </row>
    <row r="4432" spans="1:7" x14ac:dyDescent="0.2">
      <c r="A4432" s="11">
        <v>41512</v>
      </c>
      <c r="B4432" s="10">
        <v>460.83390000000003</v>
      </c>
      <c r="C4432" s="10">
        <v>463.19729999999998</v>
      </c>
      <c r="D4432" s="10">
        <v>459.67340000000002</v>
      </c>
      <c r="E4432" s="13">
        <f t="shared" si="207"/>
        <v>-6.8634584501673962E-4</v>
      </c>
      <c r="F4432" s="9">
        <f t="shared" si="205"/>
        <v>1.1467439433533835E-2</v>
      </c>
      <c r="G4432" s="9">
        <f t="shared" si="206"/>
        <v>5.0117948134354362E-3</v>
      </c>
    </row>
    <row r="4433" spans="1:7" x14ac:dyDescent="0.2">
      <c r="A4433" s="11">
        <v>41513</v>
      </c>
      <c r="B4433" s="10">
        <v>457.26409999999998</v>
      </c>
      <c r="C4433" s="10">
        <v>460.84690000000001</v>
      </c>
      <c r="D4433" s="10">
        <v>456.24099999999999</v>
      </c>
      <c r="E4433" s="13">
        <f t="shared" si="207"/>
        <v>-7.7765510658144871E-3</v>
      </c>
      <c r="F4433" s="9">
        <f t="shared" si="205"/>
        <v>3.4340539497055975E-4</v>
      </c>
      <c r="G4433" s="9">
        <f t="shared" si="206"/>
        <v>5.1999520544241664E-3</v>
      </c>
    </row>
    <row r="4434" spans="1:7" x14ac:dyDescent="0.2">
      <c r="A4434" s="11">
        <v>41514</v>
      </c>
      <c r="B4434" s="10">
        <v>461.16989999999998</v>
      </c>
      <c r="C4434" s="10">
        <v>461.41899999999998</v>
      </c>
      <c r="D4434" s="10">
        <v>455.79270000000002</v>
      </c>
      <c r="E4434" s="13">
        <f t="shared" si="207"/>
        <v>8.5053984195326386E-3</v>
      </c>
      <c r="F4434" s="9">
        <f t="shared" si="205"/>
        <v>1.6293086477913409E-2</v>
      </c>
      <c r="G4434" s="9">
        <f t="shared" si="206"/>
        <v>5.2265824966452037E-3</v>
      </c>
    </row>
    <row r="4435" spans="1:7" x14ac:dyDescent="0.2">
      <c r="A4435" s="11">
        <v>41515</v>
      </c>
      <c r="B4435" s="10">
        <v>462.26170000000002</v>
      </c>
      <c r="C4435" s="10">
        <v>463.55959999999999</v>
      </c>
      <c r="D4435" s="10">
        <v>460.69720000000001</v>
      </c>
      <c r="E4435" s="13">
        <f t="shared" si="207"/>
        <v>2.364659188062421E-3</v>
      </c>
      <c r="F4435" s="9">
        <f t="shared" si="205"/>
        <v>9.5611681964902322E-3</v>
      </c>
      <c r="G4435" s="9">
        <f t="shared" si="206"/>
        <v>4.9775430700235894E-3</v>
      </c>
    </row>
    <row r="4436" spans="1:7" x14ac:dyDescent="0.2">
      <c r="A4436" s="11">
        <v>41516</v>
      </c>
      <c r="B4436" s="10">
        <v>456.87979999999999</v>
      </c>
      <c r="C4436" s="10">
        <v>462.91219999999998</v>
      </c>
      <c r="D4436" s="10">
        <v>456.79950000000002</v>
      </c>
      <c r="E4436" s="13">
        <f t="shared" si="207"/>
        <v>-1.1710844321019966E-2</v>
      </c>
      <c r="F4436" s="9">
        <f t="shared" si="205"/>
        <v>-2.9836389807429697E-3</v>
      </c>
      <c r="G4436" s="9">
        <f t="shared" si="206"/>
        <v>5.4544210958232808E-3</v>
      </c>
    </row>
    <row r="4437" spans="1:7" x14ac:dyDescent="0.2">
      <c r="A4437" s="11">
        <v>41519</v>
      </c>
      <c r="B4437" s="10">
        <v>462.58640000000003</v>
      </c>
      <c r="C4437" s="10">
        <v>463.19810000000001</v>
      </c>
      <c r="D4437" s="10">
        <v>456.86829999999998</v>
      </c>
      <c r="E4437" s="13">
        <f t="shared" si="207"/>
        <v>1.241301371151966E-2</v>
      </c>
      <c r="F4437" s="9">
        <f t="shared" si="205"/>
        <v>7.4154518701537555E-3</v>
      </c>
      <c r="G4437" s="9">
        <f t="shared" si="206"/>
        <v>5.9204780483623903E-3</v>
      </c>
    </row>
    <row r="4438" spans="1:7" x14ac:dyDescent="0.2">
      <c r="A4438" s="11">
        <v>41520</v>
      </c>
      <c r="B4438" s="10">
        <v>463.36540000000002</v>
      </c>
      <c r="C4438" s="10">
        <v>464.35180000000003</v>
      </c>
      <c r="D4438" s="10">
        <v>460.98610000000002</v>
      </c>
      <c r="E4438" s="13">
        <f t="shared" si="207"/>
        <v>1.6825933785902195E-3</v>
      </c>
      <c r="F4438" s="9">
        <f t="shared" si="205"/>
        <v>8.1539582224880846E-3</v>
      </c>
      <c r="G4438" s="9">
        <f t="shared" si="206"/>
        <v>5.9251311699311405E-3</v>
      </c>
    </row>
    <row r="4439" spans="1:7" x14ac:dyDescent="0.2">
      <c r="A4439" s="11">
        <v>41521</v>
      </c>
      <c r="B4439" s="10">
        <v>462.83569999999997</v>
      </c>
      <c r="C4439" s="10">
        <v>463.68729999999999</v>
      </c>
      <c r="D4439" s="10">
        <v>460.5548</v>
      </c>
      <c r="E4439" s="13">
        <f t="shared" si="207"/>
        <v>-1.1438121974824814E-3</v>
      </c>
      <c r="F4439" s="9">
        <f t="shared" si="205"/>
        <v>1.1000451030329757E-2</v>
      </c>
      <c r="G4439" s="9">
        <f t="shared" si="206"/>
        <v>5.8752103165400629E-3</v>
      </c>
    </row>
    <row r="4440" spans="1:7" x14ac:dyDescent="0.2">
      <c r="A4440" s="11">
        <v>41522</v>
      </c>
      <c r="B4440" s="10">
        <v>462.56009999999998</v>
      </c>
      <c r="C4440" s="10">
        <v>463.30529999999999</v>
      </c>
      <c r="D4440" s="10">
        <v>460.50479999999999</v>
      </c>
      <c r="E4440" s="13">
        <f t="shared" si="207"/>
        <v>-5.9563704124918906E-4</v>
      </c>
      <c r="F4440" s="9">
        <f t="shared" si="205"/>
        <v>1.4283904240066279E-2</v>
      </c>
      <c r="G4440" s="9">
        <f t="shared" si="206"/>
        <v>5.8216080840398253E-3</v>
      </c>
    </row>
    <row r="4441" spans="1:7" x14ac:dyDescent="0.2">
      <c r="A4441" s="11">
        <v>41523</v>
      </c>
      <c r="B4441" s="10">
        <v>462.22250000000003</v>
      </c>
      <c r="C4441" s="10">
        <v>463.55160000000001</v>
      </c>
      <c r="D4441" s="10">
        <v>460.33449999999999</v>
      </c>
      <c r="E4441" s="13">
        <f t="shared" si="207"/>
        <v>-7.3011757573519125E-4</v>
      </c>
      <c r="F4441" s="9">
        <f t="shared" si="205"/>
        <v>1.3666512340596163E-2</v>
      </c>
      <c r="G4441" s="9">
        <f t="shared" si="206"/>
        <v>5.8250284814641042E-3</v>
      </c>
    </row>
    <row r="4442" spans="1:7" x14ac:dyDescent="0.2">
      <c r="A4442" s="11">
        <v>41526</v>
      </c>
      <c r="B4442" s="10">
        <v>462.86110000000002</v>
      </c>
      <c r="C4442" s="10">
        <v>464.06569999999999</v>
      </c>
      <c r="D4442" s="10">
        <v>461.8603</v>
      </c>
      <c r="E4442" s="13">
        <f t="shared" si="207"/>
        <v>1.3806321967845018E-3</v>
      </c>
      <c r="F4442" s="9">
        <f t="shared" si="205"/>
        <v>1.7335985050622539E-2</v>
      </c>
      <c r="G4442" s="9">
        <f t="shared" si="206"/>
        <v>5.8027434682927986E-3</v>
      </c>
    </row>
    <row r="4443" spans="1:7" x14ac:dyDescent="0.2">
      <c r="A4443" s="11">
        <v>41527</v>
      </c>
      <c r="B4443" s="10">
        <v>463.92290000000003</v>
      </c>
      <c r="C4443" s="10">
        <v>465.5668</v>
      </c>
      <c r="D4443" s="10">
        <v>462.8811</v>
      </c>
      <c r="E4443" s="13">
        <f t="shared" si="207"/>
        <v>2.2913655491871342E-3</v>
      </c>
      <c r="F4443" s="9">
        <f t="shared" si="205"/>
        <v>1.5065837599875204E-2</v>
      </c>
      <c r="G4443" s="9">
        <f t="shared" si="206"/>
        <v>5.7625350628811162E-3</v>
      </c>
    </row>
    <row r="4444" spans="1:7" x14ac:dyDescent="0.2">
      <c r="A4444" s="11">
        <v>41528</v>
      </c>
      <c r="B4444" s="10">
        <v>466.62310000000002</v>
      </c>
      <c r="C4444" s="10">
        <v>467.25639999999999</v>
      </c>
      <c r="D4444" s="10">
        <v>463.30110000000002</v>
      </c>
      <c r="E4444" s="13">
        <f t="shared" si="207"/>
        <v>5.8034908079144867E-3</v>
      </c>
      <c r="F4444" s="9">
        <f t="shared" si="205"/>
        <v>1.6505860751814375E-2</v>
      </c>
      <c r="G4444" s="9">
        <f t="shared" si="206"/>
        <v>5.8029045131015415E-3</v>
      </c>
    </row>
    <row r="4445" spans="1:7" x14ac:dyDescent="0.2">
      <c r="A4445" s="11">
        <v>41529</v>
      </c>
      <c r="B4445" s="10">
        <v>464.17129999999997</v>
      </c>
      <c r="C4445" s="10">
        <v>466.63369999999998</v>
      </c>
      <c r="D4445" s="10">
        <v>464.13159999999999</v>
      </c>
      <c r="E4445" s="13">
        <f t="shared" si="207"/>
        <v>-5.2682003041462366E-3</v>
      </c>
      <c r="F4445" s="9">
        <f t="shared" si="205"/>
        <v>1.1862931735844124E-2</v>
      </c>
      <c r="G4445" s="9">
        <f t="shared" si="206"/>
        <v>5.9002677432933885E-3</v>
      </c>
    </row>
    <row r="4446" spans="1:7" x14ac:dyDescent="0.2">
      <c r="A4446" s="11">
        <v>41530</v>
      </c>
      <c r="B4446" s="10">
        <v>464.5668</v>
      </c>
      <c r="C4446" s="10">
        <v>465.14510000000001</v>
      </c>
      <c r="D4446" s="10">
        <v>463.29919999999998</v>
      </c>
      <c r="E4446" s="13">
        <f t="shared" si="207"/>
        <v>8.5169333293720856E-4</v>
      </c>
      <c r="F4446" s="9">
        <f t="shared" si="205"/>
        <v>1.3107117650259056E-2</v>
      </c>
      <c r="G4446" s="9">
        <f t="shared" si="206"/>
        <v>5.8987544278557152E-3</v>
      </c>
    </row>
    <row r="4447" spans="1:7" x14ac:dyDescent="0.2">
      <c r="A4447" s="11">
        <v>41533</v>
      </c>
      <c r="B4447" s="10">
        <v>464.65690000000001</v>
      </c>
      <c r="C4447" s="10">
        <v>467.0754</v>
      </c>
      <c r="D4447" s="10">
        <v>463.35430000000002</v>
      </c>
      <c r="E4447" s="13">
        <f t="shared" si="207"/>
        <v>1.9392531697664601E-4</v>
      </c>
      <c r="F4447" s="9">
        <f t="shared" si="205"/>
        <v>2.0343619981372015E-2</v>
      </c>
      <c r="G4447" s="9">
        <f t="shared" si="206"/>
        <v>5.7207676408945422E-3</v>
      </c>
    </row>
    <row r="4448" spans="1:7" x14ac:dyDescent="0.2">
      <c r="A4448" s="11">
        <v>41534</v>
      </c>
      <c r="B4448" s="10">
        <v>464.2885</v>
      </c>
      <c r="C4448" s="10">
        <v>464.56470000000002</v>
      </c>
      <c r="D4448" s="10">
        <v>461.61009999999999</v>
      </c>
      <c r="E4448" s="13">
        <f t="shared" si="207"/>
        <v>-7.9315752963162692E-4</v>
      </c>
      <c r="F4448" s="9">
        <f t="shared" ref="F4448:F4511" si="208">LN(B4448/B4419)</f>
        <v>1.8785105716663648E-2</v>
      </c>
      <c r="G4448" s="9">
        <f t="shared" si="206"/>
        <v>5.7274629327927415E-3</v>
      </c>
    </row>
    <row r="4449" spans="1:7" x14ac:dyDescent="0.2">
      <c r="A4449" s="11">
        <v>41535</v>
      </c>
      <c r="B4449" s="10">
        <v>464.49079999999998</v>
      </c>
      <c r="C4449" s="10">
        <v>465.40030000000002</v>
      </c>
      <c r="D4449" s="10">
        <v>462.99279999999999</v>
      </c>
      <c r="E4449" s="13">
        <f t="shared" si="207"/>
        <v>4.3562556400461702E-4</v>
      </c>
      <c r="F4449" s="9">
        <f t="shared" si="208"/>
        <v>8.4873209079143024E-3</v>
      </c>
      <c r="G4449" s="9">
        <f t="shared" ref="G4449:G4512" si="209">STDEV(E4421:E4449)</f>
        <v>5.3890606386249049E-3</v>
      </c>
    </row>
    <row r="4450" spans="1:7" x14ac:dyDescent="0.2">
      <c r="A4450" s="11">
        <v>41536</v>
      </c>
      <c r="B4450" s="10">
        <v>467.93099999999998</v>
      </c>
      <c r="C4450" s="10">
        <v>469.96499999999997</v>
      </c>
      <c r="D4450" s="10">
        <v>464.56560000000002</v>
      </c>
      <c r="E4450" s="13">
        <f t="shared" si="207"/>
        <v>7.3790973359959457E-3</v>
      </c>
      <c r="F4450" s="9">
        <f t="shared" si="208"/>
        <v>1.4392361181337868E-2</v>
      </c>
      <c r="G4450" s="9">
        <f t="shared" si="209"/>
        <v>5.544607137699894E-3</v>
      </c>
    </row>
    <row r="4451" spans="1:7" x14ac:dyDescent="0.2">
      <c r="A4451" s="11">
        <v>41537</v>
      </c>
      <c r="B4451" s="10">
        <v>469.32819999999998</v>
      </c>
      <c r="C4451" s="10">
        <v>470.04969999999997</v>
      </c>
      <c r="D4451" s="10">
        <v>466.94929999999999</v>
      </c>
      <c r="E4451" s="13">
        <f t="shared" si="207"/>
        <v>2.9814613395926282E-3</v>
      </c>
      <c r="F4451" s="9">
        <f t="shared" si="208"/>
        <v>1.8668550806724093E-2</v>
      </c>
      <c r="G4451" s="9">
        <f t="shared" si="209"/>
        <v>5.5521312267568347E-3</v>
      </c>
    </row>
    <row r="4452" spans="1:7" x14ac:dyDescent="0.2">
      <c r="A4452" s="11">
        <v>41540</v>
      </c>
      <c r="B4452" s="10">
        <v>466.83690000000001</v>
      </c>
      <c r="C4452" s="10">
        <v>470.19569999999999</v>
      </c>
      <c r="D4452" s="10">
        <v>466.6164</v>
      </c>
      <c r="E4452" s="13">
        <f t="shared" si="207"/>
        <v>-5.3223643586696179E-3</v>
      </c>
      <c r="F4452" s="9">
        <f t="shared" si="208"/>
        <v>1.2701866946167243E-2</v>
      </c>
      <c r="G4452" s="9">
        <f t="shared" si="209"/>
        <v>5.6615852118484539E-3</v>
      </c>
    </row>
    <row r="4453" spans="1:7" x14ac:dyDescent="0.2">
      <c r="A4453" s="11">
        <v>41541</v>
      </c>
      <c r="B4453" s="10">
        <v>466.26409999999998</v>
      </c>
      <c r="C4453" s="10">
        <v>467.93709999999999</v>
      </c>
      <c r="D4453" s="10">
        <v>466.18040000000002</v>
      </c>
      <c r="E4453" s="13">
        <f t="shared" si="207"/>
        <v>-1.2277343437634212E-3</v>
      </c>
      <c r="F4453" s="9">
        <f t="shared" si="208"/>
        <v>4.04709114732686E-3</v>
      </c>
      <c r="G4453" s="9">
        <f t="shared" si="209"/>
        <v>5.5059846470196872E-3</v>
      </c>
    </row>
    <row r="4454" spans="1:7" x14ac:dyDescent="0.2">
      <c r="A4454" s="11">
        <v>41542</v>
      </c>
      <c r="B4454" s="10">
        <v>467.97789999999998</v>
      </c>
      <c r="C4454" s="10">
        <v>468.78989999999999</v>
      </c>
      <c r="D4454" s="10">
        <v>465.2525</v>
      </c>
      <c r="E4454" s="13">
        <f t="shared" si="207"/>
        <v>3.6688607927901989E-3</v>
      </c>
      <c r="F4454" s="9">
        <f t="shared" si="208"/>
        <v>1.5141040885226227E-2</v>
      </c>
      <c r="G4454" s="9">
        <f t="shared" si="209"/>
        <v>5.3446650572206832E-3</v>
      </c>
    </row>
    <row r="4455" spans="1:7" x14ac:dyDescent="0.2">
      <c r="A4455" s="11">
        <v>41543</v>
      </c>
      <c r="B4455" s="10">
        <v>467.64030000000002</v>
      </c>
      <c r="C4455" s="10">
        <v>470.0788</v>
      </c>
      <c r="D4455" s="10">
        <v>466.80880000000002</v>
      </c>
      <c r="E4455" s="13">
        <f t="shared" si="207"/>
        <v>-7.2166192289052535E-4</v>
      </c>
      <c r="F4455" s="9">
        <f t="shared" si="208"/>
        <v>1.1687649740020685E-2</v>
      </c>
      <c r="G4455" s="9">
        <f t="shared" si="209"/>
        <v>5.3321321310169194E-3</v>
      </c>
    </row>
    <row r="4456" spans="1:7" x14ac:dyDescent="0.2">
      <c r="A4456" s="11">
        <v>41544</v>
      </c>
      <c r="B4456" s="10">
        <v>465.62490000000003</v>
      </c>
      <c r="C4456" s="10">
        <v>468.904</v>
      </c>
      <c r="D4456" s="10">
        <v>465.4024</v>
      </c>
      <c r="E4456" s="13">
        <f t="shared" si="207"/>
        <v>-4.319036288829476E-3</v>
      </c>
      <c r="F4456" s="9">
        <f t="shared" si="208"/>
        <v>4.5446478299348931E-3</v>
      </c>
      <c r="G4456" s="9">
        <f t="shared" si="209"/>
        <v>5.3810620375952791E-3</v>
      </c>
    </row>
    <row r="4457" spans="1:7" x14ac:dyDescent="0.2">
      <c r="A4457" s="11">
        <v>41547</v>
      </c>
      <c r="B4457" s="10">
        <v>459.57470000000001</v>
      </c>
      <c r="C4457" s="10">
        <v>465.62549999999999</v>
      </c>
      <c r="D4457" s="10">
        <v>459.57409999999999</v>
      </c>
      <c r="E4457" s="13">
        <f t="shared" si="207"/>
        <v>-1.3078877777000154E-2</v>
      </c>
      <c r="F4457" s="9">
        <f t="shared" si="208"/>
        <v>2.0173751090603298E-3</v>
      </c>
      <c r="G4457" s="9">
        <f t="shared" si="209"/>
        <v>5.5775562356340808E-3</v>
      </c>
    </row>
    <row r="4458" spans="1:7" x14ac:dyDescent="0.2">
      <c r="A4458" s="11">
        <v>41548</v>
      </c>
      <c r="B4458" s="10">
        <v>460.5539</v>
      </c>
      <c r="C4458" s="10">
        <v>462.06439999999998</v>
      </c>
      <c r="D4458" s="10">
        <v>459.363</v>
      </c>
      <c r="E4458" s="13">
        <f t="shared" si="207"/>
        <v>2.1283989426144779E-3</v>
      </c>
      <c r="F4458" s="9">
        <f t="shared" si="208"/>
        <v>4.2312462057930433E-3</v>
      </c>
      <c r="G4458" s="9">
        <f t="shared" si="209"/>
        <v>5.5904941455311458E-3</v>
      </c>
    </row>
    <row r="4459" spans="1:7" x14ac:dyDescent="0.2">
      <c r="A4459" s="11">
        <v>41549</v>
      </c>
      <c r="B4459" s="10">
        <v>462.10509999999999</v>
      </c>
      <c r="C4459" s="10">
        <v>462.31639999999999</v>
      </c>
      <c r="D4459" s="10">
        <v>459.32769999999999</v>
      </c>
      <c r="E4459" s="13">
        <f t="shared" si="207"/>
        <v>3.3624588531741572E-3</v>
      </c>
      <c r="F4459" s="9">
        <f t="shared" si="208"/>
        <v>-3.531040631322636E-4</v>
      </c>
      <c r="G4459" s="9">
        <f t="shared" si="209"/>
        <v>5.4243791916944494E-3</v>
      </c>
    </row>
    <row r="4460" spans="1:7" x14ac:dyDescent="0.2">
      <c r="A4460" s="11">
        <v>41550</v>
      </c>
      <c r="B4460" s="10">
        <v>465.8766</v>
      </c>
      <c r="C4460" s="10">
        <v>466.00839999999999</v>
      </c>
      <c r="D4460" s="10">
        <v>462.06920000000002</v>
      </c>
      <c r="E4460" s="13">
        <f t="shared" si="207"/>
        <v>8.128437803675127E-3</v>
      </c>
      <c r="F4460" s="9">
        <f t="shared" si="208"/>
        <v>1.0196771962103328E-2</v>
      </c>
      <c r="G4460" s="9">
        <f t="shared" si="209"/>
        <v>5.607698887889874E-3</v>
      </c>
    </row>
    <row r="4461" spans="1:7" x14ac:dyDescent="0.2">
      <c r="A4461" s="11">
        <v>41551</v>
      </c>
      <c r="B4461" s="10">
        <v>464.31360000000001</v>
      </c>
      <c r="C4461" s="10">
        <v>465.98590000000002</v>
      </c>
      <c r="D4461" s="10">
        <v>463.47149999999999</v>
      </c>
      <c r="E4461" s="13">
        <f t="shared" si="207"/>
        <v>-3.3606061878543856E-3</v>
      </c>
      <c r="F4461" s="9">
        <f t="shared" si="208"/>
        <v>7.5225116192656075E-3</v>
      </c>
      <c r="G4461" s="9">
        <f t="shared" si="209"/>
        <v>5.6472263528017774E-3</v>
      </c>
    </row>
    <row r="4462" spans="1:7" x14ac:dyDescent="0.2">
      <c r="A4462" s="11">
        <v>41554</v>
      </c>
      <c r="B4462" s="10">
        <v>461.77800000000002</v>
      </c>
      <c r="C4462" s="10">
        <v>464.32619999999997</v>
      </c>
      <c r="D4462" s="10">
        <v>460.57209999999998</v>
      </c>
      <c r="E4462" s="13">
        <f t="shared" si="207"/>
        <v>-5.4759298885727172E-3</v>
      </c>
      <c r="F4462" s="9">
        <f t="shared" si="208"/>
        <v>9.8231327965074729E-3</v>
      </c>
      <c r="G4462" s="9">
        <f t="shared" si="209"/>
        <v>5.5455504509639673E-3</v>
      </c>
    </row>
    <row r="4463" spans="1:7" x14ac:dyDescent="0.2">
      <c r="A4463" s="11">
        <v>41555</v>
      </c>
      <c r="B4463" s="10">
        <v>456.05529999999999</v>
      </c>
      <c r="C4463" s="10">
        <v>462.15460000000002</v>
      </c>
      <c r="D4463" s="10">
        <v>455.74380000000002</v>
      </c>
      <c r="E4463" s="13">
        <f t="shared" si="207"/>
        <v>-1.2470182023372141E-2</v>
      </c>
      <c r="F4463" s="9">
        <f t="shared" si="208"/>
        <v>-1.1152447646397366E-2</v>
      </c>
      <c r="G4463" s="9">
        <f t="shared" si="209"/>
        <v>5.8042157830926686E-3</v>
      </c>
    </row>
    <row r="4464" spans="1:7" x14ac:dyDescent="0.2">
      <c r="A4464" s="11">
        <v>41556</v>
      </c>
      <c r="B4464" s="10">
        <v>455.1601</v>
      </c>
      <c r="C4464" s="10">
        <v>456.17570000000001</v>
      </c>
      <c r="D4464" s="10">
        <v>452.36610000000002</v>
      </c>
      <c r="E4464" s="13">
        <f t="shared" si="207"/>
        <v>-1.9648488996192892E-3</v>
      </c>
      <c r="F4464" s="9">
        <f t="shared" si="208"/>
        <v>-1.5481955734079024E-2</v>
      </c>
      <c r="G4464" s="9">
        <f t="shared" si="209"/>
        <v>5.7866301010642152E-3</v>
      </c>
    </row>
    <row r="4465" spans="1:7" x14ac:dyDescent="0.2">
      <c r="A4465" s="11">
        <v>41557</v>
      </c>
      <c r="B4465" s="10">
        <v>462.0684</v>
      </c>
      <c r="C4465" s="10">
        <v>462.0684</v>
      </c>
      <c r="D4465" s="10">
        <v>455.1832</v>
      </c>
      <c r="E4465" s="13">
        <f t="shared" si="207"/>
        <v>1.5063706879437398E-2</v>
      </c>
      <c r="F4465" s="9">
        <f t="shared" si="208"/>
        <v>1.1292595466378308E-2</v>
      </c>
      <c r="G4465" s="9">
        <f t="shared" si="209"/>
        <v>6.0687187473387333E-3</v>
      </c>
    </row>
    <row r="4466" spans="1:7" x14ac:dyDescent="0.2">
      <c r="A4466" s="11">
        <v>41558</v>
      </c>
      <c r="B4466" s="10">
        <v>462.34840000000003</v>
      </c>
      <c r="C4466" s="10">
        <v>463.53019999999998</v>
      </c>
      <c r="D4466" s="10">
        <v>460.56200000000001</v>
      </c>
      <c r="E4466" s="13">
        <f t="shared" si="207"/>
        <v>6.0578736466685996E-4</v>
      </c>
      <c r="F4466" s="9">
        <f t="shared" si="208"/>
        <v>-5.1463088047453472E-4</v>
      </c>
      <c r="G4466" s="9">
        <f t="shared" si="209"/>
        <v>5.6121487921109948E-3</v>
      </c>
    </row>
    <row r="4467" spans="1:7" x14ac:dyDescent="0.2">
      <c r="A4467" s="11">
        <v>41561</v>
      </c>
      <c r="B4467" s="10">
        <v>464.06709999999998</v>
      </c>
      <c r="C4467" s="10">
        <v>465.22969999999998</v>
      </c>
      <c r="D4467" s="10">
        <v>462.35890000000001</v>
      </c>
      <c r="E4467" s="13">
        <f t="shared" si="207"/>
        <v>3.7104344040538636E-3</v>
      </c>
      <c r="F4467" s="9">
        <f t="shared" si="208"/>
        <v>1.5132101449891102E-3</v>
      </c>
      <c r="G4467" s="9">
        <f t="shared" si="209"/>
        <v>5.6466183641071654E-3</v>
      </c>
    </row>
    <row r="4468" spans="1:7" x14ac:dyDescent="0.2">
      <c r="A4468" s="11">
        <v>41562</v>
      </c>
      <c r="B4468" s="10">
        <v>469.94189999999998</v>
      </c>
      <c r="C4468" s="10">
        <v>470.17880000000002</v>
      </c>
      <c r="D4468" s="10">
        <v>464.00020000000001</v>
      </c>
      <c r="E4468" s="13">
        <f t="shared" si="207"/>
        <v>1.2579916201710412E-2</v>
      </c>
      <c r="F4468" s="9">
        <f t="shared" si="208"/>
        <v>1.5236938544182003E-2</v>
      </c>
      <c r="G4468" s="9">
        <f t="shared" si="209"/>
        <v>6.0997062262407552E-3</v>
      </c>
    </row>
    <row r="4469" spans="1:7" x14ac:dyDescent="0.2">
      <c r="A4469" s="11">
        <v>41563</v>
      </c>
      <c r="B4469" s="10">
        <v>469.97719999999998</v>
      </c>
      <c r="C4469" s="10">
        <v>469.99630000000002</v>
      </c>
      <c r="D4469" s="10">
        <v>467.4502</v>
      </c>
      <c r="E4469" s="13">
        <f t="shared" si="207"/>
        <v>7.5112847513330927E-5</v>
      </c>
      <c r="F4469" s="9">
        <f t="shared" si="208"/>
        <v>1.5907688432944603E-2</v>
      </c>
      <c r="G4469" s="9">
        <f t="shared" si="209"/>
        <v>6.096574430811289E-3</v>
      </c>
    </row>
    <row r="4470" spans="1:7" x14ac:dyDescent="0.2">
      <c r="A4470" s="11">
        <v>41564</v>
      </c>
      <c r="B4470" s="10">
        <v>470.81330000000003</v>
      </c>
      <c r="C4470" s="10">
        <v>471.14769999999999</v>
      </c>
      <c r="D4470" s="10">
        <v>468.45440000000002</v>
      </c>
      <c r="E4470" s="13">
        <f t="shared" si="207"/>
        <v>1.7774418855722065E-3</v>
      </c>
      <c r="F4470" s="9">
        <f t="shared" si="208"/>
        <v>1.8415247894251925E-2</v>
      </c>
      <c r="G4470" s="9">
        <f t="shared" si="209"/>
        <v>6.0955738077952586E-3</v>
      </c>
    </row>
    <row r="4471" spans="1:7" x14ac:dyDescent="0.2">
      <c r="A4471" s="11">
        <v>41565</v>
      </c>
      <c r="B4471" s="10">
        <v>475.72</v>
      </c>
      <c r="C4471" s="10">
        <v>475.87889999999999</v>
      </c>
      <c r="D4471" s="10">
        <v>470.81270000000001</v>
      </c>
      <c r="E4471" s="13">
        <f t="shared" si="207"/>
        <v>1.0367821084345016E-2</v>
      </c>
      <c r="F4471" s="9">
        <f t="shared" si="208"/>
        <v>2.7402436781812589E-2</v>
      </c>
      <c r="G4471" s="9">
        <f t="shared" si="209"/>
        <v>6.3576587367230293E-3</v>
      </c>
    </row>
    <row r="4472" spans="1:7" x14ac:dyDescent="0.2">
      <c r="A4472" s="11">
        <v>41568</v>
      </c>
      <c r="B4472" s="10">
        <v>481.13350000000003</v>
      </c>
      <c r="C4472" s="10">
        <v>481.14760000000001</v>
      </c>
      <c r="D4472" s="10">
        <v>475.72230000000002</v>
      </c>
      <c r="E4472" s="13">
        <f t="shared" si="207"/>
        <v>1.1315332515281712E-2</v>
      </c>
      <c r="F4472" s="9">
        <f t="shared" si="208"/>
        <v>3.6426403747907059E-2</v>
      </c>
      <c r="G4472" s="9">
        <f t="shared" si="209"/>
        <v>6.6404598090989714E-3</v>
      </c>
    </row>
    <row r="4473" spans="1:7" x14ac:dyDescent="0.2">
      <c r="A4473" s="11">
        <v>41569</v>
      </c>
      <c r="B4473" s="10">
        <v>484.96699999999998</v>
      </c>
      <c r="C4473" s="10">
        <v>485.19159999999999</v>
      </c>
      <c r="D4473" s="10">
        <v>480.23430000000002</v>
      </c>
      <c r="E4473" s="13">
        <f t="shared" si="207"/>
        <v>7.9360690111334019E-3</v>
      </c>
      <c r="F4473" s="9">
        <f t="shared" si="208"/>
        <v>3.8558981951125865E-2</v>
      </c>
      <c r="G4473" s="9">
        <f t="shared" si="209"/>
        <v>6.704119877692055E-3</v>
      </c>
    </row>
    <row r="4474" spans="1:7" x14ac:dyDescent="0.2">
      <c r="A4474" s="11">
        <v>41570</v>
      </c>
      <c r="B4474" s="10">
        <v>483.72430000000003</v>
      </c>
      <c r="C4474" s="10">
        <v>485.1053</v>
      </c>
      <c r="D4474" s="10">
        <v>482.47989999999999</v>
      </c>
      <c r="E4474" s="13">
        <f t="shared" si="207"/>
        <v>-2.5657310677238915E-3</v>
      </c>
      <c r="F4474" s="9">
        <f t="shared" si="208"/>
        <v>4.1261451187548301E-2</v>
      </c>
      <c r="G4474" s="9">
        <f t="shared" si="209"/>
        <v>6.6274778139063014E-3</v>
      </c>
    </row>
    <row r="4475" spans="1:7" x14ac:dyDescent="0.2">
      <c r="A4475" s="11">
        <v>41571</v>
      </c>
      <c r="B4475" s="10">
        <v>489.27890000000002</v>
      </c>
      <c r="C4475" s="10">
        <v>489.27890000000002</v>
      </c>
      <c r="D4475" s="10">
        <v>483.28949999999998</v>
      </c>
      <c r="E4475" s="13">
        <f t="shared" si="207"/>
        <v>1.1417558218995564E-2</v>
      </c>
      <c r="F4475" s="9">
        <f t="shared" si="208"/>
        <v>5.1827316073606571E-2</v>
      </c>
      <c r="G4475" s="9">
        <f t="shared" si="209"/>
        <v>6.8805528688517213E-3</v>
      </c>
    </row>
    <row r="4476" spans="1:7" x14ac:dyDescent="0.2">
      <c r="A4476" s="11">
        <v>41572</v>
      </c>
      <c r="B4476" s="10">
        <v>494.20510000000002</v>
      </c>
      <c r="C4476" s="10">
        <v>494.20510000000002</v>
      </c>
      <c r="D4476" s="10">
        <v>487.57279999999997</v>
      </c>
      <c r="E4476" s="13">
        <f t="shared" si="207"/>
        <v>1.0017938673150404E-2</v>
      </c>
      <c r="F4476" s="9">
        <f t="shared" si="208"/>
        <v>6.1651329429780292E-2</v>
      </c>
      <c r="G4476" s="9">
        <f t="shared" si="209"/>
        <v>7.0393176018912736E-3</v>
      </c>
    </row>
    <row r="4477" spans="1:7" x14ac:dyDescent="0.2">
      <c r="A4477" s="11">
        <v>41575</v>
      </c>
      <c r="B4477" s="10">
        <v>491.27339999999998</v>
      </c>
      <c r="C4477" s="10">
        <v>496.11430000000001</v>
      </c>
      <c r="D4477" s="10">
        <v>491.27339999999998</v>
      </c>
      <c r="E4477" s="13">
        <f t="shared" si="207"/>
        <v>-5.9498175730679694E-3</v>
      </c>
      <c r="F4477" s="9">
        <f t="shared" si="208"/>
        <v>5.6494669386343913E-2</v>
      </c>
      <c r="G4477" s="9">
        <f t="shared" si="209"/>
        <v>7.1794230953586115E-3</v>
      </c>
    </row>
    <row r="4478" spans="1:7" x14ac:dyDescent="0.2">
      <c r="A4478" s="11">
        <v>41576</v>
      </c>
      <c r="B4478" s="10">
        <v>494.26670000000001</v>
      </c>
      <c r="C4478" s="10">
        <v>495.19080000000002</v>
      </c>
      <c r="D4478" s="10">
        <v>491.30099999999999</v>
      </c>
      <c r="E4478" s="13">
        <f t="shared" si="207"/>
        <v>6.074454411629856E-3</v>
      </c>
      <c r="F4478" s="9">
        <f t="shared" si="208"/>
        <v>6.213349823396911E-2</v>
      </c>
      <c r="G4478" s="9">
        <f t="shared" si="209"/>
        <v>7.213276776011383E-3</v>
      </c>
    </row>
    <row r="4479" spans="1:7" x14ac:dyDescent="0.2">
      <c r="A4479" s="11">
        <v>41577</v>
      </c>
      <c r="B4479" s="10">
        <v>492.76190000000003</v>
      </c>
      <c r="C4479" s="10">
        <v>497.54750000000001</v>
      </c>
      <c r="D4479" s="10">
        <v>491.75749999999999</v>
      </c>
      <c r="E4479" s="13">
        <f t="shared" si="207"/>
        <v>-3.0491541296500503E-3</v>
      </c>
      <c r="F4479" s="9">
        <f t="shared" si="208"/>
        <v>5.1705246768323103E-2</v>
      </c>
      <c r="G4479" s="9">
        <f t="shared" si="209"/>
        <v>7.2028273832795515E-3</v>
      </c>
    </row>
    <row r="4480" spans="1:7" x14ac:dyDescent="0.2">
      <c r="A4480" s="11">
        <v>41578</v>
      </c>
      <c r="B4480" s="10">
        <v>489.06810000000002</v>
      </c>
      <c r="C4480" s="10">
        <v>492.80520000000001</v>
      </c>
      <c r="D4480" s="10">
        <v>486.1739</v>
      </c>
      <c r="E4480" s="13">
        <f t="shared" si="207"/>
        <v>-7.5243523365438811E-3</v>
      </c>
      <c r="F4480" s="9">
        <f t="shared" si="208"/>
        <v>4.1199433092186703E-2</v>
      </c>
      <c r="G4480" s="9">
        <f t="shared" si="209"/>
        <v>7.4018422350109105E-3</v>
      </c>
    </row>
    <row r="4481" spans="1:7" x14ac:dyDescent="0.2">
      <c r="A4481" s="11">
        <v>41579</v>
      </c>
      <c r="B4481" s="10">
        <v>491.50259999999997</v>
      </c>
      <c r="C4481" s="10">
        <v>492.37110000000001</v>
      </c>
      <c r="D4481" s="10">
        <v>487.97829999999999</v>
      </c>
      <c r="E4481" s="13">
        <f t="shared" si="207"/>
        <v>4.9654859197692525E-3</v>
      </c>
      <c r="F4481" s="9">
        <f t="shared" si="208"/>
        <v>5.1487283370625532E-2</v>
      </c>
      <c r="G4481" s="9">
        <f t="shared" si="209"/>
        <v>7.3131268280896321E-3</v>
      </c>
    </row>
    <row r="4482" spans="1:7" x14ac:dyDescent="0.2">
      <c r="A4482" s="11">
        <v>41582</v>
      </c>
      <c r="B4482" s="10">
        <v>493.57080000000002</v>
      </c>
      <c r="C4482" s="10">
        <v>494.5908</v>
      </c>
      <c r="D4482" s="10">
        <v>491.53620000000001</v>
      </c>
      <c r="E4482" s="13">
        <f t="shared" si="207"/>
        <v>4.1990841269845865E-3</v>
      </c>
      <c r="F4482" s="9">
        <f t="shared" si="208"/>
        <v>5.6914101841373459E-2</v>
      </c>
      <c r="G4482" s="9">
        <f t="shared" si="209"/>
        <v>7.3029610325283439E-3</v>
      </c>
    </row>
    <row r="4483" spans="1:7" x14ac:dyDescent="0.2">
      <c r="A4483" s="11">
        <v>41583</v>
      </c>
      <c r="B4483" s="10">
        <v>491.07549999999998</v>
      </c>
      <c r="C4483" s="10">
        <v>495.27379999999999</v>
      </c>
      <c r="D4483" s="10">
        <v>490.08170000000001</v>
      </c>
      <c r="E4483" s="13">
        <f t="shared" si="207"/>
        <v>-5.0684298347686051E-3</v>
      </c>
      <c r="F4483" s="9">
        <f t="shared" si="208"/>
        <v>4.817681121381464E-2</v>
      </c>
      <c r="G4483" s="9">
        <f t="shared" si="209"/>
        <v>7.409505395282753E-3</v>
      </c>
    </row>
    <row r="4484" spans="1:7" x14ac:dyDescent="0.2">
      <c r="A4484" s="11">
        <v>41584</v>
      </c>
      <c r="B4484" s="10">
        <v>499.03</v>
      </c>
      <c r="C4484" s="10">
        <v>499.03</v>
      </c>
      <c r="D4484" s="10">
        <v>490.75749999999999</v>
      </c>
      <c r="E4484" s="13">
        <f t="shared" ref="E4484:E4547" si="210">LN(B4484/B4483)</f>
        <v>1.6068330390615469E-2</v>
      </c>
      <c r="F4484" s="9">
        <f t="shared" si="208"/>
        <v>6.4966803527320524E-2</v>
      </c>
      <c r="G4484" s="9">
        <f t="shared" si="209"/>
        <v>7.858993460281738E-3</v>
      </c>
    </row>
    <row r="4485" spans="1:7" x14ac:dyDescent="0.2">
      <c r="A4485" s="11">
        <v>41585</v>
      </c>
      <c r="B4485" s="10">
        <v>495.40589999999997</v>
      </c>
      <c r="C4485" s="10">
        <v>499.31400000000002</v>
      </c>
      <c r="D4485" s="10">
        <v>495.08170000000001</v>
      </c>
      <c r="E4485" s="13">
        <f t="shared" si="210"/>
        <v>-7.288787632483737E-3</v>
      </c>
      <c r="F4485" s="9">
        <f t="shared" si="208"/>
        <v>6.1997052183666287E-2</v>
      </c>
      <c r="G4485" s="9">
        <f t="shared" si="209"/>
        <v>7.9661334543474488E-3</v>
      </c>
    </row>
    <row r="4486" spans="1:7" x14ac:dyDescent="0.2">
      <c r="A4486" s="11">
        <v>41586</v>
      </c>
      <c r="B4486" s="10">
        <v>493.79379999999998</v>
      </c>
      <c r="C4486" s="10">
        <v>495.38040000000001</v>
      </c>
      <c r="D4486" s="10">
        <v>490.07429999999999</v>
      </c>
      <c r="E4486" s="13">
        <f t="shared" si="210"/>
        <v>-3.2594054106738169E-3</v>
      </c>
      <c r="F4486" s="9">
        <f t="shared" si="208"/>
        <v>7.1816524549992725E-2</v>
      </c>
      <c r="G4486" s="9">
        <f t="shared" si="209"/>
        <v>7.4907489866680808E-3</v>
      </c>
    </row>
    <row r="4487" spans="1:7" x14ac:dyDescent="0.2">
      <c r="A4487" s="11">
        <v>41589</v>
      </c>
      <c r="B4487" s="10">
        <v>498.27370000000002</v>
      </c>
      <c r="C4487" s="10">
        <v>498.27370000000002</v>
      </c>
      <c r="D4487" s="10">
        <v>493.74059999999997</v>
      </c>
      <c r="E4487" s="13">
        <f t="shared" si="210"/>
        <v>9.0315033026514852E-3</v>
      </c>
      <c r="F4487" s="9">
        <f t="shared" si="208"/>
        <v>7.8719628910029732E-2</v>
      </c>
      <c r="G4487" s="9">
        <f t="shared" si="209"/>
        <v>7.5883406885977134E-3</v>
      </c>
    </row>
    <row r="4488" spans="1:7" x14ac:dyDescent="0.2">
      <c r="A4488" s="11">
        <v>41590</v>
      </c>
      <c r="B4488" s="10">
        <v>493.0616</v>
      </c>
      <c r="C4488" s="10">
        <v>498.10610000000003</v>
      </c>
      <c r="D4488" s="10">
        <v>492.57409999999999</v>
      </c>
      <c r="E4488" s="13">
        <f t="shared" si="210"/>
        <v>-1.0515408917105692E-2</v>
      </c>
      <c r="F4488" s="9">
        <f t="shared" si="208"/>
        <v>6.4841761139749932E-2</v>
      </c>
      <c r="G4488" s="9">
        <f t="shared" si="209"/>
        <v>7.9738192020331229E-3</v>
      </c>
    </row>
    <row r="4489" spans="1:7" x14ac:dyDescent="0.2">
      <c r="A4489" s="11">
        <v>41591</v>
      </c>
      <c r="B4489" s="10">
        <v>491.56400000000002</v>
      </c>
      <c r="C4489" s="10">
        <v>492.99939999999998</v>
      </c>
      <c r="D4489" s="10">
        <v>489.32670000000002</v>
      </c>
      <c r="E4489" s="13">
        <f t="shared" si="210"/>
        <v>-3.0419707853368643E-3</v>
      </c>
      <c r="F4489" s="9">
        <f t="shared" si="208"/>
        <v>5.3671352550738037E-2</v>
      </c>
      <c r="G4489" s="9">
        <f t="shared" si="209"/>
        <v>7.948768843638777E-3</v>
      </c>
    </row>
    <row r="4490" spans="1:7" x14ac:dyDescent="0.2">
      <c r="A4490" s="11">
        <v>41592</v>
      </c>
      <c r="B4490" s="10">
        <v>495.9982</v>
      </c>
      <c r="C4490" s="10">
        <v>497.10649999999998</v>
      </c>
      <c r="D4490" s="10">
        <v>491.5872</v>
      </c>
      <c r="E4490" s="13">
        <f t="shared" si="210"/>
        <v>8.9801529441827736E-3</v>
      </c>
      <c r="F4490" s="9">
        <f t="shared" si="208"/>
        <v>6.6012111682775085E-2</v>
      </c>
      <c r="G4490" s="9">
        <f t="shared" si="209"/>
        <v>7.9900404390414771E-3</v>
      </c>
    </row>
    <row r="4491" spans="1:7" x14ac:dyDescent="0.2">
      <c r="A4491" s="11">
        <v>41593</v>
      </c>
      <c r="B4491" s="10">
        <v>500.22190000000001</v>
      </c>
      <c r="C4491" s="10">
        <v>500.60840000000002</v>
      </c>
      <c r="D4491" s="10">
        <v>495.9982</v>
      </c>
      <c r="E4491" s="13">
        <f t="shared" si="210"/>
        <v>8.47950228601437E-3</v>
      </c>
      <c r="F4491" s="9">
        <f t="shared" si="208"/>
        <v>7.9967543857362058E-2</v>
      </c>
      <c r="G4491" s="9">
        <f t="shared" si="209"/>
        <v>7.9264666342080663E-3</v>
      </c>
    </row>
    <row r="4492" spans="1:7" x14ac:dyDescent="0.2">
      <c r="A4492" s="11">
        <v>41596</v>
      </c>
      <c r="B4492" s="10">
        <v>501.10239999999999</v>
      </c>
      <c r="C4492" s="10">
        <v>502.66539999999998</v>
      </c>
      <c r="D4492" s="10">
        <v>500.46609999999998</v>
      </c>
      <c r="E4492" s="13">
        <f t="shared" si="210"/>
        <v>1.7586714452917747E-3</v>
      </c>
      <c r="F4492" s="9">
        <f t="shared" si="208"/>
        <v>9.4196397326025971E-2</v>
      </c>
      <c r="G4492" s="9">
        <f t="shared" si="209"/>
        <v>7.3711367108308095E-3</v>
      </c>
    </row>
    <row r="4493" spans="1:7" x14ac:dyDescent="0.2">
      <c r="A4493" s="11">
        <v>41597</v>
      </c>
      <c r="B4493" s="10">
        <v>499.899</v>
      </c>
      <c r="C4493" s="10">
        <v>501.17840000000001</v>
      </c>
      <c r="D4493" s="10">
        <v>498.88549999999998</v>
      </c>
      <c r="E4493" s="13">
        <f t="shared" si="210"/>
        <v>-2.4043933999466915E-3</v>
      </c>
      <c r="F4493" s="9">
        <f t="shared" si="208"/>
        <v>9.3756852825698567E-2</v>
      </c>
      <c r="G4493" s="9">
        <f t="shared" si="209"/>
        <v>7.382681491701449E-3</v>
      </c>
    </row>
    <row r="4494" spans="1:7" x14ac:dyDescent="0.2">
      <c r="A4494" s="11">
        <v>41598</v>
      </c>
      <c r="B4494" s="10">
        <v>497.3623</v>
      </c>
      <c r="C4494" s="10">
        <v>500.5213</v>
      </c>
      <c r="D4494" s="10">
        <v>495.95499999999998</v>
      </c>
      <c r="E4494" s="13">
        <f t="shared" si="210"/>
        <v>-5.0873436501329659E-3</v>
      </c>
      <c r="F4494" s="9">
        <f t="shared" si="208"/>
        <v>7.3605802296128064E-2</v>
      </c>
      <c r="G4494" s="9">
        <f t="shared" si="209"/>
        <v>7.1747863609420573E-3</v>
      </c>
    </row>
    <row r="4495" spans="1:7" x14ac:dyDescent="0.2">
      <c r="A4495" s="11">
        <v>41599</v>
      </c>
      <c r="B4495" s="10">
        <v>494.02789999999999</v>
      </c>
      <c r="C4495" s="10">
        <v>497.44450000000001</v>
      </c>
      <c r="D4495" s="10">
        <v>494.02789999999999</v>
      </c>
      <c r="E4495" s="13">
        <f t="shared" si="210"/>
        <v>-6.7267410414019639E-3</v>
      </c>
      <c r="F4495" s="9">
        <f t="shared" si="208"/>
        <v>6.6273273890059395E-2</v>
      </c>
      <c r="G4495" s="9">
        <f t="shared" si="209"/>
        <v>7.3718130298718858E-3</v>
      </c>
    </row>
    <row r="4496" spans="1:7" x14ac:dyDescent="0.2">
      <c r="A4496" s="11">
        <v>41600</v>
      </c>
      <c r="B4496" s="10">
        <v>495.50819999999999</v>
      </c>
      <c r="C4496" s="10">
        <v>498.48099999999999</v>
      </c>
      <c r="D4496" s="10">
        <v>494.07100000000003</v>
      </c>
      <c r="E4496" s="13">
        <f t="shared" si="210"/>
        <v>2.9919092476656376E-3</v>
      </c>
      <c r="F4496" s="9">
        <f t="shared" si="208"/>
        <v>6.5554748733671231E-2</v>
      </c>
      <c r="G4496" s="9">
        <f t="shared" si="209"/>
        <v>7.3680585504194958E-3</v>
      </c>
    </row>
    <row r="4497" spans="1:7" x14ac:dyDescent="0.2">
      <c r="A4497" s="11">
        <v>41603</v>
      </c>
      <c r="B4497" s="10">
        <v>495.20190000000002</v>
      </c>
      <c r="C4497" s="10">
        <v>498.42160000000001</v>
      </c>
      <c r="D4497" s="10">
        <v>494.67059999999998</v>
      </c>
      <c r="E4497" s="13">
        <f t="shared" si="210"/>
        <v>-6.1834437694623177E-4</v>
      </c>
      <c r="F4497" s="9">
        <f t="shared" si="208"/>
        <v>5.2356488155014411E-2</v>
      </c>
      <c r="G4497" s="9">
        <f t="shared" si="209"/>
        <v>7.1110149933054654E-3</v>
      </c>
    </row>
    <row r="4498" spans="1:7" x14ac:dyDescent="0.2">
      <c r="A4498" s="11">
        <v>41604</v>
      </c>
      <c r="B4498" s="10">
        <v>493.69709999999998</v>
      </c>
      <c r="C4498" s="10">
        <v>497.39109999999999</v>
      </c>
      <c r="D4498" s="10">
        <v>493.69709999999998</v>
      </c>
      <c r="E4498" s="13">
        <f t="shared" si="210"/>
        <v>-3.0433869616214746E-3</v>
      </c>
      <c r="F4498" s="9">
        <f t="shared" si="208"/>
        <v>4.9237988345879502E-2</v>
      </c>
      <c r="G4498" s="9">
        <f t="shared" si="209"/>
        <v>7.1615152767407113E-3</v>
      </c>
    </row>
    <row r="4499" spans="1:7" x14ac:dyDescent="0.2">
      <c r="A4499" s="11">
        <v>41605</v>
      </c>
      <c r="B4499" s="10">
        <v>497.37130000000002</v>
      </c>
      <c r="C4499" s="10">
        <v>497.89240000000001</v>
      </c>
      <c r="D4499" s="10">
        <v>493.76839999999999</v>
      </c>
      <c r="E4499" s="13">
        <f t="shared" si="210"/>
        <v>7.4146584293770974E-3</v>
      </c>
      <c r="F4499" s="9">
        <f t="shared" si="208"/>
        <v>5.487520488968424E-2</v>
      </c>
      <c r="G4499" s="9">
        <f t="shared" si="209"/>
        <v>7.2398304575266425E-3</v>
      </c>
    </row>
    <row r="4500" spans="1:7" x14ac:dyDescent="0.2">
      <c r="A4500" s="11">
        <v>41606</v>
      </c>
      <c r="B4500" s="10">
        <v>499.00740000000002</v>
      </c>
      <c r="C4500" s="10">
        <v>500.04790000000003</v>
      </c>
      <c r="D4500" s="10">
        <v>496.87259999999998</v>
      </c>
      <c r="E4500" s="13">
        <f t="shared" si="210"/>
        <v>3.284095636495198E-3</v>
      </c>
      <c r="F4500" s="9">
        <f t="shared" si="208"/>
        <v>4.7791479441834352E-2</v>
      </c>
      <c r="G4500" s="9">
        <f t="shared" si="209"/>
        <v>7.0609480657953631E-3</v>
      </c>
    </row>
    <row r="4501" spans="1:7" x14ac:dyDescent="0.2">
      <c r="A4501" s="11">
        <v>41607</v>
      </c>
      <c r="B4501" s="10">
        <v>498.25409999999999</v>
      </c>
      <c r="C4501" s="10">
        <v>500.73009999999999</v>
      </c>
      <c r="D4501" s="10">
        <v>498.25409999999999</v>
      </c>
      <c r="E4501" s="13">
        <f t="shared" si="210"/>
        <v>-1.5107374410285013E-3</v>
      </c>
      <c r="F4501" s="9">
        <f t="shared" si="208"/>
        <v>3.4965409485524172E-2</v>
      </c>
      <c r="G4501" s="9">
        <f t="shared" si="209"/>
        <v>6.8317609217385163E-3</v>
      </c>
    </row>
    <row r="4502" spans="1:7" x14ac:dyDescent="0.2">
      <c r="A4502" s="11">
        <v>41610</v>
      </c>
      <c r="B4502" s="10">
        <v>497.94970000000001</v>
      </c>
      <c r="C4502" s="10">
        <v>498.53699999999998</v>
      </c>
      <c r="D4502" s="10">
        <v>496.03370000000001</v>
      </c>
      <c r="E4502" s="13">
        <f t="shared" si="210"/>
        <v>-6.1111995251095523E-4</v>
      </c>
      <c r="F4502" s="9">
        <f t="shared" si="208"/>
        <v>2.6418220521879726E-2</v>
      </c>
      <c r="G4502" s="9">
        <f t="shared" si="209"/>
        <v>6.7143947653772003E-3</v>
      </c>
    </row>
    <row r="4503" spans="1:7" x14ac:dyDescent="0.2">
      <c r="A4503" s="11">
        <v>41611</v>
      </c>
      <c r="B4503" s="10">
        <v>493.24079999999998</v>
      </c>
      <c r="C4503" s="10">
        <v>499.0016</v>
      </c>
      <c r="D4503" s="10">
        <v>492.48649999999998</v>
      </c>
      <c r="E4503" s="13">
        <f t="shared" si="210"/>
        <v>-9.5015749778522979E-3</v>
      </c>
      <c r="F4503" s="9">
        <f t="shared" si="208"/>
        <v>1.9482376611751437E-2</v>
      </c>
      <c r="G4503" s="9">
        <f t="shared" si="209"/>
        <v>6.9616335791561111E-3</v>
      </c>
    </row>
    <row r="4504" spans="1:7" x14ac:dyDescent="0.2">
      <c r="A4504" s="11">
        <v>41612</v>
      </c>
      <c r="B4504" s="10">
        <v>489.43680000000001</v>
      </c>
      <c r="C4504" s="10">
        <v>494.21019999999999</v>
      </c>
      <c r="D4504" s="10">
        <v>487.92380000000003</v>
      </c>
      <c r="E4504" s="13">
        <f t="shared" si="210"/>
        <v>-7.7421506326086085E-3</v>
      </c>
      <c r="F4504" s="9">
        <f t="shared" si="208"/>
        <v>3.2266776014724659E-4</v>
      </c>
      <c r="G4504" s="9">
        <f t="shared" si="209"/>
        <v>6.8129777116073091E-3</v>
      </c>
    </row>
    <row r="4505" spans="1:7" x14ac:dyDescent="0.2">
      <c r="A4505" s="11">
        <v>41613</v>
      </c>
      <c r="B4505" s="10">
        <v>488.86829999999998</v>
      </c>
      <c r="C4505" s="10">
        <v>489.5172</v>
      </c>
      <c r="D4505" s="10">
        <v>486.05619999999999</v>
      </c>
      <c r="E4505" s="13">
        <f t="shared" si="210"/>
        <v>-1.1622142499133083E-3</v>
      </c>
      <c r="F4505" s="9">
        <f t="shared" si="208"/>
        <v>-1.0857485162916484E-2</v>
      </c>
      <c r="G4505" s="9">
        <f t="shared" si="209"/>
        <v>6.5372473067139246E-3</v>
      </c>
    </row>
    <row r="4506" spans="1:7" x14ac:dyDescent="0.2">
      <c r="A4506" s="11">
        <v>41614</v>
      </c>
      <c r="B4506" s="10">
        <v>487.53719999999998</v>
      </c>
      <c r="C4506" s="10">
        <v>490.19869999999997</v>
      </c>
      <c r="D4506" s="10">
        <v>486.02089999999998</v>
      </c>
      <c r="E4506" s="13">
        <f t="shared" si="210"/>
        <v>-2.7265328280397204E-3</v>
      </c>
      <c r="F4506" s="9">
        <f t="shared" si="208"/>
        <v>-7.6342004178881666E-3</v>
      </c>
      <c r="G4506" s="9">
        <f t="shared" si="209"/>
        <v>6.4660813567202638E-3</v>
      </c>
    </row>
    <row r="4507" spans="1:7" x14ac:dyDescent="0.2">
      <c r="A4507" s="11">
        <v>41617</v>
      </c>
      <c r="B4507" s="10">
        <v>490.24430000000001</v>
      </c>
      <c r="C4507" s="10">
        <v>491.96460000000002</v>
      </c>
      <c r="D4507" s="10">
        <v>487.55759999999998</v>
      </c>
      <c r="E4507" s="13">
        <f t="shared" si="210"/>
        <v>5.5372430688785225E-3</v>
      </c>
      <c r="F4507" s="9">
        <f t="shared" si="208"/>
        <v>-8.1714117606395582E-3</v>
      </c>
      <c r="G4507" s="9">
        <f t="shared" si="209"/>
        <v>6.4480204603845721E-3</v>
      </c>
    </row>
    <row r="4508" spans="1:7" x14ac:dyDescent="0.2">
      <c r="A4508" s="11">
        <v>41618</v>
      </c>
      <c r="B4508" s="10">
        <v>489.85789999999997</v>
      </c>
      <c r="C4508" s="10">
        <v>493.1961</v>
      </c>
      <c r="D4508" s="10">
        <v>488.5609</v>
      </c>
      <c r="E4508" s="13">
        <f t="shared" si="210"/>
        <v>-7.8848924126335962E-4</v>
      </c>
      <c r="F4508" s="9">
        <f t="shared" si="208"/>
        <v>-5.9107468722528235E-3</v>
      </c>
      <c r="G4508" s="9">
        <f t="shared" si="209"/>
        <v>6.4270000623557156E-3</v>
      </c>
    </row>
    <row r="4509" spans="1:7" x14ac:dyDescent="0.2">
      <c r="A4509" s="11">
        <v>41619</v>
      </c>
      <c r="B4509" s="10">
        <v>486.43239999999997</v>
      </c>
      <c r="C4509" s="10">
        <v>491.00720000000001</v>
      </c>
      <c r="D4509" s="10">
        <v>486.4298</v>
      </c>
      <c r="E4509" s="13">
        <f t="shared" si="210"/>
        <v>-7.0174087709485578E-3</v>
      </c>
      <c r="F4509" s="9">
        <f t="shared" si="208"/>
        <v>-5.4038033066575765E-3</v>
      </c>
      <c r="G4509" s="9">
        <f t="shared" si="209"/>
        <v>6.4070362263131961E-3</v>
      </c>
    </row>
    <row r="4510" spans="1:7" x14ac:dyDescent="0.2">
      <c r="A4510" s="11">
        <v>41620</v>
      </c>
      <c r="B4510" s="10">
        <v>481.93180000000001</v>
      </c>
      <c r="C4510" s="10">
        <v>486.46129999999999</v>
      </c>
      <c r="D4510" s="10">
        <v>480.63690000000003</v>
      </c>
      <c r="E4510" s="13">
        <f t="shared" si="210"/>
        <v>-9.2953300121141943E-3</v>
      </c>
      <c r="F4510" s="9">
        <f t="shared" si="208"/>
        <v>-1.9664619238540997E-2</v>
      </c>
      <c r="G4510" s="9">
        <f t="shared" si="209"/>
        <v>6.5433249127390524E-3</v>
      </c>
    </row>
    <row r="4511" spans="1:7" x14ac:dyDescent="0.2">
      <c r="A4511" s="11">
        <v>41621</v>
      </c>
      <c r="B4511" s="10">
        <v>484.27480000000003</v>
      </c>
      <c r="C4511" s="10">
        <v>485.49810000000002</v>
      </c>
      <c r="D4511" s="10">
        <v>481.96780000000001</v>
      </c>
      <c r="E4511" s="13">
        <f t="shared" si="210"/>
        <v>4.8499039285892489E-3</v>
      </c>
      <c r="F4511" s="9">
        <f t="shared" si="208"/>
        <v>-1.9013799436936294E-2</v>
      </c>
      <c r="G4511" s="9">
        <f t="shared" si="209"/>
        <v>6.5617400503346426E-3</v>
      </c>
    </row>
    <row r="4512" spans="1:7" x14ac:dyDescent="0.2">
      <c r="A4512" s="11">
        <v>41624</v>
      </c>
      <c r="B4512" s="10">
        <v>487.52260000000001</v>
      </c>
      <c r="C4512" s="10">
        <v>487.76799999999997</v>
      </c>
      <c r="D4512" s="10">
        <v>483.33089999999999</v>
      </c>
      <c r="E4512" s="13">
        <f t="shared" si="210"/>
        <v>6.6841341456496065E-3</v>
      </c>
      <c r="F4512" s="9">
        <f t="shared" ref="F4512:F4575" si="211">LN(B4512/B4483)</f>
        <v>-7.2612354565180842E-3</v>
      </c>
      <c r="G4512" s="9">
        <f t="shared" si="209"/>
        <v>6.6419043641858288E-3</v>
      </c>
    </row>
    <row r="4513" spans="1:7" x14ac:dyDescent="0.2">
      <c r="A4513" s="11">
        <v>41625</v>
      </c>
      <c r="B4513" s="10">
        <v>487.62329999999997</v>
      </c>
      <c r="C4513" s="10">
        <v>488.07119999999998</v>
      </c>
      <c r="D4513" s="10">
        <v>484.63529999999997</v>
      </c>
      <c r="E4513" s="13">
        <f t="shared" si="210"/>
        <v>2.0653319745888402E-4</v>
      </c>
      <c r="F4513" s="9">
        <f t="shared" si="211"/>
        <v>-2.3123032649674781E-2</v>
      </c>
      <c r="G4513" s="9">
        <f t="shared" ref="G4513:G4576" si="212">STDEV(E4485:E4513)</f>
        <v>5.8567711128421169E-3</v>
      </c>
    </row>
    <row r="4514" spans="1:7" x14ac:dyDescent="0.2">
      <c r="A4514" s="11">
        <v>41626</v>
      </c>
      <c r="B4514" s="10">
        <v>484.45499999999998</v>
      </c>
      <c r="C4514" s="10">
        <v>488.14870000000002</v>
      </c>
      <c r="D4514" s="10">
        <v>483.52409999999998</v>
      </c>
      <c r="E4514" s="13">
        <f t="shared" si="210"/>
        <v>-6.5186337748659173E-3</v>
      </c>
      <c r="F4514" s="9">
        <f t="shared" si="211"/>
        <v>-2.2352878792056982E-2</v>
      </c>
      <c r="G4514" s="9">
        <f t="shared" si="212"/>
        <v>5.827960212184651E-3</v>
      </c>
    </row>
    <row r="4515" spans="1:7" x14ac:dyDescent="0.2">
      <c r="A4515" s="11">
        <v>41627</v>
      </c>
      <c r="B4515" s="10">
        <v>487.9701</v>
      </c>
      <c r="C4515" s="10">
        <v>489.83690000000001</v>
      </c>
      <c r="D4515" s="10">
        <v>484.45499999999998</v>
      </c>
      <c r="E4515" s="13">
        <f t="shared" si="210"/>
        <v>7.2295857239210587E-3</v>
      </c>
      <c r="F4515" s="9">
        <f t="shared" si="211"/>
        <v>-1.1863887657462076E-2</v>
      </c>
      <c r="G4515" s="9">
        <f t="shared" si="212"/>
        <v>5.9911911309171572E-3</v>
      </c>
    </row>
    <row r="4516" spans="1:7" x14ac:dyDescent="0.2">
      <c r="A4516" s="11">
        <v>41628</v>
      </c>
      <c r="B4516" s="10">
        <v>493.02170000000001</v>
      </c>
      <c r="C4516" s="10">
        <v>493.02170000000001</v>
      </c>
      <c r="D4516" s="10">
        <v>487.18439999999998</v>
      </c>
      <c r="E4516" s="13">
        <f t="shared" si="210"/>
        <v>1.029905581695437E-2</v>
      </c>
      <c r="F4516" s="9">
        <f t="shared" si="211"/>
        <v>-1.0596335143159391E-2</v>
      </c>
      <c r="G4516" s="9">
        <f t="shared" si="212"/>
        <v>6.0666730079835399E-3</v>
      </c>
    </row>
    <row r="4517" spans="1:7" x14ac:dyDescent="0.2">
      <c r="A4517" s="11">
        <v>41631</v>
      </c>
      <c r="B4517" s="10">
        <v>499.51749999999998</v>
      </c>
      <c r="C4517" s="10">
        <v>500.25080000000003</v>
      </c>
      <c r="D4517" s="10">
        <v>493.05990000000003</v>
      </c>
      <c r="E4517" s="13">
        <f t="shared" si="210"/>
        <v>1.3089443208745848E-2</v>
      </c>
      <c r="F4517" s="9">
        <f t="shared" si="211"/>
        <v>1.3008516982692193E-2</v>
      </c>
      <c r="G4517" s="9">
        <f t="shared" si="212"/>
        <v>6.2373382517951831E-3</v>
      </c>
    </row>
    <row r="4518" spans="1:7" x14ac:dyDescent="0.2">
      <c r="A4518" s="11">
        <v>41635</v>
      </c>
      <c r="B4518" s="10">
        <v>504.82870000000003</v>
      </c>
      <c r="C4518" s="10">
        <v>504.87799999999999</v>
      </c>
      <c r="D4518" s="10">
        <v>499.53370000000001</v>
      </c>
      <c r="E4518" s="13">
        <f t="shared" si="210"/>
        <v>1.0576531300617076E-2</v>
      </c>
      <c r="F4518" s="9">
        <f t="shared" si="211"/>
        <v>2.6627019068646035E-2</v>
      </c>
      <c r="G4518" s="9">
        <f t="shared" si="212"/>
        <v>6.4733500874292367E-3</v>
      </c>
    </row>
    <row r="4519" spans="1:7" x14ac:dyDescent="0.2">
      <c r="A4519" s="11">
        <v>41638</v>
      </c>
      <c r="B4519" s="10">
        <v>503.57690000000002</v>
      </c>
      <c r="C4519" s="10">
        <v>506.5958</v>
      </c>
      <c r="D4519" s="10">
        <v>503.26510000000002</v>
      </c>
      <c r="E4519" s="13">
        <f t="shared" si="210"/>
        <v>-2.4827324302913855E-3</v>
      </c>
      <c r="F4519" s="9">
        <f t="shared" si="211"/>
        <v>1.5164133694171834E-2</v>
      </c>
      <c r="G4519" s="9">
        <f t="shared" si="212"/>
        <v>6.3114380297501953E-3</v>
      </c>
    </row>
    <row r="4520" spans="1:7" x14ac:dyDescent="0.2">
      <c r="A4520" s="11">
        <v>41641</v>
      </c>
      <c r="B4520" s="10">
        <v>501.9665</v>
      </c>
      <c r="C4520" s="10">
        <v>505.29790000000003</v>
      </c>
      <c r="D4520" s="10">
        <v>501.2817</v>
      </c>
      <c r="E4520" s="13">
        <f t="shared" si="210"/>
        <v>-3.2030469830064607E-3</v>
      </c>
      <c r="F4520" s="9">
        <f t="shared" si="211"/>
        <v>3.4815844251510799E-3</v>
      </c>
      <c r="G4520" s="9">
        <f t="shared" si="212"/>
        <v>6.156378555815631E-3</v>
      </c>
    </row>
    <row r="4521" spans="1:7" x14ac:dyDescent="0.2">
      <c r="A4521" s="11">
        <v>41642</v>
      </c>
      <c r="B4521" s="10">
        <v>502.31720000000001</v>
      </c>
      <c r="C4521" s="10">
        <v>503.18599999999998</v>
      </c>
      <c r="D4521" s="10">
        <v>499.66969999999998</v>
      </c>
      <c r="E4521" s="13">
        <f t="shared" si="210"/>
        <v>6.9840825705956826E-4</v>
      </c>
      <c r="F4521" s="9">
        <f t="shared" si="211"/>
        <v>2.4213212369190288E-3</v>
      </c>
      <c r="G4521" s="9">
        <f t="shared" si="212"/>
        <v>6.149444160776305E-3</v>
      </c>
    </row>
    <row r="4522" spans="1:7" x14ac:dyDescent="0.2">
      <c r="A4522" s="11">
        <v>41645</v>
      </c>
      <c r="B4522" s="10">
        <v>501.18169999999998</v>
      </c>
      <c r="C4522" s="10">
        <v>503.6191</v>
      </c>
      <c r="D4522" s="10">
        <v>499.88029999999998</v>
      </c>
      <c r="E4522" s="13">
        <f t="shared" si="210"/>
        <v>-2.2630826693003756E-3</v>
      </c>
      <c r="F4522" s="9">
        <f t="shared" si="211"/>
        <v>2.5626319675653695E-3</v>
      </c>
      <c r="G4522" s="9">
        <f t="shared" si="212"/>
        <v>6.1474580328609672E-3</v>
      </c>
    </row>
    <row r="4523" spans="1:7" x14ac:dyDescent="0.2">
      <c r="A4523" s="11">
        <v>41646</v>
      </c>
      <c r="B4523" s="10">
        <v>501.6028</v>
      </c>
      <c r="C4523" s="10">
        <v>501.6028</v>
      </c>
      <c r="D4523" s="10">
        <v>498.42840000000001</v>
      </c>
      <c r="E4523" s="13">
        <f t="shared" si="210"/>
        <v>8.3986145528276799E-4</v>
      </c>
      <c r="F4523" s="9">
        <f t="shared" si="211"/>
        <v>8.4898370729811629E-3</v>
      </c>
      <c r="G4523" s="9">
        <f t="shared" si="212"/>
        <v>6.0672424164575894E-3</v>
      </c>
    </row>
    <row r="4524" spans="1:7" x14ac:dyDescent="0.2">
      <c r="A4524" s="11">
        <v>41647</v>
      </c>
      <c r="B4524" s="10">
        <v>504.27429999999998</v>
      </c>
      <c r="C4524" s="10">
        <v>504.27429999999998</v>
      </c>
      <c r="D4524" s="10">
        <v>500.60379999999998</v>
      </c>
      <c r="E4524" s="13">
        <f t="shared" si="210"/>
        <v>5.3117946146651086E-3</v>
      </c>
      <c r="F4524" s="9">
        <f t="shared" si="211"/>
        <v>2.0528372729048141E-2</v>
      </c>
      <c r="G4524" s="9">
        <f t="shared" si="212"/>
        <v>5.9810417068314695E-3</v>
      </c>
    </row>
    <row r="4525" spans="1:7" x14ac:dyDescent="0.2">
      <c r="A4525" s="11">
        <v>41648</v>
      </c>
      <c r="B4525" s="10">
        <v>507.81869999999998</v>
      </c>
      <c r="C4525" s="10">
        <v>507.81869999999998</v>
      </c>
      <c r="D4525" s="10">
        <v>503.98649999999998</v>
      </c>
      <c r="E4525" s="13">
        <f t="shared" si="210"/>
        <v>7.0041280594371758E-3</v>
      </c>
      <c r="F4525" s="9">
        <f t="shared" si="211"/>
        <v>2.4540591540819518E-2</v>
      </c>
      <c r="G4525" s="9">
        <f t="shared" si="212"/>
        <v>6.0813267112985025E-3</v>
      </c>
    </row>
    <row r="4526" spans="1:7" x14ac:dyDescent="0.2">
      <c r="A4526" s="11">
        <v>41649</v>
      </c>
      <c r="B4526" s="10">
        <v>510.64530000000002</v>
      </c>
      <c r="C4526" s="10">
        <v>514.81650000000002</v>
      </c>
      <c r="D4526" s="10">
        <v>507.77350000000001</v>
      </c>
      <c r="E4526" s="13">
        <f t="shared" si="210"/>
        <v>5.5507259116144882E-3</v>
      </c>
      <c r="F4526" s="9">
        <f t="shared" si="211"/>
        <v>3.0709661829380303E-2</v>
      </c>
      <c r="G4526" s="9">
        <f t="shared" si="212"/>
        <v>6.1359187805837016E-3</v>
      </c>
    </row>
    <row r="4527" spans="1:7" x14ac:dyDescent="0.2">
      <c r="A4527" s="11">
        <v>41652</v>
      </c>
      <c r="B4527" s="10">
        <v>512.19510000000002</v>
      </c>
      <c r="C4527" s="10">
        <v>513.13149999999996</v>
      </c>
      <c r="D4527" s="10">
        <v>510.43470000000002</v>
      </c>
      <c r="E4527" s="13">
        <f t="shared" si="210"/>
        <v>3.0303871180997802E-3</v>
      </c>
      <c r="F4527" s="9">
        <f t="shared" si="211"/>
        <v>3.6783435909101672E-2</v>
      </c>
      <c r="G4527" s="9">
        <f t="shared" si="212"/>
        <v>6.0944097177611685E-3</v>
      </c>
    </row>
    <row r="4528" spans="1:7" x14ac:dyDescent="0.2">
      <c r="A4528" s="11">
        <v>41653</v>
      </c>
      <c r="B4528" s="10">
        <v>510.46080000000001</v>
      </c>
      <c r="C4528" s="10">
        <v>512.10119999999995</v>
      </c>
      <c r="D4528" s="10">
        <v>507.92489999999998</v>
      </c>
      <c r="E4528" s="13">
        <f t="shared" si="210"/>
        <v>-3.3917599509677215E-3</v>
      </c>
      <c r="F4528" s="9">
        <f t="shared" si="211"/>
        <v>2.5977017528756936E-2</v>
      </c>
      <c r="G4528" s="9">
        <f t="shared" si="212"/>
        <v>6.0352679531159269E-3</v>
      </c>
    </row>
    <row r="4529" spans="1:7" x14ac:dyDescent="0.2">
      <c r="A4529" s="11">
        <v>41654</v>
      </c>
      <c r="B4529" s="10">
        <v>516.47389999999996</v>
      </c>
      <c r="C4529" s="10">
        <v>516.55529999999999</v>
      </c>
      <c r="D4529" s="10">
        <v>510.45609999999999</v>
      </c>
      <c r="E4529" s="13">
        <f t="shared" si="210"/>
        <v>1.1710907659930173E-2</v>
      </c>
      <c r="F4529" s="9">
        <f t="shared" si="211"/>
        <v>3.4403829552191782E-2</v>
      </c>
      <c r="G4529" s="9">
        <f t="shared" si="212"/>
        <v>6.3490704707134674E-3</v>
      </c>
    </row>
    <row r="4530" spans="1:7" x14ac:dyDescent="0.2">
      <c r="A4530" s="11">
        <v>41655</v>
      </c>
      <c r="B4530" s="10">
        <v>518.23599999999999</v>
      </c>
      <c r="C4530" s="10">
        <v>518.23929999999996</v>
      </c>
      <c r="D4530" s="10">
        <v>515.07360000000006</v>
      </c>
      <c r="E4530" s="13">
        <f t="shared" si="210"/>
        <v>3.4059821085463335E-3</v>
      </c>
      <c r="F4530" s="9">
        <f t="shared" si="211"/>
        <v>3.9320549101766668E-2</v>
      </c>
      <c r="G4530" s="9">
        <f t="shared" si="212"/>
        <v>6.3401174153765345E-3</v>
      </c>
    </row>
    <row r="4531" spans="1:7" x14ac:dyDescent="0.2">
      <c r="A4531" s="11">
        <v>41656</v>
      </c>
      <c r="B4531" s="10">
        <v>516.59820000000002</v>
      </c>
      <c r="C4531" s="10">
        <v>519.50969999999995</v>
      </c>
      <c r="D4531" s="10">
        <v>515.89260000000002</v>
      </c>
      <c r="E4531" s="13">
        <f t="shared" si="210"/>
        <v>-3.1653406265047842E-3</v>
      </c>
      <c r="F4531" s="9">
        <f t="shared" si="211"/>
        <v>3.6766328427772908E-2</v>
      </c>
      <c r="G4531" s="9">
        <f t="shared" si="212"/>
        <v>6.3859943649010814E-3</v>
      </c>
    </row>
    <row r="4532" spans="1:7" x14ac:dyDescent="0.2">
      <c r="A4532" s="11">
        <v>41659</v>
      </c>
      <c r="B4532" s="10">
        <v>515.31849999999997</v>
      </c>
      <c r="C4532" s="10">
        <v>517.0684</v>
      </c>
      <c r="D4532" s="10">
        <v>514.375</v>
      </c>
      <c r="E4532" s="13">
        <f t="shared" si="210"/>
        <v>-2.480240228723834E-3</v>
      </c>
      <c r="F4532" s="9">
        <f t="shared" si="211"/>
        <v>4.3787663176901213E-2</v>
      </c>
      <c r="G4532" s="9">
        <f t="shared" si="212"/>
        <v>6.089317954861821E-3</v>
      </c>
    </row>
    <row r="4533" spans="1:7" x14ac:dyDescent="0.2">
      <c r="A4533" s="11">
        <v>41660</v>
      </c>
      <c r="B4533" s="10">
        <v>518.5992</v>
      </c>
      <c r="C4533" s="10">
        <v>519.26480000000004</v>
      </c>
      <c r="D4533" s="10">
        <v>514.87980000000005</v>
      </c>
      <c r="E4533" s="13">
        <f t="shared" si="210"/>
        <v>6.3461743822535695E-3</v>
      </c>
      <c r="F4533" s="9">
        <f t="shared" si="211"/>
        <v>5.7875988191763462E-2</v>
      </c>
      <c r="G4533" s="9">
        <f t="shared" si="212"/>
        <v>5.883325715015179E-3</v>
      </c>
    </row>
    <row r="4534" spans="1:7" x14ac:dyDescent="0.2">
      <c r="A4534" s="11">
        <v>41661</v>
      </c>
      <c r="B4534" s="10">
        <v>515.49289999999996</v>
      </c>
      <c r="C4534" s="10">
        <v>520.29589999999996</v>
      </c>
      <c r="D4534" s="10">
        <v>515.35730000000001</v>
      </c>
      <c r="E4534" s="13">
        <f t="shared" si="210"/>
        <v>-6.0078001623643067E-3</v>
      </c>
      <c r="F4534" s="9">
        <f t="shared" si="211"/>
        <v>5.3030402279312494E-2</v>
      </c>
      <c r="G4534" s="9">
        <f t="shared" si="212"/>
        <v>6.0428611323712425E-3</v>
      </c>
    </row>
    <row r="4535" spans="1:7" x14ac:dyDescent="0.2">
      <c r="A4535" s="11">
        <v>41662</v>
      </c>
      <c r="B4535" s="10">
        <v>510.25130000000001</v>
      </c>
      <c r="C4535" s="10">
        <v>516.2989</v>
      </c>
      <c r="D4535" s="10">
        <v>510.25130000000001</v>
      </c>
      <c r="E4535" s="13">
        <f t="shared" si="210"/>
        <v>-1.0220180868868662E-2</v>
      </c>
      <c r="F4535" s="9">
        <f t="shared" si="211"/>
        <v>4.5536754238483503E-2</v>
      </c>
      <c r="G4535" s="9">
        <f t="shared" si="212"/>
        <v>6.3945870269930694E-3</v>
      </c>
    </row>
    <row r="4536" spans="1:7" x14ac:dyDescent="0.2">
      <c r="A4536" s="11">
        <v>41663</v>
      </c>
      <c r="B4536" s="10">
        <v>502.12049999999999</v>
      </c>
      <c r="C4536" s="10">
        <v>512.17989999999998</v>
      </c>
      <c r="D4536" s="10">
        <v>502.12049999999999</v>
      </c>
      <c r="E4536" s="13">
        <f t="shared" si="210"/>
        <v>-1.6063218729995742E-2</v>
      </c>
      <c r="F4536" s="9">
        <f t="shared" si="211"/>
        <v>2.3936292439609371E-2</v>
      </c>
      <c r="G4536" s="9">
        <f t="shared" si="212"/>
        <v>7.131552861367154E-3</v>
      </c>
    </row>
    <row r="4537" spans="1:7" x14ac:dyDescent="0.2">
      <c r="A4537" s="11">
        <v>41666</v>
      </c>
      <c r="B4537" s="10">
        <v>499.28680000000003</v>
      </c>
      <c r="C4537" s="10">
        <v>502.10050000000001</v>
      </c>
      <c r="D4537" s="10">
        <v>495.30180000000001</v>
      </c>
      <c r="E4537" s="13">
        <f t="shared" si="210"/>
        <v>-5.6594505821304219E-3</v>
      </c>
      <c r="F4537" s="9">
        <f t="shared" si="211"/>
        <v>1.9065331098742422E-2</v>
      </c>
      <c r="G4537" s="9">
        <f t="shared" si="212"/>
        <v>7.2276346956583765E-3</v>
      </c>
    </row>
    <row r="4538" spans="1:7" x14ac:dyDescent="0.2">
      <c r="A4538" s="11">
        <v>41667</v>
      </c>
      <c r="B4538" s="10">
        <v>498.36099999999999</v>
      </c>
      <c r="C4538" s="10">
        <v>502.58109999999999</v>
      </c>
      <c r="D4538" s="10">
        <v>495.03680000000003</v>
      </c>
      <c r="E4538" s="13">
        <f t="shared" si="210"/>
        <v>-1.8559661350462269E-3</v>
      </c>
      <c r="F4538" s="9">
        <f t="shared" si="211"/>
        <v>2.4226773734644772E-2</v>
      </c>
      <c r="G4538" s="9">
        <f t="shared" si="212"/>
        <v>7.0942107032394425E-3</v>
      </c>
    </row>
    <row r="4539" spans="1:7" x14ac:dyDescent="0.2">
      <c r="A4539" s="11">
        <v>41668</v>
      </c>
      <c r="B4539" s="10">
        <v>492.0077</v>
      </c>
      <c r="C4539" s="10">
        <v>501.19900000000001</v>
      </c>
      <c r="D4539" s="10">
        <v>489.61059999999998</v>
      </c>
      <c r="E4539" s="13">
        <f t="shared" si="210"/>
        <v>-1.2830347233891004E-2</v>
      </c>
      <c r="F4539" s="9">
        <f t="shared" si="211"/>
        <v>2.0691756512867858E-2</v>
      </c>
      <c r="G4539" s="9">
        <f t="shared" si="212"/>
        <v>7.3018324627248188E-3</v>
      </c>
    </row>
    <row r="4540" spans="1:7" x14ac:dyDescent="0.2">
      <c r="A4540" s="11">
        <v>41669</v>
      </c>
      <c r="B4540" s="10">
        <v>494.26139999999998</v>
      </c>
      <c r="C4540" s="10">
        <v>495.76589999999999</v>
      </c>
      <c r="D4540" s="10">
        <v>489.03710000000001</v>
      </c>
      <c r="E4540" s="13">
        <f t="shared" si="210"/>
        <v>4.5701602587608975E-3</v>
      </c>
      <c r="F4540" s="9">
        <f t="shared" si="211"/>
        <v>2.0412012843039597E-2</v>
      </c>
      <c r="G4540" s="9">
        <f t="shared" si="212"/>
        <v>7.2963555044448939E-3</v>
      </c>
    </row>
    <row r="4541" spans="1:7" x14ac:dyDescent="0.2">
      <c r="A4541" s="11">
        <v>41670</v>
      </c>
      <c r="B4541" s="10">
        <v>490.21409999999997</v>
      </c>
      <c r="C4541" s="10">
        <v>495.97629999999998</v>
      </c>
      <c r="D4541" s="10">
        <v>487.98200000000003</v>
      </c>
      <c r="E4541" s="13">
        <f t="shared" si="210"/>
        <v>-8.2222925848741586E-3</v>
      </c>
      <c r="F4541" s="9">
        <f t="shared" si="211"/>
        <v>5.5055861125158844E-3</v>
      </c>
      <c r="G4541" s="9">
        <f t="shared" si="212"/>
        <v>7.3845421935517094E-3</v>
      </c>
    </row>
    <row r="4542" spans="1:7" x14ac:dyDescent="0.2">
      <c r="A4542" s="11">
        <v>41673</v>
      </c>
      <c r="B4542" s="10">
        <v>488.91919999999999</v>
      </c>
      <c r="C4542" s="10">
        <v>494.49090000000001</v>
      </c>
      <c r="D4542" s="10">
        <v>488.73669999999998</v>
      </c>
      <c r="E4542" s="13">
        <f t="shared" si="210"/>
        <v>-2.64499380202013E-3</v>
      </c>
      <c r="F4542" s="9">
        <f t="shared" si="211"/>
        <v>2.6540591130369672E-3</v>
      </c>
      <c r="G4542" s="9">
        <f t="shared" si="212"/>
        <v>7.4032730153166604E-3</v>
      </c>
    </row>
    <row r="4543" spans="1:7" x14ac:dyDescent="0.2">
      <c r="A4543" s="11">
        <v>41674</v>
      </c>
      <c r="B4543" s="10">
        <v>489.03719999999998</v>
      </c>
      <c r="C4543" s="10">
        <v>490.0881</v>
      </c>
      <c r="D4543" s="10">
        <v>485.15039999999999</v>
      </c>
      <c r="E4543" s="13">
        <f t="shared" si="210"/>
        <v>2.4131955284029935E-4</v>
      </c>
      <c r="F4543" s="9">
        <f t="shared" si="211"/>
        <v>9.4140124407431722E-3</v>
      </c>
      <c r="G4543" s="9">
        <f t="shared" si="212"/>
        <v>7.293316893532454E-3</v>
      </c>
    </row>
    <row r="4544" spans="1:7" x14ac:dyDescent="0.2">
      <c r="A4544" s="11">
        <v>41675</v>
      </c>
      <c r="B4544" s="10">
        <v>486.67270000000002</v>
      </c>
      <c r="C4544" s="10">
        <v>490.1669</v>
      </c>
      <c r="D4544" s="10">
        <v>486.00970000000001</v>
      </c>
      <c r="E4544" s="13">
        <f t="shared" si="210"/>
        <v>-4.8467369833518027E-3</v>
      </c>
      <c r="F4544" s="9">
        <f t="shared" si="211"/>
        <v>-2.6623102665295495E-3</v>
      </c>
      <c r="G4544" s="9">
        <f t="shared" si="212"/>
        <v>7.2294653115763047E-3</v>
      </c>
    </row>
    <row r="4545" spans="1:7" x14ac:dyDescent="0.2">
      <c r="A4545" s="11">
        <v>41676</v>
      </c>
      <c r="B4545" s="10">
        <v>491.69650000000001</v>
      </c>
      <c r="C4545" s="10">
        <v>492.6028</v>
      </c>
      <c r="D4545" s="10">
        <v>487.57220000000001</v>
      </c>
      <c r="E4545" s="13">
        <f t="shared" si="210"/>
        <v>1.0269833013377973E-2</v>
      </c>
      <c r="F4545" s="9">
        <f t="shared" si="211"/>
        <v>-2.691533070105986E-3</v>
      </c>
      <c r="G4545" s="9">
        <f t="shared" si="212"/>
        <v>7.2279671311748358E-3</v>
      </c>
    </row>
    <row r="4546" spans="1:7" x14ac:dyDescent="0.2">
      <c r="A4546" s="11">
        <v>41677</v>
      </c>
      <c r="B4546" s="10">
        <v>501.8252</v>
      </c>
      <c r="C4546" s="10">
        <v>501.98559999999998</v>
      </c>
      <c r="D4546" s="10">
        <v>489.78289999999998</v>
      </c>
      <c r="E4546" s="13">
        <f t="shared" si="210"/>
        <v>2.0390195651141522E-2</v>
      </c>
      <c r="F4546" s="9">
        <f t="shared" si="211"/>
        <v>4.6092193722897532E-3</v>
      </c>
      <c r="G4546" s="9">
        <f t="shared" si="212"/>
        <v>7.8074186910143143E-3</v>
      </c>
    </row>
    <row r="4547" spans="1:7" x14ac:dyDescent="0.2">
      <c r="A4547" s="11">
        <v>41680</v>
      </c>
      <c r="B4547" s="10">
        <v>500.41640000000001</v>
      </c>
      <c r="C4547" s="10">
        <v>503.66059999999999</v>
      </c>
      <c r="D4547" s="10">
        <v>499.54039999999998</v>
      </c>
      <c r="E4547" s="13">
        <f t="shared" si="210"/>
        <v>-2.8113000455378366E-3</v>
      </c>
      <c r="F4547" s="9">
        <f t="shared" si="211"/>
        <v>-8.7786119738650619E-3</v>
      </c>
      <c r="G4547" s="9">
        <f t="shared" si="212"/>
        <v>7.5613623617773427E-3</v>
      </c>
    </row>
    <row r="4548" spans="1:7" x14ac:dyDescent="0.2">
      <c r="A4548" s="11">
        <v>41681</v>
      </c>
      <c r="B4548" s="10">
        <v>503.28120000000001</v>
      </c>
      <c r="C4548" s="10">
        <v>503.28120000000001</v>
      </c>
      <c r="D4548" s="10">
        <v>500.3519</v>
      </c>
      <c r="E4548" s="13">
        <f t="shared" ref="E4548:E4611" si="213">LN(B4548/B4547)</f>
        <v>5.7085077808564253E-3</v>
      </c>
      <c r="F4548" s="9">
        <f t="shared" si="211"/>
        <v>-5.8737176271712931E-4</v>
      </c>
      <c r="G4548" s="9">
        <f t="shared" si="212"/>
        <v>7.6297027786906991E-3</v>
      </c>
    </row>
    <row r="4549" spans="1:7" x14ac:dyDescent="0.2">
      <c r="A4549" s="11">
        <v>41682</v>
      </c>
      <c r="B4549" s="10">
        <v>500.98399999999998</v>
      </c>
      <c r="C4549" s="10">
        <v>503.00790000000001</v>
      </c>
      <c r="D4549" s="10">
        <v>499.12830000000002</v>
      </c>
      <c r="E4549" s="13">
        <f t="shared" si="213"/>
        <v>-4.5748951703879319E-3</v>
      </c>
      <c r="F4549" s="9">
        <f t="shared" si="211"/>
        <v>-1.9592199500986346E-3</v>
      </c>
      <c r="G4549" s="9">
        <f t="shared" si="212"/>
        <v>7.6543542575365888E-3</v>
      </c>
    </row>
    <row r="4550" spans="1:7" x14ac:dyDescent="0.2">
      <c r="A4550" s="11">
        <v>41683</v>
      </c>
      <c r="B4550" s="10">
        <v>497.4905</v>
      </c>
      <c r="C4550" s="10">
        <v>501.56180000000001</v>
      </c>
      <c r="D4550" s="10">
        <v>494.97390000000001</v>
      </c>
      <c r="E4550" s="13">
        <f t="shared" si="213"/>
        <v>-6.9977035082117037E-3</v>
      </c>
      <c r="F4550" s="9">
        <f t="shared" si="211"/>
        <v>-9.6553317153699938E-3</v>
      </c>
      <c r="G4550" s="9">
        <f t="shared" si="212"/>
        <v>7.7595417496747884E-3</v>
      </c>
    </row>
    <row r="4551" spans="1:7" x14ac:dyDescent="0.2">
      <c r="A4551" s="11">
        <v>41684</v>
      </c>
      <c r="B4551" s="10">
        <v>499.7688</v>
      </c>
      <c r="C4551" s="10">
        <v>500.12189999999998</v>
      </c>
      <c r="D4551" s="10">
        <v>497.38940000000002</v>
      </c>
      <c r="E4551" s="13">
        <f t="shared" si="213"/>
        <v>4.5691305434048934E-3</v>
      </c>
      <c r="F4551" s="9">
        <f t="shared" si="211"/>
        <v>-2.8231185026646433E-3</v>
      </c>
      <c r="G4551" s="9">
        <f t="shared" si="212"/>
        <v>7.8024467816912666E-3</v>
      </c>
    </row>
    <row r="4552" spans="1:7" x14ac:dyDescent="0.2">
      <c r="A4552" s="11">
        <v>41687</v>
      </c>
      <c r="B4552" s="10">
        <v>501.3297</v>
      </c>
      <c r="C4552" s="10">
        <v>502.19630000000001</v>
      </c>
      <c r="D4552" s="10">
        <v>499.79430000000002</v>
      </c>
      <c r="E4552" s="13">
        <f t="shared" si="213"/>
        <v>3.1183769926433529E-3</v>
      </c>
      <c r="F4552" s="9">
        <f t="shared" si="211"/>
        <v>-5.4460296530409993E-4</v>
      </c>
      <c r="G4552" s="9">
        <f t="shared" si="212"/>
        <v>7.8236647191889126E-3</v>
      </c>
    </row>
    <row r="4553" spans="1:7" x14ac:dyDescent="0.2">
      <c r="A4553" s="11">
        <v>41688</v>
      </c>
      <c r="B4553" s="10">
        <v>500.28109999999998</v>
      </c>
      <c r="C4553" s="10">
        <v>501.63869999999997</v>
      </c>
      <c r="D4553" s="10">
        <v>497.6841</v>
      </c>
      <c r="E4553" s="13">
        <f t="shared" si="213"/>
        <v>-2.0938280280097745E-3</v>
      </c>
      <c r="F4553" s="9">
        <f t="shared" si="211"/>
        <v>-7.9502256079789797E-3</v>
      </c>
      <c r="G4553" s="9">
        <f t="shared" si="212"/>
        <v>7.7640933854168648E-3</v>
      </c>
    </row>
    <row r="4554" spans="1:7" x14ac:dyDescent="0.2">
      <c r="A4554" s="11">
        <v>41689</v>
      </c>
      <c r="B4554" s="10">
        <v>501.23230000000001</v>
      </c>
      <c r="C4554" s="10">
        <v>503.00150000000002</v>
      </c>
      <c r="D4554" s="10">
        <v>499.04219999999998</v>
      </c>
      <c r="E4554" s="13">
        <f t="shared" si="213"/>
        <v>1.8995258296291783E-3</v>
      </c>
      <c r="F4554" s="9">
        <f t="shared" si="211"/>
        <v>-1.3054827837786904E-2</v>
      </c>
      <c r="G4554" s="9">
        <f t="shared" si="212"/>
        <v>7.6502221107458673E-3</v>
      </c>
    </row>
    <row r="4555" spans="1:7" x14ac:dyDescent="0.2">
      <c r="A4555" s="11">
        <v>41690</v>
      </c>
      <c r="B4555" s="10">
        <v>503.58569999999997</v>
      </c>
      <c r="C4555" s="10">
        <v>503.58569999999997</v>
      </c>
      <c r="D4555" s="10">
        <v>497.5403</v>
      </c>
      <c r="E4555" s="13">
        <f t="shared" si="213"/>
        <v>4.6842399383979997E-3</v>
      </c>
      <c r="F4555" s="9">
        <f t="shared" si="211"/>
        <v>-1.3921313811003323E-2</v>
      </c>
      <c r="G4555" s="9">
        <f t="shared" si="212"/>
        <v>7.6276065423544646E-3</v>
      </c>
    </row>
    <row r="4556" spans="1:7" x14ac:dyDescent="0.2">
      <c r="A4556" s="11">
        <v>41691</v>
      </c>
      <c r="B4556" s="10">
        <v>505.75510000000003</v>
      </c>
      <c r="C4556" s="10">
        <v>507.70549999999997</v>
      </c>
      <c r="D4556" s="10">
        <v>503.54059999999998</v>
      </c>
      <c r="E4556" s="13">
        <f t="shared" si="213"/>
        <v>4.2986538156195055E-3</v>
      </c>
      <c r="F4556" s="9">
        <f t="shared" si="211"/>
        <v>-1.2653047113483709E-2</v>
      </c>
      <c r="G4556" s="9">
        <f t="shared" si="212"/>
        <v>7.6520493234838267E-3</v>
      </c>
    </row>
    <row r="4557" spans="1:7" x14ac:dyDescent="0.2">
      <c r="A4557" s="11">
        <v>41694</v>
      </c>
      <c r="B4557" s="10">
        <v>508.32569999999998</v>
      </c>
      <c r="C4557" s="10">
        <v>508.33420000000001</v>
      </c>
      <c r="D4557" s="10">
        <v>505.09339999999997</v>
      </c>
      <c r="E4557" s="13">
        <f t="shared" si="213"/>
        <v>5.0698238365877646E-3</v>
      </c>
      <c r="F4557" s="9">
        <f t="shared" si="211"/>
        <v>-4.1914633259282604E-3</v>
      </c>
      <c r="G4557" s="9">
        <f t="shared" si="212"/>
        <v>7.6965251810802177E-3</v>
      </c>
    </row>
    <row r="4558" spans="1:7" x14ac:dyDescent="0.2">
      <c r="A4558" s="11">
        <v>41695</v>
      </c>
      <c r="B4558" s="10">
        <v>503.78649999999999</v>
      </c>
      <c r="C4558" s="10">
        <v>509.37130000000002</v>
      </c>
      <c r="D4558" s="10">
        <v>502.85210000000001</v>
      </c>
      <c r="E4558" s="13">
        <f t="shared" si="213"/>
        <v>-8.9698166554882525E-3</v>
      </c>
      <c r="F4558" s="9">
        <f t="shared" si="211"/>
        <v>-2.4872187641346615E-2</v>
      </c>
      <c r="G4558" s="9">
        <f t="shared" si="212"/>
        <v>7.5147667323084517E-3</v>
      </c>
    </row>
    <row r="4559" spans="1:7" x14ac:dyDescent="0.2">
      <c r="A4559" s="11">
        <v>41696</v>
      </c>
      <c r="B4559" s="10">
        <v>504.61529999999999</v>
      </c>
      <c r="C4559" s="10">
        <v>505.97449999999998</v>
      </c>
      <c r="D4559" s="10">
        <v>502.7749</v>
      </c>
      <c r="E4559" s="13">
        <f t="shared" si="213"/>
        <v>1.6437895819327625E-3</v>
      </c>
      <c r="F4559" s="9">
        <f t="shared" si="211"/>
        <v>-2.6634380167960155E-2</v>
      </c>
      <c r="G4559" s="9">
        <f t="shared" si="212"/>
        <v>7.4861292049585746E-3</v>
      </c>
    </row>
    <row r="4560" spans="1:7" x14ac:dyDescent="0.2">
      <c r="A4560" s="11">
        <v>41697</v>
      </c>
      <c r="B4560" s="10">
        <v>504.78750000000002</v>
      </c>
      <c r="C4560" s="10">
        <v>506.52260000000001</v>
      </c>
      <c r="D4560" s="10">
        <v>501.51</v>
      </c>
      <c r="E4560" s="13">
        <f t="shared" si="213"/>
        <v>3.4119184466417012E-4</v>
      </c>
      <c r="F4560" s="9">
        <f t="shared" si="211"/>
        <v>-2.3127847696791215E-2</v>
      </c>
      <c r="G4560" s="9">
        <f t="shared" si="212"/>
        <v>7.4768539967626432E-3</v>
      </c>
    </row>
    <row r="4561" spans="1:7" x14ac:dyDescent="0.2">
      <c r="A4561" s="11">
        <v>41698</v>
      </c>
      <c r="B4561" s="10">
        <v>507.84440000000001</v>
      </c>
      <c r="C4561" s="10">
        <v>508.47660000000002</v>
      </c>
      <c r="D4561" s="10">
        <v>504.80650000000003</v>
      </c>
      <c r="E4561" s="13">
        <f t="shared" si="213"/>
        <v>6.0375528083774672E-3</v>
      </c>
      <c r="F4561" s="9">
        <f t="shared" si="211"/>
        <v>-1.4610054659690062E-2</v>
      </c>
      <c r="G4561" s="9">
        <f t="shared" si="212"/>
        <v>7.5750492575622427E-3</v>
      </c>
    </row>
    <row r="4562" spans="1:7" x14ac:dyDescent="0.2">
      <c r="A4562" s="11">
        <v>41701</v>
      </c>
      <c r="B4562" s="10">
        <v>506.33150000000001</v>
      </c>
      <c r="C4562" s="10">
        <v>507.62009999999998</v>
      </c>
      <c r="D4562" s="10">
        <v>503.56259999999997</v>
      </c>
      <c r="E4562" s="13">
        <f t="shared" si="213"/>
        <v>-2.9835083287504866E-3</v>
      </c>
      <c r="F4562" s="9">
        <f t="shared" si="211"/>
        <v>-2.3939737370694086E-2</v>
      </c>
      <c r="G4562" s="9">
        <f t="shared" si="212"/>
        <v>7.4711440387774247E-3</v>
      </c>
    </row>
    <row r="4563" spans="1:7" x14ac:dyDescent="0.2">
      <c r="A4563" s="11">
        <v>41702</v>
      </c>
      <c r="B4563" s="10">
        <v>511.07100000000003</v>
      </c>
      <c r="C4563" s="10">
        <v>511.43630000000002</v>
      </c>
      <c r="D4563" s="10">
        <v>505.27440000000001</v>
      </c>
      <c r="E4563" s="13">
        <f t="shared" si="213"/>
        <v>9.3169306825694759E-3</v>
      </c>
      <c r="F4563" s="9">
        <f t="shared" si="211"/>
        <v>-8.615006525760258E-3</v>
      </c>
      <c r="G4563" s="9">
        <f t="shared" si="212"/>
        <v>7.6317441875488291E-3</v>
      </c>
    </row>
    <row r="4564" spans="1:7" x14ac:dyDescent="0.2">
      <c r="A4564" s="11">
        <v>41703</v>
      </c>
      <c r="B4564" s="10">
        <v>509.01249999999999</v>
      </c>
      <c r="C4564" s="10">
        <v>512.18309999999997</v>
      </c>
      <c r="D4564" s="10">
        <v>508.61169999999998</v>
      </c>
      <c r="E4564" s="13">
        <f t="shared" si="213"/>
        <v>-4.0359495947586586E-3</v>
      </c>
      <c r="F4564" s="9">
        <f t="shared" si="211"/>
        <v>-2.4307752516502671E-3</v>
      </c>
      <c r="G4564" s="9">
        <f t="shared" si="212"/>
        <v>7.4282540719485838E-3</v>
      </c>
    </row>
    <row r="4565" spans="1:7" x14ac:dyDescent="0.2">
      <c r="A4565" s="11">
        <v>41704</v>
      </c>
      <c r="B4565" s="10">
        <v>510.33150000000001</v>
      </c>
      <c r="C4565" s="10">
        <v>511.70339999999999</v>
      </c>
      <c r="D4565" s="10">
        <v>509.14659999999998</v>
      </c>
      <c r="E4565" s="13">
        <f t="shared" si="213"/>
        <v>2.5879403541093915E-3</v>
      </c>
      <c r="F4565" s="9">
        <f t="shared" si="211"/>
        <v>1.6220383832454891E-2</v>
      </c>
      <c r="G4565" s="9">
        <f t="shared" si="212"/>
        <v>6.7739326595702785E-3</v>
      </c>
    </row>
    <row r="4566" spans="1:7" x14ac:dyDescent="0.2">
      <c r="A4566" s="11">
        <v>41705</v>
      </c>
      <c r="B4566" s="10">
        <v>508.45260000000002</v>
      </c>
      <c r="C4566" s="10">
        <v>511.43450000000001</v>
      </c>
      <c r="D4566" s="10">
        <v>507.24270000000001</v>
      </c>
      <c r="E4566" s="13">
        <f t="shared" si="213"/>
        <v>-3.6885187553066206E-3</v>
      </c>
      <c r="F4566" s="9">
        <f t="shared" si="211"/>
        <v>1.8191315659278819E-2</v>
      </c>
      <c r="G4566" s="9">
        <f t="shared" si="212"/>
        <v>6.7189753805269323E-3</v>
      </c>
    </row>
    <row r="4567" spans="1:7" x14ac:dyDescent="0.2">
      <c r="A4567" s="11">
        <v>41708</v>
      </c>
      <c r="B4567" s="10">
        <v>504.23660000000001</v>
      </c>
      <c r="C4567" s="10">
        <v>508.42180000000002</v>
      </c>
      <c r="D4567" s="10">
        <v>502.98</v>
      </c>
      <c r="E4567" s="13">
        <f t="shared" si="213"/>
        <v>-8.3263934433190859E-3</v>
      </c>
      <c r="F4567" s="9">
        <f t="shared" si="211"/>
        <v>1.1720888351005845E-2</v>
      </c>
      <c r="G4567" s="9">
        <f t="shared" si="212"/>
        <v>6.9091239332072394E-3</v>
      </c>
    </row>
    <row r="4568" spans="1:7" x14ac:dyDescent="0.2">
      <c r="A4568" s="11">
        <v>41709</v>
      </c>
      <c r="B4568" s="10">
        <v>506.34460000000001</v>
      </c>
      <c r="C4568" s="10">
        <v>507.2586</v>
      </c>
      <c r="D4568" s="10">
        <v>503.92450000000002</v>
      </c>
      <c r="E4568" s="13">
        <f t="shared" si="213"/>
        <v>4.1718628000975352E-3</v>
      </c>
      <c r="F4568" s="9">
        <f t="shared" si="211"/>
        <v>2.8723098384994424E-2</v>
      </c>
      <c r="G4568" s="9">
        <f t="shared" si="212"/>
        <v>6.4522499443923163E-3</v>
      </c>
    </row>
    <row r="4569" spans="1:7" x14ac:dyDescent="0.2">
      <c r="A4569" s="11">
        <v>41710</v>
      </c>
      <c r="B4569" s="10">
        <v>498.64400000000001</v>
      </c>
      <c r="C4569" s="10">
        <v>506.33749999999998</v>
      </c>
      <c r="D4569" s="10">
        <v>496.80279999999999</v>
      </c>
      <c r="E4569" s="13">
        <f t="shared" si="213"/>
        <v>-1.5325050873571146E-2</v>
      </c>
      <c r="F4569" s="9">
        <f t="shared" si="211"/>
        <v>8.82788725266242E-3</v>
      </c>
      <c r="G4569" s="9">
        <f t="shared" si="212"/>
        <v>7.0847300219265179E-3</v>
      </c>
    </row>
    <row r="4570" spans="1:7" x14ac:dyDescent="0.2">
      <c r="A4570" s="11">
        <v>41711</v>
      </c>
      <c r="B4570" s="10">
        <v>495.94940000000003</v>
      </c>
      <c r="C4570" s="10">
        <v>500.81459999999998</v>
      </c>
      <c r="D4570" s="10">
        <v>495.94940000000003</v>
      </c>
      <c r="E4570" s="13">
        <f t="shared" si="213"/>
        <v>-5.4185088958730943E-3</v>
      </c>
      <c r="F4570" s="9">
        <f t="shared" si="211"/>
        <v>1.1631670941663308E-2</v>
      </c>
      <c r="G4570" s="9">
        <f t="shared" si="212"/>
        <v>6.9826091465687292E-3</v>
      </c>
    </row>
    <row r="4571" spans="1:7" x14ac:dyDescent="0.2">
      <c r="A4571" s="11">
        <v>41712</v>
      </c>
      <c r="B4571" s="10">
        <v>492.73</v>
      </c>
      <c r="C4571" s="10">
        <v>495.75869999999998</v>
      </c>
      <c r="D4571" s="10">
        <v>489.23489999999998</v>
      </c>
      <c r="E4571" s="13">
        <f t="shared" si="213"/>
        <v>-6.5125487165424538E-3</v>
      </c>
      <c r="F4571" s="9">
        <f t="shared" si="211"/>
        <v>7.7641160271411025E-3</v>
      </c>
      <c r="G4571" s="9">
        <f t="shared" si="212"/>
        <v>7.079132441309457E-3</v>
      </c>
    </row>
    <row r="4572" spans="1:7" x14ac:dyDescent="0.2">
      <c r="A4572" s="11">
        <v>41715</v>
      </c>
      <c r="B4572" s="10">
        <v>496.93509999999998</v>
      </c>
      <c r="C4572" s="10">
        <v>497.60750000000002</v>
      </c>
      <c r="D4572" s="10">
        <v>492.63240000000002</v>
      </c>
      <c r="E4572" s="13">
        <f t="shared" si="213"/>
        <v>8.4980773935014169E-3</v>
      </c>
      <c r="F4572" s="9">
        <f t="shared" si="211"/>
        <v>1.6020873867802099E-2</v>
      </c>
      <c r="G4572" s="9">
        <f t="shared" si="212"/>
        <v>7.2421937617906567E-3</v>
      </c>
    </row>
    <row r="4573" spans="1:7" x14ac:dyDescent="0.2">
      <c r="A4573" s="11">
        <v>41716</v>
      </c>
      <c r="B4573" s="10">
        <v>499.10379999999998</v>
      </c>
      <c r="C4573" s="10">
        <v>500.29140000000001</v>
      </c>
      <c r="D4573" s="10">
        <v>492.67129999999997</v>
      </c>
      <c r="E4573" s="13">
        <f t="shared" si="213"/>
        <v>4.3546560823929216E-3</v>
      </c>
      <c r="F4573" s="9">
        <f t="shared" si="211"/>
        <v>2.5222266933546771E-2</v>
      </c>
      <c r="G4573" s="9">
        <f t="shared" si="212"/>
        <v>7.1986321411028455E-3</v>
      </c>
    </row>
    <row r="4574" spans="1:7" x14ac:dyDescent="0.2">
      <c r="A4574" s="11">
        <v>41717</v>
      </c>
      <c r="B4574" s="10">
        <v>498.8569</v>
      </c>
      <c r="C4574" s="10">
        <v>500.93259999999998</v>
      </c>
      <c r="D4574" s="10">
        <v>498.5806</v>
      </c>
      <c r="E4574" s="13">
        <f t="shared" si="213"/>
        <v>-4.9480907422001872E-4</v>
      </c>
      <c r="F4574" s="9">
        <f t="shared" si="211"/>
        <v>1.4457624845948883E-2</v>
      </c>
      <c r="G4574" s="9">
        <f t="shared" si="212"/>
        <v>6.9705319978883833E-3</v>
      </c>
    </row>
    <row r="4575" spans="1:7" x14ac:dyDescent="0.2">
      <c r="A4575" s="11">
        <v>41718</v>
      </c>
      <c r="B4575" s="10">
        <v>500.68889999999999</v>
      </c>
      <c r="C4575" s="10">
        <v>501.05309999999997</v>
      </c>
      <c r="D4575" s="10">
        <v>496.63400000000001</v>
      </c>
      <c r="E4575" s="13">
        <f t="shared" si="213"/>
        <v>3.6656690496849778E-3</v>
      </c>
      <c r="F4575" s="9">
        <f t="shared" si="211"/>
        <v>-2.2669017555077471E-3</v>
      </c>
      <c r="G4575" s="9">
        <f t="shared" si="212"/>
        <v>5.8711777642171106E-3</v>
      </c>
    </row>
    <row r="4576" spans="1:7" x14ac:dyDescent="0.2">
      <c r="A4576" s="11">
        <v>41719</v>
      </c>
      <c r="B4576" s="10">
        <v>506.92149999999998</v>
      </c>
      <c r="C4576" s="10">
        <v>507.16919999999999</v>
      </c>
      <c r="D4576" s="10">
        <v>500.649</v>
      </c>
      <c r="E4576" s="13">
        <f t="shared" si="213"/>
        <v>1.237120912956504E-2</v>
      </c>
      <c r="F4576" s="9">
        <f t="shared" ref="F4576:F4639" si="214">LN(B4576/B4547)</f>
        <v>1.2915607419595101E-2</v>
      </c>
      <c r="G4576" s="9">
        <f t="shared" si="212"/>
        <v>6.2813466279517862E-3</v>
      </c>
    </row>
    <row r="4577" spans="1:7" x14ac:dyDescent="0.2">
      <c r="A4577" s="11">
        <v>41722</v>
      </c>
      <c r="B4577" s="10">
        <v>505.05930000000001</v>
      </c>
      <c r="C4577" s="10">
        <v>508.44310000000002</v>
      </c>
      <c r="D4577" s="10">
        <v>504.09350000000001</v>
      </c>
      <c r="E4577" s="13">
        <f t="shared" si="213"/>
        <v>-3.680311132206588E-3</v>
      </c>
      <c r="F4577" s="9">
        <f t="shared" si="214"/>
        <v>3.5267885065320462E-3</v>
      </c>
      <c r="G4577" s="9">
        <f t="shared" ref="G4577:G4640" si="215">STDEV(E4549:E4577)</f>
        <v>6.2422229516660389E-3</v>
      </c>
    </row>
    <row r="4578" spans="1:7" x14ac:dyDescent="0.2">
      <c r="A4578" s="11">
        <v>41723</v>
      </c>
      <c r="B4578" s="10">
        <v>509.2885</v>
      </c>
      <c r="C4578" s="10">
        <v>509.36720000000003</v>
      </c>
      <c r="D4578" s="10">
        <v>504.62009999999998</v>
      </c>
      <c r="E4578" s="13">
        <f t="shared" si="213"/>
        <v>8.3388054997744401E-3</v>
      </c>
      <c r="F4578" s="9">
        <f t="shared" si="214"/>
        <v>1.6440489176694505E-2</v>
      </c>
      <c r="G4578" s="9">
        <f t="shared" si="215"/>
        <v>6.3548190620578869E-3</v>
      </c>
    </row>
    <row r="4579" spans="1:7" x14ac:dyDescent="0.2">
      <c r="A4579" s="11">
        <v>41724</v>
      </c>
      <c r="B4579" s="10">
        <v>513.93610000000001</v>
      </c>
      <c r="C4579" s="10">
        <v>514.00779999999997</v>
      </c>
      <c r="D4579" s="10">
        <v>509.24270000000001</v>
      </c>
      <c r="E4579" s="13">
        <f t="shared" si="213"/>
        <v>9.0842850369158793E-3</v>
      </c>
      <c r="F4579" s="9">
        <f t="shared" si="214"/>
        <v>3.2522477721822061E-2</v>
      </c>
      <c r="G4579" s="9">
        <f t="shared" si="215"/>
        <v>6.3727887217915249E-3</v>
      </c>
    </row>
    <row r="4580" spans="1:7" x14ac:dyDescent="0.2">
      <c r="A4580" s="11">
        <v>41725</v>
      </c>
      <c r="B4580" s="10">
        <v>511.96</v>
      </c>
      <c r="C4580" s="10">
        <v>513.8655</v>
      </c>
      <c r="D4580" s="10">
        <v>510.60430000000002</v>
      </c>
      <c r="E4580" s="13">
        <f t="shared" si="213"/>
        <v>-3.8524416731706185E-3</v>
      </c>
      <c r="F4580" s="9">
        <f t="shared" si="214"/>
        <v>2.4100905505246586E-2</v>
      </c>
      <c r="G4580" s="9">
        <f t="shared" si="215"/>
        <v>6.4018857148172579E-3</v>
      </c>
    </row>
    <row r="4581" spans="1:7" x14ac:dyDescent="0.2">
      <c r="A4581" s="11">
        <v>41726</v>
      </c>
      <c r="B4581" s="10">
        <v>512.23140000000001</v>
      </c>
      <c r="C4581" s="10">
        <v>514.69039999999995</v>
      </c>
      <c r="D4581" s="10">
        <v>511.7747</v>
      </c>
      <c r="E4581" s="13">
        <f t="shared" si="213"/>
        <v>5.2997907686498495E-4</v>
      </c>
      <c r="F4581" s="9">
        <f t="shared" si="214"/>
        <v>2.1512507589468124E-2</v>
      </c>
      <c r="G4581" s="9">
        <f t="shared" si="215"/>
        <v>6.3868832447051488E-3</v>
      </c>
    </row>
    <row r="4582" spans="1:7" x14ac:dyDescent="0.2">
      <c r="A4582" s="11">
        <v>41729</v>
      </c>
      <c r="B4582" s="10">
        <v>513.34</v>
      </c>
      <c r="C4582" s="10">
        <v>515.15980000000002</v>
      </c>
      <c r="D4582" s="10">
        <v>510.815</v>
      </c>
      <c r="E4582" s="13">
        <f t="shared" si="213"/>
        <v>2.1619176037657936E-3</v>
      </c>
      <c r="F4582" s="9">
        <f t="shared" si="214"/>
        <v>2.5768253221243587E-2</v>
      </c>
      <c r="G4582" s="9">
        <f t="shared" si="215"/>
        <v>6.3682670317905124E-3</v>
      </c>
    </row>
    <row r="4583" spans="1:7" x14ac:dyDescent="0.2">
      <c r="A4583" s="11">
        <v>41730</v>
      </c>
      <c r="B4583" s="10">
        <v>511.04660000000001</v>
      </c>
      <c r="C4583" s="10">
        <v>515.18820000000005</v>
      </c>
      <c r="D4583" s="10">
        <v>510.11930000000001</v>
      </c>
      <c r="E4583" s="13">
        <f t="shared" si="213"/>
        <v>-4.4776138846443301E-3</v>
      </c>
      <c r="F4583" s="9">
        <f t="shared" si="214"/>
        <v>1.9391113506970172E-2</v>
      </c>
      <c r="G4583" s="9">
        <f t="shared" si="215"/>
        <v>6.4417902735054581E-3</v>
      </c>
    </row>
    <row r="4584" spans="1:7" x14ac:dyDescent="0.2">
      <c r="A4584" s="11">
        <v>41731</v>
      </c>
      <c r="B4584" s="10">
        <v>511.57100000000003</v>
      </c>
      <c r="C4584" s="10">
        <v>513.80820000000006</v>
      </c>
      <c r="D4584" s="10">
        <v>510.88690000000003</v>
      </c>
      <c r="E4584" s="13">
        <f t="shared" si="213"/>
        <v>1.0256034043740307E-3</v>
      </c>
      <c r="F4584" s="9">
        <f t="shared" si="214"/>
        <v>1.573247697294608E-2</v>
      </c>
      <c r="G4584" s="9">
        <f t="shared" si="215"/>
        <v>6.3960017658883355E-3</v>
      </c>
    </row>
    <row r="4585" spans="1:7" x14ac:dyDescent="0.2">
      <c r="A4585" s="11">
        <v>41732</v>
      </c>
      <c r="B4585" s="10">
        <v>510.57709999999997</v>
      </c>
      <c r="C4585" s="10">
        <v>513.10889999999995</v>
      </c>
      <c r="D4585" s="10">
        <v>509.06939999999997</v>
      </c>
      <c r="E4585" s="13">
        <f t="shared" si="213"/>
        <v>-1.9447285833464256E-3</v>
      </c>
      <c r="F4585" s="9">
        <f t="shared" si="214"/>
        <v>9.4890945739801273E-3</v>
      </c>
      <c r="G4585" s="9">
        <f t="shared" si="215"/>
        <v>6.3700778007939832E-3</v>
      </c>
    </row>
    <row r="4586" spans="1:7" x14ac:dyDescent="0.2">
      <c r="A4586" s="11">
        <v>41733</v>
      </c>
      <c r="B4586" s="10">
        <v>513.28179999999998</v>
      </c>
      <c r="C4586" s="10">
        <v>513.41020000000003</v>
      </c>
      <c r="D4586" s="10">
        <v>509.00510000000003</v>
      </c>
      <c r="E4586" s="13">
        <f t="shared" si="213"/>
        <v>5.2833574851962484E-3</v>
      </c>
      <c r="F4586" s="9">
        <f t="shared" si="214"/>
        <v>9.7026282225887318E-3</v>
      </c>
      <c r="G4586" s="9">
        <f t="shared" si="215"/>
        <v>6.375876390169454E-3</v>
      </c>
    </row>
    <row r="4587" spans="1:7" x14ac:dyDescent="0.2">
      <c r="A4587" s="11">
        <v>41736</v>
      </c>
      <c r="B4587" s="10">
        <v>505.04270000000002</v>
      </c>
      <c r="C4587" s="10">
        <v>513.18200000000002</v>
      </c>
      <c r="D4587" s="10">
        <v>503.59370000000001</v>
      </c>
      <c r="E4587" s="13">
        <f t="shared" si="213"/>
        <v>-1.6182031933522377E-2</v>
      </c>
      <c r="F4587" s="9">
        <f t="shared" si="214"/>
        <v>2.4904129445547304E-3</v>
      </c>
      <c r="G4587" s="9">
        <f t="shared" si="215"/>
        <v>6.8730407940257379E-3</v>
      </c>
    </row>
    <row r="4588" spans="1:7" x14ac:dyDescent="0.2">
      <c r="A4588" s="11">
        <v>41737</v>
      </c>
      <c r="B4588" s="10">
        <v>500.46640000000002</v>
      </c>
      <c r="C4588" s="10">
        <v>506.01549999999997</v>
      </c>
      <c r="D4588" s="10">
        <v>499.62909999999999</v>
      </c>
      <c r="E4588" s="13">
        <f t="shared" si="213"/>
        <v>-9.1025165216482816E-3</v>
      </c>
      <c r="F4588" s="9">
        <f t="shared" si="214"/>
        <v>-8.2558931590264676E-3</v>
      </c>
      <c r="G4588" s="9">
        <f t="shared" si="215"/>
        <v>7.0728368892254631E-3</v>
      </c>
    </row>
    <row r="4589" spans="1:7" x14ac:dyDescent="0.2">
      <c r="A4589" s="11">
        <v>41738</v>
      </c>
      <c r="B4589" s="10">
        <v>506.5523</v>
      </c>
      <c r="C4589" s="10">
        <v>508.37639999999999</v>
      </c>
      <c r="D4589" s="10">
        <v>500.65789999999998</v>
      </c>
      <c r="E4589" s="13">
        <f t="shared" si="213"/>
        <v>1.208711237394601E-2</v>
      </c>
      <c r="F4589" s="9">
        <f t="shared" si="214"/>
        <v>3.4900273702555894E-3</v>
      </c>
      <c r="G4589" s="9">
        <f t="shared" si="215"/>
        <v>7.4369079767122844E-3</v>
      </c>
    </row>
    <row r="4590" spans="1:7" x14ac:dyDescent="0.2">
      <c r="A4590" s="11">
        <v>41739</v>
      </c>
      <c r="B4590" s="10">
        <v>506.38420000000002</v>
      </c>
      <c r="C4590" s="10">
        <v>509.68560000000002</v>
      </c>
      <c r="D4590" s="10">
        <v>504.68220000000002</v>
      </c>
      <c r="E4590" s="13">
        <f t="shared" si="213"/>
        <v>-3.3190629727172777E-4</v>
      </c>
      <c r="F4590" s="9">
        <f t="shared" si="214"/>
        <v>-2.8794317353934727E-3</v>
      </c>
      <c r="G4590" s="9">
        <f t="shared" si="215"/>
        <v>7.3494534152731394E-3</v>
      </c>
    </row>
    <row r="4591" spans="1:7" x14ac:dyDescent="0.2">
      <c r="A4591" s="11">
        <v>41740</v>
      </c>
      <c r="B4591" s="10">
        <v>494.58139999999997</v>
      </c>
      <c r="C4591" s="10">
        <v>506.34309999999999</v>
      </c>
      <c r="D4591" s="10">
        <v>494.58139999999997</v>
      </c>
      <c r="E4591" s="13">
        <f t="shared" si="213"/>
        <v>-2.3583921477499041E-2</v>
      </c>
      <c r="F4591" s="9">
        <f t="shared" si="214"/>
        <v>-2.347984488414211E-2</v>
      </c>
      <c r="G4591" s="9">
        <f t="shared" si="215"/>
        <v>8.5376906234050851E-3</v>
      </c>
    </row>
    <row r="4592" spans="1:7" x14ac:dyDescent="0.2">
      <c r="A4592" s="11">
        <v>41743</v>
      </c>
      <c r="B4592" s="10">
        <v>498.4384</v>
      </c>
      <c r="C4592" s="10">
        <v>498.85070000000002</v>
      </c>
      <c r="D4592" s="10">
        <v>493.53059999999999</v>
      </c>
      <c r="E4592" s="13">
        <f t="shared" si="213"/>
        <v>7.7682628204611449E-3</v>
      </c>
      <c r="F4592" s="9">
        <f t="shared" si="214"/>
        <v>-2.5028512746250509E-2</v>
      </c>
      <c r="G4592" s="9">
        <f t="shared" si="215"/>
        <v>8.4767134027809721E-3</v>
      </c>
    </row>
    <row r="4593" spans="1:7" x14ac:dyDescent="0.2">
      <c r="A4593" s="11">
        <v>41744</v>
      </c>
      <c r="B4593" s="10">
        <v>498.94439999999997</v>
      </c>
      <c r="C4593" s="10">
        <v>502.14190000000002</v>
      </c>
      <c r="D4593" s="10">
        <v>497.33359999999999</v>
      </c>
      <c r="E4593" s="13">
        <f t="shared" si="213"/>
        <v>1.014655643573632E-3</v>
      </c>
      <c r="F4593" s="9">
        <f t="shared" si="214"/>
        <v>-1.9977907507918193E-2</v>
      </c>
      <c r="G4593" s="9">
        <f t="shared" si="215"/>
        <v>8.461065587036385E-3</v>
      </c>
    </row>
    <row r="4594" spans="1:7" x14ac:dyDescent="0.2">
      <c r="A4594" s="11">
        <v>41745</v>
      </c>
      <c r="B4594" s="10">
        <v>503.7903</v>
      </c>
      <c r="C4594" s="10">
        <v>503.7903</v>
      </c>
      <c r="D4594" s="10">
        <v>499.4418</v>
      </c>
      <c r="E4594" s="13">
        <f t="shared" si="213"/>
        <v>9.6654433632225381E-3</v>
      </c>
      <c r="F4594" s="9">
        <f t="shared" si="214"/>
        <v>-1.2900404498805147E-2</v>
      </c>
      <c r="G4594" s="9">
        <f t="shared" si="215"/>
        <v>8.6587219375742659E-3</v>
      </c>
    </row>
    <row r="4595" spans="1:7" x14ac:dyDescent="0.2">
      <c r="A4595" s="11">
        <v>41751</v>
      </c>
      <c r="B4595" s="10">
        <v>513.39959999999996</v>
      </c>
      <c r="C4595" s="10">
        <v>513.41420000000005</v>
      </c>
      <c r="D4595" s="10">
        <v>503.82909999999998</v>
      </c>
      <c r="E4595" s="13">
        <f t="shared" si="213"/>
        <v>1.8894379256078245E-2</v>
      </c>
      <c r="F4595" s="9">
        <f t="shared" si="214"/>
        <v>9.6824935125797724E-3</v>
      </c>
      <c r="G4595" s="9">
        <f t="shared" si="215"/>
        <v>9.3448902903605323E-3</v>
      </c>
    </row>
    <row r="4596" spans="1:7" x14ac:dyDescent="0.2">
      <c r="A4596" s="11">
        <v>41752</v>
      </c>
      <c r="B4596" s="10">
        <v>511.41210000000001</v>
      </c>
      <c r="C4596" s="10">
        <v>514.58159999999998</v>
      </c>
      <c r="D4596" s="10">
        <v>510.01339999999999</v>
      </c>
      <c r="E4596" s="13">
        <f t="shared" si="213"/>
        <v>-3.87876620026653E-3</v>
      </c>
      <c r="F4596" s="9">
        <f t="shared" si="214"/>
        <v>1.4130120755632317E-2</v>
      </c>
      <c r="G4596" s="9">
        <f t="shared" si="215"/>
        <v>9.2335166460444044E-3</v>
      </c>
    </row>
    <row r="4597" spans="1:7" x14ac:dyDescent="0.2">
      <c r="A4597" s="11">
        <v>41753</v>
      </c>
      <c r="B4597" s="10">
        <v>514.76</v>
      </c>
      <c r="C4597" s="10">
        <v>517.37800000000004</v>
      </c>
      <c r="D4597" s="10">
        <v>511.84730000000002</v>
      </c>
      <c r="E4597" s="13">
        <f t="shared" si="213"/>
        <v>6.5250495085890483E-3</v>
      </c>
      <c r="F4597" s="9">
        <f t="shared" si="214"/>
        <v>1.6483307464123863E-2</v>
      </c>
      <c r="G4597" s="9">
        <f t="shared" si="215"/>
        <v>9.2772897728438924E-3</v>
      </c>
    </row>
    <row r="4598" spans="1:7" x14ac:dyDescent="0.2">
      <c r="A4598" s="11">
        <v>41754</v>
      </c>
      <c r="B4598" s="10">
        <v>517.75670000000002</v>
      </c>
      <c r="C4598" s="10">
        <v>517.84720000000004</v>
      </c>
      <c r="D4598" s="10">
        <v>514.20389999999998</v>
      </c>
      <c r="E4598" s="13">
        <f t="shared" si="213"/>
        <v>5.8046681749023788E-3</v>
      </c>
      <c r="F4598" s="9">
        <f t="shared" si="214"/>
        <v>3.7613026512597243E-2</v>
      </c>
      <c r="G4598" s="9">
        <f t="shared" si="215"/>
        <v>8.8020467568596852E-3</v>
      </c>
    </row>
    <row r="4599" spans="1:7" x14ac:dyDescent="0.2">
      <c r="A4599" s="11">
        <v>41757</v>
      </c>
      <c r="B4599" s="10">
        <v>518.37480000000005</v>
      </c>
      <c r="C4599" s="10">
        <v>518.66250000000002</v>
      </c>
      <c r="D4599" s="10">
        <v>516.12519999999995</v>
      </c>
      <c r="E4599" s="13">
        <f t="shared" si="213"/>
        <v>1.1930919450292541E-3</v>
      </c>
      <c r="F4599" s="9">
        <f t="shared" si="214"/>
        <v>4.4224627353499517E-2</v>
      </c>
      <c r="G4599" s="9">
        <f t="shared" si="215"/>
        <v>8.7070048363245434E-3</v>
      </c>
    </row>
    <row r="4600" spans="1:7" x14ac:dyDescent="0.2">
      <c r="A4600" s="11">
        <v>41758</v>
      </c>
      <c r="B4600" s="10">
        <v>527.17589999999996</v>
      </c>
      <c r="C4600" s="10">
        <v>527.34180000000003</v>
      </c>
      <c r="D4600" s="10">
        <v>518.38239999999996</v>
      </c>
      <c r="E4600" s="13">
        <f t="shared" si="213"/>
        <v>1.6835736196200556E-2</v>
      </c>
      <c r="F4600" s="9">
        <f t="shared" si="214"/>
        <v>6.7572912266242652E-2</v>
      </c>
      <c r="G4600" s="9">
        <f t="shared" si="215"/>
        <v>9.0114077892103437E-3</v>
      </c>
    </row>
    <row r="4601" spans="1:7" x14ac:dyDescent="0.2">
      <c r="A4601" s="11">
        <v>41759</v>
      </c>
      <c r="B4601" s="10">
        <v>529.60969999999998</v>
      </c>
      <c r="C4601" s="10">
        <v>532.10649999999998</v>
      </c>
      <c r="D4601" s="10">
        <v>526.58320000000003</v>
      </c>
      <c r="E4601" s="13">
        <f t="shared" si="213"/>
        <v>4.6060512234413625E-3</v>
      </c>
      <c r="F4601" s="9">
        <f t="shared" si="214"/>
        <v>6.3680886096182762E-2</v>
      </c>
      <c r="G4601" s="9">
        <f t="shared" si="215"/>
        <v>8.9450042751082308E-3</v>
      </c>
    </row>
    <row r="4602" spans="1:7" x14ac:dyDescent="0.2">
      <c r="A4602" s="11">
        <v>41761</v>
      </c>
      <c r="B4602" s="10">
        <v>534.19799999999998</v>
      </c>
      <c r="C4602" s="10">
        <v>534.19799999999998</v>
      </c>
      <c r="D4602" s="10">
        <v>529.74670000000003</v>
      </c>
      <c r="E4602" s="13">
        <f t="shared" si="213"/>
        <v>8.6262365876781412E-3</v>
      </c>
      <c r="F4602" s="9">
        <f t="shared" si="214"/>
        <v>6.7952466601467906E-2</v>
      </c>
      <c r="G4602" s="9">
        <f t="shared" si="215"/>
        <v>9.016704179113981E-3</v>
      </c>
    </row>
    <row r="4603" spans="1:7" x14ac:dyDescent="0.2">
      <c r="A4603" s="11">
        <v>41764</v>
      </c>
      <c r="B4603" s="10">
        <v>532.99710000000005</v>
      </c>
      <c r="C4603" s="10">
        <v>535.08690000000001</v>
      </c>
      <c r="D4603" s="10">
        <v>530.43589999999995</v>
      </c>
      <c r="E4603" s="13">
        <f t="shared" si="213"/>
        <v>-2.2505735022356928E-3</v>
      </c>
      <c r="F4603" s="9">
        <f t="shared" si="214"/>
        <v>6.619670217345229E-2</v>
      </c>
      <c r="G4603" s="9">
        <f t="shared" si="215"/>
        <v>9.0422990872176378E-3</v>
      </c>
    </row>
    <row r="4604" spans="1:7" x14ac:dyDescent="0.2">
      <c r="A4604" s="11">
        <v>41765</v>
      </c>
      <c r="B4604" s="10">
        <v>533.57190000000003</v>
      </c>
      <c r="C4604" s="10">
        <v>535.90710000000001</v>
      </c>
      <c r="D4604" s="10">
        <v>531.34519999999998</v>
      </c>
      <c r="E4604" s="13">
        <f t="shared" si="213"/>
        <v>1.0778487948707104E-3</v>
      </c>
      <c r="F4604" s="9">
        <f t="shared" si="214"/>
        <v>6.3608881918637936E-2</v>
      </c>
      <c r="G4604" s="9">
        <f t="shared" si="215"/>
        <v>9.0409321010762617E-3</v>
      </c>
    </row>
    <row r="4605" spans="1:7" x14ac:dyDescent="0.2">
      <c r="A4605" s="11">
        <v>41766</v>
      </c>
      <c r="B4605" s="10">
        <v>534.71220000000005</v>
      </c>
      <c r="C4605" s="10">
        <v>537.03499999999997</v>
      </c>
      <c r="D4605" s="10">
        <v>530.50239999999997</v>
      </c>
      <c r="E4605" s="13">
        <f t="shared" si="213"/>
        <v>2.1348261816773778E-3</v>
      </c>
      <c r="F4605" s="9">
        <f t="shared" si="214"/>
        <v>5.3372498970750241E-2</v>
      </c>
      <c r="G4605" s="9">
        <f t="shared" si="215"/>
        <v>8.8266627268871953E-3</v>
      </c>
    </row>
    <row r="4606" spans="1:7" x14ac:dyDescent="0.2">
      <c r="A4606" s="11">
        <v>41767</v>
      </c>
      <c r="B4606" s="10">
        <v>539.73569999999995</v>
      </c>
      <c r="C4606" s="10">
        <v>539.78399999999999</v>
      </c>
      <c r="D4606" s="10">
        <v>534.83109999999999</v>
      </c>
      <c r="E4606" s="13">
        <f t="shared" si="213"/>
        <v>9.3509170698180509E-3</v>
      </c>
      <c r="F4606" s="9">
        <f t="shared" si="214"/>
        <v>6.6403727172774665E-2</v>
      </c>
      <c r="G4606" s="9">
        <f t="shared" si="215"/>
        <v>8.8671796265904438E-3</v>
      </c>
    </row>
    <row r="4607" spans="1:7" x14ac:dyDescent="0.2">
      <c r="A4607" s="11">
        <v>41768</v>
      </c>
      <c r="B4607" s="10">
        <v>540.28779999999995</v>
      </c>
      <c r="C4607" s="10">
        <v>540.33730000000003</v>
      </c>
      <c r="D4607" s="10">
        <v>537.05290000000002</v>
      </c>
      <c r="E4607" s="13">
        <f t="shared" si="213"/>
        <v>1.0223852501193796E-3</v>
      </c>
      <c r="F4607" s="9">
        <f t="shared" si="214"/>
        <v>5.9087306923119594E-2</v>
      </c>
      <c r="G4607" s="9">
        <f t="shared" si="215"/>
        <v>8.7926963575863052E-3</v>
      </c>
    </row>
    <row r="4608" spans="1:7" x14ac:dyDescent="0.2">
      <c r="A4608" s="11">
        <v>41771</v>
      </c>
      <c r="B4608" s="10">
        <v>545.96140000000003</v>
      </c>
      <c r="C4608" s="10">
        <v>545.9683</v>
      </c>
      <c r="D4608" s="10">
        <v>538.89009999999996</v>
      </c>
      <c r="E4608" s="13">
        <f t="shared" si="213"/>
        <v>1.0446316728165789E-2</v>
      </c>
      <c r="F4608" s="9">
        <f t="shared" si="214"/>
        <v>6.044933861436947E-2</v>
      </c>
      <c r="G4608" s="9">
        <f t="shared" si="215"/>
        <v>8.8352163167073391E-3</v>
      </c>
    </row>
    <row r="4609" spans="1:7" x14ac:dyDescent="0.2">
      <c r="A4609" s="11">
        <v>41772</v>
      </c>
      <c r="B4609" s="10">
        <v>545.35770000000002</v>
      </c>
      <c r="C4609" s="10">
        <v>547.12469999999996</v>
      </c>
      <c r="D4609" s="10">
        <v>543.53989999999999</v>
      </c>
      <c r="E4609" s="13">
        <f t="shared" si="213"/>
        <v>-1.1063676271768613E-3</v>
      </c>
      <c r="F4609" s="9">
        <f t="shared" si="214"/>
        <v>6.3195412660363409E-2</v>
      </c>
      <c r="G4609" s="9">
        <f t="shared" si="215"/>
        <v>8.7838810859114658E-3</v>
      </c>
    </row>
    <row r="4610" spans="1:7" x14ac:dyDescent="0.2">
      <c r="A4610" s="11">
        <v>41773</v>
      </c>
      <c r="B4610" s="10">
        <v>547.34339999999997</v>
      </c>
      <c r="C4610" s="10">
        <v>547.54930000000002</v>
      </c>
      <c r="D4610" s="10">
        <v>544.91010000000006</v>
      </c>
      <c r="E4610" s="13">
        <f t="shared" si="213"/>
        <v>3.6344837318033883E-3</v>
      </c>
      <c r="F4610" s="9">
        <f t="shared" si="214"/>
        <v>6.6299917315301854E-2</v>
      </c>
      <c r="G4610" s="9">
        <f t="shared" si="215"/>
        <v>8.7819818563906627E-3</v>
      </c>
    </row>
    <row r="4611" spans="1:7" x14ac:dyDescent="0.2">
      <c r="A4611" s="11">
        <v>41774</v>
      </c>
      <c r="B4611" s="10">
        <v>545.49549999999999</v>
      </c>
      <c r="C4611" s="10">
        <v>550.08709999999996</v>
      </c>
      <c r="D4611" s="10">
        <v>544.19330000000002</v>
      </c>
      <c r="E4611" s="13">
        <f t="shared" si="213"/>
        <v>-3.3818374532153367E-3</v>
      </c>
      <c r="F4611" s="9">
        <f t="shared" si="214"/>
        <v>6.0756162258320812E-2</v>
      </c>
      <c r="G4611" s="9">
        <f t="shared" si="215"/>
        <v>8.8448960872233445E-3</v>
      </c>
    </row>
    <row r="4612" spans="1:7" x14ac:dyDescent="0.2">
      <c r="A4612" s="11">
        <v>41775</v>
      </c>
      <c r="B4612" s="10">
        <v>543.8066</v>
      </c>
      <c r="C4612" s="10">
        <v>547.14689999999996</v>
      </c>
      <c r="D4612" s="10">
        <v>538.89919999999995</v>
      </c>
      <c r="E4612" s="13">
        <f t="shared" ref="E4612:E4675" si="216">LN(B4612/B4611)</f>
        <v>-3.1008869868170879E-3</v>
      </c>
      <c r="F4612" s="9">
        <f t="shared" si="214"/>
        <v>6.2132889156147904E-2</v>
      </c>
      <c r="G4612" s="9">
        <f t="shared" si="215"/>
        <v>8.8119921339990023E-3</v>
      </c>
    </row>
    <row r="4613" spans="1:7" x14ac:dyDescent="0.2">
      <c r="A4613" s="11">
        <v>41778</v>
      </c>
      <c r="B4613" s="10">
        <v>545.10929999999996</v>
      </c>
      <c r="C4613" s="10">
        <v>546.27779999999996</v>
      </c>
      <c r="D4613" s="10">
        <v>541.98389999999995</v>
      </c>
      <c r="E4613" s="13">
        <f t="shared" si="216"/>
        <v>2.3926560746793221E-3</v>
      </c>
      <c r="F4613" s="9">
        <f t="shared" si="214"/>
        <v>6.3499941826453341E-2</v>
      </c>
      <c r="G4613" s="9">
        <f t="shared" si="215"/>
        <v>8.8094599948011706E-3</v>
      </c>
    </row>
    <row r="4614" spans="1:7" x14ac:dyDescent="0.2">
      <c r="A4614" s="11">
        <v>41779</v>
      </c>
      <c r="B4614" s="10">
        <v>542.38430000000005</v>
      </c>
      <c r="C4614" s="10">
        <v>545.6848</v>
      </c>
      <c r="D4614" s="10">
        <v>540.03409999999997</v>
      </c>
      <c r="E4614" s="13">
        <f t="shared" si="216"/>
        <v>-5.0115342348744287E-3</v>
      </c>
      <c r="F4614" s="9">
        <f t="shared" si="214"/>
        <v>6.0433136174925385E-2</v>
      </c>
      <c r="G4614" s="9">
        <f t="shared" si="215"/>
        <v>8.8789961992031177E-3</v>
      </c>
    </row>
    <row r="4615" spans="1:7" x14ac:dyDescent="0.2">
      <c r="A4615" s="11">
        <v>41780</v>
      </c>
      <c r="B4615" s="10">
        <v>545.57069999999999</v>
      </c>
      <c r="C4615" s="10">
        <v>545.72519999999997</v>
      </c>
      <c r="D4615" s="10">
        <v>542.08669999999995</v>
      </c>
      <c r="E4615" s="13">
        <f t="shared" si="216"/>
        <v>5.85761196165823E-3</v>
      </c>
      <c r="F4615" s="9">
        <f t="shared" si="214"/>
        <v>6.1007390651387418E-2</v>
      </c>
      <c r="G4615" s="9">
        <f t="shared" si="215"/>
        <v>8.8870231621588219E-3</v>
      </c>
    </row>
    <row r="4616" spans="1:7" x14ac:dyDescent="0.2">
      <c r="A4616" s="11">
        <v>41781</v>
      </c>
      <c r="B4616" s="10">
        <v>549.08860000000004</v>
      </c>
      <c r="C4616" s="10">
        <v>549.13400000000001</v>
      </c>
      <c r="D4616" s="10">
        <v>545.73469999999998</v>
      </c>
      <c r="E4616" s="13">
        <f t="shared" si="216"/>
        <v>6.4274100824459161E-3</v>
      </c>
      <c r="F4616" s="9">
        <f t="shared" si="214"/>
        <v>8.3616832667355742E-2</v>
      </c>
      <c r="G4616" s="9">
        <f t="shared" si="215"/>
        <v>8.1899682996212642E-3</v>
      </c>
    </row>
    <row r="4617" spans="1:7" x14ac:dyDescent="0.2">
      <c r="A4617" s="11">
        <v>41782</v>
      </c>
      <c r="B4617" s="10">
        <v>551.69970000000001</v>
      </c>
      <c r="C4617" s="10">
        <v>551.72900000000004</v>
      </c>
      <c r="D4617" s="10">
        <v>547.32659999999998</v>
      </c>
      <c r="E4617" s="13">
        <f t="shared" si="216"/>
        <v>4.7440636808125606E-3</v>
      </c>
      <c r="F4617" s="9">
        <f t="shared" si="214"/>
        <v>9.7463412869816454E-2</v>
      </c>
      <c r="G4617" s="9">
        <f t="shared" si="215"/>
        <v>7.8633565176293944E-3</v>
      </c>
    </row>
    <row r="4618" spans="1:7" x14ac:dyDescent="0.2">
      <c r="A4618" s="11">
        <v>41785</v>
      </c>
      <c r="B4618" s="10">
        <v>550.73450000000003</v>
      </c>
      <c r="C4618" s="10">
        <v>556.21990000000005</v>
      </c>
      <c r="D4618" s="10">
        <v>550.52700000000004</v>
      </c>
      <c r="E4618" s="13">
        <f t="shared" si="216"/>
        <v>-1.7510346587912844E-3</v>
      </c>
      <c r="F4618" s="9">
        <f t="shared" si="214"/>
        <v>8.3625265837079021E-2</v>
      </c>
      <c r="G4618" s="9">
        <f t="shared" si="215"/>
        <v>7.7337059060494781E-3</v>
      </c>
    </row>
    <row r="4619" spans="1:7" x14ac:dyDescent="0.2">
      <c r="A4619" s="11">
        <v>41786</v>
      </c>
      <c r="B4619" s="10">
        <v>553.68489999999997</v>
      </c>
      <c r="C4619" s="10">
        <v>554.85270000000003</v>
      </c>
      <c r="D4619" s="10">
        <v>550.81619999999998</v>
      </c>
      <c r="E4619" s="13">
        <f t="shared" si="216"/>
        <v>5.3429105259773756E-3</v>
      </c>
      <c r="F4619" s="9">
        <f t="shared" si="214"/>
        <v>8.9300082660328114E-2</v>
      </c>
      <c r="G4619" s="9">
        <f t="shared" si="215"/>
        <v>7.7212224205856946E-3</v>
      </c>
    </row>
    <row r="4620" spans="1:7" x14ac:dyDescent="0.2">
      <c r="A4620" s="11">
        <v>41787</v>
      </c>
      <c r="B4620" s="10">
        <v>555.19889999999998</v>
      </c>
      <c r="C4620" s="10">
        <v>557.07050000000004</v>
      </c>
      <c r="D4620" s="10">
        <v>552.28980000000001</v>
      </c>
      <c r="E4620" s="13">
        <f t="shared" si="216"/>
        <v>2.7306755509872087E-3</v>
      </c>
      <c r="F4620" s="9">
        <f t="shared" si="214"/>
        <v>0.11561467968881449</v>
      </c>
      <c r="G4620" s="9">
        <f t="shared" si="215"/>
        <v>5.7774169990250073E-3</v>
      </c>
    </row>
    <row r="4621" spans="1:7" x14ac:dyDescent="0.2">
      <c r="A4621" s="11">
        <v>41789</v>
      </c>
      <c r="B4621" s="10">
        <v>554.43150000000003</v>
      </c>
      <c r="C4621" s="10">
        <v>557.11829999999998</v>
      </c>
      <c r="D4621" s="10">
        <v>553.77660000000003</v>
      </c>
      <c r="E4621" s="13">
        <f t="shared" si="216"/>
        <v>-1.3831634792005245E-3</v>
      </c>
      <c r="F4621" s="9">
        <f t="shared" si="214"/>
        <v>0.10646325338915286</v>
      </c>
      <c r="G4621" s="9">
        <f t="shared" si="215"/>
        <v>5.8133064547720679E-3</v>
      </c>
    </row>
    <row r="4622" spans="1:7" x14ac:dyDescent="0.2">
      <c r="A4622" s="11">
        <v>41792</v>
      </c>
      <c r="B4622" s="10">
        <v>560.02200000000005</v>
      </c>
      <c r="C4622" s="10">
        <v>560.86239999999998</v>
      </c>
      <c r="D4622" s="10">
        <v>554.43150000000003</v>
      </c>
      <c r="E4622" s="13">
        <f t="shared" si="216"/>
        <v>1.0032804228397304E-2</v>
      </c>
      <c r="F4622" s="9">
        <f t="shared" si="214"/>
        <v>0.11548140197397636</v>
      </c>
      <c r="G4622" s="9">
        <f t="shared" si="215"/>
        <v>5.9065830620712804E-3</v>
      </c>
    </row>
    <row r="4623" spans="1:7" x14ac:dyDescent="0.2">
      <c r="A4623" s="11">
        <v>41793</v>
      </c>
      <c r="B4623" s="10">
        <v>561.78420000000006</v>
      </c>
      <c r="C4623" s="10">
        <v>561.78420000000006</v>
      </c>
      <c r="D4623" s="10">
        <v>558.68960000000004</v>
      </c>
      <c r="E4623" s="13">
        <f t="shared" si="216"/>
        <v>3.1417217153377522E-3</v>
      </c>
      <c r="F4623" s="9">
        <f t="shared" si="214"/>
        <v>0.10895768032609156</v>
      </c>
      <c r="G4623" s="9">
        <f t="shared" si="215"/>
        <v>5.8057692275482907E-3</v>
      </c>
    </row>
    <row r="4624" spans="1:7" x14ac:dyDescent="0.2">
      <c r="A4624" s="11">
        <v>41794</v>
      </c>
      <c r="B4624" s="10">
        <v>558.721</v>
      </c>
      <c r="C4624" s="10">
        <v>561.98649999999998</v>
      </c>
      <c r="D4624" s="10">
        <v>555.73479999999995</v>
      </c>
      <c r="E4624" s="13">
        <f t="shared" si="216"/>
        <v>-5.4675473723048186E-3</v>
      </c>
      <c r="F4624" s="9">
        <f t="shared" si="214"/>
        <v>8.459575369770865E-2</v>
      </c>
      <c r="G4624" s="9">
        <f t="shared" si="215"/>
        <v>5.2755806290021882E-3</v>
      </c>
    </row>
    <row r="4625" spans="1:7" x14ac:dyDescent="0.2">
      <c r="A4625" s="11">
        <v>41795</v>
      </c>
      <c r="B4625" s="10">
        <v>565.90769999999998</v>
      </c>
      <c r="C4625" s="10">
        <v>569.15369999999996</v>
      </c>
      <c r="D4625" s="10">
        <v>558.70510000000002</v>
      </c>
      <c r="E4625" s="13">
        <f t="shared" si="216"/>
        <v>1.2780747685341801E-2</v>
      </c>
      <c r="F4625" s="9">
        <f t="shared" si="214"/>
        <v>0.10125526758331692</v>
      </c>
      <c r="G4625" s="9">
        <f t="shared" si="215"/>
        <v>5.4143546619439551E-3</v>
      </c>
    </row>
    <row r="4626" spans="1:7" x14ac:dyDescent="0.2">
      <c r="A4626" s="11">
        <v>41796</v>
      </c>
      <c r="B4626" s="10">
        <v>569.85940000000005</v>
      </c>
      <c r="C4626" s="10">
        <v>569.85940000000005</v>
      </c>
      <c r="D4626" s="10">
        <v>565.23440000000005</v>
      </c>
      <c r="E4626" s="13">
        <f t="shared" si="216"/>
        <v>6.9586730345113481E-3</v>
      </c>
      <c r="F4626" s="9">
        <f t="shared" si="214"/>
        <v>0.10168889110923918</v>
      </c>
      <c r="G4626" s="9">
        <f t="shared" si="215"/>
        <v>5.4236221059499289E-3</v>
      </c>
    </row>
    <row r="4627" spans="1:7" x14ac:dyDescent="0.2">
      <c r="A4627" s="11">
        <v>41800</v>
      </c>
      <c r="B4627" s="10">
        <v>570.31389999999999</v>
      </c>
      <c r="C4627" s="10">
        <v>572.66110000000003</v>
      </c>
      <c r="D4627" s="10">
        <v>567.33839999999998</v>
      </c>
      <c r="E4627" s="13">
        <f t="shared" si="216"/>
        <v>7.9724726771510763E-4</v>
      </c>
      <c r="F4627" s="9">
        <f t="shared" si="214"/>
        <v>9.6681470202052144E-2</v>
      </c>
      <c r="G4627" s="9">
        <f t="shared" si="215"/>
        <v>5.4275518278200981E-3</v>
      </c>
    </row>
    <row r="4628" spans="1:7" x14ac:dyDescent="0.2">
      <c r="A4628" s="11">
        <v>41801</v>
      </c>
      <c r="B4628" s="10">
        <v>567.71040000000005</v>
      </c>
      <c r="C4628" s="10">
        <v>571.67020000000002</v>
      </c>
      <c r="D4628" s="10">
        <v>565.11620000000005</v>
      </c>
      <c r="E4628" s="13">
        <f t="shared" si="216"/>
        <v>-4.5754814585729411E-3</v>
      </c>
      <c r="F4628" s="9">
        <f t="shared" si="214"/>
        <v>9.0912896798450119E-2</v>
      </c>
      <c r="G4628" s="9">
        <f t="shared" si="215"/>
        <v>5.6114044325161309E-3</v>
      </c>
    </row>
    <row r="4629" spans="1:7" x14ac:dyDescent="0.2">
      <c r="A4629" s="11">
        <v>41802</v>
      </c>
      <c r="B4629" s="10">
        <v>571.48310000000004</v>
      </c>
      <c r="C4629" s="10">
        <v>571.48310000000004</v>
      </c>
      <c r="D4629" s="10">
        <v>564.94219999999996</v>
      </c>
      <c r="E4629" s="13">
        <f t="shared" si="216"/>
        <v>6.6234819501929968E-3</v>
      </c>
      <c r="F4629" s="9">
        <f t="shared" si="214"/>
        <v>8.0700642552442484E-2</v>
      </c>
      <c r="G4629" s="9">
        <f t="shared" si="215"/>
        <v>5.0089980209263238E-3</v>
      </c>
    </row>
    <row r="4630" spans="1:7" x14ac:dyDescent="0.2">
      <c r="A4630" s="11">
        <v>41803</v>
      </c>
      <c r="B4630" s="10">
        <v>572.24480000000005</v>
      </c>
      <c r="C4630" s="10">
        <v>573.15060000000005</v>
      </c>
      <c r="D4630" s="10">
        <v>568.0711</v>
      </c>
      <c r="E4630" s="13">
        <f t="shared" si="216"/>
        <v>1.3319603598236579E-3</v>
      </c>
      <c r="F4630" s="9">
        <f t="shared" si="214"/>
        <v>7.7426551688824841E-2</v>
      </c>
      <c r="G4630" s="9">
        <f t="shared" si="215"/>
        <v>5.0033297262974162E-3</v>
      </c>
    </row>
    <row r="4631" spans="1:7" x14ac:dyDescent="0.2">
      <c r="A4631" s="11">
        <v>41806</v>
      </c>
      <c r="B4631" s="10">
        <v>570.52449999999999</v>
      </c>
      <c r="C4631" s="10">
        <v>572.43489999999997</v>
      </c>
      <c r="D4631" s="10">
        <v>568.08259999999996</v>
      </c>
      <c r="E4631" s="13">
        <f t="shared" si="216"/>
        <v>-3.0107586885569585E-3</v>
      </c>
      <c r="F4631" s="9">
        <f t="shared" si="214"/>
        <v>6.5789556412589725E-2</v>
      </c>
      <c r="G4631" s="9">
        <f t="shared" si="215"/>
        <v>4.9751327617887694E-3</v>
      </c>
    </row>
    <row r="4632" spans="1:7" x14ac:dyDescent="0.2">
      <c r="A4632" s="11">
        <v>41807</v>
      </c>
      <c r="B4632" s="10">
        <v>564.52329999999995</v>
      </c>
      <c r="C4632" s="10">
        <v>570.65869999999995</v>
      </c>
      <c r="D4632" s="10">
        <v>563.68870000000004</v>
      </c>
      <c r="E4632" s="13">
        <f t="shared" si="216"/>
        <v>-1.0574454962384168E-2</v>
      </c>
      <c r="F4632" s="9">
        <f t="shared" si="214"/>
        <v>5.7465674952441419E-2</v>
      </c>
      <c r="G4632" s="9">
        <f t="shared" si="215"/>
        <v>5.4615098068103553E-3</v>
      </c>
    </row>
    <row r="4633" spans="1:7" x14ac:dyDescent="0.2">
      <c r="A4633" s="11">
        <v>41808</v>
      </c>
      <c r="B4633" s="10">
        <v>573.16549999999995</v>
      </c>
      <c r="C4633" s="10">
        <v>573.16549999999995</v>
      </c>
      <c r="D4633" s="10">
        <v>564.65809999999999</v>
      </c>
      <c r="E4633" s="13">
        <f t="shared" si="216"/>
        <v>1.5192847523789221E-2</v>
      </c>
      <c r="F4633" s="9">
        <f t="shared" si="214"/>
        <v>7.1580673681360077E-2</v>
      </c>
      <c r="G4633" s="9">
        <f t="shared" si="215"/>
        <v>5.9822278252143358E-3</v>
      </c>
    </row>
    <row r="4634" spans="1:7" x14ac:dyDescent="0.2">
      <c r="A4634" s="11">
        <v>41809</v>
      </c>
      <c r="B4634" s="10">
        <v>580.17160000000001</v>
      </c>
      <c r="C4634" s="10">
        <v>580.18650000000002</v>
      </c>
      <c r="D4634" s="10">
        <v>573.20429999999999</v>
      </c>
      <c r="E4634" s="13">
        <f t="shared" si="216"/>
        <v>1.2149416124168762E-2</v>
      </c>
      <c r="F4634" s="9">
        <f t="shared" si="214"/>
        <v>8.1595263623851527E-2</v>
      </c>
      <c r="G4634" s="9">
        <f t="shared" si="215"/>
        <v>6.2455466152329265E-3</v>
      </c>
    </row>
    <row r="4635" spans="1:7" x14ac:dyDescent="0.2">
      <c r="A4635" s="11">
        <v>41810</v>
      </c>
      <c r="B4635" s="10">
        <v>578.44370000000004</v>
      </c>
      <c r="C4635" s="10">
        <v>580.43100000000004</v>
      </c>
      <c r="D4635" s="10">
        <v>577.30200000000002</v>
      </c>
      <c r="E4635" s="13">
        <f t="shared" si="216"/>
        <v>-2.9827006099817279E-3</v>
      </c>
      <c r="F4635" s="9">
        <f t="shared" si="214"/>
        <v>6.9261645944051792E-2</v>
      </c>
      <c r="G4635" s="9">
        <f t="shared" si="215"/>
        <v>6.2042834826897229E-3</v>
      </c>
    </row>
    <row r="4636" spans="1:7" x14ac:dyDescent="0.2">
      <c r="A4636" s="11">
        <v>41813</v>
      </c>
      <c r="B4636" s="10">
        <v>579.70899999999995</v>
      </c>
      <c r="C4636" s="10">
        <v>580.65949999999998</v>
      </c>
      <c r="D4636" s="10">
        <v>578.15060000000005</v>
      </c>
      <c r="E4636" s="13">
        <f t="shared" si="216"/>
        <v>2.1850322559657923E-3</v>
      </c>
      <c r="F4636" s="9">
        <f t="shared" si="214"/>
        <v>7.0424292949898173E-2</v>
      </c>
      <c r="G4636" s="9">
        <f t="shared" si="215"/>
        <v>6.1988957707968372E-3</v>
      </c>
    </row>
    <row r="4637" spans="1:7" x14ac:dyDescent="0.2">
      <c r="A4637" s="11">
        <v>41814</v>
      </c>
      <c r="B4637" s="10">
        <v>576.29750000000001</v>
      </c>
      <c r="C4637" s="10">
        <v>580.98820000000001</v>
      </c>
      <c r="D4637" s="10">
        <v>575.43010000000004</v>
      </c>
      <c r="E4637" s="13">
        <f t="shared" si="216"/>
        <v>-5.9022330820453295E-3</v>
      </c>
      <c r="F4637" s="9">
        <f t="shared" si="214"/>
        <v>5.4075743139687125E-2</v>
      </c>
      <c r="G4637" s="9">
        <f t="shared" si="215"/>
        <v>6.1870645700788408E-3</v>
      </c>
    </row>
    <row r="4638" spans="1:7" x14ac:dyDescent="0.2">
      <c r="A4638" s="11">
        <v>41815</v>
      </c>
      <c r="B4638" s="10">
        <v>567.35979999999995</v>
      </c>
      <c r="C4638" s="10">
        <v>576.14179999999999</v>
      </c>
      <c r="D4638" s="10">
        <v>561.56920000000002</v>
      </c>
      <c r="E4638" s="13">
        <f t="shared" si="216"/>
        <v>-1.5630350038907649E-2</v>
      </c>
      <c r="F4638" s="9">
        <f t="shared" si="214"/>
        <v>3.9551760727956117E-2</v>
      </c>
      <c r="G4638" s="9">
        <f t="shared" si="215"/>
        <v>6.9739527550575229E-3</v>
      </c>
    </row>
    <row r="4639" spans="1:7" x14ac:dyDescent="0.2">
      <c r="A4639" s="11">
        <v>41816</v>
      </c>
      <c r="B4639" s="10">
        <v>565.34519999999998</v>
      </c>
      <c r="C4639" s="10">
        <v>570.00059999999996</v>
      </c>
      <c r="D4639" s="10">
        <v>563.67409999999995</v>
      </c>
      <c r="E4639" s="13">
        <f t="shared" si="216"/>
        <v>-3.5571523464329809E-3</v>
      </c>
      <c r="F4639" s="9">
        <f t="shared" si="214"/>
        <v>3.2360124649719754E-2</v>
      </c>
      <c r="G4639" s="9">
        <f t="shared" si="215"/>
        <v>7.018052189079943E-3</v>
      </c>
    </row>
    <row r="4640" spans="1:7" x14ac:dyDescent="0.2">
      <c r="A4640" s="11">
        <v>41817</v>
      </c>
      <c r="B4640" s="10">
        <v>566.54690000000005</v>
      </c>
      <c r="C4640" s="10">
        <v>568.46540000000005</v>
      </c>
      <c r="D4640" s="10">
        <v>565.10220000000004</v>
      </c>
      <c r="E4640" s="13">
        <f t="shared" si="216"/>
        <v>2.1233480673633087E-3</v>
      </c>
      <c r="F4640" s="9">
        <f t="shared" ref="F4640:F4703" si="217">LN(B4640/B4611)</f>
        <v>3.7865310170298559E-2</v>
      </c>
      <c r="G4640" s="9">
        <f t="shared" si="215"/>
        <v>6.9663122833716357E-3</v>
      </c>
    </row>
    <row r="4641" spans="1:7" x14ac:dyDescent="0.2">
      <c r="A4641" s="11">
        <v>41820</v>
      </c>
      <c r="B4641" s="10">
        <v>566.9461</v>
      </c>
      <c r="C4641" s="10">
        <v>569.26459999999997</v>
      </c>
      <c r="D4641" s="10">
        <v>565.16660000000002</v>
      </c>
      <c r="E4641" s="13">
        <f t="shared" si="216"/>
        <v>7.0437138386353923E-4</v>
      </c>
      <c r="F4641" s="9">
        <f t="shared" si="217"/>
        <v>4.1670568540979148E-2</v>
      </c>
      <c r="G4641" s="9">
        <f t="shared" ref="G4641:G4704" si="218">STDEV(E4613:E4641)</f>
        <v>6.9160023179791587E-3</v>
      </c>
    </row>
    <row r="4642" spans="1:7" x14ac:dyDescent="0.2">
      <c r="A4642" s="11">
        <v>41821</v>
      </c>
      <c r="B4642" s="10">
        <v>571.46280000000002</v>
      </c>
      <c r="C4642" s="10">
        <v>571.46280000000002</v>
      </c>
      <c r="D4642" s="10">
        <v>566.95830000000001</v>
      </c>
      <c r="E4642" s="13">
        <f t="shared" si="216"/>
        <v>7.9351517720764094E-3</v>
      </c>
      <c r="F4642" s="9">
        <f t="shared" si="217"/>
        <v>4.7213064238376297E-2</v>
      </c>
      <c r="G4642" s="9">
        <f t="shared" si="218"/>
        <v>7.0191696911535003E-3</v>
      </c>
    </row>
    <row r="4643" spans="1:7" x14ac:dyDescent="0.2">
      <c r="A4643" s="11">
        <v>41822</v>
      </c>
      <c r="B4643" s="10">
        <v>571.41060000000004</v>
      </c>
      <c r="C4643" s="10">
        <v>574.8664</v>
      </c>
      <c r="D4643" s="10">
        <v>570.16690000000006</v>
      </c>
      <c r="E4643" s="13">
        <f t="shared" si="216"/>
        <v>-9.1348700628222872E-5</v>
      </c>
      <c r="F4643" s="9">
        <f t="shared" si="217"/>
        <v>5.2133249772622486E-2</v>
      </c>
      <c r="G4643" s="9">
        <f t="shared" si="218"/>
        <v>6.911590745841998E-3</v>
      </c>
    </row>
    <row r="4644" spans="1:7" x14ac:dyDescent="0.2">
      <c r="A4644" s="11">
        <v>41823</v>
      </c>
      <c r="B4644" s="10">
        <v>576.60130000000004</v>
      </c>
      <c r="C4644" s="10">
        <v>576.60130000000004</v>
      </c>
      <c r="D4644" s="10">
        <v>571.55870000000004</v>
      </c>
      <c r="E4644" s="13">
        <f t="shared" si="216"/>
        <v>9.0429992455143965E-3</v>
      </c>
      <c r="F4644" s="9">
        <f t="shared" si="217"/>
        <v>5.5318637056478638E-2</v>
      </c>
      <c r="G4644" s="9">
        <f t="shared" si="218"/>
        <v>7.0031218216867457E-3</v>
      </c>
    </row>
    <row r="4645" spans="1:7" x14ac:dyDescent="0.2">
      <c r="A4645" s="11">
        <v>41824</v>
      </c>
      <c r="B4645" s="10">
        <v>575.93330000000003</v>
      </c>
      <c r="C4645" s="10">
        <v>577.60929999999996</v>
      </c>
      <c r="D4645" s="10">
        <v>574.54390000000001</v>
      </c>
      <c r="E4645" s="13">
        <f t="shared" si="216"/>
        <v>-1.1591844180639957E-3</v>
      </c>
      <c r="F4645" s="9">
        <f t="shared" si="217"/>
        <v>4.7732042555968815E-2</v>
      </c>
      <c r="G4645" s="9">
        <f t="shared" si="218"/>
        <v>6.9698710893710556E-3</v>
      </c>
    </row>
    <row r="4646" spans="1:7" x14ac:dyDescent="0.2">
      <c r="A4646" s="11">
        <v>41827</v>
      </c>
      <c r="B4646" s="10">
        <v>575.66959999999995</v>
      </c>
      <c r="C4646" s="10">
        <v>578.35450000000003</v>
      </c>
      <c r="D4646" s="10">
        <v>575.5403</v>
      </c>
      <c r="E4646" s="13">
        <f t="shared" si="216"/>
        <v>-4.579703726154986E-4</v>
      </c>
      <c r="F4646" s="9">
        <f t="shared" si="217"/>
        <v>4.2530008502540753E-2</v>
      </c>
      <c r="G4646" s="9">
        <f t="shared" si="218"/>
        <v>6.95421180494021E-3</v>
      </c>
    </row>
    <row r="4647" spans="1:7" x14ac:dyDescent="0.2">
      <c r="A4647" s="11">
        <v>41828</v>
      </c>
      <c r="B4647" s="10">
        <v>567.31899999999996</v>
      </c>
      <c r="C4647" s="10">
        <v>575.61059999999998</v>
      </c>
      <c r="D4647" s="10">
        <v>567.11170000000004</v>
      </c>
      <c r="E4647" s="13">
        <f t="shared" si="216"/>
        <v>-1.4612129255757989E-2</v>
      </c>
      <c r="F4647" s="9">
        <f t="shared" si="217"/>
        <v>2.9668913905573972E-2</v>
      </c>
      <c r="G4647" s="9">
        <f t="shared" si="218"/>
        <v>7.5511993914475686E-3</v>
      </c>
    </row>
    <row r="4648" spans="1:7" x14ac:dyDescent="0.2">
      <c r="A4648" s="11">
        <v>41829</v>
      </c>
      <c r="B4648" s="10">
        <v>567.49919999999997</v>
      </c>
      <c r="C4648" s="10">
        <v>570.91750000000002</v>
      </c>
      <c r="D4648" s="10">
        <v>566.70910000000003</v>
      </c>
      <c r="E4648" s="13">
        <f t="shared" si="216"/>
        <v>3.1758391170417263E-4</v>
      </c>
      <c r="F4648" s="9">
        <f t="shared" si="217"/>
        <v>2.464358729130077E-2</v>
      </c>
      <c r="G4648" s="9">
        <f t="shared" si="218"/>
        <v>7.5060522408810617E-3</v>
      </c>
    </row>
    <row r="4649" spans="1:7" x14ac:dyDescent="0.2">
      <c r="A4649" s="11">
        <v>41830</v>
      </c>
      <c r="B4649" s="10">
        <v>554.77639999999997</v>
      </c>
      <c r="C4649" s="10">
        <v>567.47850000000005</v>
      </c>
      <c r="D4649" s="10">
        <v>553.49400000000003</v>
      </c>
      <c r="E4649" s="13">
        <f t="shared" si="216"/>
        <v>-2.2674189978495778E-2</v>
      </c>
      <c r="F4649" s="9">
        <f t="shared" si="217"/>
        <v>-7.6127823818203887E-4</v>
      </c>
      <c r="G4649" s="9">
        <f t="shared" si="218"/>
        <v>8.6708190512236466E-3</v>
      </c>
    </row>
    <row r="4650" spans="1:7" x14ac:dyDescent="0.2">
      <c r="A4650" s="11">
        <v>41831</v>
      </c>
      <c r="B4650" s="10">
        <v>556.76139999999998</v>
      </c>
      <c r="C4650" s="10">
        <v>558.72860000000003</v>
      </c>
      <c r="D4650" s="10">
        <v>554.80399999999997</v>
      </c>
      <c r="E4650" s="13">
        <f t="shared" si="216"/>
        <v>3.571632220058758E-3</v>
      </c>
      <c r="F4650" s="9">
        <f t="shared" si="217"/>
        <v>4.1935174610772848E-3</v>
      </c>
      <c r="G4650" s="9">
        <f t="shared" si="218"/>
        <v>8.6919171909550196E-3</v>
      </c>
    </row>
    <row r="4651" spans="1:7" x14ac:dyDescent="0.2">
      <c r="A4651" s="11">
        <v>41834</v>
      </c>
      <c r="B4651" s="10">
        <v>564.34040000000005</v>
      </c>
      <c r="C4651" s="10">
        <v>564.34040000000005</v>
      </c>
      <c r="D4651" s="10">
        <v>556.67370000000005</v>
      </c>
      <c r="E4651" s="13">
        <f t="shared" si="216"/>
        <v>1.3520833632156498E-2</v>
      </c>
      <c r="F4651" s="9">
        <f t="shared" si="217"/>
        <v>7.6815468648365019E-3</v>
      </c>
      <c r="G4651" s="9">
        <f t="shared" si="218"/>
        <v>8.8562152721519526E-3</v>
      </c>
    </row>
    <row r="4652" spans="1:7" x14ac:dyDescent="0.2">
      <c r="A4652" s="11">
        <v>41835</v>
      </c>
      <c r="B4652" s="10">
        <v>565.49549999999999</v>
      </c>
      <c r="C4652" s="10">
        <v>567.81349999999998</v>
      </c>
      <c r="D4652" s="10">
        <v>563.79920000000004</v>
      </c>
      <c r="E4652" s="13">
        <f t="shared" si="216"/>
        <v>2.0447224281781285E-3</v>
      </c>
      <c r="F4652" s="9">
        <f t="shared" si="217"/>
        <v>6.5845475776769614E-3</v>
      </c>
      <c r="G4652" s="9">
        <f t="shared" si="218"/>
        <v>8.8458252795676935E-3</v>
      </c>
    </row>
    <row r="4653" spans="1:7" x14ac:dyDescent="0.2">
      <c r="A4653" s="11">
        <v>41836</v>
      </c>
      <c r="B4653" s="10">
        <v>571.50469999999996</v>
      </c>
      <c r="C4653" s="10">
        <v>571.52570000000003</v>
      </c>
      <c r="D4653" s="10">
        <v>565.4751</v>
      </c>
      <c r="E4653" s="13">
        <f t="shared" si="216"/>
        <v>1.0570369208220297E-2</v>
      </c>
      <c r="F4653" s="9">
        <f t="shared" si="217"/>
        <v>2.2622464158201919E-2</v>
      </c>
      <c r="G4653" s="9">
        <f t="shared" si="218"/>
        <v>8.9774473918621256E-3</v>
      </c>
    </row>
    <row r="4654" spans="1:7" x14ac:dyDescent="0.2">
      <c r="A4654" s="11">
        <v>41837</v>
      </c>
      <c r="B4654" s="10">
        <v>568.64880000000005</v>
      </c>
      <c r="C4654" s="10">
        <v>572.22979999999995</v>
      </c>
      <c r="D4654" s="10">
        <v>566.99109999999996</v>
      </c>
      <c r="E4654" s="13">
        <f t="shared" si="216"/>
        <v>-5.0096868059699377E-3</v>
      </c>
      <c r="F4654" s="9">
        <f t="shared" si="217"/>
        <v>4.8320296668901107E-3</v>
      </c>
      <c r="G4654" s="9">
        <f t="shared" si="218"/>
        <v>8.7326143618483773E-3</v>
      </c>
    </row>
    <row r="4655" spans="1:7" x14ac:dyDescent="0.2">
      <c r="A4655" s="11">
        <v>41838</v>
      </c>
      <c r="B4655" s="10">
        <v>562.61130000000003</v>
      </c>
      <c r="C4655" s="10">
        <v>568.47299999999996</v>
      </c>
      <c r="D4655" s="10">
        <v>562.61130000000003</v>
      </c>
      <c r="E4655" s="13">
        <f t="shared" si="216"/>
        <v>-1.0674039194867327E-2</v>
      </c>
      <c r="F4655" s="9">
        <f t="shared" si="217"/>
        <v>-1.2800682562488477E-2</v>
      </c>
      <c r="G4655" s="9">
        <f t="shared" si="218"/>
        <v>8.8558018638749351E-3</v>
      </c>
    </row>
    <row r="4656" spans="1:7" x14ac:dyDescent="0.2">
      <c r="A4656" s="11">
        <v>41841</v>
      </c>
      <c r="B4656" s="10">
        <v>564.38419999999996</v>
      </c>
      <c r="C4656" s="10">
        <v>565.01369999999997</v>
      </c>
      <c r="D4656" s="10">
        <v>559.48209999999995</v>
      </c>
      <c r="E4656" s="13">
        <f t="shared" si="216"/>
        <v>3.1462440843331801E-3</v>
      </c>
      <c r="F4656" s="9">
        <f t="shared" si="217"/>
        <v>-1.0451685745870512E-2</v>
      </c>
      <c r="G4656" s="9">
        <f t="shared" si="218"/>
        <v>8.8782499767182787E-3</v>
      </c>
    </row>
    <row r="4657" spans="1:7" x14ac:dyDescent="0.2">
      <c r="A4657" s="11">
        <v>41842</v>
      </c>
      <c r="B4657" s="10">
        <v>571.0231</v>
      </c>
      <c r="C4657" s="10">
        <v>571.0231</v>
      </c>
      <c r="D4657" s="10">
        <v>564.38419999999996</v>
      </c>
      <c r="E4657" s="13">
        <f t="shared" si="216"/>
        <v>1.1694438922673115E-2</v>
      </c>
      <c r="F4657" s="9">
        <f t="shared" si="217"/>
        <v>5.8182346353755268E-3</v>
      </c>
      <c r="G4657" s="9">
        <f t="shared" si="218"/>
        <v>9.1133289715811285E-3</v>
      </c>
    </row>
    <row r="4658" spans="1:7" x14ac:dyDescent="0.2">
      <c r="A4658" s="11">
        <v>41843</v>
      </c>
      <c r="B4658" s="10">
        <v>573.16120000000001</v>
      </c>
      <c r="C4658" s="10">
        <v>574.81880000000001</v>
      </c>
      <c r="D4658" s="10">
        <v>570.48149999999998</v>
      </c>
      <c r="E4658" s="13">
        <f t="shared" si="216"/>
        <v>3.7373393232110535E-3</v>
      </c>
      <c r="F4658" s="9">
        <f t="shared" si="217"/>
        <v>2.9320920083933046E-3</v>
      </c>
      <c r="G4658" s="9">
        <f t="shared" si="218"/>
        <v>9.0562635426615305E-3</v>
      </c>
    </row>
    <row r="4659" spans="1:7" x14ac:dyDescent="0.2">
      <c r="A4659" s="11">
        <v>41844</v>
      </c>
      <c r="B4659" s="10">
        <v>572.53480000000002</v>
      </c>
      <c r="C4659" s="10">
        <v>574.86249999999995</v>
      </c>
      <c r="D4659" s="10">
        <v>571.7174</v>
      </c>
      <c r="E4659" s="13">
        <f t="shared" si="216"/>
        <v>-1.0934838952321065E-3</v>
      </c>
      <c r="F4659" s="9">
        <f t="shared" si="217"/>
        <v>5.0664775333757921E-4</v>
      </c>
      <c r="G4659" s="9">
        <f t="shared" si="218"/>
        <v>9.0556901074365492E-3</v>
      </c>
    </row>
    <row r="4660" spans="1:7" x14ac:dyDescent="0.2">
      <c r="A4660" s="11">
        <v>41845</v>
      </c>
      <c r="B4660" s="10">
        <v>568.5915</v>
      </c>
      <c r="C4660" s="10">
        <v>572.57370000000003</v>
      </c>
      <c r="D4660" s="10">
        <v>565.33339999999998</v>
      </c>
      <c r="E4660" s="13">
        <f t="shared" si="216"/>
        <v>-6.9112694995757734E-3</v>
      </c>
      <c r="F4660" s="9">
        <f t="shared" si="217"/>
        <v>-3.3938630576813159E-3</v>
      </c>
      <c r="G4660" s="9">
        <f t="shared" si="218"/>
        <v>9.130927232868194E-3</v>
      </c>
    </row>
    <row r="4661" spans="1:7" x14ac:dyDescent="0.2">
      <c r="A4661" s="11">
        <v>41848</v>
      </c>
      <c r="B4661" s="10">
        <v>563.28959999999995</v>
      </c>
      <c r="C4661" s="10">
        <v>568.59670000000006</v>
      </c>
      <c r="D4661" s="10">
        <v>562.93439999999998</v>
      </c>
      <c r="E4661" s="13">
        <f t="shared" si="216"/>
        <v>-9.3683670083173822E-3</v>
      </c>
      <c r="F4661" s="9">
        <f t="shared" si="217"/>
        <v>-2.1877751036144693E-3</v>
      </c>
      <c r="G4661" s="9">
        <f t="shared" si="218"/>
        <v>9.0842222688436412E-3</v>
      </c>
    </row>
    <row r="4662" spans="1:7" x14ac:dyDescent="0.2">
      <c r="A4662" s="11">
        <v>41849</v>
      </c>
      <c r="B4662" s="10">
        <v>566.04</v>
      </c>
      <c r="C4662" s="10">
        <v>566.84130000000005</v>
      </c>
      <c r="D4662" s="10">
        <v>562.33519999999999</v>
      </c>
      <c r="E4662" s="13">
        <f t="shared" si="216"/>
        <v>4.870863984863724E-3</v>
      </c>
      <c r="F4662" s="9">
        <f t="shared" si="217"/>
        <v>-1.2509758642540105E-2</v>
      </c>
      <c r="G4662" s="9">
        <f t="shared" si="218"/>
        <v>8.6567851968910019E-3</v>
      </c>
    </row>
    <row r="4663" spans="1:7" x14ac:dyDescent="0.2">
      <c r="A4663" s="11">
        <v>41850</v>
      </c>
      <c r="B4663" s="10">
        <v>562.64559999999994</v>
      </c>
      <c r="C4663" s="10">
        <v>566.03719999999998</v>
      </c>
      <c r="D4663" s="10">
        <v>562.07730000000004</v>
      </c>
      <c r="E4663" s="13">
        <f t="shared" si="216"/>
        <v>-6.0148020555944428E-3</v>
      </c>
      <c r="F4663" s="9">
        <f t="shared" si="217"/>
        <v>-3.06739768223033E-2</v>
      </c>
      <c r="G4663" s="9">
        <f t="shared" si="218"/>
        <v>8.3662573468802574E-3</v>
      </c>
    </row>
    <row r="4664" spans="1:7" x14ac:dyDescent="0.2">
      <c r="A4664" s="11">
        <v>41851</v>
      </c>
      <c r="B4664" s="10">
        <v>558.79669999999999</v>
      </c>
      <c r="C4664" s="10">
        <v>565.3895</v>
      </c>
      <c r="D4664" s="10">
        <v>557.64009999999996</v>
      </c>
      <c r="E4664" s="13">
        <f t="shared" si="216"/>
        <v>-6.8642231750180339E-3</v>
      </c>
      <c r="F4664" s="9">
        <f t="shared" si="217"/>
        <v>-3.4555499387339553E-2</v>
      </c>
      <c r="G4664" s="9">
        <f t="shared" si="218"/>
        <v>8.4289673023488932E-3</v>
      </c>
    </row>
    <row r="4665" spans="1:7" x14ac:dyDescent="0.2">
      <c r="A4665" s="11">
        <v>41852</v>
      </c>
      <c r="B4665" s="10">
        <v>553.53689999999995</v>
      </c>
      <c r="C4665" s="10">
        <v>558.74879999999996</v>
      </c>
      <c r="D4665" s="10">
        <v>551.01419999999996</v>
      </c>
      <c r="E4665" s="13">
        <f t="shared" si="216"/>
        <v>-9.4573052603234165E-3</v>
      </c>
      <c r="F4665" s="9">
        <f t="shared" si="217"/>
        <v>-4.6197836903628942E-2</v>
      </c>
      <c r="G4665" s="9">
        <f t="shared" si="218"/>
        <v>8.5389375872067918E-3</v>
      </c>
    </row>
    <row r="4666" spans="1:7" x14ac:dyDescent="0.2">
      <c r="A4666" s="11">
        <v>41855</v>
      </c>
      <c r="B4666" s="10">
        <v>555.26390000000004</v>
      </c>
      <c r="C4666" s="10">
        <v>558.44479999999999</v>
      </c>
      <c r="D4666" s="10">
        <v>553.68240000000003</v>
      </c>
      <c r="E4666" s="13">
        <f t="shared" si="216"/>
        <v>3.115079636535345E-3</v>
      </c>
      <c r="F4666" s="9">
        <f t="shared" si="217"/>
        <v>-3.7180524185048157E-2</v>
      </c>
      <c r="G4666" s="9">
        <f t="shared" si="218"/>
        <v>8.5405961824898211E-3</v>
      </c>
    </row>
    <row r="4667" spans="1:7" x14ac:dyDescent="0.2">
      <c r="A4667" s="11">
        <v>41856</v>
      </c>
      <c r="B4667" s="10">
        <v>555.74080000000004</v>
      </c>
      <c r="C4667" s="10">
        <v>560.00959999999998</v>
      </c>
      <c r="D4667" s="10">
        <v>554.2817</v>
      </c>
      <c r="E4667" s="13">
        <f t="shared" si="216"/>
        <v>8.5850227148573876E-4</v>
      </c>
      <c r="F4667" s="9">
        <f t="shared" si="217"/>
        <v>-2.0691671874654843E-2</v>
      </c>
      <c r="G4667" s="9">
        <f t="shared" si="218"/>
        <v>8.0881397953852727E-3</v>
      </c>
    </row>
    <row r="4668" spans="1:7" x14ac:dyDescent="0.2">
      <c r="A4668" s="11">
        <v>41857</v>
      </c>
      <c r="B4668" s="10">
        <v>549.92930000000001</v>
      </c>
      <c r="C4668" s="10">
        <v>555.68820000000005</v>
      </c>
      <c r="D4668" s="10">
        <v>546.08169999999996</v>
      </c>
      <c r="E4668" s="13">
        <f t="shared" si="216"/>
        <v>-1.0512273991959593E-2</v>
      </c>
      <c r="F4668" s="9">
        <f t="shared" si="217"/>
        <v>-2.7646793520181359E-2</v>
      </c>
      <c r="G4668" s="9">
        <f t="shared" si="218"/>
        <v>8.2763985033542688E-3</v>
      </c>
    </row>
    <row r="4669" spans="1:7" x14ac:dyDescent="0.2">
      <c r="A4669" s="11">
        <v>41858</v>
      </c>
      <c r="B4669" s="10">
        <v>543.81330000000003</v>
      </c>
      <c r="C4669" s="10">
        <v>549.96460000000002</v>
      </c>
      <c r="D4669" s="10">
        <v>543.0421</v>
      </c>
      <c r="E4669" s="13">
        <f t="shared" si="216"/>
        <v>-1.1183735088858516E-2</v>
      </c>
      <c r="F4669" s="9">
        <f t="shared" si="217"/>
        <v>-4.0953876676403322E-2</v>
      </c>
      <c r="G4669" s="9">
        <f t="shared" si="218"/>
        <v>8.4664347838379218E-3</v>
      </c>
    </row>
    <row r="4670" spans="1:7" x14ac:dyDescent="0.2">
      <c r="A4670" s="11">
        <v>41859</v>
      </c>
      <c r="B4670" s="10">
        <v>537.62800000000004</v>
      </c>
      <c r="C4670" s="10">
        <v>543.70799999999997</v>
      </c>
      <c r="D4670" s="10">
        <v>531.59299999999996</v>
      </c>
      <c r="E4670" s="13">
        <f t="shared" si="216"/>
        <v>-1.1439118234454117E-2</v>
      </c>
      <c r="F4670" s="9">
        <f t="shared" si="217"/>
        <v>-5.3097366294721109E-2</v>
      </c>
      <c r="G4670" s="9">
        <f t="shared" si="218"/>
        <v>8.6561882818193946E-3</v>
      </c>
    </row>
    <row r="4671" spans="1:7" x14ac:dyDescent="0.2">
      <c r="A4671" s="11">
        <v>41862</v>
      </c>
      <c r="B4671" s="10">
        <v>549.77229999999997</v>
      </c>
      <c r="C4671" s="10">
        <v>550.52629999999999</v>
      </c>
      <c r="D4671" s="10">
        <v>537.72389999999996</v>
      </c>
      <c r="E4671" s="13">
        <f t="shared" si="216"/>
        <v>2.2337321318873053E-2</v>
      </c>
      <c r="F4671" s="9">
        <f t="shared" si="217"/>
        <v>-3.869519674792446E-2</v>
      </c>
      <c r="G4671" s="9">
        <f t="shared" si="218"/>
        <v>9.5983714925438248E-3</v>
      </c>
    </row>
    <row r="4672" spans="1:7" x14ac:dyDescent="0.2">
      <c r="A4672" s="11">
        <v>41863</v>
      </c>
      <c r="B4672" s="10">
        <v>542.03530000000001</v>
      </c>
      <c r="C4672" s="10">
        <v>550.50630000000001</v>
      </c>
      <c r="D4672" s="10">
        <v>541.9633</v>
      </c>
      <c r="E4672" s="13">
        <f t="shared" si="216"/>
        <v>-1.4173064034729945E-2</v>
      </c>
      <c r="F4672" s="9">
        <f t="shared" si="217"/>
        <v>-5.277691208202618E-2</v>
      </c>
      <c r="G4672" s="9">
        <f t="shared" si="218"/>
        <v>9.885153535422771E-3</v>
      </c>
    </row>
    <row r="4673" spans="1:7" x14ac:dyDescent="0.2">
      <c r="A4673" s="11">
        <v>41864</v>
      </c>
      <c r="B4673" s="10">
        <v>543.16070000000002</v>
      </c>
      <c r="C4673" s="10">
        <v>545.07209999999998</v>
      </c>
      <c r="D4673" s="10">
        <v>542.08720000000005</v>
      </c>
      <c r="E4673" s="13">
        <f t="shared" si="216"/>
        <v>2.0740961143317286E-3</v>
      </c>
      <c r="F4673" s="9">
        <f t="shared" si="217"/>
        <v>-5.9745815213209048E-2</v>
      </c>
      <c r="G4673" s="9">
        <f t="shared" si="218"/>
        <v>9.6945148915851421E-3</v>
      </c>
    </row>
    <row r="4674" spans="1:7" x14ac:dyDescent="0.2">
      <c r="A4674" s="11">
        <v>41865</v>
      </c>
      <c r="B4674" s="10">
        <v>545.37390000000005</v>
      </c>
      <c r="C4674" s="10">
        <v>546.00189999999998</v>
      </c>
      <c r="D4674" s="10">
        <v>540.72109999999998</v>
      </c>
      <c r="E4674" s="13">
        <f t="shared" si="216"/>
        <v>4.0663898964745614E-3</v>
      </c>
      <c r="F4674" s="9">
        <f t="shared" si="217"/>
        <v>-5.4520240898670476E-2</v>
      </c>
      <c r="G4674" s="9">
        <f t="shared" si="218"/>
        <v>9.7602016297001319E-3</v>
      </c>
    </row>
    <row r="4675" spans="1:7" x14ac:dyDescent="0.2">
      <c r="A4675" s="11">
        <v>41866</v>
      </c>
      <c r="B4675" s="10">
        <v>549.02620000000002</v>
      </c>
      <c r="C4675" s="10">
        <v>549.53899999999999</v>
      </c>
      <c r="D4675" s="10">
        <v>544.19759999999997</v>
      </c>
      <c r="E4675" s="13">
        <f t="shared" si="216"/>
        <v>6.6745490228543496E-3</v>
      </c>
      <c r="F4675" s="9">
        <f t="shared" si="217"/>
        <v>-4.7387721503200621E-2</v>
      </c>
      <c r="G4675" s="9">
        <f t="shared" si="218"/>
        <v>9.8863669252697121E-3</v>
      </c>
    </row>
    <row r="4676" spans="1:7" x14ac:dyDescent="0.2">
      <c r="A4676" s="11">
        <v>41869</v>
      </c>
      <c r="B4676" s="10">
        <v>550.05769999999995</v>
      </c>
      <c r="C4676" s="10">
        <v>553.40880000000004</v>
      </c>
      <c r="D4676" s="10">
        <v>548.7722</v>
      </c>
      <c r="E4676" s="13">
        <f t="shared" ref="E4676:E4739" si="219">LN(B4676/B4675)</f>
        <v>1.8770183110645077E-3</v>
      </c>
      <c r="F4676" s="9">
        <f t="shared" si="217"/>
        <v>-3.0898573936378102E-2</v>
      </c>
      <c r="G4676" s="9">
        <f t="shared" si="218"/>
        <v>9.5828135034245112E-3</v>
      </c>
    </row>
    <row r="4677" spans="1:7" x14ac:dyDescent="0.2">
      <c r="A4677" s="11">
        <v>41870</v>
      </c>
      <c r="B4677" s="10">
        <v>551.57759999999996</v>
      </c>
      <c r="C4677" s="10">
        <v>553.11810000000003</v>
      </c>
      <c r="D4677" s="10">
        <v>548.84939999999995</v>
      </c>
      <c r="E4677" s="13">
        <f t="shared" si="219"/>
        <v>2.7593541426656956E-3</v>
      </c>
      <c r="F4677" s="9">
        <f t="shared" si="217"/>
        <v>-2.8456803705416651E-2</v>
      </c>
      <c r="G4677" s="9">
        <f t="shared" si="218"/>
        <v>9.6060985977869801E-3</v>
      </c>
    </row>
    <row r="4678" spans="1:7" x14ac:dyDescent="0.2">
      <c r="A4678" s="11">
        <v>41871</v>
      </c>
      <c r="B4678" s="10">
        <v>554.23230000000001</v>
      </c>
      <c r="C4678" s="10">
        <v>554.61469999999997</v>
      </c>
      <c r="D4678" s="10">
        <v>550.96169999999995</v>
      </c>
      <c r="E4678" s="13">
        <f t="shared" si="219"/>
        <v>4.8013769816076151E-3</v>
      </c>
      <c r="F4678" s="9">
        <f t="shared" si="217"/>
        <v>-9.8123674531328886E-4</v>
      </c>
      <c r="G4678" s="9">
        <f t="shared" si="218"/>
        <v>8.7025951761505321E-3</v>
      </c>
    </row>
    <row r="4679" spans="1:7" x14ac:dyDescent="0.2">
      <c r="A4679" s="11">
        <v>41872</v>
      </c>
      <c r="B4679" s="10">
        <v>555.32380000000001</v>
      </c>
      <c r="C4679" s="10">
        <v>555.9271</v>
      </c>
      <c r="D4679" s="10">
        <v>552.59810000000004</v>
      </c>
      <c r="E4679" s="13">
        <f t="shared" si="219"/>
        <v>1.9674541054542204E-3</v>
      </c>
      <c r="F4679" s="9">
        <f t="shared" si="217"/>
        <v>-2.58541485991796E-3</v>
      </c>
      <c r="G4679" s="9">
        <f t="shared" si="218"/>
        <v>8.6839375176743557E-3</v>
      </c>
    </row>
    <row r="4680" spans="1:7" x14ac:dyDescent="0.2">
      <c r="A4680" s="11">
        <v>41873</v>
      </c>
      <c r="B4680" s="10">
        <v>553.31820000000005</v>
      </c>
      <c r="C4680" s="10">
        <v>557.22109999999998</v>
      </c>
      <c r="D4680" s="10">
        <v>551.14610000000005</v>
      </c>
      <c r="E4680" s="13">
        <f t="shared" si="219"/>
        <v>-3.6181241336919081E-3</v>
      </c>
      <c r="F4680" s="9">
        <f t="shared" si="217"/>
        <v>-1.9724372625766373E-2</v>
      </c>
      <c r="G4680" s="9">
        <f t="shared" si="218"/>
        <v>8.2992994776013521E-3</v>
      </c>
    </row>
    <row r="4681" spans="1:7" x14ac:dyDescent="0.2">
      <c r="A4681" s="11">
        <v>41876</v>
      </c>
      <c r="B4681" s="10">
        <v>556.79679999999996</v>
      </c>
      <c r="C4681" s="10">
        <v>557.67110000000002</v>
      </c>
      <c r="D4681" s="10">
        <v>553.45569999999998</v>
      </c>
      <c r="E4681" s="13">
        <f t="shared" si="219"/>
        <v>6.2671189663709758E-3</v>
      </c>
      <c r="F4681" s="9">
        <f t="shared" si="217"/>
        <v>-1.5501976087573664E-2</v>
      </c>
      <c r="G4681" s="9">
        <f t="shared" si="218"/>
        <v>8.3854023956336215E-3</v>
      </c>
    </row>
    <row r="4682" spans="1:7" x14ac:dyDescent="0.2">
      <c r="A4682" s="11">
        <v>41877</v>
      </c>
      <c r="B4682" s="10">
        <v>561.47299999999996</v>
      </c>
      <c r="C4682" s="10">
        <v>561.49249999999995</v>
      </c>
      <c r="D4682" s="10">
        <v>556.04300000000001</v>
      </c>
      <c r="E4682" s="13">
        <f t="shared" si="219"/>
        <v>8.3633256597883173E-3</v>
      </c>
      <c r="F4682" s="9">
        <f t="shared" si="217"/>
        <v>-1.7709019636005487E-2</v>
      </c>
      <c r="G4682" s="9">
        <f t="shared" si="218"/>
        <v>8.2904942191858889E-3</v>
      </c>
    </row>
    <row r="4683" spans="1:7" x14ac:dyDescent="0.2">
      <c r="A4683" s="11">
        <v>41878</v>
      </c>
      <c r="B4683" s="10">
        <v>562.60310000000004</v>
      </c>
      <c r="C4683" s="10">
        <v>563.57439999999997</v>
      </c>
      <c r="D4683" s="10">
        <v>560.40419999999995</v>
      </c>
      <c r="E4683" s="13">
        <f t="shared" si="219"/>
        <v>2.0107186350615132E-3</v>
      </c>
      <c r="F4683" s="9">
        <f t="shared" si="217"/>
        <v>-1.0688614194974185E-2</v>
      </c>
      <c r="G4683" s="9">
        <f t="shared" si="218"/>
        <v>8.2598963448043041E-3</v>
      </c>
    </row>
    <row r="4684" spans="1:7" x14ac:dyDescent="0.2">
      <c r="A4684" s="11">
        <v>41879</v>
      </c>
      <c r="B4684" s="10">
        <v>560.2414</v>
      </c>
      <c r="C4684" s="10">
        <v>563.52880000000005</v>
      </c>
      <c r="D4684" s="10">
        <v>558.97720000000004</v>
      </c>
      <c r="E4684" s="13">
        <f t="shared" si="219"/>
        <v>-4.2066438989376582E-3</v>
      </c>
      <c r="F4684" s="9">
        <f t="shared" si="217"/>
        <v>-4.2212188990444445E-3</v>
      </c>
      <c r="G4684" s="9">
        <f t="shared" si="218"/>
        <v>8.0565206282301668E-3</v>
      </c>
    </row>
    <row r="4685" spans="1:7" x14ac:dyDescent="0.2">
      <c r="A4685" s="11">
        <v>41880</v>
      </c>
      <c r="B4685" s="10">
        <v>556.87580000000003</v>
      </c>
      <c r="C4685" s="10">
        <v>561.61429999999996</v>
      </c>
      <c r="D4685" s="10">
        <v>556.59180000000003</v>
      </c>
      <c r="E4685" s="13">
        <f t="shared" si="219"/>
        <v>-6.0255274610251843E-3</v>
      </c>
      <c r="F4685" s="9">
        <f t="shared" si="217"/>
        <v>-1.3392990444402919E-2</v>
      </c>
      <c r="G4685" s="9">
        <f t="shared" si="218"/>
        <v>8.1025745656806685E-3</v>
      </c>
    </row>
    <row r="4686" spans="1:7" x14ac:dyDescent="0.2">
      <c r="A4686" s="11">
        <v>41883</v>
      </c>
      <c r="B4686" s="10">
        <v>560.80589999999995</v>
      </c>
      <c r="C4686" s="10">
        <v>562.47760000000005</v>
      </c>
      <c r="D4686" s="10">
        <v>556.90779999999995</v>
      </c>
      <c r="E4686" s="13">
        <f t="shared" si="219"/>
        <v>7.0326215376292607E-3</v>
      </c>
      <c r="F4686" s="9">
        <f t="shared" si="217"/>
        <v>-1.8054807829446753E-2</v>
      </c>
      <c r="G4686" s="9">
        <f t="shared" si="218"/>
        <v>7.8964064293234465E-3</v>
      </c>
    </row>
    <row r="4687" spans="1:7" x14ac:dyDescent="0.2">
      <c r="A4687" s="11">
        <v>41884</v>
      </c>
      <c r="B4687" s="10">
        <v>562.43209999999999</v>
      </c>
      <c r="C4687" s="10">
        <v>563.71460000000002</v>
      </c>
      <c r="D4687" s="10">
        <v>560.24959999999999</v>
      </c>
      <c r="E4687" s="13">
        <f t="shared" si="219"/>
        <v>2.8955593315172939E-3</v>
      </c>
      <c r="F4687" s="9">
        <f t="shared" si="217"/>
        <v>-1.8896587821140565E-2</v>
      </c>
      <c r="G4687" s="9">
        <f t="shared" si="218"/>
        <v>7.881339942762652E-3</v>
      </c>
    </row>
    <row r="4688" spans="1:7" x14ac:dyDescent="0.2">
      <c r="A4688" s="11">
        <v>41885</v>
      </c>
      <c r="B4688" s="10">
        <v>565.04949999999997</v>
      </c>
      <c r="C4688" s="10">
        <v>566.92759999999998</v>
      </c>
      <c r="D4688" s="10">
        <v>561.39279999999997</v>
      </c>
      <c r="E4688" s="13">
        <f t="shared" si="219"/>
        <v>4.6429222470321567E-3</v>
      </c>
      <c r="F4688" s="9">
        <f t="shared" si="217"/>
        <v>-1.3160181678876276E-2</v>
      </c>
      <c r="G4688" s="9">
        <f t="shared" si="218"/>
        <v>7.9416097168548833E-3</v>
      </c>
    </row>
    <row r="4689" spans="1:7" x14ac:dyDescent="0.2">
      <c r="A4689" s="11">
        <v>41886</v>
      </c>
      <c r="B4689" s="10">
        <v>567.91539999999998</v>
      </c>
      <c r="C4689" s="10">
        <v>569.00250000000005</v>
      </c>
      <c r="D4689" s="10">
        <v>562.28599999999994</v>
      </c>
      <c r="E4689" s="13">
        <f t="shared" si="219"/>
        <v>5.0591260376470441E-3</v>
      </c>
      <c r="F4689" s="9">
        <f t="shared" si="217"/>
        <v>-1.1897861416534708E-3</v>
      </c>
      <c r="G4689" s="9">
        <f t="shared" si="218"/>
        <v>7.9049916324874254E-3</v>
      </c>
    </row>
    <row r="4690" spans="1:7" x14ac:dyDescent="0.2">
      <c r="A4690" s="11">
        <v>41887</v>
      </c>
      <c r="B4690" s="10">
        <v>563.56949999999995</v>
      </c>
      <c r="C4690" s="10">
        <v>567.91539999999998</v>
      </c>
      <c r="D4690" s="10">
        <v>562.6902</v>
      </c>
      <c r="E4690" s="13">
        <f t="shared" si="219"/>
        <v>-7.6818018003967257E-3</v>
      </c>
      <c r="F4690" s="9">
        <f t="shared" si="217"/>
        <v>4.9677906626723913E-4</v>
      </c>
      <c r="G4690" s="9">
        <f t="shared" si="218"/>
        <v>7.8398548589739218E-3</v>
      </c>
    </row>
    <row r="4691" spans="1:7" x14ac:dyDescent="0.2">
      <c r="A4691" s="11">
        <v>41890</v>
      </c>
      <c r="B4691" s="10">
        <v>562.93709999999999</v>
      </c>
      <c r="C4691" s="10">
        <v>565.51160000000004</v>
      </c>
      <c r="D4691" s="10">
        <v>562.17930000000001</v>
      </c>
      <c r="E4691" s="13">
        <f t="shared" si="219"/>
        <v>-1.1227631803194303E-3</v>
      </c>
      <c r="F4691" s="9">
        <f t="shared" si="217"/>
        <v>-5.49684809891596E-3</v>
      </c>
      <c r="G4691" s="9">
        <f t="shared" si="218"/>
        <v>7.7861483252824205E-3</v>
      </c>
    </row>
    <row r="4692" spans="1:7" x14ac:dyDescent="0.2">
      <c r="A4692" s="11">
        <v>41891</v>
      </c>
      <c r="B4692" s="10">
        <v>561.6078</v>
      </c>
      <c r="C4692" s="10">
        <v>564.70780000000002</v>
      </c>
      <c r="D4692" s="10">
        <v>560.8383</v>
      </c>
      <c r="E4692" s="13">
        <f t="shared" si="219"/>
        <v>-2.3641574812140573E-3</v>
      </c>
      <c r="F4692" s="9">
        <f t="shared" si="217"/>
        <v>-1.8462035245355544E-3</v>
      </c>
      <c r="G4692" s="9">
        <f t="shared" si="218"/>
        <v>7.7178150417487757E-3</v>
      </c>
    </row>
    <row r="4693" spans="1:7" x14ac:dyDescent="0.2">
      <c r="A4693" s="11">
        <v>41892</v>
      </c>
      <c r="B4693" s="10">
        <v>560.82709999999997</v>
      </c>
      <c r="C4693" s="10">
        <v>562.32830000000001</v>
      </c>
      <c r="D4693" s="10">
        <v>558.83849999999995</v>
      </c>
      <c r="E4693" s="13">
        <f t="shared" si="219"/>
        <v>-1.3910831281087573E-3</v>
      </c>
      <c r="F4693" s="9">
        <f t="shared" si="217"/>
        <v>3.6269365223736676E-3</v>
      </c>
      <c r="G4693" s="9">
        <f t="shared" si="218"/>
        <v>7.6117676966454186E-3</v>
      </c>
    </row>
    <row r="4694" spans="1:7" x14ac:dyDescent="0.2">
      <c r="A4694" s="11">
        <v>41893</v>
      </c>
      <c r="B4694" s="10">
        <v>559.20929999999998</v>
      </c>
      <c r="C4694" s="10">
        <v>563.91</v>
      </c>
      <c r="D4694" s="10">
        <v>557.41309999999999</v>
      </c>
      <c r="E4694" s="13">
        <f t="shared" si="219"/>
        <v>-2.8888366933356498E-3</v>
      </c>
      <c r="F4694" s="9">
        <f t="shared" si="217"/>
        <v>1.0195405089361386E-2</v>
      </c>
      <c r="G4694" s="9">
        <f t="shared" si="218"/>
        <v>7.4115407554613518E-3</v>
      </c>
    </row>
    <row r="4695" spans="1:7" x14ac:dyDescent="0.2">
      <c r="A4695" s="11">
        <v>41894</v>
      </c>
      <c r="B4695" s="10">
        <v>561.93110000000001</v>
      </c>
      <c r="C4695" s="10">
        <v>563.52449999999999</v>
      </c>
      <c r="D4695" s="10">
        <v>559.18240000000003</v>
      </c>
      <c r="E4695" s="13">
        <f t="shared" si="219"/>
        <v>4.8554228305938644E-3</v>
      </c>
      <c r="F4695" s="9">
        <f t="shared" si="217"/>
        <v>1.1935748283419903E-2</v>
      </c>
      <c r="G4695" s="9">
        <f t="shared" si="218"/>
        <v>7.4417007871893258E-3</v>
      </c>
    </row>
    <row r="4696" spans="1:7" x14ac:dyDescent="0.2">
      <c r="A4696" s="11">
        <v>41897</v>
      </c>
      <c r="B4696" s="10">
        <v>560.05820000000006</v>
      </c>
      <c r="C4696" s="10">
        <v>561.92420000000004</v>
      </c>
      <c r="D4696" s="10">
        <v>557.76620000000003</v>
      </c>
      <c r="E4696" s="13">
        <f t="shared" si="219"/>
        <v>-3.3385376127661698E-3</v>
      </c>
      <c r="F4696" s="9">
        <f t="shared" si="217"/>
        <v>7.7387083991679673E-3</v>
      </c>
      <c r="G4696" s="9">
        <f t="shared" si="218"/>
        <v>7.4734427428359632E-3</v>
      </c>
    </row>
    <row r="4697" spans="1:7" x14ac:dyDescent="0.2">
      <c r="A4697" s="11">
        <v>41898</v>
      </c>
      <c r="B4697" s="10">
        <v>560.88469999999995</v>
      </c>
      <c r="C4697" s="10">
        <v>561.14319999999998</v>
      </c>
      <c r="D4697" s="10">
        <v>557.54020000000003</v>
      </c>
      <c r="E4697" s="13">
        <f t="shared" si="219"/>
        <v>1.4746516522390473E-3</v>
      </c>
      <c r="F4697" s="9">
        <f t="shared" si="217"/>
        <v>1.9725634043366646E-2</v>
      </c>
      <c r="G4697" s="9">
        <f t="shared" si="218"/>
        <v>7.1817731087421661E-3</v>
      </c>
    </row>
    <row r="4698" spans="1:7" x14ac:dyDescent="0.2">
      <c r="A4698" s="11">
        <v>41899</v>
      </c>
      <c r="B4698" s="10">
        <v>564.94799999999998</v>
      </c>
      <c r="C4698" s="10">
        <v>566.20979999999997</v>
      </c>
      <c r="D4698" s="10">
        <v>561.03750000000002</v>
      </c>
      <c r="E4698" s="13">
        <f t="shared" si="219"/>
        <v>7.218332960030811E-3</v>
      </c>
      <c r="F4698" s="9">
        <f t="shared" si="217"/>
        <v>3.8127702092256167E-2</v>
      </c>
      <c r="G4698" s="9">
        <f t="shared" si="218"/>
        <v>6.9036676324750433E-3</v>
      </c>
    </row>
    <row r="4699" spans="1:7" x14ac:dyDescent="0.2">
      <c r="A4699" s="11">
        <v>41900</v>
      </c>
      <c r="B4699" s="10">
        <v>566.8442</v>
      </c>
      <c r="C4699" s="10">
        <v>568.80669999999998</v>
      </c>
      <c r="D4699" s="10">
        <v>564.88289999999995</v>
      </c>
      <c r="E4699" s="13">
        <f t="shared" si="219"/>
        <v>3.3507949147968267E-3</v>
      </c>
      <c r="F4699" s="9">
        <f t="shared" si="217"/>
        <v>5.2917615241507211E-2</v>
      </c>
      <c r="G4699" s="9">
        <f t="shared" si="218"/>
        <v>6.4598737029823126E-3</v>
      </c>
    </row>
    <row r="4700" spans="1:7" x14ac:dyDescent="0.2">
      <c r="A4700" s="11">
        <v>41901</v>
      </c>
      <c r="B4700" s="10">
        <v>566.25829999999996</v>
      </c>
      <c r="C4700" s="10">
        <v>569.64030000000002</v>
      </c>
      <c r="D4700" s="10">
        <v>565.93259999999998</v>
      </c>
      <c r="E4700" s="13">
        <f t="shared" si="219"/>
        <v>-1.0341519010272973E-3</v>
      </c>
      <c r="F4700" s="9">
        <f t="shared" si="217"/>
        <v>2.954614202160662E-2</v>
      </c>
      <c r="G4700" s="9">
        <f t="shared" si="218"/>
        <v>5.1304805572309911E-3</v>
      </c>
    </row>
    <row r="4701" spans="1:7" x14ac:dyDescent="0.2">
      <c r="A4701" s="11">
        <v>41904</v>
      </c>
      <c r="B4701" s="10">
        <v>563.69029999999998</v>
      </c>
      <c r="C4701" s="10">
        <v>566.28589999999997</v>
      </c>
      <c r="D4701" s="10">
        <v>562.08510000000001</v>
      </c>
      <c r="E4701" s="13">
        <f t="shared" si="219"/>
        <v>-4.5453473215993166E-3</v>
      </c>
      <c r="F4701" s="9">
        <f t="shared" si="217"/>
        <v>3.9173858734737284E-2</v>
      </c>
      <c r="G4701" s="9">
        <f t="shared" si="218"/>
        <v>4.3670083341296418E-3</v>
      </c>
    </row>
    <row r="4702" spans="1:7" x14ac:dyDescent="0.2">
      <c r="A4702" s="11">
        <v>41905</v>
      </c>
      <c r="B4702" s="10">
        <v>556.40329999999994</v>
      </c>
      <c r="C4702" s="10">
        <v>565.91010000000006</v>
      </c>
      <c r="D4702" s="10">
        <v>555.88310000000001</v>
      </c>
      <c r="E4702" s="13">
        <f t="shared" si="219"/>
        <v>-1.3011596188261487E-2</v>
      </c>
      <c r="F4702" s="9">
        <f t="shared" si="217"/>
        <v>2.4088166432144079E-2</v>
      </c>
      <c r="G4702" s="9">
        <f t="shared" si="218"/>
        <v>5.1126235973893517E-3</v>
      </c>
    </row>
    <row r="4703" spans="1:7" x14ac:dyDescent="0.2">
      <c r="A4703" s="11">
        <v>41906</v>
      </c>
      <c r="B4703" s="10">
        <v>557.04600000000005</v>
      </c>
      <c r="C4703" s="10">
        <v>559.29579999999999</v>
      </c>
      <c r="D4703" s="10">
        <v>552.08870000000002</v>
      </c>
      <c r="E4703" s="13">
        <f t="shared" si="219"/>
        <v>1.1544307789816796E-3</v>
      </c>
      <c r="F4703" s="9">
        <f t="shared" si="217"/>
        <v>2.1176207314651283E-2</v>
      </c>
      <c r="G4703" s="9">
        <f t="shared" si="218"/>
        <v>5.075262303717183E-3</v>
      </c>
    </row>
    <row r="4704" spans="1:7" x14ac:dyDescent="0.2">
      <c r="A4704" s="11">
        <v>41907</v>
      </c>
      <c r="B4704" s="10">
        <v>553.12710000000004</v>
      </c>
      <c r="C4704" s="10">
        <v>560.99860000000001</v>
      </c>
      <c r="D4704" s="10">
        <v>553.0376</v>
      </c>
      <c r="E4704" s="13">
        <f t="shared" si="219"/>
        <v>-7.060009430427853E-3</v>
      </c>
      <c r="F4704" s="9">
        <f t="shared" ref="F4704:F4767" si="220">LN(B4704/B4675)</f>
        <v>7.4416488613693061E-3</v>
      </c>
      <c r="G4704" s="9">
        <f t="shared" si="218"/>
        <v>5.1411496428064403E-3</v>
      </c>
    </row>
    <row r="4705" spans="1:7" x14ac:dyDescent="0.2">
      <c r="A4705" s="11">
        <v>41908</v>
      </c>
      <c r="B4705" s="10">
        <v>555.1164</v>
      </c>
      <c r="C4705" s="10">
        <v>555.57910000000004</v>
      </c>
      <c r="D4705" s="10">
        <v>547.85469999999998</v>
      </c>
      <c r="E4705" s="13">
        <f t="shared" si="219"/>
        <v>3.5900091208026781E-3</v>
      </c>
      <c r="F4705" s="9">
        <f t="shared" si="220"/>
        <v>9.1546396711073858E-3</v>
      </c>
      <c r="G4705" s="9">
        <f t="shared" ref="G4705:G4768" si="221">STDEV(E4677:E4705)</f>
        <v>5.1701906486131708E-3</v>
      </c>
    </row>
    <row r="4706" spans="1:7" x14ac:dyDescent="0.2">
      <c r="A4706" s="11">
        <v>41911</v>
      </c>
      <c r="B4706" s="10">
        <v>555.52779999999996</v>
      </c>
      <c r="C4706" s="10">
        <v>564.96969999999999</v>
      </c>
      <c r="D4706" s="10">
        <v>553.40229999999997</v>
      </c>
      <c r="E4706" s="13">
        <f t="shared" si="219"/>
        <v>7.4083134601645741E-4</v>
      </c>
      <c r="F4706" s="9">
        <f t="shared" si="220"/>
        <v>7.136116874458167E-3</v>
      </c>
      <c r="G4706" s="9">
        <f t="shared" si="221"/>
        <v>5.1496639940298511E-3</v>
      </c>
    </row>
    <row r="4707" spans="1:7" x14ac:dyDescent="0.2">
      <c r="A4707" s="11">
        <v>41912</v>
      </c>
      <c r="B4707" s="10">
        <v>557.86929999999995</v>
      </c>
      <c r="C4707" s="10">
        <v>559.43740000000003</v>
      </c>
      <c r="D4707" s="10">
        <v>555.63319999999999</v>
      </c>
      <c r="E4707" s="13">
        <f t="shared" si="219"/>
        <v>4.206052722666275E-3</v>
      </c>
      <c r="F4707" s="9">
        <f t="shared" si="220"/>
        <v>6.5407926155166369E-3</v>
      </c>
      <c r="G4707" s="9">
        <f t="shared" si="221"/>
        <v>5.1320127039053611E-3</v>
      </c>
    </row>
    <row r="4708" spans="1:7" x14ac:dyDescent="0.2">
      <c r="A4708" s="11">
        <v>41913</v>
      </c>
      <c r="B4708" s="10">
        <v>551.49329999999998</v>
      </c>
      <c r="C4708" s="10">
        <v>558.35770000000002</v>
      </c>
      <c r="D4708" s="10">
        <v>550.14290000000005</v>
      </c>
      <c r="E4708" s="13">
        <f t="shared" si="219"/>
        <v>-1.1495015620284051E-2</v>
      </c>
      <c r="F4708" s="9">
        <f t="shared" si="220"/>
        <v>-6.9216771102214572E-3</v>
      </c>
      <c r="G4708" s="9">
        <f t="shared" si="221"/>
        <v>5.559866442641179E-3</v>
      </c>
    </row>
    <row r="4709" spans="1:7" x14ac:dyDescent="0.2">
      <c r="A4709" s="11">
        <v>41914</v>
      </c>
      <c r="B4709" s="10">
        <v>535.93889999999999</v>
      </c>
      <c r="C4709" s="10">
        <v>551.2328</v>
      </c>
      <c r="D4709" s="10">
        <v>535.79060000000004</v>
      </c>
      <c r="E4709" s="13">
        <f t="shared" si="219"/>
        <v>-2.860952789851234E-2</v>
      </c>
      <c r="F4709" s="9">
        <f t="shared" si="220"/>
        <v>-3.1913080875041869E-2</v>
      </c>
      <c r="G4709" s="9">
        <f t="shared" si="221"/>
        <v>7.6473308888030337E-3</v>
      </c>
    </row>
    <row r="4710" spans="1:7" x14ac:dyDescent="0.2">
      <c r="A4710" s="11">
        <v>41915</v>
      </c>
      <c r="B4710" s="10">
        <v>534.50379999999996</v>
      </c>
      <c r="C4710" s="10">
        <v>541.56510000000003</v>
      </c>
      <c r="D4710" s="10">
        <v>532.49429999999995</v>
      </c>
      <c r="E4710" s="13">
        <f t="shared" si="219"/>
        <v>-2.6813221479352607E-3</v>
      </c>
      <c r="F4710" s="9">
        <f t="shared" si="220"/>
        <v>-4.086152198934806E-2</v>
      </c>
      <c r="G4710" s="9">
        <f t="shared" si="221"/>
        <v>7.5188896036486076E-3</v>
      </c>
    </row>
    <row r="4711" spans="1:7" x14ac:dyDescent="0.2">
      <c r="A4711" s="11">
        <v>41918</v>
      </c>
      <c r="B4711" s="10">
        <v>534.75909999999999</v>
      </c>
      <c r="C4711" s="10">
        <v>536.93610000000001</v>
      </c>
      <c r="D4711" s="10">
        <v>530.64120000000003</v>
      </c>
      <c r="E4711" s="13">
        <f t="shared" si="219"/>
        <v>4.7752522761509015E-4</v>
      </c>
      <c r="F4711" s="9">
        <f t="shared" si="220"/>
        <v>-4.874732242152148E-2</v>
      </c>
      <c r="G4711" s="9">
        <f t="shared" si="221"/>
        <v>7.2920201726673654E-3</v>
      </c>
    </row>
    <row r="4712" spans="1:7" x14ac:dyDescent="0.2">
      <c r="A4712" s="11">
        <v>41919</v>
      </c>
      <c r="B4712" s="10">
        <v>525.77269999999999</v>
      </c>
      <c r="C4712" s="10">
        <v>534.74300000000005</v>
      </c>
      <c r="D4712" s="10">
        <v>523.39480000000003</v>
      </c>
      <c r="E4712" s="13">
        <f t="shared" si="219"/>
        <v>-1.6947375050144778E-2</v>
      </c>
      <c r="F4712" s="9">
        <f t="shared" si="220"/>
        <v>-6.7705416106727673E-2</v>
      </c>
      <c r="G4712" s="9">
        <f t="shared" si="221"/>
        <v>7.7825395664953756E-3</v>
      </c>
    </row>
    <row r="4713" spans="1:7" x14ac:dyDescent="0.2">
      <c r="A4713" s="11">
        <v>41920</v>
      </c>
      <c r="B4713" s="10">
        <v>521.95870000000002</v>
      </c>
      <c r="C4713" s="10">
        <v>525.71259999999995</v>
      </c>
      <c r="D4713" s="10">
        <v>518.52679999999998</v>
      </c>
      <c r="E4713" s="13">
        <f t="shared" si="219"/>
        <v>-7.2805240867432159E-3</v>
      </c>
      <c r="F4713" s="9">
        <f t="shared" si="220"/>
        <v>-7.0779296294533306E-2</v>
      </c>
      <c r="G4713" s="9">
        <f t="shared" si="221"/>
        <v>7.829735421610565E-3</v>
      </c>
    </row>
    <row r="4714" spans="1:7" x14ac:dyDescent="0.2">
      <c r="A4714" s="11">
        <v>41921</v>
      </c>
      <c r="B4714" s="10">
        <v>514.78660000000002</v>
      </c>
      <c r="C4714" s="10">
        <v>530.55269999999996</v>
      </c>
      <c r="D4714" s="10">
        <v>514.23379999999997</v>
      </c>
      <c r="E4714" s="13">
        <f t="shared" si="219"/>
        <v>-1.3836020121468996E-2</v>
      </c>
      <c r="F4714" s="9">
        <f t="shared" si="220"/>
        <v>-7.8589788954977063E-2</v>
      </c>
      <c r="G4714" s="9">
        <f t="shared" si="221"/>
        <v>8.0875399841478755E-3</v>
      </c>
    </row>
    <row r="4715" spans="1:7" x14ac:dyDescent="0.2">
      <c r="A4715" s="11">
        <v>41922</v>
      </c>
      <c r="B4715" s="10">
        <v>505.03339999999997</v>
      </c>
      <c r="C4715" s="10">
        <v>514.66459999999995</v>
      </c>
      <c r="D4715" s="10">
        <v>503.3168</v>
      </c>
      <c r="E4715" s="13">
        <f t="shared" si="219"/>
        <v>-1.9127880155008652E-2</v>
      </c>
      <c r="F4715" s="9">
        <f t="shared" si="220"/>
        <v>-0.1047502906476148</v>
      </c>
      <c r="G4715" s="9">
        <f t="shared" si="221"/>
        <v>8.4144050585808587E-3</v>
      </c>
    </row>
    <row r="4716" spans="1:7" x14ac:dyDescent="0.2">
      <c r="A4716" s="11">
        <v>41925</v>
      </c>
      <c r="B4716" s="10">
        <v>508.2226</v>
      </c>
      <c r="C4716" s="10">
        <v>513.08939999999996</v>
      </c>
      <c r="D4716" s="10">
        <v>500.2045</v>
      </c>
      <c r="E4716" s="13">
        <f t="shared" si="219"/>
        <v>6.294974875947156E-3</v>
      </c>
      <c r="F4716" s="9">
        <f t="shared" si="220"/>
        <v>-0.1013508751031849</v>
      </c>
      <c r="G4716" s="9">
        <f t="shared" si="221"/>
        <v>8.5311693760171184E-3</v>
      </c>
    </row>
    <row r="4717" spans="1:7" x14ac:dyDescent="0.2">
      <c r="A4717" s="11">
        <v>41926</v>
      </c>
      <c r="B4717" s="10">
        <v>510.48860000000002</v>
      </c>
      <c r="C4717" s="10">
        <v>514.44359999999995</v>
      </c>
      <c r="D4717" s="10">
        <v>505.03820000000002</v>
      </c>
      <c r="E4717" s="13">
        <f t="shared" si="219"/>
        <v>4.4487657292799788E-3</v>
      </c>
      <c r="F4717" s="9">
        <f t="shared" si="220"/>
        <v>-0.10154503162093718</v>
      </c>
      <c r="G4717" s="9">
        <f t="shared" si="221"/>
        <v>8.5246286400721596E-3</v>
      </c>
    </row>
    <row r="4718" spans="1:7" x14ac:dyDescent="0.2">
      <c r="A4718" s="11">
        <v>41927</v>
      </c>
      <c r="B4718" s="10">
        <v>500.42110000000002</v>
      </c>
      <c r="C4718" s="10">
        <v>512.42139999999995</v>
      </c>
      <c r="D4718" s="10">
        <v>493.13069999999999</v>
      </c>
      <c r="E4718" s="13">
        <f t="shared" si="219"/>
        <v>-1.9918362336616015E-2</v>
      </c>
      <c r="F4718" s="9">
        <f t="shared" si="220"/>
        <v>-0.1265225199952002</v>
      </c>
      <c r="G4718" s="9">
        <f t="shared" si="221"/>
        <v>8.8830772110351109E-3</v>
      </c>
    </row>
    <row r="4719" spans="1:7" x14ac:dyDescent="0.2">
      <c r="A4719" s="11">
        <v>41928</v>
      </c>
      <c r="B4719" s="10">
        <v>486.63780000000003</v>
      </c>
      <c r="C4719" s="10">
        <v>505.28730000000002</v>
      </c>
      <c r="D4719" s="10">
        <v>482.03019999999998</v>
      </c>
      <c r="E4719" s="13">
        <f t="shared" si="219"/>
        <v>-2.7929834764199406E-2</v>
      </c>
      <c r="F4719" s="9">
        <f t="shared" si="220"/>
        <v>-0.14677055295900293</v>
      </c>
      <c r="G4719" s="9">
        <f t="shared" si="221"/>
        <v>9.8917423583166318E-3</v>
      </c>
    </row>
    <row r="4720" spans="1:7" x14ac:dyDescent="0.2">
      <c r="A4720" s="11">
        <v>41929</v>
      </c>
      <c r="B4720" s="10">
        <v>505.89389999999997</v>
      </c>
      <c r="C4720" s="10">
        <v>505.90199999999999</v>
      </c>
      <c r="D4720" s="10">
        <v>486.77</v>
      </c>
      <c r="E4720" s="13">
        <f t="shared" si="219"/>
        <v>3.8806854299707663E-2</v>
      </c>
      <c r="F4720" s="9">
        <f t="shared" si="220"/>
        <v>-0.10684093547897587</v>
      </c>
      <c r="G4720" s="9">
        <f t="shared" si="221"/>
        <v>1.2808491400654074E-2</v>
      </c>
    </row>
    <row r="4721" spans="1:7" x14ac:dyDescent="0.2">
      <c r="A4721" s="11">
        <v>41932</v>
      </c>
      <c r="B4721" s="10">
        <v>500.35989999999998</v>
      </c>
      <c r="C4721" s="10">
        <v>507.40530000000001</v>
      </c>
      <c r="D4721" s="10">
        <v>497.11739999999998</v>
      </c>
      <c r="E4721" s="13">
        <f t="shared" si="219"/>
        <v>-1.0999324015861766E-2</v>
      </c>
      <c r="F4721" s="9">
        <f t="shared" si="220"/>
        <v>-0.11547610201362354</v>
      </c>
      <c r="G4721" s="9">
        <f t="shared" si="221"/>
        <v>1.2876898545174245E-2</v>
      </c>
    </row>
    <row r="4722" spans="1:7" x14ac:dyDescent="0.2">
      <c r="A4722" s="11">
        <v>41933</v>
      </c>
      <c r="B4722" s="10">
        <v>518.27670000000001</v>
      </c>
      <c r="C4722" s="10">
        <v>518.27670000000001</v>
      </c>
      <c r="D4722" s="10">
        <v>498.1694</v>
      </c>
      <c r="E4722" s="13">
        <f t="shared" si="219"/>
        <v>3.5181630035289332E-2</v>
      </c>
      <c r="F4722" s="9">
        <f t="shared" si="220"/>
        <v>-7.8903388850225506E-2</v>
      </c>
      <c r="G4722" s="9">
        <f t="shared" si="221"/>
        <v>1.4788697250191083E-2</v>
      </c>
    </row>
    <row r="4723" spans="1:7" x14ac:dyDescent="0.2">
      <c r="A4723" s="11">
        <v>41934</v>
      </c>
      <c r="B4723" s="10">
        <v>524.84400000000005</v>
      </c>
      <c r="C4723" s="10">
        <v>524.84400000000005</v>
      </c>
      <c r="D4723" s="10">
        <v>513.63080000000002</v>
      </c>
      <c r="E4723" s="13">
        <f t="shared" si="219"/>
        <v>1.259180605308878E-2</v>
      </c>
      <c r="F4723" s="9">
        <f t="shared" si="220"/>
        <v>-6.342274610380115E-2</v>
      </c>
      <c r="G4723" s="9">
        <f t="shared" si="221"/>
        <v>1.5059334935994338E-2</v>
      </c>
    </row>
    <row r="4724" spans="1:7" x14ac:dyDescent="0.2">
      <c r="A4724" s="11">
        <v>41935</v>
      </c>
      <c r="B4724" s="10">
        <v>523.54939999999999</v>
      </c>
      <c r="C4724" s="10">
        <v>525.93589999999995</v>
      </c>
      <c r="D4724" s="10">
        <v>515.34450000000004</v>
      </c>
      <c r="E4724" s="13">
        <f t="shared" si="219"/>
        <v>-2.4696848683279761E-3</v>
      </c>
      <c r="F4724" s="9">
        <f t="shared" si="220"/>
        <v>-7.0747853802723026E-2</v>
      </c>
      <c r="G4724" s="9">
        <f t="shared" si="221"/>
        <v>1.4998302279288602E-2</v>
      </c>
    </row>
    <row r="4725" spans="1:7" x14ac:dyDescent="0.2">
      <c r="A4725" s="11">
        <v>41936</v>
      </c>
      <c r="B4725" s="10">
        <v>524.06539999999995</v>
      </c>
      <c r="C4725" s="10">
        <v>525.39670000000001</v>
      </c>
      <c r="D4725" s="10">
        <v>521.9538</v>
      </c>
      <c r="E4725" s="13">
        <f t="shared" si="219"/>
        <v>9.8509498286531686E-4</v>
      </c>
      <c r="F4725" s="9">
        <f t="shared" si="220"/>
        <v>-6.642422120709153E-2</v>
      </c>
      <c r="G4725" s="9">
        <f t="shared" si="221"/>
        <v>1.5010531619001422E-2</v>
      </c>
    </row>
    <row r="4726" spans="1:7" x14ac:dyDescent="0.2">
      <c r="A4726" s="11">
        <v>41939</v>
      </c>
      <c r="B4726" s="10">
        <v>522.1798</v>
      </c>
      <c r="C4726" s="10">
        <v>531.83709999999996</v>
      </c>
      <c r="D4726" s="10">
        <v>519.55610000000001</v>
      </c>
      <c r="E4726" s="13">
        <f t="shared" si="219"/>
        <v>-3.6045126736183103E-3</v>
      </c>
      <c r="F4726" s="9">
        <f t="shared" si="220"/>
        <v>-7.1503385532948868E-2</v>
      </c>
      <c r="G4726" s="9">
        <f t="shared" si="221"/>
        <v>1.4994654336115897E-2</v>
      </c>
    </row>
    <row r="4727" spans="1:7" x14ac:dyDescent="0.2">
      <c r="A4727" s="11">
        <v>41940</v>
      </c>
      <c r="B4727" s="10">
        <v>529.88670000000002</v>
      </c>
      <c r="C4727" s="10">
        <v>529.97839999999997</v>
      </c>
      <c r="D4727" s="10">
        <v>522.18690000000004</v>
      </c>
      <c r="E4727" s="13">
        <f t="shared" si="219"/>
        <v>1.46512370887184E-2</v>
      </c>
      <c r="F4727" s="9">
        <f t="shared" si="220"/>
        <v>-6.4070481404261581E-2</v>
      </c>
      <c r="G4727" s="9">
        <f t="shared" si="221"/>
        <v>1.5227809846703872E-2</v>
      </c>
    </row>
    <row r="4728" spans="1:7" x14ac:dyDescent="0.2">
      <c r="A4728" s="11">
        <v>41941</v>
      </c>
      <c r="B4728" s="10">
        <v>535.84439999999995</v>
      </c>
      <c r="C4728" s="10">
        <v>537.58330000000001</v>
      </c>
      <c r="D4728" s="10">
        <v>527.36350000000004</v>
      </c>
      <c r="E4728" s="13">
        <f t="shared" si="219"/>
        <v>1.1180610310138782E-2</v>
      </c>
      <c r="F4728" s="9">
        <f t="shared" si="220"/>
        <v>-5.6240666008919707E-2</v>
      </c>
      <c r="G4728" s="9">
        <f t="shared" si="221"/>
        <v>1.5398370577819617E-2</v>
      </c>
    </row>
    <row r="4729" spans="1:7" x14ac:dyDescent="0.2">
      <c r="A4729" s="11">
        <v>41942</v>
      </c>
      <c r="B4729" s="10">
        <v>530.596</v>
      </c>
      <c r="C4729" s="10">
        <v>536.53880000000004</v>
      </c>
      <c r="D4729" s="10">
        <v>523.05010000000004</v>
      </c>
      <c r="E4729" s="13">
        <f t="shared" si="219"/>
        <v>-9.8429173788542896E-3</v>
      </c>
      <c r="F4729" s="9">
        <f t="shared" si="220"/>
        <v>-6.5049431486746565E-2</v>
      </c>
      <c r="G4729" s="9">
        <f t="shared" si="221"/>
        <v>1.5466607441720116E-2</v>
      </c>
    </row>
    <row r="4730" spans="1:7" x14ac:dyDescent="0.2">
      <c r="A4730" s="11">
        <v>41943</v>
      </c>
      <c r="B4730" s="10">
        <v>533.94399999999996</v>
      </c>
      <c r="C4730" s="10">
        <v>538.19449999999995</v>
      </c>
      <c r="D4730" s="10">
        <v>530.73940000000005</v>
      </c>
      <c r="E4730" s="13">
        <f t="shared" si="219"/>
        <v>6.2900615074913142E-3</v>
      </c>
      <c r="F4730" s="9">
        <f t="shared" si="220"/>
        <v>-5.4214022657655833E-2</v>
      </c>
      <c r="G4730" s="9">
        <f t="shared" si="221"/>
        <v>1.5539709672757781E-2</v>
      </c>
    </row>
    <row r="4731" spans="1:7" x14ac:dyDescent="0.2">
      <c r="A4731" s="11">
        <v>41946</v>
      </c>
      <c r="B4731" s="10">
        <v>533.63679999999999</v>
      </c>
      <c r="C4731" s="10">
        <v>538.44470000000001</v>
      </c>
      <c r="D4731" s="10">
        <v>532.86239999999998</v>
      </c>
      <c r="E4731" s="13">
        <f t="shared" si="219"/>
        <v>-5.7550680656472835E-4</v>
      </c>
      <c r="F4731" s="9">
        <f t="shared" si="220"/>
        <v>-4.177793327595905E-2</v>
      </c>
      <c r="G4731" s="9">
        <f t="shared" si="221"/>
        <v>1.5392143189809306E-2</v>
      </c>
    </row>
    <row r="4732" spans="1:7" x14ac:dyDescent="0.2">
      <c r="A4732" s="11">
        <v>41947</v>
      </c>
      <c r="B4732" s="10">
        <v>526.51340000000005</v>
      </c>
      <c r="C4732" s="10">
        <v>533.3732</v>
      </c>
      <c r="D4732" s="10">
        <v>525.71810000000005</v>
      </c>
      <c r="E4732" s="13">
        <f t="shared" si="219"/>
        <v>-1.3438675398368911E-2</v>
      </c>
      <c r="F4732" s="9">
        <f t="shared" si="220"/>
        <v>-5.6371039453309693E-2</v>
      </c>
      <c r="G4732" s="9">
        <f t="shared" si="221"/>
        <v>1.5542087676965343E-2</v>
      </c>
    </row>
    <row r="4733" spans="1:7" x14ac:dyDescent="0.2">
      <c r="A4733" s="11">
        <v>41948</v>
      </c>
      <c r="B4733" s="10">
        <v>533.71619999999996</v>
      </c>
      <c r="C4733" s="10">
        <v>533.82429999999999</v>
      </c>
      <c r="D4733" s="10">
        <v>525.26440000000002</v>
      </c>
      <c r="E4733" s="13">
        <f t="shared" si="219"/>
        <v>1.3587454668481777E-2</v>
      </c>
      <c r="F4733" s="9">
        <f t="shared" si="220"/>
        <v>-3.5723575354400079E-2</v>
      </c>
      <c r="G4733" s="9">
        <f t="shared" si="221"/>
        <v>1.5770594876385744E-2</v>
      </c>
    </row>
    <row r="4734" spans="1:7" x14ac:dyDescent="0.2">
      <c r="A4734" s="11">
        <v>41949</v>
      </c>
      <c r="B4734" s="10">
        <v>533.07100000000003</v>
      </c>
      <c r="C4734" s="10">
        <v>537.46019999999999</v>
      </c>
      <c r="D4734" s="10">
        <v>531.02880000000005</v>
      </c>
      <c r="E4734" s="13">
        <f t="shared" si="219"/>
        <v>-1.2096134611840304E-3</v>
      </c>
      <c r="F4734" s="9">
        <f t="shared" si="220"/>
        <v>-4.0523197936386764E-2</v>
      </c>
      <c r="G4734" s="9">
        <f t="shared" si="221"/>
        <v>1.5743345978889347E-2</v>
      </c>
    </row>
    <row r="4735" spans="1:7" x14ac:dyDescent="0.2">
      <c r="A4735" s="11">
        <v>41950</v>
      </c>
      <c r="B4735" s="10">
        <v>535.99599999999998</v>
      </c>
      <c r="C4735" s="10">
        <v>538.82100000000003</v>
      </c>
      <c r="D4735" s="10">
        <v>533.11009999999999</v>
      </c>
      <c r="E4735" s="13">
        <f t="shared" si="219"/>
        <v>5.472074806816463E-3</v>
      </c>
      <c r="F4735" s="9">
        <f t="shared" si="220"/>
        <v>-3.5791954475586849E-2</v>
      </c>
      <c r="G4735" s="9">
        <f t="shared" si="221"/>
        <v>1.5790738358594562E-2</v>
      </c>
    </row>
    <row r="4736" spans="1:7" x14ac:dyDescent="0.2">
      <c r="A4736" s="11">
        <v>41953</v>
      </c>
      <c r="B4736" s="10">
        <v>539.52629999999999</v>
      </c>
      <c r="C4736" s="10">
        <v>542.60519999999997</v>
      </c>
      <c r="D4736" s="10">
        <v>536.02940000000001</v>
      </c>
      <c r="E4736" s="13">
        <f t="shared" si="219"/>
        <v>6.5648339951342978E-3</v>
      </c>
      <c r="F4736" s="9">
        <f t="shared" si="220"/>
        <v>-3.343317320311872E-2</v>
      </c>
      <c r="G4736" s="9">
        <f t="shared" si="221"/>
        <v>1.582579771325392E-2</v>
      </c>
    </row>
    <row r="4737" spans="1:7" x14ac:dyDescent="0.2">
      <c r="A4737" s="11">
        <v>41954</v>
      </c>
      <c r="B4737" s="10">
        <v>541.50260000000003</v>
      </c>
      <c r="C4737" s="10">
        <v>541.81290000000001</v>
      </c>
      <c r="D4737" s="10">
        <v>538.65030000000002</v>
      </c>
      <c r="E4737" s="13">
        <f t="shared" si="219"/>
        <v>3.6563355553728295E-3</v>
      </c>
      <c r="F4737" s="9">
        <f t="shared" si="220"/>
        <v>-1.8281822027461838E-2</v>
      </c>
      <c r="G4737" s="9">
        <f t="shared" si="221"/>
        <v>1.5721932920540926E-2</v>
      </c>
    </row>
    <row r="4738" spans="1:7" x14ac:dyDescent="0.2">
      <c r="A4738" s="11">
        <v>41955</v>
      </c>
      <c r="B4738" s="10">
        <v>539.20320000000004</v>
      </c>
      <c r="C4738" s="10">
        <v>542.87559999999996</v>
      </c>
      <c r="D4738" s="10">
        <v>537.60900000000004</v>
      </c>
      <c r="E4738" s="13">
        <f t="shared" si="219"/>
        <v>-4.2553736083081033E-3</v>
      </c>
      <c r="F4738" s="9">
        <f t="shared" si="220"/>
        <v>6.0723322627422999E-3</v>
      </c>
      <c r="G4738" s="9">
        <f t="shared" si="221"/>
        <v>1.4797289232266767E-2</v>
      </c>
    </row>
    <row r="4739" spans="1:7" x14ac:dyDescent="0.2">
      <c r="A4739" s="11">
        <v>41956</v>
      </c>
      <c r="B4739" s="10">
        <v>535.80600000000004</v>
      </c>
      <c r="C4739" s="10">
        <v>541.06479999999999</v>
      </c>
      <c r="D4739" s="10">
        <v>533.99919999999997</v>
      </c>
      <c r="E4739" s="13">
        <f t="shared" si="219"/>
        <v>-6.3203390424922522E-3</v>
      </c>
      <c r="F4739" s="9">
        <f t="shared" si="220"/>
        <v>2.4333153681854918E-3</v>
      </c>
      <c r="G4739" s="9">
        <f t="shared" si="221"/>
        <v>1.4838051994412392E-2</v>
      </c>
    </row>
    <row r="4740" spans="1:7" x14ac:dyDescent="0.2">
      <c r="A4740" s="11">
        <v>41957</v>
      </c>
      <c r="B4740" s="10">
        <v>547.25620000000004</v>
      </c>
      <c r="C4740" s="10">
        <v>547.72029999999995</v>
      </c>
      <c r="D4740" s="10">
        <v>535.58429999999998</v>
      </c>
      <c r="E4740" s="13">
        <f t="shared" ref="E4740:E4803" si="222">LN(B4740/B4739)</f>
        <v>2.1144910456843285E-2</v>
      </c>
      <c r="F4740" s="9">
        <f t="shared" si="220"/>
        <v>2.3100700597413721E-2</v>
      </c>
      <c r="G4740" s="9">
        <f t="shared" si="221"/>
        <v>1.5345287731598607E-2</v>
      </c>
    </row>
    <row r="4741" spans="1:7" x14ac:dyDescent="0.2">
      <c r="A4741" s="11">
        <v>41960</v>
      </c>
      <c r="B4741" s="10">
        <v>547.35720000000003</v>
      </c>
      <c r="C4741" s="10">
        <v>548.77530000000002</v>
      </c>
      <c r="D4741" s="10">
        <v>541.27099999999996</v>
      </c>
      <c r="E4741" s="13">
        <f t="shared" si="222"/>
        <v>1.845400399568578E-4</v>
      </c>
      <c r="F4741" s="9">
        <f t="shared" si="220"/>
        <v>4.0232615687515433E-2</v>
      </c>
      <c r="G4741" s="9">
        <f t="shared" si="221"/>
        <v>1.4962794301479291E-2</v>
      </c>
    </row>
    <row r="4742" spans="1:7" x14ac:dyDescent="0.2">
      <c r="A4742" s="11">
        <v>41961</v>
      </c>
      <c r="B4742" s="10">
        <v>549.88570000000004</v>
      </c>
      <c r="C4742" s="10">
        <v>554.22770000000003</v>
      </c>
      <c r="D4742" s="10">
        <v>547.27319999999997</v>
      </c>
      <c r="E4742" s="13">
        <f t="shared" si="222"/>
        <v>4.6088326946121493E-3</v>
      </c>
      <c r="F4742" s="9">
        <f t="shared" si="220"/>
        <v>5.2121972468870834E-2</v>
      </c>
      <c r="G4742" s="9">
        <f t="shared" si="221"/>
        <v>1.4879465653496481E-2</v>
      </c>
    </row>
    <row r="4743" spans="1:7" x14ac:dyDescent="0.2">
      <c r="A4743" s="11">
        <v>41962</v>
      </c>
      <c r="B4743" s="10">
        <v>551.07539999999995</v>
      </c>
      <c r="C4743" s="10">
        <v>553.29870000000005</v>
      </c>
      <c r="D4743" s="10">
        <v>548.14229999999998</v>
      </c>
      <c r="E4743" s="13">
        <f t="shared" si="222"/>
        <v>2.1612034486429184E-3</v>
      </c>
      <c r="F4743" s="9">
        <f t="shared" si="220"/>
        <v>6.8119196038982532E-2</v>
      </c>
      <c r="G4743" s="9">
        <f t="shared" si="221"/>
        <v>1.4572558423296382E-2</v>
      </c>
    </row>
    <row r="4744" spans="1:7" x14ac:dyDescent="0.2">
      <c r="A4744" s="11">
        <v>41963</v>
      </c>
      <c r="B4744" s="10">
        <v>549.52869999999996</v>
      </c>
      <c r="C4744" s="10">
        <v>553.4579</v>
      </c>
      <c r="D4744" s="10">
        <v>547.20349999999996</v>
      </c>
      <c r="E4744" s="13">
        <f t="shared" si="222"/>
        <v>-2.810640117014112E-3</v>
      </c>
      <c r="F4744" s="9">
        <f t="shared" si="220"/>
        <v>8.4436436076977262E-2</v>
      </c>
      <c r="G4744" s="9">
        <f t="shared" si="221"/>
        <v>1.4018165857753584E-2</v>
      </c>
    </row>
    <row r="4745" spans="1:7" x14ac:dyDescent="0.2">
      <c r="A4745" s="11">
        <v>41964</v>
      </c>
      <c r="B4745" s="10">
        <v>555.27430000000004</v>
      </c>
      <c r="C4745" s="10">
        <v>557.32100000000003</v>
      </c>
      <c r="D4745" s="10">
        <v>549.45209999999997</v>
      </c>
      <c r="E4745" s="13">
        <f t="shared" si="222"/>
        <v>1.0401224108019962E-2</v>
      </c>
      <c r="F4745" s="9">
        <f t="shared" si="220"/>
        <v>8.8542685309049837E-2</v>
      </c>
      <c r="G4745" s="9">
        <f t="shared" si="221"/>
        <v>1.4074187470078972E-2</v>
      </c>
    </row>
    <row r="4746" spans="1:7" x14ac:dyDescent="0.2">
      <c r="A4746" s="11">
        <v>41967</v>
      </c>
      <c r="B4746" s="10">
        <v>555.68939999999998</v>
      </c>
      <c r="C4746" s="10">
        <v>558.33889999999997</v>
      </c>
      <c r="D4746" s="10">
        <v>554.54110000000003</v>
      </c>
      <c r="E4746" s="13">
        <f t="shared" si="222"/>
        <v>7.4727917629866208E-4</v>
      </c>
      <c r="F4746" s="9">
        <f t="shared" si="220"/>
        <v>8.4841198756068589E-2</v>
      </c>
      <c r="G4746" s="9">
        <f t="shared" si="221"/>
        <v>1.4077862905863011E-2</v>
      </c>
    </row>
    <row r="4747" spans="1:7" x14ac:dyDescent="0.2">
      <c r="A4747" s="11">
        <v>41968</v>
      </c>
      <c r="B4747" s="10">
        <v>554.24739999999997</v>
      </c>
      <c r="C4747" s="10">
        <v>556.11569999999995</v>
      </c>
      <c r="D4747" s="10">
        <v>550.87750000000005</v>
      </c>
      <c r="E4747" s="13">
        <f t="shared" si="222"/>
        <v>-2.5983476019433922E-3</v>
      </c>
      <c r="F4747" s="9">
        <f t="shared" si="220"/>
        <v>0.10216121349074131</v>
      </c>
      <c r="G4747" s="9">
        <f t="shared" si="221"/>
        <v>1.3426438271379187E-2</v>
      </c>
    </row>
    <row r="4748" spans="1:7" x14ac:dyDescent="0.2">
      <c r="A4748" s="11">
        <v>41969</v>
      </c>
      <c r="B4748" s="10">
        <v>545.41110000000003</v>
      </c>
      <c r="C4748" s="10">
        <v>553.06389999999999</v>
      </c>
      <c r="D4748" s="10">
        <v>545.02059999999994</v>
      </c>
      <c r="E4748" s="13">
        <f t="shared" si="222"/>
        <v>-1.6071335221919836E-2</v>
      </c>
      <c r="F4748" s="9">
        <f t="shared" si="220"/>
        <v>0.11401971303302086</v>
      </c>
      <c r="G4748" s="9">
        <f t="shared" si="221"/>
        <v>1.2588758643208565E-2</v>
      </c>
    </row>
    <row r="4749" spans="1:7" x14ac:dyDescent="0.2">
      <c r="A4749" s="11">
        <v>41970</v>
      </c>
      <c r="B4749" s="10">
        <v>531.65710000000001</v>
      </c>
      <c r="C4749" s="10">
        <v>545.11919999999998</v>
      </c>
      <c r="D4749" s="10">
        <v>530.85720000000003</v>
      </c>
      <c r="E4749" s="13">
        <f t="shared" si="222"/>
        <v>-2.5541089581053195E-2</v>
      </c>
      <c r="F4749" s="9">
        <f t="shared" si="220"/>
        <v>4.967176915225998E-2</v>
      </c>
      <c r="G4749" s="9">
        <f t="shared" si="221"/>
        <v>1.1872749564058843E-2</v>
      </c>
    </row>
    <row r="4750" spans="1:7" x14ac:dyDescent="0.2">
      <c r="A4750" s="11">
        <v>41971</v>
      </c>
      <c r="B4750" s="10">
        <v>515.9692</v>
      </c>
      <c r="C4750" s="10">
        <v>531.97839999999997</v>
      </c>
      <c r="D4750" s="10">
        <v>511.04629999999997</v>
      </c>
      <c r="E4750" s="13">
        <f t="shared" si="222"/>
        <v>-2.9951658880970834E-2</v>
      </c>
      <c r="F4750" s="9">
        <f t="shared" si="220"/>
        <v>3.0719434287150821E-2</v>
      </c>
      <c r="G4750" s="9">
        <f t="shared" si="221"/>
        <v>1.3059747055915952E-2</v>
      </c>
    </row>
    <row r="4751" spans="1:7" x14ac:dyDescent="0.2">
      <c r="A4751" s="11">
        <v>41974</v>
      </c>
      <c r="B4751" s="10">
        <v>514.53420000000006</v>
      </c>
      <c r="C4751" s="10">
        <v>516.86810000000003</v>
      </c>
      <c r="D4751" s="10">
        <v>506.3356</v>
      </c>
      <c r="E4751" s="13">
        <f t="shared" si="222"/>
        <v>-2.7850484094420181E-3</v>
      </c>
      <c r="F4751" s="9">
        <f t="shared" si="220"/>
        <v>-7.2472441575804798E-3</v>
      </c>
      <c r="G4751" s="9">
        <f t="shared" si="221"/>
        <v>1.1301603717174754E-2</v>
      </c>
    </row>
    <row r="4752" spans="1:7" x14ac:dyDescent="0.2">
      <c r="A4752" s="11">
        <v>41975</v>
      </c>
      <c r="B4752" s="10">
        <v>520.53949999999998</v>
      </c>
      <c r="C4752" s="10">
        <v>525.57619999999997</v>
      </c>
      <c r="D4752" s="10">
        <v>514.58680000000004</v>
      </c>
      <c r="E4752" s="13">
        <f t="shared" si="222"/>
        <v>1.1603748376189974E-2</v>
      </c>
      <c r="F4752" s="9">
        <f t="shared" si="220"/>
        <v>-8.235301834479283E-3</v>
      </c>
      <c r="G4752" s="9">
        <f t="shared" si="221"/>
        <v>1.1262930340316227E-2</v>
      </c>
    </row>
    <row r="4753" spans="1:7" x14ac:dyDescent="0.2">
      <c r="A4753" s="11">
        <v>41976</v>
      </c>
      <c r="B4753" s="10">
        <v>525.23310000000004</v>
      </c>
      <c r="C4753" s="10">
        <v>525.68600000000004</v>
      </c>
      <c r="D4753" s="10">
        <v>520.55240000000003</v>
      </c>
      <c r="E4753" s="13">
        <f t="shared" si="222"/>
        <v>8.9763903084745678E-3</v>
      </c>
      <c r="F4753" s="9">
        <f t="shared" si="220"/>
        <v>3.2107733423233052E-3</v>
      </c>
      <c r="G4753" s="9">
        <f t="shared" si="221"/>
        <v>1.1383509655084325E-2</v>
      </c>
    </row>
    <row r="4754" spans="1:7" x14ac:dyDescent="0.2">
      <c r="A4754" s="11">
        <v>41977</v>
      </c>
      <c r="B4754" s="10">
        <v>519.53530000000001</v>
      </c>
      <c r="C4754" s="10">
        <v>526.66719999999998</v>
      </c>
      <c r="D4754" s="10">
        <v>517.56320000000005</v>
      </c>
      <c r="E4754" s="13">
        <f t="shared" si="222"/>
        <v>-1.0907405870124745E-2</v>
      </c>
      <c r="F4754" s="9">
        <f t="shared" si="220"/>
        <v>-8.6817275106666949E-3</v>
      </c>
      <c r="G4754" s="9">
        <f t="shared" si="221"/>
        <v>1.1563671107601215E-2</v>
      </c>
    </row>
    <row r="4755" spans="1:7" x14ac:dyDescent="0.2">
      <c r="A4755" s="11">
        <v>41978</v>
      </c>
      <c r="B4755" s="10">
        <v>518.08780000000002</v>
      </c>
      <c r="C4755" s="10">
        <v>520.45190000000002</v>
      </c>
      <c r="D4755" s="10">
        <v>516.52059999999994</v>
      </c>
      <c r="E4755" s="13">
        <f t="shared" si="222"/>
        <v>-2.7900322168591127E-3</v>
      </c>
      <c r="F4755" s="9">
        <f t="shared" si="220"/>
        <v>-7.8672470539074366E-3</v>
      </c>
      <c r="G4755" s="9">
        <f t="shared" si="221"/>
        <v>1.1556343744117249E-2</v>
      </c>
    </row>
    <row r="4756" spans="1:7" x14ac:dyDescent="0.2">
      <c r="A4756" s="11">
        <v>41981</v>
      </c>
      <c r="B4756" s="10">
        <v>512.35500000000002</v>
      </c>
      <c r="C4756" s="10">
        <v>518.47630000000004</v>
      </c>
      <c r="D4756" s="10">
        <v>510.9221</v>
      </c>
      <c r="E4756" s="13">
        <f t="shared" si="222"/>
        <v>-1.112698181385755E-2</v>
      </c>
      <c r="F4756" s="9">
        <f t="shared" si="220"/>
        <v>-3.3645465956483378E-2</v>
      </c>
      <c r="G4756" s="9">
        <f t="shared" si="221"/>
        <v>1.1357226170021937E-2</v>
      </c>
    </row>
    <row r="4757" spans="1:7" x14ac:dyDescent="0.2">
      <c r="A4757" s="11">
        <v>41982</v>
      </c>
      <c r="B4757" s="10">
        <v>504.13209999999998</v>
      </c>
      <c r="C4757" s="10">
        <v>512.27629999999999</v>
      </c>
      <c r="D4757" s="10">
        <v>501.88659999999999</v>
      </c>
      <c r="E4757" s="13">
        <f t="shared" si="222"/>
        <v>-1.6179407249013341E-2</v>
      </c>
      <c r="F4757" s="9">
        <f t="shared" si="220"/>
        <v>-6.1005483515635443E-2</v>
      </c>
      <c r="G4757" s="9">
        <f t="shared" si="221"/>
        <v>1.1431618519609991E-2</v>
      </c>
    </row>
    <row r="4758" spans="1:7" x14ac:dyDescent="0.2">
      <c r="A4758" s="11">
        <v>41983</v>
      </c>
      <c r="B4758" s="10">
        <v>505.5521</v>
      </c>
      <c r="C4758" s="10">
        <v>509.5204</v>
      </c>
      <c r="D4758" s="10">
        <v>503.90359999999998</v>
      </c>
      <c r="E4758" s="13">
        <f t="shared" si="222"/>
        <v>2.8127625176462912E-3</v>
      </c>
      <c r="F4758" s="9">
        <f t="shared" si="220"/>
        <v>-4.8349803619134955E-2</v>
      </c>
      <c r="G4758" s="9">
        <f t="shared" si="221"/>
        <v>1.1367002391665687E-2</v>
      </c>
    </row>
    <row r="4759" spans="1:7" x14ac:dyDescent="0.2">
      <c r="A4759" s="11">
        <v>41984</v>
      </c>
      <c r="B4759" s="10">
        <v>504.0224</v>
      </c>
      <c r="C4759" s="10">
        <v>507.3467</v>
      </c>
      <c r="D4759" s="10">
        <v>501.28989999999999</v>
      </c>
      <c r="E4759" s="13">
        <f t="shared" si="222"/>
        <v>-3.0303878923936358E-3</v>
      </c>
      <c r="F4759" s="9">
        <f t="shared" si="220"/>
        <v>-5.7670253019020026E-2</v>
      </c>
      <c r="G4759" s="9">
        <f t="shared" si="221"/>
        <v>1.1265289444953273E-2</v>
      </c>
    </row>
    <row r="4760" spans="1:7" x14ac:dyDescent="0.2">
      <c r="A4760" s="11">
        <v>41985</v>
      </c>
      <c r="B4760" s="10">
        <v>496.09930000000003</v>
      </c>
      <c r="C4760" s="10">
        <v>503.98700000000002</v>
      </c>
      <c r="D4760" s="10">
        <v>495.55079999999998</v>
      </c>
      <c r="E4760" s="13">
        <f t="shared" si="222"/>
        <v>-1.5844603228025837E-2</v>
      </c>
      <c r="F4760" s="9">
        <f t="shared" si="220"/>
        <v>-7.2939349440481166E-2</v>
      </c>
      <c r="G4760" s="9">
        <f t="shared" si="221"/>
        <v>1.155010899349264E-2</v>
      </c>
    </row>
    <row r="4761" spans="1:7" x14ac:dyDescent="0.2">
      <c r="A4761" s="11">
        <v>41988</v>
      </c>
      <c r="B4761" s="10">
        <v>492.9513</v>
      </c>
      <c r="C4761" s="10">
        <v>501.79539999999997</v>
      </c>
      <c r="D4761" s="10">
        <v>492.52179999999998</v>
      </c>
      <c r="E4761" s="13">
        <f t="shared" si="222"/>
        <v>-6.3657220982906403E-3</v>
      </c>
      <c r="F4761" s="9">
        <f t="shared" si="220"/>
        <v>-6.5866396140402919E-2</v>
      </c>
      <c r="G4761" s="9">
        <f t="shared" si="221"/>
        <v>1.1384699848411122E-2</v>
      </c>
    </row>
    <row r="4762" spans="1:7" x14ac:dyDescent="0.2">
      <c r="A4762" s="11">
        <v>41989</v>
      </c>
      <c r="B4762" s="10">
        <v>487.66579999999999</v>
      </c>
      <c r="C4762" s="10">
        <v>493.95609999999999</v>
      </c>
      <c r="D4762" s="10">
        <v>483.6823</v>
      </c>
      <c r="E4762" s="13">
        <f t="shared" si="222"/>
        <v>-1.0780051021634382E-2</v>
      </c>
      <c r="F4762" s="9">
        <f t="shared" si="220"/>
        <v>-9.0233901830519103E-2</v>
      </c>
      <c r="G4762" s="9">
        <f t="shared" si="221"/>
        <v>1.1067237463157489E-2</v>
      </c>
    </row>
    <row r="4763" spans="1:7" x14ac:dyDescent="0.2">
      <c r="A4763" s="11">
        <v>41990</v>
      </c>
      <c r="B4763" s="10">
        <v>503.26580000000001</v>
      </c>
      <c r="C4763" s="10">
        <v>503.37849999999997</v>
      </c>
      <c r="D4763" s="10">
        <v>487.42059999999998</v>
      </c>
      <c r="E4763" s="13">
        <f t="shared" si="222"/>
        <v>3.1488124773299743E-2</v>
      </c>
      <c r="F4763" s="9">
        <f t="shared" si="220"/>
        <v>-5.7536163596035271E-2</v>
      </c>
      <c r="G4763" s="9">
        <f t="shared" si="221"/>
        <v>1.2798152296266354E-2</v>
      </c>
    </row>
    <row r="4764" spans="1:7" x14ac:dyDescent="0.2">
      <c r="A4764" s="11">
        <v>41991</v>
      </c>
      <c r="B4764" s="10">
        <v>523.61770000000001</v>
      </c>
      <c r="C4764" s="10">
        <v>523.61770000000001</v>
      </c>
      <c r="D4764" s="10">
        <v>503.32170000000002</v>
      </c>
      <c r="E4764" s="13">
        <f t="shared" si="222"/>
        <v>3.9643377941714221E-2</v>
      </c>
      <c r="F4764" s="9">
        <f t="shared" si="220"/>
        <v>-2.3364860461137536E-2</v>
      </c>
      <c r="G4764" s="9">
        <f t="shared" si="221"/>
        <v>1.4908263327885871E-2</v>
      </c>
    </row>
    <row r="4765" spans="1:7" x14ac:dyDescent="0.2">
      <c r="A4765" s="11">
        <v>41992</v>
      </c>
      <c r="B4765" s="10">
        <v>527.03610000000003</v>
      </c>
      <c r="C4765" s="10">
        <v>528.46630000000005</v>
      </c>
      <c r="D4765" s="10">
        <v>516.53689999999995</v>
      </c>
      <c r="E4765" s="13">
        <f t="shared" si="222"/>
        <v>6.5072092487949941E-3</v>
      </c>
      <c r="F4765" s="9">
        <f t="shared" si="220"/>
        <v>-2.3422485207476917E-2</v>
      </c>
      <c r="G4765" s="9">
        <f t="shared" si="221"/>
        <v>1.4907249662797158E-2</v>
      </c>
    </row>
    <row r="4766" spans="1:7" x14ac:dyDescent="0.2">
      <c r="A4766" s="11">
        <v>41995</v>
      </c>
      <c r="B4766" s="10">
        <v>528.61649999999997</v>
      </c>
      <c r="C4766" s="10">
        <v>535.50459999999998</v>
      </c>
      <c r="D4766" s="10">
        <v>525.97559999999999</v>
      </c>
      <c r="E4766" s="13">
        <f t="shared" si="222"/>
        <v>2.9941690679237904E-3</v>
      </c>
      <c r="F4766" s="9">
        <f t="shared" si="220"/>
        <v>-2.4084651694926126E-2</v>
      </c>
      <c r="G4766" s="9">
        <f t="shared" si="221"/>
        <v>1.490067364604445E-2</v>
      </c>
    </row>
    <row r="4767" spans="1:7" x14ac:dyDescent="0.2">
      <c r="A4767" s="11">
        <v>41996</v>
      </c>
      <c r="B4767" s="10">
        <v>530.77269999999999</v>
      </c>
      <c r="C4767" s="10">
        <v>530.91120000000001</v>
      </c>
      <c r="D4767" s="10">
        <v>526.78970000000004</v>
      </c>
      <c r="E4767" s="13">
        <f t="shared" si="222"/>
        <v>4.0706531223671256E-3</v>
      </c>
      <c r="F4767" s="9">
        <f t="shared" si="220"/>
        <v>-1.5758624964250855E-2</v>
      </c>
      <c r="G4767" s="9">
        <f t="shared" si="221"/>
        <v>1.4912534629473754E-2</v>
      </c>
    </row>
    <row r="4768" spans="1:7" x14ac:dyDescent="0.2">
      <c r="A4768" s="11">
        <v>42002</v>
      </c>
      <c r="B4768" s="10">
        <v>528.63720000000001</v>
      </c>
      <c r="C4768" s="10">
        <v>532.76229999999998</v>
      </c>
      <c r="D4768" s="10">
        <v>525.58330000000001</v>
      </c>
      <c r="E4768" s="13">
        <f t="shared" si="222"/>
        <v>-4.0314950659749915E-3</v>
      </c>
      <c r="F4768" s="9">
        <f t="shared" ref="F4768:F4831" si="223">LN(B4768/B4739)</f>
        <v>-1.3469780987733656E-2</v>
      </c>
      <c r="G4768" s="9">
        <f t="shared" si="221"/>
        <v>1.4886902719250252E-2</v>
      </c>
    </row>
    <row r="4769" spans="1:7" x14ac:dyDescent="0.2">
      <c r="A4769" s="11">
        <v>42003</v>
      </c>
      <c r="B4769" s="10">
        <v>523.6807</v>
      </c>
      <c r="C4769" s="10">
        <v>528.60090000000002</v>
      </c>
      <c r="D4769" s="10">
        <v>522.18370000000004</v>
      </c>
      <c r="E4769" s="13">
        <f t="shared" si="222"/>
        <v>-9.4202268222206304E-3</v>
      </c>
      <c r="F4769" s="9">
        <f t="shared" si="223"/>
        <v>-4.4034918266797611E-2</v>
      </c>
      <c r="G4769" s="9">
        <f t="shared" ref="G4769:G4832" si="224">STDEV(E4741:E4769)</f>
        <v>1.4375551697332272E-2</v>
      </c>
    </row>
    <row r="4770" spans="1:7" x14ac:dyDescent="0.2">
      <c r="A4770" s="11">
        <v>42006</v>
      </c>
      <c r="B4770" s="10">
        <v>526.41380000000004</v>
      </c>
      <c r="C4770" s="10">
        <v>528.51589999999999</v>
      </c>
      <c r="D4770" s="10">
        <v>520.15989999999999</v>
      </c>
      <c r="E4770" s="13">
        <f t="shared" si="222"/>
        <v>5.2054480268090477E-3</v>
      </c>
      <c r="F4770" s="9">
        <f t="shared" si="223"/>
        <v>-3.9014010279945312E-2</v>
      </c>
      <c r="G4770" s="9">
        <f t="shared" si="224"/>
        <v>1.44269377445313E-2</v>
      </c>
    </row>
    <row r="4771" spans="1:7" x14ac:dyDescent="0.2">
      <c r="A4771" s="11">
        <v>42009</v>
      </c>
      <c r="B4771" s="10">
        <v>512.9194</v>
      </c>
      <c r="C4771" s="10">
        <v>529.83590000000004</v>
      </c>
      <c r="D4771" s="10">
        <v>512.45950000000005</v>
      </c>
      <c r="E4771" s="13">
        <f t="shared" si="222"/>
        <v>-2.596887765578355E-2</v>
      </c>
      <c r="F4771" s="9">
        <f t="shared" si="223"/>
        <v>-6.9591720630341095E-2</v>
      </c>
      <c r="G4771" s="9">
        <f t="shared" si="224"/>
        <v>1.5078899504091333E-2</v>
      </c>
    </row>
    <row r="4772" spans="1:7" x14ac:dyDescent="0.2">
      <c r="A4772" s="11">
        <v>42010</v>
      </c>
      <c r="B4772" s="10">
        <v>517.26580000000001</v>
      </c>
      <c r="C4772" s="10">
        <v>518.00570000000005</v>
      </c>
      <c r="D4772" s="10">
        <v>508.70049999999998</v>
      </c>
      <c r="E4772" s="13">
        <f t="shared" si="222"/>
        <v>8.438144499525204E-3</v>
      </c>
      <c r="F4772" s="9">
        <f t="shared" si="223"/>
        <v>-6.3314779579458594E-2</v>
      </c>
      <c r="G4772" s="9">
        <f t="shared" si="224"/>
        <v>1.5191337383560464E-2</v>
      </c>
    </row>
    <row r="4773" spans="1:7" x14ac:dyDescent="0.2">
      <c r="A4773" s="11">
        <v>42011</v>
      </c>
      <c r="B4773" s="10">
        <v>520.74929999999995</v>
      </c>
      <c r="C4773" s="10">
        <v>522.79660000000001</v>
      </c>
      <c r="D4773" s="10">
        <v>513.1626</v>
      </c>
      <c r="E4773" s="13">
        <f t="shared" si="222"/>
        <v>6.7118736084112425E-3</v>
      </c>
      <c r="F4773" s="9">
        <f t="shared" si="223"/>
        <v>-5.3792265854033294E-2</v>
      </c>
      <c r="G4773" s="9">
        <f t="shared" si="224"/>
        <v>1.527994904471576E-2</v>
      </c>
    </row>
    <row r="4774" spans="1:7" x14ac:dyDescent="0.2">
      <c r="A4774" s="11">
        <v>42012</v>
      </c>
      <c r="B4774" s="10">
        <v>527.41899999999998</v>
      </c>
      <c r="C4774" s="10">
        <v>528.51300000000003</v>
      </c>
      <c r="D4774" s="10">
        <v>520.96990000000005</v>
      </c>
      <c r="E4774" s="13">
        <f t="shared" si="222"/>
        <v>1.2726563132048925E-2</v>
      </c>
      <c r="F4774" s="9">
        <f t="shared" si="223"/>
        <v>-5.146692683000427E-2</v>
      </c>
      <c r="G4774" s="9">
        <f t="shared" si="224"/>
        <v>1.5352491257756982E-2</v>
      </c>
    </row>
    <row r="4775" spans="1:7" x14ac:dyDescent="0.2">
      <c r="A4775" s="11">
        <v>42013</v>
      </c>
      <c r="B4775" s="10">
        <v>527.66700000000003</v>
      </c>
      <c r="C4775" s="10">
        <v>531.81169999999997</v>
      </c>
      <c r="D4775" s="10">
        <v>526.55889999999999</v>
      </c>
      <c r="E4775" s="13">
        <f t="shared" si="222"/>
        <v>4.701038674901383E-4</v>
      </c>
      <c r="F4775" s="9">
        <f t="shared" si="223"/>
        <v>-5.1744102138812795E-2</v>
      </c>
      <c r="G4775" s="9">
        <f t="shared" si="224"/>
        <v>1.5350951300470995E-2</v>
      </c>
    </row>
    <row r="4776" spans="1:7" x14ac:dyDescent="0.2">
      <c r="A4776" s="11">
        <v>42016</v>
      </c>
      <c r="B4776" s="10">
        <v>520.77499999999998</v>
      </c>
      <c r="C4776" s="10">
        <v>527.95849999999996</v>
      </c>
      <c r="D4776" s="10">
        <v>520.11810000000003</v>
      </c>
      <c r="E4776" s="13">
        <f t="shared" si="222"/>
        <v>-1.314731625466385E-2</v>
      </c>
      <c r="F4776" s="9">
        <f t="shared" si="223"/>
        <v>-6.2293070791533296E-2</v>
      </c>
      <c r="G4776" s="9">
        <f t="shared" si="224"/>
        <v>1.5495237051843028E-2</v>
      </c>
    </row>
    <row r="4777" spans="1:7" x14ac:dyDescent="0.2">
      <c r="A4777" s="11">
        <v>42017</v>
      </c>
      <c r="B4777" s="10">
        <v>529.99940000000004</v>
      </c>
      <c r="C4777" s="10">
        <v>532.04470000000003</v>
      </c>
      <c r="D4777" s="10">
        <v>519.79780000000005</v>
      </c>
      <c r="E4777" s="13">
        <f t="shared" si="222"/>
        <v>1.7557787800076718E-2</v>
      </c>
      <c r="F4777" s="9">
        <f t="shared" si="223"/>
        <v>-2.8663947769536791E-2</v>
      </c>
      <c r="G4777" s="9">
        <f t="shared" si="224"/>
        <v>1.5673374282590597E-2</v>
      </c>
    </row>
    <row r="4778" spans="1:7" x14ac:dyDescent="0.2">
      <c r="A4778" s="11">
        <v>42018</v>
      </c>
      <c r="B4778" s="10">
        <v>522.79070000000002</v>
      </c>
      <c r="C4778" s="10">
        <v>529.80790000000002</v>
      </c>
      <c r="D4778" s="10">
        <v>519.40110000000004</v>
      </c>
      <c r="E4778" s="13">
        <f t="shared" si="222"/>
        <v>-1.3694681707591548E-2</v>
      </c>
      <c r="F4778" s="9">
        <f t="shared" si="223"/>
        <v>-1.6817539896075085E-2</v>
      </c>
      <c r="G4778" s="9">
        <f t="shared" si="224"/>
        <v>1.515645384996642E-2</v>
      </c>
    </row>
    <row r="4779" spans="1:7" x14ac:dyDescent="0.2">
      <c r="A4779" s="11">
        <v>42019</v>
      </c>
      <c r="B4779" s="10">
        <v>527.65959999999995</v>
      </c>
      <c r="C4779" s="10">
        <v>529.505</v>
      </c>
      <c r="D4779" s="10">
        <v>514.99390000000005</v>
      </c>
      <c r="E4779" s="13">
        <f t="shared" si="222"/>
        <v>9.2701860676469242E-3</v>
      </c>
      <c r="F4779" s="9">
        <f t="shared" si="223"/>
        <v>2.2404305052542609E-2</v>
      </c>
      <c r="G4779" s="9">
        <f t="shared" si="224"/>
        <v>1.4159026801326248E-2</v>
      </c>
    </row>
    <row r="4780" spans="1:7" x14ac:dyDescent="0.2">
      <c r="A4780" s="11">
        <v>42020</v>
      </c>
      <c r="B4780" s="10">
        <v>526.57370000000003</v>
      </c>
      <c r="C4780" s="10">
        <v>530.81079999999997</v>
      </c>
      <c r="D4780" s="10">
        <v>522.11170000000004</v>
      </c>
      <c r="E4780" s="13">
        <f t="shared" si="222"/>
        <v>-2.0600760458594444E-3</v>
      </c>
      <c r="F4780" s="9">
        <f t="shared" si="223"/>
        <v>2.3129277416125357E-2</v>
      </c>
      <c r="G4780" s="9">
        <f t="shared" si="224"/>
        <v>1.4153159971996109E-2</v>
      </c>
    </row>
    <row r="4781" spans="1:7" x14ac:dyDescent="0.2">
      <c r="A4781" s="11">
        <v>42023</v>
      </c>
      <c r="B4781" s="10">
        <v>539.86509999999998</v>
      </c>
      <c r="C4781" s="10">
        <v>539.86509999999998</v>
      </c>
      <c r="D4781" s="10">
        <v>526.80880000000002</v>
      </c>
      <c r="E4781" s="13">
        <f t="shared" si="222"/>
        <v>2.4927990750335676E-2</v>
      </c>
      <c r="F4781" s="9">
        <f t="shared" si="223"/>
        <v>3.6453519790270804E-2</v>
      </c>
      <c r="G4781" s="9">
        <f t="shared" si="224"/>
        <v>1.4721359938693612E-2</v>
      </c>
    </row>
    <row r="4782" spans="1:7" x14ac:dyDescent="0.2">
      <c r="A4782" s="11">
        <v>42024</v>
      </c>
      <c r="B4782" s="10">
        <v>535.32839999999999</v>
      </c>
      <c r="C4782" s="10">
        <v>540.1463</v>
      </c>
      <c r="D4782" s="10">
        <v>532.85950000000003</v>
      </c>
      <c r="E4782" s="13">
        <f t="shared" si="222"/>
        <v>-8.4389031805439454E-3</v>
      </c>
      <c r="F4782" s="9">
        <f t="shared" si="223"/>
        <v>1.9038226301252403E-2</v>
      </c>
      <c r="G4782" s="9">
        <f t="shared" si="224"/>
        <v>1.4750399622001165E-2</v>
      </c>
    </row>
    <row r="4783" spans="1:7" x14ac:dyDescent="0.2">
      <c r="A4783" s="11">
        <v>42025</v>
      </c>
      <c r="B4783" s="10">
        <v>540.62689999999998</v>
      </c>
      <c r="C4783" s="10">
        <v>540.6703</v>
      </c>
      <c r="D4783" s="10">
        <v>533.81569999999999</v>
      </c>
      <c r="E4783" s="13">
        <f t="shared" si="222"/>
        <v>9.8490017767924355E-3</v>
      </c>
      <c r="F4783" s="9">
        <f t="shared" si="223"/>
        <v>3.9794633948169712E-2</v>
      </c>
      <c r="G4783" s="9">
        <f t="shared" si="224"/>
        <v>1.4672620883131418E-2</v>
      </c>
    </row>
    <row r="4784" spans="1:7" x14ac:dyDescent="0.2">
      <c r="A4784" s="11">
        <v>42026</v>
      </c>
      <c r="B4784" s="10">
        <v>546.37289999999996</v>
      </c>
      <c r="C4784" s="10">
        <v>546.798</v>
      </c>
      <c r="D4784" s="10">
        <v>539.96050000000002</v>
      </c>
      <c r="E4784" s="13">
        <f t="shared" si="222"/>
        <v>1.0572317531186986E-2</v>
      </c>
      <c r="F4784" s="9">
        <f t="shared" si="223"/>
        <v>5.3156983696215805E-2</v>
      </c>
      <c r="G4784" s="9">
        <f t="shared" si="224"/>
        <v>1.4746867389251874E-2</v>
      </c>
    </row>
    <row r="4785" spans="1:7" x14ac:dyDescent="0.2">
      <c r="A4785" s="11">
        <v>42027</v>
      </c>
      <c r="B4785" s="10">
        <v>549.56889999999999</v>
      </c>
      <c r="C4785" s="10">
        <v>551.51850000000002</v>
      </c>
      <c r="D4785" s="10">
        <v>545.92010000000005</v>
      </c>
      <c r="E4785" s="13">
        <f t="shared" si="222"/>
        <v>5.8324430365922861E-3</v>
      </c>
      <c r="F4785" s="9">
        <f t="shared" si="223"/>
        <v>7.0116408546665718E-2</v>
      </c>
      <c r="G4785" s="9">
        <f t="shared" si="224"/>
        <v>1.4549520328621059E-2</v>
      </c>
    </row>
    <row r="4786" spans="1:7" x14ac:dyDescent="0.2">
      <c r="A4786" s="11">
        <v>42030</v>
      </c>
      <c r="B4786" s="10">
        <v>549.62199999999996</v>
      </c>
      <c r="C4786" s="10">
        <v>550.28290000000004</v>
      </c>
      <c r="D4786" s="10">
        <v>541.4615</v>
      </c>
      <c r="E4786" s="13">
        <f t="shared" si="222"/>
        <v>9.6616520463033224E-5</v>
      </c>
      <c r="F4786" s="9">
        <f t="shared" si="223"/>
        <v>8.6392432316141896E-2</v>
      </c>
      <c r="G4786" s="9">
        <f t="shared" si="224"/>
        <v>1.411391906698699E-2</v>
      </c>
    </row>
    <row r="4787" spans="1:7" x14ac:dyDescent="0.2">
      <c r="A4787" s="11">
        <v>42031</v>
      </c>
      <c r="B4787" s="10">
        <v>543.99720000000002</v>
      </c>
      <c r="C4787" s="10">
        <v>551.10069999999996</v>
      </c>
      <c r="D4787" s="10">
        <v>542.09559999999999</v>
      </c>
      <c r="E4787" s="13">
        <f t="shared" si="222"/>
        <v>-1.0286669435204471E-2</v>
      </c>
      <c r="F4787" s="9">
        <f t="shared" si="223"/>
        <v>7.3293000363291311E-2</v>
      </c>
      <c r="G4787" s="9">
        <f t="shared" si="224"/>
        <v>1.4327434337710119E-2</v>
      </c>
    </row>
    <row r="4788" spans="1:7" x14ac:dyDescent="0.2">
      <c r="A4788" s="11">
        <v>42032</v>
      </c>
      <c r="B4788" s="10">
        <v>545.5729</v>
      </c>
      <c r="C4788" s="10">
        <v>550.39959999999996</v>
      </c>
      <c r="D4788" s="10">
        <v>544.08360000000005</v>
      </c>
      <c r="E4788" s="13">
        <f t="shared" si="222"/>
        <v>2.8923354238031529E-3</v>
      </c>
      <c r="F4788" s="9">
        <f t="shared" si="223"/>
        <v>7.9215723679488079E-2</v>
      </c>
      <c r="G4788" s="9">
        <f t="shared" si="224"/>
        <v>1.4287539161260578E-2</v>
      </c>
    </row>
    <row r="4789" spans="1:7" x14ac:dyDescent="0.2">
      <c r="A4789" s="11">
        <v>42033</v>
      </c>
      <c r="B4789" s="10">
        <v>542.99800000000005</v>
      </c>
      <c r="C4789" s="10">
        <v>545.77919999999995</v>
      </c>
      <c r="D4789" s="10">
        <v>540.99929999999995</v>
      </c>
      <c r="E4789" s="13">
        <f t="shared" si="222"/>
        <v>-4.7307985217760889E-3</v>
      </c>
      <c r="F4789" s="9">
        <f t="shared" si="223"/>
        <v>9.0329528385737934E-2</v>
      </c>
      <c r="G4789" s="9">
        <f t="shared" si="224"/>
        <v>1.3915688855021622E-2</v>
      </c>
    </row>
    <row r="4790" spans="1:7" x14ac:dyDescent="0.2">
      <c r="A4790" s="11">
        <v>42034</v>
      </c>
      <c r="B4790" s="10">
        <v>542.37249999999995</v>
      </c>
      <c r="C4790" s="10">
        <v>546.37429999999995</v>
      </c>
      <c r="D4790" s="10">
        <v>540.029</v>
      </c>
      <c r="E4790" s="13">
        <f t="shared" si="222"/>
        <v>-1.1526019350031663E-3</v>
      </c>
      <c r="F4790" s="9">
        <f t="shared" si="223"/>
        <v>9.5542648549025347E-2</v>
      </c>
      <c r="G4790" s="9">
        <f t="shared" si="224"/>
        <v>1.3822202989778995E-2</v>
      </c>
    </row>
    <row r="4791" spans="1:7" x14ac:dyDescent="0.2">
      <c r="A4791" s="11">
        <v>42037</v>
      </c>
      <c r="B4791" s="10">
        <v>547.97500000000002</v>
      </c>
      <c r="C4791" s="10">
        <v>550.67859999999996</v>
      </c>
      <c r="D4791" s="10">
        <v>540.64380000000006</v>
      </c>
      <c r="E4791" s="13">
        <f t="shared" si="222"/>
        <v>1.0276630718518641E-2</v>
      </c>
      <c r="F4791" s="9">
        <f t="shared" si="223"/>
        <v>0.11659933028917839</v>
      </c>
      <c r="G4791" s="9">
        <f t="shared" si="224"/>
        <v>1.3607845975264989E-2</v>
      </c>
    </row>
    <row r="4792" spans="1:7" x14ac:dyDescent="0.2">
      <c r="A4792" s="11">
        <v>42038</v>
      </c>
      <c r="B4792" s="10">
        <v>560.96489999999994</v>
      </c>
      <c r="C4792" s="10">
        <v>560.96489999999994</v>
      </c>
      <c r="D4792" s="10">
        <v>550.17349999999999</v>
      </c>
      <c r="E4792" s="13">
        <f t="shared" si="222"/>
        <v>2.3428671250974267E-2</v>
      </c>
      <c r="F4792" s="9">
        <f t="shared" si="223"/>
        <v>0.1085398767668527</v>
      </c>
      <c r="G4792" s="9">
        <f t="shared" si="224"/>
        <v>1.3099654825678514E-2</v>
      </c>
    </row>
    <row r="4793" spans="1:7" x14ac:dyDescent="0.2">
      <c r="A4793" s="11">
        <v>42039</v>
      </c>
      <c r="B4793" s="10">
        <v>551.96799999999996</v>
      </c>
      <c r="C4793" s="10">
        <v>561.70719999999994</v>
      </c>
      <c r="D4793" s="10">
        <v>549.46550000000002</v>
      </c>
      <c r="E4793" s="13">
        <f t="shared" si="222"/>
        <v>-1.6168263138171473E-2</v>
      </c>
      <c r="F4793" s="9">
        <f t="shared" si="223"/>
        <v>5.2728235686967044E-2</v>
      </c>
      <c r="G4793" s="9">
        <f t="shared" si="224"/>
        <v>1.1657322851288865E-2</v>
      </c>
    </row>
    <row r="4794" spans="1:7" x14ac:dyDescent="0.2">
      <c r="A4794" s="11">
        <v>42040</v>
      </c>
      <c r="B4794" s="10">
        <v>558.56100000000004</v>
      </c>
      <c r="C4794" s="10">
        <v>560.10760000000005</v>
      </c>
      <c r="D4794" s="10">
        <v>548.52189999999996</v>
      </c>
      <c r="E4794" s="13">
        <f t="shared" si="222"/>
        <v>1.1873760090865618E-2</v>
      </c>
      <c r="F4794" s="9">
        <f t="shared" si="223"/>
        <v>5.8094786529037774E-2</v>
      </c>
      <c r="G4794" s="9">
        <f t="shared" si="224"/>
        <v>1.1776403693278125E-2</v>
      </c>
    </row>
    <row r="4795" spans="1:7" x14ac:dyDescent="0.2">
      <c r="A4795" s="11">
        <v>42041</v>
      </c>
      <c r="B4795" s="10">
        <v>561.8057</v>
      </c>
      <c r="C4795" s="10">
        <v>562.19299999999998</v>
      </c>
      <c r="D4795" s="10">
        <v>555.87400000000002</v>
      </c>
      <c r="E4795" s="13">
        <f t="shared" si="222"/>
        <v>5.7922269050056634E-3</v>
      </c>
      <c r="F4795" s="9">
        <f t="shared" si="223"/>
        <v>6.0892844366119747E-2</v>
      </c>
      <c r="G4795" s="9">
        <f t="shared" si="224"/>
        <v>1.179625773354169E-2</v>
      </c>
    </row>
    <row r="4796" spans="1:7" x14ac:dyDescent="0.2">
      <c r="A4796" s="11">
        <v>42044</v>
      </c>
      <c r="B4796" s="10">
        <v>563.83100000000002</v>
      </c>
      <c r="C4796" s="10">
        <v>564.31849999999997</v>
      </c>
      <c r="D4796" s="10">
        <v>557.77560000000005</v>
      </c>
      <c r="E4796" s="13">
        <f t="shared" si="222"/>
        <v>3.5985006272483901E-3</v>
      </c>
      <c r="F4796" s="9">
        <f t="shared" si="223"/>
        <v>6.0420691871001096E-2</v>
      </c>
      <c r="G4796" s="9">
        <f t="shared" si="224"/>
        <v>1.179376592689968E-2</v>
      </c>
    </row>
    <row r="4797" spans="1:7" x14ac:dyDescent="0.2">
      <c r="A4797" s="11">
        <v>42045</v>
      </c>
      <c r="B4797" s="10">
        <v>560.62879999999996</v>
      </c>
      <c r="C4797" s="10">
        <v>565.11310000000003</v>
      </c>
      <c r="D4797" s="10">
        <v>558.26440000000002</v>
      </c>
      <c r="E4797" s="13">
        <f t="shared" si="222"/>
        <v>-5.6955502658621411E-3</v>
      </c>
      <c r="F4797" s="9">
        <f t="shared" si="223"/>
        <v>5.8756636671113846E-2</v>
      </c>
      <c r="G4797" s="9">
        <f t="shared" si="224"/>
        <v>1.1828576917197907E-2</v>
      </c>
    </row>
    <row r="4798" spans="1:7" x14ac:dyDescent="0.2">
      <c r="A4798" s="11">
        <v>42046</v>
      </c>
      <c r="B4798" s="10">
        <v>549.35159999999996</v>
      </c>
      <c r="C4798" s="10">
        <v>566.07989999999995</v>
      </c>
      <c r="D4798" s="10">
        <v>549.26160000000004</v>
      </c>
      <c r="E4798" s="13">
        <f t="shared" si="222"/>
        <v>-2.0320337263833737E-2</v>
      </c>
      <c r="F4798" s="9">
        <f t="shared" si="223"/>
        <v>4.7856526229500609E-2</v>
      </c>
      <c r="G4798" s="9">
        <f t="shared" si="224"/>
        <v>1.2366247519456211E-2</v>
      </c>
    </row>
    <row r="4799" spans="1:7" x14ac:dyDescent="0.2">
      <c r="A4799" s="11">
        <v>42047</v>
      </c>
      <c r="B4799" s="10">
        <v>556.44410000000005</v>
      </c>
      <c r="C4799" s="10">
        <v>558.8981</v>
      </c>
      <c r="D4799" s="10">
        <v>549.37350000000004</v>
      </c>
      <c r="E4799" s="13">
        <f t="shared" si="222"/>
        <v>1.2828042758296932E-2</v>
      </c>
      <c r="F4799" s="9">
        <f t="shared" si="223"/>
        <v>5.5479120960988476E-2</v>
      </c>
      <c r="G4799" s="9">
        <f t="shared" si="224"/>
        <v>1.2524511096634024E-2</v>
      </c>
    </row>
    <row r="4800" spans="1:7" x14ac:dyDescent="0.2">
      <c r="A4800" s="11">
        <v>42048</v>
      </c>
      <c r="B4800" s="10">
        <v>561.27859999999998</v>
      </c>
      <c r="C4800" s="10">
        <v>561.30039999999997</v>
      </c>
      <c r="D4800" s="10">
        <v>554.62490000000003</v>
      </c>
      <c r="E4800" s="13">
        <f t="shared" si="222"/>
        <v>8.6506790079681917E-3</v>
      </c>
      <c r="F4800" s="9">
        <f t="shared" si="223"/>
        <v>9.0098677624740206E-2</v>
      </c>
      <c r="G4800" s="9">
        <f t="shared" si="224"/>
        <v>1.1368563617049396E-2</v>
      </c>
    </row>
    <row r="4801" spans="1:7" x14ac:dyDescent="0.2">
      <c r="A4801" s="11">
        <v>42051</v>
      </c>
      <c r="B4801" s="10">
        <v>565.04020000000003</v>
      </c>
      <c r="C4801" s="10">
        <v>565.43629999999996</v>
      </c>
      <c r="D4801" s="10">
        <v>561.48599999999999</v>
      </c>
      <c r="E4801" s="13">
        <f t="shared" si="222"/>
        <v>6.6794836159390879E-3</v>
      </c>
      <c r="F4801" s="9">
        <f t="shared" si="223"/>
        <v>8.8340016741154173E-2</v>
      </c>
      <c r="G4801" s="9">
        <f t="shared" si="224"/>
        <v>1.1343772750416946E-2</v>
      </c>
    </row>
    <row r="4802" spans="1:7" x14ac:dyDescent="0.2">
      <c r="A4802" s="11">
        <v>42052</v>
      </c>
      <c r="B4802" s="10">
        <v>560.66769999999997</v>
      </c>
      <c r="C4802" s="10">
        <v>566.64959999999996</v>
      </c>
      <c r="D4802" s="10">
        <v>560.13829999999996</v>
      </c>
      <c r="E4802" s="13">
        <f t="shared" si="222"/>
        <v>-7.7684841507657566E-3</v>
      </c>
      <c r="F4802" s="9">
        <f t="shared" si="223"/>
        <v>7.3859658981976967E-2</v>
      </c>
      <c r="G4802" s="9">
        <f t="shared" si="224"/>
        <v>1.1494351286033306E-2</v>
      </c>
    </row>
    <row r="4803" spans="1:7" x14ac:dyDescent="0.2">
      <c r="A4803" s="11">
        <v>42053</v>
      </c>
      <c r="B4803" s="10">
        <v>564.24530000000004</v>
      </c>
      <c r="C4803" s="10">
        <v>566.68719999999996</v>
      </c>
      <c r="D4803" s="10">
        <v>560.6259</v>
      </c>
      <c r="E4803" s="13">
        <f t="shared" si="222"/>
        <v>6.3606911147564777E-3</v>
      </c>
      <c r="F4803" s="9">
        <f t="shared" si="223"/>
        <v>6.7493786964684679E-2</v>
      </c>
      <c r="G4803" s="9">
        <f t="shared" si="224"/>
        <v>1.135291812490925E-2</v>
      </c>
    </row>
    <row r="4804" spans="1:7" x14ac:dyDescent="0.2">
      <c r="A4804" s="11">
        <v>42054</v>
      </c>
      <c r="B4804" s="10">
        <v>558.30650000000003</v>
      </c>
      <c r="C4804" s="10">
        <v>564.81949999999995</v>
      </c>
      <c r="D4804" s="10">
        <v>556.99249999999995</v>
      </c>
      <c r="E4804" s="13">
        <f t="shared" ref="E4804:E4867" si="225">LN(B4804/B4803)</f>
        <v>-1.0580991287176846E-2</v>
      </c>
      <c r="F4804" s="9">
        <f t="shared" si="223"/>
        <v>5.6442691810017855E-2</v>
      </c>
      <c r="G4804" s="9">
        <f t="shared" si="224"/>
        <v>1.1600261896696277E-2</v>
      </c>
    </row>
    <row r="4805" spans="1:7" x14ac:dyDescent="0.2">
      <c r="A4805" s="11">
        <v>42055</v>
      </c>
      <c r="B4805" s="10">
        <v>557.24270000000001</v>
      </c>
      <c r="C4805" s="10">
        <v>561.12990000000002</v>
      </c>
      <c r="D4805" s="10">
        <v>556.13059999999996</v>
      </c>
      <c r="E4805" s="13">
        <f t="shared" si="225"/>
        <v>-1.9072225993514034E-3</v>
      </c>
      <c r="F4805" s="9">
        <f t="shared" si="223"/>
        <v>6.7682785465330186E-2</v>
      </c>
      <c r="G4805" s="9">
        <f t="shared" si="224"/>
        <v>1.1260750386660585E-2</v>
      </c>
    </row>
    <row r="4806" spans="1:7" x14ac:dyDescent="0.2">
      <c r="A4806" s="11">
        <v>42058</v>
      </c>
      <c r="B4806" s="10">
        <v>556.86090000000002</v>
      </c>
      <c r="C4806" s="10">
        <v>562.91750000000002</v>
      </c>
      <c r="D4806" s="10">
        <v>554.68290000000002</v>
      </c>
      <c r="E4806" s="13">
        <f t="shared" si="225"/>
        <v>-6.8539409610799144E-4</v>
      </c>
      <c r="F4806" s="9">
        <f t="shared" si="223"/>
        <v>4.9439603569145729E-2</v>
      </c>
      <c r="G4806" s="9">
        <f t="shared" si="224"/>
        <v>1.0883143300776969E-2</v>
      </c>
    </row>
    <row r="4807" spans="1:7" x14ac:dyDescent="0.2">
      <c r="A4807" s="11">
        <v>42059</v>
      </c>
      <c r="B4807" s="10">
        <v>557.44140000000004</v>
      </c>
      <c r="C4807" s="10">
        <v>558.48260000000005</v>
      </c>
      <c r="D4807" s="10">
        <v>552.75139999999999</v>
      </c>
      <c r="E4807" s="13">
        <f t="shared" si="225"/>
        <v>1.0419076627851513E-3</v>
      </c>
      <c r="F4807" s="9">
        <f t="shared" si="223"/>
        <v>6.4176192939522356E-2</v>
      </c>
      <c r="G4807" s="9">
        <f t="shared" si="224"/>
        <v>1.0474808362813379E-2</v>
      </c>
    </row>
    <row r="4808" spans="1:7" x14ac:dyDescent="0.2">
      <c r="A4808" s="11">
        <v>42060</v>
      </c>
      <c r="B4808" s="10">
        <v>560.80079999999998</v>
      </c>
      <c r="C4808" s="10">
        <v>561.26969999999994</v>
      </c>
      <c r="D4808" s="10">
        <v>555.11320000000001</v>
      </c>
      <c r="E4808" s="13">
        <f t="shared" si="225"/>
        <v>6.0083765509005215E-3</v>
      </c>
      <c r="F4808" s="9">
        <f t="shared" si="223"/>
        <v>6.0914383422775831E-2</v>
      </c>
      <c r="G4808" s="9">
        <f t="shared" si="224"/>
        <v>1.0413656962247896E-2</v>
      </c>
    </row>
    <row r="4809" spans="1:7" x14ac:dyDescent="0.2">
      <c r="A4809" s="11">
        <v>42061</v>
      </c>
      <c r="B4809" s="10">
        <v>561.60900000000004</v>
      </c>
      <c r="C4809" s="10">
        <v>562.67049999999995</v>
      </c>
      <c r="D4809" s="10">
        <v>559.52179999999998</v>
      </c>
      <c r="E4809" s="13">
        <f t="shared" si="225"/>
        <v>1.4401159713316202E-3</v>
      </c>
      <c r="F4809" s="9">
        <f t="shared" si="223"/>
        <v>6.4414575439966801E-2</v>
      </c>
      <c r="G4809" s="9">
        <f t="shared" si="224"/>
        <v>1.0383954516457345E-2</v>
      </c>
    </row>
    <row r="4810" spans="1:7" x14ac:dyDescent="0.2">
      <c r="A4810" s="11">
        <v>42062</v>
      </c>
      <c r="B4810" s="10">
        <v>557.66420000000005</v>
      </c>
      <c r="C4810" s="10">
        <v>561.85530000000006</v>
      </c>
      <c r="D4810" s="10">
        <v>556.02070000000003</v>
      </c>
      <c r="E4810" s="13">
        <f t="shared" si="225"/>
        <v>-7.0488891071566638E-3</v>
      </c>
      <c r="F4810" s="9">
        <f t="shared" si="223"/>
        <v>3.2437695582474536E-2</v>
      </c>
      <c r="G4810" s="9">
        <f t="shared" si="224"/>
        <v>9.5510259178774506E-3</v>
      </c>
    </row>
    <row r="4811" spans="1:7" x14ac:dyDescent="0.2">
      <c r="A4811" s="11">
        <v>42065</v>
      </c>
      <c r="B4811" s="10">
        <v>556.13220000000001</v>
      </c>
      <c r="C4811" s="10">
        <v>561.99609999999996</v>
      </c>
      <c r="D4811" s="10">
        <v>553.8999</v>
      </c>
      <c r="E4811" s="13">
        <f t="shared" si="225"/>
        <v>-2.7509533450613354E-3</v>
      </c>
      <c r="F4811" s="9">
        <f t="shared" si="223"/>
        <v>3.8125645417957203E-2</v>
      </c>
      <c r="G4811" s="9">
        <f t="shared" si="224"/>
        <v>9.405035357489766E-3</v>
      </c>
    </row>
    <row r="4812" spans="1:7" x14ac:dyDescent="0.2">
      <c r="A4812" s="11">
        <v>42066</v>
      </c>
      <c r="B4812" s="10">
        <v>560.10950000000003</v>
      </c>
      <c r="C4812" s="10">
        <v>560.71489999999994</v>
      </c>
      <c r="D4812" s="10">
        <v>556.39300000000003</v>
      </c>
      <c r="E4812" s="13">
        <f t="shared" si="225"/>
        <v>7.126264556864651E-3</v>
      </c>
      <c r="F4812" s="9">
        <f t="shared" si="223"/>
        <v>3.5402908198029576E-2</v>
      </c>
      <c r="G4812" s="9">
        <f t="shared" si="224"/>
        <v>9.3300886996633206E-3</v>
      </c>
    </row>
    <row r="4813" spans="1:7" x14ac:dyDescent="0.2">
      <c r="A4813" s="11">
        <v>42067</v>
      </c>
      <c r="B4813" s="10">
        <v>552.45219999999995</v>
      </c>
      <c r="C4813" s="10">
        <v>560.06790000000001</v>
      </c>
      <c r="D4813" s="10">
        <v>550.30460000000005</v>
      </c>
      <c r="E4813" s="13">
        <f t="shared" si="225"/>
        <v>-1.3765386516771762E-2</v>
      </c>
      <c r="F4813" s="9">
        <f t="shared" si="223"/>
        <v>1.1065204150070652E-2</v>
      </c>
      <c r="G4813" s="9">
        <f t="shared" si="224"/>
        <v>9.5508507483418586E-3</v>
      </c>
    </row>
    <row r="4814" spans="1:7" x14ac:dyDescent="0.2">
      <c r="A4814" s="11">
        <v>42068</v>
      </c>
      <c r="B4814" s="10">
        <v>559.3895</v>
      </c>
      <c r="C4814" s="10">
        <v>559.78980000000001</v>
      </c>
      <c r="D4814" s="10">
        <v>552.44979999999998</v>
      </c>
      <c r="E4814" s="13">
        <f t="shared" si="225"/>
        <v>1.2479096668772754E-2</v>
      </c>
      <c r="F4814" s="9">
        <f t="shared" si="223"/>
        <v>1.7711857782250987E-2</v>
      </c>
      <c r="G4814" s="9">
        <f t="shared" si="224"/>
        <v>9.7637081381952238E-3</v>
      </c>
    </row>
    <row r="4815" spans="1:7" x14ac:dyDescent="0.2">
      <c r="A4815" s="11">
        <v>42069</v>
      </c>
      <c r="B4815" s="10">
        <v>561.01760000000002</v>
      </c>
      <c r="C4815" s="10">
        <v>564.24480000000005</v>
      </c>
      <c r="D4815" s="10">
        <v>559.22220000000004</v>
      </c>
      <c r="E4815" s="13">
        <f t="shared" si="225"/>
        <v>2.9062670987423326E-3</v>
      </c>
      <c r="F4815" s="9">
        <f t="shared" si="223"/>
        <v>2.0521508360530374E-2</v>
      </c>
      <c r="G4815" s="9">
        <f t="shared" si="224"/>
        <v>9.7723603269118369E-3</v>
      </c>
    </row>
    <row r="4816" spans="1:7" x14ac:dyDescent="0.2">
      <c r="A4816" s="11">
        <v>42072</v>
      </c>
      <c r="B4816" s="10">
        <v>556.95630000000006</v>
      </c>
      <c r="C4816" s="10">
        <v>561.22649999999999</v>
      </c>
      <c r="D4816" s="10">
        <v>555.66809999999998</v>
      </c>
      <c r="E4816" s="13">
        <f t="shared" si="225"/>
        <v>-7.2654967445203869E-3</v>
      </c>
      <c r="F4816" s="9">
        <f t="shared" si="223"/>
        <v>2.3542681051214345E-2</v>
      </c>
      <c r="G4816" s="9">
        <f t="shared" si="224"/>
        <v>9.6664997313234361E-3</v>
      </c>
    </row>
    <row r="4817" spans="1:7" x14ac:dyDescent="0.2">
      <c r="A4817" s="11">
        <v>42073</v>
      </c>
      <c r="B4817" s="10">
        <v>546.92729999999995</v>
      </c>
      <c r="C4817" s="10">
        <v>558.01800000000003</v>
      </c>
      <c r="D4817" s="10">
        <v>544.70860000000005</v>
      </c>
      <c r="E4817" s="13">
        <f t="shared" si="225"/>
        <v>-1.8170894010161125E-2</v>
      </c>
      <c r="F4817" s="9">
        <f t="shared" si="223"/>
        <v>2.4794516172502519E-3</v>
      </c>
      <c r="G4817" s="9">
        <f t="shared" si="224"/>
        <v>1.0276655606118994E-2</v>
      </c>
    </row>
    <row r="4818" spans="1:7" x14ac:dyDescent="0.2">
      <c r="A4818" s="11">
        <v>42074</v>
      </c>
      <c r="B4818" s="10">
        <v>551.49710000000005</v>
      </c>
      <c r="C4818" s="10">
        <v>552.59699999999998</v>
      </c>
      <c r="D4818" s="10">
        <v>546.74019999999996</v>
      </c>
      <c r="E4818" s="13">
        <f t="shared" si="225"/>
        <v>8.3206934685862398E-3</v>
      </c>
      <c r="F4818" s="9">
        <f t="shared" si="223"/>
        <v>1.5530943607612318E-2</v>
      </c>
      <c r="G4818" s="9">
        <f t="shared" si="224"/>
        <v>1.0343766399564566E-2</v>
      </c>
    </row>
    <row r="4819" spans="1:7" x14ac:dyDescent="0.2">
      <c r="A4819" s="11">
        <v>42075</v>
      </c>
      <c r="B4819" s="10">
        <v>555.4701</v>
      </c>
      <c r="C4819" s="10">
        <v>560.44880000000001</v>
      </c>
      <c r="D4819" s="10">
        <v>551.50040000000001</v>
      </c>
      <c r="E4819" s="13">
        <f t="shared" si="225"/>
        <v>7.1782019549961155E-3</v>
      </c>
      <c r="F4819" s="9">
        <f t="shared" si="223"/>
        <v>2.3861747497611628E-2</v>
      </c>
      <c r="G4819" s="9">
        <f t="shared" si="224"/>
        <v>1.0410674265223874E-2</v>
      </c>
    </row>
    <row r="4820" spans="1:7" x14ac:dyDescent="0.2">
      <c r="A4820" s="11">
        <v>42076</v>
      </c>
      <c r="B4820" s="10">
        <v>554.18309999999997</v>
      </c>
      <c r="C4820" s="10">
        <v>558.62159999999994</v>
      </c>
      <c r="D4820" s="10">
        <v>552.66409999999996</v>
      </c>
      <c r="E4820" s="13">
        <f t="shared" si="225"/>
        <v>-2.3196446909458778E-3</v>
      </c>
      <c r="F4820" s="9">
        <f t="shared" si="223"/>
        <v>1.1265472088147018E-2</v>
      </c>
      <c r="G4820" s="9">
        <f t="shared" si="224"/>
        <v>1.0263891552924688E-2</v>
      </c>
    </row>
    <row r="4821" spans="1:7" x14ac:dyDescent="0.2">
      <c r="A4821" s="11">
        <v>42079</v>
      </c>
      <c r="B4821" s="10">
        <v>553.47609999999997</v>
      </c>
      <c r="C4821" s="10">
        <v>554.48469999999998</v>
      </c>
      <c r="D4821" s="10">
        <v>549.53629999999998</v>
      </c>
      <c r="E4821" s="13">
        <f t="shared" si="225"/>
        <v>-1.2765661062750112E-3</v>
      </c>
      <c r="F4821" s="9">
        <f t="shared" si="223"/>
        <v>-1.3439765269102056E-2</v>
      </c>
      <c r="G4821" s="9">
        <f t="shared" si="224"/>
        <v>9.2593656224844792E-3</v>
      </c>
    </row>
    <row r="4822" spans="1:7" x14ac:dyDescent="0.2">
      <c r="A4822" s="11">
        <v>42080</v>
      </c>
      <c r="B4822" s="10">
        <v>554.67830000000004</v>
      </c>
      <c r="C4822" s="10">
        <v>558.19000000000005</v>
      </c>
      <c r="D4822" s="10">
        <v>553.50049999999999</v>
      </c>
      <c r="E4822" s="13">
        <f t="shared" si="225"/>
        <v>2.1697345995070204E-3</v>
      </c>
      <c r="F4822" s="9">
        <f t="shared" si="223"/>
        <v>4.8982324685762878E-3</v>
      </c>
      <c r="G4822" s="9">
        <f t="shared" si="224"/>
        <v>8.7613193258178988E-3</v>
      </c>
    </row>
    <row r="4823" spans="1:7" x14ac:dyDescent="0.2">
      <c r="A4823" s="11">
        <v>42081</v>
      </c>
      <c r="B4823" s="10">
        <v>560.22469999999998</v>
      </c>
      <c r="C4823" s="10">
        <v>560.58240000000001</v>
      </c>
      <c r="D4823" s="10">
        <v>554.81659999999999</v>
      </c>
      <c r="E4823" s="13">
        <f t="shared" si="225"/>
        <v>9.9496471991464743E-3</v>
      </c>
      <c r="F4823" s="9">
        <f t="shared" si="223"/>
        <v>2.9741195768572945E-3</v>
      </c>
      <c r="G4823" s="9">
        <f t="shared" si="224"/>
        <v>8.6763876584412414E-3</v>
      </c>
    </row>
    <row r="4824" spans="1:7" x14ac:dyDescent="0.2">
      <c r="A4824" s="11">
        <v>42082</v>
      </c>
      <c r="B4824" s="10">
        <v>556.84069999999997</v>
      </c>
      <c r="C4824" s="10">
        <v>565.4194</v>
      </c>
      <c r="D4824" s="10">
        <v>555.42439999999999</v>
      </c>
      <c r="E4824" s="13">
        <f t="shared" si="225"/>
        <v>-6.0587506367651813E-3</v>
      </c>
      <c r="F4824" s="9">
        <f t="shared" si="223"/>
        <v>-8.8768579649136543E-3</v>
      </c>
      <c r="G4824" s="9">
        <f t="shared" si="224"/>
        <v>8.6779236842370756E-3</v>
      </c>
    </row>
    <row r="4825" spans="1:7" x14ac:dyDescent="0.2">
      <c r="A4825" s="11">
        <v>42083</v>
      </c>
      <c r="B4825" s="10">
        <v>565.26900000000001</v>
      </c>
      <c r="C4825" s="10">
        <v>565.34439999999995</v>
      </c>
      <c r="D4825" s="10">
        <v>556.11199999999997</v>
      </c>
      <c r="E4825" s="13">
        <f t="shared" si="225"/>
        <v>1.5022521425362319E-2</v>
      </c>
      <c r="F4825" s="9">
        <f t="shared" si="223"/>
        <v>2.5471628332002297E-3</v>
      </c>
      <c r="G4825" s="9">
        <f t="shared" si="224"/>
        <v>9.1100385686933745E-3</v>
      </c>
    </row>
    <row r="4826" spans="1:7" x14ac:dyDescent="0.2">
      <c r="A4826" s="11">
        <v>42086</v>
      </c>
      <c r="B4826" s="10">
        <v>564.40660000000003</v>
      </c>
      <c r="C4826" s="10">
        <v>565.9162</v>
      </c>
      <c r="D4826" s="10">
        <v>560.90089999999998</v>
      </c>
      <c r="E4826" s="13">
        <f t="shared" si="225"/>
        <v>-1.5268102940914148E-3</v>
      </c>
      <c r="F4826" s="9">
        <f t="shared" si="223"/>
        <v>6.7159028049710145E-3</v>
      </c>
      <c r="G4826" s="9">
        <f t="shared" si="224"/>
        <v>9.0482018154499598E-3</v>
      </c>
    </row>
    <row r="4827" spans="1:7" x14ac:dyDescent="0.2">
      <c r="A4827" s="11">
        <v>42087</v>
      </c>
      <c r="B4827" s="10">
        <v>562.54079999999999</v>
      </c>
      <c r="C4827" s="10">
        <v>564.5643</v>
      </c>
      <c r="D4827" s="10">
        <v>560.46759999999995</v>
      </c>
      <c r="E4827" s="13">
        <f t="shared" si="225"/>
        <v>-3.3112489629533032E-3</v>
      </c>
      <c r="F4827" s="9">
        <f t="shared" si="223"/>
        <v>2.3724991105851388E-2</v>
      </c>
      <c r="G4827" s="9">
        <f t="shared" si="224"/>
        <v>8.1778289818437693E-3</v>
      </c>
    </row>
    <row r="4828" spans="1:7" x14ac:dyDescent="0.2">
      <c r="A4828" s="11">
        <v>42088</v>
      </c>
      <c r="B4828" s="10">
        <v>558.83989999999994</v>
      </c>
      <c r="C4828" s="10">
        <v>562.55640000000005</v>
      </c>
      <c r="D4828" s="10">
        <v>557.34450000000004</v>
      </c>
      <c r="E4828" s="13">
        <f t="shared" si="225"/>
        <v>-6.6006369413178032E-3</v>
      </c>
      <c r="F4828" s="9">
        <f t="shared" si="223"/>
        <v>4.2963114062368772E-3</v>
      </c>
      <c r="G4828" s="9">
        <f t="shared" si="224"/>
        <v>7.9514948188977239E-3</v>
      </c>
    </row>
    <row r="4829" spans="1:7" x14ac:dyDescent="0.2">
      <c r="A4829" s="11">
        <v>42089</v>
      </c>
      <c r="B4829" s="10">
        <v>554.1327</v>
      </c>
      <c r="C4829" s="10">
        <v>561.47239999999999</v>
      </c>
      <c r="D4829" s="10">
        <v>551.53399999999999</v>
      </c>
      <c r="E4829" s="13">
        <f t="shared" si="225"/>
        <v>-8.4588390898658831E-3</v>
      </c>
      <c r="F4829" s="9">
        <f t="shared" si="223"/>
        <v>-1.2813206691597192E-2</v>
      </c>
      <c r="G4829" s="9">
        <f t="shared" si="224"/>
        <v>7.9328171016213346E-3</v>
      </c>
    </row>
    <row r="4830" spans="1:7" x14ac:dyDescent="0.2">
      <c r="A4830" s="11">
        <v>42090</v>
      </c>
      <c r="B4830" s="10">
        <v>558.64290000000005</v>
      </c>
      <c r="C4830" s="10">
        <v>559.01250000000005</v>
      </c>
      <c r="D4830" s="10">
        <v>554.1327</v>
      </c>
      <c r="E4830" s="13">
        <f t="shared" si="225"/>
        <v>8.1062609525725717E-3</v>
      </c>
      <c r="F4830" s="9">
        <f t="shared" si="223"/>
        <v>-1.1386429354963824E-2</v>
      </c>
      <c r="G4830" s="9">
        <f t="shared" si="224"/>
        <v>7.9828275717650776E-3</v>
      </c>
    </row>
    <row r="4831" spans="1:7" x14ac:dyDescent="0.2">
      <c r="A4831" s="11">
        <v>42093</v>
      </c>
      <c r="B4831" s="10">
        <v>561.85609999999997</v>
      </c>
      <c r="C4831" s="10">
        <v>563.6617</v>
      </c>
      <c r="D4831" s="10">
        <v>558.40219999999999</v>
      </c>
      <c r="E4831" s="13">
        <f t="shared" si="225"/>
        <v>5.7353175823920948E-3</v>
      </c>
      <c r="F4831" s="9">
        <f t="shared" si="223"/>
        <v>2.1173723781940496E-3</v>
      </c>
      <c r="G4831" s="9">
        <f t="shared" si="224"/>
        <v>7.9308972016753423E-3</v>
      </c>
    </row>
    <row r="4832" spans="1:7" x14ac:dyDescent="0.2">
      <c r="A4832" s="11">
        <v>42094</v>
      </c>
      <c r="B4832" s="10">
        <v>561.09299999999996</v>
      </c>
      <c r="C4832" s="10">
        <v>565.48580000000004</v>
      </c>
      <c r="D4832" s="10">
        <v>558.31449999999995</v>
      </c>
      <c r="E4832" s="13">
        <f t="shared" si="225"/>
        <v>-1.3591001007321412E-3</v>
      </c>
      <c r="F4832" s="9">
        <f t="shared" ref="F4832:F4895" si="226">LN(B4832/B4803)</f>
        <v>-5.602418837294558E-3</v>
      </c>
      <c r="G4832" s="9">
        <f t="shared" si="224"/>
        <v>7.8413662602660732E-3</v>
      </c>
    </row>
    <row r="4833" spans="1:7" x14ac:dyDescent="0.2">
      <c r="A4833" s="11">
        <v>42095</v>
      </c>
      <c r="B4833" s="10">
        <v>563.85640000000001</v>
      </c>
      <c r="C4833" s="10">
        <v>565.23979999999995</v>
      </c>
      <c r="D4833" s="10">
        <v>557.26009999999997</v>
      </c>
      <c r="E4833" s="13">
        <f t="shared" si="225"/>
        <v>4.9129419658276762E-3</v>
      </c>
      <c r="F4833" s="9">
        <f t="shared" si="226"/>
        <v>9.891514415709915E-3</v>
      </c>
      <c r="G4833" s="9">
        <f t="shared" ref="G4833:G4896" si="227">STDEV(E4805:E4833)</f>
        <v>7.6333964705580584E-3</v>
      </c>
    </row>
    <row r="4834" spans="1:7" x14ac:dyDescent="0.2">
      <c r="A4834" s="11">
        <v>42101</v>
      </c>
      <c r="B4834" s="10">
        <v>586.71169999999995</v>
      </c>
      <c r="C4834" s="10">
        <v>586.93209999999999</v>
      </c>
      <c r="D4834" s="10">
        <v>563.98199999999997</v>
      </c>
      <c r="E4834" s="13">
        <f t="shared" si="225"/>
        <v>3.973394863135133E-2</v>
      </c>
      <c r="F4834" s="9">
        <f t="shared" si="226"/>
        <v>5.1532685646412578E-2</v>
      </c>
      <c r="G4834" s="9">
        <f t="shared" si="227"/>
        <v>1.0553392790612317E-2</v>
      </c>
    </row>
    <row r="4835" spans="1:7" x14ac:dyDescent="0.2">
      <c r="A4835" s="11">
        <v>42102</v>
      </c>
      <c r="B4835" s="10">
        <v>584.04830000000004</v>
      </c>
      <c r="C4835" s="10">
        <v>590.21810000000005</v>
      </c>
      <c r="D4835" s="10">
        <v>583.22180000000003</v>
      </c>
      <c r="E4835" s="13">
        <f t="shared" si="225"/>
        <v>-4.5498728939517138E-3</v>
      </c>
      <c r="F4835" s="9">
        <f t="shared" si="226"/>
        <v>4.7668206848568824E-2</v>
      </c>
      <c r="G4835" s="9">
        <f t="shared" si="227"/>
        <v>1.0609843244541995E-2</v>
      </c>
    </row>
    <row r="4836" spans="1:7" x14ac:dyDescent="0.2">
      <c r="A4836" s="11">
        <v>42103</v>
      </c>
      <c r="B4836" s="10">
        <v>585.86159999999995</v>
      </c>
      <c r="C4836" s="10">
        <v>586.99490000000003</v>
      </c>
      <c r="D4836" s="10">
        <v>580.65219999999999</v>
      </c>
      <c r="E4836" s="13">
        <f t="shared" si="225"/>
        <v>3.0998993205484317E-3</v>
      </c>
      <c r="F4836" s="9">
        <f t="shared" si="226"/>
        <v>4.9726198506332198E-2</v>
      </c>
      <c r="G4836" s="9">
        <f t="shared" si="227"/>
        <v>1.0612556327882206E-2</v>
      </c>
    </row>
    <row r="4837" spans="1:7" x14ac:dyDescent="0.2">
      <c r="A4837" s="11">
        <v>42104</v>
      </c>
      <c r="B4837" s="10">
        <v>596.58010000000002</v>
      </c>
      <c r="C4837" s="10">
        <v>596.58010000000002</v>
      </c>
      <c r="D4837" s="10">
        <v>585.90179999999998</v>
      </c>
      <c r="E4837" s="13">
        <f t="shared" si="225"/>
        <v>1.8129931633817913E-2</v>
      </c>
      <c r="F4837" s="9">
        <f t="shared" si="226"/>
        <v>6.1847753589249599E-2</v>
      </c>
      <c r="G4837" s="9">
        <f t="shared" si="227"/>
        <v>1.1018645695247062E-2</v>
      </c>
    </row>
    <row r="4838" spans="1:7" x14ac:dyDescent="0.2">
      <c r="A4838" s="11">
        <v>42107</v>
      </c>
      <c r="B4838" s="10">
        <v>596.96559999999999</v>
      </c>
      <c r="C4838" s="10">
        <v>599.02210000000002</v>
      </c>
      <c r="D4838" s="10">
        <v>594.42319999999995</v>
      </c>
      <c r="E4838" s="13">
        <f t="shared" si="225"/>
        <v>6.4597444975122141E-4</v>
      </c>
      <c r="F4838" s="9">
        <f t="shared" si="226"/>
        <v>6.1053612067669315E-2</v>
      </c>
      <c r="G4838" s="9">
        <f t="shared" si="227"/>
        <v>1.1021414846598738E-2</v>
      </c>
    </row>
    <row r="4839" spans="1:7" x14ac:dyDescent="0.2">
      <c r="A4839" s="11">
        <v>42108</v>
      </c>
      <c r="B4839" s="10">
        <v>595.86580000000004</v>
      </c>
      <c r="C4839" s="10">
        <v>599.43709999999999</v>
      </c>
      <c r="D4839" s="10">
        <v>592.90980000000002</v>
      </c>
      <c r="E4839" s="13">
        <f t="shared" si="225"/>
        <v>-1.844016365843964E-3</v>
      </c>
      <c r="F4839" s="9">
        <f t="shared" si="226"/>
        <v>6.6258484808981985E-2</v>
      </c>
      <c r="G4839" s="9">
        <f t="shared" si="227"/>
        <v>1.0908823717551671E-2</v>
      </c>
    </row>
    <row r="4840" spans="1:7" x14ac:dyDescent="0.2">
      <c r="A4840" s="11">
        <v>42109</v>
      </c>
      <c r="B4840" s="10">
        <v>600.63530000000003</v>
      </c>
      <c r="C4840" s="10">
        <v>600.63720000000001</v>
      </c>
      <c r="D4840" s="10">
        <v>596.00210000000004</v>
      </c>
      <c r="E4840" s="13">
        <f t="shared" si="225"/>
        <v>7.9724544548047255E-3</v>
      </c>
      <c r="F4840" s="9">
        <f t="shared" si="226"/>
        <v>7.6981892608847968E-2</v>
      </c>
      <c r="G4840" s="9">
        <f t="shared" si="227"/>
        <v>1.0913775836574689E-2</v>
      </c>
    </row>
    <row r="4841" spans="1:7" x14ac:dyDescent="0.2">
      <c r="A4841" s="11">
        <v>42110</v>
      </c>
      <c r="B4841" s="10">
        <v>599.17809999999997</v>
      </c>
      <c r="C4841" s="10">
        <v>605.84540000000004</v>
      </c>
      <c r="D4841" s="10">
        <v>598.84109999999998</v>
      </c>
      <c r="E4841" s="13">
        <f t="shared" si="225"/>
        <v>-2.4290455774015228E-3</v>
      </c>
      <c r="F4841" s="9">
        <f t="shared" si="226"/>
        <v>6.7426582474581831E-2</v>
      </c>
      <c r="G4841" s="9">
        <f t="shared" si="227"/>
        <v>1.091818984747603E-2</v>
      </c>
    </row>
    <row r="4842" spans="1:7" x14ac:dyDescent="0.2">
      <c r="A4842" s="11">
        <v>42111</v>
      </c>
      <c r="B4842" s="10">
        <v>590.5942</v>
      </c>
      <c r="C4842" s="10">
        <v>599.13670000000002</v>
      </c>
      <c r="D4842" s="10">
        <v>589.04459999999995</v>
      </c>
      <c r="E4842" s="13">
        <f t="shared" si="225"/>
        <v>-1.4429734063349181E-2</v>
      </c>
      <c r="F4842" s="9">
        <f t="shared" si="226"/>
        <v>6.6762234928004233E-2</v>
      </c>
      <c r="G4842" s="9">
        <f t="shared" si="227"/>
        <v>1.0953795454126933E-2</v>
      </c>
    </row>
    <row r="4843" spans="1:7" x14ac:dyDescent="0.2">
      <c r="A4843" s="11">
        <v>42114</v>
      </c>
      <c r="B4843" s="10">
        <v>590.64829999999995</v>
      </c>
      <c r="C4843" s="10">
        <v>594.13850000000002</v>
      </c>
      <c r="D4843" s="10">
        <v>588.96379999999999</v>
      </c>
      <c r="E4843" s="13">
        <f t="shared" si="225"/>
        <v>9.1598465239385875E-5</v>
      </c>
      <c r="F4843" s="9">
        <f t="shared" si="226"/>
        <v>5.4374736724470914E-2</v>
      </c>
      <c r="G4843" s="9">
        <f t="shared" si="227"/>
        <v>1.0782960415366197E-2</v>
      </c>
    </row>
    <row r="4844" spans="1:7" x14ac:dyDescent="0.2">
      <c r="A4844" s="11">
        <v>42115</v>
      </c>
      <c r="B4844" s="10">
        <v>594.17570000000001</v>
      </c>
      <c r="C4844" s="10">
        <v>595.94539999999995</v>
      </c>
      <c r="D4844" s="10">
        <v>590.64829999999995</v>
      </c>
      <c r="E4844" s="13">
        <f t="shared" si="225"/>
        <v>5.9543196654937907E-3</v>
      </c>
      <c r="F4844" s="9">
        <f t="shared" si="226"/>
        <v>5.7422789291222312E-2</v>
      </c>
      <c r="G4844" s="9">
        <f t="shared" si="227"/>
        <v>1.0808197310753817E-2</v>
      </c>
    </row>
    <row r="4845" spans="1:7" x14ac:dyDescent="0.2">
      <c r="A4845" s="11">
        <v>42116</v>
      </c>
      <c r="B4845" s="10">
        <v>585.07029999999997</v>
      </c>
      <c r="C4845" s="10">
        <v>593.88130000000001</v>
      </c>
      <c r="D4845" s="10">
        <v>584.11479999999995</v>
      </c>
      <c r="E4845" s="13">
        <f t="shared" si="225"/>
        <v>-1.5443055918751829E-2</v>
      </c>
      <c r="F4845" s="9">
        <f t="shared" si="226"/>
        <v>4.9245230116991008E-2</v>
      </c>
      <c r="G4845" s="9">
        <f t="shared" si="227"/>
        <v>1.1159011266074716E-2</v>
      </c>
    </row>
    <row r="4846" spans="1:7" x14ac:dyDescent="0.2">
      <c r="A4846" s="11">
        <v>42117</v>
      </c>
      <c r="B4846" s="10">
        <v>590.65250000000003</v>
      </c>
      <c r="C4846" s="10">
        <v>591.07719999999995</v>
      </c>
      <c r="D4846" s="10">
        <v>580.83190000000002</v>
      </c>
      <c r="E4846" s="13">
        <f t="shared" si="225"/>
        <v>9.4958470585670522E-3</v>
      </c>
      <c r="F4846" s="9">
        <f t="shared" si="226"/>
        <v>7.6911971185719338E-2</v>
      </c>
      <c r="G4846" s="9">
        <f t="shared" si="227"/>
        <v>1.0566610884854843E-2</v>
      </c>
    </row>
    <row r="4847" spans="1:7" x14ac:dyDescent="0.2">
      <c r="A4847" s="11">
        <v>42118</v>
      </c>
      <c r="B4847" s="10">
        <v>589.81269999999995</v>
      </c>
      <c r="C4847" s="10">
        <v>593.84979999999996</v>
      </c>
      <c r="D4847" s="10">
        <v>587.22919999999999</v>
      </c>
      <c r="E4847" s="13">
        <f t="shared" si="225"/>
        <v>-1.4228291383385696E-3</v>
      </c>
      <c r="F4847" s="9">
        <f t="shared" si="226"/>
        <v>6.7168448578794435E-2</v>
      </c>
      <c r="G4847" s="9">
        <f t="shared" si="227"/>
        <v>1.0534790303605487E-2</v>
      </c>
    </row>
    <row r="4848" spans="1:7" x14ac:dyDescent="0.2">
      <c r="A4848" s="11">
        <v>42121</v>
      </c>
      <c r="B4848" s="10">
        <v>589.79399999999998</v>
      </c>
      <c r="C4848" s="10">
        <v>590.55190000000005</v>
      </c>
      <c r="D4848" s="10">
        <v>583.62630000000001</v>
      </c>
      <c r="E4848" s="13">
        <f t="shared" si="225"/>
        <v>-3.1705482855474112E-5</v>
      </c>
      <c r="F4848" s="9">
        <f t="shared" si="226"/>
        <v>5.9958541140942963E-2</v>
      </c>
      <c r="G4848" s="9">
        <f t="shared" si="227"/>
        <v>1.0500971051648145E-2</v>
      </c>
    </row>
    <row r="4849" spans="1:7" x14ac:dyDescent="0.2">
      <c r="A4849" s="11">
        <v>42122</v>
      </c>
      <c r="B4849" s="10">
        <v>583.55050000000006</v>
      </c>
      <c r="C4849" s="10">
        <v>589.76120000000003</v>
      </c>
      <c r="D4849" s="10">
        <v>583.39419999999996</v>
      </c>
      <c r="E4849" s="13">
        <f t="shared" si="225"/>
        <v>-1.0642328706847779E-2</v>
      </c>
      <c r="F4849" s="9">
        <f t="shared" si="226"/>
        <v>5.1635857125040992E-2</v>
      </c>
      <c r="G4849" s="9">
        <f t="shared" si="227"/>
        <v>1.073624666717049E-2</v>
      </c>
    </row>
    <row r="4850" spans="1:7" x14ac:dyDescent="0.2">
      <c r="A4850" s="11">
        <v>42123</v>
      </c>
      <c r="B4850" s="10">
        <v>571.49189999999999</v>
      </c>
      <c r="C4850" s="10">
        <v>585.11509999999998</v>
      </c>
      <c r="D4850" s="10">
        <v>571.26969999999994</v>
      </c>
      <c r="E4850" s="13">
        <f t="shared" si="225"/>
        <v>-2.0880684776525979E-2</v>
      </c>
      <c r="F4850" s="9">
        <f t="shared" si="226"/>
        <v>3.2031738454790085E-2</v>
      </c>
      <c r="G4850" s="9">
        <f t="shared" si="227"/>
        <v>1.1523901873082932E-2</v>
      </c>
    </row>
    <row r="4851" spans="1:7" x14ac:dyDescent="0.2">
      <c r="A4851" s="11">
        <v>42124</v>
      </c>
      <c r="B4851" s="10">
        <v>578.04139999999995</v>
      </c>
      <c r="C4851" s="10">
        <v>579.48</v>
      </c>
      <c r="D4851" s="10">
        <v>571.16660000000002</v>
      </c>
      <c r="E4851" s="13">
        <f t="shared" si="225"/>
        <v>1.1395182498836661E-2</v>
      </c>
      <c r="F4851" s="9">
        <f t="shared" si="226"/>
        <v>4.1257186354119797E-2</v>
      </c>
      <c r="G4851" s="9">
        <f t="shared" si="227"/>
        <v>1.1680625972350658E-2</v>
      </c>
    </row>
    <row r="4852" spans="1:7" x14ac:dyDescent="0.2">
      <c r="A4852" s="11">
        <v>42128</v>
      </c>
      <c r="B4852" s="10">
        <v>586.44849999999997</v>
      </c>
      <c r="C4852" s="10">
        <v>587.63670000000002</v>
      </c>
      <c r="D4852" s="10">
        <v>577.93979999999999</v>
      </c>
      <c r="E4852" s="13">
        <f t="shared" si="225"/>
        <v>1.4439362796518409E-2</v>
      </c>
      <c r="F4852" s="9">
        <f t="shared" si="226"/>
        <v>4.5746901951491732E-2</v>
      </c>
      <c r="G4852" s="9">
        <f t="shared" si="227"/>
        <v>1.1826523740266081E-2</v>
      </c>
    </row>
    <row r="4853" spans="1:7" x14ac:dyDescent="0.2">
      <c r="A4853" s="11">
        <v>42129</v>
      </c>
      <c r="B4853" s="10">
        <v>586.88189999999997</v>
      </c>
      <c r="C4853" s="10">
        <v>588.01829999999995</v>
      </c>
      <c r="D4853" s="10">
        <v>582.45230000000004</v>
      </c>
      <c r="E4853" s="13">
        <f t="shared" si="225"/>
        <v>7.3875188047761893E-4</v>
      </c>
      <c r="F4853" s="9">
        <f t="shared" si="226"/>
        <v>5.2544404468734582E-2</v>
      </c>
      <c r="G4853" s="9">
        <f t="shared" si="227"/>
        <v>1.173679307783765E-2</v>
      </c>
    </row>
    <row r="4854" spans="1:7" x14ac:dyDescent="0.2">
      <c r="A4854" s="11">
        <v>42130</v>
      </c>
      <c r="B4854" s="10">
        <v>584.49680000000001</v>
      </c>
      <c r="C4854" s="10">
        <v>592.49549999999999</v>
      </c>
      <c r="D4854" s="10">
        <v>583.57280000000003</v>
      </c>
      <c r="E4854" s="13">
        <f t="shared" si="225"/>
        <v>-4.0723009495302028E-3</v>
      </c>
      <c r="F4854" s="9">
        <f t="shared" si="226"/>
        <v>3.3449582093842231E-2</v>
      </c>
      <c r="G4854" s="9">
        <f t="shared" si="227"/>
        <v>1.1502475323003618E-2</v>
      </c>
    </row>
    <row r="4855" spans="1:7" x14ac:dyDescent="0.2">
      <c r="A4855" s="11">
        <v>42131</v>
      </c>
      <c r="B4855" s="10">
        <v>579.98209999999995</v>
      </c>
      <c r="C4855" s="10">
        <v>585.26980000000003</v>
      </c>
      <c r="D4855" s="10">
        <v>579.15329999999994</v>
      </c>
      <c r="E4855" s="13">
        <f t="shared" si="225"/>
        <v>-7.7540651371243623E-3</v>
      </c>
      <c r="F4855" s="9">
        <f t="shared" si="226"/>
        <v>2.7222327250809128E-2</v>
      </c>
      <c r="G4855" s="9">
        <f t="shared" si="227"/>
        <v>1.1611904163784839E-2</v>
      </c>
    </row>
    <row r="4856" spans="1:7" x14ac:dyDescent="0.2">
      <c r="A4856" s="11">
        <v>42132</v>
      </c>
      <c r="B4856" s="10">
        <v>586.5566</v>
      </c>
      <c r="C4856" s="10">
        <v>587.20510000000002</v>
      </c>
      <c r="D4856" s="10">
        <v>579.96590000000003</v>
      </c>
      <c r="E4856" s="13">
        <f t="shared" si="225"/>
        <v>1.1271927130828268E-2</v>
      </c>
      <c r="F4856" s="9">
        <f t="shared" si="226"/>
        <v>4.1805503344590815E-2</v>
      </c>
      <c r="G4856" s="9">
        <f t="shared" si="227"/>
        <v>1.1736385710591525E-2</v>
      </c>
    </row>
    <row r="4857" spans="1:7" x14ac:dyDescent="0.2">
      <c r="A4857" s="11">
        <v>42135</v>
      </c>
      <c r="B4857" s="10">
        <v>592.79989999999998</v>
      </c>
      <c r="C4857" s="10">
        <v>594.15689999999995</v>
      </c>
      <c r="D4857" s="10">
        <v>586.56679999999994</v>
      </c>
      <c r="E4857" s="13">
        <f t="shared" si="225"/>
        <v>1.0587737164820386E-2</v>
      </c>
      <c r="F4857" s="9">
        <f t="shared" si="226"/>
        <v>5.8993877450728975E-2</v>
      </c>
      <c r="G4857" s="9">
        <f t="shared" si="227"/>
        <v>1.1749748792146679E-2</v>
      </c>
    </row>
    <row r="4858" spans="1:7" x14ac:dyDescent="0.2">
      <c r="A4858" s="11">
        <v>42136</v>
      </c>
      <c r="B4858" s="10">
        <v>589.91579999999999</v>
      </c>
      <c r="C4858" s="10">
        <v>592.68870000000004</v>
      </c>
      <c r="D4858" s="10">
        <v>586.13419999999996</v>
      </c>
      <c r="E4858" s="13">
        <f t="shared" si="225"/>
        <v>-4.8770904398534459E-3</v>
      </c>
      <c r="F4858" s="9">
        <f t="shared" si="226"/>
        <v>6.2575626100741397E-2</v>
      </c>
      <c r="G4858" s="9">
        <f t="shared" si="227"/>
        <v>1.1653944585674755E-2</v>
      </c>
    </row>
    <row r="4859" spans="1:7" x14ac:dyDescent="0.2">
      <c r="A4859" s="11">
        <v>42137</v>
      </c>
      <c r="B4859" s="10">
        <v>596.17420000000004</v>
      </c>
      <c r="C4859" s="10">
        <v>598.17089999999996</v>
      </c>
      <c r="D4859" s="10">
        <v>590.10940000000005</v>
      </c>
      <c r="E4859" s="13">
        <f t="shared" si="225"/>
        <v>1.0553091387465914E-2</v>
      </c>
      <c r="F4859" s="9">
        <f t="shared" si="226"/>
        <v>6.5022456535634932E-2</v>
      </c>
      <c r="G4859" s="9">
        <f t="shared" si="227"/>
        <v>1.1707284457656305E-2</v>
      </c>
    </row>
    <row r="4860" spans="1:7" x14ac:dyDescent="0.2">
      <c r="A4860" s="11">
        <v>42139</v>
      </c>
      <c r="B4860" s="10">
        <v>591.11689999999999</v>
      </c>
      <c r="C4860" s="10">
        <v>598.02800000000002</v>
      </c>
      <c r="D4860" s="10">
        <v>590.69719999999995</v>
      </c>
      <c r="E4860" s="13">
        <f t="shared" si="225"/>
        <v>-8.5191080539173281E-3</v>
      </c>
      <c r="F4860" s="9">
        <f t="shared" si="226"/>
        <v>5.0768030899325363E-2</v>
      </c>
      <c r="G4860" s="9">
        <f t="shared" si="227"/>
        <v>1.1853706950517755E-2</v>
      </c>
    </row>
    <row r="4861" spans="1:7" x14ac:dyDescent="0.2">
      <c r="A4861" s="11">
        <v>42142</v>
      </c>
      <c r="B4861" s="10">
        <v>590.67319999999995</v>
      </c>
      <c r="C4861" s="10">
        <v>595.12840000000006</v>
      </c>
      <c r="D4861" s="10">
        <v>589.24</v>
      </c>
      <c r="E4861" s="13">
        <f t="shared" si="225"/>
        <v>-7.5089480077406598E-4</v>
      </c>
      <c r="F4861" s="9">
        <f t="shared" si="226"/>
        <v>5.1376236199283512E-2</v>
      </c>
      <c r="G4861" s="9">
        <f t="shared" si="227"/>
        <v>1.1848545384710611E-2</v>
      </c>
    </row>
    <row r="4862" spans="1:7" x14ac:dyDescent="0.2">
      <c r="A4862" s="11">
        <v>42143</v>
      </c>
      <c r="B4862" s="10">
        <v>588.66120000000001</v>
      </c>
      <c r="C4862" s="10">
        <v>594.17619999999999</v>
      </c>
      <c r="D4862" s="10">
        <v>587.52610000000004</v>
      </c>
      <c r="E4862" s="13">
        <f t="shared" si="225"/>
        <v>-3.4120974543666348E-3</v>
      </c>
      <c r="F4862" s="9">
        <f t="shared" si="226"/>
        <v>4.3051196779089293E-2</v>
      </c>
      <c r="G4862" s="9">
        <f t="shared" si="227"/>
        <v>1.1870548038672664E-2</v>
      </c>
    </row>
    <row r="4863" spans="1:7" x14ac:dyDescent="0.2">
      <c r="A4863" s="11">
        <v>42144</v>
      </c>
      <c r="B4863" s="10">
        <v>588.50210000000004</v>
      </c>
      <c r="C4863" s="10">
        <v>589.94380000000001</v>
      </c>
      <c r="D4863" s="10">
        <v>585.80110000000002</v>
      </c>
      <c r="E4863" s="13">
        <f t="shared" si="225"/>
        <v>-2.7031084127195938E-4</v>
      </c>
      <c r="F4863" s="9">
        <f t="shared" si="226"/>
        <v>3.0469373064660682E-3</v>
      </c>
      <c r="G4863" s="9">
        <f t="shared" si="227"/>
        <v>9.3165641636440734E-3</v>
      </c>
    </row>
    <row r="4864" spans="1:7" x14ac:dyDescent="0.2">
      <c r="A4864" s="11">
        <v>42145</v>
      </c>
      <c r="B4864" s="10">
        <v>590.29390000000001</v>
      </c>
      <c r="C4864" s="10">
        <v>590.31110000000001</v>
      </c>
      <c r="D4864" s="10">
        <v>587.43470000000002</v>
      </c>
      <c r="E4864" s="13">
        <f t="shared" si="225"/>
        <v>3.0400533764503557E-3</v>
      </c>
      <c r="F4864" s="9">
        <f t="shared" si="226"/>
        <v>1.063686357686814E-2</v>
      </c>
      <c r="G4864" s="9">
        <f t="shared" si="227"/>
        <v>9.2876906513959002E-3</v>
      </c>
    </row>
    <row r="4865" spans="1:7" x14ac:dyDescent="0.2">
      <c r="A4865" s="11">
        <v>42146</v>
      </c>
      <c r="B4865" s="10">
        <v>589.57119999999998</v>
      </c>
      <c r="C4865" s="10">
        <v>593.87959999999998</v>
      </c>
      <c r="D4865" s="10">
        <v>586.67510000000004</v>
      </c>
      <c r="E4865" s="13">
        <f t="shared" si="225"/>
        <v>-1.2250554582610401E-3</v>
      </c>
      <c r="F4865" s="9">
        <f t="shared" si="226"/>
        <v>6.3119087980587889E-3</v>
      </c>
      <c r="G4865" s="9">
        <f t="shared" si="227"/>
        <v>9.2769541593739312E-3</v>
      </c>
    </row>
    <row r="4866" spans="1:7" x14ac:dyDescent="0.2">
      <c r="A4866" s="11">
        <v>42150</v>
      </c>
      <c r="B4866" s="10">
        <v>580.80610000000001</v>
      </c>
      <c r="C4866" s="10">
        <v>589.57119999999998</v>
      </c>
      <c r="D4866" s="10">
        <v>580.52480000000003</v>
      </c>
      <c r="E4866" s="13">
        <f t="shared" si="225"/>
        <v>-1.4978526796122969E-2</v>
      </c>
      <c r="F4866" s="9">
        <f t="shared" si="226"/>
        <v>-2.6796549631882122E-2</v>
      </c>
      <c r="G4866" s="9">
        <f t="shared" si="227"/>
        <v>9.0277503155074337E-3</v>
      </c>
    </row>
    <row r="4867" spans="1:7" x14ac:dyDescent="0.2">
      <c r="A4867" s="11">
        <v>42151</v>
      </c>
      <c r="B4867" s="10">
        <v>584.14739999999995</v>
      </c>
      <c r="C4867" s="10">
        <v>584.64779999999996</v>
      </c>
      <c r="D4867" s="10">
        <v>578.52689999999996</v>
      </c>
      <c r="E4867" s="13">
        <f t="shared" si="225"/>
        <v>5.736382031417196E-3</v>
      </c>
      <c r="F4867" s="9">
        <f t="shared" si="226"/>
        <v>-2.1706142050216093E-2</v>
      </c>
      <c r="G4867" s="9">
        <f t="shared" si="227"/>
        <v>9.1084934017715159E-3</v>
      </c>
    </row>
    <row r="4868" spans="1:7" x14ac:dyDescent="0.2">
      <c r="A4868" s="11">
        <v>42152</v>
      </c>
      <c r="B4868" s="10">
        <v>582.28650000000005</v>
      </c>
      <c r="C4868" s="10">
        <v>584.5729</v>
      </c>
      <c r="D4868" s="10">
        <v>578.1395</v>
      </c>
      <c r="E4868" s="13">
        <f t="shared" ref="E4868:E4931" si="228">LN(B4868/B4867)</f>
        <v>-3.190753593159477E-3</v>
      </c>
      <c r="F4868" s="9">
        <f t="shared" si="226"/>
        <v>-2.30528792775316E-2</v>
      </c>
      <c r="G4868" s="9">
        <f t="shared" si="227"/>
        <v>9.1177068618767797E-3</v>
      </c>
    </row>
    <row r="4869" spans="1:7" x14ac:dyDescent="0.2">
      <c r="A4869" s="11">
        <v>42153</v>
      </c>
      <c r="B4869" s="10">
        <v>581.8596</v>
      </c>
      <c r="C4869" s="10">
        <v>584.01760000000002</v>
      </c>
      <c r="D4869" s="10">
        <v>578.76099999999997</v>
      </c>
      <c r="E4869" s="13">
        <f t="shared" si="228"/>
        <v>-7.3341313282868439E-4</v>
      </c>
      <c r="F4869" s="9">
        <f t="shared" si="226"/>
        <v>-3.1758746865164944E-2</v>
      </c>
      <c r="G4869" s="9">
        <f t="shared" si="227"/>
        <v>8.9606988778224393E-3</v>
      </c>
    </row>
    <row r="4870" spans="1:7" x14ac:dyDescent="0.2">
      <c r="A4870" s="11">
        <v>42156</v>
      </c>
      <c r="B4870" s="10">
        <v>581.57619999999997</v>
      </c>
      <c r="C4870" s="10">
        <v>597.35979999999995</v>
      </c>
      <c r="D4870" s="10">
        <v>576.0847</v>
      </c>
      <c r="E4870" s="13">
        <f t="shared" si="228"/>
        <v>-4.871777292829224E-4</v>
      </c>
      <c r="F4870" s="9">
        <f t="shared" si="226"/>
        <v>-2.9816879017046431E-2</v>
      </c>
      <c r="G4870" s="9">
        <f t="shared" si="227"/>
        <v>8.9576298789953365E-3</v>
      </c>
    </row>
    <row r="4871" spans="1:7" x14ac:dyDescent="0.2">
      <c r="A4871" s="11">
        <v>42157</v>
      </c>
      <c r="B4871" s="10">
        <v>587.50310000000002</v>
      </c>
      <c r="C4871" s="10">
        <v>587.50310000000002</v>
      </c>
      <c r="D4871" s="10">
        <v>578.15880000000004</v>
      </c>
      <c r="E4871" s="13">
        <f t="shared" si="228"/>
        <v>1.0139518813737623E-2</v>
      </c>
      <c r="F4871" s="9">
        <f t="shared" si="226"/>
        <v>-5.2476261399595344E-3</v>
      </c>
      <c r="G4871" s="9">
        <f t="shared" si="227"/>
        <v>8.805427584250184E-3</v>
      </c>
    </row>
    <row r="4872" spans="1:7" x14ac:dyDescent="0.2">
      <c r="A4872" s="11">
        <v>42158</v>
      </c>
      <c r="B4872" s="10">
        <v>592.09720000000004</v>
      </c>
      <c r="C4872" s="10">
        <v>593.26049999999998</v>
      </c>
      <c r="D4872" s="10">
        <v>586.31489999999997</v>
      </c>
      <c r="E4872" s="13">
        <f t="shared" si="228"/>
        <v>7.789287995487758E-3</v>
      </c>
      <c r="F4872" s="9">
        <f t="shared" si="226"/>
        <v>2.4500633902888452E-3</v>
      </c>
      <c r="G4872" s="9">
        <f t="shared" si="227"/>
        <v>8.9290911667931714E-3</v>
      </c>
    </row>
    <row r="4873" spans="1:7" x14ac:dyDescent="0.2">
      <c r="A4873" s="11">
        <v>42159</v>
      </c>
      <c r="B4873" s="10">
        <v>586.24099999999999</v>
      </c>
      <c r="C4873" s="10">
        <v>591.76639999999998</v>
      </c>
      <c r="D4873" s="10">
        <v>584.47159999999997</v>
      </c>
      <c r="E4873" s="13">
        <f t="shared" si="228"/>
        <v>-9.9398427653432046E-3</v>
      </c>
      <c r="F4873" s="9">
        <f t="shared" si="226"/>
        <v>-1.344409904054813E-2</v>
      </c>
      <c r="G4873" s="9">
        <f t="shared" si="227"/>
        <v>9.0429999249896902E-3</v>
      </c>
    </row>
    <row r="4874" spans="1:7" x14ac:dyDescent="0.2">
      <c r="A4874" s="11">
        <v>42160</v>
      </c>
      <c r="B4874" s="10">
        <v>587.3424</v>
      </c>
      <c r="C4874" s="10">
        <v>588.7373</v>
      </c>
      <c r="D4874" s="10">
        <v>580.18330000000003</v>
      </c>
      <c r="E4874" s="13">
        <f t="shared" si="228"/>
        <v>1.8769868819889213E-3</v>
      </c>
      <c r="F4874" s="9">
        <f t="shared" si="226"/>
        <v>3.875943760192728E-3</v>
      </c>
      <c r="G4874" s="9">
        <f t="shared" si="227"/>
        <v>8.5783642922143272E-3</v>
      </c>
    </row>
    <row r="4875" spans="1:7" x14ac:dyDescent="0.2">
      <c r="A4875" s="11">
        <v>42163</v>
      </c>
      <c r="B4875" s="10">
        <v>588.8809</v>
      </c>
      <c r="C4875" s="10">
        <v>588.96849999999995</v>
      </c>
      <c r="D4875" s="10">
        <v>584.78049999999996</v>
      </c>
      <c r="E4875" s="13">
        <f t="shared" si="228"/>
        <v>2.6160013619674861E-3</v>
      </c>
      <c r="F4875" s="9">
        <f t="shared" si="226"/>
        <v>-3.0039019364071339E-3</v>
      </c>
      <c r="G4875" s="9">
        <f t="shared" si="227"/>
        <v>8.4035549058748757E-3</v>
      </c>
    </row>
    <row r="4876" spans="1:7" x14ac:dyDescent="0.2">
      <c r="A4876" s="11">
        <v>42164</v>
      </c>
      <c r="B4876" s="10">
        <v>581.9905</v>
      </c>
      <c r="C4876" s="10">
        <v>588.79849999999999</v>
      </c>
      <c r="D4876" s="10">
        <v>578.58360000000005</v>
      </c>
      <c r="E4876" s="13">
        <f t="shared" si="228"/>
        <v>-1.1769831500077583E-2</v>
      </c>
      <c r="F4876" s="9">
        <f t="shared" si="226"/>
        <v>-1.3350904298146161E-2</v>
      </c>
      <c r="G4876" s="9">
        <f t="shared" si="227"/>
        <v>8.6767789220674896E-3</v>
      </c>
    </row>
    <row r="4877" spans="1:7" x14ac:dyDescent="0.2">
      <c r="A4877" s="11">
        <v>42165</v>
      </c>
      <c r="B4877" s="10">
        <v>582.3039</v>
      </c>
      <c r="C4877" s="10">
        <v>582.62440000000004</v>
      </c>
      <c r="D4877" s="10">
        <v>579.42399999999998</v>
      </c>
      <c r="E4877" s="13">
        <f t="shared" si="228"/>
        <v>5.3835182505255249E-4</v>
      </c>
      <c r="F4877" s="9">
        <f t="shared" si="226"/>
        <v>-1.278084699023811E-2</v>
      </c>
      <c r="G4877" s="9">
        <f t="shared" si="227"/>
        <v>8.6784303265439473E-3</v>
      </c>
    </row>
    <row r="4878" spans="1:7" x14ac:dyDescent="0.2">
      <c r="A4878" s="11">
        <v>42166</v>
      </c>
      <c r="B4878" s="10">
        <v>584.07209999999998</v>
      </c>
      <c r="C4878" s="10">
        <v>587.00340000000006</v>
      </c>
      <c r="D4878" s="10">
        <v>582.10350000000005</v>
      </c>
      <c r="E4878" s="13">
        <f t="shared" si="228"/>
        <v>3.0319577126998714E-3</v>
      </c>
      <c r="F4878" s="9">
        <f t="shared" si="226"/>
        <v>8.9343942930954884E-4</v>
      </c>
      <c r="G4878" s="9">
        <f t="shared" si="227"/>
        <v>8.4734103532518347E-3</v>
      </c>
    </row>
    <row r="4879" spans="1:7" x14ac:dyDescent="0.2">
      <c r="A4879" s="11">
        <v>42167</v>
      </c>
      <c r="B4879" s="10">
        <v>575.36030000000005</v>
      </c>
      <c r="C4879" s="10">
        <v>583.76279999999997</v>
      </c>
      <c r="D4879" s="10">
        <v>575.36030000000005</v>
      </c>
      <c r="E4879" s="13">
        <f t="shared" si="228"/>
        <v>-1.5027980856167597E-2</v>
      </c>
      <c r="F4879" s="9">
        <f t="shared" si="226"/>
        <v>6.7461433496680615E-3</v>
      </c>
      <c r="G4879" s="9">
        <f t="shared" si="227"/>
        <v>8.0148490221295509E-3</v>
      </c>
    </row>
    <row r="4880" spans="1:7" x14ac:dyDescent="0.2">
      <c r="A4880" s="11">
        <v>42170</v>
      </c>
      <c r="B4880" s="10">
        <v>567.05470000000003</v>
      </c>
      <c r="C4880" s="10">
        <v>575.10500000000002</v>
      </c>
      <c r="D4880" s="10">
        <v>566.70839999999998</v>
      </c>
      <c r="E4880" s="13">
        <f t="shared" si="228"/>
        <v>-1.4540681518042298E-2</v>
      </c>
      <c r="F4880" s="9">
        <f t="shared" si="226"/>
        <v>-1.9189720667211141E-2</v>
      </c>
      <c r="G4880" s="9">
        <f t="shared" si="227"/>
        <v>8.1703098819891819E-3</v>
      </c>
    </row>
    <row r="4881" spans="1:7" x14ac:dyDescent="0.2">
      <c r="A4881" s="11">
        <v>42171</v>
      </c>
      <c r="B4881" s="10">
        <v>568.79679999999996</v>
      </c>
      <c r="C4881" s="10">
        <v>568.89170000000001</v>
      </c>
      <c r="D4881" s="10">
        <v>561.5684</v>
      </c>
      <c r="E4881" s="13">
        <f t="shared" si="228"/>
        <v>3.0674808564588288E-3</v>
      </c>
      <c r="F4881" s="9">
        <f t="shared" si="226"/>
        <v>-3.0561602607270612E-2</v>
      </c>
      <c r="G4881" s="9">
        <f t="shared" si="227"/>
        <v>7.6776950649636248E-3</v>
      </c>
    </row>
    <row r="4882" spans="1:7" x14ac:dyDescent="0.2">
      <c r="A4882" s="11">
        <v>42172</v>
      </c>
      <c r="B4882" s="10">
        <v>571.64319999999998</v>
      </c>
      <c r="C4882" s="10">
        <v>572.27670000000001</v>
      </c>
      <c r="D4882" s="10">
        <v>568.6739</v>
      </c>
      <c r="E4882" s="13">
        <f t="shared" si="228"/>
        <v>4.9917679325298574E-3</v>
      </c>
      <c r="F4882" s="9">
        <f t="shared" si="226"/>
        <v>-2.6308586555218574E-2</v>
      </c>
      <c r="G4882" s="9">
        <f t="shared" si="227"/>
        <v>7.7534056432428397E-3</v>
      </c>
    </row>
    <row r="4883" spans="1:7" x14ac:dyDescent="0.2">
      <c r="A4883" s="11">
        <v>42173</v>
      </c>
      <c r="B4883" s="10">
        <v>568.5462</v>
      </c>
      <c r="C4883" s="10">
        <v>571.54700000000003</v>
      </c>
      <c r="D4883" s="10">
        <v>565.303</v>
      </c>
      <c r="E4883" s="13">
        <f t="shared" si="228"/>
        <v>-5.4324441472784202E-3</v>
      </c>
      <c r="F4883" s="9">
        <f t="shared" si="226"/>
        <v>-2.7668729752966848E-2</v>
      </c>
      <c r="G4883" s="9">
        <f t="shared" si="227"/>
        <v>7.7773126367068953E-3</v>
      </c>
    </row>
    <row r="4884" spans="1:7" x14ac:dyDescent="0.2">
      <c r="A4884" s="11">
        <v>42174</v>
      </c>
      <c r="B4884" s="10">
        <v>571.6422</v>
      </c>
      <c r="C4884" s="10">
        <v>571.6422</v>
      </c>
      <c r="D4884" s="10">
        <v>567.45450000000005</v>
      </c>
      <c r="E4884" s="13">
        <f t="shared" si="228"/>
        <v>5.4306948028016331E-3</v>
      </c>
      <c r="F4884" s="9">
        <f t="shared" si="226"/>
        <v>-1.4483969813040877E-2</v>
      </c>
      <c r="G4884" s="9">
        <f t="shared" si="227"/>
        <v>7.7509356246665776E-3</v>
      </c>
    </row>
    <row r="4885" spans="1:7" x14ac:dyDescent="0.2">
      <c r="A4885" s="11">
        <v>42177</v>
      </c>
      <c r="B4885" s="10">
        <v>578.90899999999999</v>
      </c>
      <c r="C4885" s="10">
        <v>579.25739999999996</v>
      </c>
      <c r="D4885" s="10">
        <v>571.64369999999997</v>
      </c>
      <c r="E4885" s="13">
        <f t="shared" si="228"/>
        <v>1.2632026508445087E-2</v>
      </c>
      <c r="F4885" s="9">
        <f t="shared" si="226"/>
        <v>-1.3123870435424116E-2</v>
      </c>
      <c r="G4885" s="9">
        <f t="shared" si="227"/>
        <v>7.8284340826037524E-3</v>
      </c>
    </row>
    <row r="4886" spans="1:7" x14ac:dyDescent="0.2">
      <c r="A4886" s="11">
        <v>42178</v>
      </c>
      <c r="B4886" s="10">
        <v>583.31410000000005</v>
      </c>
      <c r="C4886" s="10">
        <v>584.09559999999999</v>
      </c>
      <c r="D4886" s="10">
        <v>578.30489999999998</v>
      </c>
      <c r="E4886" s="13">
        <f t="shared" si="228"/>
        <v>7.5805085866490988E-3</v>
      </c>
      <c r="F4886" s="9">
        <f t="shared" si="226"/>
        <v>-1.6131099013595517E-2</v>
      </c>
      <c r="G4886" s="9">
        <f t="shared" si="227"/>
        <v>7.6957616096637177E-3</v>
      </c>
    </row>
    <row r="4887" spans="1:7" x14ac:dyDescent="0.2">
      <c r="A4887" s="11">
        <v>42179</v>
      </c>
      <c r="B4887" s="10">
        <v>586.23230000000001</v>
      </c>
      <c r="C4887" s="10">
        <v>586.73620000000005</v>
      </c>
      <c r="D4887" s="10">
        <v>582.93100000000004</v>
      </c>
      <c r="E4887" s="13">
        <f t="shared" si="228"/>
        <v>4.9903211297408889E-3</v>
      </c>
      <c r="F4887" s="9">
        <f t="shared" si="226"/>
        <v>-6.2636874440011913E-3</v>
      </c>
      <c r="G4887" s="9">
        <f t="shared" si="227"/>
        <v>7.7160087613786805E-3</v>
      </c>
    </row>
    <row r="4888" spans="1:7" x14ac:dyDescent="0.2">
      <c r="A4888" s="11">
        <v>42180</v>
      </c>
      <c r="B4888" s="10">
        <v>583.49120000000005</v>
      </c>
      <c r="C4888" s="10">
        <v>588.09439999999995</v>
      </c>
      <c r="D4888" s="10">
        <v>581.22329999999999</v>
      </c>
      <c r="E4888" s="13">
        <f t="shared" si="228"/>
        <v>-4.686757199477593E-3</v>
      </c>
      <c r="F4888" s="9">
        <f t="shared" si="226"/>
        <v>-2.1503536030944799E-2</v>
      </c>
      <c r="G4888" s="9">
        <f t="shared" si="227"/>
        <v>7.4714602208019384E-3</v>
      </c>
    </row>
    <row r="4889" spans="1:7" x14ac:dyDescent="0.2">
      <c r="A4889" s="11">
        <v>42181</v>
      </c>
      <c r="B4889" s="10">
        <v>582.45809999999994</v>
      </c>
      <c r="C4889" s="10">
        <v>584.51949999999999</v>
      </c>
      <c r="D4889" s="10">
        <v>577.87170000000003</v>
      </c>
      <c r="E4889" s="13">
        <f t="shared" si="228"/>
        <v>-1.7721186853711939E-3</v>
      </c>
      <c r="F4889" s="9">
        <f t="shared" si="226"/>
        <v>-1.4756546662398794E-2</v>
      </c>
      <c r="G4889" s="9">
        <f t="shared" si="227"/>
        <v>7.3242195692666233E-3</v>
      </c>
    </row>
    <row r="4890" spans="1:7" x14ac:dyDescent="0.2">
      <c r="A4890" s="11">
        <v>42184</v>
      </c>
      <c r="B4890" s="10">
        <v>571.79259999999999</v>
      </c>
      <c r="C4890" s="10">
        <v>582.28480000000002</v>
      </c>
      <c r="D4890" s="10">
        <v>565.37940000000003</v>
      </c>
      <c r="E4890" s="13">
        <f t="shared" si="228"/>
        <v>-1.8480913305700637E-2</v>
      </c>
      <c r="F4890" s="9">
        <f t="shared" si="226"/>
        <v>-3.2486565167325364E-2</v>
      </c>
      <c r="G4890" s="9">
        <f t="shared" si="227"/>
        <v>8.04925508244465E-3</v>
      </c>
    </row>
    <row r="4891" spans="1:7" x14ac:dyDescent="0.2">
      <c r="A4891" s="11">
        <v>42185</v>
      </c>
      <c r="B4891" s="10">
        <v>568.40639999999996</v>
      </c>
      <c r="C4891" s="10">
        <v>571.56579999999997</v>
      </c>
      <c r="D4891" s="10">
        <v>564.44410000000005</v>
      </c>
      <c r="E4891" s="13">
        <f t="shared" si="228"/>
        <v>-5.9396823806604016E-3</v>
      </c>
      <c r="F4891" s="9">
        <f t="shared" si="226"/>
        <v>-3.5014150093619203E-2</v>
      </c>
      <c r="G4891" s="9">
        <f t="shared" si="227"/>
        <v>8.0885465547109858E-3</v>
      </c>
    </row>
    <row r="4892" spans="1:7" x14ac:dyDescent="0.2">
      <c r="A4892" s="11">
        <v>42186</v>
      </c>
      <c r="B4892" s="10">
        <v>568.68769999999995</v>
      </c>
      <c r="C4892" s="10">
        <v>574.98419999999999</v>
      </c>
      <c r="D4892" s="10">
        <v>568.67340000000002</v>
      </c>
      <c r="E4892" s="13">
        <f t="shared" si="228"/>
        <v>4.9476996800600537E-4</v>
      </c>
      <c r="F4892" s="9">
        <f t="shared" si="226"/>
        <v>-3.424906928434119E-2</v>
      </c>
      <c r="G4892" s="9">
        <f t="shared" si="227"/>
        <v>8.0929586427910937E-3</v>
      </c>
    </row>
    <row r="4893" spans="1:7" x14ac:dyDescent="0.2">
      <c r="A4893" s="11">
        <v>42187</v>
      </c>
      <c r="B4893" s="10">
        <v>571.14679999999998</v>
      </c>
      <c r="C4893" s="10">
        <v>571.8904</v>
      </c>
      <c r="D4893" s="10">
        <v>567.36</v>
      </c>
      <c r="E4893" s="13">
        <f t="shared" si="228"/>
        <v>4.3148436290830691E-3</v>
      </c>
      <c r="F4893" s="9">
        <f t="shared" si="226"/>
        <v>-3.2974279031708568E-2</v>
      </c>
      <c r="G4893" s="9">
        <f t="shared" si="227"/>
        <v>8.1201213984525428E-3</v>
      </c>
    </row>
    <row r="4894" spans="1:7" x14ac:dyDescent="0.2">
      <c r="A4894" s="11">
        <v>42188</v>
      </c>
      <c r="B4894" s="10">
        <v>566.44650000000001</v>
      </c>
      <c r="C4894" s="10">
        <v>571.00689999999997</v>
      </c>
      <c r="D4894" s="10">
        <v>565.00429999999994</v>
      </c>
      <c r="E4894" s="13">
        <f t="shared" si="228"/>
        <v>-8.263632965603852E-3</v>
      </c>
      <c r="F4894" s="9">
        <f t="shared" si="226"/>
        <v>-4.0012856539051456E-2</v>
      </c>
      <c r="G4894" s="9">
        <f t="shared" si="227"/>
        <v>8.2273294473760375E-3</v>
      </c>
    </row>
    <row r="4895" spans="1:7" x14ac:dyDescent="0.2">
      <c r="A4895" s="11">
        <v>42191</v>
      </c>
      <c r="B4895" s="10">
        <v>559.76459999999997</v>
      </c>
      <c r="C4895" s="10">
        <v>566.21860000000004</v>
      </c>
      <c r="D4895" s="10">
        <v>558.2731</v>
      </c>
      <c r="E4895" s="13">
        <f t="shared" si="228"/>
        <v>-1.186629825581817E-2</v>
      </c>
      <c r="F4895" s="9">
        <f t="shared" si="226"/>
        <v>-3.6900627998746674E-2</v>
      </c>
      <c r="G4895" s="9">
        <f t="shared" si="227"/>
        <v>8.0622523957375337E-3</v>
      </c>
    </row>
    <row r="4896" spans="1:7" x14ac:dyDescent="0.2">
      <c r="A4896" s="11">
        <v>42192</v>
      </c>
      <c r="B4896" s="10">
        <v>555.32399999999996</v>
      </c>
      <c r="C4896" s="10">
        <v>560.18589999999995</v>
      </c>
      <c r="D4896" s="10">
        <v>555.05319999999995</v>
      </c>
      <c r="E4896" s="13">
        <f t="shared" si="228"/>
        <v>-7.9646110167525194E-3</v>
      </c>
      <c r="F4896" s="9">
        <f t="shared" ref="F4896:F4959" si="229">LN(B4896/B4867)</f>
        <v>-5.0601621046916456E-2</v>
      </c>
      <c r="G4896" s="9">
        <f t="shared" si="227"/>
        <v>8.0382706640308686E-3</v>
      </c>
    </row>
    <row r="4897" spans="1:7" x14ac:dyDescent="0.2">
      <c r="A4897" s="11">
        <v>42193</v>
      </c>
      <c r="B4897" s="10">
        <v>558.05859999999996</v>
      </c>
      <c r="C4897" s="10">
        <v>559.99369999999999</v>
      </c>
      <c r="D4897" s="10">
        <v>552.88589999999999</v>
      </c>
      <c r="E4897" s="13">
        <f t="shared" si="228"/>
        <v>4.9122475937073426E-3</v>
      </c>
      <c r="F4897" s="9">
        <f t="shared" si="229"/>
        <v>-4.2498619860049547E-2</v>
      </c>
      <c r="G4897" s="9">
        <f t="shared" ref="G4897:G4960" si="230">STDEV(E4869:E4897)</f>
        <v>8.1265636532755186E-3</v>
      </c>
    </row>
    <row r="4898" spans="1:7" x14ac:dyDescent="0.2">
      <c r="A4898" s="11">
        <v>42194</v>
      </c>
      <c r="B4898" s="10">
        <v>565.6721</v>
      </c>
      <c r="C4898" s="10">
        <v>567.32140000000004</v>
      </c>
      <c r="D4898" s="10">
        <v>558.16210000000001</v>
      </c>
      <c r="E4898" s="13">
        <f t="shared" si="228"/>
        <v>1.3550606917146848E-2</v>
      </c>
      <c r="F4898" s="9">
        <f t="shared" si="229"/>
        <v>-2.8214599810074056E-2</v>
      </c>
      <c r="G4898" s="9">
        <f t="shared" si="230"/>
        <v>8.5920645507887253E-3</v>
      </c>
    </row>
    <row r="4899" spans="1:7" x14ac:dyDescent="0.2">
      <c r="A4899" s="11">
        <v>42195</v>
      </c>
      <c r="B4899" s="10">
        <v>573.22670000000005</v>
      </c>
      <c r="C4899" s="10">
        <v>577.00170000000003</v>
      </c>
      <c r="D4899" s="10">
        <v>566.48699999999997</v>
      </c>
      <c r="E4899" s="13">
        <f t="shared" si="228"/>
        <v>1.3266693763705258E-2</v>
      </c>
      <c r="F4899" s="9">
        <f t="shared" si="229"/>
        <v>-1.4460728317085888E-2</v>
      </c>
      <c r="G4899" s="9">
        <f t="shared" si="230"/>
        <v>8.9902080880656914E-3</v>
      </c>
    </row>
    <row r="4900" spans="1:7" x14ac:dyDescent="0.2">
      <c r="A4900" s="11">
        <v>42198</v>
      </c>
      <c r="B4900" s="10">
        <v>577.14970000000005</v>
      </c>
      <c r="C4900" s="10">
        <v>580.25599999999997</v>
      </c>
      <c r="D4900" s="10">
        <v>573.2056</v>
      </c>
      <c r="E4900" s="13">
        <f t="shared" si="228"/>
        <v>6.8204027959251467E-3</v>
      </c>
      <c r="F4900" s="9">
        <f t="shared" si="229"/>
        <v>-1.7779844334898383E-2</v>
      </c>
      <c r="G4900" s="9">
        <f t="shared" si="230"/>
        <v>8.8702665579568508E-3</v>
      </c>
    </row>
    <row r="4901" spans="1:7" x14ac:dyDescent="0.2">
      <c r="A4901" s="11">
        <v>42199</v>
      </c>
      <c r="B4901" s="10">
        <v>582.16759999999999</v>
      </c>
      <c r="C4901" s="10">
        <v>582.16830000000004</v>
      </c>
      <c r="D4901" s="10">
        <v>574.89499999999998</v>
      </c>
      <c r="E4901" s="13">
        <f t="shared" si="228"/>
        <v>8.6567005186655548E-3</v>
      </c>
      <c r="F4901" s="9">
        <f t="shared" si="229"/>
        <v>-1.6912431811720589E-2</v>
      </c>
      <c r="G4901" s="9">
        <f t="shared" si="230"/>
        <v>8.9010206797846738E-3</v>
      </c>
    </row>
    <row r="4902" spans="1:7" x14ac:dyDescent="0.2">
      <c r="A4902" s="11">
        <v>42200</v>
      </c>
      <c r="B4902" s="10">
        <v>584.63319999999999</v>
      </c>
      <c r="C4902" s="10">
        <v>586.82010000000002</v>
      </c>
      <c r="D4902" s="10">
        <v>581.65419999999995</v>
      </c>
      <c r="E4902" s="13">
        <f t="shared" si="228"/>
        <v>4.2262632488782748E-3</v>
      </c>
      <c r="F4902" s="9">
        <f t="shared" si="229"/>
        <v>-2.7463257974991292E-3</v>
      </c>
      <c r="G4902" s="9">
        <f t="shared" si="230"/>
        <v>8.7567374037643402E-3</v>
      </c>
    </row>
    <row r="4903" spans="1:7" x14ac:dyDescent="0.2">
      <c r="A4903" s="11">
        <v>42201</v>
      </c>
      <c r="B4903" s="10">
        <v>587.23119999999994</v>
      </c>
      <c r="C4903" s="10">
        <v>589.11030000000005</v>
      </c>
      <c r="D4903" s="10">
        <v>584.72450000000003</v>
      </c>
      <c r="E4903" s="13">
        <f t="shared" si="228"/>
        <v>4.4339673709740549E-3</v>
      </c>
      <c r="F4903" s="9">
        <f t="shared" si="229"/>
        <v>-1.8934530851408225E-4</v>
      </c>
      <c r="G4903" s="9">
        <f t="shared" si="230"/>
        <v>8.7901089481337638E-3</v>
      </c>
    </row>
    <row r="4904" spans="1:7" x14ac:dyDescent="0.2">
      <c r="A4904" s="11">
        <v>42202</v>
      </c>
      <c r="B4904" s="10">
        <v>584.53139999999996</v>
      </c>
      <c r="C4904" s="10">
        <v>590.66120000000001</v>
      </c>
      <c r="D4904" s="10">
        <v>583.59069999999997</v>
      </c>
      <c r="E4904" s="13">
        <f t="shared" si="228"/>
        <v>-4.6081088053917607E-3</v>
      </c>
      <c r="F4904" s="9">
        <f t="shared" si="229"/>
        <v>-7.4134554758733462E-3</v>
      </c>
      <c r="G4904" s="9">
        <f t="shared" si="230"/>
        <v>8.8154606877110225E-3</v>
      </c>
    </row>
    <row r="4905" spans="1:7" x14ac:dyDescent="0.2">
      <c r="A4905" s="11">
        <v>42205</v>
      </c>
      <c r="B4905" s="10">
        <v>584.22580000000005</v>
      </c>
      <c r="C4905" s="10">
        <v>591.06849999999997</v>
      </c>
      <c r="D4905" s="10">
        <v>583.17690000000005</v>
      </c>
      <c r="E4905" s="13">
        <f t="shared" si="228"/>
        <v>-5.2294866198800691E-4</v>
      </c>
      <c r="F4905" s="9">
        <f t="shared" si="229"/>
        <v>3.8334273622161663E-3</v>
      </c>
      <c r="G4905" s="9">
        <f t="shared" si="230"/>
        <v>8.5337118887080857E-3</v>
      </c>
    </row>
    <row r="4906" spans="1:7" x14ac:dyDescent="0.2">
      <c r="A4906" s="11">
        <v>42206</v>
      </c>
      <c r="B4906" s="10">
        <v>586.61929999999995</v>
      </c>
      <c r="C4906" s="10">
        <v>587.97109999999998</v>
      </c>
      <c r="D4906" s="10">
        <v>583.70129999999995</v>
      </c>
      <c r="E4906" s="13">
        <f t="shared" si="228"/>
        <v>4.0885055318078227E-3</v>
      </c>
      <c r="F4906" s="9">
        <f t="shared" si="229"/>
        <v>7.3835810689715665E-3</v>
      </c>
      <c r="G4906" s="9">
        <f t="shared" si="230"/>
        <v>8.5651527373158346E-3</v>
      </c>
    </row>
    <row r="4907" spans="1:7" x14ac:dyDescent="0.2">
      <c r="A4907" s="11">
        <v>42207</v>
      </c>
      <c r="B4907" s="10">
        <v>580.52949999999998</v>
      </c>
      <c r="C4907" s="10">
        <v>586.63699999999994</v>
      </c>
      <c r="D4907" s="10">
        <v>579.38310000000001</v>
      </c>
      <c r="E4907" s="13">
        <f t="shared" si="228"/>
        <v>-1.0435439361322234E-2</v>
      </c>
      <c r="F4907" s="9">
        <f t="shared" si="229"/>
        <v>-6.0838160050505933E-3</v>
      </c>
      <c r="G4907" s="9">
        <f t="shared" si="230"/>
        <v>8.7717908019975567E-3</v>
      </c>
    </row>
    <row r="4908" spans="1:7" x14ac:dyDescent="0.2">
      <c r="A4908" s="11">
        <v>42208</v>
      </c>
      <c r="B4908" s="10">
        <v>581.1037</v>
      </c>
      <c r="C4908" s="10">
        <v>583.59209999999996</v>
      </c>
      <c r="D4908" s="10">
        <v>579.5797</v>
      </c>
      <c r="E4908" s="13">
        <f t="shared" si="228"/>
        <v>9.8860818848168141E-4</v>
      </c>
      <c r="F4908" s="9">
        <f t="shared" si="229"/>
        <v>9.9327730395986306E-3</v>
      </c>
      <c r="G4908" s="9">
        <f t="shared" si="230"/>
        <v>8.2968413993462237E-3</v>
      </c>
    </row>
    <row r="4909" spans="1:7" x14ac:dyDescent="0.2">
      <c r="A4909" s="11">
        <v>42209</v>
      </c>
      <c r="B4909" s="10">
        <v>577.50160000000005</v>
      </c>
      <c r="C4909" s="10">
        <v>581.97760000000005</v>
      </c>
      <c r="D4909" s="10">
        <v>577.43029999999999</v>
      </c>
      <c r="E4909" s="13">
        <f t="shared" si="228"/>
        <v>-6.218013340462996E-3</v>
      </c>
      <c r="F4909" s="9">
        <f t="shared" si="229"/>
        <v>1.8255441217177877E-2</v>
      </c>
      <c r="G4909" s="9">
        <f t="shared" si="230"/>
        <v>7.8979987015259118E-3</v>
      </c>
    </row>
    <row r="4910" spans="1:7" x14ac:dyDescent="0.2">
      <c r="A4910" s="11">
        <v>42212</v>
      </c>
      <c r="B4910" s="10">
        <v>562.88829999999996</v>
      </c>
      <c r="C4910" s="10">
        <v>577.32439999999997</v>
      </c>
      <c r="D4910" s="10">
        <v>562.88829999999996</v>
      </c>
      <c r="E4910" s="13">
        <f t="shared" si="228"/>
        <v>-2.5630005920315627E-2</v>
      </c>
      <c r="F4910" s="9">
        <f t="shared" si="229"/>
        <v>-1.0442045559596522E-2</v>
      </c>
      <c r="G4910" s="9">
        <f t="shared" si="230"/>
        <v>9.2616999223888302E-3</v>
      </c>
    </row>
    <row r="4911" spans="1:7" x14ac:dyDescent="0.2">
      <c r="A4911" s="11">
        <v>42213</v>
      </c>
      <c r="B4911" s="10">
        <v>564.44090000000006</v>
      </c>
      <c r="C4911" s="10">
        <v>569.52210000000002</v>
      </c>
      <c r="D4911" s="10">
        <v>563.0068</v>
      </c>
      <c r="E4911" s="13">
        <f t="shared" si="228"/>
        <v>2.7544766544672426E-3</v>
      </c>
      <c r="F4911" s="9">
        <f t="shared" si="229"/>
        <v>-1.2679336837659075E-2</v>
      </c>
      <c r="G4911" s="9">
        <f t="shared" si="230"/>
        <v>9.2247725860098058E-3</v>
      </c>
    </row>
    <row r="4912" spans="1:7" x14ac:dyDescent="0.2">
      <c r="A4912" s="11">
        <v>42214</v>
      </c>
      <c r="B4912" s="10">
        <v>574.52080000000001</v>
      </c>
      <c r="C4912" s="10">
        <v>574.52080000000001</v>
      </c>
      <c r="D4912" s="10">
        <v>564.5444</v>
      </c>
      <c r="E4912" s="13">
        <f t="shared" si="228"/>
        <v>1.7700618340374386E-2</v>
      </c>
      <c r="F4912" s="9">
        <f t="shared" si="229"/>
        <v>1.045372564999383E-2</v>
      </c>
      <c r="G4912" s="9">
        <f t="shared" si="230"/>
        <v>9.7619447188258025E-3</v>
      </c>
    </row>
    <row r="4913" spans="1:7" x14ac:dyDescent="0.2">
      <c r="A4913" s="11">
        <v>42215</v>
      </c>
      <c r="B4913" s="10">
        <v>577.68719999999996</v>
      </c>
      <c r="C4913" s="10">
        <v>580.40530000000001</v>
      </c>
      <c r="D4913" s="10">
        <v>574.62040000000002</v>
      </c>
      <c r="E4913" s="13">
        <f t="shared" si="228"/>
        <v>5.4962436835424393E-3</v>
      </c>
      <c r="F4913" s="9">
        <f t="shared" si="229"/>
        <v>1.0519274530734625E-2</v>
      </c>
      <c r="G4913" s="9">
        <f t="shared" si="230"/>
        <v>9.7631681307865821E-3</v>
      </c>
    </row>
    <row r="4914" spans="1:7" x14ac:dyDescent="0.2">
      <c r="A4914" s="11">
        <v>42216</v>
      </c>
      <c r="B4914" s="10">
        <v>574.48270000000002</v>
      </c>
      <c r="C4914" s="10">
        <v>578.19960000000003</v>
      </c>
      <c r="D4914" s="10">
        <v>571.54549999999995</v>
      </c>
      <c r="E4914" s="13">
        <f t="shared" si="228"/>
        <v>-5.5625620194115323E-3</v>
      </c>
      <c r="F4914" s="9">
        <f t="shared" si="229"/>
        <v>-7.6753139971219601E-3</v>
      </c>
      <c r="G4914" s="9">
        <f t="shared" si="230"/>
        <v>9.5283467251738481E-3</v>
      </c>
    </row>
    <row r="4915" spans="1:7" x14ac:dyDescent="0.2">
      <c r="A4915" s="11">
        <v>42219</v>
      </c>
      <c r="B4915" s="10">
        <v>575.03099999999995</v>
      </c>
      <c r="C4915" s="10">
        <v>578.44290000000001</v>
      </c>
      <c r="D4915" s="10">
        <v>572.73109999999997</v>
      </c>
      <c r="E4915" s="13">
        <f t="shared" si="228"/>
        <v>9.5396869403461182E-4</v>
      </c>
      <c r="F4915" s="9">
        <f t="shared" si="229"/>
        <v>-1.4301853889736475E-2</v>
      </c>
      <c r="G4915" s="9">
        <f t="shared" si="230"/>
        <v>9.4122395421495676E-3</v>
      </c>
    </row>
    <row r="4916" spans="1:7" x14ac:dyDescent="0.2">
      <c r="A4916" s="11">
        <v>42220</v>
      </c>
      <c r="B4916" s="10">
        <v>574.0018</v>
      </c>
      <c r="C4916" s="10">
        <v>575.34659999999997</v>
      </c>
      <c r="D4916" s="10">
        <v>571.26419999999996</v>
      </c>
      <c r="E4916" s="13">
        <f t="shared" si="228"/>
        <v>-1.79142018442147E-3</v>
      </c>
      <c r="F4916" s="9">
        <f t="shared" si="229"/>
        <v>-2.1083595203898759E-2</v>
      </c>
      <c r="G4916" s="9">
        <f t="shared" si="230"/>
        <v>9.3552085801263327E-3</v>
      </c>
    </row>
    <row r="4917" spans="1:7" x14ac:dyDescent="0.2">
      <c r="A4917" s="11">
        <v>42221</v>
      </c>
      <c r="B4917" s="10">
        <v>579.21929999999998</v>
      </c>
      <c r="C4917" s="10">
        <v>580.02560000000005</v>
      </c>
      <c r="D4917" s="10">
        <v>574.05949999999996</v>
      </c>
      <c r="E4917" s="13">
        <f t="shared" si="228"/>
        <v>9.0486301364000234E-3</v>
      </c>
      <c r="F4917" s="9">
        <f t="shared" si="229"/>
        <v>-7.3482078680211236E-3</v>
      </c>
      <c r="G4917" s="9">
        <f t="shared" si="230"/>
        <v>9.4942393368654295E-3</v>
      </c>
    </row>
    <row r="4918" spans="1:7" x14ac:dyDescent="0.2">
      <c r="A4918" s="11">
        <v>42222</v>
      </c>
      <c r="B4918" s="10">
        <v>571.1712</v>
      </c>
      <c r="C4918" s="10">
        <v>579.34749999999997</v>
      </c>
      <c r="D4918" s="10">
        <v>570.80889999999999</v>
      </c>
      <c r="E4918" s="13">
        <f t="shared" si="228"/>
        <v>-1.399217275338333E-2</v>
      </c>
      <c r="F4918" s="9">
        <f t="shared" si="229"/>
        <v>-1.9568261936033247E-2</v>
      </c>
      <c r="G4918" s="9">
        <f t="shared" si="230"/>
        <v>9.82931958199223E-3</v>
      </c>
    </row>
    <row r="4919" spans="1:7" x14ac:dyDescent="0.2">
      <c r="A4919" s="11">
        <v>42223</v>
      </c>
      <c r="B4919" s="10">
        <v>573.17150000000004</v>
      </c>
      <c r="C4919" s="10">
        <v>575.97900000000004</v>
      </c>
      <c r="D4919" s="10">
        <v>571.1712</v>
      </c>
      <c r="E4919" s="13">
        <f t="shared" si="228"/>
        <v>3.4959842664081002E-3</v>
      </c>
      <c r="F4919" s="9">
        <f t="shared" si="229"/>
        <v>2.4086356360757096E-3</v>
      </c>
      <c r="G4919" s="9">
        <f t="shared" si="230"/>
        <v>9.2367982691277661E-3</v>
      </c>
    </row>
    <row r="4920" spans="1:7" x14ac:dyDescent="0.2">
      <c r="A4920" s="11">
        <v>42226</v>
      </c>
      <c r="B4920" s="10">
        <v>571.66120000000001</v>
      </c>
      <c r="C4920" s="10">
        <v>573.17160000000001</v>
      </c>
      <c r="D4920" s="10">
        <v>567.03290000000004</v>
      </c>
      <c r="E4920" s="13">
        <f t="shared" si="228"/>
        <v>-2.6384656485840012E-3</v>
      </c>
      <c r="F4920" s="9">
        <f t="shared" si="229"/>
        <v>5.7098523681520389E-3</v>
      </c>
      <c r="G4920" s="9">
        <f t="shared" si="230"/>
        <v>9.1800908201166223E-3</v>
      </c>
    </row>
    <row r="4921" spans="1:7" x14ac:dyDescent="0.2">
      <c r="A4921" s="11">
        <v>42227</v>
      </c>
      <c r="B4921" s="10">
        <v>560.99459999999999</v>
      </c>
      <c r="C4921" s="10">
        <v>574.26</v>
      </c>
      <c r="D4921" s="10">
        <v>560.84429999999998</v>
      </c>
      <c r="E4921" s="13">
        <f t="shared" si="228"/>
        <v>-1.8835228396072021E-2</v>
      </c>
      <c r="F4921" s="9">
        <f t="shared" si="229"/>
        <v>-1.3620145995926194E-2</v>
      </c>
      <c r="G4921" s="9">
        <f t="shared" si="230"/>
        <v>9.8360167261478029E-3</v>
      </c>
    </row>
    <row r="4922" spans="1:7" x14ac:dyDescent="0.2">
      <c r="A4922" s="11">
        <v>42228</v>
      </c>
      <c r="B4922" s="10">
        <v>555.19799999999998</v>
      </c>
      <c r="C4922" s="10">
        <v>560.94629999999995</v>
      </c>
      <c r="D4922" s="10">
        <v>552.18290000000002</v>
      </c>
      <c r="E4922" s="13">
        <f t="shared" si="228"/>
        <v>-1.0386472927289211E-2</v>
      </c>
      <c r="F4922" s="9">
        <f t="shared" si="229"/>
        <v>-2.8321462552298313E-2</v>
      </c>
      <c r="G4922" s="9">
        <f t="shared" si="230"/>
        <v>9.9587027348853191E-3</v>
      </c>
    </row>
    <row r="4923" spans="1:7" x14ac:dyDescent="0.2">
      <c r="A4923" s="11">
        <v>42229</v>
      </c>
      <c r="B4923" s="10">
        <v>557.89760000000001</v>
      </c>
      <c r="C4923" s="10">
        <v>563.14139999999998</v>
      </c>
      <c r="D4923" s="10">
        <v>555.61329999999998</v>
      </c>
      <c r="E4923" s="13">
        <f t="shared" si="228"/>
        <v>4.8506261153898689E-3</v>
      </c>
      <c r="F4923" s="9">
        <f t="shared" si="229"/>
        <v>-1.5207203471304541E-2</v>
      </c>
      <c r="G4923" s="9">
        <f t="shared" si="230"/>
        <v>9.9136388380261804E-3</v>
      </c>
    </row>
    <row r="4924" spans="1:7" x14ac:dyDescent="0.2">
      <c r="A4924" s="11">
        <v>42230</v>
      </c>
      <c r="B4924" s="10">
        <v>549.86069999999995</v>
      </c>
      <c r="C4924" s="10">
        <v>557.93420000000003</v>
      </c>
      <c r="D4924" s="10">
        <v>548.86149999999998</v>
      </c>
      <c r="E4924" s="13">
        <f t="shared" si="228"/>
        <v>-1.4510459575730692E-2</v>
      </c>
      <c r="F4924" s="9">
        <f t="shared" si="229"/>
        <v>-1.7851364791217079E-2</v>
      </c>
      <c r="G4924" s="9">
        <f t="shared" si="230"/>
        <v>1.0033117963140331E-2</v>
      </c>
    </row>
    <row r="4925" spans="1:7" x14ac:dyDescent="0.2">
      <c r="A4925" s="11">
        <v>42233</v>
      </c>
      <c r="B4925" s="10">
        <v>549.67970000000003</v>
      </c>
      <c r="C4925" s="10">
        <v>554.22709999999995</v>
      </c>
      <c r="D4925" s="10">
        <v>548.32370000000003</v>
      </c>
      <c r="E4925" s="13">
        <f t="shared" si="228"/>
        <v>-3.2922846970391041E-4</v>
      </c>
      <c r="F4925" s="9">
        <f t="shared" si="229"/>
        <v>-1.0215982244168543E-2</v>
      </c>
      <c r="G4925" s="9">
        <f t="shared" si="230"/>
        <v>9.9330616013106141E-3</v>
      </c>
    </row>
    <row r="4926" spans="1:7" x14ac:dyDescent="0.2">
      <c r="A4926" s="11">
        <v>42234</v>
      </c>
      <c r="B4926" s="10">
        <v>549.37909999999999</v>
      </c>
      <c r="C4926" s="10">
        <v>551.55610000000001</v>
      </c>
      <c r="D4926" s="10">
        <v>547.83299999999997</v>
      </c>
      <c r="E4926" s="13">
        <f t="shared" si="228"/>
        <v>-5.470135128267786E-4</v>
      </c>
      <c r="F4926" s="9">
        <f t="shared" si="229"/>
        <v>-1.5675243350702684E-2</v>
      </c>
      <c r="G4926" s="9">
        <f t="shared" si="230"/>
        <v>9.8813225183735486E-3</v>
      </c>
    </row>
    <row r="4927" spans="1:7" x14ac:dyDescent="0.2">
      <c r="A4927" s="11">
        <v>42235</v>
      </c>
      <c r="B4927" s="10">
        <v>543.86959999999999</v>
      </c>
      <c r="C4927" s="10">
        <v>549.6463</v>
      </c>
      <c r="D4927" s="10">
        <v>543.11270000000002</v>
      </c>
      <c r="E4927" s="13">
        <f t="shared" si="228"/>
        <v>-1.0079219198216534E-2</v>
      </c>
      <c r="F4927" s="9">
        <f t="shared" si="229"/>
        <v>-3.9305069466066114E-2</v>
      </c>
      <c r="G4927" s="9">
        <f t="shared" si="230"/>
        <v>9.6494032714162046E-3</v>
      </c>
    </row>
    <row r="4928" spans="1:7" x14ac:dyDescent="0.2">
      <c r="A4928" s="11">
        <v>42236</v>
      </c>
      <c r="B4928" s="10">
        <v>533.82479999999998</v>
      </c>
      <c r="C4928" s="10">
        <v>543.84879999999998</v>
      </c>
      <c r="D4928" s="10">
        <v>533.82479999999998</v>
      </c>
      <c r="E4928" s="13">
        <f t="shared" si="228"/>
        <v>-1.8641817000250652E-2</v>
      </c>
      <c r="F4928" s="9">
        <f t="shared" si="229"/>
        <v>-7.1213580230021903E-2</v>
      </c>
      <c r="G4928" s="9">
        <f t="shared" si="230"/>
        <v>9.7413272167207222E-3</v>
      </c>
    </row>
    <row r="4929" spans="1:7" x14ac:dyDescent="0.2">
      <c r="A4929" s="11">
        <v>42237</v>
      </c>
      <c r="B4929" s="10">
        <v>525.22159999999997</v>
      </c>
      <c r="C4929" s="10">
        <v>533.62729999999999</v>
      </c>
      <c r="D4929" s="10">
        <v>522.96029999999996</v>
      </c>
      <c r="E4929" s="13">
        <f t="shared" si="228"/>
        <v>-1.6247426466708684E-2</v>
      </c>
      <c r="F4929" s="9">
        <f t="shared" si="229"/>
        <v>-9.4281409492655691E-2</v>
      </c>
      <c r="G4929" s="9">
        <f t="shared" si="230"/>
        <v>9.8973950559423634E-3</v>
      </c>
    </row>
    <row r="4930" spans="1:7" x14ac:dyDescent="0.2">
      <c r="A4930" s="11">
        <v>42240</v>
      </c>
      <c r="B4930" s="10">
        <v>497.90210000000002</v>
      </c>
      <c r="C4930" s="10">
        <v>522.90269999999998</v>
      </c>
      <c r="D4930" s="10">
        <v>484.15460000000002</v>
      </c>
      <c r="E4930" s="13">
        <f t="shared" si="228"/>
        <v>-5.3416797418940433E-2</v>
      </c>
      <c r="F4930" s="9">
        <f t="shared" si="229"/>
        <v>-0.15635490743026167</v>
      </c>
      <c r="G4930" s="9">
        <f t="shared" si="230"/>
        <v>1.3342699201815881E-2</v>
      </c>
    </row>
    <row r="4931" spans="1:7" x14ac:dyDescent="0.2">
      <c r="A4931" s="11">
        <v>42241</v>
      </c>
      <c r="B4931" s="10">
        <v>511.66379999999998</v>
      </c>
      <c r="C4931" s="10">
        <v>517.98599999999999</v>
      </c>
      <c r="D4931" s="10">
        <v>497.89690000000002</v>
      </c>
      <c r="E4931" s="13">
        <f t="shared" si="228"/>
        <v>2.7264297377986864E-2</v>
      </c>
      <c r="F4931" s="9">
        <f t="shared" si="229"/>
        <v>-0.13331687330115294</v>
      </c>
      <c r="G4931" s="9">
        <f t="shared" si="230"/>
        <v>1.4565582751792762E-2</v>
      </c>
    </row>
    <row r="4932" spans="1:7" x14ac:dyDescent="0.2">
      <c r="A4932" s="11">
        <v>42242</v>
      </c>
      <c r="B4932" s="10">
        <v>515.40229999999997</v>
      </c>
      <c r="C4932" s="10">
        <v>523.17100000000005</v>
      </c>
      <c r="D4932" s="10">
        <v>500.81450000000001</v>
      </c>
      <c r="E4932" s="13">
        <f t="shared" ref="E4932:E4995" si="231">LN(B4932/B4931)</f>
        <v>7.2799920300342102E-3</v>
      </c>
      <c r="F4932" s="9">
        <f t="shared" si="229"/>
        <v>-0.13047084864209288</v>
      </c>
      <c r="G4932" s="9">
        <f t="shared" si="230"/>
        <v>1.4638012706718329E-2</v>
      </c>
    </row>
    <row r="4933" spans="1:7" x14ac:dyDescent="0.2">
      <c r="A4933" s="11">
        <v>42243</v>
      </c>
      <c r="B4933" s="10">
        <v>525.40790000000004</v>
      </c>
      <c r="C4933" s="10">
        <v>527.89700000000005</v>
      </c>
      <c r="D4933" s="10">
        <v>516.09059999999999</v>
      </c>
      <c r="E4933" s="13">
        <f t="shared" si="231"/>
        <v>1.9227152539656928E-2</v>
      </c>
      <c r="F4933" s="9">
        <f t="shared" si="229"/>
        <v>-0.10663558729704398</v>
      </c>
      <c r="G4933" s="9">
        <f t="shared" si="230"/>
        <v>1.5286463987728394E-2</v>
      </c>
    </row>
    <row r="4934" spans="1:7" x14ac:dyDescent="0.2">
      <c r="A4934" s="11">
        <v>42244</v>
      </c>
      <c r="B4934" s="10">
        <v>532.04219999999998</v>
      </c>
      <c r="C4934" s="10">
        <v>535.71050000000002</v>
      </c>
      <c r="D4934" s="10">
        <v>524.29079999999999</v>
      </c>
      <c r="E4934" s="13">
        <f t="shared" si="231"/>
        <v>1.2547896202666683E-2</v>
      </c>
      <c r="F4934" s="9">
        <f t="shared" si="229"/>
        <v>-9.3564742432389381E-2</v>
      </c>
      <c r="G4934" s="9">
        <f t="shared" si="230"/>
        <v>1.5572798799758541E-2</v>
      </c>
    </row>
    <row r="4935" spans="1:7" x14ac:dyDescent="0.2">
      <c r="A4935" s="11">
        <v>42247</v>
      </c>
      <c r="B4935" s="10">
        <v>532.26490000000001</v>
      </c>
      <c r="C4935" s="10">
        <v>532.32169999999996</v>
      </c>
      <c r="D4935" s="10">
        <v>526.60080000000005</v>
      </c>
      <c r="E4935" s="13">
        <f t="shared" si="231"/>
        <v>4.1848824131721806E-4</v>
      </c>
      <c r="F4935" s="9">
        <f t="shared" si="229"/>
        <v>-9.7234759722879954E-2</v>
      </c>
      <c r="G4935" s="9">
        <f t="shared" si="230"/>
        <v>1.552607355848794E-2</v>
      </c>
    </row>
    <row r="4936" spans="1:7" x14ac:dyDescent="0.2">
      <c r="A4936" s="11">
        <v>42248</v>
      </c>
      <c r="B4936" s="10">
        <v>521.79610000000002</v>
      </c>
      <c r="C4936" s="10">
        <v>534.16830000000004</v>
      </c>
      <c r="D4936" s="10">
        <v>521.01020000000005</v>
      </c>
      <c r="E4936" s="13">
        <f t="shared" si="231"/>
        <v>-1.986439919862671E-2</v>
      </c>
      <c r="F4936" s="9">
        <f t="shared" si="229"/>
        <v>-0.1066637195601844</v>
      </c>
      <c r="G4936" s="9">
        <f t="shared" si="230"/>
        <v>1.5776397377057081E-2</v>
      </c>
    </row>
    <row r="4937" spans="1:7" x14ac:dyDescent="0.2">
      <c r="A4937" s="11">
        <v>42249</v>
      </c>
      <c r="B4937" s="10">
        <v>521.29340000000002</v>
      </c>
      <c r="C4937" s="10">
        <v>527.22559999999999</v>
      </c>
      <c r="D4937" s="10">
        <v>517.26149999999996</v>
      </c>
      <c r="E4937" s="13">
        <f t="shared" si="231"/>
        <v>-9.6386750881691154E-4</v>
      </c>
      <c r="F4937" s="9">
        <f t="shared" si="229"/>
        <v>-0.10861619525748301</v>
      </c>
      <c r="G4937" s="9">
        <f t="shared" si="230"/>
        <v>1.5759928384737207E-2</v>
      </c>
    </row>
    <row r="4938" spans="1:7" x14ac:dyDescent="0.2">
      <c r="A4938" s="11">
        <v>42250</v>
      </c>
      <c r="B4938" s="10">
        <v>535.07650000000001</v>
      </c>
      <c r="C4938" s="10">
        <v>535.14689999999996</v>
      </c>
      <c r="D4938" s="10">
        <v>521.38400000000001</v>
      </c>
      <c r="E4938" s="13">
        <f t="shared" si="231"/>
        <v>2.6096696290161803E-2</v>
      </c>
      <c r="F4938" s="9">
        <f t="shared" si="229"/>
        <v>-7.630148562685829E-2</v>
      </c>
      <c r="G4938" s="9">
        <f t="shared" si="230"/>
        <v>1.669360152868123E-2</v>
      </c>
    </row>
    <row r="4939" spans="1:7" x14ac:dyDescent="0.2">
      <c r="A4939" s="11">
        <v>42251</v>
      </c>
      <c r="B4939" s="10">
        <v>520.30790000000002</v>
      </c>
      <c r="C4939" s="10">
        <v>534.87980000000005</v>
      </c>
      <c r="D4939" s="10">
        <v>520.22680000000003</v>
      </c>
      <c r="E4939" s="13">
        <f t="shared" si="231"/>
        <v>-2.7988975599080906E-2</v>
      </c>
      <c r="F4939" s="9">
        <f t="shared" si="229"/>
        <v>-7.8660455305623517E-2</v>
      </c>
      <c r="G4939" s="9">
        <f t="shared" si="230"/>
        <v>1.6814978077828415E-2</v>
      </c>
    </row>
    <row r="4940" spans="1:7" x14ac:dyDescent="0.2">
      <c r="A4940" s="11">
        <v>42254</v>
      </c>
      <c r="B4940" s="10">
        <v>518.53279999999995</v>
      </c>
      <c r="C4940" s="10">
        <v>525.87189999999998</v>
      </c>
      <c r="D4940" s="10">
        <v>518.03859999999997</v>
      </c>
      <c r="E4940" s="13">
        <f t="shared" si="231"/>
        <v>-3.4174666580302168E-3</v>
      </c>
      <c r="F4940" s="9">
        <f t="shared" si="229"/>
        <v>-8.4832398618121072E-2</v>
      </c>
      <c r="G4940" s="9">
        <f t="shared" si="230"/>
        <v>1.6782339914392732E-2</v>
      </c>
    </row>
    <row r="4941" spans="1:7" x14ac:dyDescent="0.2">
      <c r="A4941" s="11">
        <v>42255</v>
      </c>
      <c r="B4941" s="10">
        <v>527.97739999999999</v>
      </c>
      <c r="C4941" s="10">
        <v>530.5729</v>
      </c>
      <c r="D4941" s="10">
        <v>518.53189999999995</v>
      </c>
      <c r="E4941" s="13">
        <f t="shared" si="231"/>
        <v>1.8050194688970764E-2</v>
      </c>
      <c r="F4941" s="9">
        <f t="shared" si="229"/>
        <v>-8.448282226952486E-2</v>
      </c>
      <c r="G4941" s="9">
        <f t="shared" si="230"/>
        <v>1.6797802522984004E-2</v>
      </c>
    </row>
    <row r="4942" spans="1:7" x14ac:dyDescent="0.2">
      <c r="A4942" s="11">
        <v>42256</v>
      </c>
      <c r="B4942" s="10">
        <v>534.53189999999995</v>
      </c>
      <c r="C4942" s="10">
        <v>537.74580000000003</v>
      </c>
      <c r="D4942" s="10">
        <v>527.99210000000005</v>
      </c>
      <c r="E4942" s="13">
        <f t="shared" si="231"/>
        <v>1.2337930870064561E-2</v>
      </c>
      <c r="F4942" s="9">
        <f t="shared" si="229"/>
        <v>-7.7641135083002716E-2</v>
      </c>
      <c r="G4942" s="9">
        <f t="shared" si="230"/>
        <v>1.6967318287722848E-2</v>
      </c>
    </row>
    <row r="4943" spans="1:7" x14ac:dyDescent="0.2">
      <c r="A4943" s="11">
        <v>42257</v>
      </c>
      <c r="B4943" s="10">
        <v>522.77170000000001</v>
      </c>
      <c r="C4943" s="10">
        <v>534.38959999999997</v>
      </c>
      <c r="D4943" s="10">
        <v>522.07860000000005</v>
      </c>
      <c r="E4943" s="13">
        <f t="shared" si="231"/>
        <v>-2.2246561944129946E-2</v>
      </c>
      <c r="F4943" s="9">
        <f t="shared" si="229"/>
        <v>-9.4325135007720953E-2</v>
      </c>
      <c r="G4943" s="9">
        <f t="shared" si="230"/>
        <v>1.7347241819635036E-2</v>
      </c>
    </row>
    <row r="4944" spans="1:7" x14ac:dyDescent="0.2">
      <c r="A4944" s="11">
        <v>42258</v>
      </c>
      <c r="B4944" s="10">
        <v>516.82360000000006</v>
      </c>
      <c r="C4944" s="10">
        <v>524.13229999999999</v>
      </c>
      <c r="D4944" s="10">
        <v>515.69230000000005</v>
      </c>
      <c r="E4944" s="13">
        <f t="shared" si="231"/>
        <v>-1.144323162539339E-2</v>
      </c>
      <c r="F4944" s="9">
        <f t="shared" si="229"/>
        <v>-0.10672233532714892</v>
      </c>
      <c r="G4944" s="9">
        <f t="shared" si="230"/>
        <v>1.7392570399404766E-2</v>
      </c>
    </row>
    <row r="4945" spans="1:7" x14ac:dyDescent="0.2">
      <c r="A4945" s="11">
        <v>42261</v>
      </c>
      <c r="B4945" s="10">
        <v>512.49580000000003</v>
      </c>
      <c r="C4945" s="10">
        <v>519.99829999999997</v>
      </c>
      <c r="D4945" s="10">
        <v>510.36739999999998</v>
      </c>
      <c r="E4945" s="13">
        <f t="shared" si="231"/>
        <v>-8.409101203391901E-3</v>
      </c>
      <c r="F4945" s="9">
        <f t="shared" si="229"/>
        <v>-0.1133400163461194</v>
      </c>
      <c r="G4945" s="9">
        <f t="shared" si="230"/>
        <v>1.7410309562503314E-2</v>
      </c>
    </row>
    <row r="4946" spans="1:7" x14ac:dyDescent="0.2">
      <c r="A4946" s="11">
        <v>42262</v>
      </c>
      <c r="B4946" s="10">
        <v>516.22239999999999</v>
      </c>
      <c r="C4946" s="10">
        <v>516.22239999999999</v>
      </c>
      <c r="D4946" s="10">
        <v>509.01190000000003</v>
      </c>
      <c r="E4946" s="13">
        <f t="shared" si="231"/>
        <v>7.2451645193082484E-3</v>
      </c>
      <c r="F4946" s="9">
        <f t="shared" si="229"/>
        <v>-0.11514348196321134</v>
      </c>
      <c r="G4946" s="9">
        <f t="shared" si="230"/>
        <v>1.7365538817922365E-2</v>
      </c>
    </row>
    <row r="4947" spans="1:7" x14ac:dyDescent="0.2">
      <c r="A4947" s="11">
        <v>42263</v>
      </c>
      <c r="B4947" s="10">
        <v>525.27800000000002</v>
      </c>
      <c r="C4947" s="10">
        <v>525.72479999999996</v>
      </c>
      <c r="D4947" s="10">
        <v>516.27089999999998</v>
      </c>
      <c r="E4947" s="13">
        <f t="shared" si="231"/>
        <v>1.7389965876547554E-2</v>
      </c>
      <c r="F4947" s="9">
        <f t="shared" si="229"/>
        <v>-8.3761343333280502E-2</v>
      </c>
      <c r="G4947" s="9">
        <f t="shared" si="230"/>
        <v>1.7693428661116756E-2</v>
      </c>
    </row>
    <row r="4948" spans="1:7" x14ac:dyDescent="0.2">
      <c r="A4948" s="11">
        <v>42264</v>
      </c>
      <c r="B4948" s="10">
        <v>529.52719999999999</v>
      </c>
      <c r="C4948" s="10">
        <v>530.51499999999999</v>
      </c>
      <c r="D4948" s="10">
        <v>525.66650000000004</v>
      </c>
      <c r="E4948" s="13">
        <f t="shared" si="231"/>
        <v>8.0568866854622209E-3</v>
      </c>
      <c r="F4948" s="9">
        <f t="shared" si="229"/>
        <v>-7.9200440914226219E-2</v>
      </c>
      <c r="G4948" s="9">
        <f t="shared" si="230"/>
        <v>1.7772298490546606E-2</v>
      </c>
    </row>
    <row r="4949" spans="1:7" x14ac:dyDescent="0.2">
      <c r="A4949" s="11">
        <v>42265</v>
      </c>
      <c r="B4949" s="10">
        <v>521.07330000000002</v>
      </c>
      <c r="C4949" s="10">
        <v>529.5453</v>
      </c>
      <c r="D4949" s="10">
        <v>519.16830000000004</v>
      </c>
      <c r="E4949" s="13">
        <f t="shared" si="231"/>
        <v>-1.609381010214371E-2</v>
      </c>
      <c r="F4949" s="9">
        <f t="shared" si="229"/>
        <v>-9.2655785367785987E-2</v>
      </c>
      <c r="G4949" s="9">
        <f t="shared" si="230"/>
        <v>1.7944597714998047E-2</v>
      </c>
    </row>
    <row r="4950" spans="1:7" x14ac:dyDescent="0.2">
      <c r="A4950" s="11">
        <v>42268</v>
      </c>
      <c r="B4950" s="10">
        <v>523.97979999999995</v>
      </c>
      <c r="C4950" s="10">
        <v>527.38919999999996</v>
      </c>
      <c r="D4950" s="10">
        <v>519.78970000000004</v>
      </c>
      <c r="E4950" s="13">
        <f t="shared" si="231"/>
        <v>5.5624111234596676E-3</v>
      </c>
      <c r="F4950" s="9">
        <f t="shared" si="229"/>
        <v>-6.8258145848254237E-2</v>
      </c>
      <c r="G4950" s="9">
        <f t="shared" si="230"/>
        <v>1.7756077011830983E-2</v>
      </c>
    </row>
    <row r="4951" spans="1:7" x14ac:dyDescent="0.2">
      <c r="A4951" s="11">
        <v>42269</v>
      </c>
      <c r="B4951" s="10">
        <v>516.1748</v>
      </c>
      <c r="C4951" s="10">
        <v>524.24980000000005</v>
      </c>
      <c r="D4951" s="10">
        <v>513.21820000000002</v>
      </c>
      <c r="E4951" s="13">
        <f t="shared" si="231"/>
        <v>-1.5007666154289235E-2</v>
      </c>
      <c r="F4951" s="9">
        <f t="shared" si="229"/>
        <v>-7.2879339075254207E-2</v>
      </c>
      <c r="G4951" s="9">
        <f t="shared" si="230"/>
        <v>1.7851222785979805E-2</v>
      </c>
    </row>
    <row r="4952" spans="1:7" x14ac:dyDescent="0.2">
      <c r="A4952" s="11">
        <v>42270</v>
      </c>
      <c r="B4952" s="10">
        <v>512.28330000000005</v>
      </c>
      <c r="C4952" s="10">
        <v>517.40060000000005</v>
      </c>
      <c r="D4952" s="10">
        <v>512.28330000000005</v>
      </c>
      <c r="E4952" s="13">
        <f t="shared" si="231"/>
        <v>-7.567675478607469E-3</v>
      </c>
      <c r="F4952" s="9">
        <f t="shared" si="229"/>
        <v>-8.5297640669251579E-2</v>
      </c>
      <c r="G4952" s="9">
        <f t="shared" si="230"/>
        <v>1.7817186083906277E-2</v>
      </c>
    </row>
    <row r="4953" spans="1:7" x14ac:dyDescent="0.2">
      <c r="A4953" s="11">
        <v>42271</v>
      </c>
      <c r="B4953" s="10">
        <v>503.59890000000001</v>
      </c>
      <c r="C4953" s="10">
        <v>515.24839999999995</v>
      </c>
      <c r="D4953" s="10">
        <v>503.27690000000001</v>
      </c>
      <c r="E4953" s="13">
        <f t="shared" si="231"/>
        <v>-1.7097674432195283E-2</v>
      </c>
      <c r="F4953" s="9">
        <f t="shared" si="229"/>
        <v>-8.7884855525716093E-2</v>
      </c>
      <c r="G4953" s="9">
        <f t="shared" si="230"/>
        <v>1.7883537957279701E-2</v>
      </c>
    </row>
    <row r="4954" spans="1:7" x14ac:dyDescent="0.2">
      <c r="A4954" s="11">
        <v>42272</v>
      </c>
      <c r="B4954" s="10">
        <v>515.94929999999999</v>
      </c>
      <c r="C4954" s="10">
        <v>517.70519999999999</v>
      </c>
      <c r="D4954" s="10">
        <v>503.75110000000001</v>
      </c>
      <c r="E4954" s="13">
        <f t="shared" si="231"/>
        <v>2.4228386945616597E-2</v>
      </c>
      <c r="F4954" s="9">
        <f t="shared" si="229"/>
        <v>-6.3327240110395547E-2</v>
      </c>
      <c r="G4954" s="9">
        <f t="shared" si="230"/>
        <v>1.8583730353258797E-2</v>
      </c>
    </row>
    <row r="4955" spans="1:7" x14ac:dyDescent="0.2">
      <c r="A4955" s="11">
        <v>42275</v>
      </c>
      <c r="B4955" s="10">
        <v>506.17790000000002</v>
      </c>
      <c r="C4955" s="10">
        <v>516.98670000000004</v>
      </c>
      <c r="D4955" s="10">
        <v>506.17790000000002</v>
      </c>
      <c r="E4955" s="13">
        <f t="shared" si="231"/>
        <v>-1.9120316315184023E-2</v>
      </c>
      <c r="F4955" s="9">
        <f t="shared" si="229"/>
        <v>-8.1900542912752769E-2</v>
      </c>
      <c r="G4955" s="9">
        <f t="shared" si="230"/>
        <v>1.8843543627316797E-2</v>
      </c>
    </row>
    <row r="4956" spans="1:7" x14ac:dyDescent="0.2">
      <c r="A4956" s="11">
        <v>42276</v>
      </c>
      <c r="B4956" s="10">
        <v>507.25380000000001</v>
      </c>
      <c r="C4956" s="10">
        <v>510.2595</v>
      </c>
      <c r="D4956" s="10">
        <v>499.04840000000002</v>
      </c>
      <c r="E4956" s="13">
        <f t="shared" si="231"/>
        <v>2.1232815279190005E-3</v>
      </c>
      <c r="F4956" s="9">
        <f t="shared" si="229"/>
        <v>-6.9698042186617251E-2</v>
      </c>
      <c r="G4956" s="9">
        <f t="shared" si="230"/>
        <v>1.8811966664579672E-2</v>
      </c>
    </row>
    <row r="4957" spans="1:7" x14ac:dyDescent="0.2">
      <c r="A4957" s="11">
        <v>42277</v>
      </c>
      <c r="B4957" s="10">
        <v>517.69619999999998</v>
      </c>
      <c r="C4957" s="10">
        <v>517.72749999999996</v>
      </c>
      <c r="D4957" s="10">
        <v>507.30040000000002</v>
      </c>
      <c r="E4957" s="13">
        <f t="shared" si="231"/>
        <v>2.0377113669598105E-2</v>
      </c>
      <c r="F4957" s="9">
        <f t="shared" si="229"/>
        <v>-3.0679111516768477E-2</v>
      </c>
      <c r="G4957" s="9">
        <f t="shared" si="230"/>
        <v>1.9003465308265167E-2</v>
      </c>
    </row>
    <row r="4958" spans="1:7" x14ac:dyDescent="0.2">
      <c r="A4958" s="11">
        <v>42278</v>
      </c>
      <c r="B4958" s="10">
        <v>522.20100000000002</v>
      </c>
      <c r="C4958" s="10">
        <v>525.99270000000001</v>
      </c>
      <c r="D4958" s="10">
        <v>517.69759999999997</v>
      </c>
      <c r="E4958" s="13">
        <f t="shared" si="231"/>
        <v>8.6639875157766815E-3</v>
      </c>
      <c r="F4958" s="9">
        <f t="shared" si="229"/>
        <v>-5.7676975342831867E-3</v>
      </c>
      <c r="G4958" s="9">
        <f t="shared" si="230"/>
        <v>1.8854784885666429E-2</v>
      </c>
    </row>
    <row r="4959" spans="1:7" x14ac:dyDescent="0.2">
      <c r="A4959" s="11">
        <v>42279</v>
      </c>
      <c r="B4959" s="10">
        <v>517.72209999999995</v>
      </c>
      <c r="C4959" s="10">
        <v>525.9941</v>
      </c>
      <c r="D4959" s="10">
        <v>516.13549999999998</v>
      </c>
      <c r="E4959" s="13">
        <f t="shared" si="231"/>
        <v>-8.6139594256696862E-3</v>
      </c>
      <c r="F4959" s="9">
        <f t="shared" si="229"/>
        <v>3.9035140458987531E-2</v>
      </c>
      <c r="G4959" s="9">
        <f t="shared" si="230"/>
        <v>1.5950293210133415E-2</v>
      </c>
    </row>
    <row r="4960" spans="1:7" x14ac:dyDescent="0.2">
      <c r="A4960" s="11">
        <v>42282</v>
      </c>
      <c r="B4960" s="10">
        <v>537.3732</v>
      </c>
      <c r="C4960" s="10">
        <v>537.3732</v>
      </c>
      <c r="D4960" s="10">
        <v>518.19650000000001</v>
      </c>
      <c r="E4960" s="13">
        <f t="shared" si="231"/>
        <v>3.7254213382015351E-2</v>
      </c>
      <c r="F4960" s="9">
        <f t="shared" ref="F4960:F5023" si="232">LN(B4960/B4931)</f>
        <v>4.9025056463015845E-2</v>
      </c>
      <c r="G4960" s="9">
        <f t="shared" si="230"/>
        <v>1.6623704499893824E-2</v>
      </c>
    </row>
    <row r="4961" spans="1:7" x14ac:dyDescent="0.2">
      <c r="A4961" s="11">
        <v>42283</v>
      </c>
      <c r="B4961" s="10">
        <v>548.82050000000004</v>
      </c>
      <c r="C4961" s="10">
        <v>550.41110000000003</v>
      </c>
      <c r="D4961" s="10">
        <v>535.22209999999995</v>
      </c>
      <c r="E4961" s="13">
        <f t="shared" si="231"/>
        <v>2.1078604746783285E-2</v>
      </c>
      <c r="F4961" s="9">
        <f t="shared" si="232"/>
        <v>6.2823669179764882E-2</v>
      </c>
      <c r="G4961" s="9">
        <f t="shared" ref="G4961:G5024" si="233">STDEV(E4933:E4961)</f>
        <v>1.6982997290419799E-2</v>
      </c>
    </row>
    <row r="4962" spans="1:7" x14ac:dyDescent="0.2">
      <c r="A4962" s="11">
        <v>42284</v>
      </c>
      <c r="B4962" s="10">
        <v>559.40899999999999</v>
      </c>
      <c r="C4962" s="10">
        <v>559.50360000000001</v>
      </c>
      <c r="D4962" s="10">
        <v>548.11350000000004</v>
      </c>
      <c r="E4962" s="13">
        <f t="shared" si="231"/>
        <v>1.9109439363437536E-2</v>
      </c>
      <c r="F4962" s="9">
        <f t="shared" si="232"/>
        <v>6.2705956003545421E-2</v>
      </c>
      <c r="G4962" s="9">
        <f t="shared" si="233"/>
        <v>1.6978787529517165E-2</v>
      </c>
    </row>
    <row r="4963" spans="1:7" x14ac:dyDescent="0.2">
      <c r="A4963" s="11">
        <v>42285</v>
      </c>
      <c r="B4963" s="10">
        <v>551.24860000000001</v>
      </c>
      <c r="C4963" s="10">
        <v>559.3587</v>
      </c>
      <c r="D4963" s="10">
        <v>547.54269999999997</v>
      </c>
      <c r="E4963" s="13">
        <f t="shared" si="231"/>
        <v>-1.4694982229575375E-2</v>
      </c>
      <c r="F4963" s="9">
        <f t="shared" si="232"/>
        <v>3.5463077571303236E-2</v>
      </c>
      <c r="G4963" s="9">
        <f t="shared" si="233"/>
        <v>1.713656498284586E-2</v>
      </c>
    </row>
    <row r="4964" spans="1:7" x14ac:dyDescent="0.2">
      <c r="A4964" s="11">
        <v>42286</v>
      </c>
      <c r="B4964" s="10">
        <v>555.15779999999995</v>
      </c>
      <c r="C4964" s="10">
        <v>561.2808</v>
      </c>
      <c r="D4964" s="10">
        <v>551.29999999999995</v>
      </c>
      <c r="E4964" s="13">
        <f t="shared" si="231"/>
        <v>7.0665105829668534E-3</v>
      </c>
      <c r="F4964" s="9">
        <f t="shared" si="232"/>
        <v>4.2111099912953073E-2</v>
      </c>
      <c r="G4964" s="9">
        <f t="shared" si="233"/>
        <v>1.7169854429575523E-2</v>
      </c>
    </row>
    <row r="4965" spans="1:7" x14ac:dyDescent="0.2">
      <c r="A4965" s="11">
        <v>42289</v>
      </c>
      <c r="B4965" s="10">
        <v>548.86180000000002</v>
      </c>
      <c r="C4965" s="10">
        <v>558.08569999999997</v>
      </c>
      <c r="D4965" s="10">
        <v>547.83920000000001</v>
      </c>
      <c r="E4965" s="13">
        <f t="shared" si="231"/>
        <v>-1.1405718257091012E-2</v>
      </c>
      <c r="F4965" s="9">
        <f t="shared" si="232"/>
        <v>5.05697808544886E-2</v>
      </c>
      <c r="G4965" s="9">
        <f t="shared" si="233"/>
        <v>1.6863922025903342E-2</v>
      </c>
    </row>
    <row r="4966" spans="1:7" x14ac:dyDescent="0.2">
      <c r="A4966" s="11">
        <v>42290</v>
      </c>
      <c r="B4966" s="10">
        <v>545.50350000000003</v>
      </c>
      <c r="C4966" s="10">
        <v>548.95659999999998</v>
      </c>
      <c r="D4966" s="10">
        <v>541.98950000000002</v>
      </c>
      <c r="E4966" s="13">
        <f t="shared" si="231"/>
        <v>-6.1374580166356852E-3</v>
      </c>
      <c r="F4966" s="9">
        <f t="shared" si="232"/>
        <v>4.5396190346669987E-2</v>
      </c>
      <c r="G4966" s="9">
        <f t="shared" si="233"/>
        <v>1.6920857689827859E-2</v>
      </c>
    </row>
    <row r="4967" spans="1:7" x14ac:dyDescent="0.2">
      <c r="A4967" s="11">
        <v>42291</v>
      </c>
      <c r="B4967" s="10">
        <v>544.11479999999995</v>
      </c>
      <c r="C4967" s="10">
        <v>547.10050000000001</v>
      </c>
      <c r="D4967" s="10">
        <v>540.97349999999994</v>
      </c>
      <c r="E4967" s="13">
        <f t="shared" si="231"/>
        <v>-2.5489673803982065E-3</v>
      </c>
      <c r="F4967" s="9">
        <f t="shared" si="232"/>
        <v>1.6750526676110124E-2</v>
      </c>
      <c r="G4967" s="9">
        <f t="shared" si="233"/>
        <v>1.6260907277924386E-2</v>
      </c>
    </row>
    <row r="4968" spans="1:7" x14ac:dyDescent="0.2">
      <c r="A4968" s="11">
        <v>42292</v>
      </c>
      <c r="B4968" s="10">
        <v>550.32219999999995</v>
      </c>
      <c r="C4968" s="10">
        <v>550.40650000000005</v>
      </c>
      <c r="D4968" s="10">
        <v>543.09630000000004</v>
      </c>
      <c r="E4968" s="13">
        <f t="shared" si="231"/>
        <v>1.1343670879715323E-2</v>
      </c>
      <c r="F4968" s="9">
        <f t="shared" si="232"/>
        <v>5.6083173154906414E-2</v>
      </c>
      <c r="G4968" s="9">
        <f t="shared" si="233"/>
        <v>1.5411256154552541E-2</v>
      </c>
    </row>
    <row r="4969" spans="1:7" x14ac:dyDescent="0.2">
      <c r="A4969" s="11">
        <v>42293</v>
      </c>
      <c r="B4969" s="10">
        <v>550.20709999999997</v>
      </c>
      <c r="C4969" s="10">
        <v>555.33309999999994</v>
      </c>
      <c r="D4969" s="10">
        <v>550.20709999999997</v>
      </c>
      <c r="E4969" s="13">
        <f t="shared" si="231"/>
        <v>-2.0917207823485903E-4</v>
      </c>
      <c r="F4969" s="9">
        <f t="shared" si="232"/>
        <v>5.9291467734701779E-2</v>
      </c>
      <c r="G4969" s="9">
        <f t="shared" si="233"/>
        <v>1.5382958492625332E-2</v>
      </c>
    </row>
    <row r="4970" spans="1:7" x14ac:dyDescent="0.2">
      <c r="A4970" s="11">
        <v>42296</v>
      </c>
      <c r="B4970" s="10">
        <v>550.52760000000001</v>
      </c>
      <c r="C4970" s="10">
        <v>554.37109999999996</v>
      </c>
      <c r="D4970" s="10">
        <v>547.27459999999996</v>
      </c>
      <c r="E4970" s="13">
        <f t="shared" si="231"/>
        <v>5.8233834012365424E-4</v>
      </c>
      <c r="F4970" s="9">
        <f t="shared" si="232"/>
        <v>4.1823611385854734E-2</v>
      </c>
      <c r="G4970" s="9">
        <f t="shared" si="233"/>
        <v>1.5072712772783044E-2</v>
      </c>
    </row>
    <row r="4971" spans="1:7" x14ac:dyDescent="0.2">
      <c r="A4971" s="11">
        <v>42297</v>
      </c>
      <c r="B4971" s="10">
        <v>549.15089999999998</v>
      </c>
      <c r="C4971" s="10">
        <v>550.15989999999999</v>
      </c>
      <c r="D4971" s="10">
        <v>544.79280000000006</v>
      </c>
      <c r="E4971" s="13">
        <f t="shared" si="231"/>
        <v>-2.5038240162491374E-3</v>
      </c>
      <c r="F4971" s="9">
        <f t="shared" si="232"/>
        <v>2.6981856499541147E-2</v>
      </c>
      <c r="G4971" s="9">
        <f t="shared" si="233"/>
        <v>1.4940937229397992E-2</v>
      </c>
    </row>
    <row r="4972" spans="1:7" x14ac:dyDescent="0.2">
      <c r="A4972" s="11">
        <v>42298</v>
      </c>
      <c r="B4972" s="10">
        <v>550.3279</v>
      </c>
      <c r="C4972" s="10">
        <v>552.06870000000004</v>
      </c>
      <c r="D4972" s="10">
        <v>544.19129999999996</v>
      </c>
      <c r="E4972" s="13">
        <f t="shared" si="231"/>
        <v>2.1410152694326941E-3</v>
      </c>
      <c r="F4972" s="9">
        <f t="shared" si="232"/>
        <v>5.1369433713103638E-2</v>
      </c>
      <c r="G4972" s="9">
        <f t="shared" si="233"/>
        <v>1.4260672426065888E-2</v>
      </c>
    </row>
    <row r="4973" spans="1:7" x14ac:dyDescent="0.2">
      <c r="A4973" s="11">
        <v>42299</v>
      </c>
      <c r="B4973" s="10">
        <v>551.88649999999996</v>
      </c>
      <c r="C4973" s="10">
        <v>551.88649999999996</v>
      </c>
      <c r="D4973" s="10">
        <v>543.95569999999998</v>
      </c>
      <c r="E4973" s="13">
        <f t="shared" si="231"/>
        <v>2.8281267942894357E-3</v>
      </c>
      <c r="F4973" s="9">
        <f t="shared" si="232"/>
        <v>6.5640792132786535E-2</v>
      </c>
      <c r="G4973" s="9">
        <f t="shared" si="233"/>
        <v>1.4032790622789061E-2</v>
      </c>
    </row>
    <row r="4974" spans="1:7" x14ac:dyDescent="0.2">
      <c r="A4974" s="11">
        <v>42300</v>
      </c>
      <c r="B4974" s="10">
        <v>560.37030000000004</v>
      </c>
      <c r="C4974" s="10">
        <v>564.07100000000003</v>
      </c>
      <c r="D4974" s="10">
        <v>551.87580000000003</v>
      </c>
      <c r="E4974" s="13">
        <f t="shared" si="231"/>
        <v>1.5255406006533146E-2</v>
      </c>
      <c r="F4974" s="9">
        <f t="shared" si="232"/>
        <v>8.9305299342711655E-2</v>
      </c>
      <c r="G4974" s="9">
        <f t="shared" si="233"/>
        <v>1.4077988978860327E-2</v>
      </c>
    </row>
    <row r="4975" spans="1:7" x14ac:dyDescent="0.2">
      <c r="A4975" s="11">
        <v>42303</v>
      </c>
      <c r="B4975" s="10">
        <v>558.80430000000001</v>
      </c>
      <c r="C4975" s="10">
        <v>564.25710000000004</v>
      </c>
      <c r="D4975" s="10">
        <v>557.2799</v>
      </c>
      <c r="E4975" s="13">
        <f t="shared" si="231"/>
        <v>-2.798492785698878E-3</v>
      </c>
      <c r="F4975" s="9">
        <f t="shared" si="232"/>
        <v>7.9261642037704499E-2</v>
      </c>
      <c r="G4975" s="9">
        <f t="shared" si="233"/>
        <v>1.4095380591490819E-2</v>
      </c>
    </row>
    <row r="4976" spans="1:7" x14ac:dyDescent="0.2">
      <c r="A4976" s="11">
        <v>42304</v>
      </c>
      <c r="B4976" s="10">
        <v>550.68759999999997</v>
      </c>
      <c r="C4976" s="10">
        <v>558.85450000000003</v>
      </c>
      <c r="D4976" s="10">
        <v>549.52819999999997</v>
      </c>
      <c r="E4976" s="13">
        <f t="shared" si="231"/>
        <v>-1.4631643195919823E-2</v>
      </c>
      <c r="F4976" s="9">
        <f t="shared" si="232"/>
        <v>4.7240032965237197E-2</v>
      </c>
      <c r="G4976" s="9">
        <f t="shared" si="233"/>
        <v>1.4160293452675419E-2</v>
      </c>
    </row>
    <row r="4977" spans="1:7" x14ac:dyDescent="0.2">
      <c r="A4977" s="11">
        <v>42305</v>
      </c>
      <c r="B4977" s="10">
        <v>557.20050000000003</v>
      </c>
      <c r="C4977" s="10">
        <v>558.65</v>
      </c>
      <c r="D4977" s="10">
        <v>546.67960000000005</v>
      </c>
      <c r="E4977" s="13">
        <f t="shared" si="231"/>
        <v>1.1757460030985378E-2</v>
      </c>
      <c r="F4977" s="9">
        <f t="shared" si="232"/>
        <v>5.0940606310760361E-2</v>
      </c>
      <c r="G4977" s="9">
        <f t="shared" si="233"/>
        <v>1.4236755129797522E-2</v>
      </c>
    </row>
    <row r="4978" spans="1:7" x14ac:dyDescent="0.2">
      <c r="A4978" s="11">
        <v>42306</v>
      </c>
      <c r="B4978" s="10">
        <v>549.72260000000006</v>
      </c>
      <c r="C4978" s="10">
        <v>557.20050000000003</v>
      </c>
      <c r="D4978" s="10">
        <v>547.78510000000006</v>
      </c>
      <c r="E4978" s="13">
        <f t="shared" si="231"/>
        <v>-1.3511351893079287E-2</v>
      </c>
      <c r="F4978" s="9">
        <f t="shared" si="232"/>
        <v>5.3523064519824803E-2</v>
      </c>
      <c r="G4978" s="9">
        <f t="shared" si="233"/>
        <v>1.4128781279511242E-2</v>
      </c>
    </row>
    <row r="4979" spans="1:7" x14ac:dyDescent="0.2">
      <c r="A4979" s="11">
        <v>42307</v>
      </c>
      <c r="B4979" s="10">
        <v>549.11279999999999</v>
      </c>
      <c r="C4979" s="10">
        <v>555.25360000000001</v>
      </c>
      <c r="D4979" s="10">
        <v>547.6114</v>
      </c>
      <c r="E4979" s="13">
        <f t="shared" si="231"/>
        <v>-1.1099024705615642E-3</v>
      </c>
      <c r="F4979" s="9">
        <f t="shared" si="232"/>
        <v>4.6850750925803514E-2</v>
      </c>
      <c r="G4979" s="9">
        <f t="shared" si="233"/>
        <v>1.4120418781366667E-2</v>
      </c>
    </row>
    <row r="4980" spans="1:7" x14ac:dyDescent="0.2">
      <c r="A4980" s="11">
        <v>42310</v>
      </c>
      <c r="B4980" s="10">
        <v>552.05150000000003</v>
      </c>
      <c r="C4980" s="10">
        <v>552.53700000000003</v>
      </c>
      <c r="D4980" s="10">
        <v>548.13369999999998</v>
      </c>
      <c r="E4980" s="13">
        <f t="shared" si="231"/>
        <v>5.3374541411713638E-3</v>
      </c>
      <c r="F4980" s="9">
        <f t="shared" si="232"/>
        <v>6.719587122126415E-2</v>
      </c>
      <c r="G4980" s="9">
        <f t="shared" si="233"/>
        <v>1.3765981153793783E-2</v>
      </c>
    </row>
    <row r="4981" spans="1:7" x14ac:dyDescent="0.2">
      <c r="A4981" s="11">
        <v>42311</v>
      </c>
      <c r="B4981" s="10">
        <v>558.66899999999998</v>
      </c>
      <c r="C4981" s="10">
        <v>558.78869999999995</v>
      </c>
      <c r="D4981" s="10">
        <v>551.58370000000002</v>
      </c>
      <c r="E4981" s="13">
        <f t="shared" si="231"/>
        <v>1.1915829949534456E-2</v>
      </c>
      <c r="F4981" s="9">
        <f t="shared" si="232"/>
        <v>8.6679376649405976E-2</v>
      </c>
      <c r="G4981" s="9">
        <f t="shared" si="233"/>
        <v>1.3741750268803166E-2</v>
      </c>
    </row>
    <row r="4982" spans="1:7" x14ac:dyDescent="0.2">
      <c r="A4982" s="11">
        <v>42312</v>
      </c>
      <c r="B4982" s="10">
        <v>569.42629999999997</v>
      </c>
      <c r="C4982" s="10">
        <v>571.34529999999995</v>
      </c>
      <c r="D4982" s="10">
        <v>559.221</v>
      </c>
      <c r="E4982" s="13">
        <f t="shared" si="231"/>
        <v>1.9072193771930795E-2</v>
      </c>
      <c r="F4982" s="9">
        <f t="shared" si="232"/>
        <v>0.12284924485353216</v>
      </c>
      <c r="G4982" s="9">
        <f t="shared" si="233"/>
        <v>1.3492704248490198E-2</v>
      </c>
    </row>
    <row r="4983" spans="1:7" x14ac:dyDescent="0.2">
      <c r="A4983" s="11">
        <v>42313</v>
      </c>
      <c r="B4983" s="10">
        <v>564.64250000000004</v>
      </c>
      <c r="C4983" s="10">
        <v>569.99249999999995</v>
      </c>
      <c r="D4983" s="10">
        <v>563.81640000000004</v>
      </c>
      <c r="E4983" s="13">
        <f t="shared" si="231"/>
        <v>-8.4365752310611008E-3</v>
      </c>
      <c r="F4983" s="9">
        <f t="shared" si="232"/>
        <v>9.0184282676854272E-2</v>
      </c>
      <c r="G4983" s="9">
        <f t="shared" si="233"/>
        <v>1.312250418427339E-2</v>
      </c>
    </row>
    <row r="4984" spans="1:7" x14ac:dyDescent="0.2">
      <c r="A4984" s="11">
        <v>42314</v>
      </c>
      <c r="B4984" s="10">
        <v>562.3587</v>
      </c>
      <c r="C4984" s="10">
        <v>567.13379999999995</v>
      </c>
      <c r="D4984" s="10">
        <v>561.87059999999997</v>
      </c>
      <c r="E4984" s="13">
        <f t="shared" si="231"/>
        <v>-4.0528849944743602E-3</v>
      </c>
      <c r="F4984" s="9">
        <f t="shared" si="232"/>
        <v>0.10525171399756403</v>
      </c>
      <c r="G4984" s="9">
        <f t="shared" si="233"/>
        <v>1.2494142363046412E-2</v>
      </c>
    </row>
    <row r="4985" spans="1:7" x14ac:dyDescent="0.2">
      <c r="A4985" s="11">
        <v>42317</v>
      </c>
      <c r="B4985" s="10">
        <v>563.45410000000004</v>
      </c>
      <c r="C4985" s="10">
        <v>568.52110000000005</v>
      </c>
      <c r="D4985" s="10">
        <v>562.25009999999997</v>
      </c>
      <c r="E4985" s="13">
        <f t="shared" si="231"/>
        <v>1.945972448834333E-3</v>
      </c>
      <c r="F4985" s="9">
        <f t="shared" si="232"/>
        <v>0.10507440491847936</v>
      </c>
      <c r="G4985" s="9">
        <f t="shared" si="233"/>
        <v>1.2494949058681539E-2</v>
      </c>
    </row>
    <row r="4986" spans="1:7" x14ac:dyDescent="0.2">
      <c r="A4986" s="11">
        <v>42318</v>
      </c>
      <c r="B4986" s="10">
        <v>558.93399999999997</v>
      </c>
      <c r="C4986" s="10">
        <v>563.45410000000004</v>
      </c>
      <c r="D4986" s="10">
        <v>556.923</v>
      </c>
      <c r="E4986" s="13">
        <f t="shared" si="231"/>
        <v>-8.0544767654113399E-3</v>
      </c>
      <c r="F4986" s="9">
        <f t="shared" si="232"/>
        <v>7.6642814483469851E-2</v>
      </c>
      <c r="G4986" s="9">
        <f t="shared" si="233"/>
        <v>1.2246381961100235E-2</v>
      </c>
    </row>
    <row r="4987" spans="1:7" x14ac:dyDescent="0.2">
      <c r="A4987" s="11">
        <v>42319</v>
      </c>
      <c r="B4987" s="10">
        <v>558.55740000000003</v>
      </c>
      <c r="C4987" s="10">
        <v>562.99450000000002</v>
      </c>
      <c r="D4987" s="10">
        <v>558.5548</v>
      </c>
      <c r="E4987" s="13">
        <f t="shared" si="231"/>
        <v>-6.7400968679854657E-4</v>
      </c>
      <c r="F4987" s="9">
        <f t="shared" si="232"/>
        <v>6.7304817280894783E-2</v>
      </c>
      <c r="G4987" s="9">
        <f t="shared" si="233"/>
        <v>1.2205105964260839E-2</v>
      </c>
    </row>
    <row r="4988" spans="1:7" x14ac:dyDescent="0.2">
      <c r="A4988" s="11">
        <v>42320</v>
      </c>
      <c r="B4988" s="10">
        <v>546.46180000000004</v>
      </c>
      <c r="C4988" s="10">
        <v>558.3931</v>
      </c>
      <c r="D4988" s="10">
        <v>546.46180000000004</v>
      </c>
      <c r="E4988" s="13">
        <f t="shared" si="231"/>
        <v>-2.1892982705236576E-2</v>
      </c>
      <c r="F4988" s="9">
        <f t="shared" si="232"/>
        <v>5.4025794001327794E-2</v>
      </c>
      <c r="G4988" s="9">
        <f t="shared" si="233"/>
        <v>1.2861443605701879E-2</v>
      </c>
    </row>
    <row r="4989" spans="1:7" x14ac:dyDescent="0.2">
      <c r="A4989" s="11">
        <v>42321</v>
      </c>
      <c r="B4989" s="10">
        <v>543.82500000000005</v>
      </c>
      <c r="C4989" s="10">
        <v>551.29920000000004</v>
      </c>
      <c r="D4989" s="10">
        <v>543.02160000000003</v>
      </c>
      <c r="E4989" s="13">
        <f t="shared" si="231"/>
        <v>-4.8369018881922752E-3</v>
      </c>
      <c r="F4989" s="9">
        <f t="shared" si="232"/>
        <v>1.1934678731120429E-2</v>
      </c>
      <c r="G4989" s="9">
        <f t="shared" si="233"/>
        <v>1.0959216429078794E-2</v>
      </c>
    </row>
    <row r="4990" spans="1:7" x14ac:dyDescent="0.2">
      <c r="A4990" s="11">
        <v>42324</v>
      </c>
      <c r="B4990" s="10">
        <v>547.74239999999998</v>
      </c>
      <c r="C4990" s="10">
        <v>550.55719999999997</v>
      </c>
      <c r="D4990" s="10">
        <v>540.09180000000003</v>
      </c>
      <c r="E4990" s="13">
        <f t="shared" si="231"/>
        <v>7.1775995106032661E-3</v>
      </c>
      <c r="F4990" s="9">
        <f t="shared" si="232"/>
        <v>-1.9663265050594882E-3</v>
      </c>
      <c r="G4990" s="9">
        <f t="shared" si="233"/>
        <v>1.0307612528829321E-2</v>
      </c>
    </row>
    <row r="4991" spans="1:7" x14ac:dyDescent="0.2">
      <c r="A4991" s="11">
        <v>42325</v>
      </c>
      <c r="B4991" s="10">
        <v>556.21119999999996</v>
      </c>
      <c r="C4991" s="10">
        <v>557.88440000000003</v>
      </c>
      <c r="D4991" s="10">
        <v>547.75319999999999</v>
      </c>
      <c r="E4991" s="13">
        <f t="shared" si="231"/>
        <v>1.5342974802251238E-2</v>
      </c>
      <c r="F4991" s="9">
        <f t="shared" si="232"/>
        <v>-5.7327910662456141E-3</v>
      </c>
      <c r="G4991" s="9">
        <f t="shared" si="233"/>
        <v>1.0078528778637625E-2</v>
      </c>
    </row>
    <row r="4992" spans="1:7" x14ac:dyDescent="0.2">
      <c r="A4992" s="11">
        <v>42326</v>
      </c>
      <c r="B4992" s="10">
        <v>561.63589999999999</v>
      </c>
      <c r="C4992" s="10">
        <v>562.67899999999997</v>
      </c>
      <c r="D4992" s="10">
        <v>553.68290000000002</v>
      </c>
      <c r="E4992" s="13">
        <f t="shared" si="231"/>
        <v>9.7056969313211103E-3</v>
      </c>
      <c r="F4992" s="9">
        <f t="shared" si="232"/>
        <v>1.8667888094650878E-2</v>
      </c>
      <c r="G4992" s="9">
        <f t="shared" si="233"/>
        <v>9.8407375046970242E-3</v>
      </c>
    </row>
    <row r="4993" spans="1:7" x14ac:dyDescent="0.2">
      <c r="A4993" s="11">
        <v>42327</v>
      </c>
      <c r="B4993" s="10">
        <v>562.03110000000004</v>
      </c>
      <c r="C4993" s="10">
        <v>567.85739999999998</v>
      </c>
      <c r="D4993" s="10">
        <v>561.41859999999997</v>
      </c>
      <c r="E4993" s="13">
        <f t="shared" si="231"/>
        <v>7.0341127094599592E-4</v>
      </c>
      <c r="F4993" s="9">
        <f t="shared" si="232"/>
        <v>1.2304788782629887E-2</v>
      </c>
      <c r="G4993" s="9">
        <f t="shared" si="233"/>
        <v>9.7630468824295696E-3</v>
      </c>
    </row>
    <row r="4994" spans="1:7" x14ac:dyDescent="0.2">
      <c r="A4994" s="11">
        <v>42328</v>
      </c>
      <c r="B4994" s="10">
        <v>559.47379999999998</v>
      </c>
      <c r="C4994" s="10">
        <v>563.01350000000002</v>
      </c>
      <c r="D4994" s="10">
        <v>558.67660000000001</v>
      </c>
      <c r="E4994" s="13">
        <f t="shared" si="231"/>
        <v>-4.5604873099263322E-3</v>
      </c>
      <c r="F4994" s="9">
        <f t="shared" si="232"/>
        <v>1.9150019729794576E-2</v>
      </c>
      <c r="G4994" s="9">
        <f t="shared" si="233"/>
        <v>9.5471785839518798E-3</v>
      </c>
    </row>
    <row r="4995" spans="1:7" x14ac:dyDescent="0.2">
      <c r="A4995" s="11">
        <v>42331</v>
      </c>
      <c r="B4995" s="10">
        <v>558.12099999999998</v>
      </c>
      <c r="C4995" s="10">
        <v>563.47379999999998</v>
      </c>
      <c r="D4995" s="10">
        <v>554.22550000000001</v>
      </c>
      <c r="E4995" s="13">
        <f t="shared" si="231"/>
        <v>-2.4209143791836057E-3</v>
      </c>
      <c r="F4995" s="9">
        <f t="shared" si="232"/>
        <v>2.2866563367246649E-2</v>
      </c>
      <c r="G4995" s="9">
        <f t="shared" si="233"/>
        <v>9.477358469076734E-3</v>
      </c>
    </row>
    <row r="4996" spans="1:7" x14ac:dyDescent="0.2">
      <c r="A4996" s="11">
        <v>42332</v>
      </c>
      <c r="B4996" s="10">
        <v>558.15549999999996</v>
      </c>
      <c r="C4996" s="10">
        <v>559.41210000000001</v>
      </c>
      <c r="D4996" s="10">
        <v>552.00869999999998</v>
      </c>
      <c r="E4996" s="13">
        <f t="shared" ref="E4996:E5059" si="234">LN(B4996/B4995)</f>
        <v>6.1812642317483392E-5</v>
      </c>
      <c r="F4996" s="9">
        <f t="shared" si="232"/>
        <v>2.5477343389962409E-2</v>
      </c>
      <c r="G4996" s="9">
        <f t="shared" si="233"/>
        <v>9.4569010961849317E-3</v>
      </c>
    </row>
    <row r="4997" spans="1:7" x14ac:dyDescent="0.2">
      <c r="A4997" s="11">
        <v>42333</v>
      </c>
      <c r="B4997" s="10">
        <v>558.12919999999997</v>
      </c>
      <c r="C4997" s="10">
        <v>561.02499999999998</v>
      </c>
      <c r="D4997" s="10">
        <v>555.59270000000004</v>
      </c>
      <c r="E4997" s="13">
        <f t="shared" si="234"/>
        <v>-4.7120595677551233E-5</v>
      </c>
      <c r="F4997" s="9">
        <f t="shared" si="232"/>
        <v>1.4086551914569392E-2</v>
      </c>
      <c r="G4997" s="9">
        <f t="shared" si="233"/>
        <v>9.2408002236678902E-3</v>
      </c>
    </row>
    <row r="4998" spans="1:7" x14ac:dyDescent="0.2">
      <c r="A4998" s="11">
        <v>42334</v>
      </c>
      <c r="B4998" s="10">
        <v>562.52859999999998</v>
      </c>
      <c r="C4998" s="10">
        <v>563.06700000000001</v>
      </c>
      <c r="D4998" s="10">
        <v>558.18730000000005</v>
      </c>
      <c r="E4998" s="13">
        <f t="shared" si="234"/>
        <v>7.8515004320666801E-3</v>
      </c>
      <c r="F4998" s="9">
        <f t="shared" si="232"/>
        <v>2.2147224424870972E-2</v>
      </c>
      <c r="G4998" s="9">
        <f t="shared" si="233"/>
        <v>9.3398490744502887E-3</v>
      </c>
    </row>
    <row r="4999" spans="1:7" x14ac:dyDescent="0.2">
      <c r="A4999" s="11">
        <v>42335</v>
      </c>
      <c r="B4999" s="10">
        <v>559.6146</v>
      </c>
      <c r="C4999" s="10">
        <v>562.64300000000003</v>
      </c>
      <c r="D4999" s="10">
        <v>557.84680000000003</v>
      </c>
      <c r="E4999" s="13">
        <f t="shared" si="234"/>
        <v>-5.1936447151666992E-3</v>
      </c>
      <c r="F4999" s="9">
        <f t="shared" si="232"/>
        <v>1.637124136958059E-2</v>
      </c>
      <c r="G4999" s="9">
        <f t="shared" si="233"/>
        <v>9.4052122352540207E-3</v>
      </c>
    </row>
    <row r="5000" spans="1:7" x14ac:dyDescent="0.2">
      <c r="A5000" s="11">
        <v>42338</v>
      </c>
      <c r="B5000" s="10">
        <v>561.84569999999997</v>
      </c>
      <c r="C5000" s="10">
        <v>563.05510000000004</v>
      </c>
      <c r="D5000" s="10">
        <v>557.37670000000003</v>
      </c>
      <c r="E5000" s="13">
        <f t="shared" si="234"/>
        <v>3.9789245210624918E-3</v>
      </c>
      <c r="F5000" s="9">
        <f t="shared" si="232"/>
        <v>2.2853989906892327E-2</v>
      </c>
      <c r="G5000" s="9">
        <f t="shared" si="233"/>
        <v>9.4067199745147718E-3</v>
      </c>
    </row>
    <row r="5001" spans="1:7" x14ac:dyDescent="0.2">
      <c r="A5001" s="11">
        <v>42339</v>
      </c>
      <c r="B5001" s="10">
        <v>565.95159999999998</v>
      </c>
      <c r="C5001" s="10">
        <v>566.8682</v>
      </c>
      <c r="D5001" s="10">
        <v>561.23990000000003</v>
      </c>
      <c r="E5001" s="13">
        <f t="shared" si="234"/>
        <v>7.2813051429203119E-3</v>
      </c>
      <c r="F5001" s="9">
        <f t="shared" si="232"/>
        <v>2.7994279780380021E-2</v>
      </c>
      <c r="G5001" s="9">
        <f t="shared" si="233"/>
        <v>9.4812581886107809E-3</v>
      </c>
    </row>
    <row r="5002" spans="1:7" x14ac:dyDescent="0.2">
      <c r="A5002" s="11">
        <v>42340</v>
      </c>
      <c r="B5002" s="10">
        <v>566.09939999999995</v>
      </c>
      <c r="C5002" s="10">
        <v>567.73850000000004</v>
      </c>
      <c r="D5002" s="10">
        <v>563.61090000000002</v>
      </c>
      <c r="E5002" s="13">
        <f t="shared" si="234"/>
        <v>2.6111897933878505E-4</v>
      </c>
      <c r="F5002" s="9">
        <f t="shared" si="232"/>
        <v>2.5427271965429224E-2</v>
      </c>
      <c r="G5002" s="9">
        <f t="shared" si="233"/>
        <v>9.4752267523534415E-3</v>
      </c>
    </row>
    <row r="5003" spans="1:7" x14ac:dyDescent="0.2">
      <c r="A5003" s="11">
        <v>42341</v>
      </c>
      <c r="B5003" s="10">
        <v>557.00379999999996</v>
      </c>
      <c r="C5003" s="10">
        <v>568.81640000000004</v>
      </c>
      <c r="D5003" s="10">
        <v>557.00379999999996</v>
      </c>
      <c r="E5003" s="13">
        <f t="shared" si="234"/>
        <v>-1.6197618992508711E-2</v>
      </c>
      <c r="F5003" s="9">
        <f t="shared" si="232"/>
        <v>-6.0257530336126222E-3</v>
      </c>
      <c r="G5003" s="9">
        <f t="shared" si="233"/>
        <v>9.5702588063821988E-3</v>
      </c>
    </row>
    <row r="5004" spans="1:7" x14ac:dyDescent="0.2">
      <c r="A5004" s="11">
        <v>42342</v>
      </c>
      <c r="B5004" s="10">
        <v>546.81079999999997</v>
      </c>
      <c r="C5004" s="10">
        <v>559.05200000000002</v>
      </c>
      <c r="D5004" s="10">
        <v>545.60889999999995</v>
      </c>
      <c r="E5004" s="13">
        <f t="shared" si="234"/>
        <v>-1.8469206231214917E-2</v>
      </c>
      <c r="F5004" s="9">
        <f t="shared" si="232"/>
        <v>-2.1696466479128512E-2</v>
      </c>
      <c r="G5004" s="9">
        <f t="shared" si="233"/>
        <v>1.0146807517635284E-2</v>
      </c>
    </row>
    <row r="5005" spans="1:7" x14ac:dyDescent="0.2">
      <c r="A5005" s="11">
        <v>42345</v>
      </c>
      <c r="B5005" s="10">
        <v>548.43709999999999</v>
      </c>
      <c r="C5005" s="10">
        <v>552.78830000000005</v>
      </c>
      <c r="D5005" s="10">
        <v>546.8279</v>
      </c>
      <c r="E5005" s="13">
        <f t="shared" si="234"/>
        <v>2.96974081437395E-3</v>
      </c>
      <c r="F5005" s="9">
        <f t="shared" si="232"/>
        <v>-4.095082468834825E-3</v>
      </c>
      <c r="G5005" s="9">
        <f t="shared" si="233"/>
        <v>9.8074390302516721E-3</v>
      </c>
    </row>
    <row r="5006" spans="1:7" x14ac:dyDescent="0.2">
      <c r="A5006" s="11">
        <v>42346</v>
      </c>
      <c r="B5006" s="10">
        <v>539.029</v>
      </c>
      <c r="C5006" s="10">
        <v>548.44669999999996</v>
      </c>
      <c r="D5006" s="10">
        <v>536.2405</v>
      </c>
      <c r="E5006" s="13">
        <f t="shared" si="234"/>
        <v>-1.7303223948123007E-2</v>
      </c>
      <c r="F5006" s="9">
        <f t="shared" si="232"/>
        <v>-3.3155766447943262E-2</v>
      </c>
      <c r="G5006" s="9">
        <f t="shared" si="233"/>
        <v>1.0030380607540555E-2</v>
      </c>
    </row>
    <row r="5007" spans="1:7" x14ac:dyDescent="0.2">
      <c r="A5007" s="11">
        <v>42347</v>
      </c>
      <c r="B5007" s="10">
        <v>543.46870000000001</v>
      </c>
      <c r="C5007" s="10">
        <v>543.99199999999996</v>
      </c>
      <c r="D5007" s="10">
        <v>533.11540000000002</v>
      </c>
      <c r="E5007" s="13">
        <f t="shared" si="234"/>
        <v>8.2027424053347665E-3</v>
      </c>
      <c r="F5007" s="9">
        <f t="shared" si="232"/>
        <v>-1.1441672149529096E-2</v>
      </c>
      <c r="G5007" s="9">
        <f t="shared" si="233"/>
        <v>9.8835364519484787E-3</v>
      </c>
    </row>
    <row r="5008" spans="1:7" x14ac:dyDescent="0.2">
      <c r="A5008" s="11">
        <v>42348</v>
      </c>
      <c r="B5008" s="10">
        <v>537.64380000000006</v>
      </c>
      <c r="C5008" s="10">
        <v>543.45600000000002</v>
      </c>
      <c r="D5008" s="10">
        <v>535.50239999999997</v>
      </c>
      <c r="E5008" s="13">
        <f t="shared" si="234"/>
        <v>-1.0775856102038281E-2</v>
      </c>
      <c r="F5008" s="9">
        <f t="shared" si="232"/>
        <v>-2.1107625781005786E-2</v>
      </c>
      <c r="G5008" s="9">
        <f t="shared" si="233"/>
        <v>1.0069753905135813E-2</v>
      </c>
    </row>
    <row r="5009" spans="1:7" x14ac:dyDescent="0.2">
      <c r="A5009" s="11">
        <v>42349</v>
      </c>
      <c r="B5009" s="10">
        <v>528.60299999999995</v>
      </c>
      <c r="C5009" s="10">
        <v>539.06010000000003</v>
      </c>
      <c r="D5009" s="10">
        <v>528.29600000000005</v>
      </c>
      <c r="E5009" s="13">
        <f t="shared" si="234"/>
        <v>-1.6958581581480624E-2</v>
      </c>
      <c r="F5009" s="9">
        <f t="shared" si="232"/>
        <v>-4.3403661503657917E-2</v>
      </c>
      <c r="G5009" s="9">
        <f t="shared" si="233"/>
        <v>1.0434669821038202E-2</v>
      </c>
    </row>
    <row r="5010" spans="1:7" x14ac:dyDescent="0.2">
      <c r="A5010" s="11">
        <v>42352</v>
      </c>
      <c r="B5010" s="10">
        <v>520.8143</v>
      </c>
      <c r="C5010" s="10">
        <v>531.91020000000003</v>
      </c>
      <c r="D5010" s="10">
        <v>519.90800000000002</v>
      </c>
      <c r="E5010" s="13">
        <f t="shared" si="234"/>
        <v>-1.4844129248284219E-2</v>
      </c>
      <c r="F5010" s="9">
        <f t="shared" si="232"/>
        <v>-7.0163620701476484E-2</v>
      </c>
      <c r="G5010" s="9">
        <f t="shared" si="233"/>
        <v>1.0389334332675047E-2</v>
      </c>
    </row>
    <row r="5011" spans="1:7" x14ac:dyDescent="0.2">
      <c r="A5011" s="11">
        <v>42353</v>
      </c>
      <c r="B5011" s="10">
        <v>536.55610000000001</v>
      </c>
      <c r="C5011" s="10">
        <v>537.00099999999998</v>
      </c>
      <c r="D5011" s="10">
        <v>520.85490000000004</v>
      </c>
      <c r="E5011" s="13">
        <f t="shared" si="234"/>
        <v>2.9777574964946176E-2</v>
      </c>
      <c r="F5011" s="9">
        <f t="shared" si="232"/>
        <v>-5.94582395084612E-2</v>
      </c>
      <c r="G5011" s="9">
        <f t="shared" si="233"/>
        <v>1.1328026156980005E-2</v>
      </c>
    </row>
    <row r="5012" spans="1:7" x14ac:dyDescent="0.2">
      <c r="A5012" s="11">
        <v>42354</v>
      </c>
      <c r="B5012" s="10">
        <v>539.09159999999997</v>
      </c>
      <c r="C5012" s="10">
        <v>540.40880000000004</v>
      </c>
      <c r="D5012" s="10">
        <v>531.03160000000003</v>
      </c>
      <c r="E5012" s="13">
        <f t="shared" si="234"/>
        <v>4.7143775718214743E-3</v>
      </c>
      <c r="F5012" s="9">
        <f t="shared" si="232"/>
        <v>-4.6307286705578592E-2</v>
      </c>
      <c r="G5012" s="9">
        <f t="shared" si="233"/>
        <v>1.1326468952182478E-2</v>
      </c>
    </row>
    <row r="5013" spans="1:7" x14ac:dyDescent="0.2">
      <c r="A5013" s="11">
        <v>42355</v>
      </c>
      <c r="B5013" s="10">
        <v>534.86950000000002</v>
      </c>
      <c r="C5013" s="10">
        <v>544.05100000000004</v>
      </c>
      <c r="D5013" s="10">
        <v>534.0652</v>
      </c>
      <c r="E5013" s="13">
        <f t="shared" si="234"/>
        <v>-7.8627089037030667E-3</v>
      </c>
      <c r="F5013" s="9">
        <f t="shared" si="232"/>
        <v>-5.0117110614807343E-2</v>
      </c>
      <c r="G5013" s="9">
        <f t="shared" si="233"/>
        <v>1.137795157796872E-2</v>
      </c>
    </row>
    <row r="5014" spans="1:7" x14ac:dyDescent="0.2">
      <c r="A5014" s="11">
        <v>42356</v>
      </c>
      <c r="B5014" s="10">
        <v>523.49040000000002</v>
      </c>
      <c r="C5014" s="10">
        <v>534.53689999999995</v>
      </c>
      <c r="D5014" s="10">
        <v>522.00419999999997</v>
      </c>
      <c r="E5014" s="13">
        <f t="shared" si="234"/>
        <v>-2.1504099874199309E-2</v>
      </c>
      <c r="F5014" s="9">
        <f t="shared" si="232"/>
        <v>-7.356718293784105E-2</v>
      </c>
      <c r="G5014" s="9">
        <f t="shared" si="233"/>
        <v>1.1927524312812765E-2</v>
      </c>
    </row>
    <row r="5015" spans="1:7" x14ac:dyDescent="0.2">
      <c r="A5015" s="11">
        <v>42359</v>
      </c>
      <c r="B5015" s="10">
        <v>523.19929999999999</v>
      </c>
      <c r="C5015" s="10">
        <v>526.99159999999995</v>
      </c>
      <c r="D5015" s="10">
        <v>517.09360000000004</v>
      </c>
      <c r="E5015" s="13">
        <f t="shared" si="234"/>
        <v>-5.5622981195928246E-4</v>
      </c>
      <c r="F5015" s="9">
        <f t="shared" si="232"/>
        <v>-6.6068935984388927E-2</v>
      </c>
      <c r="G5015" s="9">
        <f t="shared" si="233"/>
        <v>1.188483811799354E-2</v>
      </c>
    </row>
    <row r="5016" spans="1:7" x14ac:dyDescent="0.2">
      <c r="A5016" s="11">
        <v>42360</v>
      </c>
      <c r="B5016" s="10">
        <v>521.10180000000003</v>
      </c>
      <c r="C5016" s="10">
        <v>524.13220000000001</v>
      </c>
      <c r="D5016" s="10">
        <v>517.54790000000003</v>
      </c>
      <c r="E5016" s="13">
        <f t="shared" si="234"/>
        <v>-4.0170460809679839E-3</v>
      </c>
      <c r="F5016" s="9">
        <f t="shared" si="232"/>
        <v>-6.9411972378558368E-2</v>
      </c>
      <c r="G5016" s="9">
        <f t="shared" si="233"/>
        <v>1.1884935062287556E-2</v>
      </c>
    </row>
    <row r="5017" spans="1:7" x14ac:dyDescent="0.2">
      <c r="A5017" s="11">
        <v>42361</v>
      </c>
      <c r="B5017" s="10">
        <v>536.86239999999998</v>
      </c>
      <c r="C5017" s="10">
        <v>537.2355</v>
      </c>
      <c r="D5017" s="10">
        <v>521.30050000000006</v>
      </c>
      <c r="E5017" s="13">
        <f t="shared" si="234"/>
        <v>2.9796407172303724E-2</v>
      </c>
      <c r="F5017" s="9">
        <f t="shared" si="232"/>
        <v>-1.772258250101803E-2</v>
      </c>
      <c r="G5017" s="9">
        <f t="shared" si="233"/>
        <v>1.2703877737715632E-2</v>
      </c>
    </row>
    <row r="5018" spans="1:7" x14ac:dyDescent="0.2">
      <c r="A5018" s="11">
        <v>42366</v>
      </c>
      <c r="B5018" s="10">
        <v>533.00450000000001</v>
      </c>
      <c r="C5018" s="10">
        <v>540.34879999999998</v>
      </c>
      <c r="D5018" s="10">
        <v>532.03340000000003</v>
      </c>
      <c r="E5018" s="13">
        <f t="shared" si="234"/>
        <v>-7.2119564060003638E-3</v>
      </c>
      <c r="F5018" s="9">
        <f t="shared" si="232"/>
        <v>-2.0097637018826192E-2</v>
      </c>
      <c r="G5018" s="9">
        <f t="shared" si="233"/>
        <v>1.2739698284661675E-2</v>
      </c>
    </row>
    <row r="5019" spans="1:7" x14ac:dyDescent="0.2">
      <c r="A5019" s="11">
        <v>42367</v>
      </c>
      <c r="B5019" s="10">
        <v>539.11400000000003</v>
      </c>
      <c r="C5019" s="10">
        <v>539.81380000000001</v>
      </c>
      <c r="D5019" s="10">
        <v>532.2473</v>
      </c>
      <c r="E5019" s="13">
        <f t="shared" si="234"/>
        <v>1.1397184421428237E-2</v>
      </c>
      <c r="F5019" s="9">
        <f t="shared" si="232"/>
        <v>-1.5878052108001257E-2</v>
      </c>
      <c r="G5019" s="9">
        <f t="shared" si="233"/>
        <v>1.2856363061677548E-2</v>
      </c>
    </row>
    <row r="5020" spans="1:7" x14ac:dyDescent="0.2">
      <c r="A5020" s="11">
        <v>42368</v>
      </c>
      <c r="B5020" s="10">
        <v>538.97680000000003</v>
      </c>
      <c r="C5020" s="10">
        <v>540.57060000000001</v>
      </c>
      <c r="D5020" s="10">
        <v>536.96310000000005</v>
      </c>
      <c r="E5020" s="13">
        <f t="shared" si="234"/>
        <v>-2.5452401734747372E-4</v>
      </c>
      <c r="F5020" s="9">
        <f t="shared" si="232"/>
        <v>-3.1475550927600127E-2</v>
      </c>
      <c r="G5020" s="9">
        <f t="shared" si="233"/>
        <v>1.2488850757808442E-2</v>
      </c>
    </row>
    <row r="5021" spans="1:7" x14ac:dyDescent="0.2">
      <c r="A5021" s="11">
        <v>42373</v>
      </c>
      <c r="B5021" s="10">
        <v>530.60400000000004</v>
      </c>
      <c r="C5021" s="10">
        <v>538.87130000000002</v>
      </c>
      <c r="D5021" s="10">
        <v>525.98689999999999</v>
      </c>
      <c r="E5021" s="13">
        <f t="shared" si="234"/>
        <v>-1.5656547000289737E-2</v>
      </c>
      <c r="F5021" s="9">
        <f t="shared" si="232"/>
        <v>-5.683779485921097E-2</v>
      </c>
      <c r="G5021" s="9">
        <f t="shared" si="233"/>
        <v>1.2593777645000748E-2</v>
      </c>
    </row>
    <row r="5022" spans="1:7" x14ac:dyDescent="0.2">
      <c r="A5022" s="11">
        <v>42374</v>
      </c>
      <c r="B5022" s="10">
        <v>520.27470000000005</v>
      </c>
      <c r="C5022" s="10">
        <v>533.81470000000002</v>
      </c>
      <c r="D5022" s="10">
        <v>520.27269999999999</v>
      </c>
      <c r="E5022" s="13">
        <f t="shared" si="234"/>
        <v>-1.9659038989557013E-2</v>
      </c>
      <c r="F5022" s="9">
        <f t="shared" si="232"/>
        <v>-7.7200245119714087E-2</v>
      </c>
      <c r="G5022" s="9">
        <f t="shared" si="233"/>
        <v>1.300104163932592E-2</v>
      </c>
    </row>
    <row r="5023" spans="1:7" x14ac:dyDescent="0.2">
      <c r="A5023" s="11">
        <v>42375</v>
      </c>
      <c r="B5023" s="10">
        <v>513.34960000000001</v>
      </c>
      <c r="C5023" s="10">
        <v>521.73590000000002</v>
      </c>
      <c r="D5023" s="10">
        <v>510.59230000000002</v>
      </c>
      <c r="E5023" s="13">
        <f t="shared" si="234"/>
        <v>-1.339984677198432E-2</v>
      </c>
      <c r="F5023" s="9">
        <f t="shared" si="232"/>
        <v>-8.6039604581772094E-2</v>
      </c>
      <c r="G5023" s="9">
        <f t="shared" si="233"/>
        <v>1.3149904656123214E-2</v>
      </c>
    </row>
    <row r="5024" spans="1:7" x14ac:dyDescent="0.2">
      <c r="A5024" s="11">
        <v>42376</v>
      </c>
      <c r="B5024" s="10">
        <v>498.56110000000001</v>
      </c>
      <c r="C5024" s="10">
        <v>513.03650000000005</v>
      </c>
      <c r="D5024" s="10">
        <v>489.27890000000002</v>
      </c>
      <c r="E5024" s="13">
        <f t="shared" si="234"/>
        <v>-2.9230944954994335E-2</v>
      </c>
      <c r="F5024" s="9">
        <f t="shared" ref="F5024:F5087" si="235">LN(B5024/B4995)</f>
        <v>-0.11284963515758276</v>
      </c>
      <c r="G5024" s="9">
        <f t="shared" si="233"/>
        <v>1.4023548082273568E-2</v>
      </c>
    </row>
    <row r="5025" spans="1:7" x14ac:dyDescent="0.2">
      <c r="A5025" s="11">
        <v>42377</v>
      </c>
      <c r="B5025" s="10">
        <v>496.71010000000001</v>
      </c>
      <c r="C5025" s="10">
        <v>506.06009999999998</v>
      </c>
      <c r="D5025" s="10">
        <v>496.15089999999998</v>
      </c>
      <c r="E5025" s="13">
        <f t="shared" si="234"/>
        <v>-3.7195934818695085E-3</v>
      </c>
      <c r="F5025" s="9">
        <f t="shared" si="235"/>
        <v>-0.11663104128176982</v>
      </c>
      <c r="G5025" s="9">
        <f t="shared" ref="G5025:G5088" si="236">STDEV(E4997:E5025)</f>
        <v>1.4003043077013262E-2</v>
      </c>
    </row>
    <row r="5026" spans="1:7" x14ac:dyDescent="0.2">
      <c r="A5026" s="11">
        <v>42380</v>
      </c>
      <c r="B5026" s="10">
        <v>488.08679999999998</v>
      </c>
      <c r="C5026" s="10">
        <v>496.63889999999998</v>
      </c>
      <c r="D5026" s="10">
        <v>486.83100000000002</v>
      </c>
      <c r="E5026" s="13">
        <f t="shared" si="234"/>
        <v>-1.7513297223508389E-2</v>
      </c>
      <c r="F5026" s="9">
        <f t="shared" si="235"/>
        <v>-0.13409721790960061</v>
      </c>
      <c r="G5026" s="9">
        <f t="shared" si="236"/>
        <v>1.4200214140006216E-2</v>
      </c>
    </row>
    <row r="5027" spans="1:7" x14ac:dyDescent="0.2">
      <c r="A5027" s="11">
        <v>42381</v>
      </c>
      <c r="B5027" s="10">
        <v>486.2183</v>
      </c>
      <c r="C5027" s="10">
        <v>493.0016</v>
      </c>
      <c r="D5027" s="10">
        <v>478.06259999999997</v>
      </c>
      <c r="E5027" s="13">
        <f t="shared" si="234"/>
        <v>-3.8355588833608985E-3</v>
      </c>
      <c r="F5027" s="9">
        <f t="shared" si="235"/>
        <v>-0.14578427722502832</v>
      </c>
      <c r="G5027" s="9">
        <f t="shared" si="236"/>
        <v>1.3997911736261063E-2</v>
      </c>
    </row>
    <row r="5028" spans="1:7" x14ac:dyDescent="0.2">
      <c r="A5028" s="11">
        <v>42382</v>
      </c>
      <c r="B5028" s="10">
        <v>489.3211</v>
      </c>
      <c r="C5028" s="10">
        <v>495.762</v>
      </c>
      <c r="D5028" s="10">
        <v>486.2987</v>
      </c>
      <c r="E5028" s="13">
        <f t="shared" si="234"/>
        <v>6.3612201883895885E-3</v>
      </c>
      <c r="F5028" s="9">
        <f t="shared" si="235"/>
        <v>-0.13422941232147201</v>
      </c>
      <c r="G5028" s="9">
        <f t="shared" si="236"/>
        <v>1.4156552959627278E-2</v>
      </c>
    </row>
    <row r="5029" spans="1:7" x14ac:dyDescent="0.2">
      <c r="A5029" s="11">
        <v>42383</v>
      </c>
      <c r="B5029" s="10">
        <v>478.46530000000001</v>
      </c>
      <c r="C5029" s="10">
        <v>489.2749</v>
      </c>
      <c r="D5029" s="10">
        <v>471.642</v>
      </c>
      <c r="E5029" s="13">
        <f t="shared" si="234"/>
        <v>-2.2435230216726471E-2</v>
      </c>
      <c r="F5029" s="9">
        <f t="shared" si="235"/>
        <v>-0.160643567059261</v>
      </c>
      <c r="G5029" s="9">
        <f t="shared" si="236"/>
        <v>1.4430067152442059E-2</v>
      </c>
    </row>
    <row r="5030" spans="1:7" x14ac:dyDescent="0.2">
      <c r="A5030" s="11">
        <v>42384</v>
      </c>
      <c r="B5030" s="10">
        <v>471.9699</v>
      </c>
      <c r="C5030" s="10">
        <v>481.08109999999999</v>
      </c>
      <c r="D5030" s="10">
        <v>464.63589999999999</v>
      </c>
      <c r="E5030" s="13">
        <f t="shared" si="234"/>
        <v>-1.3668477611473443E-2</v>
      </c>
      <c r="F5030" s="9">
        <f t="shared" si="235"/>
        <v>-0.18159334981365471</v>
      </c>
      <c r="G5030" s="9">
        <f t="shared" si="236"/>
        <v>1.4289015804880123E-2</v>
      </c>
    </row>
    <row r="5031" spans="1:7" x14ac:dyDescent="0.2">
      <c r="A5031" s="11">
        <v>42387</v>
      </c>
      <c r="B5031" s="10">
        <v>466.45940000000002</v>
      </c>
      <c r="C5031" s="10">
        <v>474.53129999999999</v>
      </c>
      <c r="D5031" s="10">
        <v>465.26760000000002</v>
      </c>
      <c r="E5031" s="13">
        <f t="shared" si="234"/>
        <v>-1.1744226948201483E-2</v>
      </c>
      <c r="F5031" s="9">
        <f t="shared" si="235"/>
        <v>-0.19359869574119501</v>
      </c>
      <c r="G5031" s="9">
        <f t="shared" si="236"/>
        <v>1.4267176206761578E-2</v>
      </c>
    </row>
    <row r="5032" spans="1:7" x14ac:dyDescent="0.2">
      <c r="A5032" s="11">
        <v>42388</v>
      </c>
      <c r="B5032" s="10">
        <v>480.20030000000003</v>
      </c>
      <c r="C5032" s="10">
        <v>481.91</v>
      </c>
      <c r="D5032" s="10">
        <v>466.572</v>
      </c>
      <c r="E5032" s="13">
        <f t="shared" si="234"/>
        <v>2.9032323109204856E-2</v>
      </c>
      <c r="F5032" s="9">
        <f t="shared" si="235"/>
        <v>-0.14836875363948135</v>
      </c>
      <c r="G5032" s="9">
        <f t="shared" si="236"/>
        <v>1.559913964682595E-2</v>
      </c>
    </row>
    <row r="5033" spans="1:7" x14ac:dyDescent="0.2">
      <c r="A5033" s="11">
        <v>42389</v>
      </c>
      <c r="B5033" s="10">
        <v>456.92469999999997</v>
      </c>
      <c r="C5033" s="10">
        <v>480.20389999999998</v>
      </c>
      <c r="D5033" s="10">
        <v>456.82159999999999</v>
      </c>
      <c r="E5033" s="13">
        <f t="shared" si="234"/>
        <v>-4.9684701449252529E-2</v>
      </c>
      <c r="F5033" s="9">
        <f t="shared" si="235"/>
        <v>-0.17958424885751911</v>
      </c>
      <c r="G5033" s="9">
        <f t="shared" si="236"/>
        <v>1.7513034909283302E-2</v>
      </c>
    </row>
    <row r="5034" spans="1:7" x14ac:dyDescent="0.2">
      <c r="A5034" s="11">
        <v>42390</v>
      </c>
      <c r="B5034" s="10">
        <v>467.7996</v>
      </c>
      <c r="C5034" s="10">
        <v>470.47050000000002</v>
      </c>
      <c r="D5034" s="10">
        <v>455.9753</v>
      </c>
      <c r="E5034" s="13">
        <f t="shared" si="234"/>
        <v>2.3521392006048355E-2</v>
      </c>
      <c r="F5034" s="9">
        <f t="shared" si="235"/>
        <v>-0.15903259766584454</v>
      </c>
      <c r="G5034" s="9">
        <f t="shared" si="236"/>
        <v>1.8295379660001828E-2</v>
      </c>
    </row>
    <row r="5035" spans="1:7" x14ac:dyDescent="0.2">
      <c r="A5035" s="11">
        <v>42391</v>
      </c>
      <c r="B5035" s="10">
        <v>488.88529999999997</v>
      </c>
      <c r="C5035" s="10">
        <v>488.88529999999997</v>
      </c>
      <c r="D5035" s="10">
        <v>468.2054</v>
      </c>
      <c r="E5035" s="13">
        <f t="shared" si="234"/>
        <v>4.408790255065221E-2</v>
      </c>
      <c r="F5035" s="9">
        <f t="shared" si="235"/>
        <v>-9.7641471167069421E-2</v>
      </c>
      <c r="G5035" s="9">
        <f t="shared" si="236"/>
        <v>2.0318789410733371E-2</v>
      </c>
    </row>
    <row r="5036" spans="1:7" x14ac:dyDescent="0.2">
      <c r="A5036" s="11">
        <v>42394</v>
      </c>
      <c r="B5036" s="10">
        <v>483.7482</v>
      </c>
      <c r="C5036" s="10">
        <v>491.20499999999998</v>
      </c>
      <c r="D5036" s="10">
        <v>480.38069999999999</v>
      </c>
      <c r="E5036" s="13">
        <f t="shared" si="234"/>
        <v>-1.0563378227261203E-2</v>
      </c>
      <c r="F5036" s="9">
        <f t="shared" si="235"/>
        <v>-0.11640759179966551</v>
      </c>
      <c r="G5036" s="9">
        <f t="shared" si="236"/>
        <v>2.0235821214905116E-2</v>
      </c>
    </row>
    <row r="5037" spans="1:7" x14ac:dyDescent="0.2">
      <c r="A5037" s="11">
        <v>42395</v>
      </c>
      <c r="B5037" s="10">
        <v>488.80180000000001</v>
      </c>
      <c r="C5037" s="10">
        <v>488.80470000000003</v>
      </c>
      <c r="D5037" s="10">
        <v>471.90600000000001</v>
      </c>
      <c r="E5037" s="13">
        <f t="shared" si="234"/>
        <v>1.0392566931494054E-2</v>
      </c>
      <c r="F5037" s="9">
        <f t="shared" si="235"/>
        <v>-9.5239168766133211E-2</v>
      </c>
      <c r="G5037" s="9">
        <f t="shared" si="236"/>
        <v>2.036458224968005E-2</v>
      </c>
    </row>
    <row r="5038" spans="1:7" x14ac:dyDescent="0.2">
      <c r="A5038" s="11">
        <v>42396</v>
      </c>
      <c r="B5038" s="10">
        <v>485.47250000000003</v>
      </c>
      <c r="C5038" s="10">
        <v>489.27929999999998</v>
      </c>
      <c r="D5038" s="10">
        <v>480.70429999999999</v>
      </c>
      <c r="E5038" s="13">
        <f t="shared" si="234"/>
        <v>-6.8344468476626234E-3</v>
      </c>
      <c r="F5038" s="9">
        <f t="shared" si="235"/>
        <v>-8.5115034032315254E-2</v>
      </c>
      <c r="G5038" s="9">
        <f t="shared" si="236"/>
        <v>2.0207966226397141E-2</v>
      </c>
    </row>
    <row r="5039" spans="1:7" x14ac:dyDescent="0.2">
      <c r="A5039" s="11">
        <v>42397</v>
      </c>
      <c r="B5039" s="10">
        <v>492.99299999999999</v>
      </c>
      <c r="C5039" s="10">
        <v>499.66210000000001</v>
      </c>
      <c r="D5039" s="10">
        <v>485.34379999999999</v>
      </c>
      <c r="E5039" s="13">
        <f t="shared" si="234"/>
        <v>1.5372331668257376E-2</v>
      </c>
      <c r="F5039" s="9">
        <f t="shared" si="235"/>
        <v>-5.4898573115773668E-2</v>
      </c>
      <c r="G5039" s="9">
        <f t="shared" si="236"/>
        <v>2.0350482907440716E-2</v>
      </c>
    </row>
    <row r="5040" spans="1:7" x14ac:dyDescent="0.2">
      <c r="A5040" s="11">
        <v>42398</v>
      </c>
      <c r="B5040" s="10">
        <v>500.3818</v>
      </c>
      <c r="C5040" s="10">
        <v>500.47980000000001</v>
      </c>
      <c r="D5040" s="10">
        <v>491.16379999999998</v>
      </c>
      <c r="E5040" s="13">
        <f t="shared" si="234"/>
        <v>1.4876431869116353E-2</v>
      </c>
      <c r="F5040" s="9">
        <f t="shared" si="235"/>
        <v>-6.9799716211603358E-2</v>
      </c>
      <c r="G5040" s="9">
        <f t="shared" si="236"/>
        <v>1.9699991430291514E-2</v>
      </c>
    </row>
    <row r="5041" spans="1:7" x14ac:dyDescent="0.2">
      <c r="A5041" s="11">
        <v>42401</v>
      </c>
      <c r="B5041" s="10">
        <v>494.68169999999998</v>
      </c>
      <c r="C5041" s="10">
        <v>501.15789999999998</v>
      </c>
      <c r="D5041" s="10">
        <v>492.05419999999998</v>
      </c>
      <c r="E5041" s="13">
        <f t="shared" si="234"/>
        <v>-1.1456881595037886E-2</v>
      </c>
      <c r="F5041" s="9">
        <f t="shared" si="235"/>
        <v>-8.597097537846278E-2</v>
      </c>
      <c r="G5041" s="9">
        <f t="shared" si="236"/>
        <v>1.9720079481629956E-2</v>
      </c>
    </row>
    <row r="5042" spans="1:7" x14ac:dyDescent="0.2">
      <c r="A5042" s="11">
        <v>42402</v>
      </c>
      <c r="B5042" s="10">
        <v>480.45249999999999</v>
      </c>
      <c r="C5042" s="10">
        <v>493.87630000000001</v>
      </c>
      <c r="D5042" s="10">
        <v>480.28250000000003</v>
      </c>
      <c r="E5042" s="13">
        <f t="shared" si="234"/>
        <v>-2.9186157268170393E-2</v>
      </c>
      <c r="F5042" s="9">
        <f t="shared" si="235"/>
        <v>-0.10729442374293018</v>
      </c>
      <c r="G5042" s="9">
        <f t="shared" si="236"/>
        <v>2.0298298826604087E-2</v>
      </c>
    </row>
    <row r="5043" spans="1:7" x14ac:dyDescent="0.2">
      <c r="A5043" s="11">
        <v>42403</v>
      </c>
      <c r="B5043" s="10">
        <v>481.89370000000002</v>
      </c>
      <c r="C5043" s="10">
        <v>490.66719999999998</v>
      </c>
      <c r="D5043" s="10">
        <v>479.9375</v>
      </c>
      <c r="E5043" s="13">
        <f t="shared" si="234"/>
        <v>2.9951821442862959E-3</v>
      </c>
      <c r="F5043" s="9">
        <f t="shared" si="235"/>
        <v>-8.2795141724444396E-2</v>
      </c>
      <c r="G5043" s="9">
        <f t="shared" si="236"/>
        <v>2.0038996975821764E-2</v>
      </c>
    </row>
    <row r="5044" spans="1:7" x14ac:dyDescent="0.2">
      <c r="A5044" s="11">
        <v>42404</v>
      </c>
      <c r="B5044" s="10">
        <v>494.94260000000003</v>
      </c>
      <c r="C5044" s="10">
        <v>496.04309999999998</v>
      </c>
      <c r="D5044" s="10">
        <v>481.96379999999999</v>
      </c>
      <c r="E5044" s="13">
        <f t="shared" si="234"/>
        <v>2.6718245939777625E-2</v>
      </c>
      <c r="F5044" s="9">
        <f t="shared" si="235"/>
        <v>-5.5520665972707592E-2</v>
      </c>
      <c r="G5044" s="9">
        <f t="shared" si="236"/>
        <v>2.077718560816972E-2</v>
      </c>
    </row>
    <row r="5045" spans="1:7" x14ac:dyDescent="0.2">
      <c r="A5045" s="11">
        <v>42405</v>
      </c>
      <c r="B5045" s="10">
        <v>503.1456</v>
      </c>
      <c r="C5045" s="10">
        <v>506.15179999999998</v>
      </c>
      <c r="D5045" s="10">
        <v>492.51100000000002</v>
      </c>
      <c r="E5045" s="13">
        <f t="shared" si="234"/>
        <v>1.6437795185122839E-2</v>
      </c>
      <c r="F5045" s="9">
        <f t="shared" si="235"/>
        <v>-3.5065824706616705E-2</v>
      </c>
      <c r="G5045" s="9">
        <f t="shared" si="236"/>
        <v>2.1048684246667951E-2</v>
      </c>
    </row>
    <row r="5046" spans="1:7" x14ac:dyDescent="0.2">
      <c r="A5046" s="11">
        <v>42408</v>
      </c>
      <c r="B5046" s="10">
        <v>481.58429999999998</v>
      </c>
      <c r="C5046" s="10">
        <v>505.5317</v>
      </c>
      <c r="D5046" s="10">
        <v>481.57400000000001</v>
      </c>
      <c r="E5046" s="13">
        <f t="shared" si="234"/>
        <v>-4.3798297638563438E-2</v>
      </c>
      <c r="F5046" s="9">
        <f t="shared" si="235"/>
        <v>-0.10866052951748394</v>
      </c>
      <c r="G5046" s="9">
        <f t="shared" si="236"/>
        <v>2.1606086033001747E-2</v>
      </c>
    </row>
    <row r="5047" spans="1:7" x14ac:dyDescent="0.2">
      <c r="A5047" s="11">
        <v>42409</v>
      </c>
      <c r="B5047" s="10">
        <v>477.24</v>
      </c>
      <c r="C5047" s="10">
        <v>486.96719999999999</v>
      </c>
      <c r="D5047" s="10">
        <v>474.26299999999998</v>
      </c>
      <c r="E5047" s="13">
        <f t="shared" si="234"/>
        <v>-9.0617847878568056E-3</v>
      </c>
      <c r="F5047" s="9">
        <f t="shared" si="235"/>
        <v>-0.1105103578993404</v>
      </c>
      <c r="G5047" s="9">
        <f t="shared" si="236"/>
        <v>2.1619407647580191E-2</v>
      </c>
    </row>
    <row r="5048" spans="1:7" x14ac:dyDescent="0.2">
      <c r="A5048" s="11">
        <v>42410</v>
      </c>
      <c r="B5048" s="10">
        <v>474.98689999999999</v>
      </c>
      <c r="C5048" s="10">
        <v>479.6558</v>
      </c>
      <c r="D5048" s="10">
        <v>471.82100000000003</v>
      </c>
      <c r="E5048" s="13">
        <f t="shared" si="234"/>
        <v>-4.7322843006329315E-3</v>
      </c>
      <c r="F5048" s="9">
        <f t="shared" si="235"/>
        <v>-0.12663982662140164</v>
      </c>
      <c r="G5048" s="9">
        <f t="shared" si="236"/>
        <v>2.1420754718008649E-2</v>
      </c>
    </row>
    <row r="5049" spans="1:7" x14ac:dyDescent="0.2">
      <c r="A5049" s="11">
        <v>42411</v>
      </c>
      <c r="B5049" s="10">
        <v>459.83960000000002</v>
      </c>
      <c r="C5049" s="10">
        <v>474.94150000000002</v>
      </c>
      <c r="D5049" s="10">
        <v>458.53269999999998</v>
      </c>
      <c r="E5049" s="13">
        <f t="shared" si="234"/>
        <v>-3.24094916844649E-2</v>
      </c>
      <c r="F5049" s="9">
        <f t="shared" si="235"/>
        <v>-0.15879479428851895</v>
      </c>
      <c r="G5049" s="9">
        <f t="shared" si="236"/>
        <v>2.2024002541993794E-2</v>
      </c>
    </row>
    <row r="5050" spans="1:7" x14ac:dyDescent="0.2">
      <c r="A5050" s="11">
        <v>42412</v>
      </c>
      <c r="B5050" s="10">
        <v>466.5752</v>
      </c>
      <c r="C5050" s="10">
        <v>468.83710000000002</v>
      </c>
      <c r="D5050" s="10">
        <v>459.94580000000002</v>
      </c>
      <c r="E5050" s="13">
        <f t="shared" si="234"/>
        <v>1.454147470222829E-2</v>
      </c>
      <c r="F5050" s="9">
        <f t="shared" si="235"/>
        <v>-0.12859677258600094</v>
      </c>
      <c r="G5050" s="9">
        <f t="shared" si="236"/>
        <v>2.223830215157431E-2</v>
      </c>
    </row>
    <row r="5051" spans="1:7" x14ac:dyDescent="0.2">
      <c r="A5051" s="11">
        <v>42415</v>
      </c>
      <c r="B5051" s="10">
        <v>483.1739</v>
      </c>
      <c r="C5051" s="10">
        <v>483.88650000000001</v>
      </c>
      <c r="D5051" s="10">
        <v>466.92790000000002</v>
      </c>
      <c r="E5051" s="13">
        <f t="shared" si="234"/>
        <v>3.4957422536355628E-2</v>
      </c>
      <c r="F5051" s="9">
        <f t="shared" si="235"/>
        <v>-7.3980311060088288E-2</v>
      </c>
      <c r="G5051" s="9">
        <f t="shared" si="236"/>
        <v>2.3195012264009076E-2</v>
      </c>
    </row>
    <row r="5052" spans="1:7" x14ac:dyDescent="0.2">
      <c r="A5052" s="11">
        <v>42416</v>
      </c>
      <c r="B5052" s="10">
        <v>475.7559</v>
      </c>
      <c r="C5052" s="10">
        <v>491.19490000000002</v>
      </c>
      <c r="D5052" s="10">
        <v>475.71440000000001</v>
      </c>
      <c r="E5052" s="13">
        <f t="shared" si="234"/>
        <v>-1.5471722690363439E-2</v>
      </c>
      <c r="F5052" s="9">
        <f t="shared" si="235"/>
        <v>-7.6052186978467301E-2</v>
      </c>
      <c r="G5052" s="9">
        <f t="shared" si="236"/>
        <v>2.323278165660549E-2</v>
      </c>
    </row>
    <row r="5053" spans="1:7" x14ac:dyDescent="0.2">
      <c r="A5053" s="11">
        <v>42417</v>
      </c>
      <c r="B5053" s="10">
        <v>496.83550000000002</v>
      </c>
      <c r="C5053" s="10">
        <v>496.83550000000002</v>
      </c>
      <c r="D5053" s="10">
        <v>475.60829999999999</v>
      </c>
      <c r="E5053" s="13">
        <f t="shared" si="234"/>
        <v>4.3354077822485799E-2</v>
      </c>
      <c r="F5053" s="9">
        <f t="shared" si="235"/>
        <v>-3.4671642009871744E-3</v>
      </c>
      <c r="G5053" s="9">
        <f t="shared" si="236"/>
        <v>2.4155374626231348E-2</v>
      </c>
    </row>
    <row r="5054" spans="1:7" x14ac:dyDescent="0.2">
      <c r="A5054" s="11">
        <v>42418</v>
      </c>
      <c r="B5054" s="10">
        <v>500.57029999999997</v>
      </c>
      <c r="C5054" s="10">
        <v>505.78789999999998</v>
      </c>
      <c r="D5054" s="10">
        <v>496.26979999999998</v>
      </c>
      <c r="E5054" s="13">
        <f t="shared" si="234"/>
        <v>7.4890630390091681E-3</v>
      </c>
      <c r="F5054" s="9">
        <f t="shared" si="235"/>
        <v>7.7414923198913651E-3</v>
      </c>
      <c r="G5054" s="9">
        <f t="shared" si="236"/>
        <v>2.4185369021657126E-2</v>
      </c>
    </row>
    <row r="5055" spans="1:7" x14ac:dyDescent="0.2">
      <c r="A5055" s="11">
        <v>42419</v>
      </c>
      <c r="B5055" s="10">
        <v>492.17380000000003</v>
      </c>
      <c r="C5055" s="10">
        <v>500.53280000000001</v>
      </c>
      <c r="D5055" s="10">
        <v>491.6019</v>
      </c>
      <c r="E5055" s="13">
        <f t="shared" si="234"/>
        <v>-1.6916142286197967E-2</v>
      </c>
      <c r="F5055" s="9">
        <f t="shared" si="235"/>
        <v>8.3386472572018182E-3</v>
      </c>
      <c r="G5055" s="9">
        <f t="shared" si="236"/>
        <v>2.4169939466796776E-2</v>
      </c>
    </row>
    <row r="5056" spans="1:7" x14ac:dyDescent="0.2">
      <c r="A5056" s="11">
        <v>42422</v>
      </c>
      <c r="B5056" s="10">
        <v>506.16489999999999</v>
      </c>
      <c r="C5056" s="10">
        <v>506.16489999999999</v>
      </c>
      <c r="D5056" s="10">
        <v>492.42079999999999</v>
      </c>
      <c r="E5056" s="13">
        <f t="shared" si="234"/>
        <v>2.803059937911655E-2</v>
      </c>
      <c r="F5056" s="9">
        <f t="shared" si="235"/>
        <v>4.0204805519679428E-2</v>
      </c>
      <c r="G5056" s="9">
        <f t="shared" si="236"/>
        <v>2.4694468081252325E-2</v>
      </c>
    </row>
    <row r="5057" spans="1:7" x14ac:dyDescent="0.2">
      <c r="A5057" s="11">
        <v>42423</v>
      </c>
      <c r="B5057" s="10">
        <v>502.529</v>
      </c>
      <c r="C5057" s="10">
        <v>507.33249999999998</v>
      </c>
      <c r="D5057" s="10">
        <v>500.798</v>
      </c>
      <c r="E5057" s="13">
        <f t="shared" si="234"/>
        <v>-7.2091558143601046E-3</v>
      </c>
      <c r="F5057" s="9">
        <f t="shared" si="235"/>
        <v>2.6634429516929688E-2</v>
      </c>
      <c r="G5057" s="9">
        <f t="shared" si="236"/>
        <v>2.4725386701529326E-2</v>
      </c>
    </row>
    <row r="5058" spans="1:7" x14ac:dyDescent="0.2">
      <c r="A5058" s="11">
        <v>42424</v>
      </c>
      <c r="B5058" s="10">
        <v>486.16210000000001</v>
      </c>
      <c r="C5058" s="10">
        <v>502.42880000000002</v>
      </c>
      <c r="D5058" s="10">
        <v>486.11840000000001</v>
      </c>
      <c r="E5058" s="13">
        <f t="shared" si="234"/>
        <v>-3.3111242327430006E-2</v>
      </c>
      <c r="F5058" s="9">
        <f t="shared" si="235"/>
        <v>1.5958417406226034E-2</v>
      </c>
      <c r="G5058" s="9">
        <f t="shared" si="236"/>
        <v>2.5161157568365476E-2</v>
      </c>
    </row>
    <row r="5059" spans="1:7" x14ac:dyDescent="0.2">
      <c r="A5059" s="11">
        <v>42425</v>
      </c>
      <c r="B5059" s="10">
        <v>497.60539999999997</v>
      </c>
      <c r="C5059" s="10">
        <v>499.50760000000002</v>
      </c>
      <c r="D5059" s="10">
        <v>486.1943</v>
      </c>
      <c r="E5059" s="13">
        <f t="shared" si="234"/>
        <v>2.3265286072772753E-2</v>
      </c>
      <c r="F5059" s="9">
        <f t="shared" si="235"/>
        <v>5.2892181090472244E-2</v>
      </c>
      <c r="G5059" s="9">
        <f t="shared" si="236"/>
        <v>2.5349772786629622E-2</v>
      </c>
    </row>
    <row r="5060" spans="1:7" x14ac:dyDescent="0.2">
      <c r="A5060" s="11">
        <v>42426</v>
      </c>
      <c r="B5060" s="10">
        <v>507.21300000000002</v>
      </c>
      <c r="C5060" s="10">
        <v>509.2088</v>
      </c>
      <c r="D5060" s="10">
        <v>498.01060000000001</v>
      </c>
      <c r="E5060" s="13">
        <f t="shared" ref="E5060:E5123" si="237">LN(B5060/B5059)</f>
        <v>1.9123640253258207E-2</v>
      </c>
      <c r="F5060" s="9">
        <f t="shared" si="235"/>
        <v>8.3760048291931663E-2</v>
      </c>
      <c r="G5060" s="9">
        <f t="shared" si="236"/>
        <v>2.5407704334388163E-2</v>
      </c>
    </row>
    <row r="5061" spans="1:7" x14ac:dyDescent="0.2">
      <c r="A5061" s="11">
        <v>42429</v>
      </c>
      <c r="B5061" s="10">
        <v>512.18129999999996</v>
      </c>
      <c r="C5061" s="10">
        <v>512.33159999999998</v>
      </c>
      <c r="D5061" s="10">
        <v>503.3313</v>
      </c>
      <c r="E5061" s="13">
        <f t="shared" si="237"/>
        <v>9.7476302134690013E-3</v>
      </c>
      <c r="F5061" s="9">
        <f t="shared" si="235"/>
        <v>6.4475355396195977E-2</v>
      </c>
      <c r="G5061" s="9">
        <f t="shared" si="236"/>
        <v>2.4947198375879446E-2</v>
      </c>
    </row>
    <row r="5062" spans="1:7" x14ac:dyDescent="0.2">
      <c r="A5062" s="11">
        <v>42430</v>
      </c>
      <c r="B5062" s="10">
        <v>515.03570000000002</v>
      </c>
      <c r="C5062" s="10">
        <v>519.61479999999995</v>
      </c>
      <c r="D5062" s="10">
        <v>511.94499999999999</v>
      </c>
      <c r="E5062" s="13">
        <f t="shared" si="237"/>
        <v>5.557554726693021E-3</v>
      </c>
      <c r="F5062" s="9">
        <f t="shared" si="235"/>
        <v>0.11971761157214161</v>
      </c>
      <c r="G5062" s="9">
        <f t="shared" si="236"/>
        <v>2.2864197271424858E-2</v>
      </c>
    </row>
    <row r="5063" spans="1:7" x14ac:dyDescent="0.2">
      <c r="A5063" s="11">
        <v>42431</v>
      </c>
      <c r="B5063" s="10">
        <v>512.05629999999996</v>
      </c>
      <c r="C5063" s="10">
        <v>521.31510000000003</v>
      </c>
      <c r="D5063" s="10">
        <v>508.63979999999998</v>
      </c>
      <c r="E5063" s="13">
        <f t="shared" si="237"/>
        <v>-5.801638717791568E-3</v>
      </c>
      <c r="F5063" s="9">
        <f t="shared" si="235"/>
        <v>9.0394580848301598E-2</v>
      </c>
      <c r="G5063" s="9">
        <f t="shared" si="236"/>
        <v>2.2623043113719755E-2</v>
      </c>
    </row>
    <row r="5064" spans="1:7" x14ac:dyDescent="0.2">
      <c r="A5064" s="11">
        <v>42432</v>
      </c>
      <c r="B5064" s="10">
        <v>517.39599999999996</v>
      </c>
      <c r="C5064" s="10">
        <v>519.01199999999994</v>
      </c>
      <c r="D5064" s="10">
        <v>511.59609999999998</v>
      </c>
      <c r="E5064" s="13">
        <f t="shared" si="237"/>
        <v>1.0373958827792903E-2</v>
      </c>
      <c r="F5064" s="9">
        <f t="shared" si="235"/>
        <v>5.6680637125442183E-2</v>
      </c>
      <c r="G5064" s="9">
        <f t="shared" si="236"/>
        <v>2.1268115274792106E-2</v>
      </c>
    </row>
    <row r="5065" spans="1:7" x14ac:dyDescent="0.2">
      <c r="A5065" s="11">
        <v>42433</v>
      </c>
      <c r="B5065" s="10">
        <v>528.40449999999998</v>
      </c>
      <c r="C5065" s="10">
        <v>528.40449999999998</v>
      </c>
      <c r="D5065" s="10">
        <v>517.60979999999995</v>
      </c>
      <c r="E5065" s="13">
        <f t="shared" si="237"/>
        <v>2.1053550127916067E-2</v>
      </c>
      <c r="F5065" s="9">
        <f t="shared" si="235"/>
        <v>8.8297565480619539E-2</v>
      </c>
      <c r="G5065" s="9">
        <f t="shared" si="236"/>
        <v>2.1413382415792548E-2</v>
      </c>
    </row>
    <row r="5066" spans="1:7" x14ac:dyDescent="0.2">
      <c r="A5066" s="11">
        <v>42436</v>
      </c>
      <c r="B5066" s="10">
        <v>527.19629999999995</v>
      </c>
      <c r="C5066" s="10">
        <v>535.30290000000002</v>
      </c>
      <c r="D5066" s="10">
        <v>519.28560000000004</v>
      </c>
      <c r="E5066" s="13">
        <f t="shared" si="237"/>
        <v>-2.2891239331943071E-3</v>
      </c>
      <c r="F5066" s="9">
        <f t="shared" si="235"/>
        <v>7.5615874615931208E-2</v>
      </c>
      <c r="G5066" s="9">
        <f t="shared" si="236"/>
        <v>2.1387443277252095E-2</v>
      </c>
    </row>
    <row r="5067" spans="1:7" x14ac:dyDescent="0.2">
      <c r="A5067" s="11">
        <v>42437</v>
      </c>
      <c r="B5067" s="10">
        <v>527.05949999999996</v>
      </c>
      <c r="C5067" s="10">
        <v>532.36590000000001</v>
      </c>
      <c r="D5067" s="10">
        <v>522.58019999999999</v>
      </c>
      <c r="E5067" s="13">
        <f t="shared" si="237"/>
        <v>-2.5951956018227399E-4</v>
      </c>
      <c r="F5067" s="9">
        <f t="shared" si="235"/>
        <v>8.2190801903411576E-2</v>
      </c>
      <c r="G5067" s="9">
        <f t="shared" si="236"/>
        <v>2.1318516379901037E-2</v>
      </c>
    </row>
    <row r="5068" spans="1:7" x14ac:dyDescent="0.2">
      <c r="A5068" s="11">
        <v>42438</v>
      </c>
      <c r="B5068" s="10">
        <v>525.01949999999999</v>
      </c>
      <c r="C5068" s="10">
        <v>528.21770000000004</v>
      </c>
      <c r="D5068" s="10">
        <v>521.85879999999997</v>
      </c>
      <c r="E5068" s="13">
        <f t="shared" si="237"/>
        <v>-3.878040635091431E-3</v>
      </c>
      <c r="F5068" s="9">
        <f t="shared" si="235"/>
        <v>6.2940429600062839E-2</v>
      </c>
      <c r="G5068" s="9">
        <f t="shared" si="236"/>
        <v>2.1213612147746096E-2</v>
      </c>
    </row>
    <row r="5069" spans="1:7" x14ac:dyDescent="0.2">
      <c r="A5069" s="11">
        <v>42439</v>
      </c>
      <c r="B5069" s="10">
        <v>523.72540000000004</v>
      </c>
      <c r="C5069" s="10">
        <v>532.86959999999999</v>
      </c>
      <c r="D5069" s="10">
        <v>521.01379999999995</v>
      </c>
      <c r="E5069" s="13">
        <f t="shared" si="237"/>
        <v>-2.4679035994640258E-3</v>
      </c>
      <c r="F5069" s="9">
        <f t="shared" si="235"/>
        <v>4.5596094131482315E-2</v>
      </c>
      <c r="G5069" s="9">
        <f t="shared" si="236"/>
        <v>2.1086709960614732E-2</v>
      </c>
    </row>
    <row r="5070" spans="1:7" x14ac:dyDescent="0.2">
      <c r="A5070" s="11">
        <v>42440</v>
      </c>
      <c r="B5070" s="10">
        <v>526.07119999999998</v>
      </c>
      <c r="C5070" s="10">
        <v>527.80629999999996</v>
      </c>
      <c r="D5070" s="10">
        <v>522.84749999999997</v>
      </c>
      <c r="E5070" s="13">
        <f t="shared" si="237"/>
        <v>4.4690636344131953E-3</v>
      </c>
      <c r="F5070" s="9">
        <f t="shared" si="235"/>
        <v>6.1522039360933582E-2</v>
      </c>
      <c r="G5070" s="9">
        <f t="shared" si="236"/>
        <v>2.0942154776592101E-2</v>
      </c>
    </row>
    <row r="5071" spans="1:7" x14ac:dyDescent="0.2">
      <c r="A5071" s="11">
        <v>42443</v>
      </c>
      <c r="B5071" s="10">
        <v>530.37450000000001</v>
      </c>
      <c r="C5071" s="10">
        <v>531.52480000000003</v>
      </c>
      <c r="D5071" s="10">
        <v>524.75530000000003</v>
      </c>
      <c r="E5071" s="13">
        <f t="shared" si="237"/>
        <v>8.1467959989064403E-3</v>
      </c>
      <c r="F5071" s="9">
        <f t="shared" si="235"/>
        <v>9.8854992628010452E-2</v>
      </c>
      <c r="G5071" s="9">
        <f t="shared" si="236"/>
        <v>2.0078547482364574E-2</v>
      </c>
    </row>
    <row r="5072" spans="1:7" x14ac:dyDescent="0.2">
      <c r="A5072" s="11">
        <v>42444</v>
      </c>
      <c r="B5072" s="10">
        <v>523.88160000000005</v>
      </c>
      <c r="C5072" s="10">
        <v>530.33780000000002</v>
      </c>
      <c r="D5072" s="10">
        <v>522.08489999999995</v>
      </c>
      <c r="E5072" s="13">
        <f t="shared" si="237"/>
        <v>-1.2317656201770524E-2</v>
      </c>
      <c r="F5072" s="9">
        <f t="shared" si="235"/>
        <v>8.3542154281953648E-2</v>
      </c>
      <c r="G5072" s="9">
        <f t="shared" si="236"/>
        <v>2.0290048965533648E-2</v>
      </c>
    </row>
    <row r="5073" spans="1:7" x14ac:dyDescent="0.2">
      <c r="A5073" s="11">
        <v>42445</v>
      </c>
      <c r="B5073" s="10">
        <v>526.70669999999996</v>
      </c>
      <c r="C5073" s="10">
        <v>527.28949999999998</v>
      </c>
      <c r="D5073" s="10">
        <v>523.13419999999996</v>
      </c>
      <c r="E5073" s="13">
        <f t="shared" si="237"/>
        <v>5.3781425312419088E-3</v>
      </c>
      <c r="F5073" s="9">
        <f t="shared" si="235"/>
        <v>6.2202050873417736E-2</v>
      </c>
      <c r="G5073" s="9">
        <f t="shared" si="236"/>
        <v>1.9775091059655556E-2</v>
      </c>
    </row>
    <row r="5074" spans="1:7" x14ac:dyDescent="0.2">
      <c r="A5074" s="11">
        <v>42446</v>
      </c>
      <c r="B5074" s="10">
        <v>527.05889999999999</v>
      </c>
      <c r="C5074" s="10">
        <v>531.2473</v>
      </c>
      <c r="D5074" s="10">
        <v>520.34019999999998</v>
      </c>
      <c r="E5074" s="13">
        <f t="shared" si="237"/>
        <v>6.6845987972031346E-4</v>
      </c>
      <c r="F5074" s="9">
        <f t="shared" si="235"/>
        <v>4.6432715568015384E-2</v>
      </c>
      <c r="G5074" s="9">
        <f t="shared" si="236"/>
        <v>1.958391870768638E-2</v>
      </c>
    </row>
    <row r="5075" spans="1:7" x14ac:dyDescent="0.2">
      <c r="A5075" s="11">
        <v>42447</v>
      </c>
      <c r="B5075" s="10">
        <v>530.68209999999999</v>
      </c>
      <c r="C5075" s="10">
        <v>531.7165</v>
      </c>
      <c r="D5075" s="10">
        <v>524.10410000000002</v>
      </c>
      <c r="E5075" s="13">
        <f t="shared" si="237"/>
        <v>6.8508532258565319E-3</v>
      </c>
      <c r="F5075" s="9">
        <f t="shared" si="235"/>
        <v>9.708186643243534E-2</v>
      </c>
      <c r="G5075" s="9">
        <f t="shared" si="236"/>
        <v>1.7542630005236832E-2</v>
      </c>
    </row>
    <row r="5076" spans="1:7" x14ac:dyDescent="0.2">
      <c r="A5076" s="11">
        <v>42450</v>
      </c>
      <c r="B5076" s="10">
        <v>528.66319999999996</v>
      </c>
      <c r="C5076" s="10">
        <v>531.26559999999995</v>
      </c>
      <c r="D5076" s="10">
        <v>525.62519999999995</v>
      </c>
      <c r="E5076" s="13">
        <f t="shared" si="237"/>
        <v>-3.8116040997570205E-3</v>
      </c>
      <c r="F5076" s="9">
        <f t="shared" si="235"/>
        <v>0.10233204712053512</v>
      </c>
      <c r="G5076" s="9">
        <f t="shared" si="236"/>
        <v>1.743676189950577E-2</v>
      </c>
    </row>
    <row r="5077" spans="1:7" x14ac:dyDescent="0.2">
      <c r="A5077" s="11">
        <v>42451</v>
      </c>
      <c r="B5077" s="10">
        <v>529.25149999999996</v>
      </c>
      <c r="C5077" s="10">
        <v>530.23559999999998</v>
      </c>
      <c r="D5077" s="10">
        <v>523.51409999999998</v>
      </c>
      <c r="E5077" s="13">
        <f t="shared" si="237"/>
        <v>1.1121880821622749E-3</v>
      </c>
      <c r="F5077" s="9">
        <f t="shared" si="235"/>
        <v>0.10817651950333024</v>
      </c>
      <c r="G5077" s="9">
        <f t="shared" si="236"/>
        <v>1.7371524881797874E-2</v>
      </c>
    </row>
    <row r="5078" spans="1:7" x14ac:dyDescent="0.2">
      <c r="A5078" s="11">
        <v>42452</v>
      </c>
      <c r="B5078" s="10">
        <v>526.07309999999995</v>
      </c>
      <c r="C5078" s="10">
        <v>530.30870000000004</v>
      </c>
      <c r="D5078" s="10">
        <v>526.07309999999995</v>
      </c>
      <c r="E5078" s="13">
        <f t="shared" si="237"/>
        <v>-6.0235677444627203E-3</v>
      </c>
      <c r="F5078" s="9">
        <f t="shared" si="235"/>
        <v>0.13456244344333232</v>
      </c>
      <c r="G5078" s="9">
        <f t="shared" si="236"/>
        <v>1.6051931822833508E-2</v>
      </c>
    </row>
    <row r="5079" spans="1:7" x14ac:dyDescent="0.2">
      <c r="A5079" s="11">
        <v>42458</v>
      </c>
      <c r="B5079" s="10">
        <v>510.2758</v>
      </c>
      <c r="C5079" s="10">
        <v>527.39949999999999</v>
      </c>
      <c r="D5079" s="10">
        <v>510.07080000000002</v>
      </c>
      <c r="E5079" s="13">
        <f t="shared" si="237"/>
        <v>-3.0488812604878381E-2</v>
      </c>
      <c r="F5079" s="9">
        <f t="shared" si="235"/>
        <v>8.9532156136225602E-2</v>
      </c>
      <c r="G5079" s="9">
        <f t="shared" si="236"/>
        <v>1.7197058174376594E-2</v>
      </c>
    </row>
    <row r="5080" spans="1:7" x14ac:dyDescent="0.2">
      <c r="A5080" s="11">
        <v>42459</v>
      </c>
      <c r="B5080" s="10">
        <v>524.80679999999995</v>
      </c>
      <c r="C5080" s="10">
        <v>525.11839999999995</v>
      </c>
      <c r="D5080" s="10">
        <v>510.3433</v>
      </c>
      <c r="E5080" s="13">
        <f t="shared" si="237"/>
        <v>2.8078831002051458E-2</v>
      </c>
      <c r="F5080" s="9">
        <f t="shared" si="235"/>
        <v>8.2653564601921303E-2</v>
      </c>
      <c r="G5080" s="9">
        <f t="shared" si="236"/>
        <v>1.6784269049942766E-2</v>
      </c>
    </row>
    <row r="5081" spans="1:7" x14ac:dyDescent="0.2">
      <c r="A5081" s="11">
        <v>42460</v>
      </c>
      <c r="B5081" s="10">
        <v>516.96590000000003</v>
      </c>
      <c r="C5081" s="10">
        <v>524.82849999999996</v>
      </c>
      <c r="D5081" s="10">
        <v>515.399</v>
      </c>
      <c r="E5081" s="13">
        <f t="shared" si="237"/>
        <v>-1.5053279976674475E-2</v>
      </c>
      <c r="F5081" s="9">
        <f t="shared" si="235"/>
        <v>8.3072007315610347E-2</v>
      </c>
      <c r="G5081" s="9">
        <f t="shared" si="236"/>
        <v>1.6768127740834624E-2</v>
      </c>
    </row>
    <row r="5082" spans="1:7" x14ac:dyDescent="0.2">
      <c r="A5082" s="11">
        <v>42461</v>
      </c>
      <c r="B5082" s="10">
        <v>508.77780000000001</v>
      </c>
      <c r="C5082" s="10">
        <v>516.96990000000005</v>
      </c>
      <c r="D5082" s="10">
        <v>506.01350000000002</v>
      </c>
      <c r="E5082" s="13">
        <f t="shared" si="237"/>
        <v>-1.5965535887798653E-2</v>
      </c>
      <c r="F5082" s="9">
        <f t="shared" si="235"/>
        <v>2.3752393605326088E-2</v>
      </c>
      <c r="G5082" s="9">
        <f t="shared" si="236"/>
        <v>1.5197033339974089E-2</v>
      </c>
    </row>
    <row r="5083" spans="1:7" x14ac:dyDescent="0.2">
      <c r="A5083" s="11">
        <v>42464</v>
      </c>
      <c r="B5083" s="10">
        <v>506.47129999999999</v>
      </c>
      <c r="C5083" s="10">
        <v>510.65100000000001</v>
      </c>
      <c r="D5083" s="10">
        <v>504.14589999999998</v>
      </c>
      <c r="E5083" s="13">
        <f t="shared" si="237"/>
        <v>-4.5437202913362305E-3</v>
      </c>
      <c r="F5083" s="9">
        <f t="shared" si="235"/>
        <v>1.1719610274980601E-2</v>
      </c>
      <c r="G5083" s="9">
        <f t="shared" si="236"/>
        <v>1.5172664005351931E-2</v>
      </c>
    </row>
    <row r="5084" spans="1:7" x14ac:dyDescent="0.2">
      <c r="A5084" s="11">
        <v>42465</v>
      </c>
      <c r="B5084" s="10">
        <v>499.58670000000001</v>
      </c>
      <c r="C5084" s="10">
        <v>506.4468</v>
      </c>
      <c r="D5084" s="10">
        <v>497.20839999999998</v>
      </c>
      <c r="E5084" s="13">
        <f t="shared" si="237"/>
        <v>-1.3686502107165743E-2</v>
      </c>
      <c r="F5084" s="9">
        <f t="shared" si="235"/>
        <v>1.4949250454012882E-2</v>
      </c>
      <c r="G5084" s="9">
        <f t="shared" si="236"/>
        <v>1.5052369256086773E-2</v>
      </c>
    </row>
    <row r="5085" spans="1:7" x14ac:dyDescent="0.2">
      <c r="A5085" s="11">
        <v>42466</v>
      </c>
      <c r="B5085" s="10">
        <v>501.85270000000003</v>
      </c>
      <c r="C5085" s="10">
        <v>504.25670000000002</v>
      </c>
      <c r="D5085" s="10">
        <v>499.48610000000002</v>
      </c>
      <c r="E5085" s="13">
        <f t="shared" si="237"/>
        <v>4.5254937389582568E-3</v>
      </c>
      <c r="F5085" s="9">
        <f t="shared" si="235"/>
        <v>-8.5558551861455931E-3</v>
      </c>
      <c r="G5085" s="9">
        <f t="shared" si="236"/>
        <v>1.4121936505484788E-2</v>
      </c>
    </row>
    <row r="5086" spans="1:7" x14ac:dyDescent="0.2">
      <c r="A5086" s="11">
        <v>42467</v>
      </c>
      <c r="B5086" s="10">
        <v>499.91559999999998</v>
      </c>
      <c r="C5086" s="10">
        <v>506.87270000000001</v>
      </c>
      <c r="D5086" s="10">
        <v>499.44940000000003</v>
      </c>
      <c r="E5086" s="13">
        <f t="shared" si="237"/>
        <v>-3.867366165121908E-3</v>
      </c>
      <c r="F5086" s="9">
        <f t="shared" si="235"/>
        <v>-5.2140655369073514E-3</v>
      </c>
      <c r="G5086" s="9">
        <f t="shared" si="236"/>
        <v>1.4077065817561943E-2</v>
      </c>
    </row>
    <row r="5087" spans="1:7" x14ac:dyDescent="0.2">
      <c r="A5087" s="11">
        <v>42468</v>
      </c>
      <c r="B5087" s="10">
        <v>505.37259999999998</v>
      </c>
      <c r="C5087" s="10">
        <v>505.88749999999999</v>
      </c>
      <c r="D5087" s="10">
        <v>499.02159999999998</v>
      </c>
      <c r="E5087" s="13">
        <f t="shared" si="237"/>
        <v>1.085669482698999E-2</v>
      </c>
      <c r="F5087" s="9">
        <f t="shared" si="235"/>
        <v>3.8753871617512543E-2</v>
      </c>
      <c r="G5087" s="9">
        <f t="shared" si="236"/>
        <v>1.2704398073503606E-2</v>
      </c>
    </row>
    <row r="5088" spans="1:7" x14ac:dyDescent="0.2">
      <c r="A5088" s="11">
        <v>42471</v>
      </c>
      <c r="B5088" s="10">
        <v>510.83249999999998</v>
      </c>
      <c r="C5088" s="10">
        <v>511.78710000000001</v>
      </c>
      <c r="D5088" s="10">
        <v>502.77089999999998</v>
      </c>
      <c r="E5088" s="13">
        <f t="shared" si="237"/>
        <v>1.0745768818697555E-2</v>
      </c>
      <c r="F5088" s="9">
        <f t="shared" ref="F5088:F5151" si="238">LN(B5088/B5059)</f>
        <v>2.6234354363437587E-2</v>
      </c>
      <c r="G5088" s="9">
        <f t="shared" si="236"/>
        <v>1.2132457010248347E-2</v>
      </c>
    </row>
    <row r="5089" spans="1:7" x14ac:dyDescent="0.2">
      <c r="A5089" s="11">
        <v>42472</v>
      </c>
      <c r="B5089" s="10">
        <v>513.64139999999998</v>
      </c>
      <c r="C5089" s="10">
        <v>515.49680000000001</v>
      </c>
      <c r="D5089" s="10">
        <v>510.7466</v>
      </c>
      <c r="E5089" s="13">
        <f t="shared" si="237"/>
        <v>5.4836087842230086E-3</v>
      </c>
      <c r="F5089" s="9">
        <f t="shared" si="238"/>
        <v>1.259432289440238E-2</v>
      </c>
      <c r="G5089" s="9">
        <f t="shared" ref="G5089:G5152" si="239">STDEV(E5061:E5089)</f>
        <v>1.1655963564633534E-2</v>
      </c>
    </row>
    <row r="5090" spans="1:7" x14ac:dyDescent="0.2">
      <c r="A5090" s="11">
        <v>42473</v>
      </c>
      <c r="B5090" s="10">
        <v>528.34709999999995</v>
      </c>
      <c r="C5090" s="10">
        <v>528.34709999999995</v>
      </c>
      <c r="D5090" s="10">
        <v>515.29629999999997</v>
      </c>
      <c r="E5090" s="13">
        <f t="shared" si="237"/>
        <v>2.8228097482354719E-2</v>
      </c>
      <c r="F5090" s="9">
        <f t="shared" si="238"/>
        <v>3.1074790163288003E-2</v>
      </c>
      <c r="G5090" s="9">
        <f t="shared" si="239"/>
        <v>1.2646431383412718E-2</v>
      </c>
    </row>
    <row r="5091" spans="1:7" x14ac:dyDescent="0.2">
      <c r="A5091" s="11">
        <v>42474</v>
      </c>
      <c r="B5091" s="10">
        <v>527.68529999999998</v>
      </c>
      <c r="C5091" s="10">
        <v>530.67510000000004</v>
      </c>
      <c r="D5091" s="10">
        <v>523.14800000000002</v>
      </c>
      <c r="E5091" s="13">
        <f t="shared" si="237"/>
        <v>-1.2533707992997876E-3</v>
      </c>
      <c r="F5091" s="9">
        <f t="shared" si="238"/>
        <v>2.4263864637295168E-2</v>
      </c>
      <c r="G5091" s="9">
        <f t="shared" si="239"/>
        <v>1.2623367901941306E-2</v>
      </c>
    </row>
    <row r="5092" spans="1:7" x14ac:dyDescent="0.2">
      <c r="A5092" s="11">
        <v>42475</v>
      </c>
      <c r="B5092" s="10">
        <v>523.62</v>
      </c>
      <c r="C5092" s="10">
        <v>528.86630000000002</v>
      </c>
      <c r="D5092" s="10">
        <v>522.77110000000005</v>
      </c>
      <c r="E5092" s="13">
        <f t="shared" si="237"/>
        <v>-7.7338528835588704E-3</v>
      </c>
      <c r="F5092" s="9">
        <f t="shared" si="238"/>
        <v>2.2331650471527957E-2</v>
      </c>
      <c r="G5092" s="9">
        <f t="shared" si="239"/>
        <v>1.2664688986270043E-2</v>
      </c>
    </row>
    <row r="5093" spans="1:7" x14ac:dyDescent="0.2">
      <c r="A5093" s="11">
        <v>42478</v>
      </c>
      <c r="B5093" s="10">
        <v>524.21199999999999</v>
      </c>
      <c r="C5093" s="10">
        <v>524.23479999999995</v>
      </c>
      <c r="D5093" s="10">
        <v>512.6943</v>
      </c>
      <c r="E5093" s="13">
        <f t="shared" si="237"/>
        <v>1.1299522499567971E-3</v>
      </c>
      <c r="F5093" s="9">
        <f t="shared" si="238"/>
        <v>1.3087643893692125E-2</v>
      </c>
      <c r="G5093" s="9">
        <f t="shared" si="239"/>
        <v>1.2529949411465206E-2</v>
      </c>
    </row>
    <row r="5094" spans="1:7" x14ac:dyDescent="0.2">
      <c r="A5094" s="11">
        <v>42479</v>
      </c>
      <c r="B5094" s="10">
        <v>534.22569999999996</v>
      </c>
      <c r="C5094" s="10">
        <v>534.22569999999996</v>
      </c>
      <c r="D5094" s="10">
        <v>524.23159999999996</v>
      </c>
      <c r="E5094" s="13">
        <f t="shared" si="237"/>
        <v>1.8922226187763482E-2</v>
      </c>
      <c r="F5094" s="9">
        <f t="shared" si="238"/>
        <v>1.0956319953539394E-2</v>
      </c>
      <c r="G5094" s="9">
        <f t="shared" si="239"/>
        <v>1.2410472909419134E-2</v>
      </c>
    </row>
    <row r="5095" spans="1:7" x14ac:dyDescent="0.2">
      <c r="A5095" s="11">
        <v>42480</v>
      </c>
      <c r="B5095" s="10">
        <v>535.52020000000005</v>
      </c>
      <c r="C5095" s="10">
        <v>539.46270000000004</v>
      </c>
      <c r="D5095" s="10">
        <v>530.73199999999997</v>
      </c>
      <c r="E5095" s="13">
        <f t="shared" si="237"/>
        <v>2.4202020907294884E-3</v>
      </c>
      <c r="F5095" s="9">
        <f t="shared" si="238"/>
        <v>1.5665645977463435E-2</v>
      </c>
      <c r="G5095" s="9">
        <f t="shared" si="239"/>
        <v>1.2405139478419107E-2</v>
      </c>
    </row>
    <row r="5096" spans="1:7" x14ac:dyDescent="0.2">
      <c r="A5096" s="11">
        <v>42481</v>
      </c>
      <c r="B5096" s="10">
        <v>538.3075</v>
      </c>
      <c r="C5096" s="10">
        <v>543.59849999999994</v>
      </c>
      <c r="D5096" s="10">
        <v>535.55520000000001</v>
      </c>
      <c r="E5096" s="13">
        <f t="shared" si="237"/>
        <v>5.1913472893807804E-3</v>
      </c>
      <c r="F5096" s="9">
        <f t="shared" si="238"/>
        <v>2.1116512827026531E-2</v>
      </c>
      <c r="G5096" s="9">
        <f t="shared" si="239"/>
        <v>1.2433851720585512E-2</v>
      </c>
    </row>
    <row r="5097" spans="1:7" x14ac:dyDescent="0.2">
      <c r="A5097" s="11">
        <v>42482</v>
      </c>
      <c r="B5097" s="10">
        <v>533.76800000000003</v>
      </c>
      <c r="C5097" s="10">
        <v>536.7894</v>
      </c>
      <c r="D5097" s="10">
        <v>530.78710000000001</v>
      </c>
      <c r="E5097" s="13">
        <f t="shared" si="237"/>
        <v>-8.4686705935051645E-3</v>
      </c>
      <c r="F5097" s="9">
        <f t="shared" si="238"/>
        <v>1.6525882868612802E-2</v>
      </c>
      <c r="G5097" s="9">
        <f t="shared" si="239"/>
        <v>1.252348736780467E-2</v>
      </c>
    </row>
    <row r="5098" spans="1:7" x14ac:dyDescent="0.2">
      <c r="A5098" s="11">
        <v>42485</v>
      </c>
      <c r="B5098" s="10">
        <v>530.70479999999998</v>
      </c>
      <c r="C5098" s="10">
        <v>534.65790000000004</v>
      </c>
      <c r="D5098" s="10">
        <v>530.27589999999998</v>
      </c>
      <c r="E5098" s="13">
        <f t="shared" si="237"/>
        <v>-5.7553531766550486E-3</v>
      </c>
      <c r="F5098" s="9">
        <f t="shared" si="238"/>
        <v>1.3238433291421683E-2</v>
      </c>
      <c r="G5098" s="9">
        <f t="shared" si="239"/>
        <v>1.2566770579822605E-2</v>
      </c>
    </row>
    <row r="5099" spans="1:7" x14ac:dyDescent="0.2">
      <c r="A5099" s="11">
        <v>42486</v>
      </c>
      <c r="B5099" s="10">
        <v>532.89499999999998</v>
      </c>
      <c r="C5099" s="10">
        <v>534.85619999999994</v>
      </c>
      <c r="D5099" s="10">
        <v>530.62120000000004</v>
      </c>
      <c r="E5099" s="13">
        <f t="shared" si="237"/>
        <v>4.1184721843924464E-3</v>
      </c>
      <c r="F5099" s="9">
        <f t="shared" si="238"/>
        <v>1.288784184140105E-2</v>
      </c>
      <c r="G5099" s="9">
        <f t="shared" si="239"/>
        <v>1.2562940641717389E-2</v>
      </c>
    </row>
    <row r="5100" spans="1:7" x14ac:dyDescent="0.2">
      <c r="A5100" s="11">
        <v>42487</v>
      </c>
      <c r="B5100" s="10">
        <v>544.27260000000001</v>
      </c>
      <c r="C5100" s="10">
        <v>544.78629999999998</v>
      </c>
      <c r="D5100" s="10">
        <v>532.89499999999998</v>
      </c>
      <c r="E5100" s="13">
        <f t="shared" si="237"/>
        <v>2.1125817651629644E-2</v>
      </c>
      <c r="F5100" s="9">
        <f t="shared" si="238"/>
        <v>2.586686349412393E-2</v>
      </c>
      <c r="G5100" s="9">
        <f t="shared" si="239"/>
        <v>1.3068165373149462E-2</v>
      </c>
    </row>
    <row r="5101" spans="1:7" x14ac:dyDescent="0.2">
      <c r="A5101" s="11">
        <v>42488</v>
      </c>
      <c r="B5101" s="10">
        <v>549.3587</v>
      </c>
      <c r="C5101" s="10">
        <v>550.40689999999995</v>
      </c>
      <c r="D5101" s="10">
        <v>541.69709999999998</v>
      </c>
      <c r="E5101" s="13">
        <f t="shared" si="237"/>
        <v>9.3013736326723329E-3</v>
      </c>
      <c r="F5101" s="9">
        <f t="shared" si="238"/>
        <v>4.748589332856696E-2</v>
      </c>
      <c r="G5101" s="9">
        <f t="shared" si="239"/>
        <v>1.2903297059745533E-2</v>
      </c>
    </row>
    <row r="5102" spans="1:7" x14ac:dyDescent="0.2">
      <c r="A5102" s="11">
        <v>42489</v>
      </c>
      <c r="B5102" s="10">
        <v>545.29899999999998</v>
      </c>
      <c r="C5102" s="10">
        <v>550.40340000000003</v>
      </c>
      <c r="D5102" s="10">
        <v>542.87559999999996</v>
      </c>
      <c r="E5102" s="13">
        <f t="shared" si="237"/>
        <v>-7.4173298422306189E-3</v>
      </c>
      <c r="F5102" s="9">
        <f t="shared" si="238"/>
        <v>3.4690420955094399E-2</v>
      </c>
      <c r="G5102" s="9">
        <f t="shared" si="239"/>
        <v>1.2989298562914552E-2</v>
      </c>
    </row>
    <row r="5103" spans="1:7" x14ac:dyDescent="0.2">
      <c r="A5103" s="11">
        <v>42492</v>
      </c>
      <c r="B5103" s="10">
        <v>540.87</v>
      </c>
      <c r="C5103" s="10">
        <v>545.65</v>
      </c>
      <c r="D5103" s="10">
        <v>539.54999999999995</v>
      </c>
      <c r="E5103" s="13">
        <f t="shared" si="237"/>
        <v>-8.1553138551908183E-3</v>
      </c>
      <c r="F5103" s="9">
        <f t="shared" si="238"/>
        <v>2.5866647220183253E-2</v>
      </c>
      <c r="G5103" s="9">
        <f t="shared" si="239"/>
        <v>1.3104934249972928E-2</v>
      </c>
    </row>
    <row r="5104" spans="1:7" x14ac:dyDescent="0.2">
      <c r="A5104" s="11">
        <v>42493</v>
      </c>
      <c r="B5104" s="10">
        <v>532.21</v>
      </c>
      <c r="C5104" s="10">
        <v>543.01</v>
      </c>
      <c r="D5104" s="10">
        <v>531.47</v>
      </c>
      <c r="E5104" s="13">
        <f t="shared" si="237"/>
        <v>-1.614080592655992E-2</v>
      </c>
      <c r="F5104" s="9">
        <f t="shared" si="238"/>
        <v>2.874988067766844E-3</v>
      </c>
      <c r="G5104" s="9">
        <f t="shared" si="239"/>
        <v>1.342316587237723E-2</v>
      </c>
    </row>
    <row r="5105" spans="1:7" x14ac:dyDescent="0.2">
      <c r="A5105" s="11">
        <v>42494</v>
      </c>
      <c r="B5105" s="10">
        <v>534.97</v>
      </c>
      <c r="C5105" s="10">
        <v>536.35</v>
      </c>
      <c r="D5105" s="10">
        <v>530.45000000000005</v>
      </c>
      <c r="E5105" s="13">
        <f t="shared" si="237"/>
        <v>5.1725222617443759E-3</v>
      </c>
      <c r="F5105" s="9">
        <f t="shared" si="238"/>
        <v>1.1859114429268278E-2</v>
      </c>
      <c r="G5105" s="9">
        <f t="shared" si="239"/>
        <v>1.3433355035455787E-2</v>
      </c>
    </row>
    <row r="5106" spans="1:7" x14ac:dyDescent="0.2">
      <c r="A5106" s="11">
        <v>42496</v>
      </c>
      <c r="B5106" s="10">
        <v>534.75</v>
      </c>
      <c r="C5106" s="10">
        <v>535.85</v>
      </c>
      <c r="D5106" s="10">
        <v>528.15</v>
      </c>
      <c r="E5106" s="13">
        <f t="shared" si="237"/>
        <v>-4.1132259488800641E-4</v>
      </c>
      <c r="F5106" s="9">
        <f t="shared" si="238"/>
        <v>1.0335603752218116E-2</v>
      </c>
      <c r="G5106" s="9">
        <f t="shared" si="239"/>
        <v>1.3433485600222875E-2</v>
      </c>
    </row>
    <row r="5107" spans="1:7" x14ac:dyDescent="0.2">
      <c r="A5107" s="11">
        <v>42499</v>
      </c>
      <c r="B5107" s="10">
        <v>532.26</v>
      </c>
      <c r="C5107" s="10">
        <v>537.84</v>
      </c>
      <c r="D5107" s="10">
        <v>531.41</v>
      </c>
      <c r="E5107" s="13">
        <f t="shared" si="237"/>
        <v>-4.667256201964471E-3</v>
      </c>
      <c r="F5107" s="9">
        <f t="shared" si="238"/>
        <v>1.1691915294716516E-2</v>
      </c>
      <c r="G5107" s="9">
        <f t="shared" si="239"/>
        <v>1.3412825271565971E-2</v>
      </c>
    </row>
    <row r="5108" spans="1:7" x14ac:dyDescent="0.2">
      <c r="A5108" s="11">
        <v>42500</v>
      </c>
      <c r="B5108" s="10">
        <v>533.84</v>
      </c>
      <c r="C5108" s="10">
        <v>536.94000000000005</v>
      </c>
      <c r="D5108" s="10">
        <v>531.45000000000005</v>
      </c>
      <c r="E5108" s="13">
        <f t="shared" si="237"/>
        <v>2.9640768348007111E-3</v>
      </c>
      <c r="F5108" s="9">
        <f t="shared" si="238"/>
        <v>4.5144804734395499E-2</v>
      </c>
      <c r="G5108" s="9">
        <f t="shared" si="239"/>
        <v>1.2028185451508496E-2</v>
      </c>
    </row>
    <row r="5109" spans="1:7" x14ac:dyDescent="0.2">
      <c r="A5109" s="11">
        <v>42501</v>
      </c>
      <c r="B5109" s="10">
        <v>537.26</v>
      </c>
      <c r="C5109" s="10">
        <v>537.62</v>
      </c>
      <c r="D5109" s="10">
        <v>533.95000000000005</v>
      </c>
      <c r="E5109" s="13">
        <f t="shared" si="237"/>
        <v>6.3859800625588239E-3</v>
      </c>
      <c r="F5109" s="9">
        <f t="shared" si="238"/>
        <v>2.3451953794902801E-2</v>
      </c>
      <c r="G5109" s="9">
        <f t="shared" si="239"/>
        <v>1.0945702428479687E-2</v>
      </c>
    </row>
    <row r="5110" spans="1:7" x14ac:dyDescent="0.2">
      <c r="A5110" s="11">
        <v>42502</v>
      </c>
      <c r="B5110" s="10">
        <v>538.5</v>
      </c>
      <c r="C5110" s="10">
        <v>545.55999999999995</v>
      </c>
      <c r="D5110" s="10">
        <v>537.15</v>
      </c>
      <c r="E5110" s="13">
        <f t="shared" si="237"/>
        <v>2.3053479385332855E-3</v>
      </c>
      <c r="F5110" s="9">
        <f t="shared" si="238"/>
        <v>4.0810581710110642E-2</v>
      </c>
      <c r="G5110" s="9">
        <f t="shared" si="239"/>
        <v>1.0513397565705476E-2</v>
      </c>
    </row>
    <row r="5111" spans="1:7" x14ac:dyDescent="0.2">
      <c r="A5111" s="11">
        <v>42503</v>
      </c>
      <c r="B5111" s="10">
        <v>535.89</v>
      </c>
      <c r="C5111" s="10">
        <v>539.96</v>
      </c>
      <c r="D5111" s="10">
        <v>534.82000000000005</v>
      </c>
      <c r="E5111" s="13">
        <f t="shared" si="237"/>
        <v>-4.8585804675404564E-3</v>
      </c>
      <c r="F5111" s="9">
        <f t="shared" si="238"/>
        <v>5.1917537130368688E-2</v>
      </c>
      <c r="G5111" s="9">
        <f t="shared" si="239"/>
        <v>1.0050009835624259E-2</v>
      </c>
    </row>
    <row r="5112" spans="1:7" x14ac:dyDescent="0.2">
      <c r="A5112" s="11">
        <v>42508</v>
      </c>
      <c r="B5112" s="10">
        <v>543.74</v>
      </c>
      <c r="C5112" s="10">
        <v>543.74</v>
      </c>
      <c r="D5112" s="10">
        <v>535.86</v>
      </c>
      <c r="E5112" s="13">
        <f t="shared" si="237"/>
        <v>1.4542275300280558E-2</v>
      </c>
      <c r="F5112" s="9">
        <f t="shared" si="238"/>
        <v>7.1003532721985563E-2</v>
      </c>
      <c r="G5112" s="9">
        <f t="shared" si="239"/>
        <v>1.0243480352343536E-2</v>
      </c>
    </row>
    <row r="5113" spans="1:7" x14ac:dyDescent="0.2">
      <c r="A5113" s="11">
        <v>42509</v>
      </c>
      <c r="B5113" s="10">
        <v>533.28</v>
      </c>
      <c r="C5113" s="10">
        <v>544.11</v>
      </c>
      <c r="D5113" s="10">
        <v>533.28</v>
      </c>
      <c r="E5113" s="13">
        <f t="shared" si="237"/>
        <v>-1.9424576869753764E-2</v>
      </c>
      <c r="F5113" s="9">
        <f t="shared" si="238"/>
        <v>6.5265457959397505E-2</v>
      </c>
      <c r="G5113" s="9">
        <f t="shared" si="239"/>
        <v>1.0614958405785455E-2</v>
      </c>
    </row>
    <row r="5114" spans="1:7" x14ac:dyDescent="0.2">
      <c r="A5114" s="11">
        <v>42510</v>
      </c>
      <c r="B5114" s="10">
        <v>542.69000000000005</v>
      </c>
      <c r="C5114" s="10">
        <v>543.45000000000005</v>
      </c>
      <c r="D5114" s="10">
        <v>533.34</v>
      </c>
      <c r="E5114" s="13">
        <f t="shared" si="237"/>
        <v>1.7491639953576252E-2</v>
      </c>
      <c r="F5114" s="9">
        <f t="shared" si="238"/>
        <v>7.8231604174015507E-2</v>
      </c>
      <c r="G5114" s="9">
        <f t="shared" si="239"/>
        <v>1.0980964364811019E-2</v>
      </c>
    </row>
    <row r="5115" spans="1:7" x14ac:dyDescent="0.2">
      <c r="A5115" s="11">
        <v>42513</v>
      </c>
      <c r="B5115" s="10">
        <v>542.57000000000005</v>
      </c>
      <c r="C5115" s="10">
        <v>545.41999999999996</v>
      </c>
      <c r="D5115" s="10">
        <v>539.73</v>
      </c>
      <c r="E5115" s="13">
        <f t="shared" si="237"/>
        <v>-2.2114516427220794E-4</v>
      </c>
      <c r="F5115" s="9">
        <f t="shared" si="238"/>
        <v>8.1877825174865235E-2</v>
      </c>
      <c r="G5115" s="9">
        <f t="shared" si="239"/>
        <v>1.0923836549156187E-2</v>
      </c>
    </row>
    <row r="5116" spans="1:7" x14ac:dyDescent="0.2">
      <c r="A5116" s="11">
        <v>42514</v>
      </c>
      <c r="B5116" s="10">
        <v>547.57000000000005</v>
      </c>
      <c r="C5116" s="10">
        <v>547.57000000000005</v>
      </c>
      <c r="D5116" s="10">
        <v>539.59</v>
      </c>
      <c r="E5116" s="13">
        <f t="shared" si="237"/>
        <v>9.1731980505901853E-3</v>
      </c>
      <c r="F5116" s="9">
        <f t="shared" si="238"/>
        <v>8.0194328398465492E-2</v>
      </c>
      <c r="G5116" s="9">
        <f t="shared" si="239"/>
        <v>1.0884021756222639E-2</v>
      </c>
    </row>
    <row r="5117" spans="1:7" x14ac:dyDescent="0.2">
      <c r="A5117" s="11">
        <v>42515</v>
      </c>
      <c r="B5117" s="10">
        <v>556.15</v>
      </c>
      <c r="C5117" s="10">
        <v>556.16</v>
      </c>
      <c r="D5117" s="10">
        <v>548.13</v>
      </c>
      <c r="E5117" s="13">
        <f t="shared" si="237"/>
        <v>1.5547734638714731E-2</v>
      </c>
      <c r="F5117" s="9">
        <f t="shared" si="238"/>
        <v>8.4996294218482329E-2</v>
      </c>
      <c r="G5117" s="9">
        <f t="shared" si="239"/>
        <v>1.104510466789302E-2</v>
      </c>
    </row>
    <row r="5118" spans="1:7" x14ac:dyDescent="0.2">
      <c r="A5118" s="11">
        <v>42516</v>
      </c>
      <c r="B5118" s="10">
        <v>558.78</v>
      </c>
      <c r="C5118" s="10">
        <v>558.78</v>
      </c>
      <c r="D5118" s="10">
        <v>552.88</v>
      </c>
      <c r="E5118" s="13">
        <f t="shared" si="237"/>
        <v>4.7177937235831774E-3</v>
      </c>
      <c r="F5118" s="9">
        <f t="shared" si="238"/>
        <v>8.4230479157842666E-2</v>
      </c>
      <c r="G5118" s="9">
        <f t="shared" si="239"/>
        <v>1.1039697675717997E-2</v>
      </c>
    </row>
    <row r="5119" spans="1:7" x14ac:dyDescent="0.2">
      <c r="A5119" s="11">
        <v>42517</v>
      </c>
      <c r="B5119" s="10">
        <v>555.41</v>
      </c>
      <c r="C5119" s="10">
        <v>558.72</v>
      </c>
      <c r="D5119" s="10">
        <v>553.36</v>
      </c>
      <c r="E5119" s="13">
        <f t="shared" si="237"/>
        <v>-6.0492560095994569E-3</v>
      </c>
      <c r="F5119" s="9">
        <f t="shared" si="238"/>
        <v>4.995312566588845E-2</v>
      </c>
      <c r="G5119" s="9">
        <f t="shared" si="239"/>
        <v>1.0019388229625611E-2</v>
      </c>
    </row>
    <row r="5120" spans="1:7" x14ac:dyDescent="0.2">
      <c r="A5120" s="11">
        <v>42520</v>
      </c>
      <c r="B5120" s="10">
        <v>558.91</v>
      </c>
      <c r="C5120" s="10">
        <v>559.69000000000005</v>
      </c>
      <c r="D5120" s="10">
        <v>555.42999999999995</v>
      </c>
      <c r="E5120" s="13">
        <f t="shared" si="237"/>
        <v>6.281878651989212E-3</v>
      </c>
      <c r="F5120" s="9">
        <f t="shared" si="238"/>
        <v>5.7488375117177325E-2</v>
      </c>
      <c r="G5120" s="9">
        <f t="shared" si="239"/>
        <v>1.0037148508221898E-2</v>
      </c>
    </row>
    <row r="5121" spans="1:7" x14ac:dyDescent="0.2">
      <c r="A5121" s="11">
        <v>42521</v>
      </c>
      <c r="B5121" s="10">
        <v>553.16999999999996</v>
      </c>
      <c r="C5121" s="10">
        <v>559.92999999999995</v>
      </c>
      <c r="D5121" s="10">
        <v>552.98</v>
      </c>
      <c r="E5121" s="13">
        <f t="shared" si="237"/>
        <v>-1.0323090018828134E-2</v>
      </c>
      <c r="F5121" s="9">
        <f t="shared" si="238"/>
        <v>5.4899137981908014E-2</v>
      </c>
      <c r="G5121" s="9">
        <f t="shared" si="239"/>
        <v>1.0137677113411993E-2</v>
      </c>
    </row>
    <row r="5122" spans="1:7" x14ac:dyDescent="0.2">
      <c r="A5122" s="11">
        <v>42522</v>
      </c>
      <c r="B5122" s="10">
        <v>546.77</v>
      </c>
      <c r="C5122" s="10">
        <v>553.17999999999995</v>
      </c>
      <c r="D5122" s="10">
        <v>545.94000000000005</v>
      </c>
      <c r="E5122" s="13">
        <f t="shared" si="237"/>
        <v>-1.163712970766375E-2</v>
      </c>
      <c r="F5122" s="9">
        <f t="shared" si="238"/>
        <v>4.2132056024287337E-2</v>
      </c>
      <c r="G5122" s="9">
        <f t="shared" si="239"/>
        <v>1.0444570256863846E-2</v>
      </c>
    </row>
    <row r="5123" spans="1:7" x14ac:dyDescent="0.2">
      <c r="A5123" s="11">
        <v>42523</v>
      </c>
      <c r="B5123" s="10">
        <v>546.62</v>
      </c>
      <c r="C5123" s="10">
        <v>551.51</v>
      </c>
      <c r="D5123" s="10">
        <v>545.41</v>
      </c>
      <c r="E5123" s="13">
        <f t="shared" si="237"/>
        <v>-2.7437602491514509E-4</v>
      </c>
      <c r="F5123" s="9">
        <f t="shared" si="238"/>
        <v>2.2935453811608768E-2</v>
      </c>
      <c r="G5123" s="9">
        <f t="shared" si="239"/>
        <v>9.8915359442227554E-3</v>
      </c>
    </row>
    <row r="5124" spans="1:7" x14ac:dyDescent="0.2">
      <c r="A5124" s="11">
        <v>42524</v>
      </c>
      <c r="B5124" s="10">
        <v>544</v>
      </c>
      <c r="C5124" s="10">
        <v>550.74</v>
      </c>
      <c r="D5124" s="10">
        <v>544</v>
      </c>
      <c r="E5124" s="13">
        <f t="shared" ref="E5124:E5187" si="240">LN(B5124/B5123)</f>
        <v>-4.8046157966613436E-3</v>
      </c>
      <c r="F5124" s="9">
        <f t="shared" si="238"/>
        <v>1.5710635924217797E-2</v>
      </c>
      <c r="G5124" s="9">
        <f t="shared" si="239"/>
        <v>9.9398987713103931E-3</v>
      </c>
    </row>
    <row r="5125" spans="1:7" x14ac:dyDescent="0.2">
      <c r="A5125" s="11">
        <v>42527</v>
      </c>
      <c r="B5125" s="10">
        <v>550.14</v>
      </c>
      <c r="C5125" s="10">
        <v>550.14</v>
      </c>
      <c r="D5125" s="10">
        <v>544.15</v>
      </c>
      <c r="E5125" s="13">
        <f t="shared" si="240"/>
        <v>1.1223544433921736E-2</v>
      </c>
      <c r="F5125" s="9">
        <f t="shared" si="238"/>
        <v>2.1742833068758741E-2</v>
      </c>
      <c r="G5125" s="9">
        <f t="shared" si="239"/>
        <v>1.0102460342425594E-2</v>
      </c>
    </row>
    <row r="5126" spans="1:7" x14ac:dyDescent="0.2">
      <c r="A5126" s="11">
        <v>42528</v>
      </c>
      <c r="B5126" s="10">
        <v>557</v>
      </c>
      <c r="C5126" s="10">
        <v>557</v>
      </c>
      <c r="D5126" s="10">
        <v>549.72</v>
      </c>
      <c r="E5126" s="13">
        <f t="shared" si="240"/>
        <v>1.2392448637419617E-2</v>
      </c>
      <c r="F5126" s="9">
        <f t="shared" si="238"/>
        <v>4.2603952299683549E-2</v>
      </c>
      <c r="G5126" s="9">
        <f t="shared" si="239"/>
        <v>1.0165133596541436E-2</v>
      </c>
    </row>
    <row r="5127" spans="1:7" x14ac:dyDescent="0.2">
      <c r="A5127" s="11">
        <v>42529</v>
      </c>
      <c r="B5127" s="10">
        <v>557.96</v>
      </c>
      <c r="C5127" s="10">
        <v>559.70000000000005</v>
      </c>
      <c r="D5127" s="10">
        <v>554.05999999999995</v>
      </c>
      <c r="E5127" s="13">
        <f t="shared" si="240"/>
        <v>1.7220352967504305E-3</v>
      </c>
      <c r="F5127" s="9">
        <f t="shared" si="238"/>
        <v>5.0081340773089192E-2</v>
      </c>
      <c r="G5127" s="9">
        <f t="shared" si="239"/>
        <v>1.0069724065949331E-2</v>
      </c>
    </row>
    <row r="5128" spans="1:7" x14ac:dyDescent="0.2">
      <c r="A5128" s="11">
        <v>42530</v>
      </c>
      <c r="B5128" s="10">
        <v>548.57000000000005</v>
      </c>
      <c r="C5128" s="10">
        <v>558.17999999999995</v>
      </c>
      <c r="D5128" s="10">
        <v>547.91999999999996</v>
      </c>
      <c r="E5128" s="13">
        <f t="shared" si="240"/>
        <v>-1.6972382867632686E-2</v>
      </c>
      <c r="F5128" s="9">
        <f t="shared" si="238"/>
        <v>2.8990485721063792E-2</v>
      </c>
      <c r="G5128" s="9">
        <f t="shared" si="239"/>
        <v>1.063650754986868E-2</v>
      </c>
    </row>
    <row r="5129" spans="1:7" x14ac:dyDescent="0.2">
      <c r="A5129" s="11">
        <v>42531</v>
      </c>
      <c r="B5129" s="10">
        <v>540.5</v>
      </c>
      <c r="C5129" s="10">
        <v>548.70000000000005</v>
      </c>
      <c r="D5129" s="10">
        <v>539.59</v>
      </c>
      <c r="E5129" s="13">
        <f t="shared" si="240"/>
        <v>-1.4820255277138854E-2</v>
      </c>
      <c r="F5129" s="9">
        <f t="shared" si="238"/>
        <v>-6.9555872077046244E-3</v>
      </c>
      <c r="G5129" s="9">
        <f t="shared" si="239"/>
        <v>1.0296394457523225E-2</v>
      </c>
    </row>
    <row r="5130" spans="1:7" x14ac:dyDescent="0.2">
      <c r="A5130" s="11">
        <v>42534</v>
      </c>
      <c r="B5130" s="10">
        <v>532.95000000000005</v>
      </c>
      <c r="C5130" s="10">
        <v>540.48</v>
      </c>
      <c r="D5130" s="10">
        <v>530.02</v>
      </c>
      <c r="E5130" s="13">
        <f t="shared" si="240"/>
        <v>-1.406702594411713E-2</v>
      </c>
      <c r="F5130" s="9">
        <f t="shared" si="238"/>
        <v>-3.0323986784494109E-2</v>
      </c>
      <c r="G5130" s="9">
        <f t="shared" si="239"/>
        <v>1.043648513847339E-2</v>
      </c>
    </row>
    <row r="5131" spans="1:7" x14ac:dyDescent="0.2">
      <c r="A5131" s="11">
        <v>42535</v>
      </c>
      <c r="B5131" s="10">
        <v>525.1</v>
      </c>
      <c r="C5131" s="10">
        <v>532.95000000000005</v>
      </c>
      <c r="D5131" s="10">
        <v>525.1</v>
      </c>
      <c r="E5131" s="13">
        <f t="shared" si="240"/>
        <v>-1.4838890491332251E-2</v>
      </c>
      <c r="F5131" s="9">
        <f t="shared" si="238"/>
        <v>-3.774554743359574E-2</v>
      </c>
      <c r="G5131" s="9">
        <f t="shared" si="239"/>
        <v>1.0686309718593542E-2</v>
      </c>
    </row>
    <row r="5132" spans="1:7" x14ac:dyDescent="0.2">
      <c r="A5132" s="11">
        <v>42536</v>
      </c>
      <c r="B5132" s="10">
        <v>527.15</v>
      </c>
      <c r="C5132" s="10">
        <v>530.49</v>
      </c>
      <c r="D5132" s="10">
        <v>524.97</v>
      </c>
      <c r="E5132" s="13">
        <f t="shared" si="240"/>
        <v>3.8964173791449616E-3</v>
      </c>
      <c r="F5132" s="9">
        <f t="shared" si="238"/>
        <v>-2.5693816199259933E-2</v>
      </c>
      <c r="G5132" s="9">
        <f t="shared" si="239"/>
        <v>1.0644513831952475E-2</v>
      </c>
    </row>
    <row r="5133" spans="1:7" x14ac:dyDescent="0.2">
      <c r="A5133" s="11">
        <v>42537</v>
      </c>
      <c r="B5133" s="10">
        <v>514.03</v>
      </c>
      <c r="C5133" s="10">
        <v>526.99</v>
      </c>
      <c r="D5133" s="10">
        <v>513.36</v>
      </c>
      <c r="E5133" s="13">
        <f t="shared" si="240"/>
        <v>-2.5203508512253291E-2</v>
      </c>
      <c r="F5133" s="9">
        <f t="shared" si="238"/>
        <v>-3.4756518784953366E-2</v>
      </c>
      <c r="G5133" s="9">
        <f t="shared" si="239"/>
        <v>1.1225543202762797E-2</v>
      </c>
    </row>
    <row r="5134" spans="1:7" x14ac:dyDescent="0.2">
      <c r="A5134" s="11">
        <v>42538</v>
      </c>
      <c r="B5134" s="10">
        <v>529.45000000000005</v>
      </c>
      <c r="C5134" s="10">
        <v>530.69000000000005</v>
      </c>
      <c r="D5134" s="10">
        <v>515.29999999999995</v>
      </c>
      <c r="E5134" s="13">
        <f t="shared" si="240"/>
        <v>2.9557102365758245E-2</v>
      </c>
      <c r="F5134" s="9">
        <f t="shared" si="238"/>
        <v>-1.0371938680939396E-2</v>
      </c>
      <c r="G5134" s="9">
        <f t="shared" si="239"/>
        <v>1.2554413614800402E-2</v>
      </c>
    </row>
    <row r="5135" spans="1:7" x14ac:dyDescent="0.2">
      <c r="A5135" s="11">
        <v>42541</v>
      </c>
      <c r="B5135" s="10">
        <v>541.98</v>
      </c>
      <c r="C5135" s="10">
        <v>543.29</v>
      </c>
      <c r="D5135" s="10">
        <v>529.62</v>
      </c>
      <c r="E5135" s="13">
        <f t="shared" si="240"/>
        <v>2.3390368513343654E-2</v>
      </c>
      <c r="F5135" s="9">
        <f t="shared" si="238"/>
        <v>1.3429752427292234E-2</v>
      </c>
      <c r="G5135" s="9">
        <f t="shared" si="239"/>
        <v>1.3306285964068545E-2</v>
      </c>
    </row>
    <row r="5136" spans="1:7" x14ac:dyDescent="0.2">
      <c r="A5136" s="11">
        <v>42542</v>
      </c>
      <c r="B5136" s="10">
        <v>541.47</v>
      </c>
      <c r="C5136" s="10">
        <v>542.76</v>
      </c>
      <c r="D5136" s="10">
        <v>538.44000000000005</v>
      </c>
      <c r="E5136" s="13">
        <f t="shared" si="240"/>
        <v>-9.4143714554048574E-4</v>
      </c>
      <c r="F5136" s="9">
        <f t="shared" si="238"/>
        <v>1.7155571483716214E-2</v>
      </c>
      <c r="G5136" s="9">
        <f t="shared" si="239"/>
        <v>1.3272926822109175E-2</v>
      </c>
    </row>
    <row r="5137" spans="1:7" x14ac:dyDescent="0.2">
      <c r="A5137" s="11">
        <v>42543</v>
      </c>
      <c r="B5137" s="10">
        <v>545.75</v>
      </c>
      <c r="C5137" s="10">
        <v>546.75</v>
      </c>
      <c r="D5137" s="10">
        <v>541.17999999999995</v>
      </c>
      <c r="E5137" s="13">
        <f t="shared" si="240"/>
        <v>7.873332185786586E-3</v>
      </c>
      <c r="F5137" s="9">
        <f t="shared" si="238"/>
        <v>2.2064826834702133E-2</v>
      </c>
      <c r="G5137" s="9">
        <f t="shared" si="239"/>
        <v>1.3335426256039137E-2</v>
      </c>
    </row>
    <row r="5138" spans="1:7" x14ac:dyDescent="0.2">
      <c r="A5138" s="11">
        <v>42544</v>
      </c>
      <c r="B5138" s="10">
        <v>549.79</v>
      </c>
      <c r="C5138" s="10">
        <v>553.54999999999995</v>
      </c>
      <c r="D5138" s="10">
        <v>544.88</v>
      </c>
      <c r="E5138" s="13">
        <f t="shared" si="240"/>
        <v>7.3753917035233492E-3</v>
      </c>
      <c r="F5138" s="9">
        <f t="shared" si="238"/>
        <v>2.3054238475666747E-2</v>
      </c>
      <c r="G5138" s="9">
        <f t="shared" si="239"/>
        <v>1.3351587547814656E-2</v>
      </c>
    </row>
    <row r="5139" spans="1:7" x14ac:dyDescent="0.2">
      <c r="A5139" s="11">
        <v>42545</v>
      </c>
      <c r="B5139" s="10">
        <v>531.37</v>
      </c>
      <c r="C5139" s="10">
        <v>547.98</v>
      </c>
      <c r="D5139" s="10">
        <v>515.62</v>
      </c>
      <c r="E5139" s="13">
        <f t="shared" si="240"/>
        <v>-3.4077810049586488E-2</v>
      </c>
      <c r="F5139" s="9">
        <f t="shared" si="238"/>
        <v>-1.3328919512453139E-2</v>
      </c>
      <c r="G5139" s="9">
        <f t="shared" si="239"/>
        <v>1.4831916278735839E-2</v>
      </c>
    </row>
    <row r="5140" spans="1:7" x14ac:dyDescent="0.2">
      <c r="A5140" s="11">
        <v>42548</v>
      </c>
      <c r="B5140" s="10">
        <v>513.73</v>
      </c>
      <c r="C5140" s="10">
        <v>531.30999999999995</v>
      </c>
      <c r="D5140" s="10">
        <v>513.73</v>
      </c>
      <c r="E5140" s="13">
        <f t="shared" si="240"/>
        <v>-3.3760741471705338E-2</v>
      </c>
      <c r="F5140" s="9">
        <f t="shared" si="238"/>
        <v>-4.2231080516618037E-2</v>
      </c>
      <c r="G5140" s="9">
        <f t="shared" si="239"/>
        <v>1.6058386816925056E-2</v>
      </c>
    </row>
    <row r="5141" spans="1:7" x14ac:dyDescent="0.2">
      <c r="A5141" s="11">
        <v>42549</v>
      </c>
      <c r="B5141" s="10">
        <v>526.66</v>
      </c>
      <c r="C5141" s="10">
        <v>528.73</v>
      </c>
      <c r="D5141" s="10">
        <v>514.07000000000005</v>
      </c>
      <c r="E5141" s="13">
        <f t="shared" si="240"/>
        <v>2.4857343432653715E-2</v>
      </c>
      <c r="F5141" s="9">
        <f t="shared" si="238"/>
        <v>-3.1916012384244651E-2</v>
      </c>
      <c r="G5141" s="9">
        <f t="shared" si="239"/>
        <v>1.6532644460778279E-2</v>
      </c>
    </row>
    <row r="5142" spans="1:7" x14ac:dyDescent="0.2">
      <c r="A5142" s="11">
        <v>42550</v>
      </c>
      <c r="B5142" s="10">
        <v>538.59</v>
      </c>
      <c r="C5142" s="10">
        <v>539.07000000000005</v>
      </c>
      <c r="D5142" s="10">
        <v>527.04999999999995</v>
      </c>
      <c r="E5142" s="13">
        <f t="shared" si="240"/>
        <v>2.2399434505908609E-2</v>
      </c>
      <c r="F5142" s="9">
        <f t="shared" si="238"/>
        <v>9.9079989914176263E-3</v>
      </c>
      <c r="G5142" s="9">
        <f t="shared" si="239"/>
        <v>1.670046397687917E-2</v>
      </c>
    </row>
    <row r="5143" spans="1:7" x14ac:dyDescent="0.2">
      <c r="A5143" s="11">
        <v>42551</v>
      </c>
      <c r="B5143" s="10">
        <v>541.23</v>
      </c>
      <c r="C5143" s="10">
        <v>544.66999999999996</v>
      </c>
      <c r="D5143" s="10">
        <v>536.52</v>
      </c>
      <c r="E5143" s="13">
        <f t="shared" si="240"/>
        <v>4.8897135819742062E-3</v>
      </c>
      <c r="F5143" s="9">
        <f t="shared" si="238"/>
        <v>-2.6939273801842981E-3</v>
      </c>
      <c r="G5143" s="9">
        <f t="shared" si="239"/>
        <v>1.6399521570541229E-2</v>
      </c>
    </row>
    <row r="5144" spans="1:7" x14ac:dyDescent="0.2">
      <c r="A5144" s="11">
        <v>42552</v>
      </c>
      <c r="B5144" s="10">
        <v>550.52</v>
      </c>
      <c r="C5144" s="10">
        <v>550.53</v>
      </c>
      <c r="D5144" s="10">
        <v>541.12</v>
      </c>
      <c r="E5144" s="13">
        <f t="shared" si="240"/>
        <v>1.7018958978510464E-2</v>
      </c>
      <c r="F5144" s="9">
        <f t="shared" si="238"/>
        <v>1.4546176762598286E-2</v>
      </c>
      <c r="G5144" s="9">
        <f t="shared" si="239"/>
        <v>1.670435216583965E-2</v>
      </c>
    </row>
    <row r="5145" spans="1:7" x14ac:dyDescent="0.2">
      <c r="A5145" s="11">
        <v>42555</v>
      </c>
      <c r="B5145" s="10">
        <v>546.91999999999996</v>
      </c>
      <c r="C5145" s="10">
        <v>553.87</v>
      </c>
      <c r="D5145" s="10">
        <v>546.9</v>
      </c>
      <c r="E5145" s="13">
        <f t="shared" si="240"/>
        <v>-6.5607466704509449E-3</v>
      </c>
      <c r="F5145" s="9">
        <f t="shared" si="238"/>
        <v>-1.1877679584428478E-3</v>
      </c>
      <c r="G5145" s="9">
        <f t="shared" si="239"/>
        <v>1.6668119819106424E-2</v>
      </c>
    </row>
    <row r="5146" spans="1:7" x14ac:dyDescent="0.2">
      <c r="A5146" s="11">
        <v>42556</v>
      </c>
      <c r="B5146" s="10">
        <v>536.13</v>
      </c>
      <c r="C5146" s="10">
        <v>546.95000000000005</v>
      </c>
      <c r="D5146" s="10">
        <v>535.27</v>
      </c>
      <c r="E5146" s="13">
        <f t="shared" si="240"/>
        <v>-1.9925870464065385E-2</v>
      </c>
      <c r="F5146" s="9">
        <f t="shared" si="238"/>
        <v>-3.6661373061222781E-2</v>
      </c>
      <c r="G5146" s="9">
        <f t="shared" si="239"/>
        <v>1.6784499922121974E-2</v>
      </c>
    </row>
    <row r="5147" spans="1:7" x14ac:dyDescent="0.2">
      <c r="A5147" s="11">
        <v>42557</v>
      </c>
      <c r="B5147" s="10">
        <v>531.41</v>
      </c>
      <c r="C5147" s="10">
        <v>541.6</v>
      </c>
      <c r="D5147" s="10">
        <v>531.41</v>
      </c>
      <c r="E5147" s="13">
        <f t="shared" si="240"/>
        <v>-8.8428176121297056E-3</v>
      </c>
      <c r="F5147" s="9">
        <f t="shared" si="238"/>
        <v>-5.0221984396935627E-2</v>
      </c>
      <c r="G5147" s="9">
        <f t="shared" si="239"/>
        <v>1.6800781028187044E-2</v>
      </c>
    </row>
    <row r="5148" spans="1:7" x14ac:dyDescent="0.2">
      <c r="A5148" s="11">
        <v>42558</v>
      </c>
      <c r="B5148" s="10">
        <v>546.67999999999995</v>
      </c>
      <c r="C5148" s="10">
        <v>546.76</v>
      </c>
      <c r="D5148" s="10">
        <v>531.33000000000004</v>
      </c>
      <c r="E5148" s="13">
        <f t="shared" si="240"/>
        <v>2.8329770731913811E-2</v>
      </c>
      <c r="F5148" s="9">
        <f t="shared" si="238"/>
        <v>-1.5842957655422325E-2</v>
      </c>
      <c r="G5148" s="9">
        <f t="shared" si="239"/>
        <v>1.7675402733867866E-2</v>
      </c>
    </row>
    <row r="5149" spans="1:7" x14ac:dyDescent="0.2">
      <c r="A5149" s="11">
        <v>42559</v>
      </c>
      <c r="B5149" s="10">
        <v>548.15</v>
      </c>
      <c r="C5149" s="10">
        <v>548.65</v>
      </c>
      <c r="D5149" s="10">
        <v>539.38</v>
      </c>
      <c r="E5149" s="13">
        <f t="shared" si="240"/>
        <v>2.6853500239494873E-3</v>
      </c>
      <c r="F5149" s="9">
        <f t="shared" si="238"/>
        <v>-1.9439486283461972E-2</v>
      </c>
      <c r="G5149" s="9">
        <f t="shared" si="239"/>
        <v>1.7638360761298842E-2</v>
      </c>
    </row>
    <row r="5150" spans="1:7" x14ac:dyDescent="0.2">
      <c r="A5150" s="11">
        <v>42562</v>
      </c>
      <c r="B5150" s="10">
        <v>557.29999999999995</v>
      </c>
      <c r="C5150" s="10">
        <v>558.02</v>
      </c>
      <c r="D5150" s="10">
        <v>548.16999999999996</v>
      </c>
      <c r="E5150" s="13">
        <f t="shared" si="240"/>
        <v>1.6554722454941564E-2</v>
      </c>
      <c r="F5150" s="9">
        <f t="shared" si="238"/>
        <v>7.4383261903077733E-3</v>
      </c>
      <c r="G5150" s="9">
        <f t="shared" si="239"/>
        <v>1.7818274273440977E-2</v>
      </c>
    </row>
    <row r="5151" spans="1:7" x14ac:dyDescent="0.2">
      <c r="A5151" s="11">
        <v>42563</v>
      </c>
      <c r="B5151" s="10">
        <v>553.57000000000005</v>
      </c>
      <c r="C5151" s="10">
        <v>557.29</v>
      </c>
      <c r="D5151" s="10">
        <v>550.74</v>
      </c>
      <c r="E5151" s="13">
        <f t="shared" si="240"/>
        <v>-6.7154824918476009E-3</v>
      </c>
      <c r="F5151" s="9">
        <f t="shared" si="238"/>
        <v>1.2359973406123785E-2</v>
      </c>
      <c r="G5151" s="9">
        <f t="shared" si="239"/>
        <v>1.7724136141672842E-2</v>
      </c>
    </row>
    <row r="5152" spans="1:7" x14ac:dyDescent="0.2">
      <c r="A5152" s="11">
        <v>42564</v>
      </c>
      <c r="B5152" s="10">
        <v>555.59</v>
      </c>
      <c r="C5152" s="10">
        <v>556.52</v>
      </c>
      <c r="D5152" s="10">
        <v>551.16999999999996</v>
      </c>
      <c r="E5152" s="13">
        <f t="shared" si="240"/>
        <v>3.6424000744544956E-3</v>
      </c>
      <c r="F5152" s="9">
        <f t="shared" ref="F5152:F5215" si="241">LN(B5152/B5123)</f>
        <v>1.6276749505493564E-2</v>
      </c>
      <c r="G5152" s="9">
        <f t="shared" si="239"/>
        <v>1.7733527708608136E-2</v>
      </c>
    </row>
    <row r="5153" spans="1:7" x14ac:dyDescent="0.2">
      <c r="A5153" s="11">
        <v>42565</v>
      </c>
      <c r="B5153" s="10">
        <v>557.23</v>
      </c>
      <c r="C5153" s="10">
        <v>559.48</v>
      </c>
      <c r="D5153" s="10">
        <v>554.04</v>
      </c>
      <c r="E5153" s="13">
        <f t="shared" si="240"/>
        <v>2.9474689299284684E-3</v>
      </c>
      <c r="F5153" s="9">
        <f t="shared" si="241"/>
        <v>2.4028834232083379E-2</v>
      </c>
      <c r="G5153" s="9">
        <f t="shared" ref="G5153:G5216" si="242">STDEV(E5125:E5153)</f>
        <v>1.770816313240689E-2</v>
      </c>
    </row>
    <row r="5154" spans="1:7" x14ac:dyDescent="0.2">
      <c r="A5154" s="11">
        <v>42566</v>
      </c>
      <c r="B5154" s="10">
        <v>558.39</v>
      </c>
      <c r="C5154" s="10">
        <v>559.35</v>
      </c>
      <c r="D5154" s="10">
        <v>555.07000000000005</v>
      </c>
      <c r="E5154" s="13">
        <f t="shared" si="240"/>
        <v>2.0795618903253692E-3</v>
      </c>
      <c r="F5154" s="9">
        <f t="shared" si="241"/>
        <v>1.4884851688486991E-2</v>
      </c>
      <c r="G5154" s="9">
        <f t="shared" si="242"/>
        <v>1.7597523826387663E-2</v>
      </c>
    </row>
    <row r="5155" spans="1:7" x14ac:dyDescent="0.2">
      <c r="A5155" s="11">
        <v>42569</v>
      </c>
      <c r="B5155" s="10">
        <v>554.96</v>
      </c>
      <c r="C5155" s="10">
        <v>558.91</v>
      </c>
      <c r="D5155" s="10">
        <v>554.04</v>
      </c>
      <c r="E5155" s="13">
        <f t="shared" si="240"/>
        <v>-6.1616039013054945E-3</v>
      </c>
      <c r="F5155" s="9">
        <f t="shared" si="241"/>
        <v>-3.6692008502381261E-3</v>
      </c>
      <c r="G5155" s="9">
        <f t="shared" si="242"/>
        <v>1.7487146249612624E-2</v>
      </c>
    </row>
    <row r="5156" spans="1:7" x14ac:dyDescent="0.2">
      <c r="A5156" s="11">
        <v>42570</v>
      </c>
      <c r="B5156" s="10">
        <v>560.46</v>
      </c>
      <c r="C5156" s="10">
        <v>560.69000000000005</v>
      </c>
      <c r="D5156" s="10">
        <v>554.99</v>
      </c>
      <c r="E5156" s="13">
        <f t="shared" si="240"/>
        <v>9.8618360357664303E-3</v>
      </c>
      <c r="F5156" s="9">
        <f t="shared" si="241"/>
        <v>4.4705998887778113E-3</v>
      </c>
      <c r="G5156" s="9">
        <f t="shared" si="242"/>
        <v>1.7582939596858124E-2</v>
      </c>
    </row>
    <row r="5157" spans="1:7" x14ac:dyDescent="0.2">
      <c r="A5157" s="11">
        <v>42571</v>
      </c>
      <c r="B5157" s="10">
        <v>560.03</v>
      </c>
      <c r="C5157" s="10">
        <v>562.84</v>
      </c>
      <c r="D5157" s="10">
        <v>558.78</v>
      </c>
      <c r="E5157" s="13">
        <f t="shared" si="240"/>
        <v>-7.675213899438801E-4</v>
      </c>
      <c r="F5157" s="9">
        <f t="shared" si="241"/>
        <v>2.0675461366466703E-2</v>
      </c>
      <c r="G5157" s="9">
        <f t="shared" si="242"/>
        <v>1.727399924706512E-2</v>
      </c>
    </row>
    <row r="5158" spans="1:7" x14ac:dyDescent="0.2">
      <c r="A5158" s="11">
        <v>42572</v>
      </c>
      <c r="B5158" s="10">
        <v>567.1</v>
      </c>
      <c r="C5158" s="10">
        <v>568.11</v>
      </c>
      <c r="D5158" s="10">
        <v>560.05999999999995</v>
      </c>
      <c r="E5158" s="13">
        <f t="shared" si="240"/>
        <v>1.2545301297113896E-2</v>
      </c>
      <c r="F5158" s="9">
        <f t="shared" si="241"/>
        <v>4.8041017940719383E-2</v>
      </c>
      <c r="G5158" s="9">
        <f t="shared" si="242"/>
        <v>1.7142106062675837E-2</v>
      </c>
    </row>
    <row r="5159" spans="1:7" x14ac:dyDescent="0.2">
      <c r="A5159" s="11">
        <v>42573</v>
      </c>
      <c r="B5159" s="10">
        <v>560.82000000000005</v>
      </c>
      <c r="C5159" s="10">
        <v>567.01</v>
      </c>
      <c r="D5159" s="10">
        <v>560.30999999999995</v>
      </c>
      <c r="E5159" s="13">
        <f t="shared" si="240"/>
        <v>-1.113565659743525E-2</v>
      </c>
      <c r="F5159" s="9">
        <f t="shared" si="241"/>
        <v>5.0972387287401201E-2</v>
      </c>
      <c r="G5159" s="9">
        <f t="shared" si="242"/>
        <v>1.7054496257641771E-2</v>
      </c>
    </row>
    <row r="5160" spans="1:7" x14ac:dyDescent="0.2">
      <c r="A5160" s="11">
        <v>42576</v>
      </c>
      <c r="B5160" s="10">
        <v>553.5</v>
      </c>
      <c r="C5160" s="10">
        <v>562.62</v>
      </c>
      <c r="D5160" s="10">
        <v>553.49</v>
      </c>
      <c r="E5160" s="13">
        <f t="shared" si="240"/>
        <v>-1.3138246273855628E-2</v>
      </c>
      <c r="F5160" s="9">
        <f t="shared" si="241"/>
        <v>5.2673031504878003E-2</v>
      </c>
      <c r="G5160" s="9">
        <f t="shared" si="242"/>
        <v>1.6998220882369318E-2</v>
      </c>
    </row>
    <row r="5161" spans="1:7" x14ac:dyDescent="0.2">
      <c r="A5161" s="11">
        <v>42577</v>
      </c>
      <c r="B5161" s="10">
        <v>554.94000000000005</v>
      </c>
      <c r="C5161" s="10">
        <v>555.19000000000005</v>
      </c>
      <c r="D5161" s="10">
        <v>550.48</v>
      </c>
      <c r="E5161" s="13">
        <f t="shared" si="240"/>
        <v>2.5982476455321899E-3</v>
      </c>
      <c r="F5161" s="9">
        <f t="shared" si="241"/>
        <v>5.1374861771265247E-2</v>
      </c>
      <c r="G5161" s="9">
        <f t="shared" si="242"/>
        <v>1.6994256214807591E-2</v>
      </c>
    </row>
    <row r="5162" spans="1:7" x14ac:dyDescent="0.2">
      <c r="A5162" s="11">
        <v>42578</v>
      </c>
      <c r="B5162" s="10">
        <v>557.03</v>
      </c>
      <c r="C5162" s="10">
        <v>557.47</v>
      </c>
      <c r="D5162" s="10">
        <v>549.39</v>
      </c>
      <c r="E5162" s="13">
        <f t="shared" si="240"/>
        <v>3.7590986467577999E-3</v>
      </c>
      <c r="F5162" s="9">
        <f t="shared" si="241"/>
        <v>8.0337468930276199E-2</v>
      </c>
      <c r="G5162" s="9">
        <f t="shared" si="242"/>
        <v>1.6184101901279276E-2</v>
      </c>
    </row>
    <row r="5163" spans="1:7" x14ac:dyDescent="0.2">
      <c r="A5163" s="11">
        <v>42579</v>
      </c>
      <c r="B5163" s="10">
        <v>549.15</v>
      </c>
      <c r="C5163" s="10">
        <v>557.07000000000005</v>
      </c>
      <c r="D5163" s="10">
        <v>549.12</v>
      </c>
      <c r="E5163" s="13">
        <f t="shared" si="240"/>
        <v>-1.4247470206626698E-2</v>
      </c>
      <c r="F5163" s="9">
        <f t="shared" si="241"/>
        <v>3.653289635789133E-2</v>
      </c>
      <c r="G5163" s="9">
        <f t="shared" si="242"/>
        <v>1.562941984127092E-2</v>
      </c>
    </row>
    <row r="5164" spans="1:7" x14ac:dyDescent="0.2">
      <c r="A5164" s="11">
        <v>42580</v>
      </c>
      <c r="B5164" s="10">
        <v>545.54999999999995</v>
      </c>
      <c r="C5164" s="10">
        <v>550.69000000000005</v>
      </c>
      <c r="D5164" s="10">
        <v>545.34</v>
      </c>
      <c r="E5164" s="13">
        <f t="shared" si="240"/>
        <v>-6.5771681332471923E-3</v>
      </c>
      <c r="F5164" s="9">
        <f t="shared" si="241"/>
        <v>6.565359711300415E-3</v>
      </c>
      <c r="G5164" s="9">
        <f t="shared" si="242"/>
        <v>1.5095518927196372E-2</v>
      </c>
    </row>
    <row r="5165" spans="1:7" x14ac:dyDescent="0.2">
      <c r="A5165" s="11">
        <v>42583</v>
      </c>
      <c r="B5165" s="10">
        <v>542.88</v>
      </c>
      <c r="C5165" s="10">
        <v>551.78</v>
      </c>
      <c r="D5165" s="10">
        <v>541.57000000000005</v>
      </c>
      <c r="E5165" s="13">
        <f t="shared" si="240"/>
        <v>-4.9061590651876142E-3</v>
      </c>
      <c r="F5165" s="9">
        <f t="shared" si="241"/>
        <v>2.6006377916533265E-3</v>
      </c>
      <c r="G5165" s="9">
        <f t="shared" si="242"/>
        <v>1.5124399144105188E-2</v>
      </c>
    </row>
    <row r="5166" spans="1:7" x14ac:dyDescent="0.2">
      <c r="A5166" s="11">
        <v>42584</v>
      </c>
      <c r="B5166" s="10">
        <v>537.70000000000005</v>
      </c>
      <c r="C5166" s="10">
        <v>542.80999999999995</v>
      </c>
      <c r="D5166" s="10">
        <v>536.4</v>
      </c>
      <c r="E5166" s="13">
        <f t="shared" si="240"/>
        <v>-9.587517220287476E-3</v>
      </c>
      <c r="F5166" s="9">
        <f t="shared" si="241"/>
        <v>-1.4860211614420801E-2</v>
      </c>
      <c r="G5166" s="9">
        <f t="shared" si="242"/>
        <v>1.5150999783014115E-2</v>
      </c>
    </row>
    <row r="5167" spans="1:7" x14ac:dyDescent="0.2">
      <c r="A5167" s="11">
        <v>42585</v>
      </c>
      <c r="B5167" s="10">
        <v>534.62</v>
      </c>
      <c r="C5167" s="10">
        <v>538.25</v>
      </c>
      <c r="D5167" s="10">
        <v>532.85</v>
      </c>
      <c r="E5167" s="13">
        <f t="shared" si="240"/>
        <v>-5.7445696620711389E-3</v>
      </c>
      <c r="F5167" s="9">
        <f t="shared" si="241"/>
        <v>-2.7980172980015264E-2</v>
      </c>
      <c r="G5167" s="9">
        <f t="shared" si="242"/>
        <v>1.5102862072538588E-2</v>
      </c>
    </row>
    <row r="5168" spans="1:7" x14ac:dyDescent="0.2">
      <c r="A5168" s="11">
        <v>42586</v>
      </c>
      <c r="B5168" s="10">
        <v>541.27</v>
      </c>
      <c r="C5168" s="10">
        <v>542.86</v>
      </c>
      <c r="D5168" s="10">
        <v>534.84</v>
      </c>
      <c r="E5168" s="13">
        <f t="shared" si="240"/>
        <v>1.2362015981603115E-2</v>
      </c>
      <c r="F5168" s="9">
        <f t="shared" si="241"/>
        <v>1.8459653051174352E-2</v>
      </c>
      <c r="G5168" s="9">
        <f t="shared" si="242"/>
        <v>1.3878900488791937E-2</v>
      </c>
    </row>
    <row r="5169" spans="1:7" x14ac:dyDescent="0.2">
      <c r="A5169" s="11">
        <v>42587</v>
      </c>
      <c r="B5169" s="10">
        <v>545.58000000000004</v>
      </c>
      <c r="C5169" s="10">
        <v>545.9</v>
      </c>
      <c r="D5169" s="10">
        <v>541.25</v>
      </c>
      <c r="E5169" s="13">
        <f t="shared" si="240"/>
        <v>7.931218830712107E-3</v>
      </c>
      <c r="F5169" s="9">
        <f t="shared" si="241"/>
        <v>6.0151613353591704E-2</v>
      </c>
      <c r="G5169" s="9">
        <f t="shared" si="242"/>
        <v>1.2252651880674884E-2</v>
      </c>
    </row>
    <row r="5170" spans="1:7" x14ac:dyDescent="0.2">
      <c r="A5170" s="11">
        <v>42590</v>
      </c>
      <c r="B5170" s="10">
        <v>547.29999999999995</v>
      </c>
      <c r="C5170" s="10">
        <v>547.95000000000005</v>
      </c>
      <c r="D5170" s="10">
        <v>545.29999999999995</v>
      </c>
      <c r="E5170" s="13">
        <f t="shared" si="240"/>
        <v>3.1476491839957875E-3</v>
      </c>
      <c r="F5170" s="9">
        <f t="shared" si="241"/>
        <v>3.8441919104933719E-2</v>
      </c>
      <c r="G5170" s="9">
        <f t="shared" si="242"/>
        <v>1.1447703573030085E-2</v>
      </c>
    </row>
    <row r="5171" spans="1:7" x14ac:dyDescent="0.2">
      <c r="A5171" s="11">
        <v>42591</v>
      </c>
      <c r="B5171" s="10">
        <v>555.17999999999995</v>
      </c>
      <c r="C5171" s="10">
        <v>555.17999999999995</v>
      </c>
      <c r="D5171" s="10">
        <v>545.79999999999995</v>
      </c>
      <c r="E5171" s="13">
        <f t="shared" si="240"/>
        <v>1.4295287339121448E-2</v>
      </c>
      <c r="F5171" s="9">
        <f t="shared" si="241"/>
        <v>3.0337771938146532E-2</v>
      </c>
      <c r="G5171" s="9">
        <f t="shared" si="242"/>
        <v>1.1005256808395132E-2</v>
      </c>
    </row>
    <row r="5172" spans="1:7" x14ac:dyDescent="0.2">
      <c r="A5172" s="11">
        <v>42592</v>
      </c>
      <c r="B5172" s="10">
        <v>552.21</v>
      </c>
      <c r="C5172" s="10">
        <v>554.84</v>
      </c>
      <c r="D5172" s="10">
        <v>550.41999999999996</v>
      </c>
      <c r="E5172" s="13">
        <f t="shared" si="240"/>
        <v>-5.3639767762533467E-3</v>
      </c>
      <c r="F5172" s="9">
        <f t="shared" si="241"/>
        <v>2.0084081579919158E-2</v>
      </c>
      <c r="G5172" s="9">
        <f t="shared" si="242"/>
        <v>1.1042013677035629E-2</v>
      </c>
    </row>
    <row r="5173" spans="1:7" x14ac:dyDescent="0.2">
      <c r="A5173" s="11">
        <v>42593</v>
      </c>
      <c r="B5173" s="10">
        <v>552.9</v>
      </c>
      <c r="C5173" s="10">
        <v>552.9</v>
      </c>
      <c r="D5173" s="10">
        <v>548.85</v>
      </c>
      <c r="E5173" s="13">
        <f t="shared" si="240"/>
        <v>1.2487446311467382E-3</v>
      </c>
      <c r="F5173" s="9">
        <f t="shared" si="241"/>
        <v>4.3138672325554002E-3</v>
      </c>
      <c r="G5173" s="9">
        <f t="shared" si="242"/>
        <v>1.0588254719775845E-2</v>
      </c>
    </row>
    <row r="5174" spans="1:7" x14ac:dyDescent="0.2">
      <c r="A5174" s="11">
        <v>42594</v>
      </c>
      <c r="B5174" s="10">
        <v>552.52</v>
      </c>
      <c r="C5174" s="10">
        <v>557.61</v>
      </c>
      <c r="D5174" s="10">
        <v>551.88</v>
      </c>
      <c r="E5174" s="13">
        <f t="shared" si="240"/>
        <v>-6.8752151212821036E-4</v>
      </c>
      <c r="F5174" s="9">
        <f t="shared" si="241"/>
        <v>1.0187092390878226E-2</v>
      </c>
      <c r="G5174" s="9">
        <f t="shared" si="242"/>
        <v>1.0511225880547318E-2</v>
      </c>
    </row>
    <row r="5175" spans="1:7" x14ac:dyDescent="0.2">
      <c r="A5175" s="11">
        <v>42597</v>
      </c>
      <c r="B5175" s="10">
        <v>549.77</v>
      </c>
      <c r="C5175" s="10">
        <v>553.62</v>
      </c>
      <c r="D5175" s="10">
        <v>548.49</v>
      </c>
      <c r="E5175" s="13">
        <f t="shared" si="240"/>
        <v>-4.9896228858251285E-3</v>
      </c>
      <c r="F5175" s="9">
        <f t="shared" si="241"/>
        <v>2.5123339969118523E-2</v>
      </c>
      <c r="G5175" s="9">
        <f t="shared" si="242"/>
        <v>9.8257569272347332E-3</v>
      </c>
    </row>
    <row r="5176" spans="1:7" x14ac:dyDescent="0.2">
      <c r="A5176" s="11">
        <v>42598</v>
      </c>
      <c r="B5176" s="10">
        <v>549.29</v>
      </c>
      <c r="C5176" s="10">
        <v>551.52</v>
      </c>
      <c r="D5176" s="10">
        <v>546.29</v>
      </c>
      <c r="E5176" s="13">
        <f t="shared" si="240"/>
        <v>-8.7347375123885231E-4</v>
      </c>
      <c r="F5176" s="9">
        <f t="shared" si="241"/>
        <v>3.3092683830009295E-2</v>
      </c>
      <c r="G5176" s="9">
        <f t="shared" si="242"/>
        <v>9.6544650261385975E-3</v>
      </c>
    </row>
    <row r="5177" spans="1:7" x14ac:dyDescent="0.2">
      <c r="A5177" s="11">
        <v>42599</v>
      </c>
      <c r="B5177" s="10">
        <v>539.04999999999995</v>
      </c>
      <c r="C5177" s="10">
        <v>550.54</v>
      </c>
      <c r="D5177" s="10">
        <v>539.04999999999995</v>
      </c>
      <c r="E5177" s="13">
        <f t="shared" si="240"/>
        <v>-1.8818204209568295E-2</v>
      </c>
      <c r="F5177" s="9">
        <f t="shared" si="241"/>
        <v>-1.4055291111472778E-2</v>
      </c>
      <c r="G5177" s="9">
        <f t="shared" si="242"/>
        <v>8.8486141038256454E-3</v>
      </c>
    </row>
    <row r="5178" spans="1:7" x14ac:dyDescent="0.2">
      <c r="A5178" s="11">
        <v>42600</v>
      </c>
      <c r="B5178" s="10">
        <v>541.82000000000005</v>
      </c>
      <c r="C5178" s="10">
        <v>544.92999999999995</v>
      </c>
      <c r="D5178" s="10">
        <v>538.94000000000005</v>
      </c>
      <c r="E5178" s="13">
        <f t="shared" si="240"/>
        <v>5.1255119749656674E-3</v>
      </c>
      <c r="F5178" s="9">
        <f t="shared" si="241"/>
        <v>-1.1615129160456391E-2</v>
      </c>
      <c r="G5178" s="9">
        <f t="shared" si="242"/>
        <v>8.8913340058444298E-3</v>
      </c>
    </row>
    <row r="5179" spans="1:7" x14ac:dyDescent="0.2">
      <c r="A5179" s="11">
        <v>42601</v>
      </c>
      <c r="B5179" s="10">
        <v>544.39</v>
      </c>
      <c r="C5179" s="10">
        <v>545.83000000000004</v>
      </c>
      <c r="D5179" s="10">
        <v>541.63</v>
      </c>
      <c r="E5179" s="13">
        <f t="shared" si="240"/>
        <v>4.7320588020725177E-3</v>
      </c>
      <c r="F5179" s="9">
        <f t="shared" si="241"/>
        <v>-2.3437792813325399E-2</v>
      </c>
      <c r="G5179" s="9">
        <f t="shared" si="242"/>
        <v>8.3401057913841722E-3</v>
      </c>
    </row>
    <row r="5180" spans="1:7" x14ac:dyDescent="0.2">
      <c r="A5180" s="11">
        <v>42604</v>
      </c>
      <c r="B5180" s="10">
        <v>544.78</v>
      </c>
      <c r="C5180" s="10">
        <v>546.70000000000005</v>
      </c>
      <c r="D5180" s="10">
        <v>542.1</v>
      </c>
      <c r="E5180" s="13">
        <f t="shared" si="240"/>
        <v>7.1614167975226012E-4</v>
      </c>
      <c r="F5180" s="9">
        <f t="shared" si="241"/>
        <v>-1.6006168641725525E-2</v>
      </c>
      <c r="G5180" s="9">
        <f t="shared" si="242"/>
        <v>8.2659572666966552E-3</v>
      </c>
    </row>
    <row r="5181" spans="1:7" x14ac:dyDescent="0.2">
      <c r="A5181" s="11">
        <v>42605</v>
      </c>
      <c r="B5181" s="10">
        <v>550.22</v>
      </c>
      <c r="C5181" s="10">
        <v>550.45000000000005</v>
      </c>
      <c r="D5181" s="10">
        <v>543.45000000000005</v>
      </c>
      <c r="E5181" s="13">
        <f t="shared" si="240"/>
        <v>9.9361548059260819E-3</v>
      </c>
      <c r="F5181" s="9">
        <f t="shared" si="241"/>
        <v>-9.7124139102539066E-3</v>
      </c>
      <c r="G5181" s="9">
        <f t="shared" si="242"/>
        <v>8.4603509779156635E-3</v>
      </c>
    </row>
    <row r="5182" spans="1:7" x14ac:dyDescent="0.2">
      <c r="A5182" s="11">
        <v>42606</v>
      </c>
      <c r="B5182" s="10">
        <v>550.57000000000005</v>
      </c>
      <c r="C5182" s="10">
        <v>552.86</v>
      </c>
      <c r="D5182" s="10">
        <v>547.83000000000004</v>
      </c>
      <c r="E5182" s="13">
        <f t="shared" si="240"/>
        <v>6.3590696099043512E-4</v>
      </c>
      <c r="F5182" s="9">
        <f t="shared" si="241"/>
        <v>-1.2023975879191851E-2</v>
      </c>
      <c r="G5182" s="9">
        <f t="shared" si="242"/>
        <v>8.4391843307122256E-3</v>
      </c>
    </row>
    <row r="5183" spans="1:7" x14ac:dyDescent="0.2">
      <c r="A5183" s="11">
        <v>42607</v>
      </c>
      <c r="B5183" s="10">
        <v>548.19000000000005</v>
      </c>
      <c r="C5183" s="10">
        <v>550.59</v>
      </c>
      <c r="D5183" s="10">
        <v>545.19000000000005</v>
      </c>
      <c r="E5183" s="13">
        <f t="shared" si="240"/>
        <v>-4.3321630242213168E-3</v>
      </c>
      <c r="F5183" s="9">
        <f t="shared" si="241"/>
        <v>-1.8435700793738637E-2</v>
      </c>
      <c r="G5183" s="9">
        <f t="shared" si="242"/>
        <v>8.4554798564835734E-3</v>
      </c>
    </row>
    <row r="5184" spans="1:7" x14ac:dyDescent="0.2">
      <c r="A5184" s="11">
        <v>42608</v>
      </c>
      <c r="B5184" s="10">
        <v>549.79999999999995</v>
      </c>
      <c r="C5184" s="10">
        <v>549.98</v>
      </c>
      <c r="D5184" s="10">
        <v>545.86</v>
      </c>
      <c r="E5184" s="13">
        <f t="shared" si="240"/>
        <v>2.9326335465324569E-3</v>
      </c>
      <c r="F5184" s="9">
        <f t="shared" si="241"/>
        <v>-9.3414633459007069E-3</v>
      </c>
      <c r="G5184" s="9">
        <f t="shared" si="242"/>
        <v>8.4117469918840605E-3</v>
      </c>
    </row>
    <row r="5185" spans="1:7" x14ac:dyDescent="0.2">
      <c r="A5185" s="11">
        <v>42611</v>
      </c>
      <c r="B5185" s="10">
        <v>548.19000000000005</v>
      </c>
      <c r="C5185" s="10">
        <v>549.79</v>
      </c>
      <c r="D5185" s="10">
        <v>545.27</v>
      </c>
      <c r="E5185" s="13">
        <f t="shared" si="240"/>
        <v>-2.932633546532574E-3</v>
      </c>
      <c r="F5185" s="9">
        <f t="shared" si="241"/>
        <v>-2.2135932928199684E-2</v>
      </c>
      <c r="G5185" s="9">
        <f t="shared" si="242"/>
        <v>8.191168392332672E-3</v>
      </c>
    </row>
    <row r="5186" spans="1:7" x14ac:dyDescent="0.2">
      <c r="A5186" s="11">
        <v>42612</v>
      </c>
      <c r="B5186" s="10">
        <v>553.09</v>
      </c>
      <c r="C5186" s="10">
        <v>554.37</v>
      </c>
      <c r="D5186" s="10">
        <v>547.91</v>
      </c>
      <c r="E5186" s="13">
        <f t="shared" si="240"/>
        <v>8.8987947393597173E-3</v>
      </c>
      <c r="F5186" s="9">
        <f t="shared" si="241"/>
        <v>-1.2469616798896164E-2</v>
      </c>
      <c r="G5186" s="9">
        <f t="shared" si="242"/>
        <v>8.3853633820241795E-3</v>
      </c>
    </row>
    <row r="5187" spans="1:7" x14ac:dyDescent="0.2">
      <c r="A5187" s="11">
        <v>42613</v>
      </c>
      <c r="B5187" s="10">
        <v>550.03</v>
      </c>
      <c r="C5187" s="10">
        <v>553.30999999999995</v>
      </c>
      <c r="D5187" s="10">
        <v>549.91999999999996</v>
      </c>
      <c r="E5187" s="13">
        <f t="shared" si="240"/>
        <v>-5.547914730459548E-3</v>
      </c>
      <c r="F5187" s="9">
        <f t="shared" si="241"/>
        <v>-3.0562832826469589E-2</v>
      </c>
      <c r="G5187" s="9">
        <f t="shared" si="242"/>
        <v>8.0519465017775977E-3</v>
      </c>
    </row>
    <row r="5188" spans="1:7" x14ac:dyDescent="0.2">
      <c r="A5188" s="11">
        <v>42614</v>
      </c>
      <c r="B5188" s="10">
        <v>546.54</v>
      </c>
      <c r="C5188" s="10">
        <v>551.98</v>
      </c>
      <c r="D5188" s="10">
        <v>546.02</v>
      </c>
      <c r="E5188" s="13">
        <f t="shared" ref="E5188:E5251" si="243">LN(B5188/B5187)</f>
        <v>-6.365324208739415E-3</v>
      </c>
      <c r="F5188" s="9">
        <f t="shared" si="241"/>
        <v>-2.5792500437773754E-2</v>
      </c>
      <c r="G5188" s="9">
        <f t="shared" si="242"/>
        <v>7.8856384380564162E-3</v>
      </c>
    </row>
    <row r="5189" spans="1:7" x14ac:dyDescent="0.2">
      <c r="A5189" s="11">
        <v>42615</v>
      </c>
      <c r="B5189" s="10">
        <v>553.55999999999995</v>
      </c>
      <c r="C5189" s="10">
        <v>553.82000000000005</v>
      </c>
      <c r="D5189" s="10">
        <v>544.55999999999995</v>
      </c>
      <c r="E5189" s="13">
        <f t="shared" si="243"/>
        <v>1.2762649372956021E-2</v>
      </c>
      <c r="F5189" s="9">
        <f t="shared" si="241"/>
        <v>1.0839520903772528E-4</v>
      </c>
      <c r="G5189" s="9">
        <f t="shared" si="242"/>
        <v>7.9154985407669833E-3</v>
      </c>
    </row>
    <row r="5190" spans="1:7" x14ac:dyDescent="0.2">
      <c r="A5190" s="11">
        <v>42618</v>
      </c>
      <c r="B5190" s="10">
        <v>557.13</v>
      </c>
      <c r="C5190" s="10">
        <v>559.5</v>
      </c>
      <c r="D5190" s="10">
        <v>553.76</v>
      </c>
      <c r="E5190" s="13">
        <f t="shared" si="243"/>
        <v>6.4284585153419728E-3</v>
      </c>
      <c r="F5190" s="9">
        <f t="shared" si="241"/>
        <v>3.9386060788475855E-3</v>
      </c>
      <c r="G5190" s="9">
        <f t="shared" si="242"/>
        <v>7.9919221617918788E-3</v>
      </c>
    </row>
    <row r="5191" spans="1:7" x14ac:dyDescent="0.2">
      <c r="A5191" s="11">
        <v>42619</v>
      </c>
      <c r="B5191" s="10">
        <v>552.04</v>
      </c>
      <c r="C5191" s="10">
        <v>558.04</v>
      </c>
      <c r="D5191" s="10">
        <v>552.02</v>
      </c>
      <c r="E5191" s="13">
        <f t="shared" si="243"/>
        <v>-9.1780984532320812E-3</v>
      </c>
      <c r="F5191" s="9">
        <f t="shared" si="241"/>
        <v>-8.9985910211424092E-3</v>
      </c>
      <c r="G5191" s="9">
        <f t="shared" si="242"/>
        <v>8.142113434360141E-3</v>
      </c>
    </row>
    <row r="5192" spans="1:7" x14ac:dyDescent="0.2">
      <c r="A5192" s="11">
        <v>42620</v>
      </c>
      <c r="B5192" s="10">
        <v>555.34</v>
      </c>
      <c r="C5192" s="10">
        <v>555.35</v>
      </c>
      <c r="D5192" s="10">
        <v>552.05999999999995</v>
      </c>
      <c r="E5192" s="13">
        <f t="shared" si="243"/>
        <v>5.9600313687029147E-3</v>
      </c>
      <c r="F5192" s="9">
        <f t="shared" si="241"/>
        <v>1.1208910554187292E-2</v>
      </c>
      <c r="G5192" s="9">
        <f t="shared" si="242"/>
        <v>7.7626019799484757E-3</v>
      </c>
    </row>
    <row r="5193" spans="1:7" x14ac:dyDescent="0.2">
      <c r="A5193" s="11">
        <v>42621</v>
      </c>
      <c r="B5193" s="10">
        <v>553.55999999999995</v>
      </c>
      <c r="C5193" s="10">
        <v>558.91999999999996</v>
      </c>
      <c r="D5193" s="10">
        <v>552.65</v>
      </c>
      <c r="E5193" s="13">
        <f t="shared" si="243"/>
        <v>-3.2103914308126967E-3</v>
      </c>
      <c r="F5193" s="9">
        <f t="shared" si="241"/>
        <v>1.4575687256621651E-2</v>
      </c>
      <c r="G5193" s="9">
        <f t="shared" si="242"/>
        <v>7.6794663511624813E-3</v>
      </c>
    </row>
    <row r="5194" spans="1:7" x14ac:dyDescent="0.2">
      <c r="A5194" s="11">
        <v>42622</v>
      </c>
      <c r="B5194" s="10">
        <v>547.80999999999995</v>
      </c>
      <c r="C5194" s="10">
        <v>555.66</v>
      </c>
      <c r="D5194" s="10">
        <v>547.26</v>
      </c>
      <c r="E5194" s="13">
        <f t="shared" si="243"/>
        <v>-1.0441635857837214E-2</v>
      </c>
      <c r="F5194" s="9">
        <f t="shared" si="241"/>
        <v>9.0402104639721644E-3</v>
      </c>
      <c r="G5194" s="9">
        <f t="shared" si="242"/>
        <v>7.8847566007091818E-3</v>
      </c>
    </row>
    <row r="5195" spans="1:7" x14ac:dyDescent="0.2">
      <c r="A5195" s="11">
        <v>42625</v>
      </c>
      <c r="B5195" s="10">
        <v>537.79999999999995</v>
      </c>
      <c r="C5195" s="10">
        <v>547.76</v>
      </c>
      <c r="D5195" s="10">
        <v>532.29</v>
      </c>
      <c r="E5195" s="13">
        <f t="shared" si="243"/>
        <v>-1.8441767665127864E-2</v>
      </c>
      <c r="F5195" s="9">
        <f t="shared" si="241"/>
        <v>1.8596001913177861E-4</v>
      </c>
      <c r="G5195" s="9">
        <f t="shared" si="242"/>
        <v>8.4340679462232924E-3</v>
      </c>
    </row>
    <row r="5196" spans="1:7" x14ac:dyDescent="0.2">
      <c r="A5196" s="11">
        <v>42626</v>
      </c>
      <c r="B5196" s="10">
        <v>532.54</v>
      </c>
      <c r="C5196" s="10">
        <v>540.73</v>
      </c>
      <c r="D5196" s="10">
        <v>532.16999999999996</v>
      </c>
      <c r="E5196" s="13">
        <f t="shared" si="243"/>
        <v>-9.8287317014605323E-3</v>
      </c>
      <c r="F5196" s="9">
        <f t="shared" si="241"/>
        <v>-3.8982020202576019E-3</v>
      </c>
      <c r="G5196" s="9">
        <f t="shared" si="242"/>
        <v>8.5665861237476278E-3</v>
      </c>
    </row>
    <row r="5197" spans="1:7" x14ac:dyDescent="0.2">
      <c r="A5197" s="11">
        <v>42627</v>
      </c>
      <c r="B5197" s="10">
        <v>532.30999999999995</v>
      </c>
      <c r="C5197" s="10">
        <v>535.9</v>
      </c>
      <c r="D5197" s="10">
        <v>530.47</v>
      </c>
      <c r="E5197" s="13">
        <f t="shared" si="243"/>
        <v>-4.3198573240687779E-4</v>
      </c>
      <c r="F5197" s="9">
        <f t="shared" si="241"/>
        <v>-1.6692203734267629E-2</v>
      </c>
      <c r="G5197" s="9">
        <f t="shared" si="242"/>
        <v>8.2225786517441217E-3</v>
      </c>
    </row>
    <row r="5198" spans="1:7" x14ac:dyDescent="0.2">
      <c r="A5198" s="11">
        <v>42628</v>
      </c>
      <c r="B5198" s="10">
        <v>527.01</v>
      </c>
      <c r="C5198" s="10">
        <v>531.52</v>
      </c>
      <c r="D5198" s="10">
        <v>526.89</v>
      </c>
      <c r="E5198" s="13">
        <f t="shared" si="243"/>
        <v>-1.0006502707495511E-2</v>
      </c>
      <c r="F5198" s="9">
        <f t="shared" si="241"/>
        <v>-3.4629925272475319E-2</v>
      </c>
      <c r="G5198" s="9">
        <f t="shared" si="242"/>
        <v>8.2344731743793018E-3</v>
      </c>
    </row>
    <row r="5199" spans="1:7" x14ac:dyDescent="0.2">
      <c r="A5199" s="11">
        <v>42629</v>
      </c>
      <c r="B5199" s="10">
        <v>531.08000000000004</v>
      </c>
      <c r="C5199" s="10">
        <v>532.64</v>
      </c>
      <c r="D5199" s="10">
        <v>526.92999999999995</v>
      </c>
      <c r="E5199" s="13">
        <f t="shared" si="243"/>
        <v>7.6931453343001433E-3</v>
      </c>
      <c r="F5199" s="9">
        <f t="shared" si="241"/>
        <v>-3.008442912217105E-2</v>
      </c>
      <c r="G5199" s="9">
        <f t="shared" si="242"/>
        <v>8.3623380940881665E-3</v>
      </c>
    </row>
    <row r="5200" spans="1:7" x14ac:dyDescent="0.2">
      <c r="A5200" s="11">
        <v>42632</v>
      </c>
      <c r="B5200" s="10">
        <v>537.41999999999996</v>
      </c>
      <c r="C5200" s="10">
        <v>537.66</v>
      </c>
      <c r="D5200" s="10">
        <v>531.13</v>
      </c>
      <c r="E5200" s="13">
        <f t="shared" si="243"/>
        <v>1.1867242687457398E-2</v>
      </c>
      <c r="F5200" s="9">
        <f t="shared" si="241"/>
        <v>-3.2512473773834906E-2</v>
      </c>
      <c r="G5200" s="9">
        <f t="shared" si="242"/>
        <v>8.2141837173293347E-3</v>
      </c>
    </row>
    <row r="5201" spans="1:7" x14ac:dyDescent="0.2">
      <c r="A5201" s="11">
        <v>42633</v>
      </c>
      <c r="B5201" s="10">
        <v>539.17999999999995</v>
      </c>
      <c r="C5201" s="10">
        <v>539.66</v>
      </c>
      <c r="D5201" s="10">
        <v>534.58000000000004</v>
      </c>
      <c r="E5201" s="13">
        <f t="shared" si="243"/>
        <v>3.2695552068828723E-3</v>
      </c>
      <c r="F5201" s="9">
        <f t="shared" si="241"/>
        <v>-2.3878941790698657E-2</v>
      </c>
      <c r="G5201" s="9">
        <f t="shared" si="242"/>
        <v>8.2113699828866172E-3</v>
      </c>
    </row>
    <row r="5202" spans="1:7" x14ac:dyDescent="0.2">
      <c r="A5202" s="11">
        <v>42634</v>
      </c>
      <c r="B5202" s="10">
        <v>540.26</v>
      </c>
      <c r="C5202" s="10">
        <v>542.79</v>
      </c>
      <c r="D5202" s="10">
        <v>537.97</v>
      </c>
      <c r="E5202" s="13">
        <f t="shared" si="243"/>
        <v>2.0010382427441803E-3</v>
      </c>
      <c r="F5202" s="9">
        <f t="shared" si="241"/>
        <v>-2.3126648179101265E-2</v>
      </c>
      <c r="G5202" s="9">
        <f t="shared" si="242"/>
        <v>8.2193345365477143E-3</v>
      </c>
    </row>
    <row r="5203" spans="1:7" x14ac:dyDescent="0.2">
      <c r="A5203" s="11">
        <v>42635</v>
      </c>
      <c r="B5203" s="10">
        <v>548.07000000000005</v>
      </c>
      <c r="C5203" s="10">
        <v>550.92999999999995</v>
      </c>
      <c r="D5203" s="10">
        <v>540.29999999999995</v>
      </c>
      <c r="E5203" s="13">
        <f t="shared" si="243"/>
        <v>1.4352510851802261E-2</v>
      </c>
      <c r="F5203" s="9">
        <f t="shared" si="241"/>
        <v>-8.0866158151708389E-3</v>
      </c>
      <c r="G5203" s="9">
        <f t="shared" si="242"/>
        <v>8.6876732203032894E-3</v>
      </c>
    </row>
    <row r="5204" spans="1:7" x14ac:dyDescent="0.2">
      <c r="A5204" s="11">
        <v>42636</v>
      </c>
      <c r="B5204" s="10">
        <v>547.04999999999995</v>
      </c>
      <c r="C5204" s="10">
        <v>548.05999999999995</v>
      </c>
      <c r="D5204" s="10">
        <v>543.36</v>
      </c>
      <c r="E5204" s="13">
        <f t="shared" si="243"/>
        <v>-1.8628100937893169E-3</v>
      </c>
      <c r="F5204" s="9">
        <f t="shared" si="241"/>
        <v>-4.9598030231350516E-3</v>
      </c>
      <c r="G5204" s="9">
        <f t="shared" si="242"/>
        <v>8.6464258760731889E-3</v>
      </c>
    </row>
    <row r="5205" spans="1:7" x14ac:dyDescent="0.2">
      <c r="A5205" s="11">
        <v>42639</v>
      </c>
      <c r="B5205" s="10">
        <v>538.37</v>
      </c>
      <c r="C5205" s="10">
        <v>546.99</v>
      </c>
      <c r="D5205" s="10">
        <v>537.91999999999996</v>
      </c>
      <c r="E5205" s="13">
        <f t="shared" si="243"/>
        <v>-1.5994149798523035E-2</v>
      </c>
      <c r="F5205" s="9">
        <f t="shared" si="241"/>
        <v>-2.0080479070419346E-2</v>
      </c>
      <c r="G5205" s="9">
        <f t="shared" si="242"/>
        <v>9.1325416089315693E-3</v>
      </c>
    </row>
    <row r="5206" spans="1:7" x14ac:dyDescent="0.2">
      <c r="A5206" s="11">
        <v>42640</v>
      </c>
      <c r="B5206" s="10">
        <v>534.09</v>
      </c>
      <c r="C5206" s="10">
        <v>540.78</v>
      </c>
      <c r="D5206" s="10">
        <v>531.64</v>
      </c>
      <c r="E5206" s="13">
        <f t="shared" si="243"/>
        <v>-7.9816920393947499E-3</v>
      </c>
      <c r="F5206" s="9">
        <f t="shared" si="241"/>
        <v>-9.2439669002458025E-3</v>
      </c>
      <c r="G5206" s="9">
        <f t="shared" si="242"/>
        <v>8.5686996880721938E-3</v>
      </c>
    </row>
    <row r="5207" spans="1:7" x14ac:dyDescent="0.2">
      <c r="A5207" s="11">
        <v>42641</v>
      </c>
      <c r="B5207" s="10">
        <v>539.05999999999995</v>
      </c>
      <c r="C5207" s="10">
        <v>539.82000000000005</v>
      </c>
      <c r="D5207" s="10">
        <v>534.1</v>
      </c>
      <c r="E5207" s="13">
        <f t="shared" si="243"/>
        <v>9.2625178829846971E-3</v>
      </c>
      <c r="F5207" s="9">
        <f t="shared" si="241"/>
        <v>-5.1069609922269957E-3</v>
      </c>
      <c r="G5207" s="9">
        <f t="shared" si="242"/>
        <v>8.696066030079044E-3</v>
      </c>
    </row>
    <row r="5208" spans="1:7" x14ac:dyDescent="0.2">
      <c r="A5208" s="11">
        <v>42642</v>
      </c>
      <c r="B5208" s="10">
        <v>552.54</v>
      </c>
      <c r="C5208" s="10">
        <v>552.54</v>
      </c>
      <c r="D5208" s="10">
        <v>539.23</v>
      </c>
      <c r="E5208" s="13">
        <f t="shared" si="243"/>
        <v>2.4698946993465021E-2</v>
      </c>
      <c r="F5208" s="9">
        <f t="shared" si="241"/>
        <v>1.4859927199165348E-2</v>
      </c>
      <c r="G5208" s="9">
        <f t="shared" si="242"/>
        <v>9.816775651694705E-3</v>
      </c>
    </row>
    <row r="5209" spans="1:7" x14ac:dyDescent="0.2">
      <c r="A5209" s="11">
        <v>42643</v>
      </c>
      <c r="B5209" s="10">
        <v>552.21</v>
      </c>
      <c r="C5209" s="10">
        <v>553.03</v>
      </c>
      <c r="D5209" s="10">
        <v>544.08000000000004</v>
      </c>
      <c r="E5209" s="13">
        <f t="shared" si="243"/>
        <v>-5.9742024859011516E-4</v>
      </c>
      <c r="F5209" s="9">
        <f t="shared" si="241"/>
        <v>1.3546365270823049E-2</v>
      </c>
      <c r="G5209" s="9">
        <f t="shared" si="242"/>
        <v>9.8188322686044126E-3</v>
      </c>
    </row>
    <row r="5210" spans="1:7" x14ac:dyDescent="0.2">
      <c r="A5210" s="11">
        <v>42646</v>
      </c>
      <c r="B5210" s="10">
        <v>551.96</v>
      </c>
      <c r="C5210" s="10">
        <v>555.4</v>
      </c>
      <c r="D5210" s="10">
        <v>551.48</v>
      </c>
      <c r="E5210" s="13">
        <f t="shared" si="243"/>
        <v>-4.5282882938667767E-4</v>
      </c>
      <c r="F5210" s="9">
        <f t="shared" si="241"/>
        <v>3.1573816355101717E-3</v>
      </c>
      <c r="G5210" s="9">
        <f t="shared" si="242"/>
        <v>9.6490690240385712E-3</v>
      </c>
    </row>
    <row r="5211" spans="1:7" x14ac:dyDescent="0.2">
      <c r="A5211" s="11">
        <v>42647</v>
      </c>
      <c r="B5211" s="10">
        <v>560.09</v>
      </c>
      <c r="C5211" s="10">
        <v>560.17999999999995</v>
      </c>
      <c r="D5211" s="10">
        <v>551.95000000000005</v>
      </c>
      <c r="E5211" s="13">
        <f t="shared" si="243"/>
        <v>1.4621905218398148E-2</v>
      </c>
      <c r="F5211" s="9">
        <f t="shared" si="241"/>
        <v>1.7143379892917931E-2</v>
      </c>
      <c r="G5211" s="9">
        <f t="shared" si="242"/>
        <v>1.0018789657018674E-2</v>
      </c>
    </row>
    <row r="5212" spans="1:7" x14ac:dyDescent="0.2">
      <c r="A5212" s="11">
        <v>42648</v>
      </c>
      <c r="B5212" s="10">
        <v>561.16</v>
      </c>
      <c r="C5212" s="10">
        <v>562.11</v>
      </c>
      <c r="D5212" s="10">
        <v>555.51</v>
      </c>
      <c r="E5212" s="13">
        <f t="shared" si="243"/>
        <v>1.9085847488195104E-3</v>
      </c>
      <c r="F5212" s="9">
        <f t="shared" si="241"/>
        <v>2.3384127665958831E-2</v>
      </c>
      <c r="G5212" s="9">
        <f t="shared" si="242"/>
        <v>9.9761961438213313E-3</v>
      </c>
    </row>
    <row r="5213" spans="1:7" x14ac:dyDescent="0.2">
      <c r="A5213" s="11">
        <v>42649</v>
      </c>
      <c r="B5213" s="10">
        <v>563.15</v>
      </c>
      <c r="C5213" s="10">
        <v>564.1</v>
      </c>
      <c r="D5213" s="10">
        <v>559.4</v>
      </c>
      <c r="E5213" s="13">
        <f t="shared" si="243"/>
        <v>3.5399526431338989E-3</v>
      </c>
      <c r="F5213" s="9">
        <f t="shared" si="241"/>
        <v>2.3991446762560254E-2</v>
      </c>
      <c r="G5213" s="9">
        <f t="shared" si="242"/>
        <v>9.9814551081459594E-3</v>
      </c>
    </row>
    <row r="5214" spans="1:7" x14ac:dyDescent="0.2">
      <c r="A5214" s="11">
        <v>42650</v>
      </c>
      <c r="B5214" s="10">
        <v>559.26</v>
      </c>
      <c r="C5214" s="10">
        <v>566.47</v>
      </c>
      <c r="D5214" s="10">
        <v>558.13</v>
      </c>
      <c r="E5214" s="13">
        <f t="shared" si="243"/>
        <v>-6.9315411925847323E-3</v>
      </c>
      <c r="F5214" s="9">
        <f t="shared" si="241"/>
        <v>1.9992539116508046E-2</v>
      </c>
      <c r="G5214" s="9">
        <f t="shared" si="242"/>
        <v>1.0062546386448453E-2</v>
      </c>
    </row>
    <row r="5215" spans="1:7" x14ac:dyDescent="0.2">
      <c r="A5215" s="11">
        <v>42653</v>
      </c>
      <c r="B5215" s="10">
        <v>569.46</v>
      </c>
      <c r="C5215" s="10">
        <v>569.46</v>
      </c>
      <c r="D5215" s="10">
        <v>559.03</v>
      </c>
      <c r="E5215" s="13">
        <f t="shared" si="243"/>
        <v>1.8074062069335105E-2</v>
      </c>
      <c r="F5215" s="9">
        <f t="shared" si="241"/>
        <v>2.9167806446483573E-2</v>
      </c>
      <c r="G5215" s="9">
        <f t="shared" si="242"/>
        <v>1.0466041884347674E-2</v>
      </c>
    </row>
    <row r="5216" spans="1:7" x14ac:dyDescent="0.2">
      <c r="A5216" s="11">
        <v>42654</v>
      </c>
      <c r="B5216" s="10">
        <v>568.46</v>
      </c>
      <c r="C5216" s="10">
        <v>572.14</v>
      </c>
      <c r="D5216" s="10">
        <v>566.20000000000005</v>
      </c>
      <c r="E5216" s="13">
        <f t="shared" si="243"/>
        <v>-1.7575932533531458E-3</v>
      </c>
      <c r="F5216" s="9">
        <f t="shared" ref="F5216:F5279" si="244">LN(B5216/B5187)</f>
        <v>3.295812792358984E-2</v>
      </c>
      <c r="G5216" s="9">
        <f t="shared" si="242"/>
        <v>1.0404763309680966E-2</v>
      </c>
    </row>
    <row r="5217" spans="1:7" x14ac:dyDescent="0.2">
      <c r="A5217" s="11">
        <v>42655</v>
      </c>
      <c r="B5217" s="10">
        <v>564.99</v>
      </c>
      <c r="C5217" s="10">
        <v>569.95000000000005</v>
      </c>
      <c r="D5217" s="10">
        <v>564.92999999999995</v>
      </c>
      <c r="E5217" s="13">
        <f t="shared" si="243"/>
        <v>-6.1229182423372108E-3</v>
      </c>
      <c r="F5217" s="9">
        <f t="shared" si="244"/>
        <v>3.3200533889992015E-2</v>
      </c>
      <c r="G5217" s="9">
        <f t="shared" ref="G5217:G5280" si="245">STDEV(E5189:E5217)</f>
        <v>1.0398616930017193E-2</v>
      </c>
    </row>
    <row r="5218" spans="1:7" x14ac:dyDescent="0.2">
      <c r="A5218" s="11">
        <v>42656</v>
      </c>
      <c r="B5218" s="10">
        <v>560.54999999999995</v>
      </c>
      <c r="C5218" s="10">
        <v>564.88</v>
      </c>
      <c r="D5218" s="10">
        <v>559.1</v>
      </c>
      <c r="E5218" s="13">
        <f t="shared" si="243"/>
        <v>-7.8895872751630451E-3</v>
      </c>
      <c r="F5218" s="9">
        <f t="shared" si="244"/>
        <v>1.2548297241873105E-2</v>
      </c>
      <c r="G5218" s="9">
        <f t="shared" si="245"/>
        <v>1.0281076189552769E-2</v>
      </c>
    </row>
    <row r="5219" spans="1:7" x14ac:dyDescent="0.2">
      <c r="A5219" s="11">
        <v>42657</v>
      </c>
      <c r="B5219" s="10">
        <v>567.42999999999995</v>
      </c>
      <c r="C5219" s="10">
        <v>567.42999999999995</v>
      </c>
      <c r="D5219" s="10">
        <v>560.54999999999995</v>
      </c>
      <c r="E5219" s="13">
        <f t="shared" si="243"/>
        <v>1.2198949130341703E-2</v>
      </c>
      <c r="F5219" s="9">
        <f t="shared" si="244"/>
        <v>1.8318787856872895E-2</v>
      </c>
      <c r="G5219" s="9">
        <f t="shared" si="245"/>
        <v>1.0455623993262771E-2</v>
      </c>
    </row>
    <row r="5220" spans="1:7" x14ac:dyDescent="0.2">
      <c r="A5220" s="11">
        <v>42660</v>
      </c>
      <c r="B5220" s="10">
        <v>562.15</v>
      </c>
      <c r="C5220" s="10">
        <v>567.41999999999996</v>
      </c>
      <c r="D5220" s="10">
        <v>560.28</v>
      </c>
      <c r="E5220" s="13">
        <f t="shared" si="243"/>
        <v>-9.3486755341755431E-3</v>
      </c>
      <c r="F5220" s="9">
        <f t="shared" si="244"/>
        <v>1.8148210775929482E-2</v>
      </c>
      <c r="G5220" s="9">
        <f t="shared" si="245"/>
        <v>1.0461386119634215E-2</v>
      </c>
    </row>
    <row r="5221" spans="1:7" x14ac:dyDescent="0.2">
      <c r="A5221" s="11">
        <v>42661</v>
      </c>
      <c r="B5221" s="10">
        <v>563.92999999999995</v>
      </c>
      <c r="C5221" s="10">
        <v>565.78</v>
      </c>
      <c r="D5221" s="10">
        <v>561.41</v>
      </c>
      <c r="E5221" s="13">
        <f t="shared" si="243"/>
        <v>3.1614121243983277E-3</v>
      </c>
      <c r="F5221" s="9">
        <f t="shared" si="244"/>
        <v>1.5349591531624737E-2</v>
      </c>
      <c r="G5221" s="9">
        <f t="shared" si="245"/>
        <v>1.0423260416011625E-2</v>
      </c>
    </row>
    <row r="5222" spans="1:7" x14ac:dyDescent="0.2">
      <c r="A5222" s="11">
        <v>42662</v>
      </c>
      <c r="B5222" s="10">
        <v>568.76</v>
      </c>
      <c r="C5222" s="10">
        <v>568.78</v>
      </c>
      <c r="D5222" s="10">
        <v>563.91</v>
      </c>
      <c r="E5222" s="13">
        <f t="shared" si="243"/>
        <v>8.5284222080069406E-3</v>
      </c>
      <c r="F5222" s="9">
        <f t="shared" si="244"/>
        <v>2.7088405170444335E-2</v>
      </c>
      <c r="G5222" s="9">
        <f t="shared" si="245"/>
        <v>1.0500494974977473E-2</v>
      </c>
    </row>
    <row r="5223" spans="1:7" x14ac:dyDescent="0.2">
      <c r="A5223" s="11">
        <v>42663</v>
      </c>
      <c r="B5223" s="10">
        <v>569.16</v>
      </c>
      <c r="C5223" s="10">
        <v>572.11</v>
      </c>
      <c r="D5223" s="10">
        <v>567.26</v>
      </c>
      <c r="E5223" s="13">
        <f t="shared" si="243"/>
        <v>7.0303714931698185E-4</v>
      </c>
      <c r="F5223" s="9">
        <f t="shared" si="244"/>
        <v>3.8233078177598509E-2</v>
      </c>
      <c r="G5223" s="9">
        <f t="shared" si="245"/>
        <v>1.0270718727010495E-2</v>
      </c>
    </row>
    <row r="5224" spans="1:7" x14ac:dyDescent="0.2">
      <c r="A5224" s="11">
        <v>42664</v>
      </c>
      <c r="B5224" s="10">
        <v>572.32000000000005</v>
      </c>
      <c r="C5224" s="10">
        <v>573.16</v>
      </c>
      <c r="D5224" s="10">
        <v>568.87</v>
      </c>
      <c r="E5224" s="13">
        <f t="shared" si="243"/>
        <v>5.5366858332170643E-3</v>
      </c>
      <c r="F5224" s="9">
        <f t="shared" si="244"/>
        <v>6.2211531675943579E-2</v>
      </c>
      <c r="G5224" s="9">
        <f t="shared" si="245"/>
        <v>9.5639925895639188E-3</v>
      </c>
    </row>
    <row r="5225" spans="1:7" x14ac:dyDescent="0.2">
      <c r="A5225" s="11">
        <v>42667</v>
      </c>
      <c r="B5225" s="10">
        <v>573.04</v>
      </c>
      <c r="C5225" s="10">
        <v>575.28</v>
      </c>
      <c r="D5225" s="10">
        <v>571.79999999999995</v>
      </c>
      <c r="E5225" s="13">
        <f t="shared" si="243"/>
        <v>1.2572467954880438E-3</v>
      </c>
      <c r="F5225" s="9">
        <f t="shared" si="244"/>
        <v>7.3297510172892016E-2</v>
      </c>
      <c r="G5225" s="9">
        <f t="shared" si="245"/>
        <v>9.2858065393661114E-3</v>
      </c>
    </row>
    <row r="5226" spans="1:7" x14ac:dyDescent="0.2">
      <c r="A5226" s="11">
        <v>42668</v>
      </c>
      <c r="B5226" s="10">
        <v>577</v>
      </c>
      <c r="C5226" s="10">
        <v>577.16999999999996</v>
      </c>
      <c r="D5226" s="10">
        <v>573.04</v>
      </c>
      <c r="E5226" s="13">
        <f t="shared" si="243"/>
        <v>6.8867442019038176E-3</v>
      </c>
      <c r="F5226" s="9">
        <f t="shared" si="244"/>
        <v>8.0616240107202752E-2</v>
      </c>
      <c r="G5226" s="9">
        <f t="shared" si="245"/>
        <v>9.301941248322591E-3</v>
      </c>
    </row>
    <row r="5227" spans="1:7" x14ac:dyDescent="0.2">
      <c r="A5227" s="11">
        <v>42669</v>
      </c>
      <c r="B5227" s="10">
        <v>564.64</v>
      </c>
      <c r="C5227" s="10">
        <v>577.03</v>
      </c>
      <c r="D5227" s="10">
        <v>564.61</v>
      </c>
      <c r="E5227" s="13">
        <f t="shared" si="243"/>
        <v>-2.1653906581139682E-2</v>
      </c>
      <c r="F5227" s="9">
        <f t="shared" si="244"/>
        <v>6.8968836233558609E-2</v>
      </c>
      <c r="G5227" s="9">
        <f t="shared" si="245"/>
        <v>1.0091671294010004E-2</v>
      </c>
    </row>
    <row r="5228" spans="1:7" x14ac:dyDescent="0.2">
      <c r="A5228" s="11">
        <v>42670</v>
      </c>
      <c r="B5228" s="10">
        <v>573.88</v>
      </c>
      <c r="C5228" s="10">
        <v>575.84</v>
      </c>
      <c r="D5228" s="10">
        <v>563.25</v>
      </c>
      <c r="E5228" s="13">
        <f t="shared" si="243"/>
        <v>1.6231955303229229E-2</v>
      </c>
      <c r="F5228" s="9">
        <f t="shared" si="244"/>
        <v>7.7507646202487873E-2</v>
      </c>
      <c r="G5228" s="9">
        <f t="shared" si="245"/>
        <v>1.0372928926041523E-2</v>
      </c>
    </row>
    <row r="5229" spans="1:7" x14ac:dyDescent="0.2">
      <c r="A5229" s="11">
        <v>42671</v>
      </c>
      <c r="B5229" s="10">
        <v>573.67999999999995</v>
      </c>
      <c r="C5229" s="10">
        <v>574.76</v>
      </c>
      <c r="D5229" s="10">
        <v>569.77</v>
      </c>
      <c r="E5229" s="13">
        <f t="shared" si="243"/>
        <v>-3.4856565586985805E-4</v>
      </c>
      <c r="F5229" s="9">
        <f t="shared" si="244"/>
        <v>6.5291837859160484E-2</v>
      </c>
      <c r="G5229" s="9">
        <f t="shared" si="245"/>
        <v>1.0233307807344013E-2</v>
      </c>
    </row>
    <row r="5230" spans="1:7" x14ac:dyDescent="0.2">
      <c r="A5230" s="11">
        <v>42674</v>
      </c>
      <c r="B5230" s="10">
        <v>569.62</v>
      </c>
      <c r="C5230" s="10">
        <v>574.96</v>
      </c>
      <c r="D5230" s="10">
        <v>569.62</v>
      </c>
      <c r="E5230" s="13">
        <f t="shared" si="243"/>
        <v>-7.1022777334271868E-3</v>
      </c>
      <c r="F5230" s="9">
        <f t="shared" si="244"/>
        <v>5.4920004918850233E-2</v>
      </c>
      <c r="G5230" s="9">
        <f t="shared" si="245"/>
        <v>1.0376695275679637E-2</v>
      </c>
    </row>
    <row r="5231" spans="1:7" x14ac:dyDescent="0.2">
      <c r="A5231" s="11">
        <v>42675</v>
      </c>
      <c r="B5231" s="10">
        <v>570.35</v>
      </c>
      <c r="C5231" s="10">
        <v>574.62</v>
      </c>
      <c r="D5231" s="10">
        <v>568.33000000000004</v>
      </c>
      <c r="E5231" s="13">
        <f t="shared" si="243"/>
        <v>1.2807356330147483E-3</v>
      </c>
      <c r="F5231" s="9">
        <f t="shared" si="244"/>
        <v>5.4199702309120884E-2</v>
      </c>
      <c r="G5231" s="9">
        <f t="shared" si="245"/>
        <v>1.0377291455962655E-2</v>
      </c>
    </row>
    <row r="5232" spans="1:7" x14ac:dyDescent="0.2">
      <c r="A5232" s="11">
        <v>42676</v>
      </c>
      <c r="B5232" s="10">
        <v>558.83000000000004</v>
      </c>
      <c r="C5232" s="10">
        <v>570.6</v>
      </c>
      <c r="D5232" s="10">
        <v>558.83000000000004</v>
      </c>
      <c r="E5232" s="13">
        <f t="shared" si="243"/>
        <v>-2.0404895061157849E-2</v>
      </c>
      <c r="F5232" s="9">
        <f t="shared" si="244"/>
        <v>1.9442296396160835E-2</v>
      </c>
      <c r="G5232" s="9">
        <f t="shared" si="245"/>
        <v>1.0879036842784424E-2</v>
      </c>
    </row>
    <row r="5233" spans="1:7" x14ac:dyDescent="0.2">
      <c r="A5233" s="11">
        <v>42677</v>
      </c>
      <c r="B5233" s="10">
        <v>562.23</v>
      </c>
      <c r="C5233" s="10">
        <v>564.79999999999995</v>
      </c>
      <c r="D5233" s="10">
        <v>558.84</v>
      </c>
      <c r="E5233" s="13">
        <f t="shared" si="243"/>
        <v>6.065706428948818E-3</v>
      </c>
      <c r="F5233" s="9">
        <f t="shared" si="244"/>
        <v>2.7370812918899125E-2</v>
      </c>
      <c r="G5233" s="9">
        <f t="shared" si="245"/>
        <v>1.0912673754547311E-2</v>
      </c>
    </row>
    <row r="5234" spans="1:7" x14ac:dyDescent="0.2">
      <c r="A5234" s="11">
        <v>42678</v>
      </c>
      <c r="B5234" s="10">
        <v>557.99</v>
      </c>
      <c r="C5234" s="10">
        <v>563.6</v>
      </c>
      <c r="D5234" s="10">
        <v>556.05999999999995</v>
      </c>
      <c r="E5234" s="13">
        <f t="shared" si="243"/>
        <v>-7.5699777679260711E-3</v>
      </c>
      <c r="F5234" s="9">
        <f t="shared" si="244"/>
        <v>3.5794984949496039E-2</v>
      </c>
      <c r="G5234" s="9">
        <f t="shared" si="245"/>
        <v>1.0551850452067033E-2</v>
      </c>
    </row>
    <row r="5235" spans="1:7" x14ac:dyDescent="0.2">
      <c r="A5235" s="11">
        <v>42681</v>
      </c>
      <c r="B5235" s="10">
        <v>564.95000000000005</v>
      </c>
      <c r="C5235" s="10">
        <v>566.65</v>
      </c>
      <c r="D5235" s="10">
        <v>558.58000000000004</v>
      </c>
      <c r="E5235" s="13">
        <f t="shared" si="243"/>
        <v>1.239619058148337E-2</v>
      </c>
      <c r="F5235" s="9">
        <f t="shared" si="244"/>
        <v>5.6172867570374325E-2</v>
      </c>
      <c r="G5235" s="9">
        <f t="shared" si="245"/>
        <v>1.0594636428990268E-2</v>
      </c>
    </row>
    <row r="5236" spans="1:7" x14ac:dyDescent="0.2">
      <c r="A5236" s="11">
        <v>42682</v>
      </c>
      <c r="B5236" s="10">
        <v>567.59</v>
      </c>
      <c r="C5236" s="10">
        <v>569.72</v>
      </c>
      <c r="D5236" s="10">
        <v>564.66</v>
      </c>
      <c r="E5236" s="13">
        <f t="shared" si="243"/>
        <v>4.6620954345589364E-3</v>
      </c>
      <c r="F5236" s="9">
        <f t="shared" si="244"/>
        <v>5.1572445121948703E-2</v>
      </c>
      <c r="G5236" s="9">
        <f t="shared" si="245"/>
        <v>1.0515176262720867E-2</v>
      </c>
    </row>
    <row r="5237" spans="1:7" x14ac:dyDescent="0.2">
      <c r="A5237" s="11">
        <v>42683</v>
      </c>
      <c r="B5237" s="10">
        <v>570.04999999999995</v>
      </c>
      <c r="C5237" s="10">
        <v>572.26</v>
      </c>
      <c r="D5237" s="10">
        <v>551.25</v>
      </c>
      <c r="E5237" s="13">
        <f t="shared" si="243"/>
        <v>4.3247491899144914E-3</v>
      </c>
      <c r="F5237" s="9">
        <f t="shared" si="244"/>
        <v>3.1198247318398192E-2</v>
      </c>
      <c r="G5237" s="9">
        <f t="shared" si="245"/>
        <v>9.5669573115443659E-3</v>
      </c>
    </row>
    <row r="5238" spans="1:7" x14ac:dyDescent="0.2">
      <c r="A5238" s="11">
        <v>42684</v>
      </c>
      <c r="B5238" s="10">
        <v>577.65</v>
      </c>
      <c r="C5238" s="10">
        <v>579.87</v>
      </c>
      <c r="D5238" s="10">
        <v>570.07000000000005</v>
      </c>
      <c r="E5238" s="13">
        <f t="shared" si="243"/>
        <v>1.3244072649298876E-2</v>
      </c>
      <c r="F5238" s="9">
        <f t="shared" si="244"/>
        <v>4.5039740216287205E-2</v>
      </c>
      <c r="G5238" s="9">
        <f t="shared" si="245"/>
        <v>9.8223642847978989E-3</v>
      </c>
    </row>
    <row r="5239" spans="1:7" x14ac:dyDescent="0.2">
      <c r="A5239" s="11">
        <v>42685</v>
      </c>
      <c r="B5239" s="10">
        <v>572.52</v>
      </c>
      <c r="C5239" s="10">
        <v>580.24</v>
      </c>
      <c r="D5239" s="10">
        <v>570.85</v>
      </c>
      <c r="E5239" s="13">
        <f t="shared" si="243"/>
        <v>-8.9204796130115897E-3</v>
      </c>
      <c r="F5239" s="9">
        <f t="shared" si="244"/>
        <v>3.6572089432662096E-2</v>
      </c>
      <c r="G5239" s="9">
        <f t="shared" si="245"/>
        <v>1.0008223579496833E-2</v>
      </c>
    </row>
    <row r="5240" spans="1:7" x14ac:dyDescent="0.2">
      <c r="A5240" s="11">
        <v>42688</v>
      </c>
      <c r="B5240" s="10">
        <v>571.16999999999996</v>
      </c>
      <c r="C5240" s="10">
        <v>576.83000000000004</v>
      </c>
      <c r="D5240" s="10">
        <v>568.75</v>
      </c>
      <c r="E5240" s="13">
        <f t="shared" si="243"/>
        <v>-2.3607806783212167E-3</v>
      </c>
      <c r="F5240" s="9">
        <f t="shared" si="244"/>
        <v>1.9589403535942702E-2</v>
      </c>
      <c r="G5240" s="9">
        <f t="shared" si="245"/>
        <v>9.6903283801569994E-3</v>
      </c>
    </row>
    <row r="5241" spans="1:7" x14ac:dyDescent="0.2">
      <c r="A5241" s="11">
        <v>42689</v>
      </c>
      <c r="B5241" s="10">
        <v>578.51</v>
      </c>
      <c r="C5241" s="10">
        <v>578.77</v>
      </c>
      <c r="D5241" s="10">
        <v>571.08000000000004</v>
      </c>
      <c r="E5241" s="13">
        <f t="shared" si="243"/>
        <v>1.2768943931335649E-2</v>
      </c>
      <c r="F5241" s="9">
        <f t="shared" si="244"/>
        <v>3.0449762718458888E-2</v>
      </c>
      <c r="G5241" s="9">
        <f t="shared" si="245"/>
        <v>9.9461636606830439E-3</v>
      </c>
    </row>
    <row r="5242" spans="1:7" x14ac:dyDescent="0.2">
      <c r="A5242" s="11">
        <v>42690</v>
      </c>
      <c r="B5242" s="10">
        <v>576.79999999999995</v>
      </c>
      <c r="C5242" s="10">
        <v>581.39</v>
      </c>
      <c r="D5242" s="10">
        <v>574.94000000000005</v>
      </c>
      <c r="E5242" s="13">
        <f t="shared" si="243"/>
        <v>-2.9602465982911841E-3</v>
      </c>
      <c r="F5242" s="9">
        <f t="shared" si="244"/>
        <v>2.3949563477033795E-2</v>
      </c>
      <c r="G5242" s="9">
        <f t="shared" si="245"/>
        <v>9.9612784700085569E-3</v>
      </c>
    </row>
    <row r="5243" spans="1:7" x14ac:dyDescent="0.2">
      <c r="A5243" s="11">
        <v>42691</v>
      </c>
      <c r="B5243" s="10">
        <v>579.29</v>
      </c>
      <c r="C5243" s="10">
        <v>580.36</v>
      </c>
      <c r="D5243" s="10">
        <v>576.16</v>
      </c>
      <c r="E5243" s="13">
        <f t="shared" si="243"/>
        <v>4.3076297698297983E-3</v>
      </c>
      <c r="F5243" s="9">
        <f t="shared" si="244"/>
        <v>3.5188734439448359E-2</v>
      </c>
      <c r="G5243" s="9">
        <f t="shared" si="245"/>
        <v>9.8668779223570063E-3</v>
      </c>
    </row>
    <row r="5244" spans="1:7" x14ac:dyDescent="0.2">
      <c r="A5244" s="11">
        <v>42692</v>
      </c>
      <c r="B5244" s="10">
        <v>578.95000000000005</v>
      </c>
      <c r="C5244" s="10">
        <v>580.55999999999995</v>
      </c>
      <c r="D5244" s="10">
        <v>575.62</v>
      </c>
      <c r="E5244" s="13">
        <f t="shared" si="243"/>
        <v>-5.8709768228688342E-4</v>
      </c>
      <c r="F5244" s="9">
        <f t="shared" si="244"/>
        <v>1.6527574687826146E-2</v>
      </c>
      <c r="G5244" s="9">
        <f t="shared" si="245"/>
        <v>9.3214415660216703E-3</v>
      </c>
    </row>
    <row r="5245" spans="1:7" x14ac:dyDescent="0.2">
      <c r="A5245" s="11">
        <v>42695</v>
      </c>
      <c r="B5245" s="10">
        <v>584.24</v>
      </c>
      <c r="C5245" s="10">
        <v>584.85</v>
      </c>
      <c r="D5245" s="10">
        <v>578.95000000000005</v>
      </c>
      <c r="E5245" s="13">
        <f t="shared" si="243"/>
        <v>9.0957392535721878E-3</v>
      </c>
      <c r="F5245" s="9">
        <f t="shared" si="244"/>
        <v>2.7380907194751603E-2</v>
      </c>
      <c r="G5245" s="9">
        <f t="shared" si="245"/>
        <v>9.4417577521024414E-3</v>
      </c>
    </row>
    <row r="5246" spans="1:7" x14ac:dyDescent="0.2">
      <c r="A5246" s="11">
        <v>42696</v>
      </c>
      <c r="B5246" s="10">
        <v>587.61</v>
      </c>
      <c r="C5246" s="10">
        <v>589.03</v>
      </c>
      <c r="D5246" s="10">
        <v>584.21</v>
      </c>
      <c r="E5246" s="13">
        <f t="shared" si="243"/>
        <v>5.7516052229070998E-3</v>
      </c>
      <c r="F5246" s="9">
        <f t="shared" si="244"/>
        <v>3.9255430659996073E-2</v>
      </c>
      <c r="G5246" s="9">
        <f t="shared" si="245"/>
        <v>9.3816226188591957E-3</v>
      </c>
    </row>
    <row r="5247" spans="1:7" x14ac:dyDescent="0.2">
      <c r="A5247" s="11">
        <v>42697</v>
      </c>
      <c r="B5247" s="10">
        <v>587.66999999999996</v>
      </c>
      <c r="C5247" s="10">
        <v>590.61</v>
      </c>
      <c r="D5247" s="10">
        <v>584.74</v>
      </c>
      <c r="E5247" s="13">
        <f t="shared" si="243"/>
        <v>1.0210332865721441E-4</v>
      </c>
      <c r="F5247" s="9">
        <f t="shared" si="244"/>
        <v>4.7247121263816035E-2</v>
      </c>
      <c r="G5247" s="9">
        <f t="shared" si="245"/>
        <v>9.2163334307367346E-3</v>
      </c>
    </row>
    <row r="5248" spans="1:7" x14ac:dyDescent="0.2">
      <c r="A5248" s="11">
        <v>42698</v>
      </c>
      <c r="B5248" s="10">
        <v>589.19000000000005</v>
      </c>
      <c r="C5248" s="10">
        <v>590.36</v>
      </c>
      <c r="D5248" s="10">
        <v>587.08000000000004</v>
      </c>
      <c r="E5248" s="13">
        <f t="shared" si="243"/>
        <v>2.5831464153795963E-3</v>
      </c>
      <c r="F5248" s="9">
        <f t="shared" si="244"/>
        <v>3.7631318548853897E-2</v>
      </c>
      <c r="G5248" s="9">
        <f t="shared" si="245"/>
        <v>8.9927444590934304E-3</v>
      </c>
    </row>
    <row r="5249" spans="1:7" x14ac:dyDescent="0.2">
      <c r="A5249" s="11">
        <v>42699</v>
      </c>
      <c r="B5249" s="10">
        <v>589.26</v>
      </c>
      <c r="C5249" s="10">
        <v>590.57000000000005</v>
      </c>
      <c r="D5249" s="10">
        <v>588.12</v>
      </c>
      <c r="E5249" s="13">
        <f t="shared" si="243"/>
        <v>1.1880011893966523E-4</v>
      </c>
      <c r="F5249" s="9">
        <f t="shared" si="244"/>
        <v>4.7098794201969253E-2</v>
      </c>
      <c r="G5249" s="9">
        <f t="shared" si="245"/>
        <v>8.7613185399931619E-3</v>
      </c>
    </row>
    <row r="5250" spans="1:7" x14ac:dyDescent="0.2">
      <c r="A5250" s="11">
        <v>42702</v>
      </c>
      <c r="B5250" s="10">
        <v>585.98</v>
      </c>
      <c r="C5250" s="10">
        <v>589.32000000000005</v>
      </c>
      <c r="D5250" s="10">
        <v>582.53</v>
      </c>
      <c r="E5250" s="13">
        <f t="shared" si="243"/>
        <v>-5.5818530959892369E-3</v>
      </c>
      <c r="F5250" s="9">
        <f t="shared" si="244"/>
        <v>3.8355528981581913E-2</v>
      </c>
      <c r="G5250" s="9">
        <f t="shared" si="245"/>
        <v>8.8564464327199506E-3</v>
      </c>
    </row>
    <row r="5251" spans="1:7" x14ac:dyDescent="0.2">
      <c r="A5251" s="11">
        <v>42703</v>
      </c>
      <c r="B5251" s="10">
        <v>580.67999999999995</v>
      </c>
      <c r="C5251" s="10">
        <v>587.94000000000005</v>
      </c>
      <c r="D5251" s="10">
        <v>579.80999999999995</v>
      </c>
      <c r="E5251" s="13">
        <f t="shared" si="243"/>
        <v>-9.0858287085212718E-3</v>
      </c>
      <c r="F5251" s="9">
        <f t="shared" si="244"/>
        <v>2.0741278065053822E-2</v>
      </c>
      <c r="G5251" s="9">
        <f t="shared" si="245"/>
        <v>8.9481422709468145E-3</v>
      </c>
    </row>
    <row r="5252" spans="1:7" x14ac:dyDescent="0.2">
      <c r="A5252" s="11">
        <v>42704</v>
      </c>
      <c r="B5252" s="10">
        <v>588.53</v>
      </c>
      <c r="C5252" s="10">
        <v>592.01</v>
      </c>
      <c r="D5252" s="10">
        <v>578.24</v>
      </c>
      <c r="E5252" s="13">
        <f t="shared" ref="E5252:E5315" si="246">LN(B5252/B5251)</f>
        <v>1.3428071868140708E-2</v>
      </c>
      <c r="F5252" s="9">
        <f t="shared" si="244"/>
        <v>3.346631278387744E-2</v>
      </c>
      <c r="G5252" s="9">
        <f t="shared" si="245"/>
        <v>9.2542883375707607E-3</v>
      </c>
    </row>
    <row r="5253" spans="1:7" x14ac:dyDescent="0.2">
      <c r="A5253" s="11">
        <v>42705</v>
      </c>
      <c r="B5253" s="10">
        <v>595.02</v>
      </c>
      <c r="C5253" s="10">
        <v>595.32000000000005</v>
      </c>
      <c r="D5253" s="10">
        <v>588.05999999999995</v>
      </c>
      <c r="E5253" s="13">
        <f t="shared" si="246"/>
        <v>1.096711596472065E-2</v>
      </c>
      <c r="F5253" s="9">
        <f t="shared" si="244"/>
        <v>3.8896742915380998E-2</v>
      </c>
      <c r="G5253" s="9">
        <f t="shared" si="245"/>
        <v>9.3999319615455743E-3</v>
      </c>
    </row>
    <row r="5254" spans="1:7" x14ac:dyDescent="0.2">
      <c r="A5254" s="11">
        <v>42706</v>
      </c>
      <c r="B5254" s="10">
        <v>589.64</v>
      </c>
      <c r="C5254" s="10">
        <v>595.15</v>
      </c>
      <c r="D5254" s="10">
        <v>588.38</v>
      </c>
      <c r="E5254" s="13">
        <f t="shared" si="246"/>
        <v>-9.0828372470112967E-3</v>
      </c>
      <c r="F5254" s="9">
        <f t="shared" si="244"/>
        <v>2.8556658872881661E-2</v>
      </c>
      <c r="G5254" s="9">
        <f t="shared" si="245"/>
        <v>9.5972694588204784E-3</v>
      </c>
    </row>
    <row r="5255" spans="1:7" x14ac:dyDescent="0.2">
      <c r="A5255" s="11">
        <v>42709</v>
      </c>
      <c r="B5255" s="10">
        <v>595.55999999999995</v>
      </c>
      <c r="C5255" s="10">
        <v>596.51</v>
      </c>
      <c r="D5255" s="10">
        <v>588.77</v>
      </c>
      <c r="E5255" s="13">
        <f t="shared" si="246"/>
        <v>9.9899582082722416E-3</v>
      </c>
      <c r="F5255" s="9">
        <f t="shared" si="244"/>
        <v>3.1659872879250088E-2</v>
      </c>
      <c r="G5255" s="9">
        <f t="shared" si="245"/>
        <v>9.6823489547054973E-3</v>
      </c>
    </row>
    <row r="5256" spans="1:7" x14ac:dyDescent="0.2">
      <c r="A5256" s="11">
        <v>42710</v>
      </c>
      <c r="B5256" s="10">
        <v>595.03</v>
      </c>
      <c r="C5256" s="10">
        <v>596.20000000000005</v>
      </c>
      <c r="D5256" s="10">
        <v>593.14</v>
      </c>
      <c r="E5256" s="13">
        <f t="shared" si="246"/>
        <v>-8.9031494470671586E-4</v>
      </c>
      <c r="F5256" s="9">
        <f t="shared" si="244"/>
        <v>5.2423464515683117E-2</v>
      </c>
      <c r="G5256" s="9">
        <f t="shared" si="245"/>
        <v>8.653321370557682E-3</v>
      </c>
    </row>
    <row r="5257" spans="1:7" x14ac:dyDescent="0.2">
      <c r="A5257" s="11">
        <v>42711</v>
      </c>
      <c r="B5257" s="10">
        <v>602.16</v>
      </c>
      <c r="C5257" s="10">
        <v>602.16</v>
      </c>
      <c r="D5257" s="10">
        <v>594.98</v>
      </c>
      <c r="E5257" s="13">
        <f t="shared" si="246"/>
        <v>1.1911366283633517E-2</v>
      </c>
      <c r="F5257" s="9">
        <f t="shared" si="244"/>
        <v>4.8102875496087327E-2</v>
      </c>
      <c r="G5257" s="9">
        <f t="shared" si="245"/>
        <v>8.4304305401534368E-3</v>
      </c>
    </row>
    <row r="5258" spans="1:7" x14ac:dyDescent="0.2">
      <c r="A5258" s="11">
        <v>42712</v>
      </c>
      <c r="B5258" s="10">
        <v>611.66</v>
      </c>
      <c r="C5258" s="10">
        <v>611.66</v>
      </c>
      <c r="D5258" s="10">
        <v>601.87</v>
      </c>
      <c r="E5258" s="13">
        <f t="shared" si="246"/>
        <v>1.5653381852326578E-2</v>
      </c>
      <c r="F5258" s="9">
        <f t="shared" si="244"/>
        <v>6.4104823004283648E-2</v>
      </c>
      <c r="G5258" s="9">
        <f t="shared" si="245"/>
        <v>8.8095161390168431E-3</v>
      </c>
    </row>
    <row r="5259" spans="1:7" x14ac:dyDescent="0.2">
      <c r="A5259" s="11">
        <v>42713</v>
      </c>
      <c r="B5259" s="10">
        <v>617.26</v>
      </c>
      <c r="C5259" s="10">
        <v>617.26</v>
      </c>
      <c r="D5259" s="10">
        <v>609.79</v>
      </c>
      <c r="E5259" s="13">
        <f t="shared" si="246"/>
        <v>9.1137564065017166E-3</v>
      </c>
      <c r="F5259" s="9">
        <f t="shared" si="244"/>
        <v>8.0320857144212776E-2</v>
      </c>
      <c r="G5259" s="9">
        <f t="shared" si="245"/>
        <v>8.7113867797292983E-3</v>
      </c>
    </row>
    <row r="5260" spans="1:7" x14ac:dyDescent="0.2">
      <c r="A5260" s="11">
        <v>42716</v>
      </c>
      <c r="B5260" s="10">
        <v>621.02</v>
      </c>
      <c r="C5260" s="10">
        <v>627.03</v>
      </c>
      <c r="D5260" s="10">
        <v>617.27</v>
      </c>
      <c r="E5260" s="13">
        <f t="shared" si="246"/>
        <v>6.072958548930558E-3</v>
      </c>
      <c r="F5260" s="9">
        <f t="shared" si="244"/>
        <v>8.5113080060128479E-2</v>
      </c>
      <c r="G5260" s="9">
        <f t="shared" si="245"/>
        <v>8.7275712700897595E-3</v>
      </c>
    </row>
    <row r="5261" spans="1:7" x14ac:dyDescent="0.2">
      <c r="A5261" s="11">
        <v>42717</v>
      </c>
      <c r="B5261" s="10">
        <v>618.11</v>
      </c>
      <c r="C5261" s="10">
        <v>621.02</v>
      </c>
      <c r="D5261" s="10">
        <v>616.01</v>
      </c>
      <c r="E5261" s="13">
        <f t="shared" si="246"/>
        <v>-4.6968523878050429E-3</v>
      </c>
      <c r="F5261" s="9">
        <f t="shared" si="244"/>
        <v>0.10082112273348133</v>
      </c>
      <c r="G5261" s="9">
        <f t="shared" si="245"/>
        <v>7.6479740345047065E-3</v>
      </c>
    </row>
    <row r="5262" spans="1:7" x14ac:dyDescent="0.2">
      <c r="A5262" s="11">
        <v>42718</v>
      </c>
      <c r="B5262" s="10">
        <v>615.54</v>
      </c>
      <c r="C5262" s="10">
        <v>618.05999999999995</v>
      </c>
      <c r="D5262" s="10">
        <v>613.35</v>
      </c>
      <c r="E5262" s="13">
        <f t="shared" si="246"/>
        <v>-4.1665038185540789E-3</v>
      </c>
      <c r="F5262" s="9">
        <f t="shared" si="244"/>
        <v>9.0588912485978307E-2</v>
      </c>
      <c r="G5262" s="9">
        <f t="shared" si="245"/>
        <v>7.7594764166727037E-3</v>
      </c>
    </row>
    <row r="5263" spans="1:7" x14ac:dyDescent="0.2">
      <c r="A5263" s="11">
        <v>42719</v>
      </c>
      <c r="B5263" s="10">
        <v>610.05999999999995</v>
      </c>
      <c r="C5263" s="10">
        <v>616.54</v>
      </c>
      <c r="D5263" s="10">
        <v>609.30999999999995</v>
      </c>
      <c r="E5263" s="13">
        <f t="shared" si="246"/>
        <v>-8.9426183416739264E-3</v>
      </c>
      <c r="F5263" s="9">
        <f t="shared" si="244"/>
        <v>8.9216271912230596E-2</v>
      </c>
      <c r="G5263" s="9">
        <f t="shared" si="245"/>
        <v>7.8308952134901553E-3</v>
      </c>
    </row>
    <row r="5264" spans="1:7" x14ac:dyDescent="0.2">
      <c r="A5264" s="11">
        <v>42720</v>
      </c>
      <c r="B5264" s="10">
        <v>615.52</v>
      </c>
      <c r="C5264" s="10">
        <v>616.79999999999995</v>
      </c>
      <c r="D5264" s="10">
        <v>609.89</v>
      </c>
      <c r="E5264" s="13">
        <f t="shared" si="246"/>
        <v>8.9101260179825417E-3</v>
      </c>
      <c r="F5264" s="9">
        <f t="shared" si="244"/>
        <v>8.5730207348729631E-2</v>
      </c>
      <c r="G5264" s="9">
        <f t="shared" si="245"/>
        <v>7.7085220076716435E-3</v>
      </c>
    </row>
    <row r="5265" spans="1:7" x14ac:dyDescent="0.2">
      <c r="A5265" s="11">
        <v>42723</v>
      </c>
      <c r="B5265" s="10">
        <v>613.62</v>
      </c>
      <c r="C5265" s="10">
        <v>615.85</v>
      </c>
      <c r="D5265" s="10">
        <v>613.21</v>
      </c>
      <c r="E5265" s="13">
        <f t="shared" si="246"/>
        <v>-3.0915949580084833E-3</v>
      </c>
      <c r="F5265" s="9">
        <f t="shared" si="244"/>
        <v>7.7976516956162034E-2</v>
      </c>
      <c r="G5265" s="9">
        <f t="shared" si="245"/>
        <v>7.7813641661888958E-3</v>
      </c>
    </row>
    <row r="5266" spans="1:7" x14ac:dyDescent="0.2">
      <c r="A5266" s="11">
        <v>42724</v>
      </c>
      <c r="B5266" s="10">
        <v>613.28</v>
      </c>
      <c r="C5266" s="10">
        <v>615.35</v>
      </c>
      <c r="D5266" s="10">
        <v>610.45000000000005</v>
      </c>
      <c r="E5266" s="13">
        <f t="shared" si="246"/>
        <v>-5.5424241373153952E-4</v>
      </c>
      <c r="F5266" s="9">
        <f t="shared" si="244"/>
        <v>7.3097525352516179E-2</v>
      </c>
      <c r="G5266" s="9">
        <f t="shared" si="245"/>
        <v>7.7974587953953938E-3</v>
      </c>
    </row>
    <row r="5267" spans="1:7" x14ac:dyDescent="0.2">
      <c r="A5267" s="11">
        <v>42725</v>
      </c>
      <c r="B5267" s="10">
        <v>610.91</v>
      </c>
      <c r="C5267" s="10">
        <v>615.46</v>
      </c>
      <c r="D5267" s="10">
        <v>610.91</v>
      </c>
      <c r="E5267" s="13">
        <f t="shared" si="246"/>
        <v>-3.8719528192893726E-3</v>
      </c>
      <c r="F5267" s="9">
        <f t="shared" si="244"/>
        <v>5.5981499883927907E-2</v>
      </c>
      <c r="G5267" s="9">
        <f t="shared" si="245"/>
        <v>7.6021148025571042E-3</v>
      </c>
    </row>
    <row r="5268" spans="1:7" x14ac:dyDescent="0.2">
      <c r="A5268" s="11">
        <v>42726</v>
      </c>
      <c r="B5268" s="10">
        <v>612.53</v>
      </c>
      <c r="C5268" s="10">
        <v>612.65</v>
      </c>
      <c r="D5268" s="10">
        <v>609.07000000000005</v>
      </c>
      <c r="E5268" s="13">
        <f t="shared" si="246"/>
        <v>2.6482719983022102E-3</v>
      </c>
      <c r="F5268" s="9">
        <f t="shared" si="244"/>
        <v>6.7550251495241825E-2</v>
      </c>
      <c r="G5268" s="9">
        <f t="shared" si="245"/>
        <v>7.3103131209614931E-3</v>
      </c>
    </row>
    <row r="5269" spans="1:7" x14ac:dyDescent="0.2">
      <c r="A5269" s="11">
        <v>42727</v>
      </c>
      <c r="B5269" s="10">
        <v>614.41999999999996</v>
      </c>
      <c r="C5269" s="10">
        <v>614.47</v>
      </c>
      <c r="D5269" s="10">
        <v>612.20000000000005</v>
      </c>
      <c r="E5269" s="13">
        <f t="shared" si="246"/>
        <v>3.0808125757303311E-3</v>
      </c>
      <c r="F5269" s="9">
        <f t="shared" si="244"/>
        <v>7.299184474929328E-2</v>
      </c>
      <c r="G5269" s="9">
        <f t="shared" si="245"/>
        <v>7.2552582472496423E-3</v>
      </c>
    </row>
    <row r="5270" spans="1:7" x14ac:dyDescent="0.2">
      <c r="A5270" s="11">
        <v>42731</v>
      </c>
      <c r="B5270" s="10">
        <v>617.94000000000005</v>
      </c>
      <c r="C5270" s="10">
        <v>618.85</v>
      </c>
      <c r="D5270" s="10">
        <v>614.04999999999995</v>
      </c>
      <c r="E5270" s="13">
        <f t="shared" si="246"/>
        <v>5.7126319787772989E-3</v>
      </c>
      <c r="F5270" s="9">
        <f t="shared" si="244"/>
        <v>6.59355327967351E-2</v>
      </c>
      <c r="G5270" s="9">
        <f t="shared" si="245"/>
        <v>7.0134509035437121E-3</v>
      </c>
    </row>
    <row r="5271" spans="1:7" x14ac:dyDescent="0.2">
      <c r="A5271" s="11">
        <v>42732</v>
      </c>
      <c r="B5271" s="10">
        <v>620.07000000000005</v>
      </c>
      <c r="C5271" s="10">
        <v>620.63</v>
      </c>
      <c r="D5271" s="10">
        <v>617.66999999999996</v>
      </c>
      <c r="E5271" s="13">
        <f t="shared" si="246"/>
        <v>3.4410095260889026E-3</v>
      </c>
      <c r="F5271" s="9">
        <f t="shared" si="244"/>
        <v>7.2336788921114989E-2</v>
      </c>
      <c r="G5271" s="9">
        <f t="shared" si="245"/>
        <v>6.9432239489840191E-3</v>
      </c>
    </row>
    <row r="5272" spans="1:7" x14ac:dyDescent="0.2">
      <c r="A5272" s="11">
        <v>42733</v>
      </c>
      <c r="B5272" s="10">
        <v>620.45000000000005</v>
      </c>
      <c r="C5272" s="10">
        <v>620.5</v>
      </c>
      <c r="D5272" s="10">
        <v>617.08000000000004</v>
      </c>
      <c r="E5272" s="13">
        <f t="shared" si="246"/>
        <v>6.1264632877439855E-4</v>
      </c>
      <c r="F5272" s="9">
        <f t="shared" si="244"/>
        <v>6.8641805480059728E-2</v>
      </c>
      <c r="G5272" s="9">
        <f t="shared" si="245"/>
        <v>6.9426637662963588E-3</v>
      </c>
    </row>
    <row r="5273" spans="1:7" x14ac:dyDescent="0.2">
      <c r="A5273" s="11">
        <v>42734</v>
      </c>
      <c r="B5273" s="10">
        <v>617.75</v>
      </c>
      <c r="C5273" s="10">
        <v>620.73</v>
      </c>
      <c r="D5273" s="10">
        <v>617.74</v>
      </c>
      <c r="E5273" s="13">
        <f t="shared" si="246"/>
        <v>-4.3611763519091915E-3</v>
      </c>
      <c r="F5273" s="9">
        <f t="shared" si="244"/>
        <v>6.4867726810437232E-2</v>
      </c>
      <c r="G5273" s="9">
        <f t="shared" si="245"/>
        <v>7.0347769707224889E-3</v>
      </c>
    </row>
    <row r="5274" spans="1:7" x14ac:dyDescent="0.2">
      <c r="A5274" s="11">
        <v>42737</v>
      </c>
      <c r="B5274" s="10">
        <v>625.19000000000005</v>
      </c>
      <c r="C5274" s="10">
        <v>625.29</v>
      </c>
      <c r="D5274" s="10">
        <v>617.64</v>
      </c>
      <c r="E5274" s="13">
        <f t="shared" si="246"/>
        <v>1.1971758669044912E-2</v>
      </c>
      <c r="F5274" s="9">
        <f t="shared" si="244"/>
        <v>6.7743746225909923E-2</v>
      </c>
      <c r="G5274" s="9">
        <f t="shared" si="245"/>
        <v>7.1541832946549469E-3</v>
      </c>
    </row>
    <row r="5275" spans="1:7" x14ac:dyDescent="0.2">
      <c r="A5275" s="11">
        <v>42738</v>
      </c>
      <c r="B5275" s="10">
        <v>627.99</v>
      </c>
      <c r="C5275" s="10">
        <v>628.61</v>
      </c>
      <c r="D5275" s="10">
        <v>624.52</v>
      </c>
      <c r="E5275" s="13">
        <f t="shared" si="246"/>
        <v>4.4686392367740543E-3</v>
      </c>
      <c r="F5275" s="9">
        <f t="shared" si="244"/>
        <v>6.646078023977689E-2</v>
      </c>
      <c r="G5275" s="9">
        <f t="shared" si="245"/>
        <v>7.1362517450388099E-3</v>
      </c>
    </row>
    <row r="5276" spans="1:7" x14ac:dyDescent="0.2">
      <c r="A5276" s="11">
        <v>42739</v>
      </c>
      <c r="B5276" s="10">
        <v>625.87</v>
      </c>
      <c r="C5276" s="10">
        <v>628.29</v>
      </c>
      <c r="D5276" s="10">
        <v>624.02</v>
      </c>
      <c r="E5276" s="13">
        <f t="shared" si="246"/>
        <v>-3.3815609719983633E-3</v>
      </c>
      <c r="F5276" s="9">
        <f t="shared" si="244"/>
        <v>6.2977115939121406E-2</v>
      </c>
      <c r="G5276" s="9">
        <f t="shared" si="245"/>
        <v>7.203431531791058E-3</v>
      </c>
    </row>
    <row r="5277" spans="1:7" x14ac:dyDescent="0.2">
      <c r="A5277" s="11">
        <v>42740</v>
      </c>
      <c r="B5277" s="10">
        <v>629.91</v>
      </c>
      <c r="C5277" s="10">
        <v>629.97</v>
      </c>
      <c r="D5277" s="10">
        <v>624.79</v>
      </c>
      <c r="E5277" s="13">
        <f t="shared" si="246"/>
        <v>6.4342702351275934E-3</v>
      </c>
      <c r="F5277" s="9">
        <f t="shared" si="244"/>
        <v>6.682823975886952E-2</v>
      </c>
      <c r="G5277" s="9">
        <f t="shared" si="245"/>
        <v>7.2466576067243471E-3</v>
      </c>
    </row>
    <row r="5278" spans="1:7" x14ac:dyDescent="0.2">
      <c r="A5278" s="11">
        <v>42741</v>
      </c>
      <c r="B5278" s="10">
        <v>627.70000000000005</v>
      </c>
      <c r="C5278" s="10">
        <v>630.03</v>
      </c>
      <c r="D5278" s="10">
        <v>626.11</v>
      </c>
      <c r="E5278" s="13">
        <f t="shared" si="246"/>
        <v>-3.5146067141814913E-3</v>
      </c>
      <c r="F5278" s="9">
        <f t="shared" si="244"/>
        <v>6.3194832925748276E-2</v>
      </c>
      <c r="G5278" s="9">
        <f t="shared" si="245"/>
        <v>7.3168646305240203E-3</v>
      </c>
    </row>
    <row r="5279" spans="1:7" x14ac:dyDescent="0.2">
      <c r="A5279" s="11">
        <v>42744</v>
      </c>
      <c r="B5279" s="10">
        <v>622.29</v>
      </c>
      <c r="C5279" s="10">
        <v>631.33000000000004</v>
      </c>
      <c r="D5279" s="10">
        <v>622.12</v>
      </c>
      <c r="E5279" s="13">
        <f t="shared" si="246"/>
        <v>-8.6561232973224236E-3</v>
      </c>
      <c r="F5279" s="9">
        <f t="shared" si="244"/>
        <v>6.0120562724415127E-2</v>
      </c>
      <c r="G5279" s="9">
        <f t="shared" si="245"/>
        <v>7.4543041067769138E-3</v>
      </c>
    </row>
    <row r="5280" spans="1:7" x14ac:dyDescent="0.2">
      <c r="A5280" s="11">
        <v>42745</v>
      </c>
      <c r="B5280" s="10">
        <v>623.42999999999995</v>
      </c>
      <c r="C5280" s="10">
        <v>625.16</v>
      </c>
      <c r="D5280" s="10">
        <v>619.88</v>
      </c>
      <c r="E5280" s="13">
        <f t="shared" si="246"/>
        <v>1.8302673445692716E-3</v>
      </c>
      <c r="F5280" s="9">
        <f t="shared" ref="F5280:F5343" si="247">LN(B5280/B5251)</f>
        <v>7.1036658777505507E-2</v>
      </c>
      <c r="G5280" s="9">
        <f t="shared" si="245"/>
        <v>7.1396627712341978E-3</v>
      </c>
    </row>
    <row r="5281" spans="1:7" x14ac:dyDescent="0.2">
      <c r="A5281" s="11">
        <v>42746</v>
      </c>
      <c r="B5281" s="10">
        <v>627.70000000000005</v>
      </c>
      <c r="C5281" s="10">
        <v>627.70000000000005</v>
      </c>
      <c r="D5281" s="10">
        <v>618.79999999999995</v>
      </c>
      <c r="E5281" s="13">
        <f t="shared" si="246"/>
        <v>6.8258559527530696E-3</v>
      </c>
      <c r="F5281" s="9">
        <f t="shared" si="247"/>
        <v>6.4434442862118149E-2</v>
      </c>
      <c r="G5281" s="9">
        <f t="shared" ref="G5281:G5344" si="248">STDEV(E5253:E5281)</f>
        <v>6.877538146173607E-3</v>
      </c>
    </row>
    <row r="5282" spans="1:7" x14ac:dyDescent="0.2">
      <c r="A5282" s="11">
        <v>42747</v>
      </c>
      <c r="B5282" s="10">
        <v>625.97</v>
      </c>
      <c r="C5282" s="10">
        <v>629.13</v>
      </c>
      <c r="D5282" s="10">
        <v>623.69000000000005</v>
      </c>
      <c r="E5282" s="13">
        <f t="shared" si="246"/>
        <v>-2.7598986944303255E-3</v>
      </c>
      <c r="F5282" s="9">
        <f t="shared" si="247"/>
        <v>5.0707428202967024E-2</v>
      </c>
      <c r="G5282" s="9">
        <f t="shared" si="248"/>
        <v>6.7248370723439945E-3</v>
      </c>
    </row>
    <row r="5283" spans="1:7" x14ac:dyDescent="0.2">
      <c r="A5283" s="11">
        <v>42748</v>
      </c>
      <c r="B5283" s="10">
        <v>628.74</v>
      </c>
      <c r="C5283" s="10">
        <v>629.62</v>
      </c>
      <c r="D5283" s="10">
        <v>625.97</v>
      </c>
      <c r="E5283" s="13">
        <f t="shared" si="246"/>
        <v>4.4153700858496209E-3</v>
      </c>
      <c r="F5283" s="9">
        <f t="shared" si="247"/>
        <v>6.4205635535828004E-2</v>
      </c>
      <c r="G5283" s="9">
        <f t="shared" si="248"/>
        <v>6.4080496079306328E-3</v>
      </c>
    </row>
    <row r="5284" spans="1:7" x14ac:dyDescent="0.2">
      <c r="A5284" s="11">
        <v>42751</v>
      </c>
      <c r="B5284" s="10">
        <v>623.98</v>
      </c>
      <c r="C5284" s="10">
        <v>629.02</v>
      </c>
      <c r="D5284" s="10">
        <v>623.4</v>
      </c>
      <c r="E5284" s="13">
        <f t="shared" si="246"/>
        <v>-7.5995001411822104E-3</v>
      </c>
      <c r="F5284" s="9">
        <f t="shared" si="247"/>
        <v>4.6616177186373356E-2</v>
      </c>
      <c r="G5284" s="9">
        <f t="shared" si="248"/>
        <v>6.4778110910054696E-3</v>
      </c>
    </row>
    <row r="5285" spans="1:7" x14ac:dyDescent="0.2">
      <c r="A5285" s="11">
        <v>42752</v>
      </c>
      <c r="B5285" s="10">
        <v>622.69000000000005</v>
      </c>
      <c r="C5285" s="10">
        <v>624.63</v>
      </c>
      <c r="D5285" s="10">
        <v>621.25</v>
      </c>
      <c r="E5285" s="13">
        <f t="shared" si="246"/>
        <v>-2.0695139217441309E-3</v>
      </c>
      <c r="F5285" s="9">
        <f t="shared" si="247"/>
        <v>4.543697820933601E-2</v>
      </c>
      <c r="G5285" s="9">
        <f t="shared" si="248"/>
        <v>6.497720255538751E-3</v>
      </c>
    </row>
    <row r="5286" spans="1:7" x14ac:dyDescent="0.2">
      <c r="A5286" s="11">
        <v>42753</v>
      </c>
      <c r="B5286" s="10">
        <v>625.88</v>
      </c>
      <c r="C5286" s="10">
        <v>628.01</v>
      </c>
      <c r="D5286" s="10">
        <v>622.66</v>
      </c>
      <c r="E5286" s="13">
        <f t="shared" si="246"/>
        <v>5.1098567818774945E-3</v>
      </c>
      <c r="F5286" s="9">
        <f t="shared" si="247"/>
        <v>3.8635468707580022E-2</v>
      </c>
      <c r="G5286" s="9">
        <f t="shared" si="248"/>
        <v>6.2281567541662688E-3</v>
      </c>
    </row>
    <row r="5287" spans="1:7" x14ac:dyDescent="0.2">
      <c r="A5287" s="11">
        <v>42754</v>
      </c>
      <c r="B5287" s="10">
        <v>631.04</v>
      </c>
      <c r="C5287" s="10">
        <v>631.71</v>
      </c>
      <c r="D5287" s="10">
        <v>625.88</v>
      </c>
      <c r="E5287" s="13">
        <f t="shared" si="246"/>
        <v>8.2105925403593381E-3</v>
      </c>
      <c r="F5287" s="9">
        <f t="shared" si="247"/>
        <v>3.1192679395612672E-2</v>
      </c>
      <c r="G5287" s="9">
        <f t="shared" si="248"/>
        <v>5.7520956990104706E-3</v>
      </c>
    </row>
    <row r="5288" spans="1:7" x14ac:dyDescent="0.2">
      <c r="A5288" s="11">
        <v>42755</v>
      </c>
      <c r="B5288" s="10">
        <v>632.79</v>
      </c>
      <c r="C5288" s="10">
        <v>633.86</v>
      </c>
      <c r="D5288" s="10">
        <v>630.57000000000005</v>
      </c>
      <c r="E5288" s="13">
        <f t="shared" si="246"/>
        <v>2.7693615730734846E-3</v>
      </c>
      <c r="F5288" s="9">
        <f t="shared" si="247"/>
        <v>2.4848284562184419E-2</v>
      </c>
      <c r="G5288" s="9">
        <f t="shared" si="248"/>
        <v>5.5526504376406695E-3</v>
      </c>
    </row>
    <row r="5289" spans="1:7" x14ac:dyDescent="0.2">
      <c r="A5289" s="11">
        <v>42758</v>
      </c>
      <c r="B5289" s="10">
        <v>628.79999999999995</v>
      </c>
      <c r="C5289" s="10">
        <v>632.82000000000005</v>
      </c>
      <c r="D5289" s="10">
        <v>628.25</v>
      </c>
      <c r="E5289" s="13">
        <f t="shared" si="246"/>
        <v>-6.3253724322926176E-3</v>
      </c>
      <c r="F5289" s="9">
        <f t="shared" si="247"/>
        <v>1.2449953580961313E-2</v>
      </c>
      <c r="G5289" s="9">
        <f t="shared" si="248"/>
        <v>5.6136616810921322E-3</v>
      </c>
    </row>
    <row r="5290" spans="1:7" x14ac:dyDescent="0.2">
      <c r="A5290" s="11">
        <v>42759</v>
      </c>
      <c r="B5290" s="10">
        <v>633.91</v>
      </c>
      <c r="C5290" s="10">
        <v>633.96</v>
      </c>
      <c r="D5290" s="10">
        <v>628.26</v>
      </c>
      <c r="E5290" s="13">
        <f t="shared" si="246"/>
        <v>8.0937474095836379E-3</v>
      </c>
      <c r="F5290" s="9">
        <f t="shared" si="247"/>
        <v>2.5240553378349958E-2</v>
      </c>
      <c r="G5290" s="9">
        <f t="shared" si="248"/>
        <v>5.6983527104289347E-3</v>
      </c>
    </row>
    <row r="5291" spans="1:7" x14ac:dyDescent="0.2">
      <c r="A5291" s="11">
        <v>42760</v>
      </c>
      <c r="B5291" s="10">
        <v>640.45000000000005</v>
      </c>
      <c r="C5291" s="10">
        <v>640.45000000000005</v>
      </c>
      <c r="D5291" s="10">
        <v>633.98</v>
      </c>
      <c r="E5291" s="13">
        <f t="shared" si="246"/>
        <v>1.0264065752564756E-2</v>
      </c>
      <c r="F5291" s="9">
        <f t="shared" si="247"/>
        <v>3.9671122949468812E-2</v>
      </c>
      <c r="G5291" s="9">
        <f t="shared" si="248"/>
        <v>5.8702796330150544E-3</v>
      </c>
    </row>
    <row r="5292" spans="1:7" x14ac:dyDescent="0.2">
      <c r="A5292" s="11">
        <v>42761</v>
      </c>
      <c r="B5292" s="10">
        <v>640.20000000000005</v>
      </c>
      <c r="C5292" s="10">
        <v>642.49</v>
      </c>
      <c r="D5292" s="10">
        <v>637.46</v>
      </c>
      <c r="E5292" s="13">
        <f t="shared" si="246"/>
        <v>-3.9042674138237599E-4</v>
      </c>
      <c r="F5292" s="9">
        <f t="shared" si="247"/>
        <v>4.8223314549760393E-2</v>
      </c>
      <c r="G5292" s="9">
        <f t="shared" si="248"/>
        <v>5.5392972289719806E-3</v>
      </c>
    </row>
    <row r="5293" spans="1:7" x14ac:dyDescent="0.2">
      <c r="A5293" s="11">
        <v>42762</v>
      </c>
      <c r="B5293" s="10">
        <v>638.35</v>
      </c>
      <c r="C5293" s="10">
        <v>640.89</v>
      </c>
      <c r="D5293" s="10">
        <v>634.73</v>
      </c>
      <c r="E5293" s="13">
        <f t="shared" si="246"/>
        <v>-2.8939052694029123E-3</v>
      </c>
      <c r="F5293" s="9">
        <f t="shared" si="247"/>
        <v>3.6419283262374841E-2</v>
      </c>
      <c r="G5293" s="9">
        <f t="shared" si="248"/>
        <v>5.4201465304905229E-3</v>
      </c>
    </row>
    <row r="5294" spans="1:7" x14ac:dyDescent="0.2">
      <c r="A5294" s="11">
        <v>42765</v>
      </c>
      <c r="B5294" s="10">
        <v>628.02</v>
      </c>
      <c r="C5294" s="10">
        <v>638.42999999999995</v>
      </c>
      <c r="D5294" s="10">
        <v>628.02</v>
      </c>
      <c r="E5294" s="13">
        <f t="shared" si="246"/>
        <v>-1.6314709171512405E-2</v>
      </c>
      <c r="F5294" s="9">
        <f t="shared" si="247"/>
        <v>2.3196169048871049E-2</v>
      </c>
      <c r="G5294" s="9">
        <f t="shared" si="248"/>
        <v>6.2859772420168353E-3</v>
      </c>
    </row>
    <row r="5295" spans="1:7" x14ac:dyDescent="0.2">
      <c r="A5295" s="11">
        <v>42766</v>
      </c>
      <c r="B5295" s="10">
        <v>623.54</v>
      </c>
      <c r="C5295" s="10">
        <v>630.04999999999995</v>
      </c>
      <c r="D5295" s="10">
        <v>623.13</v>
      </c>
      <c r="E5295" s="13">
        <f t="shared" si="246"/>
        <v>-7.1590960630073712E-3</v>
      </c>
      <c r="F5295" s="9">
        <f t="shared" si="247"/>
        <v>1.659131539959503E-2</v>
      </c>
      <c r="G5295" s="9">
        <f t="shared" si="248"/>
        <v>6.4541943461336798E-3</v>
      </c>
    </row>
    <row r="5296" spans="1:7" x14ac:dyDescent="0.2">
      <c r="A5296" s="11">
        <v>42767</v>
      </c>
      <c r="B5296" s="10">
        <v>631.62</v>
      </c>
      <c r="C5296" s="10">
        <v>633</v>
      </c>
      <c r="D5296" s="10">
        <v>623.35</v>
      </c>
      <c r="E5296" s="13">
        <f t="shared" si="246"/>
        <v>1.2875030459448459E-2</v>
      </c>
      <c r="F5296" s="9">
        <f t="shared" si="247"/>
        <v>3.333829867833301E-2</v>
      </c>
      <c r="G5296" s="9">
        <f t="shared" si="248"/>
        <v>6.7831893536945522E-3</v>
      </c>
    </row>
    <row r="5297" spans="1:7" x14ac:dyDescent="0.2">
      <c r="A5297" s="11">
        <v>42768</v>
      </c>
      <c r="B5297" s="10">
        <v>623.64</v>
      </c>
      <c r="C5297" s="10">
        <v>630.69000000000005</v>
      </c>
      <c r="D5297" s="10">
        <v>623.11</v>
      </c>
      <c r="E5297" s="13">
        <f t="shared" si="246"/>
        <v>-1.2714668682937705E-2</v>
      </c>
      <c r="F5297" s="9">
        <f t="shared" si="247"/>
        <v>1.7975357997093051E-2</v>
      </c>
      <c r="G5297" s="9">
        <f t="shared" si="248"/>
        <v>7.2460817510177997E-3</v>
      </c>
    </row>
    <row r="5298" spans="1:7" x14ac:dyDescent="0.2">
      <c r="A5298" s="11">
        <v>42769</v>
      </c>
      <c r="B5298" s="10">
        <v>632.32000000000005</v>
      </c>
      <c r="C5298" s="10">
        <v>632.61</v>
      </c>
      <c r="D5298" s="10">
        <v>623.63</v>
      </c>
      <c r="E5298" s="13">
        <f t="shared" si="246"/>
        <v>1.3822316311097623E-2</v>
      </c>
      <c r="F5298" s="9">
        <f t="shared" si="247"/>
        <v>2.8716861732460203E-2</v>
      </c>
      <c r="G5298" s="9">
        <f t="shared" si="248"/>
        <v>7.6401897874496241E-3</v>
      </c>
    </row>
    <row r="5299" spans="1:7" x14ac:dyDescent="0.2">
      <c r="A5299" s="11">
        <v>42772</v>
      </c>
      <c r="B5299" s="10">
        <v>631.58000000000004</v>
      </c>
      <c r="C5299" s="10">
        <v>632.63</v>
      </c>
      <c r="D5299" s="10">
        <v>628.61</v>
      </c>
      <c r="E5299" s="13">
        <f t="shared" si="246"/>
        <v>-1.1709788504736893E-3</v>
      </c>
      <c r="F5299" s="9">
        <f t="shared" si="247"/>
        <v>2.18332509032092E-2</v>
      </c>
      <c r="G5299" s="9">
        <f t="shared" si="248"/>
        <v>7.5950310342712529E-3</v>
      </c>
    </row>
    <row r="5300" spans="1:7" x14ac:dyDescent="0.2">
      <c r="A5300" s="11">
        <v>42773</v>
      </c>
      <c r="B5300" s="10">
        <v>630.84</v>
      </c>
      <c r="C5300" s="10">
        <v>631.58000000000004</v>
      </c>
      <c r="D5300" s="10">
        <v>626.24</v>
      </c>
      <c r="E5300" s="13">
        <f t="shared" si="246"/>
        <v>-1.1723516496177308E-3</v>
      </c>
      <c r="F5300" s="9">
        <f t="shared" si="247"/>
        <v>1.7219889727502789E-2</v>
      </c>
      <c r="G5300" s="9">
        <f t="shared" si="248"/>
        <v>7.58502375553337E-3</v>
      </c>
    </row>
    <row r="5301" spans="1:7" x14ac:dyDescent="0.2">
      <c r="A5301" s="11">
        <v>42774</v>
      </c>
      <c r="B5301" s="10">
        <v>627.17999999999995</v>
      </c>
      <c r="C5301" s="10">
        <v>630.79999999999995</v>
      </c>
      <c r="D5301" s="10">
        <v>625.61</v>
      </c>
      <c r="E5301" s="13">
        <f t="shared" si="246"/>
        <v>-5.8186838466863762E-3</v>
      </c>
      <c r="F5301" s="9">
        <f t="shared" si="247"/>
        <v>1.0788559552041973E-2</v>
      </c>
      <c r="G5301" s="9">
        <f t="shared" si="248"/>
        <v>7.677903291184454E-3</v>
      </c>
    </row>
    <row r="5302" spans="1:7" x14ac:dyDescent="0.2">
      <c r="A5302" s="11">
        <v>42775</v>
      </c>
      <c r="B5302" s="10">
        <v>624.09</v>
      </c>
      <c r="C5302" s="10">
        <v>629.33000000000004</v>
      </c>
      <c r="D5302" s="10">
        <v>619.74</v>
      </c>
      <c r="E5302" s="13">
        <f t="shared" si="246"/>
        <v>-4.9389920342696441E-3</v>
      </c>
      <c r="F5302" s="9">
        <f t="shared" si="247"/>
        <v>1.0210743869681602E-2</v>
      </c>
      <c r="G5302" s="9">
        <f t="shared" si="248"/>
        <v>7.6913628693899292E-3</v>
      </c>
    </row>
    <row r="5303" spans="1:7" x14ac:dyDescent="0.2">
      <c r="A5303" s="11">
        <v>42776</v>
      </c>
      <c r="B5303" s="10">
        <v>626.14</v>
      </c>
      <c r="C5303" s="10">
        <v>627.26</v>
      </c>
      <c r="D5303" s="10">
        <v>622.88</v>
      </c>
      <c r="E5303" s="13">
        <f t="shared" si="246"/>
        <v>3.2793995300386554E-3</v>
      </c>
      <c r="F5303" s="9">
        <f t="shared" si="247"/>
        <v>1.5183847306755242E-3</v>
      </c>
      <c r="G5303" s="9">
        <f t="shared" si="248"/>
        <v>7.3856638688518349E-3</v>
      </c>
    </row>
    <row r="5304" spans="1:7" x14ac:dyDescent="0.2">
      <c r="A5304" s="11">
        <v>42779</v>
      </c>
      <c r="B5304" s="10">
        <v>632.29</v>
      </c>
      <c r="C5304" s="10">
        <v>632.35</v>
      </c>
      <c r="D5304" s="10">
        <v>626.15</v>
      </c>
      <c r="E5304" s="13">
        <f t="shared" si="246"/>
        <v>9.7741613935067636E-3</v>
      </c>
      <c r="F5304" s="9">
        <f t="shared" si="247"/>
        <v>6.8239068874081316E-3</v>
      </c>
      <c r="G5304" s="9">
        <f t="shared" si="248"/>
        <v>7.5625584815176084E-3</v>
      </c>
    </row>
    <row r="5305" spans="1:7" x14ac:dyDescent="0.2">
      <c r="A5305" s="11">
        <v>42780</v>
      </c>
      <c r="B5305" s="10">
        <v>629.82000000000005</v>
      </c>
      <c r="C5305" s="10">
        <v>632.29</v>
      </c>
      <c r="D5305" s="10">
        <v>628.20000000000005</v>
      </c>
      <c r="E5305" s="13">
        <f t="shared" si="246"/>
        <v>-3.9140853861850547E-3</v>
      </c>
      <c r="F5305" s="9">
        <f t="shared" si="247"/>
        <v>6.2913824732215174E-3</v>
      </c>
      <c r="G5305" s="9">
        <f t="shared" si="248"/>
        <v>7.5722946293675601E-3</v>
      </c>
    </row>
    <row r="5306" spans="1:7" x14ac:dyDescent="0.2">
      <c r="A5306" s="11">
        <v>42781</v>
      </c>
      <c r="B5306" s="10">
        <v>623.66999999999996</v>
      </c>
      <c r="C5306" s="10">
        <v>631.67999999999995</v>
      </c>
      <c r="D5306" s="10">
        <v>623.14</v>
      </c>
      <c r="E5306" s="13">
        <f t="shared" si="246"/>
        <v>-9.8126819486290436E-3</v>
      </c>
      <c r="F5306" s="9">
        <f t="shared" si="247"/>
        <v>-9.9555697105352132E-3</v>
      </c>
      <c r="G5306" s="9">
        <f t="shared" si="248"/>
        <v>7.6958851644578488E-3</v>
      </c>
    </row>
    <row r="5307" spans="1:7" x14ac:dyDescent="0.2">
      <c r="A5307" s="11">
        <v>42782</v>
      </c>
      <c r="B5307" s="10">
        <v>622.16</v>
      </c>
      <c r="C5307" s="10">
        <v>623.85</v>
      </c>
      <c r="D5307" s="10">
        <v>619.59</v>
      </c>
      <c r="E5307" s="13">
        <f t="shared" si="246"/>
        <v>-2.4240879404446485E-3</v>
      </c>
      <c r="F5307" s="9">
        <f t="shared" si="247"/>
        <v>-8.8650509367983188E-3</v>
      </c>
      <c r="G5307" s="9">
        <f t="shared" si="248"/>
        <v>7.6824885091569687E-3</v>
      </c>
    </row>
    <row r="5308" spans="1:7" x14ac:dyDescent="0.2">
      <c r="A5308" s="11">
        <v>42783</v>
      </c>
      <c r="B5308" s="10">
        <v>617.17999999999995</v>
      </c>
      <c r="C5308" s="10">
        <v>622.16</v>
      </c>
      <c r="D5308" s="10">
        <v>614.11</v>
      </c>
      <c r="E5308" s="13">
        <f t="shared" si="246"/>
        <v>-8.0365788297156598E-3</v>
      </c>
      <c r="F5308" s="9">
        <f t="shared" si="247"/>
        <v>-8.2455064691914909E-3</v>
      </c>
      <c r="G5308" s="9">
        <f t="shared" si="248"/>
        <v>7.6592644725780156E-3</v>
      </c>
    </row>
    <row r="5309" spans="1:7" x14ac:dyDescent="0.2">
      <c r="A5309" s="11">
        <v>42786</v>
      </c>
      <c r="B5309" s="10">
        <v>620.55999999999995</v>
      </c>
      <c r="C5309" s="10">
        <v>621.97</v>
      </c>
      <c r="D5309" s="10">
        <v>617.17999999999995</v>
      </c>
      <c r="E5309" s="13">
        <f t="shared" si="246"/>
        <v>5.4615806256437796E-3</v>
      </c>
      <c r="F5309" s="9">
        <f t="shared" si="247"/>
        <v>-4.6141931881169742E-3</v>
      </c>
      <c r="G5309" s="9">
        <f t="shared" si="248"/>
        <v>7.7244753628789749E-3</v>
      </c>
    </row>
    <row r="5310" spans="1:7" x14ac:dyDescent="0.2">
      <c r="A5310" s="11">
        <v>42787</v>
      </c>
      <c r="B5310" s="10">
        <v>628.69000000000005</v>
      </c>
      <c r="C5310" s="10">
        <v>628.70000000000005</v>
      </c>
      <c r="D5310" s="10">
        <v>619.33000000000004</v>
      </c>
      <c r="E5310" s="13">
        <f t="shared" si="246"/>
        <v>1.3015993242457825E-2</v>
      </c>
      <c r="F5310" s="9">
        <f t="shared" si="247"/>
        <v>1.5759441015878381E-3</v>
      </c>
      <c r="G5310" s="9">
        <f t="shared" si="248"/>
        <v>8.0048263202825501E-3</v>
      </c>
    </row>
    <row r="5311" spans="1:7" x14ac:dyDescent="0.2">
      <c r="A5311" s="11">
        <v>42788</v>
      </c>
      <c r="B5311" s="10">
        <v>623.5</v>
      </c>
      <c r="C5311" s="10">
        <v>629.86</v>
      </c>
      <c r="D5311" s="10">
        <v>623.1</v>
      </c>
      <c r="E5311" s="13">
        <f t="shared" si="246"/>
        <v>-8.2895243049828024E-3</v>
      </c>
      <c r="F5311" s="9">
        <f t="shared" si="247"/>
        <v>-3.9536815089646349E-3</v>
      </c>
      <c r="G5311" s="9">
        <f t="shared" si="248"/>
        <v>8.1389904535217189E-3</v>
      </c>
    </row>
    <row r="5312" spans="1:7" x14ac:dyDescent="0.2">
      <c r="A5312" s="11">
        <v>42789</v>
      </c>
      <c r="B5312" s="10">
        <v>621.95000000000005</v>
      </c>
      <c r="C5312" s="10">
        <v>626.77</v>
      </c>
      <c r="D5312" s="10">
        <v>621.88</v>
      </c>
      <c r="E5312" s="13">
        <f t="shared" si="246"/>
        <v>-2.4890614641174757E-3</v>
      </c>
      <c r="F5312" s="9">
        <f t="shared" si="247"/>
        <v>-1.0858113058931591E-2</v>
      </c>
      <c r="G5312" s="9">
        <f t="shared" si="248"/>
        <v>8.1019885606264056E-3</v>
      </c>
    </row>
    <row r="5313" spans="1:7" x14ac:dyDescent="0.2">
      <c r="A5313" s="11">
        <v>42790</v>
      </c>
      <c r="B5313" s="10">
        <v>615.92999999999995</v>
      </c>
      <c r="C5313" s="10">
        <v>621.89</v>
      </c>
      <c r="D5313" s="10">
        <v>613.76</v>
      </c>
      <c r="E5313" s="13">
        <f t="shared" si="246"/>
        <v>-9.7263829431911523E-3</v>
      </c>
      <c r="F5313" s="9">
        <f t="shared" si="247"/>
        <v>-1.2984995860940506E-2</v>
      </c>
      <c r="G5313" s="9">
        <f t="shared" si="248"/>
        <v>8.178987826456173E-3</v>
      </c>
    </row>
    <row r="5314" spans="1:7" x14ac:dyDescent="0.2">
      <c r="A5314" s="11">
        <v>42793</v>
      </c>
      <c r="B5314" s="10">
        <v>616.79999999999995</v>
      </c>
      <c r="C5314" s="10">
        <v>619.46</v>
      </c>
      <c r="D5314" s="10">
        <v>615.9</v>
      </c>
      <c r="E5314" s="13">
        <f t="shared" si="246"/>
        <v>1.4115015363370873E-3</v>
      </c>
      <c r="F5314" s="9">
        <f t="shared" si="247"/>
        <v>-9.5039804028593505E-3</v>
      </c>
      <c r="G5314" s="9">
        <f t="shared" si="248"/>
        <v>8.1798805561589423E-3</v>
      </c>
    </row>
    <row r="5315" spans="1:7" x14ac:dyDescent="0.2">
      <c r="A5315" s="11">
        <v>42794</v>
      </c>
      <c r="B5315" s="10">
        <v>619.20000000000005</v>
      </c>
      <c r="C5315" s="10">
        <v>619.64</v>
      </c>
      <c r="D5315" s="10">
        <v>616.02</v>
      </c>
      <c r="E5315" s="13">
        <f t="shared" si="246"/>
        <v>3.8835000263978334E-3</v>
      </c>
      <c r="F5315" s="9">
        <f t="shared" si="247"/>
        <v>-1.0730337158339077E-2</v>
      </c>
      <c r="G5315" s="9">
        <f t="shared" si="248"/>
        <v>8.1538942264010057E-3</v>
      </c>
    </row>
    <row r="5316" spans="1:7" x14ac:dyDescent="0.2">
      <c r="A5316" s="11">
        <v>42795</v>
      </c>
      <c r="B5316" s="10">
        <v>625.92999999999995</v>
      </c>
      <c r="C5316" s="10">
        <v>625.97</v>
      </c>
      <c r="D5316" s="10">
        <v>619.17999999999995</v>
      </c>
      <c r="E5316" s="13">
        <f t="shared" ref="E5316:E5365" si="249">LN(B5316/B5315)</f>
        <v>1.0810221485875206E-2</v>
      </c>
      <c r="F5316" s="9">
        <f t="shared" si="247"/>
        <v>-8.1307082128231935E-3</v>
      </c>
      <c r="G5316" s="9">
        <f t="shared" si="248"/>
        <v>8.265128028580572E-3</v>
      </c>
    </row>
    <row r="5317" spans="1:7" x14ac:dyDescent="0.2">
      <c r="A5317" s="11">
        <v>42796</v>
      </c>
      <c r="B5317" s="10">
        <v>628.45000000000005</v>
      </c>
      <c r="C5317" s="10">
        <v>631.78</v>
      </c>
      <c r="D5317" s="10">
        <v>625.76</v>
      </c>
      <c r="E5317" s="13">
        <f t="shared" si="249"/>
        <v>4.0179266094539324E-3</v>
      </c>
      <c r="F5317" s="9">
        <f t="shared" si="247"/>
        <v>-6.8821431764427704E-3</v>
      </c>
      <c r="G5317" s="9">
        <f t="shared" si="248"/>
        <v>8.2848103063217719E-3</v>
      </c>
    </row>
    <row r="5318" spans="1:7" x14ac:dyDescent="0.2">
      <c r="A5318" s="11">
        <v>42797</v>
      </c>
      <c r="B5318" s="10">
        <v>621.03</v>
      </c>
      <c r="C5318" s="10">
        <v>627.99</v>
      </c>
      <c r="D5318" s="10">
        <v>620.14</v>
      </c>
      <c r="E5318" s="13">
        <f t="shared" si="249"/>
        <v>-1.1877080425474664E-2</v>
      </c>
      <c r="F5318" s="9">
        <f t="shared" si="247"/>
        <v>-1.2433851169624779E-2</v>
      </c>
      <c r="G5318" s="9">
        <f t="shared" si="248"/>
        <v>8.4920617857357251E-3</v>
      </c>
    </row>
    <row r="5319" spans="1:7" x14ac:dyDescent="0.2">
      <c r="A5319" s="11">
        <v>42800</v>
      </c>
      <c r="B5319" s="10">
        <v>620.17999999999995</v>
      </c>
      <c r="C5319" s="10">
        <v>622.82000000000005</v>
      </c>
      <c r="D5319" s="10">
        <v>617.89</v>
      </c>
      <c r="E5319" s="13">
        <f t="shared" si="249"/>
        <v>-1.3696314610349499E-3</v>
      </c>
      <c r="F5319" s="9">
        <f t="shared" si="247"/>
        <v>-2.1897230040243451E-2</v>
      </c>
      <c r="G5319" s="9">
        <f t="shared" si="248"/>
        <v>8.3332108418654599E-3</v>
      </c>
    </row>
    <row r="5320" spans="1:7" x14ac:dyDescent="0.2">
      <c r="A5320" s="11">
        <v>42801</v>
      </c>
      <c r="B5320" s="10">
        <v>622.36</v>
      </c>
      <c r="C5320" s="10">
        <v>623.94000000000005</v>
      </c>
      <c r="D5320" s="10">
        <v>619.04999999999995</v>
      </c>
      <c r="E5320" s="13">
        <f t="shared" si="249"/>
        <v>3.5089449624250662E-3</v>
      </c>
      <c r="F5320" s="9">
        <f t="shared" si="247"/>
        <v>-2.8652350830383169E-2</v>
      </c>
      <c r="G5320" s="9">
        <f t="shared" si="248"/>
        <v>8.1054967117626855E-3</v>
      </c>
    </row>
    <row r="5321" spans="1:7" x14ac:dyDescent="0.2">
      <c r="A5321" s="11">
        <v>42802</v>
      </c>
      <c r="B5321" s="10">
        <v>621.11</v>
      </c>
      <c r="C5321" s="10">
        <v>622.33000000000004</v>
      </c>
      <c r="D5321" s="10">
        <v>620</v>
      </c>
      <c r="E5321" s="13">
        <f t="shared" si="249"/>
        <v>-2.0105035442022465E-3</v>
      </c>
      <c r="F5321" s="9">
        <f t="shared" si="247"/>
        <v>-3.0272427633202991E-2</v>
      </c>
      <c r="G5321" s="9">
        <f t="shared" si="248"/>
        <v>8.1068137783041009E-3</v>
      </c>
    </row>
    <row r="5322" spans="1:7" x14ac:dyDescent="0.2">
      <c r="A5322" s="11">
        <v>42803</v>
      </c>
      <c r="B5322" s="10">
        <v>619.74</v>
      </c>
      <c r="C5322" s="10">
        <v>621.11</v>
      </c>
      <c r="D5322" s="10">
        <v>613.85</v>
      </c>
      <c r="E5322" s="13">
        <f t="shared" si="249"/>
        <v>-2.2081646559626729E-3</v>
      </c>
      <c r="F5322" s="9">
        <f t="shared" si="247"/>
        <v>-2.958668701976274E-2</v>
      </c>
      <c r="G5322" s="9">
        <f t="shared" si="248"/>
        <v>8.10222362671934E-3</v>
      </c>
    </row>
    <row r="5323" spans="1:7" x14ac:dyDescent="0.2">
      <c r="A5323" s="11">
        <v>42804</v>
      </c>
      <c r="B5323" s="10">
        <v>628.42999999999995</v>
      </c>
      <c r="C5323" s="10">
        <v>630.15</v>
      </c>
      <c r="D5323" s="10">
        <v>619.74</v>
      </c>
      <c r="E5323" s="13">
        <f t="shared" si="249"/>
        <v>1.3924610288144446E-2</v>
      </c>
      <c r="F5323" s="9">
        <f t="shared" si="247"/>
        <v>6.5263243989415018E-4</v>
      </c>
      <c r="G5323" s="9">
        <f t="shared" si="248"/>
        <v>8.0088887398044387E-3</v>
      </c>
    </row>
    <row r="5324" spans="1:7" x14ac:dyDescent="0.2">
      <c r="A5324" s="11">
        <v>42807</v>
      </c>
      <c r="B5324" s="10">
        <v>629.87</v>
      </c>
      <c r="C5324" s="10">
        <v>630.33000000000004</v>
      </c>
      <c r="D5324" s="10">
        <v>626.47</v>
      </c>
      <c r="E5324" s="13">
        <f t="shared" si="249"/>
        <v>2.288803351560861E-3</v>
      </c>
      <c r="F5324" s="9">
        <f t="shared" si="247"/>
        <v>1.0100531854462351E-2</v>
      </c>
      <c r="G5324" s="9">
        <f t="shared" si="248"/>
        <v>7.8977100265479588E-3</v>
      </c>
    </row>
    <row r="5325" spans="1:7" x14ac:dyDescent="0.2">
      <c r="A5325" s="11">
        <v>42808</v>
      </c>
      <c r="B5325" s="10">
        <v>624.07000000000005</v>
      </c>
      <c r="C5325" s="10">
        <v>631.76</v>
      </c>
      <c r="D5325" s="10">
        <v>622.19000000000005</v>
      </c>
      <c r="E5325" s="13">
        <f t="shared" si="249"/>
        <v>-9.2509073213434215E-3</v>
      </c>
      <c r="F5325" s="9">
        <f t="shared" si="247"/>
        <v>-1.202540592632933E-2</v>
      </c>
      <c r="G5325" s="9">
        <f t="shared" si="248"/>
        <v>7.7108720349454429E-3</v>
      </c>
    </row>
    <row r="5326" spans="1:7" x14ac:dyDescent="0.2">
      <c r="A5326" s="11">
        <v>42809</v>
      </c>
      <c r="B5326" s="10">
        <v>627.4</v>
      </c>
      <c r="C5326" s="10">
        <v>629.01</v>
      </c>
      <c r="D5326" s="10">
        <v>624.04</v>
      </c>
      <c r="E5326" s="13">
        <f t="shared" si="249"/>
        <v>5.3217541916185905E-3</v>
      </c>
      <c r="F5326" s="9">
        <f t="shared" si="247"/>
        <v>6.0110169482268903E-3</v>
      </c>
      <c r="G5326" s="9">
        <f t="shared" si="248"/>
        <v>7.4046564064196305E-3</v>
      </c>
    </row>
    <row r="5327" spans="1:7" x14ac:dyDescent="0.2">
      <c r="A5327" s="11">
        <v>42810</v>
      </c>
      <c r="B5327" s="10">
        <v>632.55999999999995</v>
      </c>
      <c r="C5327" s="10">
        <v>637.11</v>
      </c>
      <c r="D5327" s="10">
        <v>628.12</v>
      </c>
      <c r="E5327" s="13">
        <f t="shared" si="249"/>
        <v>8.1907820060937719E-3</v>
      </c>
      <c r="F5327" s="9">
        <f t="shared" si="247"/>
        <v>3.7948264322310222E-4</v>
      </c>
      <c r="G5327" s="9">
        <f t="shared" si="248"/>
        <v>7.102523897628007E-3</v>
      </c>
    </row>
    <row r="5328" spans="1:7" x14ac:dyDescent="0.2">
      <c r="A5328" s="11">
        <v>42811</v>
      </c>
      <c r="B5328" s="10">
        <v>632.98</v>
      </c>
      <c r="C5328" s="10">
        <v>636.12</v>
      </c>
      <c r="D5328" s="10">
        <v>631.92999999999995</v>
      </c>
      <c r="E5328" s="13">
        <f t="shared" si="249"/>
        <v>6.6374830573462753E-4</v>
      </c>
      <c r="F5328" s="9">
        <f t="shared" si="247"/>
        <v>2.2142097994315522E-3</v>
      </c>
      <c r="G5328" s="9">
        <f t="shared" si="248"/>
        <v>7.0997710141165954E-3</v>
      </c>
    </row>
    <row r="5329" spans="1:7" x14ac:dyDescent="0.2">
      <c r="A5329" s="11">
        <v>42814</v>
      </c>
      <c r="B5329" s="10">
        <v>632.61</v>
      </c>
      <c r="C5329" s="10">
        <v>633.97</v>
      </c>
      <c r="D5329" s="10">
        <v>630.23</v>
      </c>
      <c r="E5329" s="13">
        <f t="shared" si="249"/>
        <v>-5.8470754437276731E-4</v>
      </c>
      <c r="F5329" s="9">
        <f t="shared" si="247"/>
        <v>2.8018539046764388E-3</v>
      </c>
      <c r="G5329" s="9">
        <f t="shared" si="248"/>
        <v>7.0969178112391023E-3</v>
      </c>
    </row>
    <row r="5330" spans="1:7" x14ac:dyDescent="0.2">
      <c r="A5330" s="11">
        <v>42815</v>
      </c>
      <c r="B5330" s="10">
        <v>632.41999999999996</v>
      </c>
      <c r="C5330" s="10">
        <v>637.54</v>
      </c>
      <c r="D5330" s="10">
        <v>631.74</v>
      </c>
      <c r="E5330" s="13">
        <f t="shared" si="249"/>
        <v>-3.003881353465834E-4</v>
      </c>
      <c r="F5330" s="9">
        <f t="shared" si="247"/>
        <v>8.3201496160160895E-3</v>
      </c>
      <c r="G5330" s="9">
        <f t="shared" si="248"/>
        <v>7.0060473287913922E-3</v>
      </c>
    </row>
    <row r="5331" spans="1:7" x14ac:dyDescent="0.2">
      <c r="A5331" s="11">
        <v>42816</v>
      </c>
      <c r="B5331" s="10">
        <v>623.89</v>
      </c>
      <c r="C5331" s="10">
        <v>632.29999999999995</v>
      </c>
      <c r="D5331" s="10">
        <v>621.1</v>
      </c>
      <c r="E5331" s="13">
        <f t="shared" si="249"/>
        <v>-1.3579659610048261E-2</v>
      </c>
      <c r="F5331" s="9">
        <f t="shared" si="247"/>
        <v>-3.2051795976260515E-4</v>
      </c>
      <c r="G5331" s="9">
        <f t="shared" si="248"/>
        <v>7.4084136829755979E-3</v>
      </c>
    </row>
    <row r="5332" spans="1:7" x14ac:dyDescent="0.2">
      <c r="A5332" s="11">
        <v>42817</v>
      </c>
      <c r="B5332" s="10">
        <v>623.29</v>
      </c>
      <c r="C5332" s="10">
        <v>624.62</v>
      </c>
      <c r="D5332" s="10">
        <v>620.04</v>
      </c>
      <c r="E5332" s="13">
        <f t="shared" si="249"/>
        <v>-9.6217073123153012E-4</v>
      </c>
      <c r="F5332" s="9">
        <f t="shared" si="247"/>
        <v>-4.5620882210326598E-3</v>
      </c>
      <c r="G5332" s="9">
        <f t="shared" si="248"/>
        <v>7.3829576644706824E-3</v>
      </c>
    </row>
    <row r="5333" spans="1:7" x14ac:dyDescent="0.2">
      <c r="A5333" s="11">
        <v>42818</v>
      </c>
      <c r="B5333" s="10">
        <v>622.48</v>
      </c>
      <c r="C5333" s="10">
        <v>623.96</v>
      </c>
      <c r="D5333" s="10">
        <v>621.01</v>
      </c>
      <c r="E5333" s="13">
        <f t="shared" si="249"/>
        <v>-1.3004007387322773E-3</v>
      </c>
      <c r="F5333" s="9">
        <f t="shared" si="247"/>
        <v>-1.5636650353271837E-2</v>
      </c>
      <c r="G5333" s="9">
        <f t="shared" si="248"/>
        <v>7.1330945899403834E-3</v>
      </c>
    </row>
    <row r="5334" spans="1:7" x14ac:dyDescent="0.2">
      <c r="A5334" s="11">
        <v>42821</v>
      </c>
      <c r="B5334" s="10">
        <v>609.91999999999996</v>
      </c>
      <c r="C5334" s="10">
        <v>622.45000000000005</v>
      </c>
      <c r="D5334" s="10">
        <v>607.69000000000005</v>
      </c>
      <c r="E5334" s="13">
        <f t="shared" si="249"/>
        <v>-2.0383698282892188E-2</v>
      </c>
      <c r="F5334" s="9">
        <f t="shared" si="247"/>
        <v>-3.2106263249978846E-2</v>
      </c>
      <c r="G5334" s="9">
        <f t="shared" si="248"/>
        <v>8.0127802430816526E-3</v>
      </c>
    </row>
    <row r="5335" spans="1:7" x14ac:dyDescent="0.2">
      <c r="A5335" s="11">
        <v>42822</v>
      </c>
      <c r="B5335" s="10">
        <v>615.98</v>
      </c>
      <c r="C5335" s="10">
        <v>616.33000000000004</v>
      </c>
      <c r="D5335" s="10">
        <v>609.19000000000005</v>
      </c>
      <c r="E5335" s="13">
        <f t="shared" si="249"/>
        <v>9.8866944481880333E-3</v>
      </c>
      <c r="F5335" s="9">
        <f t="shared" si="247"/>
        <v>-1.2406886853161827E-2</v>
      </c>
      <c r="G5335" s="9">
        <f t="shared" si="248"/>
        <v>8.0831071830424154E-3</v>
      </c>
    </row>
    <row r="5336" spans="1:7" x14ac:dyDescent="0.2">
      <c r="A5336" s="11">
        <v>42823</v>
      </c>
      <c r="B5336" s="10">
        <v>617.26</v>
      </c>
      <c r="C5336" s="10">
        <v>620.6</v>
      </c>
      <c r="D5336" s="10">
        <v>615.22</v>
      </c>
      <c r="E5336" s="13">
        <f t="shared" si="249"/>
        <v>2.0758335111343358E-3</v>
      </c>
      <c r="F5336" s="9">
        <f t="shared" si="247"/>
        <v>-7.9069654015829528E-3</v>
      </c>
      <c r="G5336" s="9">
        <f t="shared" si="248"/>
        <v>8.0866079446222667E-3</v>
      </c>
    </row>
    <row r="5337" spans="1:7" x14ac:dyDescent="0.2">
      <c r="A5337" s="11">
        <v>42824</v>
      </c>
      <c r="B5337" s="10">
        <v>622.73</v>
      </c>
      <c r="C5337" s="10">
        <v>622.73</v>
      </c>
      <c r="D5337" s="10">
        <v>617.26</v>
      </c>
      <c r="E5337" s="13">
        <f t="shared" si="249"/>
        <v>8.8227090252491255E-3</v>
      </c>
      <c r="F5337" s="9">
        <f t="shared" si="247"/>
        <v>8.9523224533818758E-3</v>
      </c>
      <c r="G5337" s="9">
        <f t="shared" si="248"/>
        <v>8.1144849703818217E-3</v>
      </c>
    </row>
    <row r="5338" spans="1:7" x14ac:dyDescent="0.2">
      <c r="A5338" s="11">
        <v>42825</v>
      </c>
      <c r="B5338" s="10">
        <v>618.27</v>
      </c>
      <c r="C5338" s="10">
        <v>623.55999999999995</v>
      </c>
      <c r="D5338" s="10">
        <v>615.99</v>
      </c>
      <c r="E5338" s="13">
        <f t="shared" si="249"/>
        <v>-7.187782758827253E-3</v>
      </c>
      <c r="F5338" s="9">
        <f t="shared" si="247"/>
        <v>-3.6970409310892738E-3</v>
      </c>
      <c r="G5338" s="9">
        <f t="shared" si="248"/>
        <v>8.1674088610578059E-3</v>
      </c>
    </row>
    <row r="5339" spans="1:7" x14ac:dyDescent="0.2">
      <c r="A5339" s="11">
        <v>42828</v>
      </c>
      <c r="B5339" s="10">
        <v>622.46</v>
      </c>
      <c r="C5339" s="10">
        <v>624.70000000000005</v>
      </c>
      <c r="D5339" s="10">
        <v>618.48</v>
      </c>
      <c r="E5339" s="13">
        <f t="shared" si="249"/>
        <v>6.7541139946521722E-3</v>
      </c>
      <c r="F5339" s="9">
        <f t="shared" si="247"/>
        <v>-9.9589201788949904E-3</v>
      </c>
      <c r="G5339" s="9">
        <f t="shared" si="248"/>
        <v>7.885423208410158E-3</v>
      </c>
    </row>
    <row r="5340" spans="1:7" x14ac:dyDescent="0.2">
      <c r="A5340" s="11">
        <v>42829</v>
      </c>
      <c r="B5340" s="10">
        <v>617.04999999999995</v>
      </c>
      <c r="C5340" s="10">
        <v>622.61</v>
      </c>
      <c r="D5340" s="10">
        <v>615.82000000000005</v>
      </c>
      <c r="E5340" s="13">
        <f t="shared" si="249"/>
        <v>-8.7293113469864968E-3</v>
      </c>
      <c r="F5340" s="9">
        <f t="shared" si="247"/>
        <v>-1.0398707220898622E-2</v>
      </c>
      <c r="G5340" s="9">
        <f t="shared" si="248"/>
        <v>7.90165695882219E-3</v>
      </c>
    </row>
    <row r="5341" spans="1:7" x14ac:dyDescent="0.2">
      <c r="A5341" s="11">
        <v>42830</v>
      </c>
      <c r="B5341" s="10">
        <v>623.29</v>
      </c>
      <c r="C5341" s="10">
        <v>623.46</v>
      </c>
      <c r="D5341" s="10">
        <v>617.04999999999995</v>
      </c>
      <c r="E5341" s="13">
        <f t="shared" si="249"/>
        <v>1.0061842148214616E-2</v>
      </c>
      <c r="F5341" s="9">
        <f t="shared" si="247"/>
        <v>2.1521963914332551E-3</v>
      </c>
      <c r="G5341" s="9">
        <f t="shared" si="248"/>
        <v>8.1214604631059187E-3</v>
      </c>
    </row>
    <row r="5342" spans="1:7" x14ac:dyDescent="0.2">
      <c r="A5342" s="11">
        <v>42831</v>
      </c>
      <c r="B5342" s="10">
        <v>622.02</v>
      </c>
      <c r="C5342" s="10">
        <v>623.63</v>
      </c>
      <c r="D5342" s="10">
        <v>614.5</v>
      </c>
      <c r="E5342" s="13">
        <f t="shared" si="249"/>
        <v>-2.0396534843313044E-3</v>
      </c>
      <c r="F5342" s="9">
        <f t="shared" si="247"/>
        <v>9.8389258502931797E-3</v>
      </c>
      <c r="G5342" s="9">
        <f t="shared" si="248"/>
        <v>7.9129339424721286E-3</v>
      </c>
    </row>
    <row r="5343" spans="1:7" x14ac:dyDescent="0.2">
      <c r="A5343" s="11">
        <v>42832</v>
      </c>
      <c r="B5343" s="10">
        <v>622.47</v>
      </c>
      <c r="C5343" s="10">
        <v>624.66999999999996</v>
      </c>
      <c r="D5343" s="10">
        <v>619.78</v>
      </c>
      <c r="E5343" s="13">
        <f t="shared" si="249"/>
        <v>7.2318784339383559E-4</v>
      </c>
      <c r="F5343" s="9">
        <f t="shared" si="247"/>
        <v>9.1506121573498925E-3</v>
      </c>
      <c r="G5343" s="9">
        <f t="shared" si="248"/>
        <v>7.9106348853039427E-3</v>
      </c>
    </row>
    <row r="5344" spans="1:7" x14ac:dyDescent="0.2">
      <c r="A5344" s="11">
        <v>42835</v>
      </c>
      <c r="B5344" s="10">
        <v>624.61</v>
      </c>
      <c r="C5344" s="10">
        <v>624.61</v>
      </c>
      <c r="D5344" s="10">
        <v>621.99</v>
      </c>
      <c r="E5344" s="13">
        <f t="shared" si="249"/>
        <v>3.4320205609039505E-3</v>
      </c>
      <c r="F5344" s="9">
        <f t="shared" ref="F5344:F5407" si="250">LN(B5344/B5315)</f>
        <v>8.6991326918558886E-3</v>
      </c>
      <c r="G5344" s="9">
        <f t="shared" si="248"/>
        <v>7.9038036100592055E-3</v>
      </c>
    </row>
    <row r="5345" spans="1:7" x14ac:dyDescent="0.2">
      <c r="A5345" s="11">
        <v>42836</v>
      </c>
      <c r="B5345" s="10">
        <v>622.99</v>
      </c>
      <c r="C5345" s="10">
        <v>624.71</v>
      </c>
      <c r="D5345" s="10">
        <v>621.91999999999996</v>
      </c>
      <c r="E5345" s="13">
        <f t="shared" si="249"/>
        <v>-2.5969876731106985E-3</v>
      </c>
      <c r="F5345" s="9">
        <f t="shared" si="250"/>
        <v>-4.7080764671300797E-3</v>
      </c>
      <c r="G5345" s="9">
        <f t="shared" ref="G5345:G5365" si="251">STDEV(E5317:E5345)</f>
        <v>7.6552776238354445E-3</v>
      </c>
    </row>
    <row r="5346" spans="1:7" x14ac:dyDescent="0.2">
      <c r="A5346" s="11">
        <v>42837</v>
      </c>
      <c r="B5346" s="10">
        <v>626.32000000000005</v>
      </c>
      <c r="C5346" s="10">
        <v>627.59</v>
      </c>
      <c r="D5346" s="10">
        <v>623.08000000000004</v>
      </c>
      <c r="E5346" s="13">
        <f t="shared" si="249"/>
        <v>5.3309553053962717E-3</v>
      </c>
      <c r="F5346" s="9">
        <f t="shared" si="250"/>
        <v>-3.3950477711877781E-3</v>
      </c>
      <c r="G5346" s="9">
        <f t="shared" si="251"/>
        <v>7.6847110460747207E-3</v>
      </c>
    </row>
    <row r="5347" spans="1:7" x14ac:dyDescent="0.2">
      <c r="A5347" s="11">
        <v>42843</v>
      </c>
      <c r="B5347" s="10">
        <v>615.08000000000004</v>
      </c>
      <c r="C5347" s="10">
        <v>629</v>
      </c>
      <c r="D5347" s="10">
        <v>613.05999999999995</v>
      </c>
      <c r="E5347" s="13">
        <f t="shared" si="249"/>
        <v>-1.8109081952166629E-2</v>
      </c>
      <c r="F5347" s="9">
        <f t="shared" si="250"/>
        <v>-9.6270492978797594E-3</v>
      </c>
      <c r="G5347" s="9">
        <f t="shared" si="251"/>
        <v>8.1011669207981373E-3</v>
      </c>
    </row>
    <row r="5348" spans="1:7" x14ac:dyDescent="0.2">
      <c r="A5348" s="11">
        <v>42844</v>
      </c>
      <c r="B5348" s="10">
        <v>611.53</v>
      </c>
      <c r="C5348" s="10">
        <v>615.19000000000005</v>
      </c>
      <c r="D5348" s="10">
        <v>610.5</v>
      </c>
      <c r="E5348" s="13">
        <f t="shared" si="249"/>
        <v>-5.7883270343637317E-3</v>
      </c>
      <c r="F5348" s="9">
        <f t="shared" si="250"/>
        <v>-1.4045744871208472E-2</v>
      </c>
      <c r="G5348" s="9">
        <f t="shared" si="251"/>
        <v>8.1627008778049608E-3</v>
      </c>
    </row>
    <row r="5349" spans="1:7" x14ac:dyDescent="0.2">
      <c r="A5349" s="11">
        <v>42845</v>
      </c>
      <c r="B5349" s="10">
        <v>611.91999999999996</v>
      </c>
      <c r="C5349" s="10">
        <v>612.54999999999995</v>
      </c>
      <c r="D5349" s="10">
        <v>608.70000000000005</v>
      </c>
      <c r="E5349" s="13">
        <f t="shared" si="249"/>
        <v>6.3754140048203451E-4</v>
      </c>
      <c r="F5349" s="9">
        <f t="shared" si="250"/>
        <v>-1.6917148433151442E-2</v>
      </c>
      <c r="G5349" s="9">
        <f t="shared" si="251"/>
        <v>8.1298814003560385E-3</v>
      </c>
    </row>
    <row r="5350" spans="1:7" x14ac:dyDescent="0.2">
      <c r="A5350" s="11">
        <v>42846</v>
      </c>
      <c r="B5350" s="10">
        <v>611.29</v>
      </c>
      <c r="C5350" s="10">
        <v>614.39</v>
      </c>
      <c r="D5350" s="10">
        <v>609.42999999999995</v>
      </c>
      <c r="E5350" s="13">
        <f t="shared" si="249"/>
        <v>-1.0300766928091401E-3</v>
      </c>
      <c r="F5350" s="9">
        <f t="shared" si="250"/>
        <v>-1.5936721581758337E-2</v>
      </c>
      <c r="G5350" s="9">
        <f t="shared" si="251"/>
        <v>8.125772173515065E-3</v>
      </c>
    </row>
    <row r="5351" spans="1:7" x14ac:dyDescent="0.2">
      <c r="A5351" s="11">
        <v>42849</v>
      </c>
      <c r="B5351" s="10">
        <v>619.04999999999995</v>
      </c>
      <c r="C5351" s="10">
        <v>621.01</v>
      </c>
      <c r="D5351" s="10">
        <v>611.29</v>
      </c>
      <c r="E5351" s="13">
        <f t="shared" si="249"/>
        <v>1.261456654589903E-2</v>
      </c>
      <c r="F5351" s="9">
        <f t="shared" si="250"/>
        <v>-1.1139903798966537E-3</v>
      </c>
      <c r="G5351" s="9">
        <f t="shared" si="251"/>
        <v>8.4763436803150221E-3</v>
      </c>
    </row>
    <row r="5352" spans="1:7" x14ac:dyDescent="0.2">
      <c r="A5352" s="11">
        <v>42850</v>
      </c>
      <c r="B5352" s="10">
        <v>625.80999999999995</v>
      </c>
      <c r="C5352" s="10">
        <v>625.80999999999995</v>
      </c>
      <c r="D5352" s="10">
        <v>618.94000000000005</v>
      </c>
      <c r="E5352" s="13">
        <f t="shared" si="249"/>
        <v>1.0860765786590556E-2</v>
      </c>
      <c r="F5352" s="9">
        <f t="shared" si="250"/>
        <v>-4.1778348814506035E-3</v>
      </c>
      <c r="G5352" s="9">
        <f t="shared" si="251"/>
        <v>8.3136240221565894E-3</v>
      </c>
    </row>
    <row r="5353" spans="1:7" x14ac:dyDescent="0.2">
      <c r="A5353" s="11">
        <v>42851</v>
      </c>
      <c r="B5353" s="10">
        <v>625.48</v>
      </c>
      <c r="C5353" s="10">
        <v>627.07000000000005</v>
      </c>
      <c r="D5353" s="10">
        <v>622.55999999999995</v>
      </c>
      <c r="E5353" s="13">
        <f t="shared" si="249"/>
        <v>-5.2745567798137734E-4</v>
      </c>
      <c r="F5353" s="9">
        <f t="shared" si="250"/>
        <v>-6.9940939109928704E-3</v>
      </c>
      <c r="G5353" s="9">
        <f t="shared" si="251"/>
        <v>8.3006288462338651E-3</v>
      </c>
    </row>
    <row r="5354" spans="1:7" x14ac:dyDescent="0.2">
      <c r="A5354" s="11">
        <v>42852</v>
      </c>
      <c r="B5354" s="10">
        <v>625.48</v>
      </c>
      <c r="C5354" s="10">
        <v>628.65</v>
      </c>
      <c r="D5354" s="10">
        <v>623.65</v>
      </c>
      <c r="E5354" s="13">
        <f t="shared" si="249"/>
        <v>0</v>
      </c>
      <c r="F5354" s="9">
        <f t="shared" si="250"/>
        <v>2.2568134103505052E-3</v>
      </c>
      <c r="G5354" s="9">
        <f t="shared" si="251"/>
        <v>8.1177587289362439E-3</v>
      </c>
    </row>
    <row r="5355" spans="1:7" x14ac:dyDescent="0.2">
      <c r="A5355" s="11">
        <v>42853</v>
      </c>
      <c r="B5355" s="10">
        <v>623.66</v>
      </c>
      <c r="C5355" s="10">
        <v>626.65</v>
      </c>
      <c r="D5355" s="10">
        <v>621.96</v>
      </c>
      <c r="E5355" s="13">
        <f t="shared" si="249"/>
        <v>-2.9140068973336278E-3</v>
      </c>
      <c r="F5355" s="9">
        <f t="shared" si="250"/>
        <v>-5.9789476786018978E-3</v>
      </c>
      <c r="G5355" s="9">
        <f t="shared" si="251"/>
        <v>8.0716822085605336E-3</v>
      </c>
    </row>
    <row r="5356" spans="1:7" x14ac:dyDescent="0.2">
      <c r="A5356" s="11">
        <v>42857</v>
      </c>
      <c r="B5356" s="10">
        <v>630.37</v>
      </c>
      <c r="C5356" s="10">
        <v>630.37</v>
      </c>
      <c r="D5356" s="10">
        <v>622.51</v>
      </c>
      <c r="E5356" s="13">
        <f t="shared" si="249"/>
        <v>1.0701600500821713E-2</v>
      </c>
      <c r="F5356" s="9">
        <f t="shared" si="250"/>
        <v>-3.4681291838738301E-3</v>
      </c>
      <c r="G5356" s="9">
        <f t="shared" si="251"/>
        <v>8.177737142825256E-3</v>
      </c>
    </row>
    <row r="5357" spans="1:7" x14ac:dyDescent="0.2">
      <c r="A5357" s="11">
        <v>42858</v>
      </c>
      <c r="B5357" s="10">
        <v>629.14</v>
      </c>
      <c r="C5357" s="10">
        <v>630.70000000000005</v>
      </c>
      <c r="D5357" s="10">
        <v>626.01</v>
      </c>
      <c r="E5357" s="13">
        <f t="shared" si="249"/>
        <v>-1.953141127919463E-3</v>
      </c>
      <c r="F5357" s="9">
        <f t="shared" si="250"/>
        <v>-6.0850186175280601E-3</v>
      </c>
      <c r="G5357" s="9">
        <f t="shared" si="251"/>
        <v>8.1832208979291457E-3</v>
      </c>
    </row>
    <row r="5358" spans="1:7" x14ac:dyDescent="0.2">
      <c r="A5358" s="11">
        <v>42859</v>
      </c>
      <c r="B5358" s="10">
        <v>625.67999999999995</v>
      </c>
      <c r="C5358" s="10">
        <v>634.58000000000004</v>
      </c>
      <c r="D5358" s="10">
        <v>624.58000000000004</v>
      </c>
      <c r="E5358" s="13">
        <f t="shared" si="249"/>
        <v>-5.5147491575223044E-3</v>
      </c>
      <c r="F5358" s="9">
        <f t="shared" si="250"/>
        <v>-1.1015060230677429E-2</v>
      </c>
      <c r="G5358" s="9">
        <f t="shared" si="251"/>
        <v>8.2422830939369116E-3</v>
      </c>
    </row>
    <row r="5359" spans="1:7" x14ac:dyDescent="0.2">
      <c r="A5359" s="11">
        <v>42860</v>
      </c>
      <c r="B5359" s="10">
        <v>636.74</v>
      </c>
      <c r="C5359" s="10">
        <v>637.28</v>
      </c>
      <c r="D5359" s="10">
        <v>621.91999999999996</v>
      </c>
      <c r="E5359" s="13">
        <f t="shared" si="249"/>
        <v>1.7522350692202492E-2</v>
      </c>
      <c r="F5359" s="9">
        <f t="shared" si="250"/>
        <v>6.8076785968715975E-3</v>
      </c>
      <c r="G5359" s="9">
        <f t="shared" si="251"/>
        <v>8.8876213240528575E-3</v>
      </c>
    </row>
    <row r="5360" spans="1:7" x14ac:dyDescent="0.2">
      <c r="A5360" s="11">
        <v>42863</v>
      </c>
      <c r="B5360" s="10">
        <v>639.75</v>
      </c>
      <c r="C5360" s="10">
        <v>639.75</v>
      </c>
      <c r="D5360" s="10">
        <v>633.48</v>
      </c>
      <c r="E5360" s="13">
        <f t="shared" si="249"/>
        <v>4.7160660543397763E-3</v>
      </c>
      <c r="F5360" s="9">
        <f t="shared" si="250"/>
        <v>2.5103404261259551E-2</v>
      </c>
      <c r="G5360" s="9">
        <f t="shared" si="251"/>
        <v>8.5134695630646948E-3</v>
      </c>
    </row>
    <row r="5361" spans="1:7" x14ac:dyDescent="0.2">
      <c r="A5361" s="11">
        <v>42864</v>
      </c>
      <c r="B5361" s="10">
        <v>646.78</v>
      </c>
      <c r="C5361" s="10">
        <v>647.04</v>
      </c>
      <c r="D5361" s="10">
        <v>639.53</v>
      </c>
      <c r="E5361" s="13">
        <f t="shared" si="249"/>
        <v>1.0928730725482578E-2</v>
      </c>
      <c r="F5361" s="9">
        <f t="shared" si="250"/>
        <v>3.6994305717973644E-2</v>
      </c>
      <c r="G5361" s="9">
        <f t="shared" si="251"/>
        <v>8.7064548784373218E-3</v>
      </c>
    </row>
    <row r="5362" spans="1:7" x14ac:dyDescent="0.2">
      <c r="A5362" s="11">
        <v>42865</v>
      </c>
      <c r="B5362" s="10">
        <v>646.66999999999996</v>
      </c>
      <c r="C5362" s="10">
        <v>647.59</v>
      </c>
      <c r="D5362" s="10">
        <v>643.22</v>
      </c>
      <c r="E5362" s="13">
        <f t="shared" si="249"/>
        <v>-1.7008775022649337E-4</v>
      </c>
      <c r="F5362" s="9">
        <f t="shared" si="250"/>
        <v>3.8124618706479443E-2</v>
      </c>
      <c r="G5362" s="9">
        <f t="shared" si="251"/>
        <v>8.6970356458137502E-3</v>
      </c>
    </row>
    <row r="5363" spans="1:7" x14ac:dyDescent="0.2">
      <c r="A5363" s="11">
        <v>42866</v>
      </c>
      <c r="B5363" s="10">
        <v>646.04</v>
      </c>
      <c r="C5363" s="10">
        <v>651.63</v>
      </c>
      <c r="D5363" s="10">
        <v>645.27</v>
      </c>
      <c r="E5363" s="13">
        <f t="shared" si="249"/>
        <v>-9.7469664484186398E-4</v>
      </c>
      <c r="F5363" s="9">
        <f t="shared" si="250"/>
        <v>5.7533620344529898E-2</v>
      </c>
      <c r="G5363" s="9">
        <f t="shared" si="251"/>
        <v>7.6515851176195424E-3</v>
      </c>
    </row>
    <row r="5364" spans="1:7" x14ac:dyDescent="0.2">
      <c r="A5364" s="11">
        <v>42867</v>
      </c>
      <c r="B5364" s="10">
        <v>648.54999999999995</v>
      </c>
      <c r="C5364" s="10">
        <v>649.65</v>
      </c>
      <c r="D5364" s="10">
        <v>646.19000000000005</v>
      </c>
      <c r="E5364" s="13">
        <f t="shared" si="249"/>
        <v>3.8776804163696511E-3</v>
      </c>
      <c r="F5364" s="9">
        <f t="shared" si="250"/>
        <v>5.1524606312711427E-2</v>
      </c>
      <c r="G5364" s="9">
        <f t="shared" si="251"/>
        <v>7.509984978342773E-3</v>
      </c>
    </row>
    <row r="5365" spans="1:7" x14ac:dyDescent="0.2">
      <c r="A5365" s="11">
        <v>42870</v>
      </c>
      <c r="B5365" s="10">
        <v>653.15</v>
      </c>
      <c r="C5365" s="10">
        <v>654.41</v>
      </c>
      <c r="D5365" s="10">
        <v>648.69000000000005</v>
      </c>
      <c r="E5365" s="13">
        <f t="shared" si="249"/>
        <v>7.0677101458901347E-3</v>
      </c>
      <c r="F5365" s="9">
        <f t="shared" si="250"/>
        <v>5.6516482947467458E-2</v>
      </c>
      <c r="G5365" s="9">
        <f t="shared" si="251"/>
        <v>7.5740214230489954E-3</v>
      </c>
    </row>
  </sheetData>
  <sortState ref="A2:D5365">
    <sortCondition ref="A2:A536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Data</vt:lpstr>
      <vt:lpstr>Underwriter descriptive</vt:lpstr>
      <vt:lpstr>Sentiment</vt:lpstr>
      <vt:lpstr>Descriptive</vt:lpstr>
      <vt:lpstr>Tech SIC</vt:lpstr>
      <vt:lpstr>DK index</vt:lpstr>
      <vt:lpstr>SE index</vt:lpstr>
      <vt:lpstr>FI index</vt:lpstr>
      <vt:lpstr>NO index</vt:lpstr>
      <vt:lpstr>SE CPI</vt:lpstr>
      <vt:lpstr>DK CPI</vt:lpstr>
      <vt:lpstr>FI CPI</vt:lpstr>
      <vt:lpstr>NO CPI</vt:lpstr>
      <vt:lpstr>SE FX</vt:lpstr>
      <vt:lpstr>DK FX</vt:lpstr>
      <vt:lpstr>FI FX</vt:lpstr>
      <vt:lpstr>NO FX</vt:lpstr>
    </vt:vector>
  </TitlesOfParts>
  <Company>BI Norwegian Business School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Eikon Student 1</dc:creator>
  <cp:lastModifiedBy>Microsoft Office-bruker</cp:lastModifiedBy>
  <dcterms:created xsi:type="dcterms:W3CDTF">2017-03-09T09:03:51Z</dcterms:created>
  <dcterms:modified xsi:type="dcterms:W3CDTF">2017-08-31T19:24:39Z</dcterms:modified>
</cp:coreProperties>
</file>